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Articles" sheetId="3" state="visible" r:id="rId3"/>
    <sheet xmlns:r="http://schemas.openxmlformats.org/officeDocument/2006/relationships" name="Mouvements" sheetId="4" state="visible" r:id="rId4"/>
    <sheet xmlns:r="http://schemas.openxmlformats.org/officeDocument/2006/relationships" name="Fiche article" sheetId="5" state="visible" r:id="rId5"/>
    <sheet xmlns:r="http://schemas.openxmlformats.org/officeDocument/2006/relationships" name="État par période" sheetId="6" state="visible" r:id="rId6"/>
    <sheet xmlns:r="http://schemas.openxmlformats.org/officeDocument/2006/relationships" name="Inventaire"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art_ref">'Articles'!$A$5:$A$1004</definedName>
    <definedName name="art_des">'Articles'!$B$5:$B$1004</definedName>
    <definedName name="art_cat">'Articles'!$C$5:$C$1004</definedName>
    <definedName name="art_unit">'Articles'!$D$5:$D$1004</definedName>
    <definedName name="art_loc">'Articles'!$E$5:$E$1004</definedName>
    <definedName name="art_price">'Articles'!$G$5:$G$1004</definedName>
    <definedName name="art_init">'Articles'!$H$5:$H$1004</definedName>
    <definedName name="art_min">'Articles'!$I$5:$I$1004</definedName>
    <definedName name="art_stock">'Articles'!$M$5:$M$1004</definedName>
    <definedName name="art_value">'Articles'!$N$5:$N$1004</definedName>
    <definedName name="art_status">'Articles'!$O$5:$O$1004</definedName>
    <definedName name="art_order">'Articles'!$P$5:$P$1004</definedName>
    <definedName name="art_rank">'Articles'!$R$5:$R$1004</definedName>
    <definedName name="mv_date">'Mouvements'!$A$5:$A$5004</definedName>
    <definedName name="mv_type">'Mouvements'!$B$5:$B$5004</definedName>
    <definedName name="mv_ref">'Mouvements'!$C$5:$C$5004</definedName>
    <definedName name="mv_qty">'Mouvements'!$E$5:$E$5004</definedName>
    <definedName name="mv_value">'Mouvements'!$J$5:$J$5004</definedName>
    <definedName name="mv_check">'Mouvements'!$L$5:$L$5004</definedName>
    <definedName name="mv_key">'Mouvements'!$M$5:$M$5004</definedName>
    <definedName name="lst_types">'Paramètres'!$B$12:$B$13</definedName>
    <definedName name="lst_cat">'Paramètres'!$D$5:$D$54</definedName>
    <definedName name="lst_unit">'Paramètres'!$E$5:$E$54</definedName>
    <definedName name="lst_loc">'Paramètres'!$F$5:$F$54</definedName>
    <definedName name="p_company">'Paramètres'!$B$5</definedName>
    <definedName name="p_currency">'Paramètres'!$B$6</definedName>
    <definedName name="_xlnm._FilterDatabase" localSheetId="2" hidden="1">'Articles'!$A$4:$Q$1004</definedName>
    <definedName name="_xlnm.Print_Titles" localSheetId="2">'Articles'!$4:$4</definedName>
    <definedName name="_xlnm._FilterDatabase" localSheetId="3" hidden="1">'Mouvements'!$A$4:$L$5004</definedName>
    <definedName name="_xlnm.Print_Titles" localSheetId="3">'Mouvements'!$4:$4</definedName>
    <definedName name="_xlnm.Print_Titles" localSheetId="4">'Fiche article'!$10:$10</definedName>
    <definedName name="_xlnm._FilterDatabase" localSheetId="5" hidden="1">'État par période'!$A$4:$H$1004</definedName>
    <definedName name="_xlnm.Print_Titles" localSheetId="5">'État par période'!$4:$4</definedName>
    <definedName name="_xlnm._FilterDatabase" localSheetId="6" hidden="1">'Inventaire'!$A$4:$I$504</definedName>
    <definedName name="_xlnm.Print_Titles" localSheetId="6">'Inventaire'!$4:$4</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29">
    <font>
      <name val="Calibri"/>
      <family val="2"/>
      <color theme="1"/>
      <sz val="11"/>
      <scheme val="minor"/>
    </font>
    <font>
      <name val="Calibri"/>
      <b val="1"/>
      <color rgb="FF1E293B"/>
      <sz val="18"/>
    </font>
    <font>
      <name val="Calibri"/>
      <i val="1"/>
      <color rgb="FF64748B"/>
      <sz val="10"/>
    </font>
    <font>
      <name val="Calibri"/>
      <b val="1"/>
      <color rgb="FF334155"/>
      <sz val="12"/>
    </font>
    <font>
      <name val="Calibri"/>
      <b val="1"/>
      <color rgb="FF1E293B"/>
      <sz val="10"/>
    </font>
    <font>
      <name val="Calibri"/>
      <color rgb="FF1E293B"/>
      <sz val="10"/>
    </font>
    <font>
      <name val="Calibri"/>
      <b val="1"/>
      <color rgb="FF64748B"/>
      <sz val="10"/>
    </font>
    <font>
      <name val="Calibri"/>
      <b val="1"/>
      <color rgb="FF64748B"/>
      <sz val="9"/>
    </font>
    <font>
      <name val="Calibri"/>
      <b val="1"/>
      <color rgb="FF334155"/>
      <sz val="18"/>
    </font>
    <font>
      <name val="Calibri"/>
      <b val="1"/>
      <color rgb="FF92400E"/>
      <sz val="18"/>
    </font>
    <font>
      <name val="Calibri"/>
      <b val="1"/>
      <color rgb="FFB91C1C"/>
      <sz val="18"/>
    </font>
    <font>
      <name val="Calibri"/>
      <i val="1"/>
      <color rgb="FF64748B"/>
      <sz val="9"/>
    </font>
    <font>
      <name val="Calibri"/>
      <b val="1"/>
      <color rgb="FF1E293B"/>
      <sz val="11"/>
    </font>
    <font>
      <name val="Calibri"/>
      <b val="1"/>
      <color rgb="FFFFFFFF"/>
      <sz val="10"/>
    </font>
    <font>
      <name val="Calibri"/>
      <b val="1"/>
      <color rgb="FF1E293B"/>
      <sz val="16"/>
    </font>
    <font>
      <name val="Calibri"/>
      <color rgb="FF1E293B"/>
      <sz val="9"/>
    </font>
    <font>
      <name val="Calibri"/>
      <color rgb="FF64748B"/>
      <sz val="9"/>
    </font>
    <font>
      <name val="Calibri"/>
      <color rgb="FF334155"/>
      <sz val="10"/>
    </font>
    <font>
      <name val="Calibri"/>
      <color rgb="FF64748B"/>
      <sz val="10"/>
    </font>
    <font>
      <name val="Calibri"/>
      <color rgb="FFFFFFFF"/>
      <sz val="8"/>
    </font>
    <font>
      <name val="Calibri"/>
      <b val="1"/>
      <color rgb="FFB91C1C"/>
      <sz val="9"/>
    </font>
    <font>
      <name val="Calibri"/>
      <b val="1"/>
      <color rgb="FF334155"/>
      <sz val="11"/>
    </font>
    <font>
      <name val="Calibri"/>
      <b val="1"/>
      <color rgb="FF2563EB"/>
      <sz val="22"/>
    </font>
    <font>
      <name val="Calibri"/>
      <b val="1"/>
      <color rgb="FF0F172A"/>
      <sz val="13"/>
    </font>
    <font>
      <name val="Calibri"/>
      <b val="1"/>
      <color rgb="FF0F172A"/>
      <sz val="12"/>
    </font>
    <font>
      <name val="Calibri"/>
      <color rgb="FF0F172A"/>
      <sz val="10"/>
    </font>
    <font>
      <name val="Calibri"/>
      <b val="1"/>
      <color rgb="FF0F172A"/>
      <sz val="10"/>
    </font>
    <font>
      <name val="Calibri"/>
      <b val="1"/>
      <color rgb="FF2563EB"/>
      <sz val="13"/>
      <u val="single"/>
    </font>
    <font>
      <name val="Calibri"/>
      <color rgb="FF2563EB"/>
      <sz val="11"/>
      <u val="single"/>
    </font>
  </fonts>
  <fills count="9">
    <fill>
      <patternFill/>
    </fill>
    <fill>
      <patternFill patternType="gray125"/>
    </fill>
    <fill>
      <patternFill patternType="solid">
        <fgColor rgb="FFFFFFFF"/>
        <bgColor rgb="FFFFFFFF"/>
      </patternFill>
    </fill>
    <fill>
      <patternFill patternType="solid">
        <fgColor rgb="FFF1F5F9"/>
        <bgColor rgb="FFF1F5F9"/>
      </patternFill>
    </fill>
    <fill>
      <patternFill patternType="solid">
        <fgColor rgb="FFF8FAFC"/>
        <bgColor rgb="FFF8FAFC"/>
      </patternFill>
    </fill>
    <fill>
      <patternFill patternType="solid">
        <fgColor rgb="FF334155"/>
        <bgColor rgb="FF334155"/>
      </patternFill>
    </fill>
    <fill>
      <patternFill patternType="solid">
        <fgColor rgb="FFF6F8FB"/>
        <bgColor rgb="FFF6F8FB"/>
      </patternFill>
    </fill>
    <fill>
      <patternFill patternType="solid">
        <fgColor rgb="FF2563EB"/>
        <bgColor rgb="FF2563EB"/>
      </patternFill>
    </fill>
    <fill>
      <patternFill patternType="solid">
        <fgColor rgb="FFDBEAFE"/>
        <bgColor rgb="FFDBEAFE"/>
      </patternFill>
    </fill>
  </fills>
  <borders count="17">
    <border>
      <left/>
      <right/>
      <top/>
      <bottom/>
      <diagonal/>
    </border>
    <border>
      <bottom style="medium">
        <color rgb="FF334155"/>
      </bottom>
    </border>
    <border>
      <left style="thin">
        <color rgb="FFCBD5E1"/>
      </left>
      <right style="thin">
        <color rgb="FFCBD5E1"/>
      </right>
      <top style="thin">
        <color rgb="FFCBD5E1"/>
      </top>
      <bottom style="thin">
        <color rgb="FFCBD5E1"/>
      </bottom>
    </border>
    <border>
      <left style="thin">
        <color rgb="FFCBD5E1"/>
      </left>
      <top style="thin">
        <color rgb="FFCBD5E1"/>
      </top>
    </border>
    <border>
      <right style="thin">
        <color rgb="FFCBD5E1"/>
      </right>
      <top style="thin">
        <color rgb="FFCBD5E1"/>
      </top>
    </border>
    <border>
      <left style="thin">
        <color rgb="FFCBD5E1"/>
      </left>
      <bottom style="thin">
        <color rgb="FFCBD5E1"/>
      </bottom>
    </border>
    <border>
      <right style="thin">
        <color rgb="FFCBD5E1"/>
      </right>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border>
      <left style="medium">
        <color rgb="FF2563EB"/>
      </left>
      <right style="medium">
        <color rgb="FF2563EB"/>
      </right>
      <top style="medium">
        <color rgb="FF2563EB"/>
      </top>
      <bottom style="medium">
        <color rgb="FF2563EB"/>
      </bottom>
    </border>
    <border>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7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2" applyAlignment="1" pivotButton="0" quotePrefix="0" xfId="0">
      <alignment vertical="top" wrapText="1"/>
    </xf>
    <xf numFmtId="0" fontId="4" fillId="3" borderId="2" applyAlignment="1" pivotButton="0" quotePrefix="0" xfId="0">
      <alignment vertical="top" wrapText="1"/>
    </xf>
    <xf numFmtId="0" fontId="2" fillId="0" borderId="0" applyAlignment="1" pivotButton="0" quotePrefix="0" xfId="0">
      <alignment horizontal="right"/>
    </xf>
    <xf numFmtId="164" fontId="6" fillId="0" borderId="0" pivotButton="0" quotePrefix="0" xfId="0"/>
    <xf numFmtId="0" fontId="7" fillId="4" borderId="3" applyAlignment="1" pivotButton="0" quotePrefix="0" xfId="0">
      <alignment horizontal="left" vertical="bottom" indent="1"/>
    </xf>
    <xf numFmtId="0" fontId="0" fillId="4" borderId="4" pivotButton="0" quotePrefix="0" xfId="0"/>
    <xf numFmtId="3" fontId="8" fillId="4" borderId="5" applyAlignment="1" pivotButton="0" quotePrefix="0" xfId="0">
      <alignment horizontal="left" vertical="center" indent="1"/>
    </xf>
    <xf numFmtId="0" fontId="0" fillId="4" borderId="6" pivotButton="0" quotePrefix="0" xfId="0"/>
    <xf numFmtId="4" fontId="8" fillId="4" borderId="5" applyAlignment="1" pivotButton="0" quotePrefix="0" xfId="0">
      <alignment horizontal="left" vertical="center" indent="1"/>
    </xf>
    <xf numFmtId="3" fontId="9" fillId="4" borderId="5" applyAlignment="1" pivotButton="0" quotePrefix="0" xfId="0">
      <alignment horizontal="left" vertical="center" indent="1"/>
    </xf>
    <xf numFmtId="3" fontId="10" fillId="4" borderId="5" applyAlignment="1" pivotButton="0" quotePrefix="0" xfId="0">
      <alignment horizontal="left" vertical="center" indent="1"/>
    </xf>
    <xf numFmtId="0" fontId="11" fillId="0" borderId="0" pivotButton="0" quotePrefix="0" xfId="0"/>
    <xf numFmtId="0" fontId="3" fillId="0" borderId="0" pivotButton="0" quotePrefix="0" xfId="0"/>
    <xf numFmtId="0" fontId="4" fillId="0" borderId="0" applyAlignment="1" pivotButton="0" quotePrefix="0" xfId="0">
      <alignment horizontal="right"/>
    </xf>
    <xf numFmtId="0" fontId="12" fillId="2" borderId="2" applyAlignment="1" pivotButton="0" quotePrefix="0" xfId="0">
      <alignment horizontal="center"/>
    </xf>
    <xf numFmtId="0" fontId="13" fillId="5" borderId="2" applyAlignment="1" pivotButton="0" quotePrefix="0" xfId="0">
      <alignment horizontal="center"/>
    </xf>
    <xf numFmtId="0" fontId="0" fillId="0" borderId="9" pivotButton="0" quotePrefix="0" xfId="0"/>
    <xf numFmtId="3" fontId="5" fillId="4" borderId="2" pivotButton="0" quotePrefix="0" xfId="0"/>
    <xf numFmtId="4" fontId="5" fillId="3" borderId="2" pivotButton="0" quotePrefix="0" xfId="0"/>
    <xf numFmtId="3" fontId="5" fillId="3" borderId="2" pivotButton="0" quotePrefix="0" xfId="0"/>
    <xf numFmtId="3" fontId="4" fillId="4" borderId="2" pivotButton="0" quotePrefix="0" xfId="0"/>
    <xf numFmtId="4" fontId="4" fillId="4" borderId="2" pivotButton="0" quotePrefix="0" xfId="0"/>
    <xf numFmtId="0" fontId="13" fillId="5" borderId="2" applyAlignment="1" pivotButton="0" quotePrefix="0" xfId="0">
      <alignment horizontal="center" wrapText="1"/>
    </xf>
    <xf numFmtId="0" fontId="5" fillId="3" borderId="2" applyAlignment="1" pivotButton="0" quotePrefix="0" xfId="0">
      <alignment horizontal="left"/>
    </xf>
    <xf numFmtId="0" fontId="5" fillId="3" borderId="2" applyAlignment="1" pivotButton="0" quotePrefix="0" xfId="0">
      <alignment horizontal="center"/>
    </xf>
    <xf numFmtId="0" fontId="14" fillId="0" borderId="0" pivotButton="0" quotePrefix="0" xfId="0"/>
    <xf numFmtId="0" fontId="15" fillId="2" borderId="2" applyAlignment="1" pivotButton="0" quotePrefix="0" xfId="0">
      <alignment horizontal="center"/>
    </xf>
    <xf numFmtId="0" fontId="16" fillId="3" borderId="2" applyAlignment="1" pivotButton="0" quotePrefix="0" xfId="0">
      <alignment horizontal="center"/>
    </xf>
    <xf numFmtId="0" fontId="2" fillId="0" borderId="0" applyAlignment="1" pivotButton="0" quotePrefix="0" xfId="0">
      <alignment vertical="top" wrapText="1"/>
    </xf>
    <xf numFmtId="0" fontId="13" fillId="5" borderId="2" applyAlignment="1" pivotButton="0" quotePrefix="0" xfId="0">
      <alignment horizontal="center" vertical="center" wrapText="1"/>
    </xf>
    <xf numFmtId="0" fontId="5" fillId="2" borderId="2" pivotButton="0" quotePrefix="0" xfId="0"/>
    <xf numFmtId="4" fontId="5" fillId="2" borderId="2" pivotButton="0" quotePrefix="0" xfId="0"/>
    <xf numFmtId="0" fontId="17" fillId="3" borderId="2" pivotButton="0" quotePrefix="0" xfId="0"/>
    <xf numFmtId="4" fontId="17" fillId="3" borderId="2" pivotButton="0" quotePrefix="0" xfId="0"/>
    <xf numFmtId="164" fontId="5" fillId="2" borderId="2" pivotButton="0" quotePrefix="0" xfId="0"/>
    <xf numFmtId="0" fontId="4" fillId="0" borderId="0" pivotButton="0" quotePrefix="0" xfId="0"/>
    <xf numFmtId="0" fontId="12" fillId="2" borderId="2" pivotButton="0" quotePrefix="0" xfId="0"/>
    <xf numFmtId="0" fontId="0" fillId="2" borderId="2" pivotButton="0" quotePrefix="0" xfId="0"/>
    <xf numFmtId="0" fontId="18" fillId="0" borderId="0" applyAlignment="1" pivotButton="0" quotePrefix="0" xfId="0">
      <alignment horizontal="right"/>
    </xf>
    <xf numFmtId="0" fontId="12" fillId="0" borderId="0" applyAlignment="1" pivotButton="0" quotePrefix="0" xfId="0">
      <alignment horizontal="left" indent="1"/>
    </xf>
    <xf numFmtId="0" fontId="18" fillId="0" borderId="0" pivotButton="0" quotePrefix="0" xfId="0"/>
    <xf numFmtId="0" fontId="19" fillId="0" borderId="0" pivotButton="0" quotePrefix="0" xfId="0"/>
    <xf numFmtId="164" fontId="5" fillId="3" borderId="2" pivotButton="0" quotePrefix="0" xfId="0"/>
    <xf numFmtId="0" fontId="5" fillId="3" borderId="2" pivotButton="0" quotePrefix="0" xfId="0"/>
    <xf numFmtId="164" fontId="12" fillId="2" borderId="2" pivotButton="0" quotePrefix="0" xfId="0"/>
    <xf numFmtId="0" fontId="20" fillId="0" borderId="0" pivotButton="0" quotePrefix="0" xfId="0"/>
    <xf numFmtId="0" fontId="0" fillId="0" borderId="2" pivotButton="0" quotePrefix="0" xfId="0"/>
    <xf numFmtId="0" fontId="21" fillId="0" borderId="0" pivotButton="0" quotePrefix="0" xfId="0"/>
    <xf numFmtId="0" fontId="11" fillId="0" borderId="0" applyAlignment="1" pivotButton="0" quotePrefix="0" xfId="0">
      <alignment vertical="top" wrapText="1"/>
    </xf>
    <xf numFmtId="0" fontId="0" fillId="6" borderId="0" pivotButton="0" quotePrefix="0" xfId="0"/>
    <xf numFmtId="0" fontId="22" fillId="6" borderId="0" pivotButton="0" quotePrefix="0" xfId="0"/>
    <xf numFmtId="0" fontId="23" fillId="6" borderId="0" pivotButton="0" quotePrefix="0" xfId="0"/>
    <xf numFmtId="0" fontId="18" fillId="6" borderId="0" applyAlignment="1" pivotButton="0" quotePrefix="0" xfId="0">
      <alignment wrapText="1"/>
    </xf>
    <xf numFmtId="0" fontId="24" fillId="6" borderId="10" pivotButton="0" quotePrefix="0" xfId="0"/>
    <xf numFmtId="0" fontId="0" fillId="6" borderId="10" pivotButton="0" quotePrefix="0" xfId="0"/>
    <xf numFmtId="0" fontId="25" fillId="6" borderId="0" pivotButton="0" quotePrefix="0" xfId="0"/>
    <xf numFmtId="0" fontId="13" fillId="6" borderId="11" applyAlignment="1" pivotButton="0" quotePrefix="0" xfId="0">
      <alignment vertical="center" wrapText="1" indent="1"/>
    </xf>
    <xf numFmtId="0" fontId="13" fillId="5" borderId="2" applyAlignment="1" pivotButton="0" quotePrefix="0" xfId="0">
      <alignment vertical="center" wrapText="1" indent="1"/>
    </xf>
    <xf numFmtId="0" fontId="13" fillId="7" borderId="2" applyAlignment="1" pivotButton="0" quotePrefix="0" xfId="0">
      <alignment vertical="center" wrapText="1" indent="1"/>
    </xf>
    <xf numFmtId="0" fontId="26" fillId="2" borderId="2" applyAlignment="1" pivotButton="0" quotePrefix="0" xfId="0">
      <alignment vertical="center" wrapText="1" indent="1"/>
    </xf>
    <xf numFmtId="0" fontId="25" fillId="2" borderId="2" applyAlignment="1" pivotButton="0" quotePrefix="0" xfId="0">
      <alignment vertical="center" wrapText="1" indent="1"/>
    </xf>
    <xf numFmtId="0" fontId="25" fillId="8" borderId="2" applyAlignment="1" pivotButton="0" quotePrefix="0" xfId="0">
      <alignment vertical="center" wrapText="1" indent="1"/>
    </xf>
    <xf numFmtId="0" fontId="11" fillId="6" borderId="0" applyAlignment="1" pivotButton="0" quotePrefix="0" xfId="0">
      <alignment vertical="top" wrapText="1"/>
    </xf>
    <xf numFmtId="0" fontId="27" fillId="8" borderId="12" applyAlignment="1" pivotButton="0" quotePrefix="0" xfId="0">
      <alignment horizontal="center" vertical="center"/>
    </xf>
    <xf numFmtId="0" fontId="0" fillId="0" borderId="16" pivotButton="0" quotePrefix="0" xfId="0"/>
    <xf numFmtId="0" fontId="28" fillId="6" borderId="0" applyAlignment="1" pivotButton="0" quotePrefix="0" xfId="0">
      <alignment horizontal="center" vertical="center"/>
    </xf>
    <xf numFmtId="0" fontId="16" fillId="6" borderId="0" applyAlignment="1" pivotButton="0" quotePrefix="0" xfId="0">
      <alignment wrapText="1"/>
    </xf>
  </cellXfs>
  <cellStyles count="1">
    <cellStyle name="Normal" xfId="0" builtinId="0" hidden="0"/>
  </cellStyles>
  <dxfs count="10">
    <dxf>
      <numFmt numFmtId="200" formatCode="#,##0.00 &quot;MAD&quot;"/>
    </dxf>
    <dxf>
      <numFmt numFmtId="201" formatCode="#,##0.00 &quot;€&quot;"/>
    </dxf>
    <dxf>
      <numFmt numFmtId="202" formatCode="&quot;$&quot;#,##0.00"/>
    </dxf>
    <dxf>
      <font>
        <b val="1"/>
        <color rgb="FFB91C1C"/>
      </font>
      <fill>
        <patternFill patternType="solid">
          <fgColor rgb="FFFEE2E2"/>
          <bgColor rgb="FFFEE2E2"/>
        </patternFill>
      </fill>
    </dxf>
    <dxf>
      <font>
        <b val="1"/>
        <color rgb="FF92400E"/>
      </font>
      <fill>
        <patternFill patternType="solid">
          <fgColor rgb="FFFEF3C7"/>
          <bgColor rgb="FFFEF3C7"/>
        </patternFill>
      </fill>
    </dxf>
    <dxf>
      <font>
        <color rgb="FF166534"/>
      </font>
      <fill>
        <patternFill patternType="solid">
          <fgColor rgb="FFDCFCE7"/>
          <bgColor rgb="FFDCFCE7"/>
        </patternFill>
      </fill>
    </dxf>
    <dxf>
      <font>
        <color rgb="FF166534"/>
      </font>
    </dxf>
    <dxf>
      <font>
        <b val="1"/>
        <color rgb="FF166534"/>
      </font>
    </dxf>
    <dxf>
      <font>
        <b val="1"/>
        <color rgb="FFB91C1C"/>
      </font>
    </dxf>
    <dxf>
      <font>
        <b val="1"/>
        <color rgb="FF166534"/>
      </font>
      <fill>
        <patternFill patternType="solid">
          <fgColor rgb="FFDCFCE7"/>
          <bgColor rgb="FF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Valeur des entrées et des sorties</a:t>
            </a:r>
          </a:p>
        </rich>
      </tx>
    </title>
    <plotArea>
      <barChart>
        <barDir val="col"/>
        <grouping val="clustered"/>
        <ser>
          <idx val="0"/>
          <order val="0"/>
          <tx>
            <strRef>
              <f>'Tableau de bord'!C10</f>
            </strRef>
          </tx>
          <spPr>
            <a:solidFill xmlns:a="http://schemas.openxmlformats.org/drawingml/2006/main">
              <a:srgbClr val="15803D"/>
            </a:solidFill>
            <a:ln xmlns:a="http://schemas.openxmlformats.org/drawingml/2006/main">
              <a:prstDash val="solid"/>
            </a:ln>
          </spPr>
          <cat>
            <numRef>
              <f>'Tableau de bord'!$B$11:$B$22</f>
            </numRef>
          </cat>
          <val>
            <numRef>
              <f>'Tableau de bord'!$C$11:$C$22</f>
            </numRef>
          </val>
        </ser>
        <ser>
          <idx val="1"/>
          <order val="1"/>
          <tx>
            <strRef>
              <f>'Tableau de bord'!E10</f>
            </strRef>
          </tx>
          <spPr>
            <a:solidFill xmlns:a="http://schemas.openxmlformats.org/drawingml/2006/main">
              <a:srgbClr val="B91C1C"/>
            </a:solidFill>
            <a:ln xmlns:a="http://schemas.openxmlformats.org/drawingml/2006/main">
              <a:prstDash val="solid"/>
            </a:ln>
          </spPr>
          <cat>
            <numRef>
              <f>'Tableau de bord'!$B$11:$B$22</f>
            </numRef>
          </cat>
          <val>
            <numRef>
              <f>'Tableau de bord'!$E$11:$E$22</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9</row>
      <rowOff>0</rowOff>
    </from>
    <ext cx="5580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gestion-stock-excel" TargetMode="External" Id="rId1"/><Relationship Type="http://schemas.openxmlformats.org/officeDocument/2006/relationships/hyperlink" Target="https://qualis-erp.com/?utm_source=excel&amp;utm_medium=modele&amp;utm_campaign=gestion-stock-excel" TargetMode="External" Id="rId2"/></Relationships>
</file>

<file path=xl/worksheets/sheet1.xml><?xml version="1.0" encoding="utf-8"?>
<worksheet xmlns="http://schemas.openxmlformats.org/spreadsheetml/2006/main">
  <sheetPr>
    <tabColor rgb="FF475569"/>
    <outlinePr summaryBelow="1" summaryRight="1"/>
    <pageSetUpPr fitToPage="1"/>
  </sheetPr>
  <dimension ref="B1:C30"/>
  <sheetViews>
    <sheetView showGridLines="0" tabSelected="1" zoomScale="100" workbookViewId="0">
      <selection activeCell="A1" sqref="A1"/>
    </sheetView>
  </sheetViews>
  <sheetFormatPr baseColWidth="8" defaultRowHeight="15"/>
  <cols>
    <col width="3" customWidth="1" min="1" max="1"/>
    <col width="26" customWidth="1" min="2" max="2"/>
    <col width="90" customWidth="1" min="3" max="3"/>
  </cols>
  <sheetData>
    <row r="1" ht="30" customHeight="1">
      <c r="B1" s="1" t="inlineStr">
        <is>
          <t>Gestion de stock : entrées et sorties</t>
        </is>
      </c>
    </row>
    <row r="2">
      <c r="B2" s="2" t="inlineStr">
        <is>
          <t>Mode d'emploi en 6 étapes. Lisez cette page une fois, puis travaillez surtout dans la feuille « Mouvements ».</t>
        </is>
      </c>
    </row>
    <row r="5">
      <c r="B5" s="3" t="inlineStr">
        <is>
          <t>Démarrer</t>
        </is>
      </c>
      <c r="C5" s="4" t="n"/>
    </row>
    <row r="6" ht="48" customHeight="1">
      <c r="B6" s="5" t="inlineStr">
        <is>
          <t>1. Paramètres</t>
        </is>
      </c>
      <c r="C6" s="6" t="inlineStr">
        <is>
          <t>Feuille « Paramètres » : saisissez le nom de votre entreprise, la devise (MAD, EUR ou USD, dans la liste) et complétez les listes de catégories, d'unités et d'emplacements. Ces listes alimentent les menus déroulants.</t>
        </is>
      </c>
    </row>
    <row r="7" ht="48" customHeight="1">
      <c r="B7" s="5" t="inlineStr">
        <is>
          <t>2. Articles</t>
        </is>
      </c>
      <c r="C7" s="6" t="inlineStr">
        <is>
          <t>Feuille « Articles » : une ligne par article. La référence doit être unique (le fichier signale les doublons). Indiquez le stock initial (la quantité réellement présente le jour où vous commencez), le prix unitaire et le seuil d'alerte.</t>
        </is>
      </c>
    </row>
    <row r="8" ht="48" customHeight="1">
      <c r="B8" s="5" t="inlineStr">
        <is>
          <t>3. Mouvements</t>
        </is>
      </c>
      <c r="C8" s="6" t="inlineStr">
        <is>
          <t>Feuille « Mouvements » : une ligne à chaque entrée (réception fournisseur, retour, production) ou sortie (vente, consommation, casse). Choisissez la date, le type, la référence dans la liste et la quantité. Le reste se calcule seul.</t>
        </is>
      </c>
    </row>
    <row r="9" ht="34" customHeight="1">
      <c r="B9" s="5" t="inlineStr">
        <is>
          <t>4. Suivre</t>
        </is>
      </c>
      <c r="C9" s="6" t="inlineStr">
        <is>
          <t>« Tableau de bord » : valeur du stock, articles à commander, entrées et sorties par mois. « Fiche article » : choisissez une référence pour voir tout son historique.</t>
        </is>
      </c>
    </row>
    <row r="10" ht="34" customHeight="1">
      <c r="B10" s="5" t="inlineStr">
        <is>
          <t>5. Clôturer un mois</t>
        </is>
      </c>
      <c r="C10" s="6" t="inlineStr">
        <is>
          <t>« État par période » : saisissez une date de début et de fin pour obtenir le stock initial, les entrées, les sorties et le stock final de chaque article sur la période.</t>
        </is>
      </c>
    </row>
    <row r="11" ht="48" customHeight="1">
      <c r="B11" s="5" t="inlineStr">
        <is>
          <t>6. Inventaire</t>
        </is>
      </c>
      <c r="C11" s="6" t="inlineStr">
        <is>
          <t>« Inventaire » : choisissez les articles comptés, saisissez la quantité trouvée. L'écart s'affiche avec l'action à faire : enregistrez-le dans « Mouvements » (type Entrée ou Sortie, commentaire « Écart d'inventaire »).</t>
        </is>
      </c>
    </row>
    <row r="13">
      <c r="B13" s="3" t="inlineStr">
        <is>
          <t>Couleurs et contrôles</t>
        </is>
      </c>
      <c r="C13" s="4" t="n"/>
    </row>
    <row r="14" ht="20" customHeight="1">
      <c r="B14" s="7" t="inlineStr">
        <is>
          <t>Cellules blanches</t>
        </is>
      </c>
      <c r="C14" s="6" t="inlineStr">
        <is>
          <t>À remplir par vous.</t>
        </is>
      </c>
    </row>
    <row r="15" ht="20" customHeight="1">
      <c r="B15" s="8" t="inlineStr">
        <is>
          <t>Cellules grises</t>
        </is>
      </c>
      <c r="C15" s="6" t="inlineStr">
        <is>
          <t>Calculées par une formule. Ne les modifiez pas : vous casseriez le calcul de la ligne.</t>
        </is>
      </c>
    </row>
    <row r="16" ht="34" customHeight="1">
      <c r="B16" s="5" t="inlineStr">
        <is>
          <t>Statut d'un article</t>
        </is>
      </c>
      <c r="C16" s="6" t="inlineStr">
        <is>
          <t>OK (vert) : stock au-dessus du seuil d'alerte. À commander (orange) : stock égal ou inférieur au seuil. Rupture (rouge) : stock à zéro ou négatif.</t>
        </is>
      </c>
    </row>
    <row r="17" ht="48" customHeight="1">
      <c r="B17" s="5" t="inlineStr">
        <is>
          <t>Colonne Contrôle</t>
        </is>
      </c>
      <c r="C17" s="6" t="inlineStr">
        <is>
          <t>Dans « Mouvements », chaque ligne est vérifiée : ligne incomplète, date invalide, type inconnu, référence inconnue, quantité invalide, stock négatif, date plus ancienne que la ligne précédente. Une ligne correcte affiche OK.</t>
        </is>
      </c>
    </row>
    <row r="19">
      <c r="B19" s="3" t="inlineStr">
        <is>
          <t>Bonnes pratiques</t>
        </is>
      </c>
      <c r="C19" s="4" t="n"/>
    </row>
    <row r="20" ht="48" customHeight="1">
      <c r="B20" s="5" t="inlineStr">
        <is>
          <t>Ordre chronologique</t>
        </is>
      </c>
      <c r="C20" s="6" t="inlineStr">
        <is>
          <t>Saisissez les mouvements dans l'ordre des dates. La colonne « Stock après mouvement » additionne les lignes de haut en bas. Si vous saisissez un oubli plus tard, triez la feuille par date (Données &gt; Trier) en incluant toutes les colonnes.</t>
        </is>
      </c>
    </row>
    <row r="21" ht="34" customHeight="1">
      <c r="B21" s="5" t="inlineStr">
        <is>
          <t>Quantités positives</t>
        </is>
      </c>
      <c r="C21" s="6" t="inlineStr">
        <is>
          <t>Saisissez toujours une quantité positive : c'est le type (Entrée ou Sortie) qui donne le sens du mouvement.</t>
        </is>
      </c>
    </row>
    <row r="22" ht="34" customHeight="1">
      <c r="B22" s="5" t="inlineStr">
        <is>
          <t>Une référence = une ligne</t>
        </is>
      </c>
      <c r="C22" s="6" t="inlineStr">
        <is>
          <t>Ne renommez pas une référence qui a déjà des mouvements : les mouvements anciens ne la retrouveraient plus. Créez plutôt un nouvel article.</t>
        </is>
      </c>
    </row>
    <row r="23" ht="48" customHeight="1">
      <c r="B23" s="5" t="inlineStr">
        <is>
          <t>Valorisation</t>
        </is>
      </c>
      <c r="C23" s="6" t="inlineStr">
        <is>
          <t>La valeur du stock et des mouvements utilise le prix unitaire actuel de l'article (feuille « Articles »). Si votre prix d'achat change, la valeur de l'historique change aussi : notez vos anciens prix si vous en avez besoin pour la comptabilité.</t>
        </is>
      </c>
    </row>
    <row r="24" ht="34" customHeight="1">
      <c r="B24" s="5" t="inlineStr">
        <is>
          <t>Sauvegarde</t>
        </is>
      </c>
      <c r="C24" s="6" t="inlineStr">
        <is>
          <t>Enregistrez une copie datée chaque fin de mois (par exemple stock-2026-10.xlsx). Un seul utilisateur à la fois doit modifier le fichier.</t>
        </is>
      </c>
    </row>
    <row r="26">
      <c r="B26" s="3" t="inlineStr">
        <is>
          <t>Capacité et questions fréquentes</t>
        </is>
      </c>
      <c r="C26" s="4" t="n"/>
    </row>
    <row r="27" ht="34" customHeight="1">
      <c r="B27" s="5" t="inlineStr">
        <is>
          <t>Capacité</t>
        </is>
      </c>
      <c r="C27" s="6" t="inlineStr">
        <is>
          <t>1000 articles, 5000 mouvements, 500 lignes d'inventaire. La fiche article affiche les 300 derniers mouvements de la référence choisie.</t>
        </is>
      </c>
    </row>
    <row r="28" ht="48" customHeight="1">
      <c r="B28" s="5" t="inlineStr">
        <is>
          <t>Ajouter des lignes</t>
        </is>
      </c>
      <c r="C28" s="6" t="inlineStr">
        <is>
          <t>Pour dépasser 5000 mouvements, archivez l'année écoulée : enregistrez le fichier sous un nouveau nom, saisissez le stock final de chaque article comme stock initial, puis videz les mouvements (colonnes blanches uniquement).</t>
        </is>
      </c>
    </row>
    <row r="29" ht="48" customHeight="1">
      <c r="B29" s="5" t="inlineStr">
        <is>
          <t>Vider le fichier exemple</t>
        </is>
      </c>
      <c r="C29" s="6" t="inlineStr">
        <is>
          <t>Dans la version exemple, effacez les cellules blanches des feuilles « Mouvements », « Articles » et « Inventaire » (sélection puis touche Suppr). Ne supprimez pas les lignes entières : les formules grises restent prêtes.</t>
        </is>
      </c>
    </row>
    <row r="30" ht="34" customHeight="1">
      <c r="B30" s="5" t="inlineStr">
        <is>
          <t>Compatibilité</t>
        </is>
      </c>
      <c r="C30" s="6" t="inlineStr">
        <is>
          <t>Excel 2010 et versions suivantes (Windows, Mac), Excel en ligne, LibreOffice Calc et Google Sheets. Aucune macro, aucune feuille protégée.</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B1:O43"/>
  <sheetViews>
    <sheetView showGridLines="0" tabSelected="0" zoomScale="100" workbookViewId="0">
      <selection activeCell="A1" sqref="A1"/>
    </sheetView>
  </sheetViews>
  <sheetFormatPr baseColWidth="8" defaultRowHeight="15"/>
  <cols>
    <col width="2" customWidth="1" min="1" max="1"/>
    <col width="14" customWidth="1" min="2" max="2"/>
    <col width="14" customWidth="1" min="3" max="3"/>
    <col width="2" customWidth="1" min="4" max="4"/>
    <col width="14" customWidth="1" min="5" max="5"/>
    <col width="14" customWidth="1" min="6" max="6"/>
    <col width="2" customWidth="1" min="7" max="7"/>
    <col width="14" customWidth="1" min="8" max="8"/>
    <col width="14" customWidth="1" min="9" max="9"/>
    <col width="2" customWidth="1" min="10" max="10"/>
    <col width="14" customWidth="1" min="11" max="11"/>
    <col width="14" customWidth="1" min="12" max="12"/>
    <col width="2" customWidth="1" min="13" max="13"/>
    <col width="14" customWidth="1" min="14" max="14"/>
    <col width="14" customWidth="1" min="15" max="15"/>
  </cols>
  <sheetData>
    <row r="1" ht="30" customHeight="1">
      <c r="B1" s="1" t="str">
        <f>"Tableau de bord du stock"&amp;IF(p_company&lt;&gt;""," : "&amp;p_company,"")</f>
        <v>Tableau de bord du stock : Atelier Exemple</v>
      </c>
    </row>
    <row r="2">
      <c r="B2" s="2" t="inlineStr">
        <is>
          <t>Tout se met à jour depuis les feuilles « Articles » et « Mouvements ».</t>
        </is>
      </c>
      <c r="N2" s="9" t="inlineStr">
        <is>
          <t>Situation au</t>
        </is>
      </c>
      <c r="O2" s="10">
        <f>TODAY()</f>
        <v>46331.0</v>
      </c>
    </row>
    <row r="4">
      <c r="B4" s="11" t="inlineStr">
        <is>
          <t>ARTICLES SUIVIS</t>
        </is>
      </c>
      <c r="C4" s="12" t="n"/>
      <c r="E4" s="11" t="str">
        <f>"VALEUR DU STOCK ("&amp;p_currency&amp;")"</f>
        <v>VALEUR DU STOCK (EUR)</v>
      </c>
      <c r="F4" s="12" t="n"/>
      <c r="H4" s="11" t="inlineStr">
        <is>
          <t>À COMMANDER</t>
        </is>
      </c>
      <c r="I4" s="12" t="n"/>
      <c r="K4" s="11" t="inlineStr">
        <is>
          <t>EN RUPTURE</t>
        </is>
      </c>
      <c r="L4" s="12" t="n"/>
      <c r="N4" s="11" t="inlineStr">
        <is>
          <t>LIGNES À VÉRIFIER</t>
        </is>
      </c>
      <c r="O4" s="12" t="n"/>
    </row>
    <row r="5" ht="30" customHeight="1">
      <c r="B5" s="13">
        <f>COUNTIF(art_ref,"?*")</f>
        <v>16.0</v>
      </c>
      <c r="C5" s="14" t="n"/>
      <c r="E5" s="15">
        <f>SUM(art_value)</f>
        <v>4622.1</v>
      </c>
      <c r="F5" s="14" t="n"/>
      <c r="H5" s="16">
        <f>COUNTIF(art_status,"À commander")</f>
        <v>2.0</v>
      </c>
      <c r="I5" s="14" t="n"/>
      <c r="K5" s="17">
        <f>COUNTIF(art_status,"Rupture")</f>
        <v>1.0</v>
      </c>
      <c r="L5" s="14" t="n"/>
      <c r="N5" s="17">
        <f>COUNTIF(mv_check,"?*")-COUNTIF(mv_check,"OK")</f>
        <v>0.0</v>
      </c>
      <c r="O5" s="14" t="n"/>
    </row>
    <row r="7">
      <c r="B7" s="18" t="str">
        <f>IF(N5&gt;0,"Des lignes de « Mouvements » sont signalées dans la colonne Contrôle : filtrez-la pour les corriger.","Tous les mouvements saisis sont valides.")</f>
        <v>Tous les mouvements saisis sont valides.</v>
      </c>
    </row>
    <row r="9">
      <c r="B9" s="19" t="inlineStr">
        <is>
          <t>Entrées et sorties par mois</t>
        </is>
      </c>
      <c r="H9" s="20" t="inlineStr">
        <is>
          <t>Année :</t>
        </is>
      </c>
      <c r="I9" s="21" t="n">
        <v>2026</v>
      </c>
    </row>
    <row r="10">
      <c r="B10" s="22" t="inlineStr">
        <is>
          <t>Mois</t>
        </is>
      </c>
      <c r="C10" s="22" t="str">
        <f>"Entrées ("&amp;p_currency&amp;")"</f>
        <v>Entrées (EUR)</v>
      </c>
      <c r="D10" s="23" t="n"/>
      <c r="E10" s="22" t="str">
        <f>"Sorties ("&amp;p_currency&amp;")"</f>
        <v>Sorties (EUR)</v>
      </c>
      <c r="F10" s="22" t="inlineStr">
        <is>
          <t>Mouvements</t>
        </is>
      </c>
    </row>
    <row r="11">
      <c r="B11" s="24" t="inlineStr">
        <is>
          <t>Janvier</t>
        </is>
      </c>
      <c r="C11" s="25">
        <f>SUMIFS(mv_value,mv_type,"Entrée",mv_date,"&gt;="&amp;DATE($I$9,1,1),mv_date,"&lt;"&amp;DATE($I$9,2,1))</f>
        <v>0.0</v>
      </c>
      <c r="D11" s="26" t="n"/>
      <c r="E11" s="25">
        <f>SUMIFS(mv_value,mv_type,"Sortie",mv_date,"&gt;="&amp;DATE($I$9,1,1),mv_date,"&lt;"&amp;DATE($I$9,2,1))</f>
        <v>1912.14</v>
      </c>
      <c r="F11" s="26">
        <f>COUNTIFS(mv_date,"&gt;="&amp;DATE($I$9,1,1),mv_date,"&lt;"&amp;DATE($I$9,2,1),mv_ref,"?*")</f>
        <v>32.0</v>
      </c>
    </row>
    <row r="12">
      <c r="B12" s="24" t="inlineStr">
        <is>
          <t>Février</t>
        </is>
      </c>
      <c r="C12" s="25">
        <f>SUMIFS(mv_value,mv_type,"Entrée",mv_date,"&gt;="&amp;DATE($I$9,2,1),mv_date,"&lt;"&amp;DATE($I$9,3,1))</f>
        <v>3296.1</v>
      </c>
      <c r="D12" s="26" t="n"/>
      <c r="E12" s="25">
        <f>SUMIFS(mv_value,mv_type,"Sortie",mv_date,"&gt;="&amp;DATE($I$9,2,1),mv_date,"&lt;"&amp;DATE($I$9,3,1))</f>
        <v>1754.13</v>
      </c>
      <c r="F12" s="26">
        <f>COUNTIFS(mv_date,"&gt;="&amp;DATE($I$9,2,1),mv_date,"&lt;"&amp;DATE($I$9,3,1),mv_ref,"?*")</f>
        <v>36.0</v>
      </c>
    </row>
    <row r="13">
      <c r="B13" s="24" t="inlineStr">
        <is>
          <t>Mars</t>
        </is>
      </c>
      <c r="C13" s="25">
        <f>SUMIFS(mv_value,mv_type,"Entrée",mv_date,"&gt;="&amp;DATE($I$9,3,1),mv_date,"&lt;"&amp;DATE($I$9,4,1))</f>
        <v>3097.45</v>
      </c>
      <c r="D13" s="26" t="n"/>
      <c r="E13" s="25">
        <f>SUMIFS(mv_value,mv_type,"Sortie",mv_date,"&gt;="&amp;DATE($I$9,3,1),mv_date,"&lt;"&amp;DATE($I$9,4,1))</f>
        <v>2023.04</v>
      </c>
      <c r="F13" s="26">
        <f>COUNTIFS(mv_date,"&gt;="&amp;DATE($I$9,3,1),mv_date,"&lt;"&amp;DATE($I$9,4,1),mv_ref,"?*")</f>
        <v>42.0</v>
      </c>
    </row>
    <row r="14">
      <c r="B14" s="24" t="inlineStr">
        <is>
          <t>Avril</t>
        </is>
      </c>
      <c r="C14" s="25">
        <f>SUMIFS(mv_value,mv_type,"Entrée",mv_date,"&gt;="&amp;DATE($I$9,4,1),mv_date,"&lt;"&amp;DATE($I$9,5,1))</f>
        <v>475.8</v>
      </c>
      <c r="D14" s="26" t="n"/>
      <c r="E14" s="25">
        <f>SUMIFS(mv_value,mv_type,"Sortie",mv_date,"&gt;="&amp;DATE($I$9,4,1),mv_date,"&lt;"&amp;DATE($I$9,5,1))</f>
        <v>2040.25</v>
      </c>
      <c r="F14" s="26">
        <f>COUNTIFS(mv_date,"&gt;="&amp;DATE($I$9,4,1),mv_date,"&lt;"&amp;DATE($I$9,5,1),mv_ref,"?*")</f>
        <v>34.0</v>
      </c>
    </row>
    <row r="15">
      <c r="B15" s="24" t="inlineStr">
        <is>
          <t>Mai</t>
        </is>
      </c>
      <c r="C15" s="25">
        <f>SUMIFS(mv_value,mv_type,"Entrée",mv_date,"&gt;="&amp;DATE($I$9,5,1),mv_date,"&lt;"&amp;DATE($I$9,6,1))</f>
        <v>2279.5</v>
      </c>
      <c r="D15" s="26" t="n"/>
      <c r="E15" s="25">
        <f>SUMIFS(mv_value,mv_type,"Sortie",mv_date,"&gt;="&amp;DATE($I$9,5,1),mv_date,"&lt;"&amp;DATE($I$9,6,1))</f>
        <v>2010.18</v>
      </c>
      <c r="F15" s="26">
        <f>COUNTIFS(mv_date,"&gt;="&amp;DATE($I$9,5,1),mv_date,"&lt;"&amp;DATE($I$9,6,1),mv_ref,"?*")</f>
        <v>33.0</v>
      </c>
    </row>
    <row r="16">
      <c r="B16" s="24" t="inlineStr">
        <is>
          <t>Juin</t>
        </is>
      </c>
      <c r="C16" s="25">
        <f>SUMIFS(mv_value,mv_type,"Entrée",mv_date,"&gt;="&amp;DATE($I$9,6,1),mv_date,"&lt;"&amp;DATE($I$9,7,1))</f>
        <v>3428.62</v>
      </c>
      <c r="D16" s="26" t="n"/>
      <c r="E16" s="25">
        <f>SUMIFS(mv_value,mv_type,"Sortie",mv_date,"&gt;="&amp;DATE($I$9,6,1),mv_date,"&lt;"&amp;DATE($I$9,7,1))</f>
        <v>2167.57</v>
      </c>
      <c r="F16" s="26">
        <f>COUNTIFS(mv_date,"&gt;="&amp;DATE($I$9,6,1),mv_date,"&lt;"&amp;DATE($I$9,7,1),mv_ref,"?*")</f>
        <v>41.0</v>
      </c>
    </row>
    <row r="17">
      <c r="B17" s="24" t="inlineStr">
        <is>
          <t>Juillet</t>
        </is>
      </c>
      <c r="C17" s="25">
        <f>SUMIFS(mv_value,mv_type,"Entrée",mv_date,"&gt;="&amp;DATE($I$9,7,1),mv_date,"&lt;"&amp;DATE($I$9,8,1))</f>
        <v>438.25</v>
      </c>
      <c r="D17" s="26" t="n"/>
      <c r="E17" s="25">
        <f>SUMIFS(mv_value,mv_type,"Sortie",mv_date,"&gt;="&amp;DATE($I$9,7,1),mv_date,"&lt;"&amp;DATE($I$9,8,1))</f>
        <v>1928.0</v>
      </c>
      <c r="F17" s="26">
        <f>COUNTIFS(mv_date,"&gt;="&amp;DATE($I$9,7,1),mv_date,"&lt;"&amp;DATE($I$9,8,1),mv_ref,"?*")</f>
        <v>35.0</v>
      </c>
    </row>
    <row r="18">
      <c r="B18" s="24" t="inlineStr">
        <is>
          <t>Août</t>
        </is>
      </c>
      <c r="C18" s="25">
        <f>SUMIFS(mv_value,mv_type,"Entrée",mv_date,"&gt;="&amp;DATE($I$9,8,1),mv_date,"&lt;"&amp;DATE($I$9,9,1))</f>
        <v>2902.02</v>
      </c>
      <c r="D18" s="26" t="n"/>
      <c r="E18" s="25">
        <f>SUMIFS(mv_value,mv_type,"Sortie",mv_date,"&gt;="&amp;DATE($I$9,8,1),mv_date,"&lt;"&amp;DATE($I$9,9,1))</f>
        <v>2116.84</v>
      </c>
      <c r="F18" s="26">
        <f>COUNTIFS(mv_date,"&gt;="&amp;DATE($I$9,8,1),mv_date,"&lt;"&amp;DATE($I$9,9,1),mv_ref,"?*")</f>
        <v>35.0</v>
      </c>
    </row>
    <row r="19">
      <c r="B19" s="24" t="inlineStr">
        <is>
          <t>Septembre</t>
        </is>
      </c>
      <c r="C19" s="25">
        <f>SUMIFS(mv_value,mv_type,"Entrée",mv_date,"&gt;="&amp;DATE($I$9,9,1),mv_date,"&lt;"&amp;DATE($I$9,10,1))</f>
        <v>1775.31</v>
      </c>
      <c r="D19" s="26" t="n"/>
      <c r="E19" s="25">
        <f>SUMIFS(mv_value,mv_type,"Sortie",mv_date,"&gt;="&amp;DATE($I$9,9,1),mv_date,"&lt;"&amp;DATE($I$9,10,1))</f>
        <v>1930.32</v>
      </c>
      <c r="F19" s="26">
        <f>COUNTIFS(mv_date,"&gt;="&amp;DATE($I$9,9,1),mv_date,"&lt;"&amp;DATE($I$9,10,1),mv_ref,"?*")</f>
        <v>38.0</v>
      </c>
    </row>
    <row r="20">
      <c r="B20" s="24" t="inlineStr">
        <is>
          <t>Octobre</t>
        </is>
      </c>
      <c r="C20" s="25">
        <f>SUMIFS(mv_value,mv_type,"Entrée",mv_date,"&gt;="&amp;DATE($I$9,10,1),mv_date,"&lt;"&amp;DATE($I$9,11,1))</f>
        <v>813.14</v>
      </c>
      <c r="D20" s="26" t="n"/>
      <c r="E20" s="25">
        <f>SUMIFS(mv_value,mv_type,"Sortie",mv_date,"&gt;="&amp;DATE($I$9,10,1),mv_date,"&lt;"&amp;DATE($I$9,11,1))</f>
        <v>2153.12</v>
      </c>
      <c r="F20" s="26">
        <f>COUNTIFS(mv_date,"&gt;="&amp;DATE($I$9,10,1),mv_date,"&lt;"&amp;DATE($I$9,11,1),mv_ref,"?*")</f>
        <v>36.0</v>
      </c>
    </row>
    <row r="21">
      <c r="B21" s="24" t="inlineStr">
        <is>
          <t>Novembre</t>
        </is>
      </c>
      <c r="C21" s="25">
        <f>SUMIFS(mv_value,mv_type,"Entrée",mv_date,"&gt;="&amp;DATE($I$9,11,1),mv_date,"&lt;"&amp;DATE($I$9,12,1))</f>
        <v>0.0</v>
      </c>
      <c r="D21" s="26" t="n"/>
      <c r="E21" s="25">
        <f>SUMIFS(mv_value,mv_type,"Sortie",mv_date,"&gt;="&amp;DATE($I$9,11,1),mv_date,"&lt;"&amp;DATE($I$9,12,1))</f>
        <v>0.0</v>
      </c>
      <c r="F21" s="26">
        <f>COUNTIFS(mv_date,"&gt;="&amp;DATE($I$9,11,1),mv_date,"&lt;"&amp;DATE($I$9,12,1),mv_ref,"?*")</f>
        <v>0.0</v>
      </c>
    </row>
    <row r="22">
      <c r="B22" s="24" t="inlineStr">
        <is>
          <t>Décembre</t>
        </is>
      </c>
      <c r="C22" s="25">
        <f>SUMIFS(mv_value,mv_type,"Entrée",mv_date,"&gt;="&amp;DATE($I$9,12,1),mv_date,"&lt;"&amp;DATE($I$9,13,1))</f>
        <v>0.0</v>
      </c>
      <c r="D22" s="26" t="n"/>
      <c r="E22" s="25">
        <f>SUMIFS(mv_value,mv_type,"Sortie",mv_date,"&gt;="&amp;DATE($I$9,12,1),mv_date,"&lt;"&amp;DATE($I$9,13,1))</f>
        <v>0.0</v>
      </c>
      <c r="F22" s="26">
        <f>COUNTIFS(mv_date,"&gt;="&amp;DATE($I$9,12,1),mv_date,"&lt;"&amp;DATE($I$9,13,1),mv_ref,"?*")</f>
        <v>0.0</v>
      </c>
    </row>
    <row r="23">
      <c r="B23" s="27" t="inlineStr">
        <is>
          <t>Total</t>
        </is>
      </c>
      <c r="C23" s="28">
        <f>SUM(C11:C22)</f>
        <v>18506.19</v>
      </c>
      <c r="D23" s="27" t="n"/>
      <c r="E23" s="28">
        <f>SUM(E11:E22)</f>
        <v>20035.59</v>
      </c>
      <c r="F23" s="27">
        <f>SUM(F11:F22)</f>
        <v>362.0</v>
      </c>
    </row>
    <row r="26">
      <c r="B26" s="19" t="inlineStr">
        <is>
          <t>Articles à réapprovisionner (les 15 premiers)</t>
        </is>
      </c>
    </row>
    <row r="27">
      <c r="B27" s="29" t="inlineStr">
        <is>
          <t>Référence</t>
        </is>
      </c>
      <c r="C27" s="29" t="inlineStr">
        <is>
          <t>Désignation</t>
        </is>
      </c>
      <c r="D27" s="29" t="n"/>
      <c r="E27" s="29" t="n"/>
      <c r="F27" s="29" t="inlineStr">
        <is>
          <t>Stock actuel</t>
        </is>
      </c>
      <c r="G27" s="29" t="n"/>
      <c r="H27" s="29" t="inlineStr">
        <is>
          <t>Seuil d'alerte</t>
        </is>
      </c>
      <c r="I27" s="29" t="inlineStr">
        <is>
          <t>Statut</t>
        </is>
      </c>
      <c r="J27" s="29" t="n"/>
      <c r="K27" s="29" t="inlineStr">
        <is>
          <t>Qté à commander</t>
        </is>
      </c>
      <c r="L27" s="29" t="inlineStr">
        <is>
          <t>Unité</t>
        </is>
      </c>
    </row>
    <row r="28">
      <c r="B28" s="30" t="str">
        <f>IFERROR(INDEX(art_ref,MATCH(1,art_rank,0)),"")</f>
        <v>ECR-M6</v>
      </c>
      <c r="C28" s="30" t="str">
        <f>IFERROR(INDEX(art_des,MATCH(1,art_rank,0))&amp;"","")</f>
        <v>Écrou inox M6</v>
      </c>
      <c r="D28" s="31" t="n"/>
      <c r="E28" s="31" t="n"/>
      <c r="F28" s="31">
        <f>IFERROR(INDEX(art_stock,MATCH(1,art_rank,0)),"")</f>
        <v>896.0</v>
      </c>
      <c r="G28" s="31" t="n"/>
      <c r="H28" s="31" t="str">
        <f>IFERROR(INDEX(art_min,MATCH(1,art_rank,0))&amp;"","")</f>
        <v>1000</v>
      </c>
      <c r="I28" s="31" t="str">
        <f>IFERROR(INDEX(art_status,MATCH(1,art_rank,0)),"")</f>
        <v>À commander</v>
      </c>
      <c r="J28" s="31" t="n"/>
      <c r="K28" s="31" t="str">
        <f>IFERROR(INDEX(art_order,MATCH(1,art_rank,0))&amp;"","")</f>
        <v>3104</v>
      </c>
      <c r="L28" s="31" t="str">
        <f>IFERROR(INDEX(art_unit,MATCH(1,art_rank,0))&amp;"","")</f>
        <v>pièce</v>
      </c>
    </row>
    <row r="29">
      <c r="B29" s="30" t="str">
        <f>IFERROR(INDEX(art_ref,MATCH(2,art_rank,0)),"")</f>
        <v>TUB-ACI-40</v>
      </c>
      <c r="C29" s="30" t="str">
        <f>IFERROR(INDEX(art_des,MATCH(2,art_rank,0))&amp;"","")</f>
        <v>Tube acier carré 40 x 40, 6 m</v>
      </c>
      <c r="D29" s="31" t="n"/>
      <c r="E29" s="31" t="n"/>
      <c r="F29" s="31">
        <f>IFERROR(INDEX(art_stock,MATCH(2,art_rank,0)),"")</f>
        <v>8.0</v>
      </c>
      <c r="G29" s="31" t="n"/>
      <c r="H29" s="31" t="str">
        <f>IFERROR(INDEX(art_min,MATCH(2,art_rank,0))&amp;"","")</f>
        <v>10</v>
      </c>
      <c r="I29" s="31" t="str">
        <f>IFERROR(INDEX(art_status,MATCH(2,art_rank,0)),"")</f>
        <v>À commander</v>
      </c>
      <c r="J29" s="31" t="n"/>
      <c r="K29" s="31" t="str">
        <f>IFERROR(INDEX(art_order,MATCH(2,art_rank,0))&amp;"","")</f>
        <v>32</v>
      </c>
      <c r="L29" s="31" t="str">
        <f>IFERROR(INDEX(art_unit,MATCH(2,art_rank,0))&amp;"","")</f>
        <v>barre</v>
      </c>
    </row>
    <row r="30">
      <c r="B30" s="30" t="str">
        <f>IFERROR(INDEX(art_ref,MATCH(3,art_rank,0)),"")</f>
        <v>FOR-HSS-8</v>
      </c>
      <c r="C30" s="30" t="str">
        <f>IFERROR(INDEX(art_des,MATCH(3,art_rank,0))&amp;"","")</f>
        <v>Foret HSS 8 mm</v>
      </c>
      <c r="D30" s="31" t="n"/>
      <c r="E30" s="31" t="n"/>
      <c r="F30" s="31">
        <f>IFERROR(INDEX(art_stock,MATCH(3,art_rank,0)),"")</f>
        <v>0.0</v>
      </c>
      <c r="G30" s="31" t="n"/>
      <c r="H30" s="31" t="str">
        <f>IFERROR(INDEX(art_min,MATCH(3,art_rank,0))&amp;"","")</f>
        <v>10</v>
      </c>
      <c r="I30" s="31" t="str">
        <f>IFERROR(INDEX(art_status,MATCH(3,art_rank,0)),"")</f>
        <v>Rupture</v>
      </c>
      <c r="J30" s="31" t="n"/>
      <c r="K30" s="31" t="str">
        <f>IFERROR(INDEX(art_order,MATCH(3,art_rank,0))&amp;"","")</f>
        <v>40</v>
      </c>
      <c r="L30" s="31" t="str">
        <f>IFERROR(INDEX(art_unit,MATCH(3,art_rank,0))&amp;"","")</f>
        <v>pièce</v>
      </c>
    </row>
    <row r="31">
      <c r="B31" s="30" t="str">
        <f>IFERROR(INDEX(art_ref,MATCH(4,art_rank,0)),"")</f>
        <v/>
      </c>
      <c r="C31" s="30" t="str">
        <f>IFERROR(INDEX(art_des,MATCH(4,art_rank,0))&amp;"","")</f>
        <v/>
      </c>
      <c r="D31" s="31" t="n"/>
      <c r="E31" s="31" t="n"/>
      <c r="F31" s="31" t="str">
        <f>IFERROR(INDEX(art_stock,MATCH(4,art_rank,0)),"")</f>
        <v/>
      </c>
      <c r="G31" s="31" t="n"/>
      <c r="H31" s="31" t="str">
        <f>IFERROR(INDEX(art_min,MATCH(4,art_rank,0))&amp;"","")</f>
        <v/>
      </c>
      <c r="I31" s="31" t="str">
        <f>IFERROR(INDEX(art_status,MATCH(4,art_rank,0)),"")</f>
        <v/>
      </c>
      <c r="J31" s="31" t="n"/>
      <c r="K31" s="31" t="str">
        <f>IFERROR(INDEX(art_order,MATCH(4,art_rank,0))&amp;"","")</f>
        <v/>
      </c>
      <c r="L31" s="31" t="str">
        <f>IFERROR(INDEX(art_unit,MATCH(4,art_rank,0))&amp;"","")</f>
        <v/>
      </c>
    </row>
    <row r="32">
      <c r="B32" s="30" t="str">
        <f>IFERROR(INDEX(art_ref,MATCH(5,art_rank,0)),"")</f>
        <v/>
      </c>
      <c r="C32" s="30" t="str">
        <f>IFERROR(INDEX(art_des,MATCH(5,art_rank,0))&amp;"","")</f>
        <v/>
      </c>
      <c r="D32" s="31" t="n"/>
      <c r="E32" s="31" t="n"/>
      <c r="F32" s="31" t="str">
        <f>IFERROR(INDEX(art_stock,MATCH(5,art_rank,0)),"")</f>
        <v/>
      </c>
      <c r="G32" s="31" t="n"/>
      <c r="H32" s="31" t="str">
        <f>IFERROR(INDEX(art_min,MATCH(5,art_rank,0))&amp;"","")</f>
        <v/>
      </c>
      <c r="I32" s="31" t="str">
        <f>IFERROR(INDEX(art_status,MATCH(5,art_rank,0)),"")</f>
        <v/>
      </c>
      <c r="J32" s="31" t="n"/>
      <c r="K32" s="31" t="str">
        <f>IFERROR(INDEX(art_order,MATCH(5,art_rank,0))&amp;"","")</f>
        <v/>
      </c>
      <c r="L32" s="31" t="str">
        <f>IFERROR(INDEX(art_unit,MATCH(5,art_rank,0))&amp;"","")</f>
        <v/>
      </c>
    </row>
    <row r="33">
      <c r="B33" s="30" t="str">
        <f>IFERROR(INDEX(art_ref,MATCH(6,art_rank,0)),"")</f>
        <v/>
      </c>
      <c r="C33" s="30" t="str">
        <f>IFERROR(INDEX(art_des,MATCH(6,art_rank,0))&amp;"","")</f>
        <v/>
      </c>
      <c r="D33" s="31" t="n"/>
      <c r="E33" s="31" t="n"/>
      <c r="F33" s="31" t="str">
        <f>IFERROR(INDEX(art_stock,MATCH(6,art_rank,0)),"")</f>
        <v/>
      </c>
      <c r="G33" s="31" t="n"/>
      <c r="H33" s="31" t="str">
        <f>IFERROR(INDEX(art_min,MATCH(6,art_rank,0))&amp;"","")</f>
        <v/>
      </c>
      <c r="I33" s="31" t="str">
        <f>IFERROR(INDEX(art_status,MATCH(6,art_rank,0)),"")</f>
        <v/>
      </c>
      <c r="J33" s="31" t="n"/>
      <c r="K33" s="31" t="str">
        <f>IFERROR(INDEX(art_order,MATCH(6,art_rank,0))&amp;"","")</f>
        <v/>
      </c>
      <c r="L33" s="31" t="str">
        <f>IFERROR(INDEX(art_unit,MATCH(6,art_rank,0))&amp;"","")</f>
        <v/>
      </c>
    </row>
    <row r="34">
      <c r="B34" s="30" t="str">
        <f>IFERROR(INDEX(art_ref,MATCH(7,art_rank,0)),"")</f>
        <v/>
      </c>
      <c r="C34" s="30" t="str">
        <f>IFERROR(INDEX(art_des,MATCH(7,art_rank,0))&amp;"","")</f>
        <v/>
      </c>
      <c r="D34" s="31" t="n"/>
      <c r="E34" s="31" t="n"/>
      <c r="F34" s="31" t="str">
        <f>IFERROR(INDEX(art_stock,MATCH(7,art_rank,0)),"")</f>
        <v/>
      </c>
      <c r="G34" s="31" t="n"/>
      <c r="H34" s="31" t="str">
        <f>IFERROR(INDEX(art_min,MATCH(7,art_rank,0))&amp;"","")</f>
        <v/>
      </c>
      <c r="I34" s="31" t="str">
        <f>IFERROR(INDEX(art_status,MATCH(7,art_rank,0)),"")</f>
        <v/>
      </c>
      <c r="J34" s="31" t="n"/>
      <c r="K34" s="31" t="str">
        <f>IFERROR(INDEX(art_order,MATCH(7,art_rank,0))&amp;"","")</f>
        <v/>
      </c>
      <c r="L34" s="31" t="str">
        <f>IFERROR(INDEX(art_unit,MATCH(7,art_rank,0))&amp;"","")</f>
        <v/>
      </c>
    </row>
    <row r="35">
      <c r="B35" s="30" t="str">
        <f>IFERROR(INDEX(art_ref,MATCH(8,art_rank,0)),"")</f>
        <v/>
      </c>
      <c r="C35" s="30" t="str">
        <f>IFERROR(INDEX(art_des,MATCH(8,art_rank,0))&amp;"","")</f>
        <v/>
      </c>
      <c r="D35" s="31" t="n"/>
      <c r="E35" s="31" t="n"/>
      <c r="F35" s="31" t="str">
        <f>IFERROR(INDEX(art_stock,MATCH(8,art_rank,0)),"")</f>
        <v/>
      </c>
      <c r="G35" s="31" t="n"/>
      <c r="H35" s="31" t="str">
        <f>IFERROR(INDEX(art_min,MATCH(8,art_rank,0))&amp;"","")</f>
        <v/>
      </c>
      <c r="I35" s="31" t="str">
        <f>IFERROR(INDEX(art_status,MATCH(8,art_rank,0)),"")</f>
        <v/>
      </c>
      <c r="J35" s="31" t="n"/>
      <c r="K35" s="31" t="str">
        <f>IFERROR(INDEX(art_order,MATCH(8,art_rank,0))&amp;"","")</f>
        <v/>
      </c>
      <c r="L35" s="31" t="str">
        <f>IFERROR(INDEX(art_unit,MATCH(8,art_rank,0))&amp;"","")</f>
        <v/>
      </c>
    </row>
    <row r="36">
      <c r="B36" s="30" t="str">
        <f>IFERROR(INDEX(art_ref,MATCH(9,art_rank,0)),"")</f>
        <v/>
      </c>
      <c r="C36" s="30" t="str">
        <f>IFERROR(INDEX(art_des,MATCH(9,art_rank,0))&amp;"","")</f>
        <v/>
      </c>
      <c r="D36" s="31" t="n"/>
      <c r="E36" s="31" t="n"/>
      <c r="F36" s="31" t="str">
        <f>IFERROR(INDEX(art_stock,MATCH(9,art_rank,0)),"")</f>
        <v/>
      </c>
      <c r="G36" s="31" t="n"/>
      <c r="H36" s="31" t="str">
        <f>IFERROR(INDEX(art_min,MATCH(9,art_rank,0))&amp;"","")</f>
        <v/>
      </c>
      <c r="I36" s="31" t="str">
        <f>IFERROR(INDEX(art_status,MATCH(9,art_rank,0)),"")</f>
        <v/>
      </c>
      <c r="J36" s="31" t="n"/>
      <c r="K36" s="31" t="str">
        <f>IFERROR(INDEX(art_order,MATCH(9,art_rank,0))&amp;"","")</f>
        <v/>
      </c>
      <c r="L36" s="31" t="str">
        <f>IFERROR(INDEX(art_unit,MATCH(9,art_rank,0))&amp;"","")</f>
        <v/>
      </c>
    </row>
    <row r="37">
      <c r="B37" s="30" t="str">
        <f>IFERROR(INDEX(art_ref,MATCH(10,art_rank,0)),"")</f>
        <v/>
      </c>
      <c r="C37" s="30" t="str">
        <f>IFERROR(INDEX(art_des,MATCH(10,art_rank,0))&amp;"","")</f>
        <v/>
      </c>
      <c r="D37" s="31" t="n"/>
      <c r="E37" s="31" t="n"/>
      <c r="F37" s="31" t="str">
        <f>IFERROR(INDEX(art_stock,MATCH(10,art_rank,0)),"")</f>
        <v/>
      </c>
      <c r="G37" s="31" t="n"/>
      <c r="H37" s="31" t="str">
        <f>IFERROR(INDEX(art_min,MATCH(10,art_rank,0))&amp;"","")</f>
        <v/>
      </c>
      <c r="I37" s="31" t="str">
        <f>IFERROR(INDEX(art_status,MATCH(10,art_rank,0)),"")</f>
        <v/>
      </c>
      <c r="J37" s="31" t="n"/>
      <c r="K37" s="31" t="str">
        <f>IFERROR(INDEX(art_order,MATCH(10,art_rank,0))&amp;"","")</f>
        <v/>
      </c>
      <c r="L37" s="31" t="str">
        <f>IFERROR(INDEX(art_unit,MATCH(10,art_rank,0))&amp;"","")</f>
        <v/>
      </c>
    </row>
    <row r="38">
      <c r="B38" s="30" t="str">
        <f>IFERROR(INDEX(art_ref,MATCH(11,art_rank,0)),"")</f>
        <v/>
      </c>
      <c r="C38" s="30" t="str">
        <f>IFERROR(INDEX(art_des,MATCH(11,art_rank,0))&amp;"","")</f>
        <v/>
      </c>
      <c r="D38" s="31" t="n"/>
      <c r="E38" s="31" t="n"/>
      <c r="F38" s="31" t="str">
        <f>IFERROR(INDEX(art_stock,MATCH(11,art_rank,0)),"")</f>
        <v/>
      </c>
      <c r="G38" s="31" t="n"/>
      <c r="H38" s="31" t="str">
        <f>IFERROR(INDEX(art_min,MATCH(11,art_rank,0))&amp;"","")</f>
        <v/>
      </c>
      <c r="I38" s="31" t="str">
        <f>IFERROR(INDEX(art_status,MATCH(11,art_rank,0)),"")</f>
        <v/>
      </c>
      <c r="J38" s="31" t="n"/>
      <c r="K38" s="31" t="str">
        <f>IFERROR(INDEX(art_order,MATCH(11,art_rank,0))&amp;"","")</f>
        <v/>
      </c>
      <c r="L38" s="31" t="str">
        <f>IFERROR(INDEX(art_unit,MATCH(11,art_rank,0))&amp;"","")</f>
        <v/>
      </c>
    </row>
    <row r="39">
      <c r="B39" s="30" t="str">
        <f>IFERROR(INDEX(art_ref,MATCH(12,art_rank,0)),"")</f>
        <v/>
      </c>
      <c r="C39" s="30" t="str">
        <f>IFERROR(INDEX(art_des,MATCH(12,art_rank,0))&amp;"","")</f>
        <v/>
      </c>
      <c r="D39" s="31" t="n"/>
      <c r="E39" s="31" t="n"/>
      <c r="F39" s="31" t="str">
        <f>IFERROR(INDEX(art_stock,MATCH(12,art_rank,0)),"")</f>
        <v/>
      </c>
      <c r="G39" s="31" t="n"/>
      <c r="H39" s="31" t="str">
        <f>IFERROR(INDEX(art_min,MATCH(12,art_rank,0))&amp;"","")</f>
        <v/>
      </c>
      <c r="I39" s="31" t="str">
        <f>IFERROR(INDEX(art_status,MATCH(12,art_rank,0)),"")</f>
        <v/>
      </c>
      <c r="J39" s="31" t="n"/>
      <c r="K39" s="31" t="str">
        <f>IFERROR(INDEX(art_order,MATCH(12,art_rank,0))&amp;"","")</f>
        <v/>
      </c>
      <c r="L39" s="31" t="str">
        <f>IFERROR(INDEX(art_unit,MATCH(12,art_rank,0))&amp;"","")</f>
        <v/>
      </c>
    </row>
    <row r="40">
      <c r="B40" s="30" t="str">
        <f>IFERROR(INDEX(art_ref,MATCH(13,art_rank,0)),"")</f>
        <v/>
      </c>
      <c r="C40" s="30" t="str">
        <f>IFERROR(INDEX(art_des,MATCH(13,art_rank,0))&amp;"","")</f>
        <v/>
      </c>
      <c r="D40" s="31" t="n"/>
      <c r="E40" s="31" t="n"/>
      <c r="F40" s="31" t="str">
        <f>IFERROR(INDEX(art_stock,MATCH(13,art_rank,0)),"")</f>
        <v/>
      </c>
      <c r="G40" s="31" t="n"/>
      <c r="H40" s="31" t="str">
        <f>IFERROR(INDEX(art_min,MATCH(13,art_rank,0))&amp;"","")</f>
        <v/>
      </c>
      <c r="I40" s="31" t="str">
        <f>IFERROR(INDEX(art_status,MATCH(13,art_rank,0)),"")</f>
        <v/>
      </c>
      <c r="J40" s="31" t="n"/>
      <c r="K40" s="31" t="str">
        <f>IFERROR(INDEX(art_order,MATCH(13,art_rank,0))&amp;"","")</f>
        <v/>
      </c>
      <c r="L40" s="31" t="str">
        <f>IFERROR(INDEX(art_unit,MATCH(13,art_rank,0))&amp;"","")</f>
        <v/>
      </c>
    </row>
    <row r="41">
      <c r="B41" s="30" t="str">
        <f>IFERROR(INDEX(art_ref,MATCH(14,art_rank,0)),"")</f>
        <v/>
      </c>
      <c r="C41" s="30" t="str">
        <f>IFERROR(INDEX(art_des,MATCH(14,art_rank,0))&amp;"","")</f>
        <v/>
      </c>
      <c r="D41" s="31" t="n"/>
      <c r="E41" s="31" t="n"/>
      <c r="F41" s="31" t="str">
        <f>IFERROR(INDEX(art_stock,MATCH(14,art_rank,0)),"")</f>
        <v/>
      </c>
      <c r="G41" s="31" t="n"/>
      <c r="H41" s="31" t="str">
        <f>IFERROR(INDEX(art_min,MATCH(14,art_rank,0))&amp;"","")</f>
        <v/>
      </c>
      <c r="I41" s="31" t="str">
        <f>IFERROR(INDEX(art_status,MATCH(14,art_rank,0)),"")</f>
        <v/>
      </c>
      <c r="J41" s="31" t="n"/>
      <c r="K41" s="31" t="str">
        <f>IFERROR(INDEX(art_order,MATCH(14,art_rank,0))&amp;"","")</f>
        <v/>
      </c>
      <c r="L41" s="31" t="str">
        <f>IFERROR(INDEX(art_unit,MATCH(14,art_rank,0))&amp;"","")</f>
        <v/>
      </c>
    </row>
    <row r="42">
      <c r="B42" s="30" t="str">
        <f>IFERROR(INDEX(art_ref,MATCH(15,art_rank,0)),"")</f>
        <v/>
      </c>
      <c r="C42" s="30" t="str">
        <f>IFERROR(INDEX(art_des,MATCH(15,art_rank,0))&amp;"","")</f>
        <v/>
      </c>
      <c r="D42" s="31" t="n"/>
      <c r="E42" s="31" t="n"/>
      <c r="F42" s="31" t="str">
        <f>IFERROR(INDEX(art_stock,MATCH(15,art_rank,0)),"")</f>
        <v/>
      </c>
      <c r="G42" s="31" t="n"/>
      <c r="H42" s="31" t="str">
        <f>IFERROR(INDEX(art_min,MATCH(15,art_rank,0))&amp;"","")</f>
        <v/>
      </c>
      <c r="I42" s="31" t="str">
        <f>IFERROR(INDEX(art_status,MATCH(15,art_rank,0)),"")</f>
        <v/>
      </c>
      <c r="J42" s="31" t="n"/>
      <c r="K42" s="31" t="str">
        <f>IFERROR(INDEX(art_order,MATCH(15,art_rank,0))&amp;"","")</f>
        <v/>
      </c>
      <c r="L42" s="31" t="str">
        <f>IFERROR(INDEX(art_unit,MATCH(15,art_rank,0))&amp;"","")</f>
        <v/>
      </c>
    </row>
    <row r="43">
      <c r="B43" s="18" t="str">
        <f>IF(H5+K5=0,"Aucun article sous son seuil d'alerte.",IF(H5+K5&gt;15,"Et "&amp;(H5+K5-15)&amp;" autre(s) : filtrez la colonne Statut de la feuille « Articles ».",""))</f>
        <v/>
      </c>
    </row>
  </sheetData>
  <mergeCells count="72">
    <mergeCell ref="I30:J30"/>
    <mergeCell ref="I34:J34"/>
    <mergeCell ref="C29:E29"/>
    <mergeCell ref="C41:E41"/>
    <mergeCell ref="F29:G29"/>
    <mergeCell ref="C15:D15"/>
    <mergeCell ref="C31:E31"/>
    <mergeCell ref="F34:G34"/>
    <mergeCell ref="C40:E40"/>
    <mergeCell ref="E5:F5"/>
    <mergeCell ref="K5:L5"/>
    <mergeCell ref="C14:D14"/>
    <mergeCell ref="I27:J27"/>
    <mergeCell ref="H4:I4"/>
    <mergeCell ref="I36:J36"/>
    <mergeCell ref="F40:G40"/>
    <mergeCell ref="C20:D20"/>
    <mergeCell ref="E4:F4"/>
    <mergeCell ref="C36:E36"/>
    <mergeCell ref="F30:G30"/>
    <mergeCell ref="C10:D10"/>
    <mergeCell ref="C16:D16"/>
    <mergeCell ref="C27:E27"/>
    <mergeCell ref="I32:J32"/>
    <mergeCell ref="C39:E39"/>
    <mergeCell ref="I41:J41"/>
    <mergeCell ref="F33:G33"/>
    <mergeCell ref="F36:G36"/>
    <mergeCell ref="C22:D22"/>
    <mergeCell ref="F32:G32"/>
    <mergeCell ref="I28:J28"/>
    <mergeCell ref="N5:O5"/>
    <mergeCell ref="I37:J37"/>
    <mergeCell ref="F41:G41"/>
    <mergeCell ref="F42:G42"/>
    <mergeCell ref="F35:G35"/>
    <mergeCell ref="C32:E32"/>
    <mergeCell ref="C38:E38"/>
    <mergeCell ref="C12:D12"/>
    <mergeCell ref="C28:E28"/>
    <mergeCell ref="C21:D21"/>
    <mergeCell ref="C37:E37"/>
    <mergeCell ref="F38:G38"/>
    <mergeCell ref="C11:D11"/>
    <mergeCell ref="I42:J42"/>
    <mergeCell ref="I33:J33"/>
    <mergeCell ref="F31:G31"/>
    <mergeCell ref="F28:G28"/>
    <mergeCell ref="I39:J39"/>
    <mergeCell ref="C30:E30"/>
    <mergeCell ref="C17:D17"/>
    <mergeCell ref="C23:D23"/>
    <mergeCell ref="F27:G27"/>
    <mergeCell ref="C34:E34"/>
    <mergeCell ref="C42:E42"/>
    <mergeCell ref="F37:G37"/>
    <mergeCell ref="I29:J29"/>
    <mergeCell ref="C33:E33"/>
    <mergeCell ref="I35:J35"/>
    <mergeCell ref="F39:G39"/>
    <mergeCell ref="I38:J38"/>
    <mergeCell ref="I40:J40"/>
    <mergeCell ref="B5:C5"/>
    <mergeCell ref="C19:D19"/>
    <mergeCell ref="H5:I5"/>
    <mergeCell ref="I31:J31"/>
    <mergeCell ref="C13:D13"/>
    <mergeCell ref="C18:D18"/>
    <mergeCell ref="K4:L4"/>
    <mergeCell ref="C35:E35"/>
    <mergeCell ref="B4:C4"/>
    <mergeCell ref="N4:O4"/>
  </mergeCells>
  <conditionalFormatting sqref="C11:E23 E5">
    <cfRule type="expression" priority="1" dxfId="0">
      <formula>p_currency="MAD"</formula>
    </cfRule>
    <cfRule type="expression" priority="2" dxfId="1">
      <formula>p_currency="EUR"</formula>
    </cfRule>
    <cfRule type="expression" priority="3" dxfId="2">
      <formula>p_currency="USD"</formula>
    </cfRule>
  </conditionalFormatting>
  <conditionalFormatting sqref="I28:J42">
    <cfRule type="expression" priority="4" dxfId="3">
      <formula>$I28="Rupture"</formula>
    </cfRule>
    <cfRule type="expression" priority="5" dxfId="4">
      <formula>$I28="À commander"</formula>
    </cfRule>
    <cfRule type="expression" priority="6" dxfId="5">
      <formula>$I28="OK"</formula>
    </cfRule>
  </conditionalFormatting>
  <dataValidations count="1">
    <dataValidation sqref="I9" showDropDown="0" showInputMessage="1" showErrorMessage="1" allowBlank="0" errorTitle="Année" error="Saisissez une année entre 2000 et 2100." promptTitle="Année" prompt="Saisissez l'année à afficher, par exemple 2026." type="whole" operator="between">
      <formula1>2000</formula1>
      <formula2>2100</formula2>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3.xml><?xml version="1.0" encoding="utf-8"?>
<worksheet xmlns="http://schemas.openxmlformats.org/spreadsheetml/2006/main">
  <sheetPr>
    <tabColor rgb="FF0F766E"/>
    <outlinePr summaryBelow="1" summaryRight="1"/>
    <pageSetUpPr fitToPage="1"/>
  </sheetPr>
  <dimension ref="A1:R1004"/>
  <sheetViews>
    <sheetView showGridLines="1"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6" customWidth="1" min="3" max="3"/>
    <col width="10" customWidth="1" min="4" max="4"/>
    <col width="16" customWidth="1" min="5" max="5"/>
    <col width="20" customWidth="1" min="6" max="6"/>
    <col width="12" customWidth="1" min="7" max="7"/>
    <col width="10" customWidth="1" min="8" max="8"/>
    <col width="10" customWidth="1" min="9" max="9"/>
    <col width="10" customWidth="1" min="10" max="10"/>
    <col width="10" customWidth="1" min="11" max="11"/>
    <col width="10" customWidth="1" min="12" max="12"/>
    <col width="11" customWidth="1" min="13" max="13"/>
    <col width="14" customWidth="1" min="14" max="14"/>
    <col width="13" customWidth="1" min="15" max="15"/>
    <col width="12" customWidth="1" min="16" max="16"/>
    <col width="20" customWidth="1" min="17" max="17"/>
    <col hidden="1" width="6" customWidth="1" min="18" max="18"/>
  </cols>
  <sheetData>
    <row r="1" ht="26" customHeight="1">
      <c r="A1" s="32" t="inlineStr">
        <is>
          <t>Articles</t>
        </is>
      </c>
      <c r="O1" s="33" t="inlineStr">
        <is>
          <t>Saisie</t>
        </is>
      </c>
      <c r="P1" s="34" t="inlineStr">
        <is>
          <t>Calcul auto</t>
        </is>
      </c>
    </row>
    <row r="2" ht="30" customHeight="1">
      <c r="A2" s="35" t="inlineStr">
        <is>
          <t>Une ligne par article. Les colonnes blanches sont à remplir, les grises se calculent à partir de la feuille « Mouvements ».</t>
        </is>
      </c>
    </row>
    <row r="4" ht="32" customHeight="1">
      <c r="A4" s="36" t="inlineStr">
        <is>
          <t>Référence *</t>
        </is>
      </c>
      <c r="B4" s="36" t="inlineStr">
        <is>
          <t>Désignation *</t>
        </is>
      </c>
      <c r="C4" s="36" t="inlineStr">
        <is>
          <t>Catégorie</t>
        </is>
      </c>
      <c r="D4" s="36" t="inlineStr">
        <is>
          <t>Unité</t>
        </is>
      </c>
      <c r="E4" s="36" t="inlineStr">
        <is>
          <t>Emplacement</t>
        </is>
      </c>
      <c r="F4" s="36" t="inlineStr">
        <is>
          <t>Fournisseur principal</t>
        </is>
      </c>
      <c r="G4" s="36" t="str">
        <f>"Prix unitaire ("&amp;p_currency&amp;")"</f>
        <v>Prix unitaire (EUR)</v>
      </c>
      <c r="H4" s="36" t="inlineStr">
        <is>
          <t>Stock initial</t>
        </is>
      </c>
      <c r="I4" s="36" t="inlineStr">
        <is>
          <t>Seuil d'alerte</t>
        </is>
      </c>
      <c r="J4" s="36" t="inlineStr">
        <is>
          <t>Stock cible</t>
        </is>
      </c>
      <c r="K4" s="36" t="inlineStr">
        <is>
          <t>Entrées</t>
        </is>
      </c>
      <c r="L4" s="36" t="inlineStr">
        <is>
          <t>Sorties</t>
        </is>
      </c>
      <c r="M4" s="36" t="inlineStr">
        <is>
          <t>Stock actuel</t>
        </is>
      </c>
      <c r="N4" s="36" t="str">
        <f>"Valeur du stock ("&amp;p_currency&amp;")"</f>
        <v>Valeur du stock (EUR)</v>
      </c>
      <c r="O4" s="36" t="inlineStr">
        <is>
          <t>Statut</t>
        </is>
      </c>
      <c r="P4" s="36" t="inlineStr">
        <is>
          <t>Qté à commander</t>
        </is>
      </c>
      <c r="Q4" s="36" t="inlineStr">
        <is>
          <t>Contrôle</t>
        </is>
      </c>
      <c r="R4" s="36" t="inlineStr">
        <is>
          <t>Rang</t>
        </is>
      </c>
    </row>
    <row r="5">
      <c r="A5" s="37" t="inlineStr">
        <is>
          <t>VIS-M6-20</t>
        </is>
      </c>
      <c r="B5" s="37" t="inlineStr">
        <is>
          <t>Vis inox M6 x 20</t>
        </is>
      </c>
      <c r="C5" s="37" t="inlineStr">
        <is>
          <t>Visserie</t>
        </is>
      </c>
      <c r="D5" s="37" t="inlineStr">
        <is>
          <t>pièce</t>
        </is>
      </c>
      <c r="E5" s="37" t="inlineStr">
        <is>
          <t>Rayon A1</t>
        </is>
      </c>
      <c r="F5" s="37" t="inlineStr">
        <is>
          <t>Visserie du Centre</t>
        </is>
      </c>
      <c r="G5" s="38" t="n">
        <v>0.12</v>
      </c>
      <c r="H5" s="37" t="n">
        <v>2500</v>
      </c>
      <c r="I5" s="37" t="n">
        <v>1000</v>
      </c>
      <c r="J5" s="37" t="n">
        <v>4000</v>
      </c>
      <c r="K5" s="39">
        <f>IF(A5="","",SUMIFS(mv_qty,mv_ref,A5,mv_type,"Entrée"))</f>
        <v>9625.0</v>
      </c>
      <c r="L5" s="39">
        <f>IF(A5="","",SUMIFS(mv_qty,mv_ref,A5,mv_type,"Sortie"))</f>
        <v>8514.0</v>
      </c>
      <c r="M5" s="39">
        <f>IF(A5="","",ROUND(N(H5)+K5-L5,6))</f>
        <v>3611.0</v>
      </c>
      <c r="N5" s="40">
        <f>IF(A5="","",M5*N(G5))</f>
        <v>433.32</v>
      </c>
      <c r="O5" s="39" t="str">
        <f>IF(A5="","",IF(M5&lt;=0,"Rupture",IF(AND(I5&lt;&gt;"",M5&lt;=N(I5)),"À commander","OK")))</f>
        <v>OK</v>
      </c>
      <c r="P5" s="39" t="str">
        <f>IF(OR(A5="",O5="OK",J5=""),"",MAX(N(J5)-M5,0))</f>
        <v/>
      </c>
      <c r="Q5" s="39" t="str">
        <f>IF(A5="",IF(COUNTA(B5:J5)&gt;0,"Référence manquante",""),IF(COUNTIF($A$5:$A$1004,A5)&gt;1,"Référence en double",IF(B5="","Désignation manquante","OK")))</f>
        <v>OK</v>
      </c>
      <c r="R5" s="39" t="str">
        <f>IF(OR(O5="Rupture",O5="À commander"),COUNTIF($O$5:O5,"Rupture")+COUNTIF($O$5:O5,"À commander"),"")</f>
        <v/>
      </c>
    </row>
    <row r="6">
      <c r="A6" s="37" t="inlineStr">
        <is>
          <t>ECR-M6</t>
        </is>
      </c>
      <c r="B6" s="37" t="inlineStr">
        <is>
          <t>Écrou inox M6</t>
        </is>
      </c>
      <c r="C6" s="37" t="inlineStr">
        <is>
          <t>Visserie</t>
        </is>
      </c>
      <c r="D6" s="37" t="inlineStr">
        <is>
          <t>pièce</t>
        </is>
      </c>
      <c r="E6" s="37" t="inlineStr">
        <is>
          <t>Rayon A1</t>
        </is>
      </c>
      <c r="F6" s="37" t="inlineStr">
        <is>
          <t>Visserie du Centre</t>
        </is>
      </c>
      <c r="G6" s="38" t="n">
        <v>0.05</v>
      </c>
      <c r="H6" s="37" t="n">
        <v>3000</v>
      </c>
      <c r="I6" s="37" t="n">
        <v>1000</v>
      </c>
      <c r="J6" s="37" t="n">
        <v>4000</v>
      </c>
      <c r="K6" s="39">
        <f>IF(A6="","",SUMIFS(mv_qty,mv_ref,A6,mv_type,"Entrée"))</f>
        <v>6566.0</v>
      </c>
      <c r="L6" s="39">
        <f>IF(A6="","",SUMIFS(mv_qty,mv_ref,A6,mv_type,"Sortie"))</f>
        <v>8670.0</v>
      </c>
      <c r="M6" s="39">
        <f>IF(A6="","",ROUND(N(H6)+K6-L6,6))</f>
        <v>896.0</v>
      </c>
      <c r="N6" s="40">
        <f>IF(A6="","",M6*N(G6))</f>
        <v>44.8</v>
      </c>
      <c r="O6" s="39" t="str">
        <f>IF(A6="","",IF(M6&lt;=0,"Rupture",IF(AND(I6&lt;&gt;"",M6&lt;=N(I6)),"À commander","OK")))</f>
        <v>À commander</v>
      </c>
      <c r="P6" s="39">
        <f>IF(OR(A6="",O6="OK",J6=""),"",MAX(N(J6)-M6,0))</f>
        <v>3104.0</v>
      </c>
      <c r="Q6" s="39" t="str">
        <f>IF(A6="",IF(COUNTA(B6:J6)&gt;0,"Référence manquante",""),IF(COUNTIF($A$5:$A$1004,A6)&gt;1,"Référence en double",IF(B6="","Désignation manquante","OK")))</f>
        <v>OK</v>
      </c>
      <c r="R6" s="39">
        <f>IF(OR(O6="Rupture",O6="À commander"),COUNTIF($O$5:O6,"Rupture")+COUNTIF($O$5:O6,"À commander"),"")</f>
        <v>1.0</v>
      </c>
    </row>
    <row r="7">
      <c r="A7" s="37" t="inlineStr">
        <is>
          <t>RON-M6</t>
        </is>
      </c>
      <c r="B7" s="37" t="inlineStr">
        <is>
          <t>Rondelle plate M6</t>
        </is>
      </c>
      <c r="C7" s="37" t="inlineStr">
        <is>
          <t>Visserie</t>
        </is>
      </c>
      <c r="D7" s="37" t="inlineStr">
        <is>
          <t>pièce</t>
        </is>
      </c>
      <c r="E7" s="37" t="inlineStr">
        <is>
          <t>Rayon A2</t>
        </is>
      </c>
      <c r="F7" s="37" t="inlineStr">
        <is>
          <t>Visserie du Centre</t>
        </is>
      </c>
      <c r="G7" s="38" t="n">
        <v>0.03</v>
      </c>
      <c r="H7" s="37" t="n">
        <v>2000</v>
      </c>
      <c r="I7" s="37" t="n">
        <v>800</v>
      </c>
      <c r="J7" s="37" t="n">
        <v>3000</v>
      </c>
      <c r="K7" s="39">
        <f>IF(A7="","",SUMIFS(mv_qty,mv_ref,A7,mv_type,"Entrée"))</f>
        <v>6979.0</v>
      </c>
      <c r="L7" s="39">
        <f>IF(A7="","",SUMIFS(mv_qty,mv_ref,A7,mv_type,"Sortie"))</f>
        <v>6713.0</v>
      </c>
      <c r="M7" s="39">
        <f>IF(A7="","",ROUND(N(H7)+K7-L7,6))</f>
        <v>2266.0</v>
      </c>
      <c r="N7" s="40">
        <f>IF(A7="","",M7*N(G7))</f>
        <v>67.98</v>
      </c>
      <c r="O7" s="39" t="str">
        <f>IF(A7="","",IF(M7&lt;=0,"Rupture",IF(AND(I7&lt;&gt;"",M7&lt;=N(I7)),"À commander","OK")))</f>
        <v>OK</v>
      </c>
      <c r="P7" s="39" t="str">
        <f>IF(OR(A7="",O7="OK",J7=""),"",MAX(N(J7)-M7,0))</f>
        <v/>
      </c>
      <c r="Q7" s="39" t="str">
        <f>IF(A7="",IF(COUNTA(B7:J7)&gt;0,"Référence manquante",""),IF(COUNTIF($A$5:$A$1004,A7)&gt;1,"Référence en double",IF(B7="","Désignation manquante","OK")))</f>
        <v>OK</v>
      </c>
      <c r="R7" s="39" t="str">
        <f>IF(OR(O7="Rupture",O7="À commander"),COUNTIF($O$5:O7,"Rupture")+COUNTIF($O$5:O7,"À commander"),"")</f>
        <v/>
      </c>
    </row>
    <row r="8">
      <c r="A8" s="37" t="inlineStr">
        <is>
          <t>TOL-ACI-2</t>
        </is>
      </c>
      <c r="B8" s="37" t="inlineStr">
        <is>
          <t>Tôle acier 2 mm 1000 x 2000</t>
        </is>
      </c>
      <c r="C8" s="37" t="inlineStr">
        <is>
          <t>Matières premières</t>
        </is>
      </c>
      <c r="D8" s="37" t="inlineStr">
        <is>
          <t>feuille</t>
        </is>
      </c>
      <c r="E8" s="37" t="inlineStr">
        <is>
          <t>Zone stockage tôles</t>
        </is>
      </c>
      <c r="F8" s="37" t="inlineStr">
        <is>
          <t>Aciers Service</t>
        </is>
      </c>
      <c r="G8" s="38" t="n">
        <v>48.5</v>
      </c>
      <c r="H8" s="37" t="n">
        <v>40</v>
      </c>
      <c r="I8" s="37" t="n">
        <v>15</v>
      </c>
      <c r="J8" s="37" t="n">
        <v>60</v>
      </c>
      <c r="K8" s="39">
        <f>IF(A8="","",SUMIFS(mv_qty,mv_ref,A8,mv_type,"Entrée"))</f>
        <v>139.0</v>
      </c>
      <c r="L8" s="39">
        <f>IF(A8="","",SUMIFS(mv_qty,mv_ref,A8,mv_type,"Sortie"))</f>
        <v>150.0</v>
      </c>
      <c r="M8" s="39">
        <f>IF(A8="","",ROUND(N(H8)+K8-L8,6))</f>
        <v>29.0</v>
      </c>
      <c r="N8" s="40">
        <f>IF(A8="","",M8*N(G8))</f>
        <v>1406.5</v>
      </c>
      <c r="O8" s="39" t="str">
        <f>IF(A8="","",IF(M8&lt;=0,"Rupture",IF(AND(I8&lt;&gt;"",M8&lt;=N(I8)),"À commander","OK")))</f>
        <v>OK</v>
      </c>
      <c r="P8" s="39" t="str">
        <f>IF(OR(A8="",O8="OK",J8=""),"",MAX(N(J8)-M8,0))</f>
        <v/>
      </c>
      <c r="Q8" s="39" t="str">
        <f>IF(A8="",IF(COUNTA(B8:J8)&gt;0,"Référence manquante",""),IF(COUNTIF($A$5:$A$1004,A8)&gt;1,"Référence en double",IF(B8="","Désignation manquante","OK")))</f>
        <v>OK</v>
      </c>
      <c r="R8" s="39" t="str">
        <f>IF(OR(O8="Rupture",O8="À commander"),COUNTIF($O$5:O8,"Rupture")+COUNTIF($O$5:O8,"À commander"),"")</f>
        <v/>
      </c>
    </row>
    <row r="9">
      <c r="A9" s="37" t="inlineStr">
        <is>
          <t>TUB-ACI-40</t>
        </is>
      </c>
      <c r="B9" s="37" t="inlineStr">
        <is>
          <t>Tube acier carré 40 x 40, 6 m</t>
        </is>
      </c>
      <c r="C9" s="37" t="inlineStr">
        <is>
          <t>Matières premières</t>
        </is>
      </c>
      <c r="D9" s="37" t="inlineStr">
        <is>
          <t>barre</t>
        </is>
      </c>
      <c r="E9" s="37" t="inlineStr">
        <is>
          <t>Zone stockage tôles</t>
        </is>
      </c>
      <c r="F9" s="37" t="inlineStr">
        <is>
          <t>Aciers Service</t>
        </is>
      </c>
      <c r="G9" s="38" t="n">
        <v>31.2</v>
      </c>
      <c r="H9" s="37" t="n">
        <v>30</v>
      </c>
      <c r="I9" s="37" t="n">
        <v>10</v>
      </c>
      <c r="J9" s="37" t="n">
        <v>40</v>
      </c>
      <c r="K9" s="39">
        <f>IF(A9="","",SUMIFS(mv_qty,mv_ref,A9,mv_type,"Entrée"))</f>
        <v>62.0</v>
      </c>
      <c r="L9" s="39">
        <f>IF(A9="","",SUMIFS(mv_qty,mv_ref,A9,mv_type,"Sortie"))</f>
        <v>84.0</v>
      </c>
      <c r="M9" s="39">
        <f>IF(A9="","",ROUND(N(H9)+K9-L9,6))</f>
        <v>8.0</v>
      </c>
      <c r="N9" s="40">
        <f>IF(A9="","",M9*N(G9))</f>
        <v>249.6</v>
      </c>
      <c r="O9" s="39" t="str">
        <f>IF(A9="","",IF(M9&lt;=0,"Rupture",IF(AND(I9&lt;&gt;"",M9&lt;=N(I9)),"À commander","OK")))</f>
        <v>À commander</v>
      </c>
      <c r="P9" s="39">
        <f>IF(OR(A9="",O9="OK",J9=""),"",MAX(N(J9)-M9,0))</f>
        <v>32.0</v>
      </c>
      <c r="Q9" s="39" t="str">
        <f>IF(A9="",IF(COUNTA(B9:J9)&gt;0,"Référence manquante",""),IF(COUNTIF($A$5:$A$1004,A9)&gt;1,"Référence en double",IF(B9="","Désignation manquante","OK")))</f>
        <v>OK</v>
      </c>
      <c r="R9" s="39">
        <f>IF(OR(O9="Rupture",O9="À commander"),COUNTIF($O$5:O9,"Rupture")+COUNTIF($O$5:O9,"À commander"),"")</f>
        <v>2.0</v>
      </c>
    </row>
    <row r="10">
      <c r="A10" s="37" t="inlineStr">
        <is>
          <t>ROU-6204</t>
        </is>
      </c>
      <c r="B10" s="37" t="inlineStr">
        <is>
          <t>Roulement à billes 6204 2RS</t>
        </is>
      </c>
      <c r="C10" s="37" t="inlineStr">
        <is>
          <t>Pièces mécaniques</t>
        </is>
      </c>
      <c r="D10" s="37" t="inlineStr">
        <is>
          <t>pièce</t>
        </is>
      </c>
      <c r="E10" s="37" t="inlineStr">
        <is>
          <t>Rayon B1</t>
        </is>
      </c>
      <c r="F10" s="37" t="inlineStr">
        <is>
          <t>Roulements Express</t>
        </is>
      </c>
      <c r="G10" s="38" t="n">
        <v>3.8</v>
      </c>
      <c r="H10" s="37" t="n">
        <v>120</v>
      </c>
      <c r="I10" s="37" t="n">
        <v>40</v>
      </c>
      <c r="J10" s="37" t="n">
        <v>150</v>
      </c>
      <c r="K10" s="39">
        <f>IF(A10="","",SUMIFS(mv_qty,mv_ref,A10,mv_type,"Entrée"))</f>
        <v>354.0</v>
      </c>
      <c r="L10" s="39">
        <f>IF(A10="","",SUMIFS(mv_qty,mv_ref,A10,mv_type,"Sortie"))</f>
        <v>365.0</v>
      </c>
      <c r="M10" s="39">
        <f>IF(A10="","",ROUND(N(H10)+K10-L10,6))</f>
        <v>109.0</v>
      </c>
      <c r="N10" s="40">
        <f>IF(A10="","",M10*N(G10))</f>
        <v>414.2</v>
      </c>
      <c r="O10" s="39" t="str">
        <f>IF(A10="","",IF(M10&lt;=0,"Rupture",IF(AND(I10&lt;&gt;"",M10&lt;=N(I10)),"À commander","OK")))</f>
        <v>OK</v>
      </c>
      <c r="P10" s="39" t="str">
        <f>IF(OR(A10="",O10="OK",J10=""),"",MAX(N(J10)-M10,0))</f>
        <v/>
      </c>
      <c r="Q10" s="39" t="str">
        <f>IF(A10="",IF(COUNTA(B10:J10)&gt;0,"Référence manquante",""),IF(COUNTIF($A$5:$A$1004,A10)&gt;1,"Référence en double",IF(B10="","Désignation manquante","OK")))</f>
        <v>OK</v>
      </c>
      <c r="R10" s="39" t="str">
        <f>IF(OR(O10="Rupture",O10="À commander"),COUNTIF($O$5:O10,"Rupture")+COUNTIF($O$5:O10,"À commander"),"")</f>
        <v/>
      </c>
    </row>
    <row r="11">
      <c r="A11" s="37" t="inlineStr">
        <is>
          <t>JOI-20-2</t>
        </is>
      </c>
      <c r="B11" s="37" t="inlineStr">
        <is>
          <t>Joint torique 20 x 2 NBR</t>
        </is>
      </c>
      <c r="C11" s="37" t="inlineStr">
        <is>
          <t>Pièces mécaniques</t>
        </is>
      </c>
      <c r="D11" s="37" t="inlineStr">
        <is>
          <t>pièce</t>
        </is>
      </c>
      <c r="E11" s="37" t="inlineStr">
        <is>
          <t>Rayon B2</t>
        </is>
      </c>
      <c r="F11" s="37" t="inlineStr">
        <is>
          <t>Roulements Express</t>
        </is>
      </c>
      <c r="G11" s="38" t="n">
        <v>0.35</v>
      </c>
      <c r="H11" s="37" t="n">
        <v>400</v>
      </c>
      <c r="I11" s="37" t="n">
        <v>150</v>
      </c>
      <c r="J11" s="37" t="n">
        <v>600</v>
      </c>
      <c r="K11" s="39">
        <f>IF(A11="","",SUMIFS(mv_qty,mv_ref,A11,mv_type,"Entrée"))</f>
        <v>992.0</v>
      </c>
      <c r="L11" s="39">
        <f>IF(A11="","",SUMIFS(mv_qty,mv_ref,A11,mv_type,"Sortie"))</f>
        <v>1215.0</v>
      </c>
      <c r="M11" s="39">
        <f>IF(A11="","",ROUND(N(H11)+K11-L11,6))</f>
        <v>177.0</v>
      </c>
      <c r="N11" s="40">
        <f>IF(A11="","",M11*N(G11))</f>
        <v>61.95</v>
      </c>
      <c r="O11" s="39" t="str">
        <f>IF(A11="","",IF(M11&lt;=0,"Rupture",IF(AND(I11&lt;&gt;"",M11&lt;=N(I11)),"À commander","OK")))</f>
        <v>OK</v>
      </c>
      <c r="P11" s="39" t="str">
        <f>IF(OR(A11="",O11="OK",J11=""),"",MAX(N(J11)-M11,0))</f>
        <v/>
      </c>
      <c r="Q11" s="39" t="str">
        <f>IF(A11="",IF(COUNTA(B11:J11)&gt;0,"Référence manquante",""),IF(COUNTIF($A$5:$A$1004,A11)&gt;1,"Référence en double",IF(B11="","Désignation manquante","OK")))</f>
        <v>OK</v>
      </c>
      <c r="R11" s="39" t="str">
        <f>IF(OR(O11="Rupture",O11="À commander"),COUNTIF($O$5:O11,"Rupture")+COUNTIF($O$5:O11,"À commander"),"")</f>
        <v/>
      </c>
    </row>
    <row r="12">
      <c r="A12" s="37" t="inlineStr">
        <is>
          <t>HUI-COUP-5</t>
        </is>
      </c>
      <c r="B12" s="37" t="inlineStr">
        <is>
          <t>Huile de coupe soluble 5 L</t>
        </is>
      </c>
      <c r="C12" s="37" t="inlineStr">
        <is>
          <t>Consommables</t>
        </is>
      </c>
      <c r="D12" s="37" t="inlineStr">
        <is>
          <t>bidon</t>
        </is>
      </c>
      <c r="E12" s="37" t="inlineStr">
        <is>
          <t>Armoire produits</t>
        </is>
      </c>
      <c r="F12" s="37" t="inlineStr">
        <is>
          <t>Lubrifiants Pro</t>
        </is>
      </c>
      <c r="G12" s="38" t="n">
        <v>27</v>
      </c>
      <c r="H12" s="37" t="n">
        <v>12</v>
      </c>
      <c r="I12" s="37" t="n">
        <v>4</v>
      </c>
      <c r="J12" s="37" t="n">
        <v>15</v>
      </c>
      <c r="K12" s="39">
        <f>IF(A12="","",SUMIFS(mv_qty,mv_ref,A12,mv_type,"Entrée"))</f>
        <v>24.0</v>
      </c>
      <c r="L12" s="39">
        <f>IF(A12="","",SUMIFS(mv_qty,mv_ref,A12,mv_type,"Sortie"))</f>
        <v>28.0</v>
      </c>
      <c r="M12" s="39">
        <f>IF(A12="","",ROUND(N(H12)+K12-L12,6))</f>
        <v>8.0</v>
      </c>
      <c r="N12" s="40">
        <f>IF(A12="","",M12*N(G12))</f>
        <v>216.0</v>
      </c>
      <c r="O12" s="39" t="str">
        <f>IF(A12="","",IF(M12&lt;=0,"Rupture",IF(AND(I12&lt;&gt;"",M12&lt;=N(I12)),"À commander","OK")))</f>
        <v>OK</v>
      </c>
      <c r="P12" s="39" t="str">
        <f>IF(OR(A12="",O12="OK",J12=""),"",MAX(N(J12)-M12,0))</f>
        <v/>
      </c>
      <c r="Q12" s="39" t="str">
        <f>IF(A12="",IF(COUNTA(B12:J12)&gt;0,"Référence manquante",""),IF(COUNTIF($A$5:$A$1004,A12)&gt;1,"Référence en double",IF(B12="","Désignation manquante","OK")))</f>
        <v>OK</v>
      </c>
      <c r="R12" s="39" t="str">
        <f>IF(OR(O12="Rupture",O12="À commander"),COUNTIF($O$5:O12,"Rupture")+COUNTIF($O$5:O12,"À commander"),"")</f>
        <v/>
      </c>
    </row>
    <row r="13">
      <c r="A13" s="37" t="inlineStr">
        <is>
          <t>DIS-125</t>
        </is>
      </c>
      <c r="B13" s="37" t="inlineStr">
        <is>
          <t>Disque à tronçonner 125 mm</t>
        </is>
      </c>
      <c r="C13" s="37" t="inlineStr">
        <is>
          <t>Consommables</t>
        </is>
      </c>
      <c r="D13" s="37" t="inlineStr">
        <is>
          <t>pièce</t>
        </is>
      </c>
      <c r="E13" s="37" t="inlineStr">
        <is>
          <t>Rayon C1</t>
        </is>
      </c>
      <c r="F13" s="37" t="inlineStr">
        <is>
          <t>Outillage Pro</t>
        </is>
      </c>
      <c r="G13" s="38" t="n">
        <v>1.9</v>
      </c>
      <c r="H13" s="37" t="n">
        <v>150</v>
      </c>
      <c r="I13" s="37" t="n">
        <v>50</v>
      </c>
      <c r="J13" s="37" t="n">
        <v>200</v>
      </c>
      <c r="K13" s="39">
        <f>IF(A13="","",SUMIFS(mv_qty,mv_ref,A13,mv_type,"Entrée"))</f>
        <v>477.0</v>
      </c>
      <c r="L13" s="39">
        <f>IF(A13="","",SUMIFS(mv_qty,mv_ref,A13,mv_type,"Sortie"))</f>
        <v>447.0</v>
      </c>
      <c r="M13" s="39">
        <f>IF(A13="","",ROUND(N(H13)+K13-L13,6))</f>
        <v>180.0</v>
      </c>
      <c r="N13" s="40">
        <f>IF(A13="","",M13*N(G13))</f>
        <v>342.0</v>
      </c>
      <c r="O13" s="39" t="str">
        <f>IF(A13="","",IF(M13&lt;=0,"Rupture",IF(AND(I13&lt;&gt;"",M13&lt;=N(I13)),"À commander","OK")))</f>
        <v>OK</v>
      </c>
      <c r="P13" s="39" t="str">
        <f>IF(OR(A13="",O13="OK",J13=""),"",MAX(N(J13)-M13,0))</f>
        <v/>
      </c>
      <c r="Q13" s="39" t="str">
        <f>IF(A13="",IF(COUNTA(B13:J13)&gt;0,"Référence manquante",""),IF(COUNTIF($A$5:$A$1004,A13)&gt;1,"Référence en double",IF(B13="","Désignation manquante","OK")))</f>
        <v>OK</v>
      </c>
      <c r="R13" s="39" t="str">
        <f>IF(OR(O13="Rupture",O13="À commander"),COUNTIF($O$5:O13,"Rupture")+COUNTIF($O$5:O13,"À commander"),"")</f>
        <v/>
      </c>
    </row>
    <row r="14">
      <c r="A14" s="37" t="inlineStr">
        <is>
          <t>FOR-HSS-8</t>
        </is>
      </c>
      <c r="B14" s="37" t="inlineStr">
        <is>
          <t>Foret HSS 8 mm</t>
        </is>
      </c>
      <c r="C14" s="37" t="inlineStr">
        <is>
          <t>Outillage</t>
        </is>
      </c>
      <c r="D14" s="37" t="inlineStr">
        <is>
          <t>pièce</t>
        </is>
      </c>
      <c r="E14" s="37" t="inlineStr">
        <is>
          <t>Armoire outillage</t>
        </is>
      </c>
      <c r="F14" s="37" t="inlineStr">
        <is>
          <t>Outillage Pro</t>
        </is>
      </c>
      <c r="G14" s="38" t="n">
        <v>4.6</v>
      </c>
      <c r="H14" s="37" t="n">
        <v>30</v>
      </c>
      <c r="I14" s="37" t="n">
        <v>10</v>
      </c>
      <c r="J14" s="37" t="n">
        <v>40</v>
      </c>
      <c r="K14" s="39">
        <f>IF(A14="","",SUMIFS(mv_qty,mv_ref,A14,mv_type,"Entrée"))</f>
        <v>66.0</v>
      </c>
      <c r="L14" s="39">
        <f>IF(A14="","",SUMIFS(mv_qty,mv_ref,A14,mv_type,"Sortie"))</f>
        <v>96.0</v>
      </c>
      <c r="M14" s="39">
        <f>IF(A14="","",ROUND(N(H14)+K14-L14,6))</f>
        <v>0.0</v>
      </c>
      <c r="N14" s="40">
        <f>IF(A14="","",M14*N(G14))</f>
        <v>0.0</v>
      </c>
      <c r="O14" s="39" t="str">
        <f>IF(A14="","",IF(M14&lt;=0,"Rupture",IF(AND(I14&lt;&gt;"",M14&lt;=N(I14)),"À commander","OK")))</f>
        <v>Rupture</v>
      </c>
      <c r="P14" s="39">
        <f>IF(OR(A14="",O14="OK",J14=""),"",MAX(N(J14)-M14,0))</f>
        <v>40.0</v>
      </c>
      <c r="Q14" s="39" t="str">
        <f>IF(A14="",IF(COUNTA(B14:J14)&gt;0,"Référence manquante",""),IF(COUNTIF($A$5:$A$1004,A14)&gt;1,"Référence en double",IF(B14="","Désignation manquante","OK")))</f>
        <v>OK</v>
      </c>
      <c r="R14" s="39">
        <f>IF(OR(O14="Rupture",O14="À commander"),COUNTIF($O$5:O14,"Rupture")+COUNTIF($O$5:O14,"À commander"),"")</f>
        <v>3.0</v>
      </c>
    </row>
    <row r="15">
      <c r="A15" s="37" t="inlineStr">
        <is>
          <t>GAN-NIT</t>
        </is>
      </c>
      <c r="B15" s="37" t="inlineStr">
        <is>
          <t>Gants nitrile, boîte de 100</t>
        </is>
      </c>
      <c r="C15" s="37" t="inlineStr">
        <is>
          <t>EPI</t>
        </is>
      </c>
      <c r="D15" s="37" t="inlineStr">
        <is>
          <t>boîte</t>
        </is>
      </c>
      <c r="E15" s="37" t="inlineStr">
        <is>
          <t>Armoire EPI</t>
        </is>
      </c>
      <c r="F15" s="37" t="inlineStr">
        <is>
          <t>EPI Fournitures</t>
        </is>
      </c>
      <c r="G15" s="38" t="n">
        <v>7.5</v>
      </c>
      <c r="H15" s="37" t="n">
        <v>25</v>
      </c>
      <c r="I15" s="37" t="n">
        <v>8</v>
      </c>
      <c r="J15" s="37" t="n">
        <v>30</v>
      </c>
      <c r="K15" s="39">
        <f>IF(A15="","",SUMIFS(mv_qty,mv_ref,A15,mv_type,"Entrée"))</f>
        <v>68.0</v>
      </c>
      <c r="L15" s="39">
        <f>IF(A15="","",SUMIFS(mv_qty,mv_ref,A15,mv_type,"Sortie"))</f>
        <v>72.0</v>
      </c>
      <c r="M15" s="39">
        <f>IF(A15="","",ROUND(N(H15)+K15-L15,6))</f>
        <v>21.0</v>
      </c>
      <c r="N15" s="40">
        <f>IF(A15="","",M15*N(G15))</f>
        <v>157.5</v>
      </c>
      <c r="O15" s="39" t="str">
        <f>IF(A15="","",IF(M15&lt;=0,"Rupture",IF(AND(I15&lt;&gt;"",M15&lt;=N(I15)),"À commander","OK")))</f>
        <v>OK</v>
      </c>
      <c r="P15" s="39" t="str">
        <f>IF(OR(A15="",O15="OK",J15=""),"",MAX(N(J15)-M15,0))</f>
        <v/>
      </c>
      <c r="Q15" s="39" t="str">
        <f>IF(A15="",IF(COUNTA(B15:J15)&gt;0,"Référence manquante",""),IF(COUNTIF($A$5:$A$1004,A15)&gt;1,"Référence en double",IF(B15="","Désignation manquante","OK")))</f>
        <v>OK</v>
      </c>
      <c r="R15" s="39" t="str">
        <f>IF(OR(O15="Rupture",O15="À commander"),COUNTIF($O$5:O15,"Rupture")+COUNTIF($O$5:O15,"À commander"),"")</f>
        <v/>
      </c>
    </row>
    <row r="16">
      <c r="A16" s="37" t="inlineStr">
        <is>
          <t>CAR-40-30</t>
        </is>
      </c>
      <c r="B16" s="37" t="inlineStr">
        <is>
          <t>Carton double cannelure 40 x 30 x 20</t>
        </is>
      </c>
      <c r="C16" s="37" t="inlineStr">
        <is>
          <t>Emballages</t>
        </is>
      </c>
      <c r="D16" s="37" t="inlineStr">
        <is>
          <t>pièce</t>
        </is>
      </c>
      <c r="E16" s="37" t="inlineStr">
        <is>
          <t>Quai expédition</t>
        </is>
      </c>
      <c r="F16" s="37" t="inlineStr">
        <is>
          <t>Emballages Atlas</t>
        </is>
      </c>
      <c r="G16" s="38" t="n">
        <v>0.95</v>
      </c>
      <c r="H16" s="37" t="n">
        <v>500</v>
      </c>
      <c r="I16" s="37" t="n">
        <v>200</v>
      </c>
      <c r="J16" s="37" t="n">
        <v>800</v>
      </c>
      <c r="K16" s="39">
        <f>IF(A16="","",SUMIFS(mv_qty,mv_ref,A16,mv_type,"Entrée"))</f>
        <v>1942.0</v>
      </c>
      <c r="L16" s="39">
        <f>IF(A16="","",SUMIFS(mv_qty,mv_ref,A16,mv_type,"Sortie"))</f>
        <v>1877.0</v>
      </c>
      <c r="M16" s="39">
        <f>IF(A16="","",ROUND(N(H16)+K16-L16,6))</f>
        <v>565.0</v>
      </c>
      <c r="N16" s="40">
        <f>IF(A16="","",M16*N(G16))</f>
        <v>536.75</v>
      </c>
      <c r="O16" s="39" t="str">
        <f>IF(A16="","",IF(M16&lt;=0,"Rupture",IF(AND(I16&lt;&gt;"",M16&lt;=N(I16)),"À commander","OK")))</f>
        <v>OK</v>
      </c>
      <c r="P16" s="39" t="str">
        <f>IF(OR(A16="",O16="OK",J16=""),"",MAX(N(J16)-M16,0))</f>
        <v/>
      </c>
      <c r="Q16" s="39" t="str">
        <f>IF(A16="",IF(COUNTA(B16:J16)&gt;0,"Référence manquante",""),IF(COUNTIF($A$5:$A$1004,A16)&gt;1,"Référence en double",IF(B16="","Désignation manquante","OK")))</f>
        <v>OK</v>
      </c>
      <c r="R16" s="39" t="str">
        <f>IF(OR(O16="Rupture",O16="À commander"),COUNTIF($O$5:O16,"Rupture")+COUNTIF($O$5:O16,"À commander"),"")</f>
        <v/>
      </c>
    </row>
    <row r="17">
      <c r="A17" s="37" t="inlineStr">
        <is>
          <t>RUB-50</t>
        </is>
      </c>
      <c r="B17" s="37" t="inlineStr">
        <is>
          <t>Ruban adhésif 50 mm x 66 m</t>
        </is>
      </c>
      <c r="C17" s="37" t="inlineStr">
        <is>
          <t>Emballages</t>
        </is>
      </c>
      <c r="D17" s="37" t="inlineStr">
        <is>
          <t>rouleau</t>
        </is>
      </c>
      <c r="E17" s="37" t="inlineStr">
        <is>
          <t>Quai expédition</t>
        </is>
      </c>
      <c r="F17" s="37" t="inlineStr">
        <is>
          <t>Emballages Atlas</t>
        </is>
      </c>
      <c r="G17" s="38" t="n">
        <v>1.4</v>
      </c>
      <c r="H17" s="37" t="n">
        <v>80</v>
      </c>
      <c r="I17" s="37" t="n">
        <v>30</v>
      </c>
      <c r="J17" s="37" t="n">
        <v>120</v>
      </c>
      <c r="K17" s="39">
        <f>IF(A17="","",SUMIFS(mv_qty,mv_ref,A17,mv_type,"Entrée"))</f>
        <v>285.0</v>
      </c>
      <c r="L17" s="39">
        <f>IF(A17="","",SUMIFS(mv_qty,mv_ref,A17,mv_type,"Sortie"))</f>
        <v>256.0</v>
      </c>
      <c r="M17" s="39">
        <f>IF(A17="","",ROUND(N(H17)+K17-L17,6))</f>
        <v>109.0</v>
      </c>
      <c r="N17" s="40">
        <f>IF(A17="","",M17*N(G17))</f>
        <v>152.6</v>
      </c>
      <c r="O17" s="39" t="str">
        <f>IF(A17="","",IF(M17&lt;=0,"Rupture",IF(AND(I17&lt;&gt;"",M17&lt;=N(I17)),"À commander","OK")))</f>
        <v>OK</v>
      </c>
      <c r="P17" s="39" t="str">
        <f>IF(OR(A17="",O17="OK",J17=""),"",MAX(N(J17)-M17,0))</f>
        <v/>
      </c>
      <c r="Q17" s="39" t="str">
        <f>IF(A17="",IF(COUNTA(B17:J17)&gt;0,"Référence manquante",""),IF(COUNTIF($A$5:$A$1004,A17)&gt;1,"Référence en double",IF(B17="","Désignation manquante","OK")))</f>
        <v>OK</v>
      </c>
      <c r="R17" s="39" t="str">
        <f>IF(OR(O17="Rupture",O17="À commander"),COUNTIF($O$5:O17,"Rupture")+COUNTIF($O$5:O17,"À commander"),"")</f>
        <v/>
      </c>
    </row>
    <row r="18">
      <c r="A18" s="37" t="inlineStr">
        <is>
          <t>PAL-120</t>
        </is>
      </c>
      <c r="B18" s="37" t="inlineStr">
        <is>
          <t>Palette bois 120 x 80</t>
        </is>
      </c>
      <c r="C18" s="37" t="inlineStr">
        <is>
          <t>Emballages</t>
        </is>
      </c>
      <c r="D18" s="37" t="inlineStr">
        <is>
          <t>pièce</t>
        </is>
      </c>
      <c r="E18" s="37" t="inlineStr">
        <is>
          <t>Quai expédition</t>
        </is>
      </c>
      <c r="F18" s="37" t="inlineStr">
        <is>
          <t>Emballages Atlas</t>
        </is>
      </c>
      <c r="G18" s="38" t="n">
        <v>9</v>
      </c>
      <c r="H18" s="37" t="n">
        <v>40</v>
      </c>
      <c r="I18" s="37" t="n">
        <v>15</v>
      </c>
      <c r="J18" s="37" t="n">
        <v>50</v>
      </c>
      <c r="K18" s="39">
        <f>IF(A18="","",SUMIFS(mv_qty,mv_ref,A18,mv_type,"Entrée"))</f>
        <v>115.0</v>
      </c>
      <c r="L18" s="39">
        <f>IF(A18="","",SUMIFS(mv_qty,mv_ref,A18,mv_type,"Sortie"))</f>
        <v>122.0</v>
      </c>
      <c r="M18" s="39">
        <f>IF(A18="","",ROUND(N(H18)+K18-L18,6))</f>
        <v>33.0</v>
      </c>
      <c r="N18" s="40">
        <f>IF(A18="","",M18*N(G18))</f>
        <v>297.0</v>
      </c>
      <c r="O18" s="39" t="str">
        <f>IF(A18="","",IF(M18&lt;=0,"Rupture",IF(AND(I18&lt;&gt;"",M18&lt;=N(I18)),"À commander","OK")))</f>
        <v>OK</v>
      </c>
      <c r="P18" s="39" t="str">
        <f>IF(OR(A18="",O18="OK",J18=""),"",MAX(N(J18)-M18,0))</f>
        <v/>
      </c>
      <c r="Q18" s="39" t="str">
        <f>IF(A18="",IF(COUNTA(B18:J18)&gt;0,"Référence manquante",""),IF(COUNTIF($A$5:$A$1004,A18)&gt;1,"Référence en double",IF(B18="","Désignation manquante","OK")))</f>
        <v>OK</v>
      </c>
      <c r="R18" s="39" t="str">
        <f>IF(OR(O18="Rupture",O18="À commander"),COUNTIF($O$5:O18,"Rupture")+COUNTIF($O$5:O18,"À commander"),"")</f>
        <v/>
      </c>
    </row>
    <row r="19">
      <c r="A19" s="37" t="inlineStr">
        <is>
          <t>CAB-2.5</t>
        </is>
      </c>
      <c r="B19" s="37" t="inlineStr">
        <is>
          <t>Câble électrique 2,5 mm²</t>
        </is>
      </c>
      <c r="C19" s="37" t="inlineStr">
        <is>
          <t>Électricité</t>
        </is>
      </c>
      <c r="D19" s="37" t="inlineStr">
        <is>
          <t>m</t>
        </is>
      </c>
      <c r="E19" s="37" t="inlineStr">
        <is>
          <t>Rayon D1</t>
        </is>
      </c>
      <c r="F19" s="37" t="inlineStr">
        <is>
          <t>Électro Distribution</t>
        </is>
      </c>
      <c r="G19" s="38" t="n">
        <v>0.68</v>
      </c>
      <c r="H19" s="37" t="n">
        <v>300</v>
      </c>
      <c r="I19" s="37" t="n">
        <v>100</v>
      </c>
      <c r="J19" s="37" t="n">
        <v>500</v>
      </c>
      <c r="K19" s="39">
        <f>IF(A19="","",SUMIFS(mv_qty,mv_ref,A19,mv_type,"Entrée"))</f>
        <v>861.0</v>
      </c>
      <c r="L19" s="39">
        <f>IF(A19="","",SUMIFS(mv_qty,mv_ref,A19,mv_type,"Sortie"))</f>
        <v>880.0</v>
      </c>
      <c r="M19" s="39">
        <f>IF(A19="","",ROUND(N(H19)+K19-L19,6))</f>
        <v>281.0</v>
      </c>
      <c r="N19" s="40">
        <f>IF(A19="","",M19*N(G19))</f>
        <v>191.08</v>
      </c>
      <c r="O19" s="39" t="str">
        <f>IF(A19="","",IF(M19&lt;=0,"Rupture",IF(AND(I19&lt;&gt;"",M19&lt;=N(I19)),"À commander","OK")))</f>
        <v>OK</v>
      </c>
      <c r="P19" s="39" t="str">
        <f>IF(OR(A19="",O19="OK",J19=""),"",MAX(N(J19)-M19,0))</f>
        <v/>
      </c>
      <c r="Q19" s="39" t="str">
        <f>IF(A19="",IF(COUNTA(B19:J19)&gt;0,"Référence manquante",""),IF(COUNTIF($A$5:$A$1004,A19)&gt;1,"Référence en double",IF(B19="","Désignation manquante","OK")))</f>
        <v>OK</v>
      </c>
      <c r="R19" s="39" t="str">
        <f>IF(OR(O19="Rupture",O19="À commander"),COUNTIF($O$5:O19,"Rupture")+COUNTIF($O$5:O19,"À commander"),"")</f>
        <v/>
      </c>
    </row>
    <row r="20">
      <c r="A20" s="37" t="inlineStr">
        <is>
          <t>BOR-WAGO-3</t>
        </is>
      </c>
      <c r="B20" s="37" t="inlineStr">
        <is>
          <t>Borne de connexion 3 entrées</t>
        </is>
      </c>
      <c r="C20" s="37" t="inlineStr">
        <is>
          <t>Électricité</t>
        </is>
      </c>
      <c r="D20" s="37" t="inlineStr">
        <is>
          <t>pièce</t>
        </is>
      </c>
      <c r="E20" s="37" t="inlineStr">
        <is>
          <t>Rayon D2</t>
        </is>
      </c>
      <c r="F20" s="37" t="inlineStr">
        <is>
          <t>Électro Distribution</t>
        </is>
      </c>
      <c r="G20" s="38" t="n">
        <v>0.42</v>
      </c>
      <c r="H20" s="37" t="n">
        <v>200</v>
      </c>
      <c r="I20" s="37" t="n">
        <v>60</v>
      </c>
      <c r="J20" s="37" t="n">
        <v>300</v>
      </c>
      <c r="K20" s="39">
        <f>IF(A20="","",SUMIFS(mv_qty,mv_ref,A20,mv_type,"Entrée"))</f>
        <v>507.0</v>
      </c>
      <c r="L20" s="39">
        <f>IF(A20="","",SUMIFS(mv_qty,mv_ref,A20,mv_type,"Sortie"))</f>
        <v>586.0</v>
      </c>
      <c r="M20" s="39">
        <f>IF(A20="","",ROUND(N(H20)+K20-L20,6))</f>
        <v>121.0</v>
      </c>
      <c r="N20" s="40">
        <f>IF(A20="","",M20*N(G20))</f>
        <v>50.82</v>
      </c>
      <c r="O20" s="39" t="str">
        <f>IF(A20="","",IF(M20&lt;=0,"Rupture",IF(AND(I20&lt;&gt;"",M20&lt;=N(I20)),"À commander","OK")))</f>
        <v>OK</v>
      </c>
      <c r="P20" s="39" t="str">
        <f>IF(OR(A20="",O20="OK",J20=""),"",MAX(N(J20)-M20,0))</f>
        <v/>
      </c>
      <c r="Q20" s="39" t="str">
        <f>IF(A20="",IF(COUNTA(B20:J20)&gt;0,"Référence manquante",""),IF(COUNTIF($A$5:$A$1004,A20)&gt;1,"Référence en double",IF(B20="","Désignation manquante","OK")))</f>
        <v>OK</v>
      </c>
      <c r="R20" s="39" t="str">
        <f>IF(OR(O20="Rupture",O20="À commander"),COUNTIF($O$5:O20,"Rupture")+COUNTIF($O$5:O20,"À commander"),"")</f>
        <v/>
      </c>
    </row>
    <row r="21">
      <c r="A21" s="37" t="n"/>
      <c r="B21" s="37" t="n"/>
      <c r="C21" s="37" t="n"/>
      <c r="D21" s="37" t="n"/>
      <c r="E21" s="37" t="n"/>
      <c r="F21" s="37" t="n"/>
      <c r="G21" s="38" t="n"/>
      <c r="H21" s="37" t="n"/>
      <c r="I21" s="37" t="n"/>
      <c r="J21" s="37" t="n"/>
      <c r="K21" s="39" t="str">
        <f>IF(A21="","",SUMIFS(mv_qty,mv_ref,A21,mv_type,"Entrée"))</f>
        <v/>
      </c>
      <c r="L21" s="39" t="str">
        <f>IF(A21="","",SUMIFS(mv_qty,mv_ref,A21,mv_type,"Sortie"))</f>
        <v/>
      </c>
      <c r="M21" s="39" t="str">
        <f>IF(A21="","",ROUND(N(H21)+K21-L21,6))</f>
        <v/>
      </c>
      <c r="N21" s="40" t="str">
        <f>IF(A21="","",M21*N(G21))</f>
        <v/>
      </c>
      <c r="O21" s="39" t="str">
        <f>IF(A21="","",IF(M21&lt;=0,"Rupture",IF(AND(I21&lt;&gt;"",M21&lt;=N(I21)),"À commander","OK")))</f>
        <v/>
      </c>
      <c r="P21" s="39" t="str">
        <f>IF(OR(A21="",O21="OK",J21=""),"",MAX(N(J21)-M21,0))</f>
        <v/>
      </c>
      <c r="Q21" s="39" t="str">
        <f>IF(A21="",IF(COUNTA(B21:J21)&gt;0,"Référence manquante",""),IF(COUNTIF($A$5:$A$1004,A21)&gt;1,"Référence en double",IF(B21="","Désignation manquante","OK")))</f>
        <v/>
      </c>
      <c r="R21" s="39" t="str">
        <f>IF(OR(O21="Rupture",O21="À commander"),COUNTIF($O$5:O21,"Rupture")+COUNTIF($O$5:O21,"À commander"),"")</f>
        <v/>
      </c>
    </row>
    <row r="22">
      <c r="A22" s="37" t="n"/>
      <c r="B22" s="37" t="n"/>
      <c r="C22" s="37" t="n"/>
      <c r="D22" s="37" t="n"/>
      <c r="E22" s="37" t="n"/>
      <c r="F22" s="37" t="n"/>
      <c r="G22" s="38" t="n"/>
      <c r="H22" s="37" t="n"/>
      <c r="I22" s="37" t="n"/>
      <c r="J22" s="37" t="n"/>
      <c r="K22" s="39" t="str">
        <f>IF(A22="","",SUMIFS(mv_qty,mv_ref,A22,mv_type,"Entrée"))</f>
        <v/>
      </c>
      <c r="L22" s="39" t="str">
        <f>IF(A22="","",SUMIFS(mv_qty,mv_ref,A22,mv_type,"Sortie"))</f>
        <v/>
      </c>
      <c r="M22" s="39" t="str">
        <f>IF(A22="","",ROUND(N(H22)+K22-L22,6))</f>
        <v/>
      </c>
      <c r="N22" s="40" t="str">
        <f>IF(A22="","",M22*N(G22))</f>
        <v/>
      </c>
      <c r="O22" s="39" t="str">
        <f>IF(A22="","",IF(M22&lt;=0,"Rupture",IF(AND(I22&lt;&gt;"",M22&lt;=N(I22)),"À commander","OK")))</f>
        <v/>
      </c>
      <c r="P22" s="39" t="str">
        <f>IF(OR(A22="",O22="OK",J22=""),"",MAX(N(J22)-M22,0))</f>
        <v/>
      </c>
      <c r="Q22" s="39" t="str">
        <f>IF(A22="",IF(COUNTA(B22:J22)&gt;0,"Référence manquante",""),IF(COUNTIF($A$5:$A$1004,A22)&gt;1,"Référence en double",IF(B22="","Désignation manquante","OK")))</f>
        <v/>
      </c>
      <c r="R22" s="39" t="str">
        <f>IF(OR(O22="Rupture",O22="À commander"),COUNTIF($O$5:O22,"Rupture")+COUNTIF($O$5:O22,"À commander"),"")</f>
        <v/>
      </c>
    </row>
    <row r="23">
      <c r="A23" s="37" t="n"/>
      <c r="B23" s="37" t="n"/>
      <c r="C23" s="37" t="n"/>
      <c r="D23" s="37" t="n"/>
      <c r="E23" s="37" t="n"/>
      <c r="F23" s="37" t="n"/>
      <c r="G23" s="38" t="n"/>
      <c r="H23" s="37" t="n"/>
      <c r="I23" s="37" t="n"/>
      <c r="J23" s="37" t="n"/>
      <c r="K23" s="39" t="str">
        <f>IF(A23="","",SUMIFS(mv_qty,mv_ref,A23,mv_type,"Entrée"))</f>
        <v/>
      </c>
      <c r="L23" s="39" t="str">
        <f>IF(A23="","",SUMIFS(mv_qty,mv_ref,A23,mv_type,"Sortie"))</f>
        <v/>
      </c>
      <c r="M23" s="39" t="str">
        <f>IF(A23="","",ROUND(N(H23)+K23-L23,6))</f>
        <v/>
      </c>
      <c r="N23" s="40" t="str">
        <f>IF(A23="","",M23*N(G23))</f>
        <v/>
      </c>
      <c r="O23" s="39" t="str">
        <f>IF(A23="","",IF(M23&lt;=0,"Rupture",IF(AND(I23&lt;&gt;"",M23&lt;=N(I23)),"À commander","OK")))</f>
        <v/>
      </c>
      <c r="P23" s="39" t="str">
        <f>IF(OR(A23="",O23="OK",J23=""),"",MAX(N(J23)-M23,0))</f>
        <v/>
      </c>
      <c r="Q23" s="39" t="str">
        <f>IF(A23="",IF(COUNTA(B23:J23)&gt;0,"Référence manquante",""),IF(COUNTIF($A$5:$A$1004,A23)&gt;1,"Référence en double",IF(B23="","Désignation manquante","OK")))</f>
        <v/>
      </c>
      <c r="R23" s="39" t="str">
        <f>IF(OR(O23="Rupture",O23="À commander"),COUNTIF($O$5:O23,"Rupture")+COUNTIF($O$5:O23,"À commander"),"")</f>
        <v/>
      </c>
    </row>
    <row r="24">
      <c r="A24" s="37" t="n"/>
      <c r="B24" s="37" t="n"/>
      <c r="C24" s="37" t="n"/>
      <c r="D24" s="37" t="n"/>
      <c r="E24" s="37" t="n"/>
      <c r="F24" s="37" t="n"/>
      <c r="G24" s="38" t="n"/>
      <c r="H24" s="37" t="n"/>
      <c r="I24" s="37" t="n"/>
      <c r="J24" s="37" t="n"/>
      <c r="K24" s="39" t="str">
        <f>IF(A24="","",SUMIFS(mv_qty,mv_ref,A24,mv_type,"Entrée"))</f>
        <v/>
      </c>
      <c r="L24" s="39" t="str">
        <f>IF(A24="","",SUMIFS(mv_qty,mv_ref,A24,mv_type,"Sortie"))</f>
        <v/>
      </c>
      <c r="M24" s="39" t="str">
        <f>IF(A24="","",ROUND(N(H24)+K24-L24,6))</f>
        <v/>
      </c>
      <c r="N24" s="40" t="str">
        <f>IF(A24="","",M24*N(G24))</f>
        <v/>
      </c>
      <c r="O24" s="39" t="str">
        <f>IF(A24="","",IF(M24&lt;=0,"Rupture",IF(AND(I24&lt;&gt;"",M24&lt;=N(I24)),"À commander","OK")))</f>
        <v/>
      </c>
      <c r="P24" s="39" t="str">
        <f>IF(OR(A24="",O24="OK",J24=""),"",MAX(N(J24)-M24,0))</f>
        <v/>
      </c>
      <c r="Q24" s="39" t="str">
        <f>IF(A24="",IF(COUNTA(B24:J24)&gt;0,"Référence manquante",""),IF(COUNTIF($A$5:$A$1004,A24)&gt;1,"Référence en double",IF(B24="","Désignation manquante","OK")))</f>
        <v/>
      </c>
      <c r="R24" s="39" t="str">
        <f>IF(OR(O24="Rupture",O24="À commander"),COUNTIF($O$5:O24,"Rupture")+COUNTIF($O$5:O24,"À commander"),"")</f>
        <v/>
      </c>
    </row>
    <row r="25">
      <c r="A25" s="37" t="n"/>
      <c r="B25" s="37" t="n"/>
      <c r="C25" s="37" t="n"/>
      <c r="D25" s="37" t="n"/>
      <c r="E25" s="37" t="n"/>
      <c r="F25" s="37" t="n"/>
      <c r="G25" s="38" t="n"/>
      <c r="H25" s="37" t="n"/>
      <c r="I25" s="37" t="n"/>
      <c r="J25" s="37" t="n"/>
      <c r="K25" s="39" t="str">
        <f>IF(A25="","",SUMIFS(mv_qty,mv_ref,A25,mv_type,"Entrée"))</f>
        <v/>
      </c>
      <c r="L25" s="39" t="str">
        <f>IF(A25="","",SUMIFS(mv_qty,mv_ref,A25,mv_type,"Sortie"))</f>
        <v/>
      </c>
      <c r="M25" s="39" t="str">
        <f>IF(A25="","",ROUND(N(H25)+K25-L25,6))</f>
        <v/>
      </c>
      <c r="N25" s="40" t="str">
        <f>IF(A25="","",M25*N(G25))</f>
        <v/>
      </c>
      <c r="O25" s="39" t="str">
        <f>IF(A25="","",IF(M25&lt;=0,"Rupture",IF(AND(I25&lt;&gt;"",M25&lt;=N(I25)),"À commander","OK")))</f>
        <v/>
      </c>
      <c r="P25" s="39" t="str">
        <f>IF(OR(A25="",O25="OK",J25=""),"",MAX(N(J25)-M25,0))</f>
        <v/>
      </c>
      <c r="Q25" s="39" t="str">
        <f>IF(A25="",IF(COUNTA(B25:J25)&gt;0,"Référence manquante",""),IF(COUNTIF($A$5:$A$1004,A25)&gt;1,"Référence en double",IF(B25="","Désignation manquante","OK")))</f>
        <v/>
      </c>
      <c r="R25" s="39" t="str">
        <f>IF(OR(O25="Rupture",O25="À commander"),COUNTIF($O$5:O25,"Rupture")+COUNTIF($O$5:O25,"À commander"),"")</f>
        <v/>
      </c>
    </row>
    <row r="26">
      <c r="A26" s="37" t="n"/>
      <c r="B26" s="37" t="n"/>
      <c r="C26" s="37" t="n"/>
      <c r="D26" s="37" t="n"/>
      <c r="E26" s="37" t="n"/>
      <c r="F26" s="37" t="n"/>
      <c r="G26" s="38" t="n"/>
      <c r="H26" s="37" t="n"/>
      <c r="I26" s="37" t="n"/>
      <c r="J26" s="37" t="n"/>
      <c r="K26" s="39" t="str">
        <f>IF(A26="","",SUMIFS(mv_qty,mv_ref,A26,mv_type,"Entrée"))</f>
        <v/>
      </c>
      <c r="L26" s="39" t="str">
        <f>IF(A26="","",SUMIFS(mv_qty,mv_ref,A26,mv_type,"Sortie"))</f>
        <v/>
      </c>
      <c r="M26" s="39" t="str">
        <f>IF(A26="","",ROUND(N(H26)+K26-L26,6))</f>
        <v/>
      </c>
      <c r="N26" s="40" t="str">
        <f>IF(A26="","",M26*N(G26))</f>
        <v/>
      </c>
      <c r="O26" s="39" t="str">
        <f>IF(A26="","",IF(M26&lt;=0,"Rupture",IF(AND(I26&lt;&gt;"",M26&lt;=N(I26)),"À commander","OK")))</f>
        <v/>
      </c>
      <c r="P26" s="39" t="str">
        <f>IF(OR(A26="",O26="OK",J26=""),"",MAX(N(J26)-M26,0))</f>
        <v/>
      </c>
      <c r="Q26" s="39" t="str">
        <f>IF(A26="",IF(COUNTA(B26:J26)&gt;0,"Référence manquante",""),IF(COUNTIF($A$5:$A$1004,A26)&gt;1,"Référence en double",IF(B26="","Désignation manquante","OK")))</f>
        <v/>
      </c>
      <c r="R26" s="39" t="str">
        <f>IF(OR(O26="Rupture",O26="À commander"),COUNTIF($O$5:O26,"Rupture")+COUNTIF($O$5:O26,"À commander"),"")</f>
        <v/>
      </c>
    </row>
    <row r="27">
      <c r="A27" s="37" t="n"/>
      <c r="B27" s="37" t="n"/>
      <c r="C27" s="37" t="n"/>
      <c r="D27" s="37" t="n"/>
      <c r="E27" s="37" t="n"/>
      <c r="F27" s="37" t="n"/>
      <c r="G27" s="38" t="n"/>
      <c r="H27" s="37" t="n"/>
      <c r="I27" s="37" t="n"/>
      <c r="J27" s="37" t="n"/>
      <c r="K27" s="39" t="str">
        <f>IF(A27="","",SUMIFS(mv_qty,mv_ref,A27,mv_type,"Entrée"))</f>
        <v/>
      </c>
      <c r="L27" s="39" t="str">
        <f>IF(A27="","",SUMIFS(mv_qty,mv_ref,A27,mv_type,"Sortie"))</f>
        <v/>
      </c>
      <c r="M27" s="39" t="str">
        <f>IF(A27="","",ROUND(N(H27)+K27-L27,6))</f>
        <v/>
      </c>
      <c r="N27" s="40" t="str">
        <f>IF(A27="","",M27*N(G27))</f>
        <v/>
      </c>
      <c r="O27" s="39" t="str">
        <f>IF(A27="","",IF(M27&lt;=0,"Rupture",IF(AND(I27&lt;&gt;"",M27&lt;=N(I27)),"À commander","OK")))</f>
        <v/>
      </c>
      <c r="P27" s="39" t="str">
        <f>IF(OR(A27="",O27="OK",J27=""),"",MAX(N(J27)-M27,0))</f>
        <v/>
      </c>
      <c r="Q27" s="39" t="str">
        <f>IF(A27="",IF(COUNTA(B27:J27)&gt;0,"Référence manquante",""),IF(COUNTIF($A$5:$A$1004,A27)&gt;1,"Référence en double",IF(B27="","Désignation manquante","OK")))</f>
        <v/>
      </c>
      <c r="R27" s="39" t="str">
        <f>IF(OR(O27="Rupture",O27="À commander"),COUNTIF($O$5:O27,"Rupture")+COUNTIF($O$5:O27,"À commander"),"")</f>
        <v/>
      </c>
    </row>
    <row r="28">
      <c r="A28" s="37" t="n"/>
      <c r="B28" s="37" t="n"/>
      <c r="C28" s="37" t="n"/>
      <c r="D28" s="37" t="n"/>
      <c r="E28" s="37" t="n"/>
      <c r="F28" s="37" t="n"/>
      <c r="G28" s="38" t="n"/>
      <c r="H28" s="37" t="n"/>
      <c r="I28" s="37" t="n"/>
      <c r="J28" s="37" t="n"/>
      <c r="K28" s="39" t="str">
        <f>IF(A28="","",SUMIFS(mv_qty,mv_ref,A28,mv_type,"Entrée"))</f>
        <v/>
      </c>
      <c r="L28" s="39" t="str">
        <f>IF(A28="","",SUMIFS(mv_qty,mv_ref,A28,mv_type,"Sortie"))</f>
        <v/>
      </c>
      <c r="M28" s="39" t="str">
        <f>IF(A28="","",ROUND(N(H28)+K28-L28,6))</f>
        <v/>
      </c>
      <c r="N28" s="40" t="str">
        <f>IF(A28="","",M28*N(G28))</f>
        <v/>
      </c>
      <c r="O28" s="39" t="str">
        <f>IF(A28="","",IF(M28&lt;=0,"Rupture",IF(AND(I28&lt;&gt;"",M28&lt;=N(I28)),"À commander","OK")))</f>
        <v/>
      </c>
      <c r="P28" s="39" t="str">
        <f>IF(OR(A28="",O28="OK",J28=""),"",MAX(N(J28)-M28,0))</f>
        <v/>
      </c>
      <c r="Q28" s="39" t="str">
        <f>IF(A28="",IF(COUNTA(B28:J28)&gt;0,"Référence manquante",""),IF(COUNTIF($A$5:$A$1004,A28)&gt;1,"Référence en double",IF(B28="","Désignation manquante","OK")))</f>
        <v/>
      </c>
      <c r="R28" s="39" t="str">
        <f>IF(OR(O28="Rupture",O28="À commander"),COUNTIF($O$5:O28,"Rupture")+COUNTIF($O$5:O28,"À commander"),"")</f>
        <v/>
      </c>
    </row>
    <row r="29">
      <c r="A29" s="37" t="n"/>
      <c r="B29" s="37" t="n"/>
      <c r="C29" s="37" t="n"/>
      <c r="D29" s="37" t="n"/>
      <c r="E29" s="37" t="n"/>
      <c r="F29" s="37" t="n"/>
      <c r="G29" s="38" t="n"/>
      <c r="H29" s="37" t="n"/>
      <c r="I29" s="37" t="n"/>
      <c r="J29" s="37" t="n"/>
      <c r="K29" s="39" t="str">
        <f>IF(A29="","",SUMIFS(mv_qty,mv_ref,A29,mv_type,"Entrée"))</f>
        <v/>
      </c>
      <c r="L29" s="39" t="str">
        <f>IF(A29="","",SUMIFS(mv_qty,mv_ref,A29,mv_type,"Sortie"))</f>
        <v/>
      </c>
      <c r="M29" s="39" t="str">
        <f>IF(A29="","",ROUND(N(H29)+K29-L29,6))</f>
        <v/>
      </c>
      <c r="N29" s="40" t="str">
        <f>IF(A29="","",M29*N(G29))</f>
        <v/>
      </c>
      <c r="O29" s="39" t="str">
        <f>IF(A29="","",IF(M29&lt;=0,"Rupture",IF(AND(I29&lt;&gt;"",M29&lt;=N(I29)),"À commander","OK")))</f>
        <v/>
      </c>
      <c r="P29" s="39" t="str">
        <f>IF(OR(A29="",O29="OK",J29=""),"",MAX(N(J29)-M29,0))</f>
        <v/>
      </c>
      <c r="Q29" s="39" t="str">
        <f>IF(A29="",IF(COUNTA(B29:J29)&gt;0,"Référence manquante",""),IF(COUNTIF($A$5:$A$1004,A29)&gt;1,"Référence en double",IF(B29="","Désignation manquante","OK")))</f>
        <v/>
      </c>
      <c r="R29" s="39" t="str">
        <f>IF(OR(O29="Rupture",O29="À commander"),COUNTIF($O$5:O29,"Rupture")+COUNTIF($O$5:O29,"À commander"),"")</f>
        <v/>
      </c>
    </row>
    <row r="30">
      <c r="A30" s="37" t="n"/>
      <c r="B30" s="37" t="n"/>
      <c r="C30" s="37" t="n"/>
      <c r="D30" s="37" t="n"/>
      <c r="E30" s="37" t="n"/>
      <c r="F30" s="37" t="n"/>
      <c r="G30" s="38" t="n"/>
      <c r="H30" s="37" t="n"/>
      <c r="I30" s="37" t="n"/>
      <c r="J30" s="37" t="n"/>
      <c r="K30" s="39" t="str">
        <f>IF(A30="","",SUMIFS(mv_qty,mv_ref,A30,mv_type,"Entrée"))</f>
        <v/>
      </c>
      <c r="L30" s="39" t="str">
        <f>IF(A30="","",SUMIFS(mv_qty,mv_ref,A30,mv_type,"Sortie"))</f>
        <v/>
      </c>
      <c r="M30" s="39" t="str">
        <f>IF(A30="","",ROUND(N(H30)+K30-L30,6))</f>
        <v/>
      </c>
      <c r="N30" s="40" t="str">
        <f>IF(A30="","",M30*N(G30))</f>
        <v/>
      </c>
      <c r="O30" s="39" t="str">
        <f>IF(A30="","",IF(M30&lt;=0,"Rupture",IF(AND(I30&lt;&gt;"",M30&lt;=N(I30)),"À commander","OK")))</f>
        <v/>
      </c>
      <c r="P30" s="39" t="str">
        <f>IF(OR(A30="",O30="OK",J30=""),"",MAX(N(J30)-M30,0))</f>
        <v/>
      </c>
      <c r="Q30" s="39" t="str">
        <f>IF(A30="",IF(COUNTA(B30:J30)&gt;0,"Référence manquante",""),IF(COUNTIF($A$5:$A$1004,A30)&gt;1,"Référence en double",IF(B30="","Désignation manquante","OK")))</f>
        <v/>
      </c>
      <c r="R30" s="39" t="str">
        <f>IF(OR(O30="Rupture",O30="À commander"),COUNTIF($O$5:O30,"Rupture")+COUNTIF($O$5:O30,"À commander"),"")</f>
        <v/>
      </c>
    </row>
    <row r="31">
      <c r="A31" s="37" t="n"/>
      <c r="B31" s="37" t="n"/>
      <c r="C31" s="37" t="n"/>
      <c r="D31" s="37" t="n"/>
      <c r="E31" s="37" t="n"/>
      <c r="F31" s="37" t="n"/>
      <c r="G31" s="38" t="n"/>
      <c r="H31" s="37" t="n"/>
      <c r="I31" s="37" t="n"/>
      <c r="J31" s="37" t="n"/>
      <c r="K31" s="39" t="str">
        <f>IF(A31="","",SUMIFS(mv_qty,mv_ref,A31,mv_type,"Entrée"))</f>
        <v/>
      </c>
      <c r="L31" s="39" t="str">
        <f>IF(A31="","",SUMIFS(mv_qty,mv_ref,A31,mv_type,"Sortie"))</f>
        <v/>
      </c>
      <c r="M31" s="39" t="str">
        <f>IF(A31="","",ROUND(N(H31)+K31-L31,6))</f>
        <v/>
      </c>
      <c r="N31" s="40" t="str">
        <f>IF(A31="","",M31*N(G31))</f>
        <v/>
      </c>
      <c r="O31" s="39" t="str">
        <f>IF(A31="","",IF(M31&lt;=0,"Rupture",IF(AND(I31&lt;&gt;"",M31&lt;=N(I31)),"À commander","OK")))</f>
        <v/>
      </c>
      <c r="P31" s="39" t="str">
        <f>IF(OR(A31="",O31="OK",J31=""),"",MAX(N(J31)-M31,0))</f>
        <v/>
      </c>
      <c r="Q31" s="39" t="str">
        <f>IF(A31="",IF(COUNTA(B31:J31)&gt;0,"Référence manquante",""),IF(COUNTIF($A$5:$A$1004,A31)&gt;1,"Référence en double",IF(B31="","Désignation manquante","OK")))</f>
        <v/>
      </c>
      <c r="R31" s="39" t="str">
        <f>IF(OR(O31="Rupture",O31="À commander"),COUNTIF($O$5:O31,"Rupture")+COUNTIF($O$5:O31,"À commander"),"")</f>
        <v/>
      </c>
    </row>
    <row r="32">
      <c r="A32" s="37" t="n"/>
      <c r="B32" s="37" t="n"/>
      <c r="C32" s="37" t="n"/>
      <c r="D32" s="37" t="n"/>
      <c r="E32" s="37" t="n"/>
      <c r="F32" s="37" t="n"/>
      <c r="G32" s="38" t="n"/>
      <c r="H32" s="37" t="n"/>
      <c r="I32" s="37" t="n"/>
      <c r="J32" s="37" t="n"/>
      <c r="K32" s="39" t="str">
        <f>IF(A32="","",SUMIFS(mv_qty,mv_ref,A32,mv_type,"Entrée"))</f>
        <v/>
      </c>
      <c r="L32" s="39" t="str">
        <f>IF(A32="","",SUMIFS(mv_qty,mv_ref,A32,mv_type,"Sortie"))</f>
        <v/>
      </c>
      <c r="M32" s="39" t="str">
        <f>IF(A32="","",ROUND(N(H32)+K32-L32,6))</f>
        <v/>
      </c>
      <c r="N32" s="40" t="str">
        <f>IF(A32="","",M32*N(G32))</f>
        <v/>
      </c>
      <c r="O32" s="39" t="str">
        <f>IF(A32="","",IF(M32&lt;=0,"Rupture",IF(AND(I32&lt;&gt;"",M32&lt;=N(I32)),"À commander","OK")))</f>
        <v/>
      </c>
      <c r="P32" s="39" t="str">
        <f>IF(OR(A32="",O32="OK",J32=""),"",MAX(N(J32)-M32,0))</f>
        <v/>
      </c>
      <c r="Q32" s="39" t="str">
        <f>IF(A32="",IF(COUNTA(B32:J32)&gt;0,"Référence manquante",""),IF(COUNTIF($A$5:$A$1004,A32)&gt;1,"Référence en double",IF(B32="","Désignation manquante","OK")))</f>
        <v/>
      </c>
      <c r="R32" s="39" t="str">
        <f>IF(OR(O32="Rupture",O32="À commander"),COUNTIF($O$5:O32,"Rupture")+COUNTIF($O$5:O32,"À commander"),"")</f>
        <v/>
      </c>
    </row>
    <row r="33">
      <c r="A33" s="37" t="n"/>
      <c r="B33" s="37" t="n"/>
      <c r="C33" s="37" t="n"/>
      <c r="D33" s="37" t="n"/>
      <c r="E33" s="37" t="n"/>
      <c r="F33" s="37" t="n"/>
      <c r="G33" s="38" t="n"/>
      <c r="H33" s="37" t="n"/>
      <c r="I33" s="37" t="n"/>
      <c r="J33" s="37" t="n"/>
      <c r="K33" s="39" t="str">
        <f>IF(A33="","",SUMIFS(mv_qty,mv_ref,A33,mv_type,"Entrée"))</f>
        <v/>
      </c>
      <c r="L33" s="39" t="str">
        <f>IF(A33="","",SUMIFS(mv_qty,mv_ref,A33,mv_type,"Sortie"))</f>
        <v/>
      </c>
      <c r="M33" s="39" t="str">
        <f>IF(A33="","",ROUND(N(H33)+K33-L33,6))</f>
        <v/>
      </c>
      <c r="N33" s="40" t="str">
        <f>IF(A33="","",M33*N(G33))</f>
        <v/>
      </c>
      <c r="O33" s="39" t="str">
        <f>IF(A33="","",IF(M33&lt;=0,"Rupture",IF(AND(I33&lt;&gt;"",M33&lt;=N(I33)),"À commander","OK")))</f>
        <v/>
      </c>
      <c r="P33" s="39" t="str">
        <f>IF(OR(A33="",O33="OK",J33=""),"",MAX(N(J33)-M33,0))</f>
        <v/>
      </c>
      <c r="Q33" s="39" t="str">
        <f>IF(A33="",IF(COUNTA(B33:J33)&gt;0,"Référence manquante",""),IF(COUNTIF($A$5:$A$1004,A33)&gt;1,"Référence en double",IF(B33="","Désignation manquante","OK")))</f>
        <v/>
      </c>
      <c r="R33" s="39" t="str">
        <f>IF(OR(O33="Rupture",O33="À commander"),COUNTIF($O$5:O33,"Rupture")+COUNTIF($O$5:O33,"À commander"),"")</f>
        <v/>
      </c>
    </row>
    <row r="34">
      <c r="A34" s="37" t="n"/>
      <c r="B34" s="37" t="n"/>
      <c r="C34" s="37" t="n"/>
      <c r="D34" s="37" t="n"/>
      <c r="E34" s="37" t="n"/>
      <c r="F34" s="37" t="n"/>
      <c r="G34" s="38" t="n"/>
      <c r="H34" s="37" t="n"/>
      <c r="I34" s="37" t="n"/>
      <c r="J34" s="37" t="n"/>
      <c r="K34" s="39" t="str">
        <f>IF(A34="","",SUMIFS(mv_qty,mv_ref,A34,mv_type,"Entrée"))</f>
        <v/>
      </c>
      <c r="L34" s="39" t="str">
        <f>IF(A34="","",SUMIFS(mv_qty,mv_ref,A34,mv_type,"Sortie"))</f>
        <v/>
      </c>
      <c r="M34" s="39" t="str">
        <f>IF(A34="","",ROUND(N(H34)+K34-L34,6))</f>
        <v/>
      </c>
      <c r="N34" s="40" t="str">
        <f>IF(A34="","",M34*N(G34))</f>
        <v/>
      </c>
      <c r="O34" s="39" t="str">
        <f>IF(A34="","",IF(M34&lt;=0,"Rupture",IF(AND(I34&lt;&gt;"",M34&lt;=N(I34)),"À commander","OK")))</f>
        <v/>
      </c>
      <c r="P34" s="39" t="str">
        <f>IF(OR(A34="",O34="OK",J34=""),"",MAX(N(J34)-M34,0))</f>
        <v/>
      </c>
      <c r="Q34" s="39" t="str">
        <f>IF(A34="",IF(COUNTA(B34:J34)&gt;0,"Référence manquante",""),IF(COUNTIF($A$5:$A$1004,A34)&gt;1,"Référence en double",IF(B34="","Désignation manquante","OK")))</f>
        <v/>
      </c>
      <c r="R34" s="39" t="str">
        <f>IF(OR(O34="Rupture",O34="À commander"),COUNTIF($O$5:O34,"Rupture")+COUNTIF($O$5:O34,"À commander"),"")</f>
        <v/>
      </c>
    </row>
    <row r="35">
      <c r="A35" s="37" t="n"/>
      <c r="B35" s="37" t="n"/>
      <c r="C35" s="37" t="n"/>
      <c r="D35" s="37" t="n"/>
      <c r="E35" s="37" t="n"/>
      <c r="F35" s="37" t="n"/>
      <c r="G35" s="38" t="n"/>
      <c r="H35" s="37" t="n"/>
      <c r="I35" s="37" t="n"/>
      <c r="J35" s="37" t="n"/>
      <c r="K35" s="39" t="str">
        <f>IF(A35="","",SUMIFS(mv_qty,mv_ref,A35,mv_type,"Entrée"))</f>
        <v/>
      </c>
      <c r="L35" s="39" t="str">
        <f>IF(A35="","",SUMIFS(mv_qty,mv_ref,A35,mv_type,"Sortie"))</f>
        <v/>
      </c>
      <c r="M35" s="39" t="str">
        <f>IF(A35="","",ROUND(N(H35)+K35-L35,6))</f>
        <v/>
      </c>
      <c r="N35" s="40" t="str">
        <f>IF(A35="","",M35*N(G35))</f>
        <v/>
      </c>
      <c r="O35" s="39" t="str">
        <f>IF(A35="","",IF(M35&lt;=0,"Rupture",IF(AND(I35&lt;&gt;"",M35&lt;=N(I35)),"À commander","OK")))</f>
        <v/>
      </c>
      <c r="P35" s="39" t="str">
        <f>IF(OR(A35="",O35="OK",J35=""),"",MAX(N(J35)-M35,0))</f>
        <v/>
      </c>
      <c r="Q35" s="39" t="str">
        <f>IF(A35="",IF(COUNTA(B35:J35)&gt;0,"Référence manquante",""),IF(COUNTIF($A$5:$A$1004,A35)&gt;1,"Référence en double",IF(B35="","Désignation manquante","OK")))</f>
        <v/>
      </c>
      <c r="R35" s="39" t="str">
        <f>IF(OR(O35="Rupture",O35="À commander"),COUNTIF($O$5:O35,"Rupture")+COUNTIF($O$5:O35,"À commander"),"")</f>
        <v/>
      </c>
    </row>
    <row r="36">
      <c r="A36" s="37" t="n"/>
      <c r="B36" s="37" t="n"/>
      <c r="C36" s="37" t="n"/>
      <c r="D36" s="37" t="n"/>
      <c r="E36" s="37" t="n"/>
      <c r="F36" s="37" t="n"/>
      <c r="G36" s="38" t="n"/>
      <c r="H36" s="37" t="n"/>
      <c r="I36" s="37" t="n"/>
      <c r="J36" s="37" t="n"/>
      <c r="K36" s="39" t="str">
        <f>IF(A36="","",SUMIFS(mv_qty,mv_ref,A36,mv_type,"Entrée"))</f>
        <v/>
      </c>
      <c r="L36" s="39" t="str">
        <f>IF(A36="","",SUMIFS(mv_qty,mv_ref,A36,mv_type,"Sortie"))</f>
        <v/>
      </c>
      <c r="M36" s="39" t="str">
        <f>IF(A36="","",ROUND(N(H36)+K36-L36,6))</f>
        <v/>
      </c>
      <c r="N36" s="40" t="str">
        <f>IF(A36="","",M36*N(G36))</f>
        <v/>
      </c>
      <c r="O36" s="39" t="str">
        <f>IF(A36="","",IF(M36&lt;=0,"Rupture",IF(AND(I36&lt;&gt;"",M36&lt;=N(I36)),"À commander","OK")))</f>
        <v/>
      </c>
      <c r="P36" s="39" t="str">
        <f>IF(OR(A36="",O36="OK",J36=""),"",MAX(N(J36)-M36,0))</f>
        <v/>
      </c>
      <c r="Q36" s="39" t="str">
        <f>IF(A36="",IF(COUNTA(B36:J36)&gt;0,"Référence manquante",""),IF(COUNTIF($A$5:$A$1004,A36)&gt;1,"Référence en double",IF(B36="","Désignation manquante","OK")))</f>
        <v/>
      </c>
      <c r="R36" s="39" t="str">
        <f>IF(OR(O36="Rupture",O36="À commander"),COUNTIF($O$5:O36,"Rupture")+COUNTIF($O$5:O36,"À commander"),"")</f>
        <v/>
      </c>
    </row>
    <row r="37">
      <c r="A37" s="37" t="n"/>
      <c r="B37" s="37" t="n"/>
      <c r="C37" s="37" t="n"/>
      <c r="D37" s="37" t="n"/>
      <c r="E37" s="37" t="n"/>
      <c r="F37" s="37" t="n"/>
      <c r="G37" s="38" t="n"/>
      <c r="H37" s="37" t="n"/>
      <c r="I37" s="37" t="n"/>
      <c r="J37" s="37" t="n"/>
      <c r="K37" s="39" t="str">
        <f>IF(A37="","",SUMIFS(mv_qty,mv_ref,A37,mv_type,"Entrée"))</f>
        <v/>
      </c>
      <c r="L37" s="39" t="str">
        <f>IF(A37="","",SUMIFS(mv_qty,mv_ref,A37,mv_type,"Sortie"))</f>
        <v/>
      </c>
      <c r="M37" s="39" t="str">
        <f>IF(A37="","",ROUND(N(H37)+K37-L37,6))</f>
        <v/>
      </c>
      <c r="N37" s="40" t="str">
        <f>IF(A37="","",M37*N(G37))</f>
        <v/>
      </c>
      <c r="O37" s="39" t="str">
        <f>IF(A37="","",IF(M37&lt;=0,"Rupture",IF(AND(I37&lt;&gt;"",M37&lt;=N(I37)),"À commander","OK")))</f>
        <v/>
      </c>
      <c r="P37" s="39" t="str">
        <f>IF(OR(A37="",O37="OK",J37=""),"",MAX(N(J37)-M37,0))</f>
        <v/>
      </c>
      <c r="Q37" s="39" t="str">
        <f>IF(A37="",IF(COUNTA(B37:J37)&gt;0,"Référence manquante",""),IF(COUNTIF($A$5:$A$1004,A37)&gt;1,"Référence en double",IF(B37="","Désignation manquante","OK")))</f>
        <v/>
      </c>
      <c r="R37" s="39" t="str">
        <f>IF(OR(O37="Rupture",O37="À commander"),COUNTIF($O$5:O37,"Rupture")+COUNTIF($O$5:O37,"À commander"),"")</f>
        <v/>
      </c>
    </row>
    <row r="38">
      <c r="A38" s="37" t="n"/>
      <c r="B38" s="37" t="n"/>
      <c r="C38" s="37" t="n"/>
      <c r="D38" s="37" t="n"/>
      <c r="E38" s="37" t="n"/>
      <c r="F38" s="37" t="n"/>
      <c r="G38" s="38" t="n"/>
      <c r="H38" s="37" t="n"/>
      <c r="I38" s="37" t="n"/>
      <c r="J38" s="37" t="n"/>
      <c r="K38" s="39" t="str">
        <f>IF(A38="","",SUMIFS(mv_qty,mv_ref,A38,mv_type,"Entrée"))</f>
        <v/>
      </c>
      <c r="L38" s="39" t="str">
        <f>IF(A38="","",SUMIFS(mv_qty,mv_ref,A38,mv_type,"Sortie"))</f>
        <v/>
      </c>
      <c r="M38" s="39" t="str">
        <f>IF(A38="","",ROUND(N(H38)+K38-L38,6))</f>
        <v/>
      </c>
      <c r="N38" s="40" t="str">
        <f>IF(A38="","",M38*N(G38))</f>
        <v/>
      </c>
      <c r="O38" s="39" t="str">
        <f>IF(A38="","",IF(M38&lt;=0,"Rupture",IF(AND(I38&lt;&gt;"",M38&lt;=N(I38)),"À commander","OK")))</f>
        <v/>
      </c>
      <c r="P38" s="39" t="str">
        <f>IF(OR(A38="",O38="OK",J38=""),"",MAX(N(J38)-M38,0))</f>
        <v/>
      </c>
      <c r="Q38" s="39" t="str">
        <f>IF(A38="",IF(COUNTA(B38:J38)&gt;0,"Référence manquante",""),IF(COUNTIF($A$5:$A$1004,A38)&gt;1,"Référence en double",IF(B38="","Désignation manquante","OK")))</f>
        <v/>
      </c>
      <c r="R38" s="39" t="str">
        <f>IF(OR(O38="Rupture",O38="À commander"),COUNTIF($O$5:O38,"Rupture")+COUNTIF($O$5:O38,"À commander"),"")</f>
        <v/>
      </c>
    </row>
    <row r="39">
      <c r="A39" s="37" t="n"/>
      <c r="B39" s="37" t="n"/>
      <c r="C39" s="37" t="n"/>
      <c r="D39" s="37" t="n"/>
      <c r="E39" s="37" t="n"/>
      <c r="F39" s="37" t="n"/>
      <c r="G39" s="38" t="n"/>
      <c r="H39" s="37" t="n"/>
      <c r="I39" s="37" t="n"/>
      <c r="J39" s="37" t="n"/>
      <c r="K39" s="39" t="str">
        <f>IF(A39="","",SUMIFS(mv_qty,mv_ref,A39,mv_type,"Entrée"))</f>
        <v/>
      </c>
      <c r="L39" s="39" t="str">
        <f>IF(A39="","",SUMIFS(mv_qty,mv_ref,A39,mv_type,"Sortie"))</f>
        <v/>
      </c>
      <c r="M39" s="39" t="str">
        <f>IF(A39="","",ROUND(N(H39)+K39-L39,6))</f>
        <v/>
      </c>
      <c r="N39" s="40" t="str">
        <f>IF(A39="","",M39*N(G39))</f>
        <v/>
      </c>
      <c r="O39" s="39" t="str">
        <f>IF(A39="","",IF(M39&lt;=0,"Rupture",IF(AND(I39&lt;&gt;"",M39&lt;=N(I39)),"À commander","OK")))</f>
        <v/>
      </c>
      <c r="P39" s="39" t="str">
        <f>IF(OR(A39="",O39="OK",J39=""),"",MAX(N(J39)-M39,0))</f>
        <v/>
      </c>
      <c r="Q39" s="39" t="str">
        <f>IF(A39="",IF(COUNTA(B39:J39)&gt;0,"Référence manquante",""),IF(COUNTIF($A$5:$A$1004,A39)&gt;1,"Référence en double",IF(B39="","Désignation manquante","OK")))</f>
        <v/>
      </c>
      <c r="R39" s="39" t="str">
        <f>IF(OR(O39="Rupture",O39="À commander"),COUNTIF($O$5:O39,"Rupture")+COUNTIF($O$5:O39,"À commander"),"")</f>
        <v/>
      </c>
    </row>
    <row r="40">
      <c r="A40" s="37" t="n"/>
      <c r="B40" s="37" t="n"/>
      <c r="C40" s="37" t="n"/>
      <c r="D40" s="37" t="n"/>
      <c r="E40" s="37" t="n"/>
      <c r="F40" s="37" t="n"/>
      <c r="G40" s="38" t="n"/>
      <c r="H40" s="37" t="n"/>
      <c r="I40" s="37" t="n"/>
      <c r="J40" s="37" t="n"/>
      <c r="K40" s="39" t="str">
        <f>IF(A40="","",SUMIFS(mv_qty,mv_ref,A40,mv_type,"Entrée"))</f>
        <v/>
      </c>
      <c r="L40" s="39" t="str">
        <f>IF(A40="","",SUMIFS(mv_qty,mv_ref,A40,mv_type,"Sortie"))</f>
        <v/>
      </c>
      <c r="M40" s="39" t="str">
        <f>IF(A40="","",ROUND(N(H40)+K40-L40,6))</f>
        <v/>
      </c>
      <c r="N40" s="40" t="str">
        <f>IF(A40="","",M40*N(G40))</f>
        <v/>
      </c>
      <c r="O40" s="39" t="str">
        <f>IF(A40="","",IF(M40&lt;=0,"Rupture",IF(AND(I40&lt;&gt;"",M40&lt;=N(I40)),"À commander","OK")))</f>
        <v/>
      </c>
      <c r="P40" s="39" t="str">
        <f>IF(OR(A40="",O40="OK",J40=""),"",MAX(N(J40)-M40,0))</f>
        <v/>
      </c>
      <c r="Q40" s="39" t="str">
        <f>IF(A40="",IF(COUNTA(B40:J40)&gt;0,"Référence manquante",""),IF(COUNTIF($A$5:$A$1004,A40)&gt;1,"Référence en double",IF(B40="","Désignation manquante","OK")))</f>
        <v/>
      </c>
      <c r="R40" s="39" t="str">
        <f>IF(OR(O40="Rupture",O40="À commander"),COUNTIF($O$5:O40,"Rupture")+COUNTIF($O$5:O40,"À commander"),"")</f>
        <v/>
      </c>
    </row>
    <row r="41">
      <c r="A41" s="37" t="n"/>
      <c r="B41" s="37" t="n"/>
      <c r="C41" s="37" t="n"/>
      <c r="D41" s="37" t="n"/>
      <c r="E41" s="37" t="n"/>
      <c r="F41" s="37" t="n"/>
      <c r="G41" s="38" t="n"/>
      <c r="H41" s="37" t="n"/>
      <c r="I41" s="37" t="n"/>
      <c r="J41" s="37" t="n"/>
      <c r="K41" s="39" t="str">
        <f>IF(A41="","",SUMIFS(mv_qty,mv_ref,A41,mv_type,"Entrée"))</f>
        <v/>
      </c>
      <c r="L41" s="39" t="str">
        <f>IF(A41="","",SUMIFS(mv_qty,mv_ref,A41,mv_type,"Sortie"))</f>
        <v/>
      </c>
      <c r="M41" s="39" t="str">
        <f>IF(A41="","",ROUND(N(H41)+K41-L41,6))</f>
        <v/>
      </c>
      <c r="N41" s="40" t="str">
        <f>IF(A41="","",M41*N(G41))</f>
        <v/>
      </c>
      <c r="O41" s="39" t="str">
        <f>IF(A41="","",IF(M41&lt;=0,"Rupture",IF(AND(I41&lt;&gt;"",M41&lt;=N(I41)),"À commander","OK")))</f>
        <v/>
      </c>
      <c r="P41" s="39" t="str">
        <f>IF(OR(A41="",O41="OK",J41=""),"",MAX(N(J41)-M41,0))</f>
        <v/>
      </c>
      <c r="Q41" s="39" t="str">
        <f>IF(A41="",IF(COUNTA(B41:J41)&gt;0,"Référence manquante",""),IF(COUNTIF($A$5:$A$1004,A41)&gt;1,"Référence en double",IF(B41="","Désignation manquante","OK")))</f>
        <v/>
      </c>
      <c r="R41" s="39" t="str">
        <f>IF(OR(O41="Rupture",O41="À commander"),COUNTIF($O$5:O41,"Rupture")+COUNTIF($O$5:O41,"À commander"),"")</f>
        <v/>
      </c>
    </row>
    <row r="42">
      <c r="A42" s="37" t="n"/>
      <c r="B42" s="37" t="n"/>
      <c r="C42" s="37" t="n"/>
      <c r="D42" s="37" t="n"/>
      <c r="E42" s="37" t="n"/>
      <c r="F42" s="37" t="n"/>
      <c r="G42" s="38" t="n"/>
      <c r="H42" s="37" t="n"/>
      <c r="I42" s="37" t="n"/>
      <c r="J42" s="37" t="n"/>
      <c r="K42" s="39" t="str">
        <f>IF(A42="","",SUMIFS(mv_qty,mv_ref,A42,mv_type,"Entrée"))</f>
        <v/>
      </c>
      <c r="L42" s="39" t="str">
        <f>IF(A42="","",SUMIFS(mv_qty,mv_ref,A42,mv_type,"Sortie"))</f>
        <v/>
      </c>
      <c r="M42" s="39" t="str">
        <f>IF(A42="","",ROUND(N(H42)+K42-L42,6))</f>
        <v/>
      </c>
      <c r="N42" s="40" t="str">
        <f>IF(A42="","",M42*N(G42))</f>
        <v/>
      </c>
      <c r="O42" s="39" t="str">
        <f>IF(A42="","",IF(M42&lt;=0,"Rupture",IF(AND(I42&lt;&gt;"",M42&lt;=N(I42)),"À commander","OK")))</f>
        <v/>
      </c>
      <c r="P42" s="39" t="str">
        <f>IF(OR(A42="",O42="OK",J42=""),"",MAX(N(J42)-M42,0))</f>
        <v/>
      </c>
      <c r="Q42" s="39" t="str">
        <f>IF(A42="",IF(COUNTA(B42:J42)&gt;0,"Référence manquante",""),IF(COUNTIF($A$5:$A$1004,A42)&gt;1,"Référence en double",IF(B42="","Désignation manquante","OK")))</f>
        <v/>
      </c>
      <c r="R42" s="39" t="str">
        <f>IF(OR(O42="Rupture",O42="À commander"),COUNTIF($O$5:O42,"Rupture")+COUNTIF($O$5:O42,"À commander"),"")</f>
        <v/>
      </c>
    </row>
    <row r="43">
      <c r="A43" s="37" t="n"/>
      <c r="B43" s="37" t="n"/>
      <c r="C43" s="37" t="n"/>
      <c r="D43" s="37" t="n"/>
      <c r="E43" s="37" t="n"/>
      <c r="F43" s="37" t="n"/>
      <c r="G43" s="38" t="n"/>
      <c r="H43" s="37" t="n"/>
      <c r="I43" s="37" t="n"/>
      <c r="J43" s="37" t="n"/>
      <c r="K43" s="39" t="str">
        <f>IF(A43="","",SUMIFS(mv_qty,mv_ref,A43,mv_type,"Entrée"))</f>
        <v/>
      </c>
      <c r="L43" s="39" t="str">
        <f>IF(A43="","",SUMIFS(mv_qty,mv_ref,A43,mv_type,"Sortie"))</f>
        <v/>
      </c>
      <c r="M43" s="39" t="str">
        <f>IF(A43="","",ROUND(N(H43)+K43-L43,6))</f>
        <v/>
      </c>
      <c r="N43" s="40" t="str">
        <f>IF(A43="","",M43*N(G43))</f>
        <v/>
      </c>
      <c r="O43" s="39" t="str">
        <f>IF(A43="","",IF(M43&lt;=0,"Rupture",IF(AND(I43&lt;&gt;"",M43&lt;=N(I43)),"À commander","OK")))</f>
        <v/>
      </c>
      <c r="P43" s="39" t="str">
        <f>IF(OR(A43="",O43="OK",J43=""),"",MAX(N(J43)-M43,0))</f>
        <v/>
      </c>
      <c r="Q43" s="39" t="str">
        <f>IF(A43="",IF(COUNTA(B43:J43)&gt;0,"Référence manquante",""),IF(COUNTIF($A$5:$A$1004,A43)&gt;1,"Référence en double",IF(B43="","Désignation manquante","OK")))</f>
        <v/>
      </c>
      <c r="R43" s="39" t="str">
        <f>IF(OR(O43="Rupture",O43="À commander"),COUNTIF($O$5:O43,"Rupture")+COUNTIF($O$5:O43,"À commander"),"")</f>
        <v/>
      </c>
    </row>
    <row r="44">
      <c r="A44" s="37" t="n"/>
      <c r="B44" s="37" t="n"/>
      <c r="C44" s="37" t="n"/>
      <c r="D44" s="37" t="n"/>
      <c r="E44" s="37" t="n"/>
      <c r="F44" s="37" t="n"/>
      <c r="G44" s="38" t="n"/>
      <c r="H44" s="37" t="n"/>
      <c r="I44" s="37" t="n"/>
      <c r="J44" s="37" t="n"/>
      <c r="K44" s="39" t="str">
        <f>IF(A44="","",SUMIFS(mv_qty,mv_ref,A44,mv_type,"Entrée"))</f>
        <v/>
      </c>
      <c r="L44" s="39" t="str">
        <f>IF(A44="","",SUMIFS(mv_qty,mv_ref,A44,mv_type,"Sortie"))</f>
        <v/>
      </c>
      <c r="M44" s="39" t="str">
        <f>IF(A44="","",ROUND(N(H44)+K44-L44,6))</f>
        <v/>
      </c>
      <c r="N44" s="40" t="str">
        <f>IF(A44="","",M44*N(G44))</f>
        <v/>
      </c>
      <c r="O44" s="39" t="str">
        <f>IF(A44="","",IF(M44&lt;=0,"Rupture",IF(AND(I44&lt;&gt;"",M44&lt;=N(I44)),"À commander","OK")))</f>
        <v/>
      </c>
      <c r="P44" s="39" t="str">
        <f>IF(OR(A44="",O44="OK",J44=""),"",MAX(N(J44)-M44,0))</f>
        <v/>
      </c>
      <c r="Q44" s="39" t="str">
        <f>IF(A44="",IF(COUNTA(B44:J44)&gt;0,"Référence manquante",""),IF(COUNTIF($A$5:$A$1004,A44)&gt;1,"Référence en double",IF(B44="","Désignation manquante","OK")))</f>
        <v/>
      </c>
      <c r="R44" s="39" t="str">
        <f>IF(OR(O44="Rupture",O44="À commander"),COUNTIF($O$5:O44,"Rupture")+COUNTIF($O$5:O44,"À commander"),"")</f>
        <v/>
      </c>
    </row>
    <row r="45">
      <c r="A45" s="37" t="n"/>
      <c r="B45" s="37" t="n"/>
      <c r="C45" s="37" t="n"/>
      <c r="D45" s="37" t="n"/>
      <c r="E45" s="37" t="n"/>
      <c r="F45" s="37" t="n"/>
      <c r="G45" s="38" t="n"/>
      <c r="H45" s="37" t="n"/>
      <c r="I45" s="37" t="n"/>
      <c r="J45" s="37" t="n"/>
      <c r="K45" s="39" t="str">
        <f>IF(A45="","",SUMIFS(mv_qty,mv_ref,A45,mv_type,"Entrée"))</f>
        <v/>
      </c>
      <c r="L45" s="39" t="str">
        <f>IF(A45="","",SUMIFS(mv_qty,mv_ref,A45,mv_type,"Sortie"))</f>
        <v/>
      </c>
      <c r="M45" s="39" t="str">
        <f>IF(A45="","",ROUND(N(H45)+K45-L45,6))</f>
        <v/>
      </c>
      <c r="N45" s="40" t="str">
        <f>IF(A45="","",M45*N(G45))</f>
        <v/>
      </c>
      <c r="O45" s="39" t="str">
        <f>IF(A45="","",IF(M45&lt;=0,"Rupture",IF(AND(I45&lt;&gt;"",M45&lt;=N(I45)),"À commander","OK")))</f>
        <v/>
      </c>
      <c r="P45" s="39" t="str">
        <f>IF(OR(A45="",O45="OK",J45=""),"",MAX(N(J45)-M45,0))</f>
        <v/>
      </c>
      <c r="Q45" s="39" t="str">
        <f>IF(A45="",IF(COUNTA(B45:J45)&gt;0,"Référence manquante",""),IF(COUNTIF($A$5:$A$1004,A45)&gt;1,"Référence en double",IF(B45="","Désignation manquante","OK")))</f>
        <v/>
      </c>
      <c r="R45" s="39" t="str">
        <f>IF(OR(O45="Rupture",O45="À commander"),COUNTIF($O$5:O45,"Rupture")+COUNTIF($O$5:O45,"À commander"),"")</f>
        <v/>
      </c>
    </row>
    <row r="46">
      <c r="A46" s="37" t="n"/>
      <c r="B46" s="37" t="n"/>
      <c r="C46" s="37" t="n"/>
      <c r="D46" s="37" t="n"/>
      <c r="E46" s="37" t="n"/>
      <c r="F46" s="37" t="n"/>
      <c r="G46" s="38" t="n"/>
      <c r="H46" s="37" t="n"/>
      <c r="I46" s="37" t="n"/>
      <c r="J46" s="37" t="n"/>
      <c r="K46" s="39" t="str">
        <f>IF(A46="","",SUMIFS(mv_qty,mv_ref,A46,mv_type,"Entrée"))</f>
        <v/>
      </c>
      <c r="L46" s="39" t="str">
        <f>IF(A46="","",SUMIFS(mv_qty,mv_ref,A46,mv_type,"Sortie"))</f>
        <v/>
      </c>
      <c r="M46" s="39" t="str">
        <f>IF(A46="","",ROUND(N(H46)+K46-L46,6))</f>
        <v/>
      </c>
      <c r="N46" s="40" t="str">
        <f>IF(A46="","",M46*N(G46))</f>
        <v/>
      </c>
      <c r="O46" s="39" t="str">
        <f>IF(A46="","",IF(M46&lt;=0,"Rupture",IF(AND(I46&lt;&gt;"",M46&lt;=N(I46)),"À commander","OK")))</f>
        <v/>
      </c>
      <c r="P46" s="39" t="str">
        <f>IF(OR(A46="",O46="OK",J46=""),"",MAX(N(J46)-M46,0))</f>
        <v/>
      </c>
      <c r="Q46" s="39" t="str">
        <f>IF(A46="",IF(COUNTA(B46:J46)&gt;0,"Référence manquante",""),IF(COUNTIF($A$5:$A$1004,A46)&gt;1,"Référence en double",IF(B46="","Désignation manquante","OK")))</f>
        <v/>
      </c>
      <c r="R46" s="39" t="str">
        <f>IF(OR(O46="Rupture",O46="À commander"),COUNTIF($O$5:O46,"Rupture")+COUNTIF($O$5:O46,"À commander"),"")</f>
        <v/>
      </c>
    </row>
    <row r="47">
      <c r="A47" s="37" t="n"/>
      <c r="B47" s="37" t="n"/>
      <c r="C47" s="37" t="n"/>
      <c r="D47" s="37" t="n"/>
      <c r="E47" s="37" t="n"/>
      <c r="F47" s="37" t="n"/>
      <c r="G47" s="38" t="n"/>
      <c r="H47" s="37" t="n"/>
      <c r="I47" s="37" t="n"/>
      <c r="J47" s="37" t="n"/>
      <c r="K47" s="39" t="str">
        <f>IF(A47="","",SUMIFS(mv_qty,mv_ref,A47,mv_type,"Entrée"))</f>
        <v/>
      </c>
      <c r="L47" s="39" t="str">
        <f>IF(A47="","",SUMIFS(mv_qty,mv_ref,A47,mv_type,"Sortie"))</f>
        <v/>
      </c>
      <c r="M47" s="39" t="str">
        <f>IF(A47="","",ROUND(N(H47)+K47-L47,6))</f>
        <v/>
      </c>
      <c r="N47" s="40" t="str">
        <f>IF(A47="","",M47*N(G47))</f>
        <v/>
      </c>
      <c r="O47" s="39" t="str">
        <f>IF(A47="","",IF(M47&lt;=0,"Rupture",IF(AND(I47&lt;&gt;"",M47&lt;=N(I47)),"À commander","OK")))</f>
        <v/>
      </c>
      <c r="P47" s="39" t="str">
        <f>IF(OR(A47="",O47="OK",J47=""),"",MAX(N(J47)-M47,0))</f>
        <v/>
      </c>
      <c r="Q47" s="39" t="str">
        <f>IF(A47="",IF(COUNTA(B47:J47)&gt;0,"Référence manquante",""),IF(COUNTIF($A$5:$A$1004,A47)&gt;1,"Référence en double",IF(B47="","Désignation manquante","OK")))</f>
        <v/>
      </c>
      <c r="R47" s="39" t="str">
        <f>IF(OR(O47="Rupture",O47="À commander"),COUNTIF($O$5:O47,"Rupture")+COUNTIF($O$5:O47,"À commander"),"")</f>
        <v/>
      </c>
    </row>
    <row r="48">
      <c r="A48" s="37" t="n"/>
      <c r="B48" s="37" t="n"/>
      <c r="C48" s="37" t="n"/>
      <c r="D48" s="37" t="n"/>
      <c r="E48" s="37" t="n"/>
      <c r="F48" s="37" t="n"/>
      <c r="G48" s="38" t="n"/>
      <c r="H48" s="37" t="n"/>
      <c r="I48" s="37" t="n"/>
      <c r="J48" s="37" t="n"/>
      <c r="K48" s="39" t="str">
        <f>IF(A48="","",SUMIFS(mv_qty,mv_ref,A48,mv_type,"Entrée"))</f>
        <v/>
      </c>
      <c r="L48" s="39" t="str">
        <f>IF(A48="","",SUMIFS(mv_qty,mv_ref,A48,mv_type,"Sortie"))</f>
        <v/>
      </c>
      <c r="M48" s="39" t="str">
        <f>IF(A48="","",ROUND(N(H48)+K48-L48,6))</f>
        <v/>
      </c>
      <c r="N48" s="40" t="str">
        <f>IF(A48="","",M48*N(G48))</f>
        <v/>
      </c>
      <c r="O48" s="39" t="str">
        <f>IF(A48="","",IF(M48&lt;=0,"Rupture",IF(AND(I48&lt;&gt;"",M48&lt;=N(I48)),"À commander","OK")))</f>
        <v/>
      </c>
      <c r="P48" s="39" t="str">
        <f>IF(OR(A48="",O48="OK",J48=""),"",MAX(N(J48)-M48,0))</f>
        <v/>
      </c>
      <c r="Q48" s="39" t="str">
        <f>IF(A48="",IF(COUNTA(B48:J48)&gt;0,"Référence manquante",""),IF(COUNTIF($A$5:$A$1004,A48)&gt;1,"Référence en double",IF(B48="","Désignation manquante","OK")))</f>
        <v/>
      </c>
      <c r="R48" s="39" t="str">
        <f>IF(OR(O48="Rupture",O48="À commander"),COUNTIF($O$5:O48,"Rupture")+COUNTIF($O$5:O48,"À commander"),"")</f>
        <v/>
      </c>
    </row>
    <row r="49">
      <c r="A49" s="37" t="n"/>
      <c r="B49" s="37" t="n"/>
      <c r="C49" s="37" t="n"/>
      <c r="D49" s="37" t="n"/>
      <c r="E49" s="37" t="n"/>
      <c r="F49" s="37" t="n"/>
      <c r="G49" s="38" t="n"/>
      <c r="H49" s="37" t="n"/>
      <c r="I49" s="37" t="n"/>
      <c r="J49" s="37" t="n"/>
      <c r="K49" s="39" t="str">
        <f>IF(A49="","",SUMIFS(mv_qty,mv_ref,A49,mv_type,"Entrée"))</f>
        <v/>
      </c>
      <c r="L49" s="39" t="str">
        <f>IF(A49="","",SUMIFS(mv_qty,mv_ref,A49,mv_type,"Sortie"))</f>
        <v/>
      </c>
      <c r="M49" s="39" t="str">
        <f>IF(A49="","",ROUND(N(H49)+K49-L49,6))</f>
        <v/>
      </c>
      <c r="N49" s="40" t="str">
        <f>IF(A49="","",M49*N(G49))</f>
        <v/>
      </c>
      <c r="O49" s="39" t="str">
        <f>IF(A49="","",IF(M49&lt;=0,"Rupture",IF(AND(I49&lt;&gt;"",M49&lt;=N(I49)),"À commander","OK")))</f>
        <v/>
      </c>
      <c r="P49" s="39" t="str">
        <f>IF(OR(A49="",O49="OK",J49=""),"",MAX(N(J49)-M49,0))</f>
        <v/>
      </c>
      <c r="Q49" s="39" t="str">
        <f>IF(A49="",IF(COUNTA(B49:J49)&gt;0,"Référence manquante",""),IF(COUNTIF($A$5:$A$1004,A49)&gt;1,"Référence en double",IF(B49="","Désignation manquante","OK")))</f>
        <v/>
      </c>
      <c r="R49" s="39" t="str">
        <f>IF(OR(O49="Rupture",O49="À commander"),COUNTIF($O$5:O49,"Rupture")+COUNTIF($O$5:O49,"À commander"),"")</f>
        <v/>
      </c>
    </row>
    <row r="50">
      <c r="A50" s="37" t="n"/>
      <c r="B50" s="37" t="n"/>
      <c r="C50" s="37" t="n"/>
      <c r="D50" s="37" t="n"/>
      <c r="E50" s="37" t="n"/>
      <c r="F50" s="37" t="n"/>
      <c r="G50" s="38" t="n"/>
      <c r="H50" s="37" t="n"/>
      <c r="I50" s="37" t="n"/>
      <c r="J50" s="37" t="n"/>
      <c r="K50" s="39" t="str">
        <f>IF(A50="","",SUMIFS(mv_qty,mv_ref,A50,mv_type,"Entrée"))</f>
        <v/>
      </c>
      <c r="L50" s="39" t="str">
        <f>IF(A50="","",SUMIFS(mv_qty,mv_ref,A50,mv_type,"Sortie"))</f>
        <v/>
      </c>
      <c r="M50" s="39" t="str">
        <f>IF(A50="","",ROUND(N(H50)+K50-L50,6))</f>
        <v/>
      </c>
      <c r="N50" s="40" t="str">
        <f>IF(A50="","",M50*N(G50))</f>
        <v/>
      </c>
      <c r="O50" s="39" t="str">
        <f>IF(A50="","",IF(M50&lt;=0,"Rupture",IF(AND(I50&lt;&gt;"",M50&lt;=N(I50)),"À commander","OK")))</f>
        <v/>
      </c>
      <c r="P50" s="39" t="str">
        <f>IF(OR(A50="",O50="OK",J50=""),"",MAX(N(J50)-M50,0))</f>
        <v/>
      </c>
      <c r="Q50" s="39" t="str">
        <f>IF(A50="",IF(COUNTA(B50:J50)&gt;0,"Référence manquante",""),IF(COUNTIF($A$5:$A$1004,A50)&gt;1,"Référence en double",IF(B50="","Désignation manquante","OK")))</f>
        <v/>
      </c>
      <c r="R50" s="39" t="str">
        <f>IF(OR(O50="Rupture",O50="À commander"),COUNTIF($O$5:O50,"Rupture")+COUNTIF($O$5:O50,"À commander"),"")</f>
        <v/>
      </c>
    </row>
    <row r="51">
      <c r="A51" s="37" t="n"/>
      <c r="B51" s="37" t="n"/>
      <c r="C51" s="37" t="n"/>
      <c r="D51" s="37" t="n"/>
      <c r="E51" s="37" t="n"/>
      <c r="F51" s="37" t="n"/>
      <c r="G51" s="38" t="n"/>
      <c r="H51" s="37" t="n"/>
      <c r="I51" s="37" t="n"/>
      <c r="J51" s="37" t="n"/>
      <c r="K51" s="39" t="str">
        <f>IF(A51="","",SUMIFS(mv_qty,mv_ref,A51,mv_type,"Entrée"))</f>
        <v/>
      </c>
      <c r="L51" s="39" t="str">
        <f>IF(A51="","",SUMIFS(mv_qty,mv_ref,A51,mv_type,"Sortie"))</f>
        <v/>
      </c>
      <c r="M51" s="39" t="str">
        <f>IF(A51="","",ROUND(N(H51)+K51-L51,6))</f>
        <v/>
      </c>
      <c r="N51" s="40" t="str">
        <f>IF(A51="","",M51*N(G51))</f>
        <v/>
      </c>
      <c r="O51" s="39" t="str">
        <f>IF(A51="","",IF(M51&lt;=0,"Rupture",IF(AND(I51&lt;&gt;"",M51&lt;=N(I51)),"À commander","OK")))</f>
        <v/>
      </c>
      <c r="P51" s="39" t="str">
        <f>IF(OR(A51="",O51="OK",J51=""),"",MAX(N(J51)-M51,0))</f>
        <v/>
      </c>
      <c r="Q51" s="39" t="str">
        <f>IF(A51="",IF(COUNTA(B51:J51)&gt;0,"Référence manquante",""),IF(COUNTIF($A$5:$A$1004,A51)&gt;1,"Référence en double",IF(B51="","Désignation manquante","OK")))</f>
        <v/>
      </c>
      <c r="R51" s="39" t="str">
        <f>IF(OR(O51="Rupture",O51="À commander"),COUNTIF($O$5:O51,"Rupture")+COUNTIF($O$5:O51,"À commander"),"")</f>
        <v/>
      </c>
    </row>
    <row r="52">
      <c r="A52" s="37" t="n"/>
      <c r="B52" s="37" t="n"/>
      <c r="C52" s="37" t="n"/>
      <c r="D52" s="37" t="n"/>
      <c r="E52" s="37" t="n"/>
      <c r="F52" s="37" t="n"/>
      <c r="G52" s="38" t="n"/>
      <c r="H52" s="37" t="n"/>
      <c r="I52" s="37" t="n"/>
      <c r="J52" s="37" t="n"/>
      <c r="K52" s="39" t="str">
        <f>IF(A52="","",SUMIFS(mv_qty,mv_ref,A52,mv_type,"Entrée"))</f>
        <v/>
      </c>
      <c r="L52" s="39" t="str">
        <f>IF(A52="","",SUMIFS(mv_qty,mv_ref,A52,mv_type,"Sortie"))</f>
        <v/>
      </c>
      <c r="M52" s="39" t="str">
        <f>IF(A52="","",ROUND(N(H52)+K52-L52,6))</f>
        <v/>
      </c>
      <c r="N52" s="40" t="str">
        <f>IF(A52="","",M52*N(G52))</f>
        <v/>
      </c>
      <c r="O52" s="39" t="str">
        <f>IF(A52="","",IF(M52&lt;=0,"Rupture",IF(AND(I52&lt;&gt;"",M52&lt;=N(I52)),"À commander","OK")))</f>
        <v/>
      </c>
      <c r="P52" s="39" t="str">
        <f>IF(OR(A52="",O52="OK",J52=""),"",MAX(N(J52)-M52,0))</f>
        <v/>
      </c>
      <c r="Q52" s="39" t="str">
        <f>IF(A52="",IF(COUNTA(B52:J52)&gt;0,"Référence manquante",""),IF(COUNTIF($A$5:$A$1004,A52)&gt;1,"Référence en double",IF(B52="","Désignation manquante","OK")))</f>
        <v/>
      </c>
      <c r="R52" s="39" t="str">
        <f>IF(OR(O52="Rupture",O52="À commander"),COUNTIF($O$5:O52,"Rupture")+COUNTIF($O$5:O52,"À commander"),"")</f>
        <v/>
      </c>
    </row>
    <row r="53">
      <c r="A53" s="37" t="n"/>
      <c r="B53" s="37" t="n"/>
      <c r="C53" s="37" t="n"/>
      <c r="D53" s="37" t="n"/>
      <c r="E53" s="37" t="n"/>
      <c r="F53" s="37" t="n"/>
      <c r="G53" s="38" t="n"/>
      <c r="H53" s="37" t="n"/>
      <c r="I53" s="37" t="n"/>
      <c r="J53" s="37" t="n"/>
      <c r="K53" s="39" t="str">
        <f>IF(A53="","",SUMIFS(mv_qty,mv_ref,A53,mv_type,"Entrée"))</f>
        <v/>
      </c>
      <c r="L53" s="39" t="str">
        <f>IF(A53="","",SUMIFS(mv_qty,mv_ref,A53,mv_type,"Sortie"))</f>
        <v/>
      </c>
      <c r="M53" s="39" t="str">
        <f>IF(A53="","",ROUND(N(H53)+K53-L53,6))</f>
        <v/>
      </c>
      <c r="N53" s="40" t="str">
        <f>IF(A53="","",M53*N(G53))</f>
        <v/>
      </c>
      <c r="O53" s="39" t="str">
        <f>IF(A53="","",IF(M53&lt;=0,"Rupture",IF(AND(I53&lt;&gt;"",M53&lt;=N(I53)),"À commander","OK")))</f>
        <v/>
      </c>
      <c r="P53" s="39" t="str">
        <f>IF(OR(A53="",O53="OK",J53=""),"",MAX(N(J53)-M53,0))</f>
        <v/>
      </c>
      <c r="Q53" s="39" t="str">
        <f>IF(A53="",IF(COUNTA(B53:J53)&gt;0,"Référence manquante",""),IF(COUNTIF($A$5:$A$1004,A53)&gt;1,"Référence en double",IF(B53="","Désignation manquante","OK")))</f>
        <v/>
      </c>
      <c r="R53" s="39" t="str">
        <f>IF(OR(O53="Rupture",O53="À commander"),COUNTIF($O$5:O53,"Rupture")+COUNTIF($O$5:O53,"À commander"),"")</f>
        <v/>
      </c>
    </row>
    <row r="54">
      <c r="A54" s="37" t="n"/>
      <c r="B54" s="37" t="n"/>
      <c r="C54" s="37" t="n"/>
      <c r="D54" s="37" t="n"/>
      <c r="E54" s="37" t="n"/>
      <c r="F54" s="37" t="n"/>
      <c r="G54" s="38" t="n"/>
      <c r="H54" s="37" t="n"/>
      <c r="I54" s="37" t="n"/>
      <c r="J54" s="37" t="n"/>
      <c r="K54" s="39" t="str">
        <f>IF(A54="","",SUMIFS(mv_qty,mv_ref,A54,mv_type,"Entrée"))</f>
        <v/>
      </c>
      <c r="L54" s="39" t="str">
        <f>IF(A54="","",SUMIFS(mv_qty,mv_ref,A54,mv_type,"Sortie"))</f>
        <v/>
      </c>
      <c r="M54" s="39" t="str">
        <f>IF(A54="","",ROUND(N(H54)+K54-L54,6))</f>
        <v/>
      </c>
      <c r="N54" s="40" t="str">
        <f>IF(A54="","",M54*N(G54))</f>
        <v/>
      </c>
      <c r="O54" s="39" t="str">
        <f>IF(A54="","",IF(M54&lt;=0,"Rupture",IF(AND(I54&lt;&gt;"",M54&lt;=N(I54)),"À commander","OK")))</f>
        <v/>
      </c>
      <c r="P54" s="39" t="str">
        <f>IF(OR(A54="",O54="OK",J54=""),"",MAX(N(J54)-M54,0))</f>
        <v/>
      </c>
      <c r="Q54" s="39" t="str">
        <f>IF(A54="",IF(COUNTA(B54:J54)&gt;0,"Référence manquante",""),IF(COUNTIF($A$5:$A$1004,A54)&gt;1,"Référence en double",IF(B54="","Désignation manquante","OK")))</f>
        <v/>
      </c>
      <c r="R54" s="39" t="str">
        <f>IF(OR(O54="Rupture",O54="À commander"),COUNTIF($O$5:O54,"Rupture")+COUNTIF($O$5:O54,"À commander"),"")</f>
        <v/>
      </c>
    </row>
    <row r="55">
      <c r="A55" s="37" t="n"/>
      <c r="B55" s="37" t="n"/>
      <c r="C55" s="37" t="n"/>
      <c r="D55" s="37" t="n"/>
      <c r="E55" s="37" t="n"/>
      <c r="F55" s="37" t="n"/>
      <c r="G55" s="38" t="n"/>
      <c r="H55" s="37" t="n"/>
      <c r="I55" s="37" t="n"/>
      <c r="J55" s="37" t="n"/>
      <c r="K55" s="39" t="str">
        <f>IF(A55="","",SUMIFS(mv_qty,mv_ref,A55,mv_type,"Entrée"))</f>
        <v/>
      </c>
      <c r="L55" s="39" t="str">
        <f>IF(A55="","",SUMIFS(mv_qty,mv_ref,A55,mv_type,"Sortie"))</f>
        <v/>
      </c>
      <c r="M55" s="39" t="str">
        <f>IF(A55="","",ROUND(N(H55)+K55-L55,6))</f>
        <v/>
      </c>
      <c r="N55" s="40" t="str">
        <f>IF(A55="","",M55*N(G55))</f>
        <v/>
      </c>
      <c r="O55" s="39" t="str">
        <f>IF(A55="","",IF(M55&lt;=0,"Rupture",IF(AND(I55&lt;&gt;"",M55&lt;=N(I55)),"À commander","OK")))</f>
        <v/>
      </c>
      <c r="P55" s="39" t="str">
        <f>IF(OR(A55="",O55="OK",J55=""),"",MAX(N(J55)-M55,0))</f>
        <v/>
      </c>
      <c r="Q55" s="39" t="str">
        <f>IF(A55="",IF(COUNTA(B55:J55)&gt;0,"Référence manquante",""),IF(COUNTIF($A$5:$A$1004,A55)&gt;1,"Référence en double",IF(B55="","Désignation manquante","OK")))</f>
        <v/>
      </c>
      <c r="R55" s="39" t="str">
        <f>IF(OR(O55="Rupture",O55="À commander"),COUNTIF($O$5:O55,"Rupture")+COUNTIF($O$5:O55,"À commander"),"")</f>
        <v/>
      </c>
    </row>
    <row r="56">
      <c r="A56" s="37" t="n"/>
      <c r="B56" s="37" t="n"/>
      <c r="C56" s="37" t="n"/>
      <c r="D56" s="37" t="n"/>
      <c r="E56" s="37" t="n"/>
      <c r="F56" s="37" t="n"/>
      <c r="G56" s="38" t="n"/>
      <c r="H56" s="37" t="n"/>
      <c r="I56" s="37" t="n"/>
      <c r="J56" s="37" t="n"/>
      <c r="K56" s="39" t="str">
        <f>IF(A56="","",SUMIFS(mv_qty,mv_ref,A56,mv_type,"Entrée"))</f>
        <v/>
      </c>
      <c r="L56" s="39" t="str">
        <f>IF(A56="","",SUMIFS(mv_qty,mv_ref,A56,mv_type,"Sortie"))</f>
        <v/>
      </c>
      <c r="M56" s="39" t="str">
        <f>IF(A56="","",ROUND(N(H56)+K56-L56,6))</f>
        <v/>
      </c>
      <c r="N56" s="40" t="str">
        <f>IF(A56="","",M56*N(G56))</f>
        <v/>
      </c>
      <c r="O56" s="39" t="str">
        <f>IF(A56="","",IF(M56&lt;=0,"Rupture",IF(AND(I56&lt;&gt;"",M56&lt;=N(I56)),"À commander","OK")))</f>
        <v/>
      </c>
      <c r="P56" s="39" t="str">
        <f>IF(OR(A56="",O56="OK",J56=""),"",MAX(N(J56)-M56,0))</f>
        <v/>
      </c>
      <c r="Q56" s="39" t="str">
        <f>IF(A56="",IF(COUNTA(B56:J56)&gt;0,"Référence manquante",""),IF(COUNTIF($A$5:$A$1004,A56)&gt;1,"Référence en double",IF(B56="","Désignation manquante","OK")))</f>
        <v/>
      </c>
      <c r="R56" s="39" t="str">
        <f>IF(OR(O56="Rupture",O56="À commander"),COUNTIF($O$5:O56,"Rupture")+COUNTIF($O$5:O56,"À commander"),"")</f>
        <v/>
      </c>
    </row>
    <row r="57">
      <c r="A57" s="37" t="n"/>
      <c r="B57" s="37" t="n"/>
      <c r="C57" s="37" t="n"/>
      <c r="D57" s="37" t="n"/>
      <c r="E57" s="37" t="n"/>
      <c r="F57" s="37" t="n"/>
      <c r="G57" s="38" t="n"/>
      <c r="H57" s="37" t="n"/>
      <c r="I57" s="37" t="n"/>
      <c r="J57" s="37" t="n"/>
      <c r="K57" s="39" t="str">
        <f>IF(A57="","",SUMIFS(mv_qty,mv_ref,A57,mv_type,"Entrée"))</f>
        <v/>
      </c>
      <c r="L57" s="39" t="str">
        <f>IF(A57="","",SUMIFS(mv_qty,mv_ref,A57,mv_type,"Sortie"))</f>
        <v/>
      </c>
      <c r="M57" s="39" t="str">
        <f>IF(A57="","",ROUND(N(H57)+K57-L57,6))</f>
        <v/>
      </c>
      <c r="N57" s="40" t="str">
        <f>IF(A57="","",M57*N(G57))</f>
        <v/>
      </c>
      <c r="O57" s="39" t="str">
        <f>IF(A57="","",IF(M57&lt;=0,"Rupture",IF(AND(I57&lt;&gt;"",M57&lt;=N(I57)),"À commander","OK")))</f>
        <v/>
      </c>
      <c r="P57" s="39" t="str">
        <f>IF(OR(A57="",O57="OK",J57=""),"",MAX(N(J57)-M57,0))</f>
        <v/>
      </c>
      <c r="Q57" s="39" t="str">
        <f>IF(A57="",IF(COUNTA(B57:J57)&gt;0,"Référence manquante",""),IF(COUNTIF($A$5:$A$1004,A57)&gt;1,"Référence en double",IF(B57="","Désignation manquante","OK")))</f>
        <v/>
      </c>
      <c r="R57" s="39" t="str">
        <f>IF(OR(O57="Rupture",O57="À commander"),COUNTIF($O$5:O57,"Rupture")+COUNTIF($O$5:O57,"À commander"),"")</f>
        <v/>
      </c>
    </row>
    <row r="58">
      <c r="A58" s="37" t="n"/>
      <c r="B58" s="37" t="n"/>
      <c r="C58" s="37" t="n"/>
      <c r="D58" s="37" t="n"/>
      <c r="E58" s="37" t="n"/>
      <c r="F58" s="37" t="n"/>
      <c r="G58" s="38" t="n"/>
      <c r="H58" s="37" t="n"/>
      <c r="I58" s="37" t="n"/>
      <c r="J58" s="37" t="n"/>
      <c r="K58" s="39" t="str">
        <f>IF(A58="","",SUMIFS(mv_qty,mv_ref,A58,mv_type,"Entrée"))</f>
        <v/>
      </c>
      <c r="L58" s="39" t="str">
        <f>IF(A58="","",SUMIFS(mv_qty,mv_ref,A58,mv_type,"Sortie"))</f>
        <v/>
      </c>
      <c r="M58" s="39" t="str">
        <f>IF(A58="","",ROUND(N(H58)+K58-L58,6))</f>
        <v/>
      </c>
      <c r="N58" s="40" t="str">
        <f>IF(A58="","",M58*N(G58))</f>
        <v/>
      </c>
      <c r="O58" s="39" t="str">
        <f>IF(A58="","",IF(M58&lt;=0,"Rupture",IF(AND(I58&lt;&gt;"",M58&lt;=N(I58)),"À commander","OK")))</f>
        <v/>
      </c>
      <c r="P58" s="39" t="str">
        <f>IF(OR(A58="",O58="OK",J58=""),"",MAX(N(J58)-M58,0))</f>
        <v/>
      </c>
      <c r="Q58" s="39" t="str">
        <f>IF(A58="",IF(COUNTA(B58:J58)&gt;0,"Référence manquante",""),IF(COUNTIF($A$5:$A$1004,A58)&gt;1,"Référence en double",IF(B58="","Désignation manquante","OK")))</f>
        <v/>
      </c>
      <c r="R58" s="39" t="str">
        <f>IF(OR(O58="Rupture",O58="À commander"),COUNTIF($O$5:O58,"Rupture")+COUNTIF($O$5:O58,"À commander"),"")</f>
        <v/>
      </c>
    </row>
    <row r="59">
      <c r="A59" s="37" t="n"/>
      <c r="B59" s="37" t="n"/>
      <c r="C59" s="37" t="n"/>
      <c r="D59" s="37" t="n"/>
      <c r="E59" s="37" t="n"/>
      <c r="F59" s="37" t="n"/>
      <c r="G59" s="38" t="n"/>
      <c r="H59" s="37" t="n"/>
      <c r="I59" s="37" t="n"/>
      <c r="J59" s="37" t="n"/>
      <c r="K59" s="39" t="str">
        <f>IF(A59="","",SUMIFS(mv_qty,mv_ref,A59,mv_type,"Entrée"))</f>
        <v/>
      </c>
      <c r="L59" s="39" t="str">
        <f>IF(A59="","",SUMIFS(mv_qty,mv_ref,A59,mv_type,"Sortie"))</f>
        <v/>
      </c>
      <c r="M59" s="39" t="str">
        <f>IF(A59="","",ROUND(N(H59)+K59-L59,6))</f>
        <v/>
      </c>
      <c r="N59" s="40" t="str">
        <f>IF(A59="","",M59*N(G59))</f>
        <v/>
      </c>
      <c r="O59" s="39" t="str">
        <f>IF(A59="","",IF(M59&lt;=0,"Rupture",IF(AND(I59&lt;&gt;"",M59&lt;=N(I59)),"À commander","OK")))</f>
        <v/>
      </c>
      <c r="P59" s="39" t="str">
        <f>IF(OR(A59="",O59="OK",J59=""),"",MAX(N(J59)-M59,0))</f>
        <v/>
      </c>
      <c r="Q59" s="39" t="str">
        <f>IF(A59="",IF(COUNTA(B59:J59)&gt;0,"Référence manquante",""),IF(COUNTIF($A$5:$A$1004,A59)&gt;1,"Référence en double",IF(B59="","Désignation manquante","OK")))</f>
        <v/>
      </c>
      <c r="R59" s="39" t="str">
        <f>IF(OR(O59="Rupture",O59="À commander"),COUNTIF($O$5:O59,"Rupture")+COUNTIF($O$5:O59,"À commander"),"")</f>
        <v/>
      </c>
    </row>
    <row r="60">
      <c r="A60" s="37" t="n"/>
      <c r="B60" s="37" t="n"/>
      <c r="C60" s="37" t="n"/>
      <c r="D60" s="37" t="n"/>
      <c r="E60" s="37" t="n"/>
      <c r="F60" s="37" t="n"/>
      <c r="G60" s="38" t="n"/>
      <c r="H60" s="37" t="n"/>
      <c r="I60" s="37" t="n"/>
      <c r="J60" s="37" t="n"/>
      <c r="K60" s="39" t="str">
        <f>IF(A60="","",SUMIFS(mv_qty,mv_ref,A60,mv_type,"Entrée"))</f>
        <v/>
      </c>
      <c r="L60" s="39" t="str">
        <f>IF(A60="","",SUMIFS(mv_qty,mv_ref,A60,mv_type,"Sortie"))</f>
        <v/>
      </c>
      <c r="M60" s="39" t="str">
        <f>IF(A60="","",ROUND(N(H60)+K60-L60,6))</f>
        <v/>
      </c>
      <c r="N60" s="40" t="str">
        <f>IF(A60="","",M60*N(G60))</f>
        <v/>
      </c>
      <c r="O60" s="39" t="str">
        <f>IF(A60="","",IF(M60&lt;=0,"Rupture",IF(AND(I60&lt;&gt;"",M60&lt;=N(I60)),"À commander","OK")))</f>
        <v/>
      </c>
      <c r="P60" s="39" t="str">
        <f>IF(OR(A60="",O60="OK",J60=""),"",MAX(N(J60)-M60,0))</f>
        <v/>
      </c>
      <c r="Q60" s="39" t="str">
        <f>IF(A60="",IF(COUNTA(B60:J60)&gt;0,"Référence manquante",""),IF(COUNTIF($A$5:$A$1004,A60)&gt;1,"Référence en double",IF(B60="","Désignation manquante","OK")))</f>
        <v/>
      </c>
      <c r="R60" s="39" t="str">
        <f>IF(OR(O60="Rupture",O60="À commander"),COUNTIF($O$5:O60,"Rupture")+COUNTIF($O$5:O60,"À commander"),"")</f>
        <v/>
      </c>
    </row>
    <row r="61">
      <c r="A61" s="37" t="n"/>
      <c r="B61" s="37" t="n"/>
      <c r="C61" s="37" t="n"/>
      <c r="D61" s="37" t="n"/>
      <c r="E61" s="37" t="n"/>
      <c r="F61" s="37" t="n"/>
      <c r="G61" s="38" t="n"/>
      <c r="H61" s="37" t="n"/>
      <c r="I61" s="37" t="n"/>
      <c r="J61" s="37" t="n"/>
      <c r="K61" s="39" t="str">
        <f>IF(A61="","",SUMIFS(mv_qty,mv_ref,A61,mv_type,"Entrée"))</f>
        <v/>
      </c>
      <c r="L61" s="39" t="str">
        <f>IF(A61="","",SUMIFS(mv_qty,mv_ref,A61,mv_type,"Sortie"))</f>
        <v/>
      </c>
      <c r="M61" s="39" t="str">
        <f>IF(A61="","",ROUND(N(H61)+K61-L61,6))</f>
        <v/>
      </c>
      <c r="N61" s="40" t="str">
        <f>IF(A61="","",M61*N(G61))</f>
        <v/>
      </c>
      <c r="O61" s="39" t="str">
        <f>IF(A61="","",IF(M61&lt;=0,"Rupture",IF(AND(I61&lt;&gt;"",M61&lt;=N(I61)),"À commander","OK")))</f>
        <v/>
      </c>
      <c r="P61" s="39" t="str">
        <f>IF(OR(A61="",O61="OK",J61=""),"",MAX(N(J61)-M61,0))</f>
        <v/>
      </c>
      <c r="Q61" s="39" t="str">
        <f>IF(A61="",IF(COUNTA(B61:J61)&gt;0,"Référence manquante",""),IF(COUNTIF($A$5:$A$1004,A61)&gt;1,"Référence en double",IF(B61="","Désignation manquante","OK")))</f>
        <v/>
      </c>
      <c r="R61" s="39" t="str">
        <f>IF(OR(O61="Rupture",O61="À commander"),COUNTIF($O$5:O61,"Rupture")+COUNTIF($O$5:O61,"À commander"),"")</f>
        <v/>
      </c>
    </row>
    <row r="62">
      <c r="A62" s="37" t="n"/>
      <c r="B62" s="37" t="n"/>
      <c r="C62" s="37" t="n"/>
      <c r="D62" s="37" t="n"/>
      <c r="E62" s="37" t="n"/>
      <c r="F62" s="37" t="n"/>
      <c r="G62" s="38" t="n"/>
      <c r="H62" s="37" t="n"/>
      <c r="I62" s="37" t="n"/>
      <c r="J62" s="37" t="n"/>
      <c r="K62" s="39" t="str">
        <f>IF(A62="","",SUMIFS(mv_qty,mv_ref,A62,mv_type,"Entrée"))</f>
        <v/>
      </c>
      <c r="L62" s="39" t="str">
        <f>IF(A62="","",SUMIFS(mv_qty,mv_ref,A62,mv_type,"Sortie"))</f>
        <v/>
      </c>
      <c r="M62" s="39" t="str">
        <f>IF(A62="","",ROUND(N(H62)+K62-L62,6))</f>
        <v/>
      </c>
      <c r="N62" s="40" t="str">
        <f>IF(A62="","",M62*N(G62))</f>
        <v/>
      </c>
      <c r="O62" s="39" t="str">
        <f>IF(A62="","",IF(M62&lt;=0,"Rupture",IF(AND(I62&lt;&gt;"",M62&lt;=N(I62)),"À commander","OK")))</f>
        <v/>
      </c>
      <c r="P62" s="39" t="str">
        <f>IF(OR(A62="",O62="OK",J62=""),"",MAX(N(J62)-M62,0))</f>
        <v/>
      </c>
      <c r="Q62" s="39" t="str">
        <f>IF(A62="",IF(COUNTA(B62:J62)&gt;0,"Référence manquante",""),IF(COUNTIF($A$5:$A$1004,A62)&gt;1,"Référence en double",IF(B62="","Désignation manquante","OK")))</f>
        <v/>
      </c>
      <c r="R62" s="39" t="str">
        <f>IF(OR(O62="Rupture",O62="À commander"),COUNTIF($O$5:O62,"Rupture")+COUNTIF($O$5:O62,"À commander"),"")</f>
        <v/>
      </c>
    </row>
    <row r="63">
      <c r="A63" s="37" t="n"/>
      <c r="B63" s="37" t="n"/>
      <c r="C63" s="37" t="n"/>
      <c r="D63" s="37" t="n"/>
      <c r="E63" s="37" t="n"/>
      <c r="F63" s="37" t="n"/>
      <c r="G63" s="38" t="n"/>
      <c r="H63" s="37" t="n"/>
      <c r="I63" s="37" t="n"/>
      <c r="J63" s="37" t="n"/>
      <c r="K63" s="39" t="str">
        <f>IF(A63="","",SUMIFS(mv_qty,mv_ref,A63,mv_type,"Entrée"))</f>
        <v/>
      </c>
      <c r="L63" s="39" t="str">
        <f>IF(A63="","",SUMIFS(mv_qty,mv_ref,A63,mv_type,"Sortie"))</f>
        <v/>
      </c>
      <c r="M63" s="39" t="str">
        <f>IF(A63="","",ROUND(N(H63)+K63-L63,6))</f>
        <v/>
      </c>
      <c r="N63" s="40" t="str">
        <f>IF(A63="","",M63*N(G63))</f>
        <v/>
      </c>
      <c r="O63" s="39" t="str">
        <f>IF(A63="","",IF(M63&lt;=0,"Rupture",IF(AND(I63&lt;&gt;"",M63&lt;=N(I63)),"À commander","OK")))</f>
        <v/>
      </c>
      <c r="P63" s="39" t="str">
        <f>IF(OR(A63="",O63="OK",J63=""),"",MAX(N(J63)-M63,0))</f>
        <v/>
      </c>
      <c r="Q63" s="39" t="str">
        <f>IF(A63="",IF(COUNTA(B63:J63)&gt;0,"Référence manquante",""),IF(COUNTIF($A$5:$A$1004,A63)&gt;1,"Référence en double",IF(B63="","Désignation manquante","OK")))</f>
        <v/>
      </c>
      <c r="R63" s="39" t="str">
        <f>IF(OR(O63="Rupture",O63="À commander"),COUNTIF($O$5:O63,"Rupture")+COUNTIF($O$5:O63,"À commander"),"")</f>
        <v/>
      </c>
    </row>
    <row r="64">
      <c r="A64" s="37" t="n"/>
      <c r="B64" s="37" t="n"/>
      <c r="C64" s="37" t="n"/>
      <c r="D64" s="37" t="n"/>
      <c r="E64" s="37" t="n"/>
      <c r="F64" s="37" t="n"/>
      <c r="G64" s="38" t="n"/>
      <c r="H64" s="37" t="n"/>
      <c r="I64" s="37" t="n"/>
      <c r="J64" s="37" t="n"/>
      <c r="K64" s="39" t="str">
        <f>IF(A64="","",SUMIFS(mv_qty,mv_ref,A64,mv_type,"Entrée"))</f>
        <v/>
      </c>
      <c r="L64" s="39" t="str">
        <f>IF(A64="","",SUMIFS(mv_qty,mv_ref,A64,mv_type,"Sortie"))</f>
        <v/>
      </c>
      <c r="M64" s="39" t="str">
        <f>IF(A64="","",ROUND(N(H64)+K64-L64,6))</f>
        <v/>
      </c>
      <c r="N64" s="40" t="str">
        <f>IF(A64="","",M64*N(G64))</f>
        <v/>
      </c>
      <c r="O64" s="39" t="str">
        <f>IF(A64="","",IF(M64&lt;=0,"Rupture",IF(AND(I64&lt;&gt;"",M64&lt;=N(I64)),"À commander","OK")))</f>
        <v/>
      </c>
      <c r="P64" s="39" t="str">
        <f>IF(OR(A64="",O64="OK",J64=""),"",MAX(N(J64)-M64,0))</f>
        <v/>
      </c>
      <c r="Q64" s="39" t="str">
        <f>IF(A64="",IF(COUNTA(B64:J64)&gt;0,"Référence manquante",""),IF(COUNTIF($A$5:$A$1004,A64)&gt;1,"Référence en double",IF(B64="","Désignation manquante","OK")))</f>
        <v/>
      </c>
      <c r="R64" s="39" t="str">
        <f>IF(OR(O64="Rupture",O64="À commander"),COUNTIF($O$5:O64,"Rupture")+COUNTIF($O$5:O64,"À commander"),"")</f>
        <v/>
      </c>
    </row>
    <row r="65">
      <c r="A65" s="37" t="n"/>
      <c r="B65" s="37" t="n"/>
      <c r="C65" s="37" t="n"/>
      <c r="D65" s="37" t="n"/>
      <c r="E65" s="37" t="n"/>
      <c r="F65" s="37" t="n"/>
      <c r="G65" s="38" t="n"/>
      <c r="H65" s="37" t="n"/>
      <c r="I65" s="37" t="n"/>
      <c r="J65" s="37" t="n"/>
      <c r="K65" s="39" t="str">
        <f>IF(A65="","",SUMIFS(mv_qty,mv_ref,A65,mv_type,"Entrée"))</f>
        <v/>
      </c>
      <c r="L65" s="39" t="str">
        <f>IF(A65="","",SUMIFS(mv_qty,mv_ref,A65,mv_type,"Sortie"))</f>
        <v/>
      </c>
      <c r="M65" s="39" t="str">
        <f>IF(A65="","",ROUND(N(H65)+K65-L65,6))</f>
        <v/>
      </c>
      <c r="N65" s="40" t="str">
        <f>IF(A65="","",M65*N(G65))</f>
        <v/>
      </c>
      <c r="O65" s="39" t="str">
        <f>IF(A65="","",IF(M65&lt;=0,"Rupture",IF(AND(I65&lt;&gt;"",M65&lt;=N(I65)),"À commander","OK")))</f>
        <v/>
      </c>
      <c r="P65" s="39" t="str">
        <f>IF(OR(A65="",O65="OK",J65=""),"",MAX(N(J65)-M65,0))</f>
        <v/>
      </c>
      <c r="Q65" s="39" t="str">
        <f>IF(A65="",IF(COUNTA(B65:J65)&gt;0,"Référence manquante",""),IF(COUNTIF($A$5:$A$1004,A65)&gt;1,"Référence en double",IF(B65="","Désignation manquante","OK")))</f>
        <v/>
      </c>
      <c r="R65" s="39" t="str">
        <f>IF(OR(O65="Rupture",O65="À commander"),COUNTIF($O$5:O65,"Rupture")+COUNTIF($O$5:O65,"À commander"),"")</f>
        <v/>
      </c>
    </row>
    <row r="66">
      <c r="A66" s="37" t="n"/>
      <c r="B66" s="37" t="n"/>
      <c r="C66" s="37" t="n"/>
      <c r="D66" s="37" t="n"/>
      <c r="E66" s="37" t="n"/>
      <c r="F66" s="37" t="n"/>
      <c r="G66" s="38" t="n"/>
      <c r="H66" s="37" t="n"/>
      <c r="I66" s="37" t="n"/>
      <c r="J66" s="37" t="n"/>
      <c r="K66" s="39" t="str">
        <f>IF(A66="","",SUMIFS(mv_qty,mv_ref,A66,mv_type,"Entrée"))</f>
        <v/>
      </c>
      <c r="L66" s="39" t="str">
        <f>IF(A66="","",SUMIFS(mv_qty,mv_ref,A66,mv_type,"Sortie"))</f>
        <v/>
      </c>
      <c r="M66" s="39" t="str">
        <f>IF(A66="","",ROUND(N(H66)+K66-L66,6))</f>
        <v/>
      </c>
      <c r="N66" s="40" t="str">
        <f>IF(A66="","",M66*N(G66))</f>
        <v/>
      </c>
      <c r="O66" s="39" t="str">
        <f>IF(A66="","",IF(M66&lt;=0,"Rupture",IF(AND(I66&lt;&gt;"",M66&lt;=N(I66)),"À commander","OK")))</f>
        <v/>
      </c>
      <c r="P66" s="39" t="str">
        <f>IF(OR(A66="",O66="OK",J66=""),"",MAX(N(J66)-M66,0))</f>
        <v/>
      </c>
      <c r="Q66" s="39" t="str">
        <f>IF(A66="",IF(COUNTA(B66:J66)&gt;0,"Référence manquante",""),IF(COUNTIF($A$5:$A$1004,A66)&gt;1,"Référence en double",IF(B66="","Désignation manquante","OK")))</f>
        <v/>
      </c>
      <c r="R66" s="39" t="str">
        <f>IF(OR(O66="Rupture",O66="À commander"),COUNTIF($O$5:O66,"Rupture")+COUNTIF($O$5:O66,"À commander"),"")</f>
        <v/>
      </c>
    </row>
    <row r="67">
      <c r="A67" s="37" t="n"/>
      <c r="B67" s="37" t="n"/>
      <c r="C67" s="37" t="n"/>
      <c r="D67" s="37" t="n"/>
      <c r="E67" s="37" t="n"/>
      <c r="F67" s="37" t="n"/>
      <c r="G67" s="38" t="n"/>
      <c r="H67" s="37" t="n"/>
      <c r="I67" s="37" t="n"/>
      <c r="J67" s="37" t="n"/>
      <c r="K67" s="39" t="str">
        <f>IF(A67="","",SUMIFS(mv_qty,mv_ref,A67,mv_type,"Entrée"))</f>
        <v/>
      </c>
      <c r="L67" s="39" t="str">
        <f>IF(A67="","",SUMIFS(mv_qty,mv_ref,A67,mv_type,"Sortie"))</f>
        <v/>
      </c>
      <c r="M67" s="39" t="str">
        <f>IF(A67="","",ROUND(N(H67)+K67-L67,6))</f>
        <v/>
      </c>
      <c r="N67" s="40" t="str">
        <f>IF(A67="","",M67*N(G67))</f>
        <v/>
      </c>
      <c r="O67" s="39" t="str">
        <f>IF(A67="","",IF(M67&lt;=0,"Rupture",IF(AND(I67&lt;&gt;"",M67&lt;=N(I67)),"À commander","OK")))</f>
        <v/>
      </c>
      <c r="P67" s="39" t="str">
        <f>IF(OR(A67="",O67="OK",J67=""),"",MAX(N(J67)-M67,0))</f>
        <v/>
      </c>
      <c r="Q67" s="39" t="str">
        <f>IF(A67="",IF(COUNTA(B67:J67)&gt;0,"Référence manquante",""),IF(COUNTIF($A$5:$A$1004,A67)&gt;1,"Référence en double",IF(B67="","Désignation manquante","OK")))</f>
        <v/>
      </c>
      <c r="R67" s="39" t="str">
        <f>IF(OR(O67="Rupture",O67="À commander"),COUNTIF($O$5:O67,"Rupture")+COUNTIF($O$5:O67,"À commander"),"")</f>
        <v/>
      </c>
    </row>
    <row r="68">
      <c r="A68" s="37" t="n"/>
      <c r="B68" s="37" t="n"/>
      <c r="C68" s="37" t="n"/>
      <c r="D68" s="37" t="n"/>
      <c r="E68" s="37" t="n"/>
      <c r="F68" s="37" t="n"/>
      <c r="G68" s="38" t="n"/>
      <c r="H68" s="37" t="n"/>
      <c r="I68" s="37" t="n"/>
      <c r="J68" s="37" t="n"/>
      <c r="K68" s="39" t="str">
        <f>IF(A68="","",SUMIFS(mv_qty,mv_ref,A68,mv_type,"Entrée"))</f>
        <v/>
      </c>
      <c r="L68" s="39" t="str">
        <f>IF(A68="","",SUMIFS(mv_qty,mv_ref,A68,mv_type,"Sortie"))</f>
        <v/>
      </c>
      <c r="M68" s="39" t="str">
        <f>IF(A68="","",ROUND(N(H68)+K68-L68,6))</f>
        <v/>
      </c>
      <c r="N68" s="40" t="str">
        <f>IF(A68="","",M68*N(G68))</f>
        <v/>
      </c>
      <c r="O68" s="39" t="str">
        <f>IF(A68="","",IF(M68&lt;=0,"Rupture",IF(AND(I68&lt;&gt;"",M68&lt;=N(I68)),"À commander","OK")))</f>
        <v/>
      </c>
      <c r="P68" s="39" t="str">
        <f>IF(OR(A68="",O68="OK",J68=""),"",MAX(N(J68)-M68,0))</f>
        <v/>
      </c>
      <c r="Q68" s="39" t="str">
        <f>IF(A68="",IF(COUNTA(B68:J68)&gt;0,"Référence manquante",""),IF(COUNTIF($A$5:$A$1004,A68)&gt;1,"Référence en double",IF(B68="","Désignation manquante","OK")))</f>
        <v/>
      </c>
      <c r="R68" s="39" t="str">
        <f>IF(OR(O68="Rupture",O68="À commander"),COUNTIF($O$5:O68,"Rupture")+COUNTIF($O$5:O68,"À commander"),"")</f>
        <v/>
      </c>
    </row>
    <row r="69">
      <c r="A69" s="37" t="n"/>
      <c r="B69" s="37" t="n"/>
      <c r="C69" s="37" t="n"/>
      <c r="D69" s="37" t="n"/>
      <c r="E69" s="37" t="n"/>
      <c r="F69" s="37" t="n"/>
      <c r="G69" s="38" t="n"/>
      <c r="H69" s="37" t="n"/>
      <c r="I69" s="37" t="n"/>
      <c r="J69" s="37" t="n"/>
      <c r="K69" s="39" t="str">
        <f>IF(A69="","",SUMIFS(mv_qty,mv_ref,A69,mv_type,"Entrée"))</f>
        <v/>
      </c>
      <c r="L69" s="39" t="str">
        <f>IF(A69="","",SUMIFS(mv_qty,mv_ref,A69,mv_type,"Sortie"))</f>
        <v/>
      </c>
      <c r="M69" s="39" t="str">
        <f>IF(A69="","",ROUND(N(H69)+K69-L69,6))</f>
        <v/>
      </c>
      <c r="N69" s="40" t="str">
        <f>IF(A69="","",M69*N(G69))</f>
        <v/>
      </c>
      <c r="O69" s="39" t="str">
        <f>IF(A69="","",IF(M69&lt;=0,"Rupture",IF(AND(I69&lt;&gt;"",M69&lt;=N(I69)),"À commander","OK")))</f>
        <v/>
      </c>
      <c r="P69" s="39" t="str">
        <f>IF(OR(A69="",O69="OK",J69=""),"",MAX(N(J69)-M69,0))</f>
        <v/>
      </c>
      <c r="Q69" s="39" t="str">
        <f>IF(A69="",IF(COUNTA(B69:J69)&gt;0,"Référence manquante",""),IF(COUNTIF($A$5:$A$1004,A69)&gt;1,"Référence en double",IF(B69="","Désignation manquante","OK")))</f>
        <v/>
      </c>
      <c r="R69" s="39" t="str">
        <f>IF(OR(O69="Rupture",O69="À commander"),COUNTIF($O$5:O69,"Rupture")+COUNTIF($O$5:O69,"À commander"),"")</f>
        <v/>
      </c>
    </row>
    <row r="70">
      <c r="A70" s="37" t="n"/>
      <c r="B70" s="37" t="n"/>
      <c r="C70" s="37" t="n"/>
      <c r="D70" s="37" t="n"/>
      <c r="E70" s="37" t="n"/>
      <c r="F70" s="37" t="n"/>
      <c r="G70" s="38" t="n"/>
      <c r="H70" s="37" t="n"/>
      <c r="I70" s="37" t="n"/>
      <c r="J70" s="37" t="n"/>
      <c r="K70" s="39" t="str">
        <f>IF(A70="","",SUMIFS(mv_qty,mv_ref,A70,mv_type,"Entrée"))</f>
        <v/>
      </c>
      <c r="L70" s="39" t="str">
        <f>IF(A70="","",SUMIFS(mv_qty,mv_ref,A70,mv_type,"Sortie"))</f>
        <v/>
      </c>
      <c r="M70" s="39" t="str">
        <f>IF(A70="","",ROUND(N(H70)+K70-L70,6))</f>
        <v/>
      </c>
      <c r="N70" s="40" t="str">
        <f>IF(A70="","",M70*N(G70))</f>
        <v/>
      </c>
      <c r="O70" s="39" t="str">
        <f>IF(A70="","",IF(M70&lt;=0,"Rupture",IF(AND(I70&lt;&gt;"",M70&lt;=N(I70)),"À commander","OK")))</f>
        <v/>
      </c>
      <c r="P70" s="39" t="str">
        <f>IF(OR(A70="",O70="OK",J70=""),"",MAX(N(J70)-M70,0))</f>
        <v/>
      </c>
      <c r="Q70" s="39" t="str">
        <f>IF(A70="",IF(COUNTA(B70:J70)&gt;0,"Référence manquante",""),IF(COUNTIF($A$5:$A$1004,A70)&gt;1,"Référence en double",IF(B70="","Désignation manquante","OK")))</f>
        <v/>
      </c>
      <c r="R70" s="39" t="str">
        <f>IF(OR(O70="Rupture",O70="À commander"),COUNTIF($O$5:O70,"Rupture")+COUNTIF($O$5:O70,"À commander"),"")</f>
        <v/>
      </c>
    </row>
    <row r="71">
      <c r="A71" s="37" t="n"/>
      <c r="B71" s="37" t="n"/>
      <c r="C71" s="37" t="n"/>
      <c r="D71" s="37" t="n"/>
      <c r="E71" s="37" t="n"/>
      <c r="F71" s="37" t="n"/>
      <c r="G71" s="38" t="n"/>
      <c r="H71" s="37" t="n"/>
      <c r="I71" s="37" t="n"/>
      <c r="J71" s="37" t="n"/>
      <c r="K71" s="39" t="str">
        <f>IF(A71="","",SUMIFS(mv_qty,mv_ref,A71,mv_type,"Entrée"))</f>
        <v/>
      </c>
      <c r="L71" s="39" t="str">
        <f>IF(A71="","",SUMIFS(mv_qty,mv_ref,A71,mv_type,"Sortie"))</f>
        <v/>
      </c>
      <c r="M71" s="39" t="str">
        <f>IF(A71="","",ROUND(N(H71)+K71-L71,6))</f>
        <v/>
      </c>
      <c r="N71" s="40" t="str">
        <f>IF(A71="","",M71*N(G71))</f>
        <v/>
      </c>
      <c r="O71" s="39" t="str">
        <f>IF(A71="","",IF(M71&lt;=0,"Rupture",IF(AND(I71&lt;&gt;"",M71&lt;=N(I71)),"À commander","OK")))</f>
        <v/>
      </c>
      <c r="P71" s="39" t="str">
        <f>IF(OR(A71="",O71="OK",J71=""),"",MAX(N(J71)-M71,0))</f>
        <v/>
      </c>
      <c r="Q71" s="39" t="str">
        <f>IF(A71="",IF(COUNTA(B71:J71)&gt;0,"Référence manquante",""),IF(COUNTIF($A$5:$A$1004,A71)&gt;1,"Référence en double",IF(B71="","Désignation manquante","OK")))</f>
        <v/>
      </c>
      <c r="R71" s="39" t="str">
        <f>IF(OR(O71="Rupture",O71="À commander"),COUNTIF($O$5:O71,"Rupture")+COUNTIF($O$5:O71,"À commander"),"")</f>
        <v/>
      </c>
    </row>
    <row r="72">
      <c r="A72" s="37" t="n"/>
      <c r="B72" s="37" t="n"/>
      <c r="C72" s="37" t="n"/>
      <c r="D72" s="37" t="n"/>
      <c r="E72" s="37" t="n"/>
      <c r="F72" s="37" t="n"/>
      <c r="G72" s="38" t="n"/>
      <c r="H72" s="37" t="n"/>
      <c r="I72" s="37" t="n"/>
      <c r="J72" s="37" t="n"/>
      <c r="K72" s="39" t="str">
        <f>IF(A72="","",SUMIFS(mv_qty,mv_ref,A72,mv_type,"Entrée"))</f>
        <v/>
      </c>
      <c r="L72" s="39" t="str">
        <f>IF(A72="","",SUMIFS(mv_qty,mv_ref,A72,mv_type,"Sortie"))</f>
        <v/>
      </c>
      <c r="M72" s="39" t="str">
        <f>IF(A72="","",ROUND(N(H72)+K72-L72,6))</f>
        <v/>
      </c>
      <c r="N72" s="40" t="str">
        <f>IF(A72="","",M72*N(G72))</f>
        <v/>
      </c>
      <c r="O72" s="39" t="str">
        <f>IF(A72="","",IF(M72&lt;=0,"Rupture",IF(AND(I72&lt;&gt;"",M72&lt;=N(I72)),"À commander","OK")))</f>
        <v/>
      </c>
      <c r="P72" s="39" t="str">
        <f>IF(OR(A72="",O72="OK",J72=""),"",MAX(N(J72)-M72,0))</f>
        <v/>
      </c>
      <c r="Q72" s="39" t="str">
        <f>IF(A72="",IF(COUNTA(B72:J72)&gt;0,"Référence manquante",""),IF(COUNTIF($A$5:$A$1004,A72)&gt;1,"Référence en double",IF(B72="","Désignation manquante","OK")))</f>
        <v/>
      </c>
      <c r="R72" s="39" t="str">
        <f>IF(OR(O72="Rupture",O72="À commander"),COUNTIF($O$5:O72,"Rupture")+COUNTIF($O$5:O72,"À commander"),"")</f>
        <v/>
      </c>
    </row>
    <row r="73">
      <c r="A73" s="37" t="n"/>
      <c r="B73" s="37" t="n"/>
      <c r="C73" s="37" t="n"/>
      <c r="D73" s="37" t="n"/>
      <c r="E73" s="37" t="n"/>
      <c r="F73" s="37" t="n"/>
      <c r="G73" s="38" t="n"/>
      <c r="H73" s="37" t="n"/>
      <c r="I73" s="37" t="n"/>
      <c r="J73" s="37" t="n"/>
      <c r="K73" s="39" t="str">
        <f>IF(A73="","",SUMIFS(mv_qty,mv_ref,A73,mv_type,"Entrée"))</f>
        <v/>
      </c>
      <c r="L73" s="39" t="str">
        <f>IF(A73="","",SUMIFS(mv_qty,mv_ref,A73,mv_type,"Sortie"))</f>
        <v/>
      </c>
      <c r="M73" s="39" t="str">
        <f>IF(A73="","",ROUND(N(H73)+K73-L73,6))</f>
        <v/>
      </c>
      <c r="N73" s="40" t="str">
        <f>IF(A73="","",M73*N(G73))</f>
        <v/>
      </c>
      <c r="O73" s="39" t="str">
        <f>IF(A73="","",IF(M73&lt;=0,"Rupture",IF(AND(I73&lt;&gt;"",M73&lt;=N(I73)),"À commander","OK")))</f>
        <v/>
      </c>
      <c r="P73" s="39" t="str">
        <f>IF(OR(A73="",O73="OK",J73=""),"",MAX(N(J73)-M73,0))</f>
        <v/>
      </c>
      <c r="Q73" s="39" t="str">
        <f>IF(A73="",IF(COUNTA(B73:J73)&gt;0,"Référence manquante",""),IF(COUNTIF($A$5:$A$1004,A73)&gt;1,"Référence en double",IF(B73="","Désignation manquante","OK")))</f>
        <v/>
      </c>
      <c r="R73" s="39" t="str">
        <f>IF(OR(O73="Rupture",O73="À commander"),COUNTIF($O$5:O73,"Rupture")+COUNTIF($O$5:O73,"À commander"),"")</f>
        <v/>
      </c>
    </row>
    <row r="74">
      <c r="A74" s="37" t="n"/>
      <c r="B74" s="37" t="n"/>
      <c r="C74" s="37" t="n"/>
      <c r="D74" s="37" t="n"/>
      <c r="E74" s="37" t="n"/>
      <c r="F74" s="37" t="n"/>
      <c r="G74" s="38" t="n"/>
      <c r="H74" s="37" t="n"/>
      <c r="I74" s="37" t="n"/>
      <c r="J74" s="37" t="n"/>
      <c r="K74" s="39" t="str">
        <f>IF(A74="","",SUMIFS(mv_qty,mv_ref,A74,mv_type,"Entrée"))</f>
        <v/>
      </c>
      <c r="L74" s="39" t="str">
        <f>IF(A74="","",SUMIFS(mv_qty,mv_ref,A74,mv_type,"Sortie"))</f>
        <v/>
      </c>
      <c r="M74" s="39" t="str">
        <f>IF(A74="","",ROUND(N(H74)+K74-L74,6))</f>
        <v/>
      </c>
      <c r="N74" s="40" t="str">
        <f>IF(A74="","",M74*N(G74))</f>
        <v/>
      </c>
      <c r="O74" s="39" t="str">
        <f>IF(A74="","",IF(M74&lt;=0,"Rupture",IF(AND(I74&lt;&gt;"",M74&lt;=N(I74)),"À commander","OK")))</f>
        <v/>
      </c>
      <c r="P74" s="39" t="str">
        <f>IF(OR(A74="",O74="OK",J74=""),"",MAX(N(J74)-M74,0))</f>
        <v/>
      </c>
      <c r="Q74" s="39" t="str">
        <f>IF(A74="",IF(COUNTA(B74:J74)&gt;0,"Référence manquante",""),IF(COUNTIF($A$5:$A$1004,A74)&gt;1,"Référence en double",IF(B74="","Désignation manquante","OK")))</f>
        <v/>
      </c>
      <c r="R74" s="39" t="str">
        <f>IF(OR(O74="Rupture",O74="À commander"),COUNTIF($O$5:O74,"Rupture")+COUNTIF($O$5:O74,"À commander"),"")</f>
        <v/>
      </c>
    </row>
    <row r="75">
      <c r="A75" s="37" t="n"/>
      <c r="B75" s="37" t="n"/>
      <c r="C75" s="37" t="n"/>
      <c r="D75" s="37" t="n"/>
      <c r="E75" s="37" t="n"/>
      <c r="F75" s="37" t="n"/>
      <c r="G75" s="38" t="n"/>
      <c r="H75" s="37" t="n"/>
      <c r="I75" s="37" t="n"/>
      <c r="J75" s="37" t="n"/>
      <c r="K75" s="39" t="str">
        <f>IF(A75="","",SUMIFS(mv_qty,mv_ref,A75,mv_type,"Entrée"))</f>
        <v/>
      </c>
      <c r="L75" s="39" t="str">
        <f>IF(A75="","",SUMIFS(mv_qty,mv_ref,A75,mv_type,"Sortie"))</f>
        <v/>
      </c>
      <c r="M75" s="39" t="str">
        <f>IF(A75="","",ROUND(N(H75)+K75-L75,6))</f>
        <v/>
      </c>
      <c r="N75" s="40" t="str">
        <f>IF(A75="","",M75*N(G75))</f>
        <v/>
      </c>
      <c r="O75" s="39" t="str">
        <f>IF(A75="","",IF(M75&lt;=0,"Rupture",IF(AND(I75&lt;&gt;"",M75&lt;=N(I75)),"À commander","OK")))</f>
        <v/>
      </c>
      <c r="P75" s="39" t="str">
        <f>IF(OR(A75="",O75="OK",J75=""),"",MAX(N(J75)-M75,0))</f>
        <v/>
      </c>
      <c r="Q75" s="39" t="str">
        <f>IF(A75="",IF(COUNTA(B75:J75)&gt;0,"Référence manquante",""),IF(COUNTIF($A$5:$A$1004,A75)&gt;1,"Référence en double",IF(B75="","Désignation manquante","OK")))</f>
        <v/>
      </c>
      <c r="R75" s="39" t="str">
        <f>IF(OR(O75="Rupture",O75="À commander"),COUNTIF($O$5:O75,"Rupture")+COUNTIF($O$5:O75,"À commander"),"")</f>
        <v/>
      </c>
    </row>
    <row r="76">
      <c r="A76" s="37" t="n"/>
      <c r="B76" s="37" t="n"/>
      <c r="C76" s="37" t="n"/>
      <c r="D76" s="37" t="n"/>
      <c r="E76" s="37" t="n"/>
      <c r="F76" s="37" t="n"/>
      <c r="G76" s="38" t="n"/>
      <c r="H76" s="37" t="n"/>
      <c r="I76" s="37" t="n"/>
      <c r="J76" s="37" t="n"/>
      <c r="K76" s="39" t="str">
        <f>IF(A76="","",SUMIFS(mv_qty,mv_ref,A76,mv_type,"Entrée"))</f>
        <v/>
      </c>
      <c r="L76" s="39" t="str">
        <f>IF(A76="","",SUMIFS(mv_qty,mv_ref,A76,mv_type,"Sortie"))</f>
        <v/>
      </c>
      <c r="M76" s="39" t="str">
        <f>IF(A76="","",ROUND(N(H76)+K76-L76,6))</f>
        <v/>
      </c>
      <c r="N76" s="40" t="str">
        <f>IF(A76="","",M76*N(G76))</f>
        <v/>
      </c>
      <c r="O76" s="39" t="str">
        <f>IF(A76="","",IF(M76&lt;=0,"Rupture",IF(AND(I76&lt;&gt;"",M76&lt;=N(I76)),"À commander","OK")))</f>
        <v/>
      </c>
      <c r="P76" s="39" t="str">
        <f>IF(OR(A76="",O76="OK",J76=""),"",MAX(N(J76)-M76,0))</f>
        <v/>
      </c>
      <c r="Q76" s="39" t="str">
        <f>IF(A76="",IF(COUNTA(B76:J76)&gt;0,"Référence manquante",""),IF(COUNTIF($A$5:$A$1004,A76)&gt;1,"Référence en double",IF(B76="","Désignation manquante","OK")))</f>
        <v/>
      </c>
      <c r="R76" s="39" t="str">
        <f>IF(OR(O76="Rupture",O76="À commander"),COUNTIF($O$5:O76,"Rupture")+COUNTIF($O$5:O76,"À commander"),"")</f>
        <v/>
      </c>
    </row>
    <row r="77">
      <c r="A77" s="37" t="n"/>
      <c r="B77" s="37" t="n"/>
      <c r="C77" s="37" t="n"/>
      <c r="D77" s="37" t="n"/>
      <c r="E77" s="37" t="n"/>
      <c r="F77" s="37" t="n"/>
      <c r="G77" s="38" t="n"/>
      <c r="H77" s="37" t="n"/>
      <c r="I77" s="37" t="n"/>
      <c r="J77" s="37" t="n"/>
      <c r="K77" s="39" t="str">
        <f>IF(A77="","",SUMIFS(mv_qty,mv_ref,A77,mv_type,"Entrée"))</f>
        <v/>
      </c>
      <c r="L77" s="39" t="str">
        <f>IF(A77="","",SUMIFS(mv_qty,mv_ref,A77,mv_type,"Sortie"))</f>
        <v/>
      </c>
      <c r="M77" s="39" t="str">
        <f>IF(A77="","",ROUND(N(H77)+K77-L77,6))</f>
        <v/>
      </c>
      <c r="N77" s="40" t="str">
        <f>IF(A77="","",M77*N(G77))</f>
        <v/>
      </c>
      <c r="O77" s="39" t="str">
        <f>IF(A77="","",IF(M77&lt;=0,"Rupture",IF(AND(I77&lt;&gt;"",M77&lt;=N(I77)),"À commander","OK")))</f>
        <v/>
      </c>
      <c r="P77" s="39" t="str">
        <f>IF(OR(A77="",O77="OK",J77=""),"",MAX(N(J77)-M77,0))</f>
        <v/>
      </c>
      <c r="Q77" s="39" t="str">
        <f>IF(A77="",IF(COUNTA(B77:J77)&gt;0,"Référence manquante",""),IF(COUNTIF($A$5:$A$1004,A77)&gt;1,"Référence en double",IF(B77="","Désignation manquante","OK")))</f>
        <v/>
      </c>
      <c r="R77" s="39" t="str">
        <f>IF(OR(O77="Rupture",O77="À commander"),COUNTIF($O$5:O77,"Rupture")+COUNTIF($O$5:O77,"À commander"),"")</f>
        <v/>
      </c>
    </row>
    <row r="78">
      <c r="A78" s="37" t="n"/>
      <c r="B78" s="37" t="n"/>
      <c r="C78" s="37" t="n"/>
      <c r="D78" s="37" t="n"/>
      <c r="E78" s="37" t="n"/>
      <c r="F78" s="37" t="n"/>
      <c r="G78" s="38" t="n"/>
      <c r="H78" s="37" t="n"/>
      <c r="I78" s="37" t="n"/>
      <c r="J78" s="37" t="n"/>
      <c r="K78" s="39" t="str">
        <f>IF(A78="","",SUMIFS(mv_qty,mv_ref,A78,mv_type,"Entrée"))</f>
        <v/>
      </c>
      <c r="L78" s="39" t="str">
        <f>IF(A78="","",SUMIFS(mv_qty,mv_ref,A78,mv_type,"Sortie"))</f>
        <v/>
      </c>
      <c r="M78" s="39" t="str">
        <f>IF(A78="","",ROUND(N(H78)+K78-L78,6))</f>
        <v/>
      </c>
      <c r="N78" s="40" t="str">
        <f>IF(A78="","",M78*N(G78))</f>
        <v/>
      </c>
      <c r="O78" s="39" t="str">
        <f>IF(A78="","",IF(M78&lt;=0,"Rupture",IF(AND(I78&lt;&gt;"",M78&lt;=N(I78)),"À commander","OK")))</f>
        <v/>
      </c>
      <c r="P78" s="39" t="str">
        <f>IF(OR(A78="",O78="OK",J78=""),"",MAX(N(J78)-M78,0))</f>
        <v/>
      </c>
      <c r="Q78" s="39" t="str">
        <f>IF(A78="",IF(COUNTA(B78:J78)&gt;0,"Référence manquante",""),IF(COUNTIF($A$5:$A$1004,A78)&gt;1,"Référence en double",IF(B78="","Désignation manquante","OK")))</f>
        <v/>
      </c>
      <c r="R78" s="39" t="str">
        <f>IF(OR(O78="Rupture",O78="À commander"),COUNTIF($O$5:O78,"Rupture")+COUNTIF($O$5:O78,"À commander"),"")</f>
        <v/>
      </c>
    </row>
    <row r="79">
      <c r="A79" s="37" t="n"/>
      <c r="B79" s="37" t="n"/>
      <c r="C79" s="37" t="n"/>
      <c r="D79" s="37" t="n"/>
      <c r="E79" s="37" t="n"/>
      <c r="F79" s="37" t="n"/>
      <c r="G79" s="38" t="n"/>
      <c r="H79" s="37" t="n"/>
      <c r="I79" s="37" t="n"/>
      <c r="J79" s="37" t="n"/>
      <c r="K79" s="39" t="str">
        <f>IF(A79="","",SUMIFS(mv_qty,mv_ref,A79,mv_type,"Entrée"))</f>
        <v/>
      </c>
      <c r="L79" s="39" t="str">
        <f>IF(A79="","",SUMIFS(mv_qty,mv_ref,A79,mv_type,"Sortie"))</f>
        <v/>
      </c>
      <c r="M79" s="39" t="str">
        <f>IF(A79="","",ROUND(N(H79)+K79-L79,6))</f>
        <v/>
      </c>
      <c r="N79" s="40" t="str">
        <f>IF(A79="","",M79*N(G79))</f>
        <v/>
      </c>
      <c r="O79" s="39" t="str">
        <f>IF(A79="","",IF(M79&lt;=0,"Rupture",IF(AND(I79&lt;&gt;"",M79&lt;=N(I79)),"À commander","OK")))</f>
        <v/>
      </c>
      <c r="P79" s="39" t="str">
        <f>IF(OR(A79="",O79="OK",J79=""),"",MAX(N(J79)-M79,0))</f>
        <v/>
      </c>
      <c r="Q79" s="39" t="str">
        <f>IF(A79="",IF(COUNTA(B79:J79)&gt;0,"Référence manquante",""),IF(COUNTIF($A$5:$A$1004,A79)&gt;1,"Référence en double",IF(B79="","Désignation manquante","OK")))</f>
        <v/>
      </c>
      <c r="R79" s="39" t="str">
        <f>IF(OR(O79="Rupture",O79="À commander"),COUNTIF($O$5:O79,"Rupture")+COUNTIF($O$5:O79,"À commander"),"")</f>
        <v/>
      </c>
    </row>
    <row r="80">
      <c r="A80" s="37" t="n"/>
      <c r="B80" s="37" t="n"/>
      <c r="C80" s="37" t="n"/>
      <c r="D80" s="37" t="n"/>
      <c r="E80" s="37" t="n"/>
      <c r="F80" s="37" t="n"/>
      <c r="G80" s="38" t="n"/>
      <c r="H80" s="37" t="n"/>
      <c r="I80" s="37" t="n"/>
      <c r="J80" s="37" t="n"/>
      <c r="K80" s="39" t="str">
        <f>IF(A80="","",SUMIFS(mv_qty,mv_ref,A80,mv_type,"Entrée"))</f>
        <v/>
      </c>
      <c r="L80" s="39" t="str">
        <f>IF(A80="","",SUMIFS(mv_qty,mv_ref,A80,mv_type,"Sortie"))</f>
        <v/>
      </c>
      <c r="M80" s="39" t="str">
        <f>IF(A80="","",ROUND(N(H80)+K80-L80,6))</f>
        <v/>
      </c>
      <c r="N80" s="40" t="str">
        <f>IF(A80="","",M80*N(G80))</f>
        <v/>
      </c>
      <c r="O80" s="39" t="str">
        <f>IF(A80="","",IF(M80&lt;=0,"Rupture",IF(AND(I80&lt;&gt;"",M80&lt;=N(I80)),"À commander","OK")))</f>
        <v/>
      </c>
      <c r="P80" s="39" t="str">
        <f>IF(OR(A80="",O80="OK",J80=""),"",MAX(N(J80)-M80,0))</f>
        <v/>
      </c>
      <c r="Q80" s="39" t="str">
        <f>IF(A80="",IF(COUNTA(B80:J80)&gt;0,"Référence manquante",""),IF(COUNTIF($A$5:$A$1004,A80)&gt;1,"Référence en double",IF(B80="","Désignation manquante","OK")))</f>
        <v/>
      </c>
      <c r="R80" s="39" t="str">
        <f>IF(OR(O80="Rupture",O80="À commander"),COUNTIF($O$5:O80,"Rupture")+COUNTIF($O$5:O80,"À commander"),"")</f>
        <v/>
      </c>
    </row>
    <row r="81">
      <c r="A81" s="37" t="n"/>
      <c r="B81" s="37" t="n"/>
      <c r="C81" s="37" t="n"/>
      <c r="D81" s="37" t="n"/>
      <c r="E81" s="37" t="n"/>
      <c r="F81" s="37" t="n"/>
      <c r="G81" s="38" t="n"/>
      <c r="H81" s="37" t="n"/>
      <c r="I81" s="37" t="n"/>
      <c r="J81" s="37" t="n"/>
      <c r="K81" s="39" t="str">
        <f>IF(A81="","",SUMIFS(mv_qty,mv_ref,A81,mv_type,"Entrée"))</f>
        <v/>
      </c>
      <c r="L81" s="39" t="str">
        <f>IF(A81="","",SUMIFS(mv_qty,mv_ref,A81,mv_type,"Sortie"))</f>
        <v/>
      </c>
      <c r="M81" s="39" t="str">
        <f>IF(A81="","",ROUND(N(H81)+K81-L81,6))</f>
        <v/>
      </c>
      <c r="N81" s="40" t="str">
        <f>IF(A81="","",M81*N(G81))</f>
        <v/>
      </c>
      <c r="O81" s="39" t="str">
        <f>IF(A81="","",IF(M81&lt;=0,"Rupture",IF(AND(I81&lt;&gt;"",M81&lt;=N(I81)),"À commander","OK")))</f>
        <v/>
      </c>
      <c r="P81" s="39" t="str">
        <f>IF(OR(A81="",O81="OK",J81=""),"",MAX(N(J81)-M81,0))</f>
        <v/>
      </c>
      <c r="Q81" s="39" t="str">
        <f>IF(A81="",IF(COUNTA(B81:J81)&gt;0,"Référence manquante",""),IF(COUNTIF($A$5:$A$1004,A81)&gt;1,"Référence en double",IF(B81="","Désignation manquante","OK")))</f>
        <v/>
      </c>
      <c r="R81" s="39" t="str">
        <f>IF(OR(O81="Rupture",O81="À commander"),COUNTIF($O$5:O81,"Rupture")+COUNTIF($O$5:O81,"À commander"),"")</f>
        <v/>
      </c>
    </row>
    <row r="82">
      <c r="A82" s="37" t="n"/>
      <c r="B82" s="37" t="n"/>
      <c r="C82" s="37" t="n"/>
      <c r="D82" s="37" t="n"/>
      <c r="E82" s="37" t="n"/>
      <c r="F82" s="37" t="n"/>
      <c r="G82" s="38" t="n"/>
      <c r="H82" s="37" t="n"/>
      <c r="I82" s="37" t="n"/>
      <c r="J82" s="37" t="n"/>
      <c r="K82" s="39" t="str">
        <f>IF(A82="","",SUMIFS(mv_qty,mv_ref,A82,mv_type,"Entrée"))</f>
        <v/>
      </c>
      <c r="L82" s="39" t="str">
        <f>IF(A82="","",SUMIFS(mv_qty,mv_ref,A82,mv_type,"Sortie"))</f>
        <v/>
      </c>
      <c r="M82" s="39" t="str">
        <f>IF(A82="","",ROUND(N(H82)+K82-L82,6))</f>
        <v/>
      </c>
      <c r="N82" s="40" t="str">
        <f>IF(A82="","",M82*N(G82))</f>
        <v/>
      </c>
      <c r="O82" s="39" t="str">
        <f>IF(A82="","",IF(M82&lt;=0,"Rupture",IF(AND(I82&lt;&gt;"",M82&lt;=N(I82)),"À commander","OK")))</f>
        <v/>
      </c>
      <c r="P82" s="39" t="str">
        <f>IF(OR(A82="",O82="OK",J82=""),"",MAX(N(J82)-M82,0))</f>
        <v/>
      </c>
      <c r="Q82" s="39" t="str">
        <f>IF(A82="",IF(COUNTA(B82:J82)&gt;0,"Référence manquante",""),IF(COUNTIF($A$5:$A$1004,A82)&gt;1,"Référence en double",IF(B82="","Désignation manquante","OK")))</f>
        <v/>
      </c>
      <c r="R82" s="39" t="str">
        <f>IF(OR(O82="Rupture",O82="À commander"),COUNTIF($O$5:O82,"Rupture")+COUNTIF($O$5:O82,"À commander"),"")</f>
        <v/>
      </c>
    </row>
    <row r="83">
      <c r="A83" s="37" t="n"/>
      <c r="B83" s="37" t="n"/>
      <c r="C83" s="37" t="n"/>
      <c r="D83" s="37" t="n"/>
      <c r="E83" s="37" t="n"/>
      <c r="F83" s="37" t="n"/>
      <c r="G83" s="38" t="n"/>
      <c r="H83" s="37" t="n"/>
      <c r="I83" s="37" t="n"/>
      <c r="J83" s="37" t="n"/>
      <c r="K83" s="39" t="str">
        <f>IF(A83="","",SUMIFS(mv_qty,mv_ref,A83,mv_type,"Entrée"))</f>
        <v/>
      </c>
      <c r="L83" s="39" t="str">
        <f>IF(A83="","",SUMIFS(mv_qty,mv_ref,A83,mv_type,"Sortie"))</f>
        <v/>
      </c>
      <c r="M83" s="39" t="str">
        <f>IF(A83="","",ROUND(N(H83)+K83-L83,6))</f>
        <v/>
      </c>
      <c r="N83" s="40" t="str">
        <f>IF(A83="","",M83*N(G83))</f>
        <v/>
      </c>
      <c r="O83" s="39" t="str">
        <f>IF(A83="","",IF(M83&lt;=0,"Rupture",IF(AND(I83&lt;&gt;"",M83&lt;=N(I83)),"À commander","OK")))</f>
        <v/>
      </c>
      <c r="P83" s="39" t="str">
        <f>IF(OR(A83="",O83="OK",J83=""),"",MAX(N(J83)-M83,0))</f>
        <v/>
      </c>
      <c r="Q83" s="39" t="str">
        <f>IF(A83="",IF(COUNTA(B83:J83)&gt;0,"Référence manquante",""),IF(COUNTIF($A$5:$A$1004,A83)&gt;1,"Référence en double",IF(B83="","Désignation manquante","OK")))</f>
        <v/>
      </c>
      <c r="R83" s="39" t="str">
        <f>IF(OR(O83="Rupture",O83="À commander"),COUNTIF($O$5:O83,"Rupture")+COUNTIF($O$5:O83,"À commander"),"")</f>
        <v/>
      </c>
    </row>
    <row r="84">
      <c r="A84" s="37" t="n"/>
      <c r="B84" s="37" t="n"/>
      <c r="C84" s="37" t="n"/>
      <c r="D84" s="37" t="n"/>
      <c r="E84" s="37" t="n"/>
      <c r="F84" s="37" t="n"/>
      <c r="G84" s="38" t="n"/>
      <c r="H84" s="37" t="n"/>
      <c r="I84" s="37" t="n"/>
      <c r="J84" s="37" t="n"/>
      <c r="K84" s="39" t="str">
        <f>IF(A84="","",SUMIFS(mv_qty,mv_ref,A84,mv_type,"Entrée"))</f>
        <v/>
      </c>
      <c r="L84" s="39" t="str">
        <f>IF(A84="","",SUMIFS(mv_qty,mv_ref,A84,mv_type,"Sortie"))</f>
        <v/>
      </c>
      <c r="M84" s="39" t="str">
        <f>IF(A84="","",ROUND(N(H84)+K84-L84,6))</f>
        <v/>
      </c>
      <c r="N84" s="40" t="str">
        <f>IF(A84="","",M84*N(G84))</f>
        <v/>
      </c>
      <c r="O84" s="39" t="str">
        <f>IF(A84="","",IF(M84&lt;=0,"Rupture",IF(AND(I84&lt;&gt;"",M84&lt;=N(I84)),"À commander","OK")))</f>
        <v/>
      </c>
      <c r="P84" s="39" t="str">
        <f>IF(OR(A84="",O84="OK",J84=""),"",MAX(N(J84)-M84,0))</f>
        <v/>
      </c>
      <c r="Q84" s="39" t="str">
        <f>IF(A84="",IF(COUNTA(B84:J84)&gt;0,"Référence manquante",""),IF(COUNTIF($A$5:$A$1004,A84)&gt;1,"Référence en double",IF(B84="","Désignation manquante","OK")))</f>
        <v/>
      </c>
      <c r="R84" s="39" t="str">
        <f>IF(OR(O84="Rupture",O84="À commander"),COUNTIF($O$5:O84,"Rupture")+COUNTIF($O$5:O84,"À commander"),"")</f>
        <v/>
      </c>
    </row>
    <row r="85">
      <c r="A85" s="37" t="n"/>
      <c r="B85" s="37" t="n"/>
      <c r="C85" s="37" t="n"/>
      <c r="D85" s="37" t="n"/>
      <c r="E85" s="37" t="n"/>
      <c r="F85" s="37" t="n"/>
      <c r="G85" s="38" t="n"/>
      <c r="H85" s="37" t="n"/>
      <c r="I85" s="37" t="n"/>
      <c r="J85" s="37" t="n"/>
      <c r="K85" s="39" t="str">
        <f>IF(A85="","",SUMIFS(mv_qty,mv_ref,A85,mv_type,"Entrée"))</f>
        <v/>
      </c>
      <c r="L85" s="39" t="str">
        <f>IF(A85="","",SUMIFS(mv_qty,mv_ref,A85,mv_type,"Sortie"))</f>
        <v/>
      </c>
      <c r="M85" s="39" t="str">
        <f>IF(A85="","",ROUND(N(H85)+K85-L85,6))</f>
        <v/>
      </c>
      <c r="N85" s="40" t="str">
        <f>IF(A85="","",M85*N(G85))</f>
        <v/>
      </c>
      <c r="O85" s="39" t="str">
        <f>IF(A85="","",IF(M85&lt;=0,"Rupture",IF(AND(I85&lt;&gt;"",M85&lt;=N(I85)),"À commander","OK")))</f>
        <v/>
      </c>
      <c r="P85" s="39" t="str">
        <f>IF(OR(A85="",O85="OK",J85=""),"",MAX(N(J85)-M85,0))</f>
        <v/>
      </c>
      <c r="Q85" s="39" t="str">
        <f>IF(A85="",IF(COUNTA(B85:J85)&gt;0,"Référence manquante",""),IF(COUNTIF($A$5:$A$1004,A85)&gt;1,"Référence en double",IF(B85="","Désignation manquante","OK")))</f>
        <v/>
      </c>
      <c r="R85" s="39" t="str">
        <f>IF(OR(O85="Rupture",O85="À commander"),COUNTIF($O$5:O85,"Rupture")+COUNTIF($O$5:O85,"À commander"),"")</f>
        <v/>
      </c>
    </row>
    <row r="86">
      <c r="A86" s="37" t="n"/>
      <c r="B86" s="37" t="n"/>
      <c r="C86" s="37" t="n"/>
      <c r="D86" s="37" t="n"/>
      <c r="E86" s="37" t="n"/>
      <c r="F86" s="37" t="n"/>
      <c r="G86" s="38" t="n"/>
      <c r="H86" s="37" t="n"/>
      <c r="I86" s="37" t="n"/>
      <c r="J86" s="37" t="n"/>
      <c r="K86" s="39" t="str">
        <f>IF(A86="","",SUMIFS(mv_qty,mv_ref,A86,mv_type,"Entrée"))</f>
        <v/>
      </c>
      <c r="L86" s="39" t="str">
        <f>IF(A86="","",SUMIFS(mv_qty,mv_ref,A86,mv_type,"Sortie"))</f>
        <v/>
      </c>
      <c r="M86" s="39" t="str">
        <f>IF(A86="","",ROUND(N(H86)+K86-L86,6))</f>
        <v/>
      </c>
      <c r="N86" s="40" t="str">
        <f>IF(A86="","",M86*N(G86))</f>
        <v/>
      </c>
      <c r="O86" s="39" t="str">
        <f>IF(A86="","",IF(M86&lt;=0,"Rupture",IF(AND(I86&lt;&gt;"",M86&lt;=N(I86)),"À commander","OK")))</f>
        <v/>
      </c>
      <c r="P86" s="39" t="str">
        <f>IF(OR(A86="",O86="OK",J86=""),"",MAX(N(J86)-M86,0))</f>
        <v/>
      </c>
      <c r="Q86" s="39" t="str">
        <f>IF(A86="",IF(COUNTA(B86:J86)&gt;0,"Référence manquante",""),IF(COUNTIF($A$5:$A$1004,A86)&gt;1,"Référence en double",IF(B86="","Désignation manquante","OK")))</f>
        <v/>
      </c>
      <c r="R86" s="39" t="str">
        <f>IF(OR(O86="Rupture",O86="À commander"),COUNTIF($O$5:O86,"Rupture")+COUNTIF($O$5:O86,"À commander"),"")</f>
        <v/>
      </c>
    </row>
    <row r="87">
      <c r="A87" s="37" t="n"/>
      <c r="B87" s="37" t="n"/>
      <c r="C87" s="37" t="n"/>
      <c r="D87" s="37" t="n"/>
      <c r="E87" s="37" t="n"/>
      <c r="F87" s="37" t="n"/>
      <c r="G87" s="38" t="n"/>
      <c r="H87" s="37" t="n"/>
      <c r="I87" s="37" t="n"/>
      <c r="J87" s="37" t="n"/>
      <c r="K87" s="39" t="str">
        <f>IF(A87="","",SUMIFS(mv_qty,mv_ref,A87,mv_type,"Entrée"))</f>
        <v/>
      </c>
      <c r="L87" s="39" t="str">
        <f>IF(A87="","",SUMIFS(mv_qty,mv_ref,A87,mv_type,"Sortie"))</f>
        <v/>
      </c>
      <c r="M87" s="39" t="str">
        <f>IF(A87="","",ROUND(N(H87)+K87-L87,6))</f>
        <v/>
      </c>
      <c r="N87" s="40" t="str">
        <f>IF(A87="","",M87*N(G87))</f>
        <v/>
      </c>
      <c r="O87" s="39" t="str">
        <f>IF(A87="","",IF(M87&lt;=0,"Rupture",IF(AND(I87&lt;&gt;"",M87&lt;=N(I87)),"À commander","OK")))</f>
        <v/>
      </c>
      <c r="P87" s="39" t="str">
        <f>IF(OR(A87="",O87="OK",J87=""),"",MAX(N(J87)-M87,0))</f>
        <v/>
      </c>
      <c r="Q87" s="39" t="str">
        <f>IF(A87="",IF(COUNTA(B87:J87)&gt;0,"Référence manquante",""),IF(COUNTIF($A$5:$A$1004,A87)&gt;1,"Référence en double",IF(B87="","Désignation manquante","OK")))</f>
        <v/>
      </c>
      <c r="R87" s="39" t="str">
        <f>IF(OR(O87="Rupture",O87="À commander"),COUNTIF($O$5:O87,"Rupture")+COUNTIF($O$5:O87,"À commander"),"")</f>
        <v/>
      </c>
    </row>
    <row r="88">
      <c r="A88" s="37" t="n"/>
      <c r="B88" s="37" t="n"/>
      <c r="C88" s="37" t="n"/>
      <c r="D88" s="37" t="n"/>
      <c r="E88" s="37" t="n"/>
      <c r="F88" s="37" t="n"/>
      <c r="G88" s="38" t="n"/>
      <c r="H88" s="37" t="n"/>
      <c r="I88" s="37" t="n"/>
      <c r="J88" s="37" t="n"/>
      <c r="K88" s="39" t="str">
        <f>IF(A88="","",SUMIFS(mv_qty,mv_ref,A88,mv_type,"Entrée"))</f>
        <v/>
      </c>
      <c r="L88" s="39" t="str">
        <f>IF(A88="","",SUMIFS(mv_qty,mv_ref,A88,mv_type,"Sortie"))</f>
        <v/>
      </c>
      <c r="M88" s="39" t="str">
        <f>IF(A88="","",ROUND(N(H88)+K88-L88,6))</f>
        <v/>
      </c>
      <c r="N88" s="40" t="str">
        <f>IF(A88="","",M88*N(G88))</f>
        <v/>
      </c>
      <c r="O88" s="39" t="str">
        <f>IF(A88="","",IF(M88&lt;=0,"Rupture",IF(AND(I88&lt;&gt;"",M88&lt;=N(I88)),"À commander","OK")))</f>
        <v/>
      </c>
      <c r="P88" s="39" t="str">
        <f>IF(OR(A88="",O88="OK",J88=""),"",MAX(N(J88)-M88,0))</f>
        <v/>
      </c>
      <c r="Q88" s="39" t="str">
        <f>IF(A88="",IF(COUNTA(B88:J88)&gt;0,"Référence manquante",""),IF(COUNTIF($A$5:$A$1004,A88)&gt;1,"Référence en double",IF(B88="","Désignation manquante","OK")))</f>
        <v/>
      </c>
      <c r="R88" s="39" t="str">
        <f>IF(OR(O88="Rupture",O88="À commander"),COUNTIF($O$5:O88,"Rupture")+COUNTIF($O$5:O88,"À commander"),"")</f>
        <v/>
      </c>
    </row>
    <row r="89">
      <c r="A89" s="37" t="n"/>
      <c r="B89" s="37" t="n"/>
      <c r="C89" s="37" t="n"/>
      <c r="D89" s="37" t="n"/>
      <c r="E89" s="37" t="n"/>
      <c r="F89" s="37" t="n"/>
      <c r="G89" s="38" t="n"/>
      <c r="H89" s="37" t="n"/>
      <c r="I89" s="37" t="n"/>
      <c r="J89" s="37" t="n"/>
      <c r="K89" s="39" t="str">
        <f>IF(A89="","",SUMIFS(mv_qty,mv_ref,A89,mv_type,"Entrée"))</f>
        <v/>
      </c>
      <c r="L89" s="39" t="str">
        <f>IF(A89="","",SUMIFS(mv_qty,mv_ref,A89,mv_type,"Sortie"))</f>
        <v/>
      </c>
      <c r="M89" s="39" t="str">
        <f>IF(A89="","",ROUND(N(H89)+K89-L89,6))</f>
        <v/>
      </c>
      <c r="N89" s="40" t="str">
        <f>IF(A89="","",M89*N(G89))</f>
        <v/>
      </c>
      <c r="O89" s="39" t="str">
        <f>IF(A89="","",IF(M89&lt;=0,"Rupture",IF(AND(I89&lt;&gt;"",M89&lt;=N(I89)),"À commander","OK")))</f>
        <v/>
      </c>
      <c r="P89" s="39" t="str">
        <f>IF(OR(A89="",O89="OK",J89=""),"",MAX(N(J89)-M89,0))</f>
        <v/>
      </c>
      <c r="Q89" s="39" t="str">
        <f>IF(A89="",IF(COUNTA(B89:J89)&gt;0,"Référence manquante",""),IF(COUNTIF($A$5:$A$1004,A89)&gt;1,"Référence en double",IF(B89="","Désignation manquante","OK")))</f>
        <v/>
      </c>
      <c r="R89" s="39" t="str">
        <f>IF(OR(O89="Rupture",O89="À commander"),COUNTIF($O$5:O89,"Rupture")+COUNTIF($O$5:O89,"À commander"),"")</f>
        <v/>
      </c>
    </row>
    <row r="90">
      <c r="A90" s="37" t="n"/>
      <c r="B90" s="37" t="n"/>
      <c r="C90" s="37" t="n"/>
      <c r="D90" s="37" t="n"/>
      <c r="E90" s="37" t="n"/>
      <c r="F90" s="37" t="n"/>
      <c r="G90" s="38" t="n"/>
      <c r="H90" s="37" t="n"/>
      <c r="I90" s="37" t="n"/>
      <c r="J90" s="37" t="n"/>
      <c r="K90" s="39" t="str">
        <f>IF(A90="","",SUMIFS(mv_qty,mv_ref,A90,mv_type,"Entrée"))</f>
        <v/>
      </c>
      <c r="L90" s="39" t="str">
        <f>IF(A90="","",SUMIFS(mv_qty,mv_ref,A90,mv_type,"Sortie"))</f>
        <v/>
      </c>
      <c r="M90" s="39" t="str">
        <f>IF(A90="","",ROUND(N(H90)+K90-L90,6))</f>
        <v/>
      </c>
      <c r="N90" s="40" t="str">
        <f>IF(A90="","",M90*N(G90))</f>
        <v/>
      </c>
      <c r="O90" s="39" t="str">
        <f>IF(A90="","",IF(M90&lt;=0,"Rupture",IF(AND(I90&lt;&gt;"",M90&lt;=N(I90)),"À commander","OK")))</f>
        <v/>
      </c>
      <c r="P90" s="39" t="str">
        <f>IF(OR(A90="",O90="OK",J90=""),"",MAX(N(J90)-M90,0))</f>
        <v/>
      </c>
      <c r="Q90" s="39" t="str">
        <f>IF(A90="",IF(COUNTA(B90:J90)&gt;0,"Référence manquante",""),IF(COUNTIF($A$5:$A$1004,A90)&gt;1,"Référence en double",IF(B90="","Désignation manquante","OK")))</f>
        <v/>
      </c>
      <c r="R90" s="39" t="str">
        <f>IF(OR(O90="Rupture",O90="À commander"),COUNTIF($O$5:O90,"Rupture")+COUNTIF($O$5:O90,"À commander"),"")</f>
        <v/>
      </c>
    </row>
    <row r="91">
      <c r="A91" s="37" t="n"/>
      <c r="B91" s="37" t="n"/>
      <c r="C91" s="37" t="n"/>
      <c r="D91" s="37" t="n"/>
      <c r="E91" s="37" t="n"/>
      <c r="F91" s="37" t="n"/>
      <c r="G91" s="38" t="n"/>
      <c r="H91" s="37" t="n"/>
      <c r="I91" s="37" t="n"/>
      <c r="J91" s="37" t="n"/>
      <c r="K91" s="39" t="str">
        <f>IF(A91="","",SUMIFS(mv_qty,mv_ref,A91,mv_type,"Entrée"))</f>
        <v/>
      </c>
      <c r="L91" s="39" t="str">
        <f>IF(A91="","",SUMIFS(mv_qty,mv_ref,A91,mv_type,"Sortie"))</f>
        <v/>
      </c>
      <c r="M91" s="39" t="str">
        <f>IF(A91="","",ROUND(N(H91)+K91-L91,6))</f>
        <v/>
      </c>
      <c r="N91" s="40" t="str">
        <f>IF(A91="","",M91*N(G91))</f>
        <v/>
      </c>
      <c r="O91" s="39" t="str">
        <f>IF(A91="","",IF(M91&lt;=0,"Rupture",IF(AND(I91&lt;&gt;"",M91&lt;=N(I91)),"À commander","OK")))</f>
        <v/>
      </c>
      <c r="P91" s="39" t="str">
        <f>IF(OR(A91="",O91="OK",J91=""),"",MAX(N(J91)-M91,0))</f>
        <v/>
      </c>
      <c r="Q91" s="39" t="str">
        <f>IF(A91="",IF(COUNTA(B91:J91)&gt;0,"Référence manquante",""),IF(COUNTIF($A$5:$A$1004,A91)&gt;1,"Référence en double",IF(B91="","Désignation manquante","OK")))</f>
        <v/>
      </c>
      <c r="R91" s="39" t="str">
        <f>IF(OR(O91="Rupture",O91="À commander"),COUNTIF($O$5:O91,"Rupture")+COUNTIF($O$5:O91,"À commander"),"")</f>
        <v/>
      </c>
    </row>
    <row r="92">
      <c r="A92" s="37" t="n"/>
      <c r="B92" s="37" t="n"/>
      <c r="C92" s="37" t="n"/>
      <c r="D92" s="37" t="n"/>
      <c r="E92" s="37" t="n"/>
      <c r="F92" s="37" t="n"/>
      <c r="G92" s="38" t="n"/>
      <c r="H92" s="37" t="n"/>
      <c r="I92" s="37" t="n"/>
      <c r="J92" s="37" t="n"/>
      <c r="K92" s="39" t="str">
        <f>IF(A92="","",SUMIFS(mv_qty,mv_ref,A92,mv_type,"Entrée"))</f>
        <v/>
      </c>
      <c r="L92" s="39" t="str">
        <f>IF(A92="","",SUMIFS(mv_qty,mv_ref,A92,mv_type,"Sortie"))</f>
        <v/>
      </c>
      <c r="M92" s="39" t="str">
        <f>IF(A92="","",ROUND(N(H92)+K92-L92,6))</f>
        <v/>
      </c>
      <c r="N92" s="40" t="str">
        <f>IF(A92="","",M92*N(G92))</f>
        <v/>
      </c>
      <c r="O92" s="39" t="str">
        <f>IF(A92="","",IF(M92&lt;=0,"Rupture",IF(AND(I92&lt;&gt;"",M92&lt;=N(I92)),"À commander","OK")))</f>
        <v/>
      </c>
      <c r="P92" s="39" t="str">
        <f>IF(OR(A92="",O92="OK",J92=""),"",MAX(N(J92)-M92,0))</f>
        <v/>
      </c>
      <c r="Q92" s="39" t="str">
        <f>IF(A92="",IF(COUNTA(B92:J92)&gt;0,"Référence manquante",""),IF(COUNTIF($A$5:$A$1004,A92)&gt;1,"Référence en double",IF(B92="","Désignation manquante","OK")))</f>
        <v/>
      </c>
      <c r="R92" s="39" t="str">
        <f>IF(OR(O92="Rupture",O92="À commander"),COUNTIF($O$5:O92,"Rupture")+COUNTIF($O$5:O92,"À commander"),"")</f>
        <v/>
      </c>
    </row>
    <row r="93">
      <c r="A93" s="37" t="n"/>
      <c r="B93" s="37" t="n"/>
      <c r="C93" s="37" t="n"/>
      <c r="D93" s="37" t="n"/>
      <c r="E93" s="37" t="n"/>
      <c r="F93" s="37" t="n"/>
      <c r="G93" s="38" t="n"/>
      <c r="H93" s="37" t="n"/>
      <c r="I93" s="37" t="n"/>
      <c r="J93" s="37" t="n"/>
      <c r="K93" s="39" t="str">
        <f>IF(A93="","",SUMIFS(mv_qty,mv_ref,A93,mv_type,"Entrée"))</f>
        <v/>
      </c>
      <c r="L93" s="39" t="str">
        <f>IF(A93="","",SUMIFS(mv_qty,mv_ref,A93,mv_type,"Sortie"))</f>
        <v/>
      </c>
      <c r="M93" s="39" t="str">
        <f>IF(A93="","",ROUND(N(H93)+K93-L93,6))</f>
        <v/>
      </c>
      <c r="N93" s="40" t="str">
        <f>IF(A93="","",M93*N(G93))</f>
        <v/>
      </c>
      <c r="O93" s="39" t="str">
        <f>IF(A93="","",IF(M93&lt;=0,"Rupture",IF(AND(I93&lt;&gt;"",M93&lt;=N(I93)),"À commander","OK")))</f>
        <v/>
      </c>
      <c r="P93" s="39" t="str">
        <f>IF(OR(A93="",O93="OK",J93=""),"",MAX(N(J93)-M93,0))</f>
        <v/>
      </c>
      <c r="Q93" s="39" t="str">
        <f>IF(A93="",IF(COUNTA(B93:J93)&gt;0,"Référence manquante",""),IF(COUNTIF($A$5:$A$1004,A93)&gt;1,"Référence en double",IF(B93="","Désignation manquante","OK")))</f>
        <v/>
      </c>
      <c r="R93" s="39" t="str">
        <f>IF(OR(O93="Rupture",O93="À commander"),COUNTIF($O$5:O93,"Rupture")+COUNTIF($O$5:O93,"À commander"),"")</f>
        <v/>
      </c>
    </row>
    <row r="94">
      <c r="A94" s="37" t="n"/>
      <c r="B94" s="37" t="n"/>
      <c r="C94" s="37" t="n"/>
      <c r="D94" s="37" t="n"/>
      <c r="E94" s="37" t="n"/>
      <c r="F94" s="37" t="n"/>
      <c r="G94" s="38" t="n"/>
      <c r="H94" s="37" t="n"/>
      <c r="I94" s="37" t="n"/>
      <c r="J94" s="37" t="n"/>
      <c r="K94" s="39" t="str">
        <f>IF(A94="","",SUMIFS(mv_qty,mv_ref,A94,mv_type,"Entrée"))</f>
        <v/>
      </c>
      <c r="L94" s="39" t="str">
        <f>IF(A94="","",SUMIFS(mv_qty,mv_ref,A94,mv_type,"Sortie"))</f>
        <v/>
      </c>
      <c r="M94" s="39" t="str">
        <f>IF(A94="","",ROUND(N(H94)+K94-L94,6))</f>
        <v/>
      </c>
      <c r="N94" s="40" t="str">
        <f>IF(A94="","",M94*N(G94))</f>
        <v/>
      </c>
      <c r="O94" s="39" t="str">
        <f>IF(A94="","",IF(M94&lt;=0,"Rupture",IF(AND(I94&lt;&gt;"",M94&lt;=N(I94)),"À commander","OK")))</f>
        <v/>
      </c>
      <c r="P94" s="39" t="str">
        <f>IF(OR(A94="",O94="OK",J94=""),"",MAX(N(J94)-M94,0))</f>
        <v/>
      </c>
      <c r="Q94" s="39" t="str">
        <f>IF(A94="",IF(COUNTA(B94:J94)&gt;0,"Référence manquante",""),IF(COUNTIF($A$5:$A$1004,A94)&gt;1,"Référence en double",IF(B94="","Désignation manquante","OK")))</f>
        <v/>
      </c>
      <c r="R94" s="39" t="str">
        <f>IF(OR(O94="Rupture",O94="À commander"),COUNTIF($O$5:O94,"Rupture")+COUNTIF($O$5:O94,"À commander"),"")</f>
        <v/>
      </c>
    </row>
    <row r="95">
      <c r="A95" s="37" t="n"/>
      <c r="B95" s="37" t="n"/>
      <c r="C95" s="37" t="n"/>
      <c r="D95" s="37" t="n"/>
      <c r="E95" s="37" t="n"/>
      <c r="F95" s="37" t="n"/>
      <c r="G95" s="38" t="n"/>
      <c r="H95" s="37" t="n"/>
      <c r="I95" s="37" t="n"/>
      <c r="J95" s="37" t="n"/>
      <c r="K95" s="39" t="str">
        <f>IF(A95="","",SUMIFS(mv_qty,mv_ref,A95,mv_type,"Entrée"))</f>
        <v/>
      </c>
      <c r="L95" s="39" t="str">
        <f>IF(A95="","",SUMIFS(mv_qty,mv_ref,A95,mv_type,"Sortie"))</f>
        <v/>
      </c>
      <c r="M95" s="39" t="str">
        <f>IF(A95="","",ROUND(N(H95)+K95-L95,6))</f>
        <v/>
      </c>
      <c r="N95" s="40" t="str">
        <f>IF(A95="","",M95*N(G95))</f>
        <v/>
      </c>
      <c r="O95" s="39" t="str">
        <f>IF(A95="","",IF(M95&lt;=0,"Rupture",IF(AND(I95&lt;&gt;"",M95&lt;=N(I95)),"À commander","OK")))</f>
        <v/>
      </c>
      <c r="P95" s="39" t="str">
        <f>IF(OR(A95="",O95="OK",J95=""),"",MAX(N(J95)-M95,0))</f>
        <v/>
      </c>
      <c r="Q95" s="39" t="str">
        <f>IF(A95="",IF(COUNTA(B95:J95)&gt;0,"Référence manquante",""),IF(COUNTIF($A$5:$A$1004,A95)&gt;1,"Référence en double",IF(B95="","Désignation manquante","OK")))</f>
        <v/>
      </c>
      <c r="R95" s="39" t="str">
        <f>IF(OR(O95="Rupture",O95="À commander"),COUNTIF($O$5:O95,"Rupture")+COUNTIF($O$5:O95,"À commander"),"")</f>
        <v/>
      </c>
    </row>
    <row r="96">
      <c r="A96" s="37" t="n"/>
      <c r="B96" s="37" t="n"/>
      <c r="C96" s="37" t="n"/>
      <c r="D96" s="37" t="n"/>
      <c r="E96" s="37" t="n"/>
      <c r="F96" s="37" t="n"/>
      <c r="G96" s="38" t="n"/>
      <c r="H96" s="37" t="n"/>
      <c r="I96" s="37" t="n"/>
      <c r="J96" s="37" t="n"/>
      <c r="K96" s="39" t="str">
        <f>IF(A96="","",SUMIFS(mv_qty,mv_ref,A96,mv_type,"Entrée"))</f>
        <v/>
      </c>
      <c r="L96" s="39" t="str">
        <f>IF(A96="","",SUMIFS(mv_qty,mv_ref,A96,mv_type,"Sortie"))</f>
        <v/>
      </c>
      <c r="M96" s="39" t="str">
        <f>IF(A96="","",ROUND(N(H96)+K96-L96,6))</f>
        <v/>
      </c>
      <c r="N96" s="40" t="str">
        <f>IF(A96="","",M96*N(G96))</f>
        <v/>
      </c>
      <c r="O96" s="39" t="str">
        <f>IF(A96="","",IF(M96&lt;=0,"Rupture",IF(AND(I96&lt;&gt;"",M96&lt;=N(I96)),"À commander","OK")))</f>
        <v/>
      </c>
      <c r="P96" s="39" t="str">
        <f>IF(OR(A96="",O96="OK",J96=""),"",MAX(N(J96)-M96,0))</f>
        <v/>
      </c>
      <c r="Q96" s="39" t="str">
        <f>IF(A96="",IF(COUNTA(B96:J96)&gt;0,"Référence manquante",""),IF(COUNTIF($A$5:$A$1004,A96)&gt;1,"Référence en double",IF(B96="","Désignation manquante","OK")))</f>
        <v/>
      </c>
      <c r="R96" s="39" t="str">
        <f>IF(OR(O96="Rupture",O96="À commander"),COUNTIF($O$5:O96,"Rupture")+COUNTIF($O$5:O96,"À commander"),"")</f>
        <v/>
      </c>
    </row>
    <row r="97">
      <c r="A97" s="37" t="n"/>
      <c r="B97" s="37" t="n"/>
      <c r="C97" s="37" t="n"/>
      <c r="D97" s="37" t="n"/>
      <c r="E97" s="37" t="n"/>
      <c r="F97" s="37" t="n"/>
      <c r="G97" s="38" t="n"/>
      <c r="H97" s="37" t="n"/>
      <c r="I97" s="37" t="n"/>
      <c r="J97" s="37" t="n"/>
      <c r="K97" s="39" t="str">
        <f>IF(A97="","",SUMIFS(mv_qty,mv_ref,A97,mv_type,"Entrée"))</f>
        <v/>
      </c>
      <c r="L97" s="39" t="str">
        <f>IF(A97="","",SUMIFS(mv_qty,mv_ref,A97,mv_type,"Sortie"))</f>
        <v/>
      </c>
      <c r="M97" s="39" t="str">
        <f>IF(A97="","",ROUND(N(H97)+K97-L97,6))</f>
        <v/>
      </c>
      <c r="N97" s="40" t="str">
        <f>IF(A97="","",M97*N(G97))</f>
        <v/>
      </c>
      <c r="O97" s="39" t="str">
        <f>IF(A97="","",IF(M97&lt;=0,"Rupture",IF(AND(I97&lt;&gt;"",M97&lt;=N(I97)),"À commander","OK")))</f>
        <v/>
      </c>
      <c r="P97" s="39" t="str">
        <f>IF(OR(A97="",O97="OK",J97=""),"",MAX(N(J97)-M97,0))</f>
        <v/>
      </c>
      <c r="Q97" s="39" t="str">
        <f>IF(A97="",IF(COUNTA(B97:J97)&gt;0,"Référence manquante",""),IF(COUNTIF($A$5:$A$1004,A97)&gt;1,"Référence en double",IF(B97="","Désignation manquante","OK")))</f>
        <v/>
      </c>
      <c r="R97" s="39" t="str">
        <f>IF(OR(O97="Rupture",O97="À commander"),COUNTIF($O$5:O97,"Rupture")+COUNTIF($O$5:O97,"À commander"),"")</f>
        <v/>
      </c>
    </row>
    <row r="98">
      <c r="A98" s="37" t="n"/>
      <c r="B98" s="37" t="n"/>
      <c r="C98" s="37" t="n"/>
      <c r="D98" s="37" t="n"/>
      <c r="E98" s="37" t="n"/>
      <c r="F98" s="37" t="n"/>
      <c r="G98" s="38" t="n"/>
      <c r="H98" s="37" t="n"/>
      <c r="I98" s="37" t="n"/>
      <c r="J98" s="37" t="n"/>
      <c r="K98" s="39" t="str">
        <f>IF(A98="","",SUMIFS(mv_qty,mv_ref,A98,mv_type,"Entrée"))</f>
        <v/>
      </c>
      <c r="L98" s="39" t="str">
        <f>IF(A98="","",SUMIFS(mv_qty,mv_ref,A98,mv_type,"Sortie"))</f>
        <v/>
      </c>
      <c r="M98" s="39" t="str">
        <f>IF(A98="","",ROUND(N(H98)+K98-L98,6))</f>
        <v/>
      </c>
      <c r="N98" s="40" t="str">
        <f>IF(A98="","",M98*N(G98))</f>
        <v/>
      </c>
      <c r="O98" s="39" t="str">
        <f>IF(A98="","",IF(M98&lt;=0,"Rupture",IF(AND(I98&lt;&gt;"",M98&lt;=N(I98)),"À commander","OK")))</f>
        <v/>
      </c>
      <c r="P98" s="39" t="str">
        <f>IF(OR(A98="",O98="OK",J98=""),"",MAX(N(J98)-M98,0))</f>
        <v/>
      </c>
      <c r="Q98" s="39" t="str">
        <f>IF(A98="",IF(COUNTA(B98:J98)&gt;0,"Référence manquante",""),IF(COUNTIF($A$5:$A$1004,A98)&gt;1,"Référence en double",IF(B98="","Désignation manquante","OK")))</f>
        <v/>
      </c>
      <c r="R98" s="39" t="str">
        <f>IF(OR(O98="Rupture",O98="À commander"),COUNTIF($O$5:O98,"Rupture")+COUNTIF($O$5:O98,"À commander"),"")</f>
        <v/>
      </c>
    </row>
    <row r="99">
      <c r="A99" s="37" t="n"/>
      <c r="B99" s="37" t="n"/>
      <c r="C99" s="37" t="n"/>
      <c r="D99" s="37" t="n"/>
      <c r="E99" s="37" t="n"/>
      <c r="F99" s="37" t="n"/>
      <c r="G99" s="38" t="n"/>
      <c r="H99" s="37" t="n"/>
      <c r="I99" s="37" t="n"/>
      <c r="J99" s="37" t="n"/>
      <c r="K99" s="39" t="str">
        <f>IF(A99="","",SUMIFS(mv_qty,mv_ref,A99,mv_type,"Entrée"))</f>
        <v/>
      </c>
      <c r="L99" s="39" t="str">
        <f>IF(A99="","",SUMIFS(mv_qty,mv_ref,A99,mv_type,"Sortie"))</f>
        <v/>
      </c>
      <c r="M99" s="39" t="str">
        <f>IF(A99="","",ROUND(N(H99)+K99-L99,6))</f>
        <v/>
      </c>
      <c r="N99" s="40" t="str">
        <f>IF(A99="","",M99*N(G99))</f>
        <v/>
      </c>
      <c r="O99" s="39" t="str">
        <f>IF(A99="","",IF(M99&lt;=0,"Rupture",IF(AND(I99&lt;&gt;"",M99&lt;=N(I99)),"À commander","OK")))</f>
        <v/>
      </c>
      <c r="P99" s="39" t="str">
        <f>IF(OR(A99="",O99="OK",J99=""),"",MAX(N(J99)-M99,0))</f>
        <v/>
      </c>
      <c r="Q99" s="39" t="str">
        <f>IF(A99="",IF(COUNTA(B99:J99)&gt;0,"Référence manquante",""),IF(COUNTIF($A$5:$A$1004,A99)&gt;1,"Référence en double",IF(B99="","Désignation manquante","OK")))</f>
        <v/>
      </c>
      <c r="R99" s="39" t="str">
        <f>IF(OR(O99="Rupture",O99="À commander"),COUNTIF($O$5:O99,"Rupture")+COUNTIF($O$5:O99,"À commander"),"")</f>
        <v/>
      </c>
    </row>
    <row r="100">
      <c r="A100" s="37" t="n"/>
      <c r="B100" s="37" t="n"/>
      <c r="C100" s="37" t="n"/>
      <c r="D100" s="37" t="n"/>
      <c r="E100" s="37" t="n"/>
      <c r="F100" s="37" t="n"/>
      <c r="G100" s="38" t="n"/>
      <c r="H100" s="37" t="n"/>
      <c r="I100" s="37" t="n"/>
      <c r="J100" s="37" t="n"/>
      <c r="K100" s="39" t="str">
        <f>IF(A100="","",SUMIFS(mv_qty,mv_ref,A100,mv_type,"Entrée"))</f>
        <v/>
      </c>
      <c r="L100" s="39" t="str">
        <f>IF(A100="","",SUMIFS(mv_qty,mv_ref,A100,mv_type,"Sortie"))</f>
        <v/>
      </c>
      <c r="M100" s="39" t="str">
        <f>IF(A100="","",ROUND(N(H100)+K100-L100,6))</f>
        <v/>
      </c>
      <c r="N100" s="40" t="str">
        <f>IF(A100="","",M100*N(G100))</f>
        <v/>
      </c>
      <c r="O100" s="39" t="str">
        <f>IF(A100="","",IF(M100&lt;=0,"Rupture",IF(AND(I100&lt;&gt;"",M100&lt;=N(I100)),"À commander","OK")))</f>
        <v/>
      </c>
      <c r="P100" s="39" t="str">
        <f>IF(OR(A100="",O100="OK",J100=""),"",MAX(N(J100)-M100,0))</f>
        <v/>
      </c>
      <c r="Q100" s="39" t="str">
        <f>IF(A100="",IF(COUNTA(B100:J100)&gt;0,"Référence manquante",""),IF(COUNTIF($A$5:$A$1004,A100)&gt;1,"Référence en double",IF(B100="","Désignation manquante","OK")))</f>
        <v/>
      </c>
      <c r="R100" s="39" t="str">
        <f>IF(OR(O100="Rupture",O100="À commander"),COUNTIF($O$5:O100,"Rupture")+COUNTIF($O$5:O100,"À commander"),"")</f>
        <v/>
      </c>
    </row>
    <row r="101">
      <c r="A101" s="37" t="n"/>
      <c r="B101" s="37" t="n"/>
      <c r="C101" s="37" t="n"/>
      <c r="D101" s="37" t="n"/>
      <c r="E101" s="37" t="n"/>
      <c r="F101" s="37" t="n"/>
      <c r="G101" s="38" t="n"/>
      <c r="H101" s="37" t="n"/>
      <c r="I101" s="37" t="n"/>
      <c r="J101" s="37" t="n"/>
      <c r="K101" s="39" t="str">
        <f>IF(A101="","",SUMIFS(mv_qty,mv_ref,A101,mv_type,"Entrée"))</f>
        <v/>
      </c>
      <c r="L101" s="39" t="str">
        <f>IF(A101="","",SUMIFS(mv_qty,mv_ref,A101,mv_type,"Sortie"))</f>
        <v/>
      </c>
      <c r="M101" s="39" t="str">
        <f>IF(A101="","",ROUND(N(H101)+K101-L101,6))</f>
        <v/>
      </c>
      <c r="N101" s="40" t="str">
        <f>IF(A101="","",M101*N(G101))</f>
        <v/>
      </c>
      <c r="O101" s="39" t="str">
        <f>IF(A101="","",IF(M101&lt;=0,"Rupture",IF(AND(I101&lt;&gt;"",M101&lt;=N(I101)),"À commander","OK")))</f>
        <v/>
      </c>
      <c r="P101" s="39" t="str">
        <f>IF(OR(A101="",O101="OK",J101=""),"",MAX(N(J101)-M101,0))</f>
        <v/>
      </c>
      <c r="Q101" s="39" t="str">
        <f>IF(A101="",IF(COUNTA(B101:J101)&gt;0,"Référence manquante",""),IF(COUNTIF($A$5:$A$1004,A101)&gt;1,"Référence en double",IF(B101="","Désignation manquante","OK")))</f>
        <v/>
      </c>
      <c r="R101" s="39" t="str">
        <f>IF(OR(O101="Rupture",O101="À commander"),COUNTIF($O$5:O101,"Rupture")+COUNTIF($O$5:O101,"À commander"),"")</f>
        <v/>
      </c>
    </row>
    <row r="102">
      <c r="A102" s="37" t="n"/>
      <c r="B102" s="37" t="n"/>
      <c r="C102" s="37" t="n"/>
      <c r="D102" s="37" t="n"/>
      <c r="E102" s="37" t="n"/>
      <c r="F102" s="37" t="n"/>
      <c r="G102" s="38" t="n"/>
      <c r="H102" s="37" t="n"/>
      <c r="I102" s="37" t="n"/>
      <c r="J102" s="37" t="n"/>
      <c r="K102" s="39" t="str">
        <f>IF(A102="","",SUMIFS(mv_qty,mv_ref,A102,mv_type,"Entrée"))</f>
        <v/>
      </c>
      <c r="L102" s="39" t="str">
        <f>IF(A102="","",SUMIFS(mv_qty,mv_ref,A102,mv_type,"Sortie"))</f>
        <v/>
      </c>
      <c r="M102" s="39" t="str">
        <f>IF(A102="","",ROUND(N(H102)+K102-L102,6))</f>
        <v/>
      </c>
      <c r="N102" s="40" t="str">
        <f>IF(A102="","",M102*N(G102))</f>
        <v/>
      </c>
      <c r="O102" s="39" t="str">
        <f>IF(A102="","",IF(M102&lt;=0,"Rupture",IF(AND(I102&lt;&gt;"",M102&lt;=N(I102)),"À commander","OK")))</f>
        <v/>
      </c>
      <c r="P102" s="39" t="str">
        <f>IF(OR(A102="",O102="OK",J102=""),"",MAX(N(J102)-M102,0))</f>
        <v/>
      </c>
      <c r="Q102" s="39" t="str">
        <f>IF(A102="",IF(COUNTA(B102:J102)&gt;0,"Référence manquante",""),IF(COUNTIF($A$5:$A$1004,A102)&gt;1,"Référence en double",IF(B102="","Désignation manquante","OK")))</f>
        <v/>
      </c>
      <c r="R102" s="39" t="str">
        <f>IF(OR(O102="Rupture",O102="À commander"),COUNTIF($O$5:O102,"Rupture")+COUNTIF($O$5:O102,"À commander"),"")</f>
        <v/>
      </c>
    </row>
    <row r="103">
      <c r="A103" s="37" t="n"/>
      <c r="B103" s="37" t="n"/>
      <c r="C103" s="37" t="n"/>
      <c r="D103" s="37" t="n"/>
      <c r="E103" s="37" t="n"/>
      <c r="F103" s="37" t="n"/>
      <c r="G103" s="38" t="n"/>
      <c r="H103" s="37" t="n"/>
      <c r="I103" s="37" t="n"/>
      <c r="J103" s="37" t="n"/>
      <c r="K103" s="39" t="str">
        <f>IF(A103="","",SUMIFS(mv_qty,mv_ref,A103,mv_type,"Entrée"))</f>
        <v/>
      </c>
      <c r="L103" s="39" t="str">
        <f>IF(A103="","",SUMIFS(mv_qty,mv_ref,A103,mv_type,"Sortie"))</f>
        <v/>
      </c>
      <c r="M103" s="39" t="str">
        <f>IF(A103="","",ROUND(N(H103)+K103-L103,6))</f>
        <v/>
      </c>
      <c r="N103" s="40" t="str">
        <f>IF(A103="","",M103*N(G103))</f>
        <v/>
      </c>
      <c r="O103" s="39" t="str">
        <f>IF(A103="","",IF(M103&lt;=0,"Rupture",IF(AND(I103&lt;&gt;"",M103&lt;=N(I103)),"À commander","OK")))</f>
        <v/>
      </c>
      <c r="P103" s="39" t="str">
        <f>IF(OR(A103="",O103="OK",J103=""),"",MAX(N(J103)-M103,0))</f>
        <v/>
      </c>
      <c r="Q103" s="39" t="str">
        <f>IF(A103="",IF(COUNTA(B103:J103)&gt;0,"Référence manquante",""),IF(COUNTIF($A$5:$A$1004,A103)&gt;1,"Référence en double",IF(B103="","Désignation manquante","OK")))</f>
        <v/>
      </c>
      <c r="R103" s="39" t="str">
        <f>IF(OR(O103="Rupture",O103="À commander"),COUNTIF($O$5:O103,"Rupture")+COUNTIF($O$5:O103,"À commander"),"")</f>
        <v/>
      </c>
    </row>
    <row r="104">
      <c r="A104" s="37" t="n"/>
      <c r="B104" s="37" t="n"/>
      <c r="C104" s="37" t="n"/>
      <c r="D104" s="37" t="n"/>
      <c r="E104" s="37" t="n"/>
      <c r="F104" s="37" t="n"/>
      <c r="G104" s="38" t="n"/>
      <c r="H104" s="37" t="n"/>
      <c r="I104" s="37" t="n"/>
      <c r="J104" s="37" t="n"/>
      <c r="K104" s="39" t="str">
        <f>IF(A104="","",SUMIFS(mv_qty,mv_ref,A104,mv_type,"Entrée"))</f>
        <v/>
      </c>
      <c r="L104" s="39" t="str">
        <f>IF(A104="","",SUMIFS(mv_qty,mv_ref,A104,mv_type,"Sortie"))</f>
        <v/>
      </c>
      <c r="M104" s="39" t="str">
        <f>IF(A104="","",ROUND(N(H104)+K104-L104,6))</f>
        <v/>
      </c>
      <c r="N104" s="40" t="str">
        <f>IF(A104="","",M104*N(G104))</f>
        <v/>
      </c>
      <c r="O104" s="39" t="str">
        <f>IF(A104="","",IF(M104&lt;=0,"Rupture",IF(AND(I104&lt;&gt;"",M104&lt;=N(I104)),"À commander","OK")))</f>
        <v/>
      </c>
      <c r="P104" s="39" t="str">
        <f>IF(OR(A104="",O104="OK",J104=""),"",MAX(N(J104)-M104,0))</f>
        <v/>
      </c>
      <c r="Q104" s="39" t="str">
        <f>IF(A104="",IF(COUNTA(B104:J104)&gt;0,"Référence manquante",""),IF(COUNTIF($A$5:$A$1004,A104)&gt;1,"Référence en double",IF(B104="","Désignation manquante","OK")))</f>
        <v/>
      </c>
      <c r="R104" s="39" t="str">
        <f>IF(OR(O104="Rupture",O104="À commander"),COUNTIF($O$5:O104,"Rupture")+COUNTIF($O$5:O104,"À commander"),"")</f>
        <v/>
      </c>
    </row>
    <row r="105">
      <c r="A105" s="37" t="n"/>
      <c r="B105" s="37" t="n"/>
      <c r="C105" s="37" t="n"/>
      <c r="D105" s="37" t="n"/>
      <c r="E105" s="37" t="n"/>
      <c r="F105" s="37" t="n"/>
      <c r="G105" s="38" t="n"/>
      <c r="H105" s="37" t="n"/>
      <c r="I105" s="37" t="n"/>
      <c r="J105" s="37" t="n"/>
      <c r="K105" s="39" t="str">
        <f>IF(A105="","",SUMIFS(mv_qty,mv_ref,A105,mv_type,"Entrée"))</f>
        <v/>
      </c>
      <c r="L105" s="39" t="str">
        <f>IF(A105="","",SUMIFS(mv_qty,mv_ref,A105,mv_type,"Sortie"))</f>
        <v/>
      </c>
      <c r="M105" s="39" t="str">
        <f>IF(A105="","",ROUND(N(H105)+K105-L105,6))</f>
        <v/>
      </c>
      <c r="N105" s="40" t="str">
        <f>IF(A105="","",M105*N(G105))</f>
        <v/>
      </c>
      <c r="O105" s="39" t="str">
        <f>IF(A105="","",IF(M105&lt;=0,"Rupture",IF(AND(I105&lt;&gt;"",M105&lt;=N(I105)),"À commander","OK")))</f>
        <v/>
      </c>
      <c r="P105" s="39" t="str">
        <f>IF(OR(A105="",O105="OK",J105=""),"",MAX(N(J105)-M105,0))</f>
        <v/>
      </c>
      <c r="Q105" s="39" t="str">
        <f>IF(A105="",IF(COUNTA(B105:J105)&gt;0,"Référence manquante",""),IF(COUNTIF($A$5:$A$1004,A105)&gt;1,"Référence en double",IF(B105="","Désignation manquante","OK")))</f>
        <v/>
      </c>
      <c r="R105" s="39" t="str">
        <f>IF(OR(O105="Rupture",O105="À commander"),COUNTIF($O$5:O105,"Rupture")+COUNTIF($O$5:O105,"À commander"),"")</f>
        <v/>
      </c>
    </row>
    <row r="106">
      <c r="A106" s="37" t="n"/>
      <c r="B106" s="37" t="n"/>
      <c r="C106" s="37" t="n"/>
      <c r="D106" s="37" t="n"/>
      <c r="E106" s="37" t="n"/>
      <c r="F106" s="37" t="n"/>
      <c r="G106" s="38" t="n"/>
      <c r="H106" s="37" t="n"/>
      <c r="I106" s="37" t="n"/>
      <c r="J106" s="37" t="n"/>
      <c r="K106" s="39" t="str">
        <f>IF(A106="","",SUMIFS(mv_qty,mv_ref,A106,mv_type,"Entrée"))</f>
        <v/>
      </c>
      <c r="L106" s="39" t="str">
        <f>IF(A106="","",SUMIFS(mv_qty,mv_ref,A106,mv_type,"Sortie"))</f>
        <v/>
      </c>
      <c r="M106" s="39" t="str">
        <f>IF(A106="","",ROUND(N(H106)+K106-L106,6))</f>
        <v/>
      </c>
      <c r="N106" s="40" t="str">
        <f>IF(A106="","",M106*N(G106))</f>
        <v/>
      </c>
      <c r="O106" s="39" t="str">
        <f>IF(A106="","",IF(M106&lt;=0,"Rupture",IF(AND(I106&lt;&gt;"",M106&lt;=N(I106)),"À commander","OK")))</f>
        <v/>
      </c>
      <c r="P106" s="39" t="str">
        <f>IF(OR(A106="",O106="OK",J106=""),"",MAX(N(J106)-M106,0))</f>
        <v/>
      </c>
      <c r="Q106" s="39" t="str">
        <f>IF(A106="",IF(COUNTA(B106:J106)&gt;0,"Référence manquante",""),IF(COUNTIF($A$5:$A$1004,A106)&gt;1,"Référence en double",IF(B106="","Désignation manquante","OK")))</f>
        <v/>
      </c>
      <c r="R106" s="39" t="str">
        <f>IF(OR(O106="Rupture",O106="À commander"),COUNTIF($O$5:O106,"Rupture")+COUNTIF($O$5:O106,"À commander"),"")</f>
        <v/>
      </c>
    </row>
    <row r="107">
      <c r="A107" s="37" t="n"/>
      <c r="B107" s="37" t="n"/>
      <c r="C107" s="37" t="n"/>
      <c r="D107" s="37" t="n"/>
      <c r="E107" s="37" t="n"/>
      <c r="F107" s="37" t="n"/>
      <c r="G107" s="38" t="n"/>
      <c r="H107" s="37" t="n"/>
      <c r="I107" s="37" t="n"/>
      <c r="J107" s="37" t="n"/>
      <c r="K107" s="39" t="str">
        <f>IF(A107="","",SUMIFS(mv_qty,mv_ref,A107,mv_type,"Entrée"))</f>
        <v/>
      </c>
      <c r="L107" s="39" t="str">
        <f>IF(A107="","",SUMIFS(mv_qty,mv_ref,A107,mv_type,"Sortie"))</f>
        <v/>
      </c>
      <c r="M107" s="39" t="str">
        <f>IF(A107="","",ROUND(N(H107)+K107-L107,6))</f>
        <v/>
      </c>
      <c r="N107" s="40" t="str">
        <f>IF(A107="","",M107*N(G107))</f>
        <v/>
      </c>
      <c r="O107" s="39" t="str">
        <f>IF(A107="","",IF(M107&lt;=0,"Rupture",IF(AND(I107&lt;&gt;"",M107&lt;=N(I107)),"À commander","OK")))</f>
        <v/>
      </c>
      <c r="P107" s="39" t="str">
        <f>IF(OR(A107="",O107="OK",J107=""),"",MAX(N(J107)-M107,0))</f>
        <v/>
      </c>
      <c r="Q107" s="39" t="str">
        <f>IF(A107="",IF(COUNTA(B107:J107)&gt;0,"Référence manquante",""),IF(COUNTIF($A$5:$A$1004,A107)&gt;1,"Référence en double",IF(B107="","Désignation manquante","OK")))</f>
        <v/>
      </c>
      <c r="R107" s="39" t="str">
        <f>IF(OR(O107="Rupture",O107="À commander"),COUNTIF($O$5:O107,"Rupture")+COUNTIF($O$5:O107,"À commander"),"")</f>
        <v/>
      </c>
    </row>
    <row r="108">
      <c r="A108" s="37" t="n"/>
      <c r="B108" s="37" t="n"/>
      <c r="C108" s="37" t="n"/>
      <c r="D108" s="37" t="n"/>
      <c r="E108" s="37" t="n"/>
      <c r="F108" s="37" t="n"/>
      <c r="G108" s="38" t="n"/>
      <c r="H108" s="37" t="n"/>
      <c r="I108" s="37" t="n"/>
      <c r="J108" s="37" t="n"/>
      <c r="K108" s="39" t="str">
        <f>IF(A108="","",SUMIFS(mv_qty,mv_ref,A108,mv_type,"Entrée"))</f>
        <v/>
      </c>
      <c r="L108" s="39" t="str">
        <f>IF(A108="","",SUMIFS(mv_qty,mv_ref,A108,mv_type,"Sortie"))</f>
        <v/>
      </c>
      <c r="M108" s="39" t="str">
        <f>IF(A108="","",ROUND(N(H108)+K108-L108,6))</f>
        <v/>
      </c>
      <c r="N108" s="40" t="str">
        <f>IF(A108="","",M108*N(G108))</f>
        <v/>
      </c>
      <c r="O108" s="39" t="str">
        <f>IF(A108="","",IF(M108&lt;=0,"Rupture",IF(AND(I108&lt;&gt;"",M108&lt;=N(I108)),"À commander","OK")))</f>
        <v/>
      </c>
      <c r="P108" s="39" t="str">
        <f>IF(OR(A108="",O108="OK",J108=""),"",MAX(N(J108)-M108,0))</f>
        <v/>
      </c>
      <c r="Q108" s="39" t="str">
        <f>IF(A108="",IF(COUNTA(B108:J108)&gt;0,"Référence manquante",""),IF(COUNTIF($A$5:$A$1004,A108)&gt;1,"Référence en double",IF(B108="","Désignation manquante","OK")))</f>
        <v/>
      </c>
      <c r="R108" s="39" t="str">
        <f>IF(OR(O108="Rupture",O108="À commander"),COUNTIF($O$5:O108,"Rupture")+COUNTIF($O$5:O108,"À commander"),"")</f>
        <v/>
      </c>
    </row>
    <row r="109">
      <c r="A109" s="37" t="n"/>
      <c r="B109" s="37" t="n"/>
      <c r="C109" s="37" t="n"/>
      <c r="D109" s="37" t="n"/>
      <c r="E109" s="37" t="n"/>
      <c r="F109" s="37" t="n"/>
      <c r="G109" s="38" t="n"/>
      <c r="H109" s="37" t="n"/>
      <c r="I109" s="37" t="n"/>
      <c r="J109" s="37" t="n"/>
      <c r="K109" s="39" t="str">
        <f>IF(A109="","",SUMIFS(mv_qty,mv_ref,A109,mv_type,"Entrée"))</f>
        <v/>
      </c>
      <c r="L109" s="39" t="str">
        <f>IF(A109="","",SUMIFS(mv_qty,mv_ref,A109,mv_type,"Sortie"))</f>
        <v/>
      </c>
      <c r="M109" s="39" t="str">
        <f>IF(A109="","",ROUND(N(H109)+K109-L109,6))</f>
        <v/>
      </c>
      <c r="N109" s="40" t="str">
        <f>IF(A109="","",M109*N(G109))</f>
        <v/>
      </c>
      <c r="O109" s="39" t="str">
        <f>IF(A109="","",IF(M109&lt;=0,"Rupture",IF(AND(I109&lt;&gt;"",M109&lt;=N(I109)),"À commander","OK")))</f>
        <v/>
      </c>
      <c r="P109" s="39" t="str">
        <f>IF(OR(A109="",O109="OK",J109=""),"",MAX(N(J109)-M109,0))</f>
        <v/>
      </c>
      <c r="Q109" s="39" t="str">
        <f>IF(A109="",IF(COUNTA(B109:J109)&gt;0,"Référence manquante",""),IF(COUNTIF($A$5:$A$1004,A109)&gt;1,"Référence en double",IF(B109="","Désignation manquante","OK")))</f>
        <v/>
      </c>
      <c r="R109" s="39" t="str">
        <f>IF(OR(O109="Rupture",O109="À commander"),COUNTIF($O$5:O109,"Rupture")+COUNTIF($O$5:O109,"À commander"),"")</f>
        <v/>
      </c>
    </row>
    <row r="110">
      <c r="A110" s="37" t="n"/>
      <c r="B110" s="37" t="n"/>
      <c r="C110" s="37" t="n"/>
      <c r="D110" s="37" t="n"/>
      <c r="E110" s="37" t="n"/>
      <c r="F110" s="37" t="n"/>
      <c r="G110" s="38" t="n"/>
      <c r="H110" s="37" t="n"/>
      <c r="I110" s="37" t="n"/>
      <c r="J110" s="37" t="n"/>
      <c r="K110" s="39" t="str">
        <f>IF(A110="","",SUMIFS(mv_qty,mv_ref,A110,mv_type,"Entrée"))</f>
        <v/>
      </c>
      <c r="L110" s="39" t="str">
        <f>IF(A110="","",SUMIFS(mv_qty,mv_ref,A110,mv_type,"Sortie"))</f>
        <v/>
      </c>
      <c r="M110" s="39" t="str">
        <f>IF(A110="","",ROUND(N(H110)+K110-L110,6))</f>
        <v/>
      </c>
      <c r="N110" s="40" t="str">
        <f>IF(A110="","",M110*N(G110))</f>
        <v/>
      </c>
      <c r="O110" s="39" t="str">
        <f>IF(A110="","",IF(M110&lt;=0,"Rupture",IF(AND(I110&lt;&gt;"",M110&lt;=N(I110)),"À commander","OK")))</f>
        <v/>
      </c>
      <c r="P110" s="39" t="str">
        <f>IF(OR(A110="",O110="OK",J110=""),"",MAX(N(J110)-M110,0))</f>
        <v/>
      </c>
      <c r="Q110" s="39" t="str">
        <f>IF(A110="",IF(COUNTA(B110:J110)&gt;0,"Référence manquante",""),IF(COUNTIF($A$5:$A$1004,A110)&gt;1,"Référence en double",IF(B110="","Désignation manquante","OK")))</f>
        <v/>
      </c>
      <c r="R110" s="39" t="str">
        <f>IF(OR(O110="Rupture",O110="À commander"),COUNTIF($O$5:O110,"Rupture")+COUNTIF($O$5:O110,"À commander"),"")</f>
        <v/>
      </c>
    </row>
    <row r="111">
      <c r="A111" s="37" t="n"/>
      <c r="B111" s="37" t="n"/>
      <c r="C111" s="37" t="n"/>
      <c r="D111" s="37" t="n"/>
      <c r="E111" s="37" t="n"/>
      <c r="F111" s="37" t="n"/>
      <c r="G111" s="38" t="n"/>
      <c r="H111" s="37" t="n"/>
      <c r="I111" s="37" t="n"/>
      <c r="J111" s="37" t="n"/>
      <c r="K111" s="39" t="str">
        <f>IF(A111="","",SUMIFS(mv_qty,mv_ref,A111,mv_type,"Entrée"))</f>
        <v/>
      </c>
      <c r="L111" s="39" t="str">
        <f>IF(A111="","",SUMIFS(mv_qty,mv_ref,A111,mv_type,"Sortie"))</f>
        <v/>
      </c>
      <c r="M111" s="39" t="str">
        <f>IF(A111="","",ROUND(N(H111)+K111-L111,6))</f>
        <v/>
      </c>
      <c r="N111" s="40" t="str">
        <f>IF(A111="","",M111*N(G111))</f>
        <v/>
      </c>
      <c r="O111" s="39" t="str">
        <f>IF(A111="","",IF(M111&lt;=0,"Rupture",IF(AND(I111&lt;&gt;"",M111&lt;=N(I111)),"À commander","OK")))</f>
        <v/>
      </c>
      <c r="P111" s="39" t="str">
        <f>IF(OR(A111="",O111="OK",J111=""),"",MAX(N(J111)-M111,0))</f>
        <v/>
      </c>
      <c r="Q111" s="39" t="str">
        <f>IF(A111="",IF(COUNTA(B111:J111)&gt;0,"Référence manquante",""),IF(COUNTIF($A$5:$A$1004,A111)&gt;1,"Référence en double",IF(B111="","Désignation manquante","OK")))</f>
        <v/>
      </c>
      <c r="R111" s="39" t="str">
        <f>IF(OR(O111="Rupture",O111="À commander"),COUNTIF($O$5:O111,"Rupture")+COUNTIF($O$5:O111,"À commander"),"")</f>
        <v/>
      </c>
    </row>
    <row r="112">
      <c r="A112" s="37" t="n"/>
      <c r="B112" s="37" t="n"/>
      <c r="C112" s="37" t="n"/>
      <c r="D112" s="37" t="n"/>
      <c r="E112" s="37" t="n"/>
      <c r="F112" s="37" t="n"/>
      <c r="G112" s="38" t="n"/>
      <c r="H112" s="37" t="n"/>
      <c r="I112" s="37" t="n"/>
      <c r="J112" s="37" t="n"/>
      <c r="K112" s="39" t="str">
        <f>IF(A112="","",SUMIFS(mv_qty,mv_ref,A112,mv_type,"Entrée"))</f>
        <v/>
      </c>
      <c r="L112" s="39" t="str">
        <f>IF(A112="","",SUMIFS(mv_qty,mv_ref,A112,mv_type,"Sortie"))</f>
        <v/>
      </c>
      <c r="M112" s="39" t="str">
        <f>IF(A112="","",ROUND(N(H112)+K112-L112,6))</f>
        <v/>
      </c>
      <c r="N112" s="40" t="str">
        <f>IF(A112="","",M112*N(G112))</f>
        <v/>
      </c>
      <c r="O112" s="39" t="str">
        <f>IF(A112="","",IF(M112&lt;=0,"Rupture",IF(AND(I112&lt;&gt;"",M112&lt;=N(I112)),"À commander","OK")))</f>
        <v/>
      </c>
      <c r="P112" s="39" t="str">
        <f>IF(OR(A112="",O112="OK",J112=""),"",MAX(N(J112)-M112,0))</f>
        <v/>
      </c>
      <c r="Q112" s="39" t="str">
        <f>IF(A112="",IF(COUNTA(B112:J112)&gt;0,"Référence manquante",""),IF(COUNTIF($A$5:$A$1004,A112)&gt;1,"Référence en double",IF(B112="","Désignation manquante","OK")))</f>
        <v/>
      </c>
      <c r="R112" s="39" t="str">
        <f>IF(OR(O112="Rupture",O112="À commander"),COUNTIF($O$5:O112,"Rupture")+COUNTIF($O$5:O112,"À commander"),"")</f>
        <v/>
      </c>
    </row>
    <row r="113">
      <c r="A113" s="37" t="n"/>
      <c r="B113" s="37" t="n"/>
      <c r="C113" s="37" t="n"/>
      <c r="D113" s="37" t="n"/>
      <c r="E113" s="37" t="n"/>
      <c r="F113" s="37" t="n"/>
      <c r="G113" s="38" t="n"/>
      <c r="H113" s="37" t="n"/>
      <c r="I113" s="37" t="n"/>
      <c r="J113" s="37" t="n"/>
      <c r="K113" s="39" t="str">
        <f>IF(A113="","",SUMIFS(mv_qty,mv_ref,A113,mv_type,"Entrée"))</f>
        <v/>
      </c>
      <c r="L113" s="39" t="str">
        <f>IF(A113="","",SUMIFS(mv_qty,mv_ref,A113,mv_type,"Sortie"))</f>
        <v/>
      </c>
      <c r="M113" s="39" t="str">
        <f>IF(A113="","",ROUND(N(H113)+K113-L113,6))</f>
        <v/>
      </c>
      <c r="N113" s="40" t="str">
        <f>IF(A113="","",M113*N(G113))</f>
        <v/>
      </c>
      <c r="O113" s="39" t="str">
        <f>IF(A113="","",IF(M113&lt;=0,"Rupture",IF(AND(I113&lt;&gt;"",M113&lt;=N(I113)),"À commander","OK")))</f>
        <v/>
      </c>
      <c r="P113" s="39" t="str">
        <f>IF(OR(A113="",O113="OK",J113=""),"",MAX(N(J113)-M113,0))</f>
        <v/>
      </c>
      <c r="Q113" s="39" t="str">
        <f>IF(A113="",IF(COUNTA(B113:J113)&gt;0,"Référence manquante",""),IF(COUNTIF($A$5:$A$1004,A113)&gt;1,"Référence en double",IF(B113="","Désignation manquante","OK")))</f>
        <v/>
      </c>
      <c r="R113" s="39" t="str">
        <f>IF(OR(O113="Rupture",O113="À commander"),COUNTIF($O$5:O113,"Rupture")+COUNTIF($O$5:O113,"À commander"),"")</f>
        <v/>
      </c>
    </row>
    <row r="114">
      <c r="A114" s="37" t="n"/>
      <c r="B114" s="37" t="n"/>
      <c r="C114" s="37" t="n"/>
      <c r="D114" s="37" t="n"/>
      <c r="E114" s="37" t="n"/>
      <c r="F114" s="37" t="n"/>
      <c r="G114" s="38" t="n"/>
      <c r="H114" s="37" t="n"/>
      <c r="I114" s="37" t="n"/>
      <c r="J114" s="37" t="n"/>
      <c r="K114" s="39" t="str">
        <f>IF(A114="","",SUMIFS(mv_qty,mv_ref,A114,mv_type,"Entrée"))</f>
        <v/>
      </c>
      <c r="L114" s="39" t="str">
        <f>IF(A114="","",SUMIFS(mv_qty,mv_ref,A114,mv_type,"Sortie"))</f>
        <v/>
      </c>
      <c r="M114" s="39" t="str">
        <f>IF(A114="","",ROUND(N(H114)+K114-L114,6))</f>
        <v/>
      </c>
      <c r="N114" s="40" t="str">
        <f>IF(A114="","",M114*N(G114))</f>
        <v/>
      </c>
      <c r="O114" s="39" t="str">
        <f>IF(A114="","",IF(M114&lt;=0,"Rupture",IF(AND(I114&lt;&gt;"",M114&lt;=N(I114)),"À commander","OK")))</f>
        <v/>
      </c>
      <c r="P114" s="39" t="str">
        <f>IF(OR(A114="",O114="OK",J114=""),"",MAX(N(J114)-M114,0))</f>
        <v/>
      </c>
      <c r="Q114" s="39" t="str">
        <f>IF(A114="",IF(COUNTA(B114:J114)&gt;0,"Référence manquante",""),IF(COUNTIF($A$5:$A$1004,A114)&gt;1,"Référence en double",IF(B114="","Désignation manquante","OK")))</f>
        <v/>
      </c>
      <c r="R114" s="39" t="str">
        <f>IF(OR(O114="Rupture",O114="À commander"),COUNTIF($O$5:O114,"Rupture")+COUNTIF($O$5:O114,"À commander"),"")</f>
        <v/>
      </c>
    </row>
    <row r="115">
      <c r="A115" s="37" t="n"/>
      <c r="B115" s="37" t="n"/>
      <c r="C115" s="37" t="n"/>
      <c r="D115" s="37" t="n"/>
      <c r="E115" s="37" t="n"/>
      <c r="F115" s="37" t="n"/>
      <c r="G115" s="38" t="n"/>
      <c r="H115" s="37" t="n"/>
      <c r="I115" s="37" t="n"/>
      <c r="J115" s="37" t="n"/>
      <c r="K115" s="39" t="str">
        <f>IF(A115="","",SUMIFS(mv_qty,mv_ref,A115,mv_type,"Entrée"))</f>
        <v/>
      </c>
      <c r="L115" s="39" t="str">
        <f>IF(A115="","",SUMIFS(mv_qty,mv_ref,A115,mv_type,"Sortie"))</f>
        <v/>
      </c>
      <c r="M115" s="39" t="str">
        <f>IF(A115="","",ROUND(N(H115)+K115-L115,6))</f>
        <v/>
      </c>
      <c r="N115" s="40" t="str">
        <f>IF(A115="","",M115*N(G115))</f>
        <v/>
      </c>
      <c r="O115" s="39" t="str">
        <f>IF(A115="","",IF(M115&lt;=0,"Rupture",IF(AND(I115&lt;&gt;"",M115&lt;=N(I115)),"À commander","OK")))</f>
        <v/>
      </c>
      <c r="P115" s="39" t="str">
        <f>IF(OR(A115="",O115="OK",J115=""),"",MAX(N(J115)-M115,0))</f>
        <v/>
      </c>
      <c r="Q115" s="39" t="str">
        <f>IF(A115="",IF(COUNTA(B115:J115)&gt;0,"Référence manquante",""),IF(COUNTIF($A$5:$A$1004,A115)&gt;1,"Référence en double",IF(B115="","Désignation manquante","OK")))</f>
        <v/>
      </c>
      <c r="R115" s="39" t="str">
        <f>IF(OR(O115="Rupture",O115="À commander"),COUNTIF($O$5:O115,"Rupture")+COUNTIF($O$5:O115,"À commander"),"")</f>
        <v/>
      </c>
    </row>
    <row r="116">
      <c r="A116" s="37" t="n"/>
      <c r="B116" s="37" t="n"/>
      <c r="C116" s="37" t="n"/>
      <c r="D116" s="37" t="n"/>
      <c r="E116" s="37" t="n"/>
      <c r="F116" s="37" t="n"/>
      <c r="G116" s="38" t="n"/>
      <c r="H116" s="37" t="n"/>
      <c r="I116" s="37" t="n"/>
      <c r="J116" s="37" t="n"/>
      <c r="K116" s="39" t="str">
        <f>IF(A116="","",SUMIFS(mv_qty,mv_ref,A116,mv_type,"Entrée"))</f>
        <v/>
      </c>
      <c r="L116" s="39" t="str">
        <f>IF(A116="","",SUMIFS(mv_qty,mv_ref,A116,mv_type,"Sortie"))</f>
        <v/>
      </c>
      <c r="M116" s="39" t="str">
        <f>IF(A116="","",ROUND(N(H116)+K116-L116,6))</f>
        <v/>
      </c>
      <c r="N116" s="40" t="str">
        <f>IF(A116="","",M116*N(G116))</f>
        <v/>
      </c>
      <c r="O116" s="39" t="str">
        <f>IF(A116="","",IF(M116&lt;=0,"Rupture",IF(AND(I116&lt;&gt;"",M116&lt;=N(I116)),"À commander","OK")))</f>
        <v/>
      </c>
      <c r="P116" s="39" t="str">
        <f>IF(OR(A116="",O116="OK",J116=""),"",MAX(N(J116)-M116,0))</f>
        <v/>
      </c>
      <c r="Q116" s="39" t="str">
        <f>IF(A116="",IF(COUNTA(B116:J116)&gt;0,"Référence manquante",""),IF(COUNTIF($A$5:$A$1004,A116)&gt;1,"Référence en double",IF(B116="","Désignation manquante","OK")))</f>
        <v/>
      </c>
      <c r="R116" s="39" t="str">
        <f>IF(OR(O116="Rupture",O116="À commander"),COUNTIF($O$5:O116,"Rupture")+COUNTIF($O$5:O116,"À commander"),"")</f>
        <v/>
      </c>
    </row>
    <row r="117">
      <c r="A117" s="37" t="n"/>
      <c r="B117" s="37" t="n"/>
      <c r="C117" s="37" t="n"/>
      <c r="D117" s="37" t="n"/>
      <c r="E117" s="37" t="n"/>
      <c r="F117" s="37" t="n"/>
      <c r="G117" s="38" t="n"/>
      <c r="H117" s="37" t="n"/>
      <c r="I117" s="37" t="n"/>
      <c r="J117" s="37" t="n"/>
      <c r="K117" s="39" t="str">
        <f>IF(A117="","",SUMIFS(mv_qty,mv_ref,A117,mv_type,"Entrée"))</f>
        <v/>
      </c>
      <c r="L117" s="39" t="str">
        <f>IF(A117="","",SUMIFS(mv_qty,mv_ref,A117,mv_type,"Sortie"))</f>
        <v/>
      </c>
      <c r="M117" s="39" t="str">
        <f>IF(A117="","",ROUND(N(H117)+K117-L117,6))</f>
        <v/>
      </c>
      <c r="N117" s="40" t="str">
        <f>IF(A117="","",M117*N(G117))</f>
        <v/>
      </c>
      <c r="O117" s="39" t="str">
        <f>IF(A117="","",IF(M117&lt;=0,"Rupture",IF(AND(I117&lt;&gt;"",M117&lt;=N(I117)),"À commander","OK")))</f>
        <v/>
      </c>
      <c r="P117" s="39" t="str">
        <f>IF(OR(A117="",O117="OK",J117=""),"",MAX(N(J117)-M117,0))</f>
        <v/>
      </c>
      <c r="Q117" s="39" t="str">
        <f>IF(A117="",IF(COUNTA(B117:J117)&gt;0,"Référence manquante",""),IF(COUNTIF($A$5:$A$1004,A117)&gt;1,"Référence en double",IF(B117="","Désignation manquante","OK")))</f>
        <v/>
      </c>
      <c r="R117" s="39" t="str">
        <f>IF(OR(O117="Rupture",O117="À commander"),COUNTIF($O$5:O117,"Rupture")+COUNTIF($O$5:O117,"À commander"),"")</f>
        <v/>
      </c>
    </row>
    <row r="118">
      <c r="A118" s="37" t="n"/>
      <c r="B118" s="37" t="n"/>
      <c r="C118" s="37" t="n"/>
      <c r="D118" s="37" t="n"/>
      <c r="E118" s="37" t="n"/>
      <c r="F118" s="37" t="n"/>
      <c r="G118" s="38" t="n"/>
      <c r="H118" s="37" t="n"/>
      <c r="I118" s="37" t="n"/>
      <c r="J118" s="37" t="n"/>
      <c r="K118" s="39" t="str">
        <f>IF(A118="","",SUMIFS(mv_qty,mv_ref,A118,mv_type,"Entrée"))</f>
        <v/>
      </c>
      <c r="L118" s="39" t="str">
        <f>IF(A118="","",SUMIFS(mv_qty,mv_ref,A118,mv_type,"Sortie"))</f>
        <v/>
      </c>
      <c r="M118" s="39" t="str">
        <f>IF(A118="","",ROUND(N(H118)+K118-L118,6))</f>
        <v/>
      </c>
      <c r="N118" s="40" t="str">
        <f>IF(A118="","",M118*N(G118))</f>
        <v/>
      </c>
      <c r="O118" s="39" t="str">
        <f>IF(A118="","",IF(M118&lt;=0,"Rupture",IF(AND(I118&lt;&gt;"",M118&lt;=N(I118)),"À commander","OK")))</f>
        <v/>
      </c>
      <c r="P118" s="39" t="str">
        <f>IF(OR(A118="",O118="OK",J118=""),"",MAX(N(J118)-M118,0))</f>
        <v/>
      </c>
      <c r="Q118" s="39" t="str">
        <f>IF(A118="",IF(COUNTA(B118:J118)&gt;0,"Référence manquante",""),IF(COUNTIF($A$5:$A$1004,A118)&gt;1,"Référence en double",IF(B118="","Désignation manquante","OK")))</f>
        <v/>
      </c>
      <c r="R118" s="39" t="str">
        <f>IF(OR(O118="Rupture",O118="À commander"),COUNTIF($O$5:O118,"Rupture")+COUNTIF($O$5:O118,"À commander"),"")</f>
        <v/>
      </c>
    </row>
    <row r="119">
      <c r="A119" s="37" t="n"/>
      <c r="B119" s="37" t="n"/>
      <c r="C119" s="37" t="n"/>
      <c r="D119" s="37" t="n"/>
      <c r="E119" s="37" t="n"/>
      <c r="F119" s="37" t="n"/>
      <c r="G119" s="38" t="n"/>
      <c r="H119" s="37" t="n"/>
      <c r="I119" s="37" t="n"/>
      <c r="J119" s="37" t="n"/>
      <c r="K119" s="39" t="str">
        <f>IF(A119="","",SUMIFS(mv_qty,mv_ref,A119,mv_type,"Entrée"))</f>
        <v/>
      </c>
      <c r="L119" s="39" t="str">
        <f>IF(A119="","",SUMIFS(mv_qty,mv_ref,A119,mv_type,"Sortie"))</f>
        <v/>
      </c>
      <c r="M119" s="39" t="str">
        <f>IF(A119="","",ROUND(N(H119)+K119-L119,6))</f>
        <v/>
      </c>
      <c r="N119" s="40" t="str">
        <f>IF(A119="","",M119*N(G119))</f>
        <v/>
      </c>
      <c r="O119" s="39" t="str">
        <f>IF(A119="","",IF(M119&lt;=0,"Rupture",IF(AND(I119&lt;&gt;"",M119&lt;=N(I119)),"À commander","OK")))</f>
        <v/>
      </c>
      <c r="P119" s="39" t="str">
        <f>IF(OR(A119="",O119="OK",J119=""),"",MAX(N(J119)-M119,0))</f>
        <v/>
      </c>
      <c r="Q119" s="39" t="str">
        <f>IF(A119="",IF(COUNTA(B119:J119)&gt;0,"Référence manquante",""),IF(COUNTIF($A$5:$A$1004,A119)&gt;1,"Référence en double",IF(B119="","Désignation manquante","OK")))</f>
        <v/>
      </c>
      <c r="R119" s="39" t="str">
        <f>IF(OR(O119="Rupture",O119="À commander"),COUNTIF($O$5:O119,"Rupture")+COUNTIF($O$5:O119,"À commander"),"")</f>
        <v/>
      </c>
    </row>
    <row r="120">
      <c r="A120" s="37" t="n"/>
      <c r="B120" s="37" t="n"/>
      <c r="C120" s="37" t="n"/>
      <c r="D120" s="37" t="n"/>
      <c r="E120" s="37" t="n"/>
      <c r="F120" s="37" t="n"/>
      <c r="G120" s="38" t="n"/>
      <c r="H120" s="37" t="n"/>
      <c r="I120" s="37" t="n"/>
      <c r="J120" s="37" t="n"/>
      <c r="K120" s="39" t="str">
        <f>IF(A120="","",SUMIFS(mv_qty,mv_ref,A120,mv_type,"Entrée"))</f>
        <v/>
      </c>
      <c r="L120" s="39" t="str">
        <f>IF(A120="","",SUMIFS(mv_qty,mv_ref,A120,mv_type,"Sortie"))</f>
        <v/>
      </c>
      <c r="M120" s="39" t="str">
        <f>IF(A120="","",ROUND(N(H120)+K120-L120,6))</f>
        <v/>
      </c>
      <c r="N120" s="40" t="str">
        <f>IF(A120="","",M120*N(G120))</f>
        <v/>
      </c>
      <c r="O120" s="39" t="str">
        <f>IF(A120="","",IF(M120&lt;=0,"Rupture",IF(AND(I120&lt;&gt;"",M120&lt;=N(I120)),"À commander","OK")))</f>
        <v/>
      </c>
      <c r="P120" s="39" t="str">
        <f>IF(OR(A120="",O120="OK",J120=""),"",MAX(N(J120)-M120,0))</f>
        <v/>
      </c>
      <c r="Q120" s="39" t="str">
        <f>IF(A120="",IF(COUNTA(B120:J120)&gt;0,"Référence manquante",""),IF(COUNTIF($A$5:$A$1004,A120)&gt;1,"Référence en double",IF(B120="","Désignation manquante","OK")))</f>
        <v/>
      </c>
      <c r="R120" s="39" t="str">
        <f>IF(OR(O120="Rupture",O120="À commander"),COUNTIF($O$5:O120,"Rupture")+COUNTIF($O$5:O120,"À commander"),"")</f>
        <v/>
      </c>
    </row>
    <row r="121">
      <c r="A121" s="37" t="n"/>
      <c r="B121" s="37" t="n"/>
      <c r="C121" s="37" t="n"/>
      <c r="D121" s="37" t="n"/>
      <c r="E121" s="37" t="n"/>
      <c r="F121" s="37" t="n"/>
      <c r="G121" s="38" t="n"/>
      <c r="H121" s="37" t="n"/>
      <c r="I121" s="37" t="n"/>
      <c r="J121" s="37" t="n"/>
      <c r="K121" s="39" t="str">
        <f>IF(A121="","",SUMIFS(mv_qty,mv_ref,A121,mv_type,"Entrée"))</f>
        <v/>
      </c>
      <c r="L121" s="39" t="str">
        <f>IF(A121="","",SUMIFS(mv_qty,mv_ref,A121,mv_type,"Sortie"))</f>
        <v/>
      </c>
      <c r="M121" s="39" t="str">
        <f>IF(A121="","",ROUND(N(H121)+K121-L121,6))</f>
        <v/>
      </c>
      <c r="N121" s="40" t="str">
        <f>IF(A121="","",M121*N(G121))</f>
        <v/>
      </c>
      <c r="O121" s="39" t="str">
        <f>IF(A121="","",IF(M121&lt;=0,"Rupture",IF(AND(I121&lt;&gt;"",M121&lt;=N(I121)),"À commander","OK")))</f>
        <v/>
      </c>
      <c r="P121" s="39" t="str">
        <f>IF(OR(A121="",O121="OK",J121=""),"",MAX(N(J121)-M121,0))</f>
        <v/>
      </c>
      <c r="Q121" s="39" t="str">
        <f>IF(A121="",IF(COUNTA(B121:J121)&gt;0,"Référence manquante",""),IF(COUNTIF($A$5:$A$1004,A121)&gt;1,"Référence en double",IF(B121="","Désignation manquante","OK")))</f>
        <v/>
      </c>
      <c r="R121" s="39" t="str">
        <f>IF(OR(O121="Rupture",O121="À commander"),COUNTIF($O$5:O121,"Rupture")+COUNTIF($O$5:O121,"À commander"),"")</f>
        <v/>
      </c>
    </row>
    <row r="122">
      <c r="A122" s="37" t="n"/>
      <c r="B122" s="37" t="n"/>
      <c r="C122" s="37" t="n"/>
      <c r="D122" s="37" t="n"/>
      <c r="E122" s="37" t="n"/>
      <c r="F122" s="37" t="n"/>
      <c r="G122" s="38" t="n"/>
      <c r="H122" s="37" t="n"/>
      <c r="I122" s="37" t="n"/>
      <c r="J122" s="37" t="n"/>
      <c r="K122" s="39" t="str">
        <f>IF(A122="","",SUMIFS(mv_qty,mv_ref,A122,mv_type,"Entrée"))</f>
        <v/>
      </c>
      <c r="L122" s="39" t="str">
        <f>IF(A122="","",SUMIFS(mv_qty,mv_ref,A122,mv_type,"Sortie"))</f>
        <v/>
      </c>
      <c r="M122" s="39" t="str">
        <f>IF(A122="","",ROUND(N(H122)+K122-L122,6))</f>
        <v/>
      </c>
      <c r="N122" s="40" t="str">
        <f>IF(A122="","",M122*N(G122))</f>
        <v/>
      </c>
      <c r="O122" s="39" t="str">
        <f>IF(A122="","",IF(M122&lt;=0,"Rupture",IF(AND(I122&lt;&gt;"",M122&lt;=N(I122)),"À commander","OK")))</f>
        <v/>
      </c>
      <c r="P122" s="39" t="str">
        <f>IF(OR(A122="",O122="OK",J122=""),"",MAX(N(J122)-M122,0))</f>
        <v/>
      </c>
      <c r="Q122" s="39" t="str">
        <f>IF(A122="",IF(COUNTA(B122:J122)&gt;0,"Référence manquante",""),IF(COUNTIF($A$5:$A$1004,A122)&gt;1,"Référence en double",IF(B122="","Désignation manquante","OK")))</f>
        <v/>
      </c>
      <c r="R122" s="39" t="str">
        <f>IF(OR(O122="Rupture",O122="À commander"),COUNTIF($O$5:O122,"Rupture")+COUNTIF($O$5:O122,"À commander"),"")</f>
        <v/>
      </c>
    </row>
    <row r="123">
      <c r="A123" s="37" t="n"/>
      <c r="B123" s="37" t="n"/>
      <c r="C123" s="37" t="n"/>
      <c r="D123" s="37" t="n"/>
      <c r="E123" s="37" t="n"/>
      <c r="F123" s="37" t="n"/>
      <c r="G123" s="38" t="n"/>
      <c r="H123" s="37" t="n"/>
      <c r="I123" s="37" t="n"/>
      <c r="J123" s="37" t="n"/>
      <c r="K123" s="39" t="str">
        <f>IF(A123="","",SUMIFS(mv_qty,mv_ref,A123,mv_type,"Entrée"))</f>
        <v/>
      </c>
      <c r="L123" s="39" t="str">
        <f>IF(A123="","",SUMIFS(mv_qty,mv_ref,A123,mv_type,"Sortie"))</f>
        <v/>
      </c>
      <c r="M123" s="39" t="str">
        <f>IF(A123="","",ROUND(N(H123)+K123-L123,6))</f>
        <v/>
      </c>
      <c r="N123" s="40" t="str">
        <f>IF(A123="","",M123*N(G123))</f>
        <v/>
      </c>
      <c r="O123" s="39" t="str">
        <f>IF(A123="","",IF(M123&lt;=0,"Rupture",IF(AND(I123&lt;&gt;"",M123&lt;=N(I123)),"À commander","OK")))</f>
        <v/>
      </c>
      <c r="P123" s="39" t="str">
        <f>IF(OR(A123="",O123="OK",J123=""),"",MAX(N(J123)-M123,0))</f>
        <v/>
      </c>
      <c r="Q123" s="39" t="str">
        <f>IF(A123="",IF(COUNTA(B123:J123)&gt;0,"Référence manquante",""),IF(COUNTIF($A$5:$A$1004,A123)&gt;1,"Référence en double",IF(B123="","Désignation manquante","OK")))</f>
        <v/>
      </c>
      <c r="R123" s="39" t="str">
        <f>IF(OR(O123="Rupture",O123="À commander"),COUNTIF($O$5:O123,"Rupture")+COUNTIF($O$5:O123,"À commander"),"")</f>
        <v/>
      </c>
    </row>
    <row r="124">
      <c r="A124" s="37" t="n"/>
      <c r="B124" s="37" t="n"/>
      <c r="C124" s="37" t="n"/>
      <c r="D124" s="37" t="n"/>
      <c r="E124" s="37" t="n"/>
      <c r="F124" s="37" t="n"/>
      <c r="G124" s="38" t="n"/>
      <c r="H124" s="37" t="n"/>
      <c r="I124" s="37" t="n"/>
      <c r="J124" s="37" t="n"/>
      <c r="K124" s="39" t="str">
        <f>IF(A124="","",SUMIFS(mv_qty,mv_ref,A124,mv_type,"Entrée"))</f>
        <v/>
      </c>
      <c r="L124" s="39" t="str">
        <f>IF(A124="","",SUMIFS(mv_qty,mv_ref,A124,mv_type,"Sortie"))</f>
        <v/>
      </c>
      <c r="M124" s="39" t="str">
        <f>IF(A124="","",ROUND(N(H124)+K124-L124,6))</f>
        <v/>
      </c>
      <c r="N124" s="40" t="str">
        <f>IF(A124="","",M124*N(G124))</f>
        <v/>
      </c>
      <c r="O124" s="39" t="str">
        <f>IF(A124="","",IF(M124&lt;=0,"Rupture",IF(AND(I124&lt;&gt;"",M124&lt;=N(I124)),"À commander","OK")))</f>
        <v/>
      </c>
      <c r="P124" s="39" t="str">
        <f>IF(OR(A124="",O124="OK",J124=""),"",MAX(N(J124)-M124,0))</f>
        <v/>
      </c>
      <c r="Q124" s="39" t="str">
        <f>IF(A124="",IF(COUNTA(B124:J124)&gt;0,"Référence manquante",""),IF(COUNTIF($A$5:$A$1004,A124)&gt;1,"Référence en double",IF(B124="","Désignation manquante","OK")))</f>
        <v/>
      </c>
      <c r="R124" s="39" t="str">
        <f>IF(OR(O124="Rupture",O124="À commander"),COUNTIF($O$5:O124,"Rupture")+COUNTIF($O$5:O124,"À commander"),"")</f>
        <v/>
      </c>
    </row>
    <row r="125">
      <c r="A125" s="37" t="n"/>
      <c r="B125" s="37" t="n"/>
      <c r="C125" s="37" t="n"/>
      <c r="D125" s="37" t="n"/>
      <c r="E125" s="37" t="n"/>
      <c r="F125" s="37" t="n"/>
      <c r="G125" s="38" t="n"/>
      <c r="H125" s="37" t="n"/>
      <c r="I125" s="37" t="n"/>
      <c r="J125" s="37" t="n"/>
      <c r="K125" s="39" t="str">
        <f>IF(A125="","",SUMIFS(mv_qty,mv_ref,A125,mv_type,"Entrée"))</f>
        <v/>
      </c>
      <c r="L125" s="39" t="str">
        <f>IF(A125="","",SUMIFS(mv_qty,mv_ref,A125,mv_type,"Sortie"))</f>
        <v/>
      </c>
      <c r="M125" s="39" t="str">
        <f>IF(A125="","",ROUND(N(H125)+K125-L125,6))</f>
        <v/>
      </c>
      <c r="N125" s="40" t="str">
        <f>IF(A125="","",M125*N(G125))</f>
        <v/>
      </c>
      <c r="O125" s="39" t="str">
        <f>IF(A125="","",IF(M125&lt;=0,"Rupture",IF(AND(I125&lt;&gt;"",M125&lt;=N(I125)),"À commander","OK")))</f>
        <v/>
      </c>
      <c r="P125" s="39" t="str">
        <f>IF(OR(A125="",O125="OK",J125=""),"",MAX(N(J125)-M125,0))</f>
        <v/>
      </c>
      <c r="Q125" s="39" t="str">
        <f>IF(A125="",IF(COUNTA(B125:J125)&gt;0,"Référence manquante",""),IF(COUNTIF($A$5:$A$1004,A125)&gt;1,"Référence en double",IF(B125="","Désignation manquante","OK")))</f>
        <v/>
      </c>
      <c r="R125" s="39" t="str">
        <f>IF(OR(O125="Rupture",O125="À commander"),COUNTIF($O$5:O125,"Rupture")+COUNTIF($O$5:O125,"À commander"),"")</f>
        <v/>
      </c>
    </row>
    <row r="126">
      <c r="A126" s="37" t="n"/>
      <c r="B126" s="37" t="n"/>
      <c r="C126" s="37" t="n"/>
      <c r="D126" s="37" t="n"/>
      <c r="E126" s="37" t="n"/>
      <c r="F126" s="37" t="n"/>
      <c r="G126" s="38" t="n"/>
      <c r="H126" s="37" t="n"/>
      <c r="I126" s="37" t="n"/>
      <c r="J126" s="37" t="n"/>
      <c r="K126" s="39" t="str">
        <f>IF(A126="","",SUMIFS(mv_qty,mv_ref,A126,mv_type,"Entrée"))</f>
        <v/>
      </c>
      <c r="L126" s="39" t="str">
        <f>IF(A126="","",SUMIFS(mv_qty,mv_ref,A126,mv_type,"Sortie"))</f>
        <v/>
      </c>
      <c r="M126" s="39" t="str">
        <f>IF(A126="","",ROUND(N(H126)+K126-L126,6))</f>
        <v/>
      </c>
      <c r="N126" s="40" t="str">
        <f>IF(A126="","",M126*N(G126))</f>
        <v/>
      </c>
      <c r="O126" s="39" t="str">
        <f>IF(A126="","",IF(M126&lt;=0,"Rupture",IF(AND(I126&lt;&gt;"",M126&lt;=N(I126)),"À commander","OK")))</f>
        <v/>
      </c>
      <c r="P126" s="39" t="str">
        <f>IF(OR(A126="",O126="OK",J126=""),"",MAX(N(J126)-M126,0))</f>
        <v/>
      </c>
      <c r="Q126" s="39" t="str">
        <f>IF(A126="",IF(COUNTA(B126:J126)&gt;0,"Référence manquante",""),IF(COUNTIF($A$5:$A$1004,A126)&gt;1,"Référence en double",IF(B126="","Désignation manquante","OK")))</f>
        <v/>
      </c>
      <c r="R126" s="39" t="str">
        <f>IF(OR(O126="Rupture",O126="À commander"),COUNTIF($O$5:O126,"Rupture")+COUNTIF($O$5:O126,"À commander"),"")</f>
        <v/>
      </c>
    </row>
    <row r="127">
      <c r="A127" s="37" t="n"/>
      <c r="B127" s="37" t="n"/>
      <c r="C127" s="37" t="n"/>
      <c r="D127" s="37" t="n"/>
      <c r="E127" s="37" t="n"/>
      <c r="F127" s="37" t="n"/>
      <c r="G127" s="38" t="n"/>
      <c r="H127" s="37" t="n"/>
      <c r="I127" s="37" t="n"/>
      <c r="J127" s="37" t="n"/>
      <c r="K127" s="39" t="str">
        <f>IF(A127="","",SUMIFS(mv_qty,mv_ref,A127,mv_type,"Entrée"))</f>
        <v/>
      </c>
      <c r="L127" s="39" t="str">
        <f>IF(A127="","",SUMIFS(mv_qty,mv_ref,A127,mv_type,"Sortie"))</f>
        <v/>
      </c>
      <c r="M127" s="39" t="str">
        <f>IF(A127="","",ROUND(N(H127)+K127-L127,6))</f>
        <v/>
      </c>
      <c r="N127" s="40" t="str">
        <f>IF(A127="","",M127*N(G127))</f>
        <v/>
      </c>
      <c r="O127" s="39" t="str">
        <f>IF(A127="","",IF(M127&lt;=0,"Rupture",IF(AND(I127&lt;&gt;"",M127&lt;=N(I127)),"À commander","OK")))</f>
        <v/>
      </c>
      <c r="P127" s="39" t="str">
        <f>IF(OR(A127="",O127="OK",J127=""),"",MAX(N(J127)-M127,0))</f>
        <v/>
      </c>
      <c r="Q127" s="39" t="str">
        <f>IF(A127="",IF(COUNTA(B127:J127)&gt;0,"Référence manquante",""),IF(COUNTIF($A$5:$A$1004,A127)&gt;1,"Référence en double",IF(B127="","Désignation manquante","OK")))</f>
        <v/>
      </c>
      <c r="R127" s="39" t="str">
        <f>IF(OR(O127="Rupture",O127="À commander"),COUNTIF($O$5:O127,"Rupture")+COUNTIF($O$5:O127,"À commander"),"")</f>
        <v/>
      </c>
    </row>
    <row r="128">
      <c r="A128" s="37" t="n"/>
      <c r="B128" s="37" t="n"/>
      <c r="C128" s="37" t="n"/>
      <c r="D128" s="37" t="n"/>
      <c r="E128" s="37" t="n"/>
      <c r="F128" s="37" t="n"/>
      <c r="G128" s="38" t="n"/>
      <c r="H128" s="37" t="n"/>
      <c r="I128" s="37" t="n"/>
      <c r="J128" s="37" t="n"/>
      <c r="K128" s="39" t="str">
        <f>IF(A128="","",SUMIFS(mv_qty,mv_ref,A128,mv_type,"Entrée"))</f>
        <v/>
      </c>
      <c r="L128" s="39" t="str">
        <f>IF(A128="","",SUMIFS(mv_qty,mv_ref,A128,mv_type,"Sortie"))</f>
        <v/>
      </c>
      <c r="M128" s="39" t="str">
        <f>IF(A128="","",ROUND(N(H128)+K128-L128,6))</f>
        <v/>
      </c>
      <c r="N128" s="40" t="str">
        <f>IF(A128="","",M128*N(G128))</f>
        <v/>
      </c>
      <c r="O128" s="39" t="str">
        <f>IF(A128="","",IF(M128&lt;=0,"Rupture",IF(AND(I128&lt;&gt;"",M128&lt;=N(I128)),"À commander","OK")))</f>
        <v/>
      </c>
      <c r="P128" s="39" t="str">
        <f>IF(OR(A128="",O128="OK",J128=""),"",MAX(N(J128)-M128,0))</f>
        <v/>
      </c>
      <c r="Q128" s="39" t="str">
        <f>IF(A128="",IF(COUNTA(B128:J128)&gt;0,"Référence manquante",""),IF(COUNTIF($A$5:$A$1004,A128)&gt;1,"Référence en double",IF(B128="","Désignation manquante","OK")))</f>
        <v/>
      </c>
      <c r="R128" s="39" t="str">
        <f>IF(OR(O128="Rupture",O128="À commander"),COUNTIF($O$5:O128,"Rupture")+COUNTIF($O$5:O128,"À commander"),"")</f>
        <v/>
      </c>
    </row>
    <row r="129">
      <c r="A129" s="37" t="n"/>
      <c r="B129" s="37" t="n"/>
      <c r="C129" s="37" t="n"/>
      <c r="D129" s="37" t="n"/>
      <c r="E129" s="37" t="n"/>
      <c r="F129" s="37" t="n"/>
      <c r="G129" s="38" t="n"/>
      <c r="H129" s="37" t="n"/>
      <c r="I129" s="37" t="n"/>
      <c r="J129" s="37" t="n"/>
      <c r="K129" s="39" t="str">
        <f>IF(A129="","",SUMIFS(mv_qty,mv_ref,A129,mv_type,"Entrée"))</f>
        <v/>
      </c>
      <c r="L129" s="39" t="str">
        <f>IF(A129="","",SUMIFS(mv_qty,mv_ref,A129,mv_type,"Sortie"))</f>
        <v/>
      </c>
      <c r="M129" s="39" t="str">
        <f>IF(A129="","",ROUND(N(H129)+K129-L129,6))</f>
        <v/>
      </c>
      <c r="N129" s="40" t="str">
        <f>IF(A129="","",M129*N(G129))</f>
        <v/>
      </c>
      <c r="O129" s="39" t="str">
        <f>IF(A129="","",IF(M129&lt;=0,"Rupture",IF(AND(I129&lt;&gt;"",M129&lt;=N(I129)),"À commander","OK")))</f>
        <v/>
      </c>
      <c r="P129" s="39" t="str">
        <f>IF(OR(A129="",O129="OK",J129=""),"",MAX(N(J129)-M129,0))</f>
        <v/>
      </c>
      <c r="Q129" s="39" t="str">
        <f>IF(A129="",IF(COUNTA(B129:J129)&gt;0,"Référence manquante",""),IF(COUNTIF($A$5:$A$1004,A129)&gt;1,"Référence en double",IF(B129="","Désignation manquante","OK")))</f>
        <v/>
      </c>
      <c r="R129" s="39" t="str">
        <f>IF(OR(O129="Rupture",O129="À commander"),COUNTIF($O$5:O129,"Rupture")+COUNTIF($O$5:O129,"À commander"),"")</f>
        <v/>
      </c>
    </row>
    <row r="130">
      <c r="A130" s="37" t="n"/>
      <c r="B130" s="37" t="n"/>
      <c r="C130" s="37" t="n"/>
      <c r="D130" s="37" t="n"/>
      <c r="E130" s="37" t="n"/>
      <c r="F130" s="37" t="n"/>
      <c r="G130" s="38" t="n"/>
      <c r="H130" s="37" t="n"/>
      <c r="I130" s="37" t="n"/>
      <c r="J130" s="37" t="n"/>
      <c r="K130" s="39" t="str">
        <f>IF(A130="","",SUMIFS(mv_qty,mv_ref,A130,mv_type,"Entrée"))</f>
        <v/>
      </c>
      <c r="L130" s="39" t="str">
        <f>IF(A130="","",SUMIFS(mv_qty,mv_ref,A130,mv_type,"Sortie"))</f>
        <v/>
      </c>
      <c r="M130" s="39" t="str">
        <f>IF(A130="","",ROUND(N(H130)+K130-L130,6))</f>
        <v/>
      </c>
      <c r="N130" s="40" t="str">
        <f>IF(A130="","",M130*N(G130))</f>
        <v/>
      </c>
      <c r="O130" s="39" t="str">
        <f>IF(A130="","",IF(M130&lt;=0,"Rupture",IF(AND(I130&lt;&gt;"",M130&lt;=N(I130)),"À commander","OK")))</f>
        <v/>
      </c>
      <c r="P130" s="39" t="str">
        <f>IF(OR(A130="",O130="OK",J130=""),"",MAX(N(J130)-M130,0))</f>
        <v/>
      </c>
      <c r="Q130" s="39" t="str">
        <f>IF(A130="",IF(COUNTA(B130:J130)&gt;0,"Référence manquante",""),IF(COUNTIF($A$5:$A$1004,A130)&gt;1,"Référence en double",IF(B130="","Désignation manquante","OK")))</f>
        <v/>
      </c>
      <c r="R130" s="39" t="str">
        <f>IF(OR(O130="Rupture",O130="À commander"),COUNTIF($O$5:O130,"Rupture")+COUNTIF($O$5:O130,"À commander"),"")</f>
        <v/>
      </c>
    </row>
    <row r="131">
      <c r="A131" s="37" t="n"/>
      <c r="B131" s="37" t="n"/>
      <c r="C131" s="37" t="n"/>
      <c r="D131" s="37" t="n"/>
      <c r="E131" s="37" t="n"/>
      <c r="F131" s="37" t="n"/>
      <c r="G131" s="38" t="n"/>
      <c r="H131" s="37" t="n"/>
      <c r="I131" s="37" t="n"/>
      <c r="J131" s="37" t="n"/>
      <c r="K131" s="39" t="str">
        <f>IF(A131="","",SUMIFS(mv_qty,mv_ref,A131,mv_type,"Entrée"))</f>
        <v/>
      </c>
      <c r="L131" s="39" t="str">
        <f>IF(A131="","",SUMIFS(mv_qty,mv_ref,A131,mv_type,"Sortie"))</f>
        <v/>
      </c>
      <c r="M131" s="39" t="str">
        <f>IF(A131="","",ROUND(N(H131)+K131-L131,6))</f>
        <v/>
      </c>
      <c r="N131" s="40" t="str">
        <f>IF(A131="","",M131*N(G131))</f>
        <v/>
      </c>
      <c r="O131" s="39" t="str">
        <f>IF(A131="","",IF(M131&lt;=0,"Rupture",IF(AND(I131&lt;&gt;"",M131&lt;=N(I131)),"À commander","OK")))</f>
        <v/>
      </c>
      <c r="P131" s="39" t="str">
        <f>IF(OR(A131="",O131="OK",J131=""),"",MAX(N(J131)-M131,0))</f>
        <v/>
      </c>
      <c r="Q131" s="39" t="str">
        <f>IF(A131="",IF(COUNTA(B131:J131)&gt;0,"Référence manquante",""),IF(COUNTIF($A$5:$A$1004,A131)&gt;1,"Référence en double",IF(B131="","Désignation manquante","OK")))</f>
        <v/>
      </c>
      <c r="R131" s="39" t="str">
        <f>IF(OR(O131="Rupture",O131="À commander"),COUNTIF($O$5:O131,"Rupture")+COUNTIF($O$5:O131,"À commander"),"")</f>
        <v/>
      </c>
    </row>
    <row r="132">
      <c r="A132" s="37" t="n"/>
      <c r="B132" s="37" t="n"/>
      <c r="C132" s="37" t="n"/>
      <c r="D132" s="37" t="n"/>
      <c r="E132" s="37" t="n"/>
      <c r="F132" s="37" t="n"/>
      <c r="G132" s="38" t="n"/>
      <c r="H132" s="37" t="n"/>
      <c r="I132" s="37" t="n"/>
      <c r="J132" s="37" t="n"/>
      <c r="K132" s="39" t="str">
        <f>IF(A132="","",SUMIFS(mv_qty,mv_ref,A132,mv_type,"Entrée"))</f>
        <v/>
      </c>
      <c r="L132" s="39" t="str">
        <f>IF(A132="","",SUMIFS(mv_qty,mv_ref,A132,mv_type,"Sortie"))</f>
        <v/>
      </c>
      <c r="M132" s="39" t="str">
        <f>IF(A132="","",ROUND(N(H132)+K132-L132,6))</f>
        <v/>
      </c>
      <c r="N132" s="40" t="str">
        <f>IF(A132="","",M132*N(G132))</f>
        <v/>
      </c>
      <c r="O132" s="39" t="str">
        <f>IF(A132="","",IF(M132&lt;=0,"Rupture",IF(AND(I132&lt;&gt;"",M132&lt;=N(I132)),"À commander","OK")))</f>
        <v/>
      </c>
      <c r="P132" s="39" t="str">
        <f>IF(OR(A132="",O132="OK",J132=""),"",MAX(N(J132)-M132,0))</f>
        <v/>
      </c>
      <c r="Q132" s="39" t="str">
        <f>IF(A132="",IF(COUNTA(B132:J132)&gt;0,"Référence manquante",""),IF(COUNTIF($A$5:$A$1004,A132)&gt;1,"Référence en double",IF(B132="","Désignation manquante","OK")))</f>
        <v/>
      </c>
      <c r="R132" s="39" t="str">
        <f>IF(OR(O132="Rupture",O132="À commander"),COUNTIF($O$5:O132,"Rupture")+COUNTIF($O$5:O132,"À commander"),"")</f>
        <v/>
      </c>
    </row>
    <row r="133">
      <c r="A133" s="37" t="n"/>
      <c r="B133" s="37" t="n"/>
      <c r="C133" s="37" t="n"/>
      <c r="D133" s="37" t="n"/>
      <c r="E133" s="37" t="n"/>
      <c r="F133" s="37" t="n"/>
      <c r="G133" s="38" t="n"/>
      <c r="H133" s="37" t="n"/>
      <c r="I133" s="37" t="n"/>
      <c r="J133" s="37" t="n"/>
      <c r="K133" s="39" t="str">
        <f>IF(A133="","",SUMIFS(mv_qty,mv_ref,A133,mv_type,"Entrée"))</f>
        <v/>
      </c>
      <c r="L133" s="39" t="str">
        <f>IF(A133="","",SUMIFS(mv_qty,mv_ref,A133,mv_type,"Sortie"))</f>
        <v/>
      </c>
      <c r="M133" s="39" t="str">
        <f>IF(A133="","",ROUND(N(H133)+K133-L133,6))</f>
        <v/>
      </c>
      <c r="N133" s="40" t="str">
        <f>IF(A133="","",M133*N(G133))</f>
        <v/>
      </c>
      <c r="O133" s="39" t="str">
        <f>IF(A133="","",IF(M133&lt;=0,"Rupture",IF(AND(I133&lt;&gt;"",M133&lt;=N(I133)),"À commander","OK")))</f>
        <v/>
      </c>
      <c r="P133" s="39" t="str">
        <f>IF(OR(A133="",O133="OK",J133=""),"",MAX(N(J133)-M133,0))</f>
        <v/>
      </c>
      <c r="Q133" s="39" t="str">
        <f>IF(A133="",IF(COUNTA(B133:J133)&gt;0,"Référence manquante",""),IF(COUNTIF($A$5:$A$1004,A133)&gt;1,"Référence en double",IF(B133="","Désignation manquante","OK")))</f>
        <v/>
      </c>
      <c r="R133" s="39" t="str">
        <f>IF(OR(O133="Rupture",O133="À commander"),COUNTIF($O$5:O133,"Rupture")+COUNTIF($O$5:O133,"À commander"),"")</f>
        <v/>
      </c>
    </row>
    <row r="134">
      <c r="A134" s="37" t="n"/>
      <c r="B134" s="37" t="n"/>
      <c r="C134" s="37" t="n"/>
      <c r="D134" s="37" t="n"/>
      <c r="E134" s="37" t="n"/>
      <c r="F134" s="37" t="n"/>
      <c r="G134" s="38" t="n"/>
      <c r="H134" s="37" t="n"/>
      <c r="I134" s="37" t="n"/>
      <c r="J134" s="37" t="n"/>
      <c r="K134" s="39" t="str">
        <f>IF(A134="","",SUMIFS(mv_qty,mv_ref,A134,mv_type,"Entrée"))</f>
        <v/>
      </c>
      <c r="L134" s="39" t="str">
        <f>IF(A134="","",SUMIFS(mv_qty,mv_ref,A134,mv_type,"Sortie"))</f>
        <v/>
      </c>
      <c r="M134" s="39" t="str">
        <f>IF(A134="","",ROUND(N(H134)+K134-L134,6))</f>
        <v/>
      </c>
      <c r="N134" s="40" t="str">
        <f>IF(A134="","",M134*N(G134))</f>
        <v/>
      </c>
      <c r="O134" s="39" t="str">
        <f>IF(A134="","",IF(M134&lt;=0,"Rupture",IF(AND(I134&lt;&gt;"",M134&lt;=N(I134)),"À commander","OK")))</f>
        <v/>
      </c>
      <c r="P134" s="39" t="str">
        <f>IF(OR(A134="",O134="OK",J134=""),"",MAX(N(J134)-M134,0))</f>
        <v/>
      </c>
      <c r="Q134" s="39" t="str">
        <f>IF(A134="",IF(COUNTA(B134:J134)&gt;0,"Référence manquante",""),IF(COUNTIF($A$5:$A$1004,A134)&gt;1,"Référence en double",IF(B134="","Désignation manquante","OK")))</f>
        <v/>
      </c>
      <c r="R134" s="39" t="str">
        <f>IF(OR(O134="Rupture",O134="À commander"),COUNTIF($O$5:O134,"Rupture")+COUNTIF($O$5:O134,"À commander"),"")</f>
        <v/>
      </c>
    </row>
    <row r="135">
      <c r="A135" s="37" t="n"/>
      <c r="B135" s="37" t="n"/>
      <c r="C135" s="37" t="n"/>
      <c r="D135" s="37" t="n"/>
      <c r="E135" s="37" t="n"/>
      <c r="F135" s="37" t="n"/>
      <c r="G135" s="38" t="n"/>
      <c r="H135" s="37" t="n"/>
      <c r="I135" s="37" t="n"/>
      <c r="J135" s="37" t="n"/>
      <c r="K135" s="39" t="str">
        <f>IF(A135="","",SUMIFS(mv_qty,mv_ref,A135,mv_type,"Entrée"))</f>
        <v/>
      </c>
      <c r="L135" s="39" t="str">
        <f>IF(A135="","",SUMIFS(mv_qty,mv_ref,A135,mv_type,"Sortie"))</f>
        <v/>
      </c>
      <c r="M135" s="39" t="str">
        <f>IF(A135="","",ROUND(N(H135)+K135-L135,6))</f>
        <v/>
      </c>
      <c r="N135" s="40" t="str">
        <f>IF(A135="","",M135*N(G135))</f>
        <v/>
      </c>
      <c r="O135" s="39" t="str">
        <f>IF(A135="","",IF(M135&lt;=0,"Rupture",IF(AND(I135&lt;&gt;"",M135&lt;=N(I135)),"À commander","OK")))</f>
        <v/>
      </c>
      <c r="P135" s="39" t="str">
        <f>IF(OR(A135="",O135="OK",J135=""),"",MAX(N(J135)-M135,0))</f>
        <v/>
      </c>
      <c r="Q135" s="39" t="str">
        <f>IF(A135="",IF(COUNTA(B135:J135)&gt;0,"Référence manquante",""),IF(COUNTIF($A$5:$A$1004,A135)&gt;1,"Référence en double",IF(B135="","Désignation manquante","OK")))</f>
        <v/>
      </c>
      <c r="R135" s="39" t="str">
        <f>IF(OR(O135="Rupture",O135="À commander"),COUNTIF($O$5:O135,"Rupture")+COUNTIF($O$5:O135,"À commander"),"")</f>
        <v/>
      </c>
    </row>
    <row r="136">
      <c r="A136" s="37" t="n"/>
      <c r="B136" s="37" t="n"/>
      <c r="C136" s="37" t="n"/>
      <c r="D136" s="37" t="n"/>
      <c r="E136" s="37" t="n"/>
      <c r="F136" s="37" t="n"/>
      <c r="G136" s="38" t="n"/>
      <c r="H136" s="37" t="n"/>
      <c r="I136" s="37" t="n"/>
      <c r="J136" s="37" t="n"/>
      <c r="K136" s="39" t="str">
        <f>IF(A136="","",SUMIFS(mv_qty,mv_ref,A136,mv_type,"Entrée"))</f>
        <v/>
      </c>
      <c r="L136" s="39" t="str">
        <f>IF(A136="","",SUMIFS(mv_qty,mv_ref,A136,mv_type,"Sortie"))</f>
        <v/>
      </c>
      <c r="M136" s="39" t="str">
        <f>IF(A136="","",ROUND(N(H136)+K136-L136,6))</f>
        <v/>
      </c>
      <c r="N136" s="40" t="str">
        <f>IF(A136="","",M136*N(G136))</f>
        <v/>
      </c>
      <c r="O136" s="39" t="str">
        <f>IF(A136="","",IF(M136&lt;=0,"Rupture",IF(AND(I136&lt;&gt;"",M136&lt;=N(I136)),"À commander","OK")))</f>
        <v/>
      </c>
      <c r="P136" s="39" t="str">
        <f>IF(OR(A136="",O136="OK",J136=""),"",MAX(N(J136)-M136,0))</f>
        <v/>
      </c>
      <c r="Q136" s="39" t="str">
        <f>IF(A136="",IF(COUNTA(B136:J136)&gt;0,"Référence manquante",""),IF(COUNTIF($A$5:$A$1004,A136)&gt;1,"Référence en double",IF(B136="","Désignation manquante","OK")))</f>
        <v/>
      </c>
      <c r="R136" s="39" t="str">
        <f>IF(OR(O136="Rupture",O136="À commander"),COUNTIF($O$5:O136,"Rupture")+COUNTIF($O$5:O136,"À commander"),"")</f>
        <v/>
      </c>
    </row>
    <row r="137">
      <c r="A137" s="37" t="n"/>
      <c r="B137" s="37" t="n"/>
      <c r="C137" s="37" t="n"/>
      <c r="D137" s="37" t="n"/>
      <c r="E137" s="37" t="n"/>
      <c r="F137" s="37" t="n"/>
      <c r="G137" s="38" t="n"/>
      <c r="H137" s="37" t="n"/>
      <c r="I137" s="37" t="n"/>
      <c r="J137" s="37" t="n"/>
      <c r="K137" s="39" t="str">
        <f>IF(A137="","",SUMIFS(mv_qty,mv_ref,A137,mv_type,"Entrée"))</f>
        <v/>
      </c>
      <c r="L137" s="39" t="str">
        <f>IF(A137="","",SUMIFS(mv_qty,mv_ref,A137,mv_type,"Sortie"))</f>
        <v/>
      </c>
      <c r="M137" s="39" t="str">
        <f>IF(A137="","",ROUND(N(H137)+K137-L137,6))</f>
        <v/>
      </c>
      <c r="N137" s="40" t="str">
        <f>IF(A137="","",M137*N(G137))</f>
        <v/>
      </c>
      <c r="O137" s="39" t="str">
        <f>IF(A137="","",IF(M137&lt;=0,"Rupture",IF(AND(I137&lt;&gt;"",M137&lt;=N(I137)),"À commander","OK")))</f>
        <v/>
      </c>
      <c r="P137" s="39" t="str">
        <f>IF(OR(A137="",O137="OK",J137=""),"",MAX(N(J137)-M137,0))</f>
        <v/>
      </c>
      <c r="Q137" s="39" t="str">
        <f>IF(A137="",IF(COUNTA(B137:J137)&gt;0,"Référence manquante",""),IF(COUNTIF($A$5:$A$1004,A137)&gt;1,"Référence en double",IF(B137="","Désignation manquante","OK")))</f>
        <v/>
      </c>
      <c r="R137" s="39" t="str">
        <f>IF(OR(O137="Rupture",O137="À commander"),COUNTIF($O$5:O137,"Rupture")+COUNTIF($O$5:O137,"À commander"),"")</f>
        <v/>
      </c>
    </row>
    <row r="138">
      <c r="A138" s="37" t="n"/>
      <c r="B138" s="37" t="n"/>
      <c r="C138" s="37" t="n"/>
      <c r="D138" s="37" t="n"/>
      <c r="E138" s="37" t="n"/>
      <c r="F138" s="37" t="n"/>
      <c r="G138" s="38" t="n"/>
      <c r="H138" s="37" t="n"/>
      <c r="I138" s="37" t="n"/>
      <c r="J138" s="37" t="n"/>
      <c r="K138" s="39" t="str">
        <f>IF(A138="","",SUMIFS(mv_qty,mv_ref,A138,mv_type,"Entrée"))</f>
        <v/>
      </c>
      <c r="L138" s="39" t="str">
        <f>IF(A138="","",SUMIFS(mv_qty,mv_ref,A138,mv_type,"Sortie"))</f>
        <v/>
      </c>
      <c r="M138" s="39" t="str">
        <f>IF(A138="","",ROUND(N(H138)+K138-L138,6))</f>
        <v/>
      </c>
      <c r="N138" s="40" t="str">
        <f>IF(A138="","",M138*N(G138))</f>
        <v/>
      </c>
      <c r="O138" s="39" t="str">
        <f>IF(A138="","",IF(M138&lt;=0,"Rupture",IF(AND(I138&lt;&gt;"",M138&lt;=N(I138)),"À commander","OK")))</f>
        <v/>
      </c>
      <c r="P138" s="39" t="str">
        <f>IF(OR(A138="",O138="OK",J138=""),"",MAX(N(J138)-M138,0))</f>
        <v/>
      </c>
      <c r="Q138" s="39" t="str">
        <f>IF(A138="",IF(COUNTA(B138:J138)&gt;0,"Référence manquante",""),IF(COUNTIF($A$5:$A$1004,A138)&gt;1,"Référence en double",IF(B138="","Désignation manquante","OK")))</f>
        <v/>
      </c>
      <c r="R138" s="39" t="str">
        <f>IF(OR(O138="Rupture",O138="À commander"),COUNTIF($O$5:O138,"Rupture")+COUNTIF($O$5:O138,"À commander"),"")</f>
        <v/>
      </c>
    </row>
    <row r="139">
      <c r="A139" s="37" t="n"/>
      <c r="B139" s="37" t="n"/>
      <c r="C139" s="37" t="n"/>
      <c r="D139" s="37" t="n"/>
      <c r="E139" s="37" t="n"/>
      <c r="F139" s="37" t="n"/>
      <c r="G139" s="38" t="n"/>
      <c r="H139" s="37" t="n"/>
      <c r="I139" s="37" t="n"/>
      <c r="J139" s="37" t="n"/>
      <c r="K139" s="39" t="str">
        <f>IF(A139="","",SUMIFS(mv_qty,mv_ref,A139,mv_type,"Entrée"))</f>
        <v/>
      </c>
      <c r="L139" s="39" t="str">
        <f>IF(A139="","",SUMIFS(mv_qty,mv_ref,A139,mv_type,"Sortie"))</f>
        <v/>
      </c>
      <c r="M139" s="39" t="str">
        <f>IF(A139="","",ROUND(N(H139)+K139-L139,6))</f>
        <v/>
      </c>
      <c r="N139" s="40" t="str">
        <f>IF(A139="","",M139*N(G139))</f>
        <v/>
      </c>
      <c r="O139" s="39" t="str">
        <f>IF(A139="","",IF(M139&lt;=0,"Rupture",IF(AND(I139&lt;&gt;"",M139&lt;=N(I139)),"À commander","OK")))</f>
        <v/>
      </c>
      <c r="P139" s="39" t="str">
        <f>IF(OR(A139="",O139="OK",J139=""),"",MAX(N(J139)-M139,0))</f>
        <v/>
      </c>
      <c r="Q139" s="39" t="str">
        <f>IF(A139="",IF(COUNTA(B139:J139)&gt;0,"Référence manquante",""),IF(COUNTIF($A$5:$A$1004,A139)&gt;1,"Référence en double",IF(B139="","Désignation manquante","OK")))</f>
        <v/>
      </c>
      <c r="R139" s="39" t="str">
        <f>IF(OR(O139="Rupture",O139="À commander"),COUNTIF($O$5:O139,"Rupture")+COUNTIF($O$5:O139,"À commander"),"")</f>
        <v/>
      </c>
    </row>
    <row r="140">
      <c r="A140" s="37" t="n"/>
      <c r="B140" s="37" t="n"/>
      <c r="C140" s="37" t="n"/>
      <c r="D140" s="37" t="n"/>
      <c r="E140" s="37" t="n"/>
      <c r="F140" s="37" t="n"/>
      <c r="G140" s="38" t="n"/>
      <c r="H140" s="37" t="n"/>
      <c r="I140" s="37" t="n"/>
      <c r="J140" s="37" t="n"/>
      <c r="K140" s="39" t="str">
        <f>IF(A140="","",SUMIFS(mv_qty,mv_ref,A140,mv_type,"Entrée"))</f>
        <v/>
      </c>
      <c r="L140" s="39" t="str">
        <f>IF(A140="","",SUMIFS(mv_qty,mv_ref,A140,mv_type,"Sortie"))</f>
        <v/>
      </c>
      <c r="M140" s="39" t="str">
        <f>IF(A140="","",ROUND(N(H140)+K140-L140,6))</f>
        <v/>
      </c>
      <c r="N140" s="40" t="str">
        <f>IF(A140="","",M140*N(G140))</f>
        <v/>
      </c>
      <c r="O140" s="39" t="str">
        <f>IF(A140="","",IF(M140&lt;=0,"Rupture",IF(AND(I140&lt;&gt;"",M140&lt;=N(I140)),"À commander","OK")))</f>
        <v/>
      </c>
      <c r="P140" s="39" t="str">
        <f>IF(OR(A140="",O140="OK",J140=""),"",MAX(N(J140)-M140,0))</f>
        <v/>
      </c>
      <c r="Q140" s="39" t="str">
        <f>IF(A140="",IF(COUNTA(B140:J140)&gt;0,"Référence manquante",""),IF(COUNTIF($A$5:$A$1004,A140)&gt;1,"Référence en double",IF(B140="","Désignation manquante","OK")))</f>
        <v/>
      </c>
      <c r="R140" s="39" t="str">
        <f>IF(OR(O140="Rupture",O140="À commander"),COUNTIF($O$5:O140,"Rupture")+COUNTIF($O$5:O140,"À commander"),"")</f>
        <v/>
      </c>
    </row>
    <row r="141">
      <c r="A141" s="37" t="n"/>
      <c r="B141" s="37" t="n"/>
      <c r="C141" s="37" t="n"/>
      <c r="D141" s="37" t="n"/>
      <c r="E141" s="37" t="n"/>
      <c r="F141" s="37" t="n"/>
      <c r="G141" s="38" t="n"/>
      <c r="H141" s="37" t="n"/>
      <c r="I141" s="37" t="n"/>
      <c r="J141" s="37" t="n"/>
      <c r="K141" s="39" t="str">
        <f>IF(A141="","",SUMIFS(mv_qty,mv_ref,A141,mv_type,"Entrée"))</f>
        <v/>
      </c>
      <c r="L141" s="39" t="str">
        <f>IF(A141="","",SUMIFS(mv_qty,mv_ref,A141,mv_type,"Sortie"))</f>
        <v/>
      </c>
      <c r="M141" s="39" t="str">
        <f>IF(A141="","",ROUND(N(H141)+K141-L141,6))</f>
        <v/>
      </c>
      <c r="N141" s="40" t="str">
        <f>IF(A141="","",M141*N(G141))</f>
        <v/>
      </c>
      <c r="O141" s="39" t="str">
        <f>IF(A141="","",IF(M141&lt;=0,"Rupture",IF(AND(I141&lt;&gt;"",M141&lt;=N(I141)),"À commander","OK")))</f>
        <v/>
      </c>
      <c r="P141" s="39" t="str">
        <f>IF(OR(A141="",O141="OK",J141=""),"",MAX(N(J141)-M141,0))</f>
        <v/>
      </c>
      <c r="Q141" s="39" t="str">
        <f>IF(A141="",IF(COUNTA(B141:J141)&gt;0,"Référence manquante",""),IF(COUNTIF($A$5:$A$1004,A141)&gt;1,"Référence en double",IF(B141="","Désignation manquante","OK")))</f>
        <v/>
      </c>
      <c r="R141" s="39" t="str">
        <f>IF(OR(O141="Rupture",O141="À commander"),COUNTIF($O$5:O141,"Rupture")+COUNTIF($O$5:O141,"À commander"),"")</f>
        <v/>
      </c>
    </row>
    <row r="142">
      <c r="A142" s="37" t="n"/>
      <c r="B142" s="37" t="n"/>
      <c r="C142" s="37" t="n"/>
      <c r="D142" s="37" t="n"/>
      <c r="E142" s="37" t="n"/>
      <c r="F142" s="37" t="n"/>
      <c r="G142" s="38" t="n"/>
      <c r="H142" s="37" t="n"/>
      <c r="I142" s="37" t="n"/>
      <c r="J142" s="37" t="n"/>
      <c r="K142" s="39" t="str">
        <f>IF(A142="","",SUMIFS(mv_qty,mv_ref,A142,mv_type,"Entrée"))</f>
        <v/>
      </c>
      <c r="L142" s="39" t="str">
        <f>IF(A142="","",SUMIFS(mv_qty,mv_ref,A142,mv_type,"Sortie"))</f>
        <v/>
      </c>
      <c r="M142" s="39" t="str">
        <f>IF(A142="","",ROUND(N(H142)+K142-L142,6))</f>
        <v/>
      </c>
      <c r="N142" s="40" t="str">
        <f>IF(A142="","",M142*N(G142))</f>
        <v/>
      </c>
      <c r="O142" s="39" t="str">
        <f>IF(A142="","",IF(M142&lt;=0,"Rupture",IF(AND(I142&lt;&gt;"",M142&lt;=N(I142)),"À commander","OK")))</f>
        <v/>
      </c>
      <c r="P142" s="39" t="str">
        <f>IF(OR(A142="",O142="OK",J142=""),"",MAX(N(J142)-M142,0))</f>
        <v/>
      </c>
      <c r="Q142" s="39" t="str">
        <f>IF(A142="",IF(COUNTA(B142:J142)&gt;0,"Référence manquante",""),IF(COUNTIF($A$5:$A$1004,A142)&gt;1,"Référence en double",IF(B142="","Désignation manquante","OK")))</f>
        <v/>
      </c>
      <c r="R142" s="39" t="str">
        <f>IF(OR(O142="Rupture",O142="À commander"),COUNTIF($O$5:O142,"Rupture")+COUNTIF($O$5:O142,"À commander"),"")</f>
        <v/>
      </c>
    </row>
    <row r="143">
      <c r="A143" s="37" t="n"/>
      <c r="B143" s="37" t="n"/>
      <c r="C143" s="37" t="n"/>
      <c r="D143" s="37" t="n"/>
      <c r="E143" s="37" t="n"/>
      <c r="F143" s="37" t="n"/>
      <c r="G143" s="38" t="n"/>
      <c r="H143" s="37" t="n"/>
      <c r="I143" s="37" t="n"/>
      <c r="J143" s="37" t="n"/>
      <c r="K143" s="39" t="str">
        <f>IF(A143="","",SUMIFS(mv_qty,mv_ref,A143,mv_type,"Entrée"))</f>
        <v/>
      </c>
      <c r="L143" s="39" t="str">
        <f>IF(A143="","",SUMIFS(mv_qty,mv_ref,A143,mv_type,"Sortie"))</f>
        <v/>
      </c>
      <c r="M143" s="39" t="str">
        <f>IF(A143="","",ROUND(N(H143)+K143-L143,6))</f>
        <v/>
      </c>
      <c r="N143" s="40" t="str">
        <f>IF(A143="","",M143*N(G143))</f>
        <v/>
      </c>
      <c r="O143" s="39" t="str">
        <f>IF(A143="","",IF(M143&lt;=0,"Rupture",IF(AND(I143&lt;&gt;"",M143&lt;=N(I143)),"À commander","OK")))</f>
        <v/>
      </c>
      <c r="P143" s="39" t="str">
        <f>IF(OR(A143="",O143="OK",J143=""),"",MAX(N(J143)-M143,0))</f>
        <v/>
      </c>
      <c r="Q143" s="39" t="str">
        <f>IF(A143="",IF(COUNTA(B143:J143)&gt;0,"Référence manquante",""),IF(COUNTIF($A$5:$A$1004,A143)&gt;1,"Référence en double",IF(B143="","Désignation manquante","OK")))</f>
        <v/>
      </c>
      <c r="R143" s="39" t="str">
        <f>IF(OR(O143="Rupture",O143="À commander"),COUNTIF($O$5:O143,"Rupture")+COUNTIF($O$5:O143,"À commander"),"")</f>
        <v/>
      </c>
    </row>
    <row r="144">
      <c r="A144" s="37" t="n"/>
      <c r="B144" s="37" t="n"/>
      <c r="C144" s="37" t="n"/>
      <c r="D144" s="37" t="n"/>
      <c r="E144" s="37" t="n"/>
      <c r="F144" s="37" t="n"/>
      <c r="G144" s="38" t="n"/>
      <c r="H144" s="37" t="n"/>
      <c r="I144" s="37" t="n"/>
      <c r="J144" s="37" t="n"/>
      <c r="K144" s="39" t="str">
        <f>IF(A144="","",SUMIFS(mv_qty,mv_ref,A144,mv_type,"Entrée"))</f>
        <v/>
      </c>
      <c r="L144" s="39" t="str">
        <f>IF(A144="","",SUMIFS(mv_qty,mv_ref,A144,mv_type,"Sortie"))</f>
        <v/>
      </c>
      <c r="M144" s="39" t="str">
        <f>IF(A144="","",ROUND(N(H144)+K144-L144,6))</f>
        <v/>
      </c>
      <c r="N144" s="40" t="str">
        <f>IF(A144="","",M144*N(G144))</f>
        <v/>
      </c>
      <c r="O144" s="39" t="str">
        <f>IF(A144="","",IF(M144&lt;=0,"Rupture",IF(AND(I144&lt;&gt;"",M144&lt;=N(I144)),"À commander","OK")))</f>
        <v/>
      </c>
      <c r="P144" s="39" t="str">
        <f>IF(OR(A144="",O144="OK",J144=""),"",MAX(N(J144)-M144,0))</f>
        <v/>
      </c>
      <c r="Q144" s="39" t="str">
        <f>IF(A144="",IF(COUNTA(B144:J144)&gt;0,"Référence manquante",""),IF(COUNTIF($A$5:$A$1004,A144)&gt;1,"Référence en double",IF(B144="","Désignation manquante","OK")))</f>
        <v/>
      </c>
      <c r="R144" s="39" t="str">
        <f>IF(OR(O144="Rupture",O144="À commander"),COUNTIF($O$5:O144,"Rupture")+COUNTIF($O$5:O144,"À commander"),"")</f>
        <v/>
      </c>
    </row>
    <row r="145">
      <c r="A145" s="37" t="n"/>
      <c r="B145" s="37" t="n"/>
      <c r="C145" s="37" t="n"/>
      <c r="D145" s="37" t="n"/>
      <c r="E145" s="37" t="n"/>
      <c r="F145" s="37" t="n"/>
      <c r="G145" s="38" t="n"/>
      <c r="H145" s="37" t="n"/>
      <c r="I145" s="37" t="n"/>
      <c r="J145" s="37" t="n"/>
      <c r="K145" s="39" t="str">
        <f>IF(A145="","",SUMIFS(mv_qty,mv_ref,A145,mv_type,"Entrée"))</f>
        <v/>
      </c>
      <c r="L145" s="39" t="str">
        <f>IF(A145="","",SUMIFS(mv_qty,mv_ref,A145,mv_type,"Sortie"))</f>
        <v/>
      </c>
      <c r="M145" s="39" t="str">
        <f>IF(A145="","",ROUND(N(H145)+K145-L145,6))</f>
        <v/>
      </c>
      <c r="N145" s="40" t="str">
        <f>IF(A145="","",M145*N(G145))</f>
        <v/>
      </c>
      <c r="O145" s="39" t="str">
        <f>IF(A145="","",IF(M145&lt;=0,"Rupture",IF(AND(I145&lt;&gt;"",M145&lt;=N(I145)),"À commander","OK")))</f>
        <v/>
      </c>
      <c r="P145" s="39" t="str">
        <f>IF(OR(A145="",O145="OK",J145=""),"",MAX(N(J145)-M145,0))</f>
        <v/>
      </c>
      <c r="Q145" s="39" t="str">
        <f>IF(A145="",IF(COUNTA(B145:J145)&gt;0,"Référence manquante",""),IF(COUNTIF($A$5:$A$1004,A145)&gt;1,"Référence en double",IF(B145="","Désignation manquante","OK")))</f>
        <v/>
      </c>
      <c r="R145" s="39" t="str">
        <f>IF(OR(O145="Rupture",O145="À commander"),COUNTIF($O$5:O145,"Rupture")+COUNTIF($O$5:O145,"À commander"),"")</f>
        <v/>
      </c>
    </row>
    <row r="146">
      <c r="A146" s="37" t="n"/>
      <c r="B146" s="37" t="n"/>
      <c r="C146" s="37" t="n"/>
      <c r="D146" s="37" t="n"/>
      <c r="E146" s="37" t="n"/>
      <c r="F146" s="37" t="n"/>
      <c r="G146" s="38" t="n"/>
      <c r="H146" s="37" t="n"/>
      <c r="I146" s="37" t="n"/>
      <c r="J146" s="37" t="n"/>
      <c r="K146" s="39" t="str">
        <f>IF(A146="","",SUMIFS(mv_qty,mv_ref,A146,mv_type,"Entrée"))</f>
        <v/>
      </c>
      <c r="L146" s="39" t="str">
        <f>IF(A146="","",SUMIFS(mv_qty,mv_ref,A146,mv_type,"Sortie"))</f>
        <v/>
      </c>
      <c r="M146" s="39" t="str">
        <f>IF(A146="","",ROUND(N(H146)+K146-L146,6))</f>
        <v/>
      </c>
      <c r="N146" s="40" t="str">
        <f>IF(A146="","",M146*N(G146))</f>
        <v/>
      </c>
      <c r="O146" s="39" t="str">
        <f>IF(A146="","",IF(M146&lt;=0,"Rupture",IF(AND(I146&lt;&gt;"",M146&lt;=N(I146)),"À commander","OK")))</f>
        <v/>
      </c>
      <c r="P146" s="39" t="str">
        <f>IF(OR(A146="",O146="OK",J146=""),"",MAX(N(J146)-M146,0))</f>
        <v/>
      </c>
      <c r="Q146" s="39" t="str">
        <f>IF(A146="",IF(COUNTA(B146:J146)&gt;0,"Référence manquante",""),IF(COUNTIF($A$5:$A$1004,A146)&gt;1,"Référence en double",IF(B146="","Désignation manquante","OK")))</f>
        <v/>
      </c>
      <c r="R146" s="39" t="str">
        <f>IF(OR(O146="Rupture",O146="À commander"),COUNTIF($O$5:O146,"Rupture")+COUNTIF($O$5:O146,"À commander"),"")</f>
        <v/>
      </c>
    </row>
    <row r="147">
      <c r="A147" s="37" t="n"/>
      <c r="B147" s="37" t="n"/>
      <c r="C147" s="37" t="n"/>
      <c r="D147" s="37" t="n"/>
      <c r="E147" s="37" t="n"/>
      <c r="F147" s="37" t="n"/>
      <c r="G147" s="38" t="n"/>
      <c r="H147" s="37" t="n"/>
      <c r="I147" s="37" t="n"/>
      <c r="J147" s="37" t="n"/>
      <c r="K147" s="39" t="str">
        <f>IF(A147="","",SUMIFS(mv_qty,mv_ref,A147,mv_type,"Entrée"))</f>
        <v/>
      </c>
      <c r="L147" s="39" t="str">
        <f>IF(A147="","",SUMIFS(mv_qty,mv_ref,A147,mv_type,"Sortie"))</f>
        <v/>
      </c>
      <c r="M147" s="39" t="str">
        <f>IF(A147="","",ROUND(N(H147)+K147-L147,6))</f>
        <v/>
      </c>
      <c r="N147" s="40" t="str">
        <f>IF(A147="","",M147*N(G147))</f>
        <v/>
      </c>
      <c r="O147" s="39" t="str">
        <f>IF(A147="","",IF(M147&lt;=0,"Rupture",IF(AND(I147&lt;&gt;"",M147&lt;=N(I147)),"À commander","OK")))</f>
        <v/>
      </c>
      <c r="P147" s="39" t="str">
        <f>IF(OR(A147="",O147="OK",J147=""),"",MAX(N(J147)-M147,0))</f>
        <v/>
      </c>
      <c r="Q147" s="39" t="str">
        <f>IF(A147="",IF(COUNTA(B147:J147)&gt;0,"Référence manquante",""),IF(COUNTIF($A$5:$A$1004,A147)&gt;1,"Référence en double",IF(B147="","Désignation manquante","OK")))</f>
        <v/>
      </c>
      <c r="R147" s="39" t="str">
        <f>IF(OR(O147="Rupture",O147="À commander"),COUNTIF($O$5:O147,"Rupture")+COUNTIF($O$5:O147,"À commander"),"")</f>
        <v/>
      </c>
    </row>
    <row r="148">
      <c r="A148" s="37" t="n"/>
      <c r="B148" s="37" t="n"/>
      <c r="C148" s="37" t="n"/>
      <c r="D148" s="37" t="n"/>
      <c r="E148" s="37" t="n"/>
      <c r="F148" s="37" t="n"/>
      <c r="G148" s="38" t="n"/>
      <c r="H148" s="37" t="n"/>
      <c r="I148" s="37" t="n"/>
      <c r="J148" s="37" t="n"/>
      <c r="K148" s="39" t="str">
        <f>IF(A148="","",SUMIFS(mv_qty,mv_ref,A148,mv_type,"Entrée"))</f>
        <v/>
      </c>
      <c r="L148" s="39" t="str">
        <f>IF(A148="","",SUMIFS(mv_qty,mv_ref,A148,mv_type,"Sortie"))</f>
        <v/>
      </c>
      <c r="M148" s="39" t="str">
        <f>IF(A148="","",ROUND(N(H148)+K148-L148,6))</f>
        <v/>
      </c>
      <c r="N148" s="40" t="str">
        <f>IF(A148="","",M148*N(G148))</f>
        <v/>
      </c>
      <c r="O148" s="39" t="str">
        <f>IF(A148="","",IF(M148&lt;=0,"Rupture",IF(AND(I148&lt;&gt;"",M148&lt;=N(I148)),"À commander","OK")))</f>
        <v/>
      </c>
      <c r="P148" s="39" t="str">
        <f>IF(OR(A148="",O148="OK",J148=""),"",MAX(N(J148)-M148,0))</f>
        <v/>
      </c>
      <c r="Q148" s="39" t="str">
        <f>IF(A148="",IF(COUNTA(B148:J148)&gt;0,"Référence manquante",""),IF(COUNTIF($A$5:$A$1004,A148)&gt;1,"Référence en double",IF(B148="","Désignation manquante","OK")))</f>
        <v/>
      </c>
      <c r="R148" s="39" t="str">
        <f>IF(OR(O148="Rupture",O148="À commander"),COUNTIF($O$5:O148,"Rupture")+COUNTIF($O$5:O148,"À commander"),"")</f>
        <v/>
      </c>
    </row>
    <row r="149">
      <c r="A149" s="37" t="n"/>
      <c r="B149" s="37" t="n"/>
      <c r="C149" s="37" t="n"/>
      <c r="D149" s="37" t="n"/>
      <c r="E149" s="37" t="n"/>
      <c r="F149" s="37" t="n"/>
      <c r="G149" s="38" t="n"/>
      <c r="H149" s="37" t="n"/>
      <c r="I149" s="37" t="n"/>
      <c r="J149" s="37" t="n"/>
      <c r="K149" s="39" t="str">
        <f>IF(A149="","",SUMIFS(mv_qty,mv_ref,A149,mv_type,"Entrée"))</f>
        <v/>
      </c>
      <c r="L149" s="39" t="str">
        <f>IF(A149="","",SUMIFS(mv_qty,mv_ref,A149,mv_type,"Sortie"))</f>
        <v/>
      </c>
      <c r="M149" s="39" t="str">
        <f>IF(A149="","",ROUND(N(H149)+K149-L149,6))</f>
        <v/>
      </c>
      <c r="N149" s="40" t="str">
        <f>IF(A149="","",M149*N(G149))</f>
        <v/>
      </c>
      <c r="O149" s="39" t="str">
        <f>IF(A149="","",IF(M149&lt;=0,"Rupture",IF(AND(I149&lt;&gt;"",M149&lt;=N(I149)),"À commander","OK")))</f>
        <v/>
      </c>
      <c r="P149" s="39" t="str">
        <f>IF(OR(A149="",O149="OK",J149=""),"",MAX(N(J149)-M149,0))</f>
        <v/>
      </c>
      <c r="Q149" s="39" t="str">
        <f>IF(A149="",IF(COUNTA(B149:J149)&gt;0,"Référence manquante",""),IF(COUNTIF($A$5:$A$1004,A149)&gt;1,"Référence en double",IF(B149="","Désignation manquante","OK")))</f>
        <v/>
      </c>
      <c r="R149" s="39" t="str">
        <f>IF(OR(O149="Rupture",O149="À commander"),COUNTIF($O$5:O149,"Rupture")+COUNTIF($O$5:O149,"À commander"),"")</f>
        <v/>
      </c>
    </row>
    <row r="150">
      <c r="A150" s="37" t="n"/>
      <c r="B150" s="37" t="n"/>
      <c r="C150" s="37" t="n"/>
      <c r="D150" s="37" t="n"/>
      <c r="E150" s="37" t="n"/>
      <c r="F150" s="37" t="n"/>
      <c r="G150" s="38" t="n"/>
      <c r="H150" s="37" t="n"/>
      <c r="I150" s="37" t="n"/>
      <c r="J150" s="37" t="n"/>
      <c r="K150" s="39" t="str">
        <f>IF(A150="","",SUMIFS(mv_qty,mv_ref,A150,mv_type,"Entrée"))</f>
        <v/>
      </c>
      <c r="L150" s="39" t="str">
        <f>IF(A150="","",SUMIFS(mv_qty,mv_ref,A150,mv_type,"Sortie"))</f>
        <v/>
      </c>
      <c r="M150" s="39" t="str">
        <f>IF(A150="","",ROUND(N(H150)+K150-L150,6))</f>
        <v/>
      </c>
      <c r="N150" s="40" t="str">
        <f>IF(A150="","",M150*N(G150))</f>
        <v/>
      </c>
      <c r="O150" s="39" t="str">
        <f>IF(A150="","",IF(M150&lt;=0,"Rupture",IF(AND(I150&lt;&gt;"",M150&lt;=N(I150)),"À commander","OK")))</f>
        <v/>
      </c>
      <c r="P150" s="39" t="str">
        <f>IF(OR(A150="",O150="OK",J150=""),"",MAX(N(J150)-M150,0))</f>
        <v/>
      </c>
      <c r="Q150" s="39" t="str">
        <f>IF(A150="",IF(COUNTA(B150:J150)&gt;0,"Référence manquante",""),IF(COUNTIF($A$5:$A$1004,A150)&gt;1,"Référence en double",IF(B150="","Désignation manquante","OK")))</f>
        <v/>
      </c>
      <c r="R150" s="39" t="str">
        <f>IF(OR(O150="Rupture",O150="À commander"),COUNTIF($O$5:O150,"Rupture")+COUNTIF($O$5:O150,"À commander"),"")</f>
        <v/>
      </c>
    </row>
    <row r="151">
      <c r="A151" s="37" t="n"/>
      <c r="B151" s="37" t="n"/>
      <c r="C151" s="37" t="n"/>
      <c r="D151" s="37" t="n"/>
      <c r="E151" s="37" t="n"/>
      <c r="F151" s="37" t="n"/>
      <c r="G151" s="38" t="n"/>
      <c r="H151" s="37" t="n"/>
      <c r="I151" s="37" t="n"/>
      <c r="J151" s="37" t="n"/>
      <c r="K151" s="39" t="str">
        <f>IF(A151="","",SUMIFS(mv_qty,mv_ref,A151,mv_type,"Entrée"))</f>
        <v/>
      </c>
      <c r="L151" s="39" t="str">
        <f>IF(A151="","",SUMIFS(mv_qty,mv_ref,A151,mv_type,"Sortie"))</f>
        <v/>
      </c>
      <c r="M151" s="39" t="str">
        <f>IF(A151="","",ROUND(N(H151)+K151-L151,6))</f>
        <v/>
      </c>
      <c r="N151" s="40" t="str">
        <f>IF(A151="","",M151*N(G151))</f>
        <v/>
      </c>
      <c r="O151" s="39" t="str">
        <f>IF(A151="","",IF(M151&lt;=0,"Rupture",IF(AND(I151&lt;&gt;"",M151&lt;=N(I151)),"À commander","OK")))</f>
        <v/>
      </c>
      <c r="P151" s="39" t="str">
        <f>IF(OR(A151="",O151="OK",J151=""),"",MAX(N(J151)-M151,0))</f>
        <v/>
      </c>
      <c r="Q151" s="39" t="str">
        <f>IF(A151="",IF(COUNTA(B151:J151)&gt;0,"Référence manquante",""),IF(COUNTIF($A$5:$A$1004,A151)&gt;1,"Référence en double",IF(B151="","Désignation manquante","OK")))</f>
        <v/>
      </c>
      <c r="R151" s="39" t="str">
        <f>IF(OR(O151="Rupture",O151="À commander"),COUNTIF($O$5:O151,"Rupture")+COUNTIF($O$5:O151,"À commander"),"")</f>
        <v/>
      </c>
    </row>
    <row r="152">
      <c r="A152" s="37" t="n"/>
      <c r="B152" s="37" t="n"/>
      <c r="C152" s="37" t="n"/>
      <c r="D152" s="37" t="n"/>
      <c r="E152" s="37" t="n"/>
      <c r="F152" s="37" t="n"/>
      <c r="G152" s="38" t="n"/>
      <c r="H152" s="37" t="n"/>
      <c r="I152" s="37" t="n"/>
      <c r="J152" s="37" t="n"/>
      <c r="K152" s="39" t="str">
        <f>IF(A152="","",SUMIFS(mv_qty,mv_ref,A152,mv_type,"Entrée"))</f>
        <v/>
      </c>
      <c r="L152" s="39" t="str">
        <f>IF(A152="","",SUMIFS(mv_qty,mv_ref,A152,mv_type,"Sortie"))</f>
        <v/>
      </c>
      <c r="M152" s="39" t="str">
        <f>IF(A152="","",ROUND(N(H152)+K152-L152,6))</f>
        <v/>
      </c>
      <c r="N152" s="40" t="str">
        <f>IF(A152="","",M152*N(G152))</f>
        <v/>
      </c>
      <c r="O152" s="39" t="str">
        <f>IF(A152="","",IF(M152&lt;=0,"Rupture",IF(AND(I152&lt;&gt;"",M152&lt;=N(I152)),"À commander","OK")))</f>
        <v/>
      </c>
      <c r="P152" s="39" t="str">
        <f>IF(OR(A152="",O152="OK",J152=""),"",MAX(N(J152)-M152,0))</f>
        <v/>
      </c>
      <c r="Q152" s="39" t="str">
        <f>IF(A152="",IF(COUNTA(B152:J152)&gt;0,"Référence manquante",""),IF(COUNTIF($A$5:$A$1004,A152)&gt;1,"Référence en double",IF(B152="","Désignation manquante","OK")))</f>
        <v/>
      </c>
      <c r="R152" s="39" t="str">
        <f>IF(OR(O152="Rupture",O152="À commander"),COUNTIF($O$5:O152,"Rupture")+COUNTIF($O$5:O152,"À commander"),"")</f>
        <v/>
      </c>
    </row>
    <row r="153">
      <c r="A153" s="37" t="n"/>
      <c r="B153" s="37" t="n"/>
      <c r="C153" s="37" t="n"/>
      <c r="D153" s="37" t="n"/>
      <c r="E153" s="37" t="n"/>
      <c r="F153" s="37" t="n"/>
      <c r="G153" s="38" t="n"/>
      <c r="H153" s="37" t="n"/>
      <c r="I153" s="37" t="n"/>
      <c r="J153" s="37" t="n"/>
      <c r="K153" s="39" t="str">
        <f>IF(A153="","",SUMIFS(mv_qty,mv_ref,A153,mv_type,"Entrée"))</f>
        <v/>
      </c>
      <c r="L153" s="39" t="str">
        <f>IF(A153="","",SUMIFS(mv_qty,mv_ref,A153,mv_type,"Sortie"))</f>
        <v/>
      </c>
      <c r="M153" s="39" t="str">
        <f>IF(A153="","",ROUND(N(H153)+K153-L153,6))</f>
        <v/>
      </c>
      <c r="N153" s="40" t="str">
        <f>IF(A153="","",M153*N(G153))</f>
        <v/>
      </c>
      <c r="O153" s="39" t="str">
        <f>IF(A153="","",IF(M153&lt;=0,"Rupture",IF(AND(I153&lt;&gt;"",M153&lt;=N(I153)),"À commander","OK")))</f>
        <v/>
      </c>
      <c r="P153" s="39" t="str">
        <f>IF(OR(A153="",O153="OK",J153=""),"",MAX(N(J153)-M153,0))</f>
        <v/>
      </c>
      <c r="Q153" s="39" t="str">
        <f>IF(A153="",IF(COUNTA(B153:J153)&gt;0,"Référence manquante",""),IF(COUNTIF($A$5:$A$1004,A153)&gt;1,"Référence en double",IF(B153="","Désignation manquante","OK")))</f>
        <v/>
      </c>
      <c r="R153" s="39" t="str">
        <f>IF(OR(O153="Rupture",O153="À commander"),COUNTIF($O$5:O153,"Rupture")+COUNTIF($O$5:O153,"À commander"),"")</f>
        <v/>
      </c>
    </row>
    <row r="154">
      <c r="A154" s="37" t="n"/>
      <c r="B154" s="37" t="n"/>
      <c r="C154" s="37" t="n"/>
      <c r="D154" s="37" t="n"/>
      <c r="E154" s="37" t="n"/>
      <c r="F154" s="37" t="n"/>
      <c r="G154" s="38" t="n"/>
      <c r="H154" s="37" t="n"/>
      <c r="I154" s="37" t="n"/>
      <c r="J154" s="37" t="n"/>
      <c r="K154" s="39" t="str">
        <f>IF(A154="","",SUMIFS(mv_qty,mv_ref,A154,mv_type,"Entrée"))</f>
        <v/>
      </c>
      <c r="L154" s="39" t="str">
        <f>IF(A154="","",SUMIFS(mv_qty,mv_ref,A154,mv_type,"Sortie"))</f>
        <v/>
      </c>
      <c r="M154" s="39" t="str">
        <f>IF(A154="","",ROUND(N(H154)+K154-L154,6))</f>
        <v/>
      </c>
      <c r="N154" s="40" t="str">
        <f>IF(A154="","",M154*N(G154))</f>
        <v/>
      </c>
      <c r="O154" s="39" t="str">
        <f>IF(A154="","",IF(M154&lt;=0,"Rupture",IF(AND(I154&lt;&gt;"",M154&lt;=N(I154)),"À commander","OK")))</f>
        <v/>
      </c>
      <c r="P154" s="39" t="str">
        <f>IF(OR(A154="",O154="OK",J154=""),"",MAX(N(J154)-M154,0))</f>
        <v/>
      </c>
      <c r="Q154" s="39" t="str">
        <f>IF(A154="",IF(COUNTA(B154:J154)&gt;0,"Référence manquante",""),IF(COUNTIF($A$5:$A$1004,A154)&gt;1,"Référence en double",IF(B154="","Désignation manquante","OK")))</f>
        <v/>
      </c>
      <c r="R154" s="39" t="str">
        <f>IF(OR(O154="Rupture",O154="À commander"),COUNTIF($O$5:O154,"Rupture")+COUNTIF($O$5:O154,"À commander"),"")</f>
        <v/>
      </c>
    </row>
    <row r="155">
      <c r="A155" s="37" t="n"/>
      <c r="B155" s="37" t="n"/>
      <c r="C155" s="37" t="n"/>
      <c r="D155" s="37" t="n"/>
      <c r="E155" s="37" t="n"/>
      <c r="F155" s="37" t="n"/>
      <c r="G155" s="38" t="n"/>
      <c r="H155" s="37" t="n"/>
      <c r="I155" s="37" t="n"/>
      <c r="J155" s="37" t="n"/>
      <c r="K155" s="39" t="str">
        <f>IF(A155="","",SUMIFS(mv_qty,mv_ref,A155,mv_type,"Entrée"))</f>
        <v/>
      </c>
      <c r="L155" s="39" t="str">
        <f>IF(A155="","",SUMIFS(mv_qty,mv_ref,A155,mv_type,"Sortie"))</f>
        <v/>
      </c>
      <c r="M155" s="39" t="str">
        <f>IF(A155="","",ROUND(N(H155)+K155-L155,6))</f>
        <v/>
      </c>
      <c r="N155" s="40" t="str">
        <f>IF(A155="","",M155*N(G155))</f>
        <v/>
      </c>
      <c r="O155" s="39" t="str">
        <f>IF(A155="","",IF(M155&lt;=0,"Rupture",IF(AND(I155&lt;&gt;"",M155&lt;=N(I155)),"À commander","OK")))</f>
        <v/>
      </c>
      <c r="P155" s="39" t="str">
        <f>IF(OR(A155="",O155="OK",J155=""),"",MAX(N(J155)-M155,0))</f>
        <v/>
      </c>
      <c r="Q155" s="39" t="str">
        <f>IF(A155="",IF(COUNTA(B155:J155)&gt;0,"Référence manquante",""),IF(COUNTIF($A$5:$A$1004,A155)&gt;1,"Référence en double",IF(B155="","Désignation manquante","OK")))</f>
        <v/>
      </c>
      <c r="R155" s="39" t="str">
        <f>IF(OR(O155="Rupture",O155="À commander"),COUNTIF($O$5:O155,"Rupture")+COUNTIF($O$5:O155,"À commander"),"")</f>
        <v/>
      </c>
    </row>
    <row r="156">
      <c r="A156" s="37" t="n"/>
      <c r="B156" s="37" t="n"/>
      <c r="C156" s="37" t="n"/>
      <c r="D156" s="37" t="n"/>
      <c r="E156" s="37" t="n"/>
      <c r="F156" s="37" t="n"/>
      <c r="G156" s="38" t="n"/>
      <c r="H156" s="37" t="n"/>
      <c r="I156" s="37" t="n"/>
      <c r="J156" s="37" t="n"/>
      <c r="K156" s="39" t="str">
        <f>IF(A156="","",SUMIFS(mv_qty,mv_ref,A156,mv_type,"Entrée"))</f>
        <v/>
      </c>
      <c r="L156" s="39" t="str">
        <f>IF(A156="","",SUMIFS(mv_qty,mv_ref,A156,mv_type,"Sortie"))</f>
        <v/>
      </c>
      <c r="M156" s="39" t="str">
        <f>IF(A156="","",ROUND(N(H156)+K156-L156,6))</f>
        <v/>
      </c>
      <c r="N156" s="40" t="str">
        <f>IF(A156="","",M156*N(G156))</f>
        <v/>
      </c>
      <c r="O156" s="39" t="str">
        <f>IF(A156="","",IF(M156&lt;=0,"Rupture",IF(AND(I156&lt;&gt;"",M156&lt;=N(I156)),"À commander","OK")))</f>
        <v/>
      </c>
      <c r="P156" s="39" t="str">
        <f>IF(OR(A156="",O156="OK",J156=""),"",MAX(N(J156)-M156,0))</f>
        <v/>
      </c>
      <c r="Q156" s="39" t="str">
        <f>IF(A156="",IF(COUNTA(B156:J156)&gt;0,"Référence manquante",""),IF(COUNTIF($A$5:$A$1004,A156)&gt;1,"Référence en double",IF(B156="","Désignation manquante","OK")))</f>
        <v/>
      </c>
      <c r="R156" s="39" t="str">
        <f>IF(OR(O156="Rupture",O156="À commander"),COUNTIF($O$5:O156,"Rupture")+COUNTIF($O$5:O156,"À commander"),"")</f>
        <v/>
      </c>
    </row>
    <row r="157">
      <c r="A157" s="37" t="n"/>
      <c r="B157" s="37" t="n"/>
      <c r="C157" s="37" t="n"/>
      <c r="D157" s="37" t="n"/>
      <c r="E157" s="37" t="n"/>
      <c r="F157" s="37" t="n"/>
      <c r="G157" s="38" t="n"/>
      <c r="H157" s="37" t="n"/>
      <c r="I157" s="37" t="n"/>
      <c r="J157" s="37" t="n"/>
      <c r="K157" s="39" t="str">
        <f>IF(A157="","",SUMIFS(mv_qty,mv_ref,A157,mv_type,"Entrée"))</f>
        <v/>
      </c>
      <c r="L157" s="39" t="str">
        <f>IF(A157="","",SUMIFS(mv_qty,mv_ref,A157,mv_type,"Sortie"))</f>
        <v/>
      </c>
      <c r="M157" s="39" t="str">
        <f>IF(A157="","",ROUND(N(H157)+K157-L157,6))</f>
        <v/>
      </c>
      <c r="N157" s="40" t="str">
        <f>IF(A157="","",M157*N(G157))</f>
        <v/>
      </c>
      <c r="O157" s="39" t="str">
        <f>IF(A157="","",IF(M157&lt;=0,"Rupture",IF(AND(I157&lt;&gt;"",M157&lt;=N(I157)),"À commander","OK")))</f>
        <v/>
      </c>
      <c r="P157" s="39" t="str">
        <f>IF(OR(A157="",O157="OK",J157=""),"",MAX(N(J157)-M157,0))</f>
        <v/>
      </c>
      <c r="Q157" s="39" t="str">
        <f>IF(A157="",IF(COUNTA(B157:J157)&gt;0,"Référence manquante",""),IF(COUNTIF($A$5:$A$1004,A157)&gt;1,"Référence en double",IF(B157="","Désignation manquante","OK")))</f>
        <v/>
      </c>
      <c r="R157" s="39" t="str">
        <f>IF(OR(O157="Rupture",O157="À commander"),COUNTIF($O$5:O157,"Rupture")+COUNTIF($O$5:O157,"À commander"),"")</f>
        <v/>
      </c>
    </row>
    <row r="158">
      <c r="A158" s="37" t="n"/>
      <c r="B158" s="37" t="n"/>
      <c r="C158" s="37" t="n"/>
      <c r="D158" s="37" t="n"/>
      <c r="E158" s="37" t="n"/>
      <c r="F158" s="37" t="n"/>
      <c r="G158" s="38" t="n"/>
      <c r="H158" s="37" t="n"/>
      <c r="I158" s="37" t="n"/>
      <c r="J158" s="37" t="n"/>
      <c r="K158" s="39" t="str">
        <f>IF(A158="","",SUMIFS(mv_qty,mv_ref,A158,mv_type,"Entrée"))</f>
        <v/>
      </c>
      <c r="L158" s="39" t="str">
        <f>IF(A158="","",SUMIFS(mv_qty,mv_ref,A158,mv_type,"Sortie"))</f>
        <v/>
      </c>
      <c r="M158" s="39" t="str">
        <f>IF(A158="","",ROUND(N(H158)+K158-L158,6))</f>
        <v/>
      </c>
      <c r="N158" s="40" t="str">
        <f>IF(A158="","",M158*N(G158))</f>
        <v/>
      </c>
      <c r="O158" s="39" t="str">
        <f>IF(A158="","",IF(M158&lt;=0,"Rupture",IF(AND(I158&lt;&gt;"",M158&lt;=N(I158)),"À commander","OK")))</f>
        <v/>
      </c>
      <c r="P158" s="39" t="str">
        <f>IF(OR(A158="",O158="OK",J158=""),"",MAX(N(J158)-M158,0))</f>
        <v/>
      </c>
      <c r="Q158" s="39" t="str">
        <f>IF(A158="",IF(COUNTA(B158:J158)&gt;0,"Référence manquante",""),IF(COUNTIF($A$5:$A$1004,A158)&gt;1,"Référence en double",IF(B158="","Désignation manquante","OK")))</f>
        <v/>
      </c>
      <c r="R158" s="39" t="str">
        <f>IF(OR(O158="Rupture",O158="À commander"),COUNTIF($O$5:O158,"Rupture")+COUNTIF($O$5:O158,"À commander"),"")</f>
        <v/>
      </c>
    </row>
    <row r="159">
      <c r="A159" s="37" t="n"/>
      <c r="B159" s="37" t="n"/>
      <c r="C159" s="37" t="n"/>
      <c r="D159" s="37" t="n"/>
      <c r="E159" s="37" t="n"/>
      <c r="F159" s="37" t="n"/>
      <c r="G159" s="38" t="n"/>
      <c r="H159" s="37" t="n"/>
      <c r="I159" s="37" t="n"/>
      <c r="J159" s="37" t="n"/>
      <c r="K159" s="39" t="str">
        <f>IF(A159="","",SUMIFS(mv_qty,mv_ref,A159,mv_type,"Entrée"))</f>
        <v/>
      </c>
      <c r="L159" s="39" t="str">
        <f>IF(A159="","",SUMIFS(mv_qty,mv_ref,A159,mv_type,"Sortie"))</f>
        <v/>
      </c>
      <c r="M159" s="39" t="str">
        <f>IF(A159="","",ROUND(N(H159)+K159-L159,6))</f>
        <v/>
      </c>
      <c r="N159" s="40" t="str">
        <f>IF(A159="","",M159*N(G159))</f>
        <v/>
      </c>
      <c r="O159" s="39" t="str">
        <f>IF(A159="","",IF(M159&lt;=0,"Rupture",IF(AND(I159&lt;&gt;"",M159&lt;=N(I159)),"À commander","OK")))</f>
        <v/>
      </c>
      <c r="P159" s="39" t="str">
        <f>IF(OR(A159="",O159="OK",J159=""),"",MAX(N(J159)-M159,0))</f>
        <v/>
      </c>
      <c r="Q159" s="39" t="str">
        <f>IF(A159="",IF(COUNTA(B159:J159)&gt;0,"Référence manquante",""),IF(COUNTIF($A$5:$A$1004,A159)&gt;1,"Référence en double",IF(B159="","Désignation manquante","OK")))</f>
        <v/>
      </c>
      <c r="R159" s="39" t="str">
        <f>IF(OR(O159="Rupture",O159="À commander"),COUNTIF($O$5:O159,"Rupture")+COUNTIF($O$5:O159,"À commander"),"")</f>
        <v/>
      </c>
    </row>
    <row r="160">
      <c r="A160" s="37" t="n"/>
      <c r="B160" s="37" t="n"/>
      <c r="C160" s="37" t="n"/>
      <c r="D160" s="37" t="n"/>
      <c r="E160" s="37" t="n"/>
      <c r="F160" s="37" t="n"/>
      <c r="G160" s="38" t="n"/>
      <c r="H160" s="37" t="n"/>
      <c r="I160" s="37" t="n"/>
      <c r="J160" s="37" t="n"/>
      <c r="K160" s="39" t="str">
        <f>IF(A160="","",SUMIFS(mv_qty,mv_ref,A160,mv_type,"Entrée"))</f>
        <v/>
      </c>
      <c r="L160" s="39" t="str">
        <f>IF(A160="","",SUMIFS(mv_qty,mv_ref,A160,mv_type,"Sortie"))</f>
        <v/>
      </c>
      <c r="M160" s="39" t="str">
        <f>IF(A160="","",ROUND(N(H160)+K160-L160,6))</f>
        <v/>
      </c>
      <c r="N160" s="40" t="str">
        <f>IF(A160="","",M160*N(G160))</f>
        <v/>
      </c>
      <c r="O160" s="39" t="str">
        <f>IF(A160="","",IF(M160&lt;=0,"Rupture",IF(AND(I160&lt;&gt;"",M160&lt;=N(I160)),"À commander","OK")))</f>
        <v/>
      </c>
      <c r="P160" s="39" t="str">
        <f>IF(OR(A160="",O160="OK",J160=""),"",MAX(N(J160)-M160,0))</f>
        <v/>
      </c>
      <c r="Q160" s="39" t="str">
        <f>IF(A160="",IF(COUNTA(B160:J160)&gt;0,"Référence manquante",""),IF(COUNTIF($A$5:$A$1004,A160)&gt;1,"Référence en double",IF(B160="","Désignation manquante","OK")))</f>
        <v/>
      </c>
      <c r="R160" s="39" t="str">
        <f>IF(OR(O160="Rupture",O160="À commander"),COUNTIF($O$5:O160,"Rupture")+COUNTIF($O$5:O160,"À commander"),"")</f>
        <v/>
      </c>
    </row>
    <row r="161">
      <c r="A161" s="37" t="n"/>
      <c r="B161" s="37" t="n"/>
      <c r="C161" s="37" t="n"/>
      <c r="D161" s="37" t="n"/>
      <c r="E161" s="37" t="n"/>
      <c r="F161" s="37" t="n"/>
      <c r="G161" s="38" t="n"/>
      <c r="H161" s="37" t="n"/>
      <c r="I161" s="37" t="n"/>
      <c r="J161" s="37" t="n"/>
      <c r="K161" s="39" t="str">
        <f>IF(A161="","",SUMIFS(mv_qty,mv_ref,A161,mv_type,"Entrée"))</f>
        <v/>
      </c>
      <c r="L161" s="39" t="str">
        <f>IF(A161="","",SUMIFS(mv_qty,mv_ref,A161,mv_type,"Sortie"))</f>
        <v/>
      </c>
      <c r="M161" s="39" t="str">
        <f>IF(A161="","",ROUND(N(H161)+K161-L161,6))</f>
        <v/>
      </c>
      <c r="N161" s="40" t="str">
        <f>IF(A161="","",M161*N(G161))</f>
        <v/>
      </c>
      <c r="O161" s="39" t="str">
        <f>IF(A161="","",IF(M161&lt;=0,"Rupture",IF(AND(I161&lt;&gt;"",M161&lt;=N(I161)),"À commander","OK")))</f>
        <v/>
      </c>
      <c r="P161" s="39" t="str">
        <f>IF(OR(A161="",O161="OK",J161=""),"",MAX(N(J161)-M161,0))</f>
        <v/>
      </c>
      <c r="Q161" s="39" t="str">
        <f>IF(A161="",IF(COUNTA(B161:J161)&gt;0,"Référence manquante",""),IF(COUNTIF($A$5:$A$1004,A161)&gt;1,"Référence en double",IF(B161="","Désignation manquante","OK")))</f>
        <v/>
      </c>
      <c r="R161" s="39" t="str">
        <f>IF(OR(O161="Rupture",O161="À commander"),COUNTIF($O$5:O161,"Rupture")+COUNTIF($O$5:O161,"À commander"),"")</f>
        <v/>
      </c>
    </row>
    <row r="162">
      <c r="A162" s="37" t="n"/>
      <c r="B162" s="37" t="n"/>
      <c r="C162" s="37" t="n"/>
      <c r="D162" s="37" t="n"/>
      <c r="E162" s="37" t="n"/>
      <c r="F162" s="37" t="n"/>
      <c r="G162" s="38" t="n"/>
      <c r="H162" s="37" t="n"/>
      <c r="I162" s="37" t="n"/>
      <c r="J162" s="37" t="n"/>
      <c r="K162" s="39" t="str">
        <f>IF(A162="","",SUMIFS(mv_qty,mv_ref,A162,mv_type,"Entrée"))</f>
        <v/>
      </c>
      <c r="L162" s="39" t="str">
        <f>IF(A162="","",SUMIFS(mv_qty,mv_ref,A162,mv_type,"Sortie"))</f>
        <v/>
      </c>
      <c r="M162" s="39" t="str">
        <f>IF(A162="","",ROUND(N(H162)+K162-L162,6))</f>
        <v/>
      </c>
      <c r="N162" s="40" t="str">
        <f>IF(A162="","",M162*N(G162))</f>
        <v/>
      </c>
      <c r="O162" s="39" t="str">
        <f>IF(A162="","",IF(M162&lt;=0,"Rupture",IF(AND(I162&lt;&gt;"",M162&lt;=N(I162)),"À commander","OK")))</f>
        <v/>
      </c>
      <c r="P162" s="39" t="str">
        <f>IF(OR(A162="",O162="OK",J162=""),"",MAX(N(J162)-M162,0))</f>
        <v/>
      </c>
      <c r="Q162" s="39" t="str">
        <f>IF(A162="",IF(COUNTA(B162:J162)&gt;0,"Référence manquante",""),IF(COUNTIF($A$5:$A$1004,A162)&gt;1,"Référence en double",IF(B162="","Désignation manquante","OK")))</f>
        <v/>
      </c>
      <c r="R162" s="39" t="str">
        <f>IF(OR(O162="Rupture",O162="À commander"),COUNTIF($O$5:O162,"Rupture")+COUNTIF($O$5:O162,"À commander"),"")</f>
        <v/>
      </c>
    </row>
    <row r="163">
      <c r="A163" s="37" t="n"/>
      <c r="B163" s="37" t="n"/>
      <c r="C163" s="37" t="n"/>
      <c r="D163" s="37" t="n"/>
      <c r="E163" s="37" t="n"/>
      <c r="F163" s="37" t="n"/>
      <c r="G163" s="38" t="n"/>
      <c r="H163" s="37" t="n"/>
      <c r="I163" s="37" t="n"/>
      <c r="J163" s="37" t="n"/>
      <c r="K163" s="39" t="str">
        <f>IF(A163="","",SUMIFS(mv_qty,mv_ref,A163,mv_type,"Entrée"))</f>
        <v/>
      </c>
      <c r="L163" s="39" t="str">
        <f>IF(A163="","",SUMIFS(mv_qty,mv_ref,A163,mv_type,"Sortie"))</f>
        <v/>
      </c>
      <c r="M163" s="39" t="str">
        <f>IF(A163="","",ROUND(N(H163)+K163-L163,6))</f>
        <v/>
      </c>
      <c r="N163" s="40" t="str">
        <f>IF(A163="","",M163*N(G163))</f>
        <v/>
      </c>
      <c r="O163" s="39" t="str">
        <f>IF(A163="","",IF(M163&lt;=0,"Rupture",IF(AND(I163&lt;&gt;"",M163&lt;=N(I163)),"À commander","OK")))</f>
        <v/>
      </c>
      <c r="P163" s="39" t="str">
        <f>IF(OR(A163="",O163="OK",J163=""),"",MAX(N(J163)-M163,0))</f>
        <v/>
      </c>
      <c r="Q163" s="39" t="str">
        <f>IF(A163="",IF(COUNTA(B163:J163)&gt;0,"Référence manquante",""),IF(COUNTIF($A$5:$A$1004,A163)&gt;1,"Référence en double",IF(B163="","Désignation manquante","OK")))</f>
        <v/>
      </c>
      <c r="R163" s="39" t="str">
        <f>IF(OR(O163="Rupture",O163="À commander"),COUNTIF($O$5:O163,"Rupture")+COUNTIF($O$5:O163,"À commander"),"")</f>
        <v/>
      </c>
    </row>
    <row r="164">
      <c r="A164" s="37" t="n"/>
      <c r="B164" s="37" t="n"/>
      <c r="C164" s="37" t="n"/>
      <c r="D164" s="37" t="n"/>
      <c r="E164" s="37" t="n"/>
      <c r="F164" s="37" t="n"/>
      <c r="G164" s="38" t="n"/>
      <c r="H164" s="37" t="n"/>
      <c r="I164" s="37" t="n"/>
      <c r="J164" s="37" t="n"/>
      <c r="K164" s="39" t="str">
        <f>IF(A164="","",SUMIFS(mv_qty,mv_ref,A164,mv_type,"Entrée"))</f>
        <v/>
      </c>
      <c r="L164" s="39" t="str">
        <f>IF(A164="","",SUMIFS(mv_qty,mv_ref,A164,mv_type,"Sortie"))</f>
        <v/>
      </c>
      <c r="M164" s="39" t="str">
        <f>IF(A164="","",ROUND(N(H164)+K164-L164,6))</f>
        <v/>
      </c>
      <c r="N164" s="40" t="str">
        <f>IF(A164="","",M164*N(G164))</f>
        <v/>
      </c>
      <c r="O164" s="39" t="str">
        <f>IF(A164="","",IF(M164&lt;=0,"Rupture",IF(AND(I164&lt;&gt;"",M164&lt;=N(I164)),"À commander","OK")))</f>
        <v/>
      </c>
      <c r="P164" s="39" t="str">
        <f>IF(OR(A164="",O164="OK",J164=""),"",MAX(N(J164)-M164,0))</f>
        <v/>
      </c>
      <c r="Q164" s="39" t="str">
        <f>IF(A164="",IF(COUNTA(B164:J164)&gt;0,"Référence manquante",""),IF(COUNTIF($A$5:$A$1004,A164)&gt;1,"Référence en double",IF(B164="","Désignation manquante","OK")))</f>
        <v/>
      </c>
      <c r="R164" s="39" t="str">
        <f>IF(OR(O164="Rupture",O164="À commander"),COUNTIF($O$5:O164,"Rupture")+COUNTIF($O$5:O164,"À commander"),"")</f>
        <v/>
      </c>
    </row>
    <row r="165">
      <c r="A165" s="37" t="n"/>
      <c r="B165" s="37" t="n"/>
      <c r="C165" s="37" t="n"/>
      <c r="D165" s="37" t="n"/>
      <c r="E165" s="37" t="n"/>
      <c r="F165" s="37" t="n"/>
      <c r="G165" s="38" t="n"/>
      <c r="H165" s="37" t="n"/>
      <c r="I165" s="37" t="n"/>
      <c r="J165" s="37" t="n"/>
      <c r="K165" s="39" t="str">
        <f>IF(A165="","",SUMIFS(mv_qty,mv_ref,A165,mv_type,"Entrée"))</f>
        <v/>
      </c>
      <c r="L165" s="39" t="str">
        <f>IF(A165="","",SUMIFS(mv_qty,mv_ref,A165,mv_type,"Sortie"))</f>
        <v/>
      </c>
      <c r="M165" s="39" t="str">
        <f>IF(A165="","",ROUND(N(H165)+K165-L165,6))</f>
        <v/>
      </c>
      <c r="N165" s="40" t="str">
        <f>IF(A165="","",M165*N(G165))</f>
        <v/>
      </c>
      <c r="O165" s="39" t="str">
        <f>IF(A165="","",IF(M165&lt;=0,"Rupture",IF(AND(I165&lt;&gt;"",M165&lt;=N(I165)),"À commander","OK")))</f>
        <v/>
      </c>
      <c r="P165" s="39" t="str">
        <f>IF(OR(A165="",O165="OK",J165=""),"",MAX(N(J165)-M165,0))</f>
        <v/>
      </c>
      <c r="Q165" s="39" t="str">
        <f>IF(A165="",IF(COUNTA(B165:J165)&gt;0,"Référence manquante",""),IF(COUNTIF($A$5:$A$1004,A165)&gt;1,"Référence en double",IF(B165="","Désignation manquante","OK")))</f>
        <v/>
      </c>
      <c r="R165" s="39" t="str">
        <f>IF(OR(O165="Rupture",O165="À commander"),COUNTIF($O$5:O165,"Rupture")+COUNTIF($O$5:O165,"À commander"),"")</f>
        <v/>
      </c>
    </row>
    <row r="166">
      <c r="A166" s="37" t="n"/>
      <c r="B166" s="37" t="n"/>
      <c r="C166" s="37" t="n"/>
      <c r="D166" s="37" t="n"/>
      <c r="E166" s="37" t="n"/>
      <c r="F166" s="37" t="n"/>
      <c r="G166" s="38" t="n"/>
      <c r="H166" s="37" t="n"/>
      <c r="I166" s="37" t="n"/>
      <c r="J166" s="37" t="n"/>
      <c r="K166" s="39" t="str">
        <f>IF(A166="","",SUMIFS(mv_qty,mv_ref,A166,mv_type,"Entrée"))</f>
        <v/>
      </c>
      <c r="L166" s="39" t="str">
        <f>IF(A166="","",SUMIFS(mv_qty,mv_ref,A166,mv_type,"Sortie"))</f>
        <v/>
      </c>
      <c r="M166" s="39" t="str">
        <f>IF(A166="","",ROUND(N(H166)+K166-L166,6))</f>
        <v/>
      </c>
      <c r="N166" s="40" t="str">
        <f>IF(A166="","",M166*N(G166))</f>
        <v/>
      </c>
      <c r="O166" s="39" t="str">
        <f>IF(A166="","",IF(M166&lt;=0,"Rupture",IF(AND(I166&lt;&gt;"",M166&lt;=N(I166)),"À commander","OK")))</f>
        <v/>
      </c>
      <c r="P166" s="39" t="str">
        <f>IF(OR(A166="",O166="OK",J166=""),"",MAX(N(J166)-M166,0))</f>
        <v/>
      </c>
      <c r="Q166" s="39" t="str">
        <f>IF(A166="",IF(COUNTA(B166:J166)&gt;0,"Référence manquante",""),IF(COUNTIF($A$5:$A$1004,A166)&gt;1,"Référence en double",IF(B166="","Désignation manquante","OK")))</f>
        <v/>
      </c>
      <c r="R166" s="39" t="str">
        <f>IF(OR(O166="Rupture",O166="À commander"),COUNTIF($O$5:O166,"Rupture")+COUNTIF($O$5:O166,"À commander"),"")</f>
        <v/>
      </c>
    </row>
    <row r="167">
      <c r="A167" s="37" t="n"/>
      <c r="B167" s="37" t="n"/>
      <c r="C167" s="37" t="n"/>
      <c r="D167" s="37" t="n"/>
      <c r="E167" s="37" t="n"/>
      <c r="F167" s="37" t="n"/>
      <c r="G167" s="38" t="n"/>
      <c r="H167" s="37" t="n"/>
      <c r="I167" s="37" t="n"/>
      <c r="J167" s="37" t="n"/>
      <c r="K167" s="39" t="str">
        <f>IF(A167="","",SUMIFS(mv_qty,mv_ref,A167,mv_type,"Entrée"))</f>
        <v/>
      </c>
      <c r="L167" s="39" t="str">
        <f>IF(A167="","",SUMIFS(mv_qty,mv_ref,A167,mv_type,"Sortie"))</f>
        <v/>
      </c>
      <c r="M167" s="39" t="str">
        <f>IF(A167="","",ROUND(N(H167)+K167-L167,6))</f>
        <v/>
      </c>
      <c r="N167" s="40" t="str">
        <f>IF(A167="","",M167*N(G167))</f>
        <v/>
      </c>
      <c r="O167" s="39" t="str">
        <f>IF(A167="","",IF(M167&lt;=0,"Rupture",IF(AND(I167&lt;&gt;"",M167&lt;=N(I167)),"À commander","OK")))</f>
        <v/>
      </c>
      <c r="P167" s="39" t="str">
        <f>IF(OR(A167="",O167="OK",J167=""),"",MAX(N(J167)-M167,0))</f>
        <v/>
      </c>
      <c r="Q167" s="39" t="str">
        <f>IF(A167="",IF(COUNTA(B167:J167)&gt;0,"Référence manquante",""),IF(COUNTIF($A$5:$A$1004,A167)&gt;1,"Référence en double",IF(B167="","Désignation manquante","OK")))</f>
        <v/>
      </c>
      <c r="R167" s="39" t="str">
        <f>IF(OR(O167="Rupture",O167="À commander"),COUNTIF($O$5:O167,"Rupture")+COUNTIF($O$5:O167,"À commander"),"")</f>
        <v/>
      </c>
    </row>
    <row r="168">
      <c r="A168" s="37" t="n"/>
      <c r="B168" s="37" t="n"/>
      <c r="C168" s="37" t="n"/>
      <c r="D168" s="37" t="n"/>
      <c r="E168" s="37" t="n"/>
      <c r="F168" s="37" t="n"/>
      <c r="G168" s="38" t="n"/>
      <c r="H168" s="37" t="n"/>
      <c r="I168" s="37" t="n"/>
      <c r="J168" s="37" t="n"/>
      <c r="K168" s="39" t="str">
        <f>IF(A168="","",SUMIFS(mv_qty,mv_ref,A168,mv_type,"Entrée"))</f>
        <v/>
      </c>
      <c r="L168" s="39" t="str">
        <f>IF(A168="","",SUMIFS(mv_qty,mv_ref,A168,mv_type,"Sortie"))</f>
        <v/>
      </c>
      <c r="M168" s="39" t="str">
        <f>IF(A168="","",ROUND(N(H168)+K168-L168,6))</f>
        <v/>
      </c>
      <c r="N168" s="40" t="str">
        <f>IF(A168="","",M168*N(G168))</f>
        <v/>
      </c>
      <c r="O168" s="39" t="str">
        <f>IF(A168="","",IF(M168&lt;=0,"Rupture",IF(AND(I168&lt;&gt;"",M168&lt;=N(I168)),"À commander","OK")))</f>
        <v/>
      </c>
      <c r="P168" s="39" t="str">
        <f>IF(OR(A168="",O168="OK",J168=""),"",MAX(N(J168)-M168,0))</f>
        <v/>
      </c>
      <c r="Q168" s="39" t="str">
        <f>IF(A168="",IF(COUNTA(B168:J168)&gt;0,"Référence manquante",""),IF(COUNTIF($A$5:$A$1004,A168)&gt;1,"Référence en double",IF(B168="","Désignation manquante","OK")))</f>
        <v/>
      </c>
      <c r="R168" s="39" t="str">
        <f>IF(OR(O168="Rupture",O168="À commander"),COUNTIF($O$5:O168,"Rupture")+COUNTIF($O$5:O168,"À commander"),"")</f>
        <v/>
      </c>
    </row>
    <row r="169">
      <c r="A169" s="37" t="n"/>
      <c r="B169" s="37" t="n"/>
      <c r="C169" s="37" t="n"/>
      <c r="D169" s="37" t="n"/>
      <c r="E169" s="37" t="n"/>
      <c r="F169" s="37" t="n"/>
      <c r="G169" s="38" t="n"/>
      <c r="H169" s="37" t="n"/>
      <c r="I169" s="37" t="n"/>
      <c r="J169" s="37" t="n"/>
      <c r="K169" s="39" t="str">
        <f>IF(A169="","",SUMIFS(mv_qty,mv_ref,A169,mv_type,"Entrée"))</f>
        <v/>
      </c>
      <c r="L169" s="39" t="str">
        <f>IF(A169="","",SUMIFS(mv_qty,mv_ref,A169,mv_type,"Sortie"))</f>
        <v/>
      </c>
      <c r="M169" s="39" t="str">
        <f>IF(A169="","",ROUND(N(H169)+K169-L169,6))</f>
        <v/>
      </c>
      <c r="N169" s="40" t="str">
        <f>IF(A169="","",M169*N(G169))</f>
        <v/>
      </c>
      <c r="O169" s="39" t="str">
        <f>IF(A169="","",IF(M169&lt;=0,"Rupture",IF(AND(I169&lt;&gt;"",M169&lt;=N(I169)),"À commander","OK")))</f>
        <v/>
      </c>
      <c r="P169" s="39" t="str">
        <f>IF(OR(A169="",O169="OK",J169=""),"",MAX(N(J169)-M169,0))</f>
        <v/>
      </c>
      <c r="Q169" s="39" t="str">
        <f>IF(A169="",IF(COUNTA(B169:J169)&gt;0,"Référence manquante",""),IF(COUNTIF($A$5:$A$1004,A169)&gt;1,"Référence en double",IF(B169="","Désignation manquante","OK")))</f>
        <v/>
      </c>
      <c r="R169" s="39" t="str">
        <f>IF(OR(O169="Rupture",O169="À commander"),COUNTIF($O$5:O169,"Rupture")+COUNTIF($O$5:O169,"À commander"),"")</f>
        <v/>
      </c>
    </row>
    <row r="170">
      <c r="A170" s="37" t="n"/>
      <c r="B170" s="37" t="n"/>
      <c r="C170" s="37" t="n"/>
      <c r="D170" s="37" t="n"/>
      <c r="E170" s="37" t="n"/>
      <c r="F170" s="37" t="n"/>
      <c r="G170" s="38" t="n"/>
      <c r="H170" s="37" t="n"/>
      <c r="I170" s="37" t="n"/>
      <c r="J170" s="37" t="n"/>
      <c r="K170" s="39" t="str">
        <f>IF(A170="","",SUMIFS(mv_qty,mv_ref,A170,mv_type,"Entrée"))</f>
        <v/>
      </c>
      <c r="L170" s="39" t="str">
        <f>IF(A170="","",SUMIFS(mv_qty,mv_ref,A170,mv_type,"Sortie"))</f>
        <v/>
      </c>
      <c r="M170" s="39" t="str">
        <f>IF(A170="","",ROUND(N(H170)+K170-L170,6))</f>
        <v/>
      </c>
      <c r="N170" s="40" t="str">
        <f>IF(A170="","",M170*N(G170))</f>
        <v/>
      </c>
      <c r="O170" s="39" t="str">
        <f>IF(A170="","",IF(M170&lt;=0,"Rupture",IF(AND(I170&lt;&gt;"",M170&lt;=N(I170)),"À commander","OK")))</f>
        <v/>
      </c>
      <c r="P170" s="39" t="str">
        <f>IF(OR(A170="",O170="OK",J170=""),"",MAX(N(J170)-M170,0))</f>
        <v/>
      </c>
      <c r="Q170" s="39" t="str">
        <f>IF(A170="",IF(COUNTA(B170:J170)&gt;0,"Référence manquante",""),IF(COUNTIF($A$5:$A$1004,A170)&gt;1,"Référence en double",IF(B170="","Désignation manquante","OK")))</f>
        <v/>
      </c>
      <c r="R170" s="39" t="str">
        <f>IF(OR(O170="Rupture",O170="À commander"),COUNTIF($O$5:O170,"Rupture")+COUNTIF($O$5:O170,"À commander"),"")</f>
        <v/>
      </c>
    </row>
    <row r="171">
      <c r="A171" s="37" t="n"/>
      <c r="B171" s="37" t="n"/>
      <c r="C171" s="37" t="n"/>
      <c r="D171" s="37" t="n"/>
      <c r="E171" s="37" t="n"/>
      <c r="F171" s="37" t="n"/>
      <c r="G171" s="38" t="n"/>
      <c r="H171" s="37" t="n"/>
      <c r="I171" s="37" t="n"/>
      <c r="J171" s="37" t="n"/>
      <c r="K171" s="39" t="str">
        <f>IF(A171="","",SUMIFS(mv_qty,mv_ref,A171,mv_type,"Entrée"))</f>
        <v/>
      </c>
      <c r="L171" s="39" t="str">
        <f>IF(A171="","",SUMIFS(mv_qty,mv_ref,A171,mv_type,"Sortie"))</f>
        <v/>
      </c>
      <c r="M171" s="39" t="str">
        <f>IF(A171="","",ROUND(N(H171)+K171-L171,6))</f>
        <v/>
      </c>
      <c r="N171" s="40" t="str">
        <f>IF(A171="","",M171*N(G171))</f>
        <v/>
      </c>
      <c r="O171" s="39" t="str">
        <f>IF(A171="","",IF(M171&lt;=0,"Rupture",IF(AND(I171&lt;&gt;"",M171&lt;=N(I171)),"À commander","OK")))</f>
        <v/>
      </c>
      <c r="P171" s="39" t="str">
        <f>IF(OR(A171="",O171="OK",J171=""),"",MAX(N(J171)-M171,0))</f>
        <v/>
      </c>
      <c r="Q171" s="39" t="str">
        <f>IF(A171="",IF(COUNTA(B171:J171)&gt;0,"Référence manquante",""),IF(COUNTIF($A$5:$A$1004,A171)&gt;1,"Référence en double",IF(B171="","Désignation manquante","OK")))</f>
        <v/>
      </c>
      <c r="R171" s="39" t="str">
        <f>IF(OR(O171="Rupture",O171="À commander"),COUNTIF($O$5:O171,"Rupture")+COUNTIF($O$5:O171,"À commander"),"")</f>
        <v/>
      </c>
    </row>
    <row r="172">
      <c r="A172" s="37" t="n"/>
      <c r="B172" s="37" t="n"/>
      <c r="C172" s="37" t="n"/>
      <c r="D172" s="37" t="n"/>
      <c r="E172" s="37" t="n"/>
      <c r="F172" s="37" t="n"/>
      <c r="G172" s="38" t="n"/>
      <c r="H172" s="37" t="n"/>
      <c r="I172" s="37" t="n"/>
      <c r="J172" s="37" t="n"/>
      <c r="K172" s="39" t="str">
        <f>IF(A172="","",SUMIFS(mv_qty,mv_ref,A172,mv_type,"Entrée"))</f>
        <v/>
      </c>
      <c r="L172" s="39" t="str">
        <f>IF(A172="","",SUMIFS(mv_qty,mv_ref,A172,mv_type,"Sortie"))</f>
        <v/>
      </c>
      <c r="M172" s="39" t="str">
        <f>IF(A172="","",ROUND(N(H172)+K172-L172,6))</f>
        <v/>
      </c>
      <c r="N172" s="40" t="str">
        <f>IF(A172="","",M172*N(G172))</f>
        <v/>
      </c>
      <c r="O172" s="39" t="str">
        <f>IF(A172="","",IF(M172&lt;=0,"Rupture",IF(AND(I172&lt;&gt;"",M172&lt;=N(I172)),"À commander","OK")))</f>
        <v/>
      </c>
      <c r="P172" s="39" t="str">
        <f>IF(OR(A172="",O172="OK",J172=""),"",MAX(N(J172)-M172,0))</f>
        <v/>
      </c>
      <c r="Q172" s="39" t="str">
        <f>IF(A172="",IF(COUNTA(B172:J172)&gt;0,"Référence manquante",""),IF(COUNTIF($A$5:$A$1004,A172)&gt;1,"Référence en double",IF(B172="","Désignation manquante","OK")))</f>
        <v/>
      </c>
      <c r="R172" s="39" t="str">
        <f>IF(OR(O172="Rupture",O172="À commander"),COUNTIF($O$5:O172,"Rupture")+COUNTIF($O$5:O172,"À commander"),"")</f>
        <v/>
      </c>
    </row>
    <row r="173">
      <c r="A173" s="37" t="n"/>
      <c r="B173" s="37" t="n"/>
      <c r="C173" s="37" t="n"/>
      <c r="D173" s="37" t="n"/>
      <c r="E173" s="37" t="n"/>
      <c r="F173" s="37" t="n"/>
      <c r="G173" s="38" t="n"/>
      <c r="H173" s="37" t="n"/>
      <c r="I173" s="37" t="n"/>
      <c r="J173" s="37" t="n"/>
      <c r="K173" s="39" t="str">
        <f>IF(A173="","",SUMIFS(mv_qty,mv_ref,A173,mv_type,"Entrée"))</f>
        <v/>
      </c>
      <c r="L173" s="39" t="str">
        <f>IF(A173="","",SUMIFS(mv_qty,mv_ref,A173,mv_type,"Sortie"))</f>
        <v/>
      </c>
      <c r="M173" s="39" t="str">
        <f>IF(A173="","",ROUND(N(H173)+K173-L173,6))</f>
        <v/>
      </c>
      <c r="N173" s="40" t="str">
        <f>IF(A173="","",M173*N(G173))</f>
        <v/>
      </c>
      <c r="O173" s="39" t="str">
        <f>IF(A173="","",IF(M173&lt;=0,"Rupture",IF(AND(I173&lt;&gt;"",M173&lt;=N(I173)),"À commander","OK")))</f>
        <v/>
      </c>
      <c r="P173" s="39" t="str">
        <f>IF(OR(A173="",O173="OK",J173=""),"",MAX(N(J173)-M173,0))</f>
        <v/>
      </c>
      <c r="Q173" s="39" t="str">
        <f>IF(A173="",IF(COUNTA(B173:J173)&gt;0,"Référence manquante",""),IF(COUNTIF($A$5:$A$1004,A173)&gt;1,"Référence en double",IF(B173="","Désignation manquante","OK")))</f>
        <v/>
      </c>
      <c r="R173" s="39" t="str">
        <f>IF(OR(O173="Rupture",O173="À commander"),COUNTIF($O$5:O173,"Rupture")+COUNTIF($O$5:O173,"À commander"),"")</f>
        <v/>
      </c>
    </row>
    <row r="174">
      <c r="A174" s="37" t="n"/>
      <c r="B174" s="37" t="n"/>
      <c r="C174" s="37" t="n"/>
      <c r="D174" s="37" t="n"/>
      <c r="E174" s="37" t="n"/>
      <c r="F174" s="37" t="n"/>
      <c r="G174" s="38" t="n"/>
      <c r="H174" s="37" t="n"/>
      <c r="I174" s="37" t="n"/>
      <c r="J174" s="37" t="n"/>
      <c r="K174" s="39" t="str">
        <f>IF(A174="","",SUMIFS(mv_qty,mv_ref,A174,mv_type,"Entrée"))</f>
        <v/>
      </c>
      <c r="L174" s="39" t="str">
        <f>IF(A174="","",SUMIFS(mv_qty,mv_ref,A174,mv_type,"Sortie"))</f>
        <v/>
      </c>
      <c r="M174" s="39" t="str">
        <f>IF(A174="","",ROUND(N(H174)+K174-L174,6))</f>
        <v/>
      </c>
      <c r="N174" s="40" t="str">
        <f>IF(A174="","",M174*N(G174))</f>
        <v/>
      </c>
      <c r="O174" s="39" t="str">
        <f>IF(A174="","",IF(M174&lt;=0,"Rupture",IF(AND(I174&lt;&gt;"",M174&lt;=N(I174)),"À commander","OK")))</f>
        <v/>
      </c>
      <c r="P174" s="39" t="str">
        <f>IF(OR(A174="",O174="OK",J174=""),"",MAX(N(J174)-M174,0))</f>
        <v/>
      </c>
      <c r="Q174" s="39" t="str">
        <f>IF(A174="",IF(COUNTA(B174:J174)&gt;0,"Référence manquante",""),IF(COUNTIF($A$5:$A$1004,A174)&gt;1,"Référence en double",IF(B174="","Désignation manquante","OK")))</f>
        <v/>
      </c>
      <c r="R174" s="39" t="str">
        <f>IF(OR(O174="Rupture",O174="À commander"),COUNTIF($O$5:O174,"Rupture")+COUNTIF($O$5:O174,"À commander"),"")</f>
        <v/>
      </c>
    </row>
    <row r="175">
      <c r="A175" s="37" t="n"/>
      <c r="B175" s="37" t="n"/>
      <c r="C175" s="37" t="n"/>
      <c r="D175" s="37" t="n"/>
      <c r="E175" s="37" t="n"/>
      <c r="F175" s="37" t="n"/>
      <c r="G175" s="38" t="n"/>
      <c r="H175" s="37" t="n"/>
      <c r="I175" s="37" t="n"/>
      <c r="J175" s="37" t="n"/>
      <c r="K175" s="39" t="str">
        <f>IF(A175="","",SUMIFS(mv_qty,mv_ref,A175,mv_type,"Entrée"))</f>
        <v/>
      </c>
      <c r="L175" s="39" t="str">
        <f>IF(A175="","",SUMIFS(mv_qty,mv_ref,A175,mv_type,"Sortie"))</f>
        <v/>
      </c>
      <c r="M175" s="39" t="str">
        <f>IF(A175="","",ROUND(N(H175)+K175-L175,6))</f>
        <v/>
      </c>
      <c r="N175" s="40" t="str">
        <f>IF(A175="","",M175*N(G175))</f>
        <v/>
      </c>
      <c r="O175" s="39" t="str">
        <f>IF(A175="","",IF(M175&lt;=0,"Rupture",IF(AND(I175&lt;&gt;"",M175&lt;=N(I175)),"À commander","OK")))</f>
        <v/>
      </c>
      <c r="P175" s="39" t="str">
        <f>IF(OR(A175="",O175="OK",J175=""),"",MAX(N(J175)-M175,0))</f>
        <v/>
      </c>
      <c r="Q175" s="39" t="str">
        <f>IF(A175="",IF(COUNTA(B175:J175)&gt;0,"Référence manquante",""),IF(COUNTIF($A$5:$A$1004,A175)&gt;1,"Référence en double",IF(B175="","Désignation manquante","OK")))</f>
        <v/>
      </c>
      <c r="R175" s="39" t="str">
        <f>IF(OR(O175="Rupture",O175="À commander"),COUNTIF($O$5:O175,"Rupture")+COUNTIF($O$5:O175,"À commander"),"")</f>
        <v/>
      </c>
    </row>
    <row r="176">
      <c r="A176" s="37" t="n"/>
      <c r="B176" s="37" t="n"/>
      <c r="C176" s="37" t="n"/>
      <c r="D176" s="37" t="n"/>
      <c r="E176" s="37" t="n"/>
      <c r="F176" s="37" t="n"/>
      <c r="G176" s="38" t="n"/>
      <c r="H176" s="37" t="n"/>
      <c r="I176" s="37" t="n"/>
      <c r="J176" s="37" t="n"/>
      <c r="K176" s="39" t="str">
        <f>IF(A176="","",SUMIFS(mv_qty,mv_ref,A176,mv_type,"Entrée"))</f>
        <v/>
      </c>
      <c r="L176" s="39" t="str">
        <f>IF(A176="","",SUMIFS(mv_qty,mv_ref,A176,mv_type,"Sortie"))</f>
        <v/>
      </c>
      <c r="M176" s="39" t="str">
        <f>IF(A176="","",ROUND(N(H176)+K176-L176,6))</f>
        <v/>
      </c>
      <c r="N176" s="40" t="str">
        <f>IF(A176="","",M176*N(G176))</f>
        <v/>
      </c>
      <c r="O176" s="39" t="str">
        <f>IF(A176="","",IF(M176&lt;=0,"Rupture",IF(AND(I176&lt;&gt;"",M176&lt;=N(I176)),"À commander","OK")))</f>
        <v/>
      </c>
      <c r="P176" s="39" t="str">
        <f>IF(OR(A176="",O176="OK",J176=""),"",MAX(N(J176)-M176,0))</f>
        <v/>
      </c>
      <c r="Q176" s="39" t="str">
        <f>IF(A176="",IF(COUNTA(B176:J176)&gt;0,"Référence manquante",""),IF(COUNTIF($A$5:$A$1004,A176)&gt;1,"Référence en double",IF(B176="","Désignation manquante","OK")))</f>
        <v/>
      </c>
      <c r="R176" s="39" t="str">
        <f>IF(OR(O176="Rupture",O176="À commander"),COUNTIF($O$5:O176,"Rupture")+COUNTIF($O$5:O176,"À commander"),"")</f>
        <v/>
      </c>
    </row>
    <row r="177">
      <c r="A177" s="37" t="n"/>
      <c r="B177" s="37" t="n"/>
      <c r="C177" s="37" t="n"/>
      <c r="D177" s="37" t="n"/>
      <c r="E177" s="37" t="n"/>
      <c r="F177" s="37" t="n"/>
      <c r="G177" s="38" t="n"/>
      <c r="H177" s="37" t="n"/>
      <c r="I177" s="37" t="n"/>
      <c r="J177" s="37" t="n"/>
      <c r="K177" s="39" t="str">
        <f>IF(A177="","",SUMIFS(mv_qty,mv_ref,A177,mv_type,"Entrée"))</f>
        <v/>
      </c>
      <c r="L177" s="39" t="str">
        <f>IF(A177="","",SUMIFS(mv_qty,mv_ref,A177,mv_type,"Sortie"))</f>
        <v/>
      </c>
      <c r="M177" s="39" t="str">
        <f>IF(A177="","",ROUND(N(H177)+K177-L177,6))</f>
        <v/>
      </c>
      <c r="N177" s="40" t="str">
        <f>IF(A177="","",M177*N(G177))</f>
        <v/>
      </c>
      <c r="O177" s="39" t="str">
        <f>IF(A177="","",IF(M177&lt;=0,"Rupture",IF(AND(I177&lt;&gt;"",M177&lt;=N(I177)),"À commander","OK")))</f>
        <v/>
      </c>
      <c r="P177" s="39" t="str">
        <f>IF(OR(A177="",O177="OK",J177=""),"",MAX(N(J177)-M177,0))</f>
        <v/>
      </c>
      <c r="Q177" s="39" t="str">
        <f>IF(A177="",IF(COUNTA(B177:J177)&gt;0,"Référence manquante",""),IF(COUNTIF($A$5:$A$1004,A177)&gt;1,"Référence en double",IF(B177="","Désignation manquante","OK")))</f>
        <v/>
      </c>
      <c r="R177" s="39" t="str">
        <f>IF(OR(O177="Rupture",O177="À commander"),COUNTIF($O$5:O177,"Rupture")+COUNTIF($O$5:O177,"À commander"),"")</f>
        <v/>
      </c>
    </row>
    <row r="178">
      <c r="A178" s="37" t="n"/>
      <c r="B178" s="37" t="n"/>
      <c r="C178" s="37" t="n"/>
      <c r="D178" s="37" t="n"/>
      <c r="E178" s="37" t="n"/>
      <c r="F178" s="37" t="n"/>
      <c r="G178" s="38" t="n"/>
      <c r="H178" s="37" t="n"/>
      <c r="I178" s="37" t="n"/>
      <c r="J178" s="37" t="n"/>
      <c r="K178" s="39" t="str">
        <f>IF(A178="","",SUMIFS(mv_qty,mv_ref,A178,mv_type,"Entrée"))</f>
        <v/>
      </c>
      <c r="L178" s="39" t="str">
        <f>IF(A178="","",SUMIFS(mv_qty,mv_ref,A178,mv_type,"Sortie"))</f>
        <v/>
      </c>
      <c r="M178" s="39" t="str">
        <f>IF(A178="","",ROUND(N(H178)+K178-L178,6))</f>
        <v/>
      </c>
      <c r="N178" s="40" t="str">
        <f>IF(A178="","",M178*N(G178))</f>
        <v/>
      </c>
      <c r="O178" s="39" t="str">
        <f>IF(A178="","",IF(M178&lt;=0,"Rupture",IF(AND(I178&lt;&gt;"",M178&lt;=N(I178)),"À commander","OK")))</f>
        <v/>
      </c>
      <c r="P178" s="39" t="str">
        <f>IF(OR(A178="",O178="OK",J178=""),"",MAX(N(J178)-M178,0))</f>
        <v/>
      </c>
      <c r="Q178" s="39" t="str">
        <f>IF(A178="",IF(COUNTA(B178:J178)&gt;0,"Référence manquante",""),IF(COUNTIF($A$5:$A$1004,A178)&gt;1,"Référence en double",IF(B178="","Désignation manquante","OK")))</f>
        <v/>
      </c>
      <c r="R178" s="39" t="str">
        <f>IF(OR(O178="Rupture",O178="À commander"),COUNTIF($O$5:O178,"Rupture")+COUNTIF($O$5:O178,"À commander"),"")</f>
        <v/>
      </c>
    </row>
    <row r="179">
      <c r="A179" s="37" t="n"/>
      <c r="B179" s="37" t="n"/>
      <c r="C179" s="37" t="n"/>
      <c r="D179" s="37" t="n"/>
      <c r="E179" s="37" t="n"/>
      <c r="F179" s="37" t="n"/>
      <c r="G179" s="38" t="n"/>
      <c r="H179" s="37" t="n"/>
      <c r="I179" s="37" t="n"/>
      <c r="J179" s="37" t="n"/>
      <c r="K179" s="39" t="str">
        <f>IF(A179="","",SUMIFS(mv_qty,mv_ref,A179,mv_type,"Entrée"))</f>
        <v/>
      </c>
      <c r="L179" s="39" t="str">
        <f>IF(A179="","",SUMIFS(mv_qty,mv_ref,A179,mv_type,"Sortie"))</f>
        <v/>
      </c>
      <c r="M179" s="39" t="str">
        <f>IF(A179="","",ROUND(N(H179)+K179-L179,6))</f>
        <v/>
      </c>
      <c r="N179" s="40" t="str">
        <f>IF(A179="","",M179*N(G179))</f>
        <v/>
      </c>
      <c r="O179" s="39" t="str">
        <f>IF(A179="","",IF(M179&lt;=0,"Rupture",IF(AND(I179&lt;&gt;"",M179&lt;=N(I179)),"À commander","OK")))</f>
        <v/>
      </c>
      <c r="P179" s="39" t="str">
        <f>IF(OR(A179="",O179="OK",J179=""),"",MAX(N(J179)-M179,0))</f>
        <v/>
      </c>
      <c r="Q179" s="39" t="str">
        <f>IF(A179="",IF(COUNTA(B179:J179)&gt;0,"Référence manquante",""),IF(COUNTIF($A$5:$A$1004,A179)&gt;1,"Référence en double",IF(B179="","Désignation manquante","OK")))</f>
        <v/>
      </c>
      <c r="R179" s="39" t="str">
        <f>IF(OR(O179="Rupture",O179="À commander"),COUNTIF($O$5:O179,"Rupture")+COUNTIF($O$5:O179,"À commander"),"")</f>
        <v/>
      </c>
    </row>
    <row r="180">
      <c r="A180" s="37" t="n"/>
      <c r="B180" s="37" t="n"/>
      <c r="C180" s="37" t="n"/>
      <c r="D180" s="37" t="n"/>
      <c r="E180" s="37" t="n"/>
      <c r="F180" s="37" t="n"/>
      <c r="G180" s="38" t="n"/>
      <c r="H180" s="37" t="n"/>
      <c r="I180" s="37" t="n"/>
      <c r="J180" s="37" t="n"/>
      <c r="K180" s="39" t="str">
        <f>IF(A180="","",SUMIFS(mv_qty,mv_ref,A180,mv_type,"Entrée"))</f>
        <v/>
      </c>
      <c r="L180" s="39" t="str">
        <f>IF(A180="","",SUMIFS(mv_qty,mv_ref,A180,mv_type,"Sortie"))</f>
        <v/>
      </c>
      <c r="M180" s="39" t="str">
        <f>IF(A180="","",ROUND(N(H180)+K180-L180,6))</f>
        <v/>
      </c>
      <c r="N180" s="40" t="str">
        <f>IF(A180="","",M180*N(G180))</f>
        <v/>
      </c>
      <c r="O180" s="39" t="str">
        <f>IF(A180="","",IF(M180&lt;=0,"Rupture",IF(AND(I180&lt;&gt;"",M180&lt;=N(I180)),"À commander","OK")))</f>
        <v/>
      </c>
      <c r="P180" s="39" t="str">
        <f>IF(OR(A180="",O180="OK",J180=""),"",MAX(N(J180)-M180,0))</f>
        <v/>
      </c>
      <c r="Q180" s="39" t="str">
        <f>IF(A180="",IF(COUNTA(B180:J180)&gt;0,"Référence manquante",""),IF(COUNTIF($A$5:$A$1004,A180)&gt;1,"Référence en double",IF(B180="","Désignation manquante","OK")))</f>
        <v/>
      </c>
      <c r="R180" s="39" t="str">
        <f>IF(OR(O180="Rupture",O180="À commander"),COUNTIF($O$5:O180,"Rupture")+COUNTIF($O$5:O180,"À commander"),"")</f>
        <v/>
      </c>
    </row>
    <row r="181">
      <c r="A181" s="37" t="n"/>
      <c r="B181" s="37" t="n"/>
      <c r="C181" s="37" t="n"/>
      <c r="D181" s="37" t="n"/>
      <c r="E181" s="37" t="n"/>
      <c r="F181" s="37" t="n"/>
      <c r="G181" s="38" t="n"/>
      <c r="H181" s="37" t="n"/>
      <c r="I181" s="37" t="n"/>
      <c r="J181" s="37" t="n"/>
      <c r="K181" s="39" t="str">
        <f>IF(A181="","",SUMIFS(mv_qty,mv_ref,A181,mv_type,"Entrée"))</f>
        <v/>
      </c>
      <c r="L181" s="39" t="str">
        <f>IF(A181="","",SUMIFS(mv_qty,mv_ref,A181,mv_type,"Sortie"))</f>
        <v/>
      </c>
      <c r="M181" s="39" t="str">
        <f>IF(A181="","",ROUND(N(H181)+K181-L181,6))</f>
        <v/>
      </c>
      <c r="N181" s="40" t="str">
        <f>IF(A181="","",M181*N(G181))</f>
        <v/>
      </c>
      <c r="O181" s="39" t="str">
        <f>IF(A181="","",IF(M181&lt;=0,"Rupture",IF(AND(I181&lt;&gt;"",M181&lt;=N(I181)),"À commander","OK")))</f>
        <v/>
      </c>
      <c r="P181" s="39" t="str">
        <f>IF(OR(A181="",O181="OK",J181=""),"",MAX(N(J181)-M181,0))</f>
        <v/>
      </c>
      <c r="Q181" s="39" t="str">
        <f>IF(A181="",IF(COUNTA(B181:J181)&gt;0,"Référence manquante",""),IF(COUNTIF($A$5:$A$1004,A181)&gt;1,"Référence en double",IF(B181="","Désignation manquante","OK")))</f>
        <v/>
      </c>
      <c r="R181" s="39" t="str">
        <f>IF(OR(O181="Rupture",O181="À commander"),COUNTIF($O$5:O181,"Rupture")+COUNTIF($O$5:O181,"À commander"),"")</f>
        <v/>
      </c>
    </row>
    <row r="182">
      <c r="A182" s="37" t="n"/>
      <c r="B182" s="37" t="n"/>
      <c r="C182" s="37" t="n"/>
      <c r="D182" s="37" t="n"/>
      <c r="E182" s="37" t="n"/>
      <c r="F182" s="37" t="n"/>
      <c r="G182" s="38" t="n"/>
      <c r="H182" s="37" t="n"/>
      <c r="I182" s="37" t="n"/>
      <c r="J182" s="37" t="n"/>
      <c r="K182" s="39" t="str">
        <f>IF(A182="","",SUMIFS(mv_qty,mv_ref,A182,mv_type,"Entrée"))</f>
        <v/>
      </c>
      <c r="L182" s="39" t="str">
        <f>IF(A182="","",SUMIFS(mv_qty,mv_ref,A182,mv_type,"Sortie"))</f>
        <v/>
      </c>
      <c r="M182" s="39" t="str">
        <f>IF(A182="","",ROUND(N(H182)+K182-L182,6))</f>
        <v/>
      </c>
      <c r="N182" s="40" t="str">
        <f>IF(A182="","",M182*N(G182))</f>
        <v/>
      </c>
      <c r="O182" s="39" t="str">
        <f>IF(A182="","",IF(M182&lt;=0,"Rupture",IF(AND(I182&lt;&gt;"",M182&lt;=N(I182)),"À commander","OK")))</f>
        <v/>
      </c>
      <c r="P182" s="39" t="str">
        <f>IF(OR(A182="",O182="OK",J182=""),"",MAX(N(J182)-M182,0))</f>
        <v/>
      </c>
      <c r="Q182" s="39" t="str">
        <f>IF(A182="",IF(COUNTA(B182:J182)&gt;0,"Référence manquante",""),IF(COUNTIF($A$5:$A$1004,A182)&gt;1,"Référence en double",IF(B182="","Désignation manquante","OK")))</f>
        <v/>
      </c>
      <c r="R182" s="39" t="str">
        <f>IF(OR(O182="Rupture",O182="À commander"),COUNTIF($O$5:O182,"Rupture")+COUNTIF($O$5:O182,"À commander"),"")</f>
        <v/>
      </c>
    </row>
    <row r="183">
      <c r="A183" s="37" t="n"/>
      <c r="B183" s="37" t="n"/>
      <c r="C183" s="37" t="n"/>
      <c r="D183" s="37" t="n"/>
      <c r="E183" s="37" t="n"/>
      <c r="F183" s="37" t="n"/>
      <c r="G183" s="38" t="n"/>
      <c r="H183" s="37" t="n"/>
      <c r="I183" s="37" t="n"/>
      <c r="J183" s="37" t="n"/>
      <c r="K183" s="39" t="str">
        <f>IF(A183="","",SUMIFS(mv_qty,mv_ref,A183,mv_type,"Entrée"))</f>
        <v/>
      </c>
      <c r="L183" s="39" t="str">
        <f>IF(A183="","",SUMIFS(mv_qty,mv_ref,A183,mv_type,"Sortie"))</f>
        <v/>
      </c>
      <c r="M183" s="39" t="str">
        <f>IF(A183="","",ROUND(N(H183)+K183-L183,6))</f>
        <v/>
      </c>
      <c r="N183" s="40" t="str">
        <f>IF(A183="","",M183*N(G183))</f>
        <v/>
      </c>
      <c r="O183" s="39" t="str">
        <f>IF(A183="","",IF(M183&lt;=0,"Rupture",IF(AND(I183&lt;&gt;"",M183&lt;=N(I183)),"À commander","OK")))</f>
        <v/>
      </c>
      <c r="P183" s="39" t="str">
        <f>IF(OR(A183="",O183="OK",J183=""),"",MAX(N(J183)-M183,0))</f>
        <v/>
      </c>
      <c r="Q183" s="39" t="str">
        <f>IF(A183="",IF(COUNTA(B183:J183)&gt;0,"Référence manquante",""),IF(COUNTIF($A$5:$A$1004,A183)&gt;1,"Référence en double",IF(B183="","Désignation manquante","OK")))</f>
        <v/>
      </c>
      <c r="R183" s="39" t="str">
        <f>IF(OR(O183="Rupture",O183="À commander"),COUNTIF($O$5:O183,"Rupture")+COUNTIF($O$5:O183,"À commander"),"")</f>
        <v/>
      </c>
    </row>
    <row r="184">
      <c r="A184" s="37" t="n"/>
      <c r="B184" s="37" t="n"/>
      <c r="C184" s="37" t="n"/>
      <c r="D184" s="37" t="n"/>
      <c r="E184" s="37" t="n"/>
      <c r="F184" s="37" t="n"/>
      <c r="G184" s="38" t="n"/>
      <c r="H184" s="37" t="n"/>
      <c r="I184" s="37" t="n"/>
      <c r="J184" s="37" t="n"/>
      <c r="K184" s="39" t="str">
        <f>IF(A184="","",SUMIFS(mv_qty,mv_ref,A184,mv_type,"Entrée"))</f>
        <v/>
      </c>
      <c r="L184" s="39" t="str">
        <f>IF(A184="","",SUMIFS(mv_qty,mv_ref,A184,mv_type,"Sortie"))</f>
        <v/>
      </c>
      <c r="M184" s="39" t="str">
        <f>IF(A184="","",ROUND(N(H184)+K184-L184,6))</f>
        <v/>
      </c>
      <c r="N184" s="40" t="str">
        <f>IF(A184="","",M184*N(G184))</f>
        <v/>
      </c>
      <c r="O184" s="39" t="str">
        <f>IF(A184="","",IF(M184&lt;=0,"Rupture",IF(AND(I184&lt;&gt;"",M184&lt;=N(I184)),"À commander","OK")))</f>
        <v/>
      </c>
      <c r="P184" s="39" t="str">
        <f>IF(OR(A184="",O184="OK",J184=""),"",MAX(N(J184)-M184,0))</f>
        <v/>
      </c>
      <c r="Q184" s="39" t="str">
        <f>IF(A184="",IF(COUNTA(B184:J184)&gt;0,"Référence manquante",""),IF(COUNTIF($A$5:$A$1004,A184)&gt;1,"Référence en double",IF(B184="","Désignation manquante","OK")))</f>
        <v/>
      </c>
      <c r="R184" s="39" t="str">
        <f>IF(OR(O184="Rupture",O184="À commander"),COUNTIF($O$5:O184,"Rupture")+COUNTIF($O$5:O184,"À commander"),"")</f>
        <v/>
      </c>
    </row>
    <row r="185">
      <c r="A185" s="37" t="n"/>
      <c r="B185" s="37" t="n"/>
      <c r="C185" s="37" t="n"/>
      <c r="D185" s="37" t="n"/>
      <c r="E185" s="37" t="n"/>
      <c r="F185" s="37" t="n"/>
      <c r="G185" s="38" t="n"/>
      <c r="H185" s="37" t="n"/>
      <c r="I185" s="37" t="n"/>
      <c r="J185" s="37" t="n"/>
      <c r="K185" s="39" t="str">
        <f>IF(A185="","",SUMIFS(mv_qty,mv_ref,A185,mv_type,"Entrée"))</f>
        <v/>
      </c>
      <c r="L185" s="39" t="str">
        <f>IF(A185="","",SUMIFS(mv_qty,mv_ref,A185,mv_type,"Sortie"))</f>
        <v/>
      </c>
      <c r="M185" s="39" t="str">
        <f>IF(A185="","",ROUND(N(H185)+K185-L185,6))</f>
        <v/>
      </c>
      <c r="N185" s="40" t="str">
        <f>IF(A185="","",M185*N(G185))</f>
        <v/>
      </c>
      <c r="O185" s="39" t="str">
        <f>IF(A185="","",IF(M185&lt;=0,"Rupture",IF(AND(I185&lt;&gt;"",M185&lt;=N(I185)),"À commander","OK")))</f>
        <v/>
      </c>
      <c r="P185" s="39" t="str">
        <f>IF(OR(A185="",O185="OK",J185=""),"",MAX(N(J185)-M185,0))</f>
        <v/>
      </c>
      <c r="Q185" s="39" t="str">
        <f>IF(A185="",IF(COUNTA(B185:J185)&gt;0,"Référence manquante",""),IF(COUNTIF($A$5:$A$1004,A185)&gt;1,"Référence en double",IF(B185="","Désignation manquante","OK")))</f>
        <v/>
      </c>
      <c r="R185" s="39" t="str">
        <f>IF(OR(O185="Rupture",O185="À commander"),COUNTIF($O$5:O185,"Rupture")+COUNTIF($O$5:O185,"À commander"),"")</f>
        <v/>
      </c>
    </row>
    <row r="186">
      <c r="A186" s="37" t="n"/>
      <c r="B186" s="37" t="n"/>
      <c r="C186" s="37" t="n"/>
      <c r="D186" s="37" t="n"/>
      <c r="E186" s="37" t="n"/>
      <c r="F186" s="37" t="n"/>
      <c r="G186" s="38" t="n"/>
      <c r="H186" s="37" t="n"/>
      <c r="I186" s="37" t="n"/>
      <c r="J186" s="37" t="n"/>
      <c r="K186" s="39" t="str">
        <f>IF(A186="","",SUMIFS(mv_qty,mv_ref,A186,mv_type,"Entrée"))</f>
        <v/>
      </c>
      <c r="L186" s="39" t="str">
        <f>IF(A186="","",SUMIFS(mv_qty,mv_ref,A186,mv_type,"Sortie"))</f>
        <v/>
      </c>
      <c r="M186" s="39" t="str">
        <f>IF(A186="","",ROUND(N(H186)+K186-L186,6))</f>
        <v/>
      </c>
      <c r="N186" s="40" t="str">
        <f>IF(A186="","",M186*N(G186))</f>
        <v/>
      </c>
      <c r="O186" s="39" t="str">
        <f>IF(A186="","",IF(M186&lt;=0,"Rupture",IF(AND(I186&lt;&gt;"",M186&lt;=N(I186)),"À commander","OK")))</f>
        <v/>
      </c>
      <c r="P186" s="39" t="str">
        <f>IF(OR(A186="",O186="OK",J186=""),"",MAX(N(J186)-M186,0))</f>
        <v/>
      </c>
      <c r="Q186" s="39" t="str">
        <f>IF(A186="",IF(COUNTA(B186:J186)&gt;0,"Référence manquante",""),IF(COUNTIF($A$5:$A$1004,A186)&gt;1,"Référence en double",IF(B186="","Désignation manquante","OK")))</f>
        <v/>
      </c>
      <c r="R186" s="39" t="str">
        <f>IF(OR(O186="Rupture",O186="À commander"),COUNTIF($O$5:O186,"Rupture")+COUNTIF($O$5:O186,"À commander"),"")</f>
        <v/>
      </c>
    </row>
    <row r="187">
      <c r="A187" s="37" t="n"/>
      <c r="B187" s="37" t="n"/>
      <c r="C187" s="37" t="n"/>
      <c r="D187" s="37" t="n"/>
      <c r="E187" s="37" t="n"/>
      <c r="F187" s="37" t="n"/>
      <c r="G187" s="38" t="n"/>
      <c r="H187" s="37" t="n"/>
      <c r="I187" s="37" t="n"/>
      <c r="J187" s="37" t="n"/>
      <c r="K187" s="39" t="str">
        <f>IF(A187="","",SUMIFS(mv_qty,mv_ref,A187,mv_type,"Entrée"))</f>
        <v/>
      </c>
      <c r="L187" s="39" t="str">
        <f>IF(A187="","",SUMIFS(mv_qty,mv_ref,A187,mv_type,"Sortie"))</f>
        <v/>
      </c>
      <c r="M187" s="39" t="str">
        <f>IF(A187="","",ROUND(N(H187)+K187-L187,6))</f>
        <v/>
      </c>
      <c r="N187" s="40" t="str">
        <f>IF(A187="","",M187*N(G187))</f>
        <v/>
      </c>
      <c r="O187" s="39" t="str">
        <f>IF(A187="","",IF(M187&lt;=0,"Rupture",IF(AND(I187&lt;&gt;"",M187&lt;=N(I187)),"À commander","OK")))</f>
        <v/>
      </c>
      <c r="P187" s="39" t="str">
        <f>IF(OR(A187="",O187="OK",J187=""),"",MAX(N(J187)-M187,0))</f>
        <v/>
      </c>
      <c r="Q187" s="39" t="str">
        <f>IF(A187="",IF(COUNTA(B187:J187)&gt;0,"Référence manquante",""),IF(COUNTIF($A$5:$A$1004,A187)&gt;1,"Référence en double",IF(B187="","Désignation manquante","OK")))</f>
        <v/>
      </c>
      <c r="R187" s="39" t="str">
        <f>IF(OR(O187="Rupture",O187="À commander"),COUNTIF($O$5:O187,"Rupture")+COUNTIF($O$5:O187,"À commander"),"")</f>
        <v/>
      </c>
    </row>
    <row r="188">
      <c r="A188" s="37" t="n"/>
      <c r="B188" s="37" t="n"/>
      <c r="C188" s="37" t="n"/>
      <c r="D188" s="37" t="n"/>
      <c r="E188" s="37" t="n"/>
      <c r="F188" s="37" t="n"/>
      <c r="G188" s="38" t="n"/>
      <c r="H188" s="37" t="n"/>
      <c r="I188" s="37" t="n"/>
      <c r="J188" s="37" t="n"/>
      <c r="K188" s="39" t="str">
        <f>IF(A188="","",SUMIFS(mv_qty,mv_ref,A188,mv_type,"Entrée"))</f>
        <v/>
      </c>
      <c r="L188" s="39" t="str">
        <f>IF(A188="","",SUMIFS(mv_qty,mv_ref,A188,mv_type,"Sortie"))</f>
        <v/>
      </c>
      <c r="M188" s="39" t="str">
        <f>IF(A188="","",ROUND(N(H188)+K188-L188,6))</f>
        <v/>
      </c>
      <c r="N188" s="40" t="str">
        <f>IF(A188="","",M188*N(G188))</f>
        <v/>
      </c>
      <c r="O188" s="39" t="str">
        <f>IF(A188="","",IF(M188&lt;=0,"Rupture",IF(AND(I188&lt;&gt;"",M188&lt;=N(I188)),"À commander","OK")))</f>
        <v/>
      </c>
      <c r="P188" s="39" t="str">
        <f>IF(OR(A188="",O188="OK",J188=""),"",MAX(N(J188)-M188,0))</f>
        <v/>
      </c>
      <c r="Q188" s="39" t="str">
        <f>IF(A188="",IF(COUNTA(B188:J188)&gt;0,"Référence manquante",""),IF(COUNTIF($A$5:$A$1004,A188)&gt;1,"Référence en double",IF(B188="","Désignation manquante","OK")))</f>
        <v/>
      </c>
      <c r="R188" s="39" t="str">
        <f>IF(OR(O188="Rupture",O188="À commander"),COUNTIF($O$5:O188,"Rupture")+COUNTIF($O$5:O188,"À commander"),"")</f>
        <v/>
      </c>
    </row>
    <row r="189">
      <c r="A189" s="37" t="n"/>
      <c r="B189" s="37" t="n"/>
      <c r="C189" s="37" t="n"/>
      <c r="D189" s="37" t="n"/>
      <c r="E189" s="37" t="n"/>
      <c r="F189" s="37" t="n"/>
      <c r="G189" s="38" t="n"/>
      <c r="H189" s="37" t="n"/>
      <c r="I189" s="37" t="n"/>
      <c r="J189" s="37" t="n"/>
      <c r="K189" s="39" t="str">
        <f>IF(A189="","",SUMIFS(mv_qty,mv_ref,A189,mv_type,"Entrée"))</f>
        <v/>
      </c>
      <c r="L189" s="39" t="str">
        <f>IF(A189="","",SUMIFS(mv_qty,mv_ref,A189,mv_type,"Sortie"))</f>
        <v/>
      </c>
      <c r="M189" s="39" t="str">
        <f>IF(A189="","",ROUND(N(H189)+K189-L189,6))</f>
        <v/>
      </c>
      <c r="N189" s="40" t="str">
        <f>IF(A189="","",M189*N(G189))</f>
        <v/>
      </c>
      <c r="O189" s="39" t="str">
        <f>IF(A189="","",IF(M189&lt;=0,"Rupture",IF(AND(I189&lt;&gt;"",M189&lt;=N(I189)),"À commander","OK")))</f>
        <v/>
      </c>
      <c r="P189" s="39" t="str">
        <f>IF(OR(A189="",O189="OK",J189=""),"",MAX(N(J189)-M189,0))</f>
        <v/>
      </c>
      <c r="Q189" s="39" t="str">
        <f>IF(A189="",IF(COUNTA(B189:J189)&gt;0,"Référence manquante",""),IF(COUNTIF($A$5:$A$1004,A189)&gt;1,"Référence en double",IF(B189="","Désignation manquante","OK")))</f>
        <v/>
      </c>
      <c r="R189" s="39" t="str">
        <f>IF(OR(O189="Rupture",O189="À commander"),COUNTIF($O$5:O189,"Rupture")+COUNTIF($O$5:O189,"À commander"),"")</f>
        <v/>
      </c>
    </row>
    <row r="190">
      <c r="A190" s="37" t="n"/>
      <c r="B190" s="37" t="n"/>
      <c r="C190" s="37" t="n"/>
      <c r="D190" s="37" t="n"/>
      <c r="E190" s="37" t="n"/>
      <c r="F190" s="37" t="n"/>
      <c r="G190" s="38" t="n"/>
      <c r="H190" s="37" t="n"/>
      <c r="I190" s="37" t="n"/>
      <c r="J190" s="37" t="n"/>
      <c r="K190" s="39" t="str">
        <f>IF(A190="","",SUMIFS(mv_qty,mv_ref,A190,mv_type,"Entrée"))</f>
        <v/>
      </c>
      <c r="L190" s="39" t="str">
        <f>IF(A190="","",SUMIFS(mv_qty,mv_ref,A190,mv_type,"Sortie"))</f>
        <v/>
      </c>
      <c r="M190" s="39" t="str">
        <f>IF(A190="","",ROUND(N(H190)+K190-L190,6))</f>
        <v/>
      </c>
      <c r="N190" s="40" t="str">
        <f>IF(A190="","",M190*N(G190))</f>
        <v/>
      </c>
      <c r="O190" s="39" t="str">
        <f>IF(A190="","",IF(M190&lt;=0,"Rupture",IF(AND(I190&lt;&gt;"",M190&lt;=N(I190)),"À commander","OK")))</f>
        <v/>
      </c>
      <c r="P190" s="39" t="str">
        <f>IF(OR(A190="",O190="OK",J190=""),"",MAX(N(J190)-M190,0))</f>
        <v/>
      </c>
      <c r="Q190" s="39" t="str">
        <f>IF(A190="",IF(COUNTA(B190:J190)&gt;0,"Référence manquante",""),IF(COUNTIF($A$5:$A$1004,A190)&gt;1,"Référence en double",IF(B190="","Désignation manquante","OK")))</f>
        <v/>
      </c>
      <c r="R190" s="39" t="str">
        <f>IF(OR(O190="Rupture",O190="À commander"),COUNTIF($O$5:O190,"Rupture")+COUNTIF($O$5:O190,"À commander"),"")</f>
        <v/>
      </c>
    </row>
    <row r="191">
      <c r="A191" s="37" t="n"/>
      <c r="B191" s="37" t="n"/>
      <c r="C191" s="37" t="n"/>
      <c r="D191" s="37" t="n"/>
      <c r="E191" s="37" t="n"/>
      <c r="F191" s="37" t="n"/>
      <c r="G191" s="38" t="n"/>
      <c r="H191" s="37" t="n"/>
      <c r="I191" s="37" t="n"/>
      <c r="J191" s="37" t="n"/>
      <c r="K191" s="39" t="str">
        <f>IF(A191="","",SUMIFS(mv_qty,mv_ref,A191,mv_type,"Entrée"))</f>
        <v/>
      </c>
      <c r="L191" s="39" t="str">
        <f>IF(A191="","",SUMIFS(mv_qty,mv_ref,A191,mv_type,"Sortie"))</f>
        <v/>
      </c>
      <c r="M191" s="39" t="str">
        <f>IF(A191="","",ROUND(N(H191)+K191-L191,6))</f>
        <v/>
      </c>
      <c r="N191" s="40" t="str">
        <f>IF(A191="","",M191*N(G191))</f>
        <v/>
      </c>
      <c r="O191" s="39" t="str">
        <f>IF(A191="","",IF(M191&lt;=0,"Rupture",IF(AND(I191&lt;&gt;"",M191&lt;=N(I191)),"À commander","OK")))</f>
        <v/>
      </c>
      <c r="P191" s="39" t="str">
        <f>IF(OR(A191="",O191="OK",J191=""),"",MAX(N(J191)-M191,0))</f>
        <v/>
      </c>
      <c r="Q191" s="39" t="str">
        <f>IF(A191="",IF(COUNTA(B191:J191)&gt;0,"Référence manquante",""),IF(COUNTIF($A$5:$A$1004,A191)&gt;1,"Référence en double",IF(B191="","Désignation manquante","OK")))</f>
        <v/>
      </c>
      <c r="R191" s="39" t="str">
        <f>IF(OR(O191="Rupture",O191="À commander"),COUNTIF($O$5:O191,"Rupture")+COUNTIF($O$5:O191,"À commander"),"")</f>
        <v/>
      </c>
    </row>
    <row r="192">
      <c r="A192" s="37" t="n"/>
      <c r="B192" s="37" t="n"/>
      <c r="C192" s="37" t="n"/>
      <c r="D192" s="37" t="n"/>
      <c r="E192" s="37" t="n"/>
      <c r="F192" s="37" t="n"/>
      <c r="G192" s="38" t="n"/>
      <c r="H192" s="37" t="n"/>
      <c r="I192" s="37" t="n"/>
      <c r="J192" s="37" t="n"/>
      <c r="K192" s="39" t="str">
        <f>IF(A192="","",SUMIFS(mv_qty,mv_ref,A192,mv_type,"Entrée"))</f>
        <v/>
      </c>
      <c r="L192" s="39" t="str">
        <f>IF(A192="","",SUMIFS(mv_qty,mv_ref,A192,mv_type,"Sortie"))</f>
        <v/>
      </c>
      <c r="M192" s="39" t="str">
        <f>IF(A192="","",ROUND(N(H192)+K192-L192,6))</f>
        <v/>
      </c>
      <c r="N192" s="40" t="str">
        <f>IF(A192="","",M192*N(G192))</f>
        <v/>
      </c>
      <c r="O192" s="39" t="str">
        <f>IF(A192="","",IF(M192&lt;=0,"Rupture",IF(AND(I192&lt;&gt;"",M192&lt;=N(I192)),"À commander","OK")))</f>
        <v/>
      </c>
      <c r="P192" s="39" t="str">
        <f>IF(OR(A192="",O192="OK",J192=""),"",MAX(N(J192)-M192,0))</f>
        <v/>
      </c>
      <c r="Q192" s="39" t="str">
        <f>IF(A192="",IF(COUNTA(B192:J192)&gt;0,"Référence manquante",""),IF(COUNTIF($A$5:$A$1004,A192)&gt;1,"Référence en double",IF(B192="","Désignation manquante","OK")))</f>
        <v/>
      </c>
      <c r="R192" s="39" t="str">
        <f>IF(OR(O192="Rupture",O192="À commander"),COUNTIF($O$5:O192,"Rupture")+COUNTIF($O$5:O192,"À commander"),"")</f>
        <v/>
      </c>
    </row>
    <row r="193">
      <c r="A193" s="37" t="n"/>
      <c r="B193" s="37" t="n"/>
      <c r="C193" s="37" t="n"/>
      <c r="D193" s="37" t="n"/>
      <c r="E193" s="37" t="n"/>
      <c r="F193" s="37" t="n"/>
      <c r="G193" s="38" t="n"/>
      <c r="H193" s="37" t="n"/>
      <c r="I193" s="37" t="n"/>
      <c r="J193" s="37" t="n"/>
      <c r="K193" s="39" t="str">
        <f>IF(A193="","",SUMIFS(mv_qty,mv_ref,A193,mv_type,"Entrée"))</f>
        <v/>
      </c>
      <c r="L193" s="39" t="str">
        <f>IF(A193="","",SUMIFS(mv_qty,mv_ref,A193,mv_type,"Sortie"))</f>
        <v/>
      </c>
      <c r="M193" s="39" t="str">
        <f>IF(A193="","",ROUND(N(H193)+K193-L193,6))</f>
        <v/>
      </c>
      <c r="N193" s="40" t="str">
        <f>IF(A193="","",M193*N(G193))</f>
        <v/>
      </c>
      <c r="O193" s="39" t="str">
        <f>IF(A193="","",IF(M193&lt;=0,"Rupture",IF(AND(I193&lt;&gt;"",M193&lt;=N(I193)),"À commander","OK")))</f>
        <v/>
      </c>
      <c r="P193" s="39" t="str">
        <f>IF(OR(A193="",O193="OK",J193=""),"",MAX(N(J193)-M193,0))</f>
        <v/>
      </c>
      <c r="Q193" s="39" t="str">
        <f>IF(A193="",IF(COUNTA(B193:J193)&gt;0,"Référence manquante",""),IF(COUNTIF($A$5:$A$1004,A193)&gt;1,"Référence en double",IF(B193="","Désignation manquante","OK")))</f>
        <v/>
      </c>
      <c r="R193" s="39" t="str">
        <f>IF(OR(O193="Rupture",O193="À commander"),COUNTIF($O$5:O193,"Rupture")+COUNTIF($O$5:O193,"À commander"),"")</f>
        <v/>
      </c>
    </row>
    <row r="194">
      <c r="A194" s="37" t="n"/>
      <c r="B194" s="37" t="n"/>
      <c r="C194" s="37" t="n"/>
      <c r="D194" s="37" t="n"/>
      <c r="E194" s="37" t="n"/>
      <c r="F194" s="37" t="n"/>
      <c r="G194" s="38" t="n"/>
      <c r="H194" s="37" t="n"/>
      <c r="I194" s="37" t="n"/>
      <c r="J194" s="37" t="n"/>
      <c r="K194" s="39" t="str">
        <f>IF(A194="","",SUMIFS(mv_qty,mv_ref,A194,mv_type,"Entrée"))</f>
        <v/>
      </c>
      <c r="L194" s="39" t="str">
        <f>IF(A194="","",SUMIFS(mv_qty,mv_ref,A194,mv_type,"Sortie"))</f>
        <v/>
      </c>
      <c r="M194" s="39" t="str">
        <f>IF(A194="","",ROUND(N(H194)+K194-L194,6))</f>
        <v/>
      </c>
      <c r="N194" s="40" t="str">
        <f>IF(A194="","",M194*N(G194))</f>
        <v/>
      </c>
      <c r="O194" s="39" t="str">
        <f>IF(A194="","",IF(M194&lt;=0,"Rupture",IF(AND(I194&lt;&gt;"",M194&lt;=N(I194)),"À commander","OK")))</f>
        <v/>
      </c>
      <c r="P194" s="39" t="str">
        <f>IF(OR(A194="",O194="OK",J194=""),"",MAX(N(J194)-M194,0))</f>
        <v/>
      </c>
      <c r="Q194" s="39" t="str">
        <f>IF(A194="",IF(COUNTA(B194:J194)&gt;0,"Référence manquante",""),IF(COUNTIF($A$5:$A$1004,A194)&gt;1,"Référence en double",IF(B194="","Désignation manquante","OK")))</f>
        <v/>
      </c>
      <c r="R194" s="39" t="str">
        <f>IF(OR(O194="Rupture",O194="À commander"),COUNTIF($O$5:O194,"Rupture")+COUNTIF($O$5:O194,"À commander"),"")</f>
        <v/>
      </c>
    </row>
    <row r="195">
      <c r="A195" s="37" t="n"/>
      <c r="B195" s="37" t="n"/>
      <c r="C195" s="37" t="n"/>
      <c r="D195" s="37" t="n"/>
      <c r="E195" s="37" t="n"/>
      <c r="F195" s="37" t="n"/>
      <c r="G195" s="38" t="n"/>
      <c r="H195" s="37" t="n"/>
      <c r="I195" s="37" t="n"/>
      <c r="J195" s="37" t="n"/>
      <c r="K195" s="39" t="str">
        <f>IF(A195="","",SUMIFS(mv_qty,mv_ref,A195,mv_type,"Entrée"))</f>
        <v/>
      </c>
      <c r="L195" s="39" t="str">
        <f>IF(A195="","",SUMIFS(mv_qty,mv_ref,A195,mv_type,"Sortie"))</f>
        <v/>
      </c>
      <c r="M195" s="39" t="str">
        <f>IF(A195="","",ROUND(N(H195)+K195-L195,6))</f>
        <v/>
      </c>
      <c r="N195" s="40" t="str">
        <f>IF(A195="","",M195*N(G195))</f>
        <v/>
      </c>
      <c r="O195" s="39" t="str">
        <f>IF(A195="","",IF(M195&lt;=0,"Rupture",IF(AND(I195&lt;&gt;"",M195&lt;=N(I195)),"À commander","OK")))</f>
        <v/>
      </c>
      <c r="P195" s="39" t="str">
        <f>IF(OR(A195="",O195="OK",J195=""),"",MAX(N(J195)-M195,0))</f>
        <v/>
      </c>
      <c r="Q195" s="39" t="str">
        <f>IF(A195="",IF(COUNTA(B195:J195)&gt;0,"Référence manquante",""),IF(COUNTIF($A$5:$A$1004,A195)&gt;1,"Référence en double",IF(B195="","Désignation manquante","OK")))</f>
        <v/>
      </c>
      <c r="R195" s="39" t="str">
        <f>IF(OR(O195="Rupture",O195="À commander"),COUNTIF($O$5:O195,"Rupture")+COUNTIF($O$5:O195,"À commander"),"")</f>
        <v/>
      </c>
    </row>
    <row r="196">
      <c r="A196" s="37" t="n"/>
      <c r="B196" s="37" t="n"/>
      <c r="C196" s="37" t="n"/>
      <c r="D196" s="37" t="n"/>
      <c r="E196" s="37" t="n"/>
      <c r="F196" s="37" t="n"/>
      <c r="G196" s="38" t="n"/>
      <c r="H196" s="37" t="n"/>
      <c r="I196" s="37" t="n"/>
      <c r="J196" s="37" t="n"/>
      <c r="K196" s="39" t="str">
        <f>IF(A196="","",SUMIFS(mv_qty,mv_ref,A196,mv_type,"Entrée"))</f>
        <v/>
      </c>
      <c r="L196" s="39" t="str">
        <f>IF(A196="","",SUMIFS(mv_qty,mv_ref,A196,mv_type,"Sortie"))</f>
        <v/>
      </c>
      <c r="M196" s="39" t="str">
        <f>IF(A196="","",ROUND(N(H196)+K196-L196,6))</f>
        <v/>
      </c>
      <c r="N196" s="40" t="str">
        <f>IF(A196="","",M196*N(G196))</f>
        <v/>
      </c>
      <c r="O196" s="39" t="str">
        <f>IF(A196="","",IF(M196&lt;=0,"Rupture",IF(AND(I196&lt;&gt;"",M196&lt;=N(I196)),"À commander","OK")))</f>
        <v/>
      </c>
      <c r="P196" s="39" t="str">
        <f>IF(OR(A196="",O196="OK",J196=""),"",MAX(N(J196)-M196,0))</f>
        <v/>
      </c>
      <c r="Q196" s="39" t="str">
        <f>IF(A196="",IF(COUNTA(B196:J196)&gt;0,"Référence manquante",""),IF(COUNTIF($A$5:$A$1004,A196)&gt;1,"Référence en double",IF(B196="","Désignation manquante","OK")))</f>
        <v/>
      </c>
      <c r="R196" s="39" t="str">
        <f>IF(OR(O196="Rupture",O196="À commander"),COUNTIF($O$5:O196,"Rupture")+COUNTIF($O$5:O196,"À commander"),"")</f>
        <v/>
      </c>
    </row>
    <row r="197">
      <c r="A197" s="37" t="n"/>
      <c r="B197" s="37" t="n"/>
      <c r="C197" s="37" t="n"/>
      <c r="D197" s="37" t="n"/>
      <c r="E197" s="37" t="n"/>
      <c r="F197" s="37" t="n"/>
      <c r="G197" s="38" t="n"/>
      <c r="H197" s="37" t="n"/>
      <c r="I197" s="37" t="n"/>
      <c r="J197" s="37" t="n"/>
      <c r="K197" s="39" t="str">
        <f>IF(A197="","",SUMIFS(mv_qty,mv_ref,A197,mv_type,"Entrée"))</f>
        <v/>
      </c>
      <c r="L197" s="39" t="str">
        <f>IF(A197="","",SUMIFS(mv_qty,mv_ref,A197,mv_type,"Sortie"))</f>
        <v/>
      </c>
      <c r="M197" s="39" t="str">
        <f>IF(A197="","",ROUND(N(H197)+K197-L197,6))</f>
        <v/>
      </c>
      <c r="N197" s="40" t="str">
        <f>IF(A197="","",M197*N(G197))</f>
        <v/>
      </c>
      <c r="O197" s="39" t="str">
        <f>IF(A197="","",IF(M197&lt;=0,"Rupture",IF(AND(I197&lt;&gt;"",M197&lt;=N(I197)),"À commander","OK")))</f>
        <v/>
      </c>
      <c r="P197" s="39" t="str">
        <f>IF(OR(A197="",O197="OK",J197=""),"",MAX(N(J197)-M197,0))</f>
        <v/>
      </c>
      <c r="Q197" s="39" t="str">
        <f>IF(A197="",IF(COUNTA(B197:J197)&gt;0,"Référence manquante",""),IF(COUNTIF($A$5:$A$1004,A197)&gt;1,"Référence en double",IF(B197="","Désignation manquante","OK")))</f>
        <v/>
      </c>
      <c r="R197" s="39" t="str">
        <f>IF(OR(O197="Rupture",O197="À commander"),COUNTIF($O$5:O197,"Rupture")+COUNTIF($O$5:O197,"À commander"),"")</f>
        <v/>
      </c>
    </row>
    <row r="198">
      <c r="A198" s="37" t="n"/>
      <c r="B198" s="37" t="n"/>
      <c r="C198" s="37" t="n"/>
      <c r="D198" s="37" t="n"/>
      <c r="E198" s="37" t="n"/>
      <c r="F198" s="37" t="n"/>
      <c r="G198" s="38" t="n"/>
      <c r="H198" s="37" t="n"/>
      <c r="I198" s="37" t="n"/>
      <c r="J198" s="37" t="n"/>
      <c r="K198" s="39" t="str">
        <f>IF(A198="","",SUMIFS(mv_qty,mv_ref,A198,mv_type,"Entrée"))</f>
        <v/>
      </c>
      <c r="L198" s="39" t="str">
        <f>IF(A198="","",SUMIFS(mv_qty,mv_ref,A198,mv_type,"Sortie"))</f>
        <v/>
      </c>
      <c r="M198" s="39" t="str">
        <f>IF(A198="","",ROUND(N(H198)+K198-L198,6))</f>
        <v/>
      </c>
      <c r="N198" s="40" t="str">
        <f>IF(A198="","",M198*N(G198))</f>
        <v/>
      </c>
      <c r="O198" s="39" t="str">
        <f>IF(A198="","",IF(M198&lt;=0,"Rupture",IF(AND(I198&lt;&gt;"",M198&lt;=N(I198)),"À commander","OK")))</f>
        <v/>
      </c>
      <c r="P198" s="39" t="str">
        <f>IF(OR(A198="",O198="OK",J198=""),"",MAX(N(J198)-M198,0))</f>
        <v/>
      </c>
      <c r="Q198" s="39" t="str">
        <f>IF(A198="",IF(COUNTA(B198:J198)&gt;0,"Référence manquante",""),IF(COUNTIF($A$5:$A$1004,A198)&gt;1,"Référence en double",IF(B198="","Désignation manquante","OK")))</f>
        <v/>
      </c>
      <c r="R198" s="39" t="str">
        <f>IF(OR(O198="Rupture",O198="À commander"),COUNTIF($O$5:O198,"Rupture")+COUNTIF($O$5:O198,"À commander"),"")</f>
        <v/>
      </c>
    </row>
    <row r="199">
      <c r="A199" s="37" t="n"/>
      <c r="B199" s="37" t="n"/>
      <c r="C199" s="37" t="n"/>
      <c r="D199" s="37" t="n"/>
      <c r="E199" s="37" t="n"/>
      <c r="F199" s="37" t="n"/>
      <c r="G199" s="38" t="n"/>
      <c r="H199" s="37" t="n"/>
      <c r="I199" s="37" t="n"/>
      <c r="J199" s="37" t="n"/>
      <c r="K199" s="39" t="str">
        <f>IF(A199="","",SUMIFS(mv_qty,mv_ref,A199,mv_type,"Entrée"))</f>
        <v/>
      </c>
      <c r="L199" s="39" t="str">
        <f>IF(A199="","",SUMIFS(mv_qty,mv_ref,A199,mv_type,"Sortie"))</f>
        <v/>
      </c>
      <c r="M199" s="39" t="str">
        <f>IF(A199="","",ROUND(N(H199)+K199-L199,6))</f>
        <v/>
      </c>
      <c r="N199" s="40" t="str">
        <f>IF(A199="","",M199*N(G199))</f>
        <v/>
      </c>
      <c r="O199" s="39" t="str">
        <f>IF(A199="","",IF(M199&lt;=0,"Rupture",IF(AND(I199&lt;&gt;"",M199&lt;=N(I199)),"À commander","OK")))</f>
        <v/>
      </c>
      <c r="P199" s="39" t="str">
        <f>IF(OR(A199="",O199="OK",J199=""),"",MAX(N(J199)-M199,0))</f>
        <v/>
      </c>
      <c r="Q199" s="39" t="str">
        <f>IF(A199="",IF(COUNTA(B199:J199)&gt;0,"Référence manquante",""),IF(COUNTIF($A$5:$A$1004,A199)&gt;1,"Référence en double",IF(B199="","Désignation manquante","OK")))</f>
        <v/>
      </c>
      <c r="R199" s="39" t="str">
        <f>IF(OR(O199="Rupture",O199="À commander"),COUNTIF($O$5:O199,"Rupture")+COUNTIF($O$5:O199,"À commander"),"")</f>
        <v/>
      </c>
    </row>
    <row r="200">
      <c r="A200" s="37" t="n"/>
      <c r="B200" s="37" t="n"/>
      <c r="C200" s="37" t="n"/>
      <c r="D200" s="37" t="n"/>
      <c r="E200" s="37" t="n"/>
      <c r="F200" s="37" t="n"/>
      <c r="G200" s="38" t="n"/>
      <c r="H200" s="37" t="n"/>
      <c r="I200" s="37" t="n"/>
      <c r="J200" s="37" t="n"/>
      <c r="K200" s="39" t="str">
        <f>IF(A200="","",SUMIFS(mv_qty,mv_ref,A200,mv_type,"Entrée"))</f>
        <v/>
      </c>
      <c r="L200" s="39" t="str">
        <f>IF(A200="","",SUMIFS(mv_qty,mv_ref,A200,mv_type,"Sortie"))</f>
        <v/>
      </c>
      <c r="M200" s="39" t="str">
        <f>IF(A200="","",ROUND(N(H200)+K200-L200,6))</f>
        <v/>
      </c>
      <c r="N200" s="40" t="str">
        <f>IF(A200="","",M200*N(G200))</f>
        <v/>
      </c>
      <c r="O200" s="39" t="str">
        <f>IF(A200="","",IF(M200&lt;=0,"Rupture",IF(AND(I200&lt;&gt;"",M200&lt;=N(I200)),"À commander","OK")))</f>
        <v/>
      </c>
      <c r="P200" s="39" t="str">
        <f>IF(OR(A200="",O200="OK",J200=""),"",MAX(N(J200)-M200,0))</f>
        <v/>
      </c>
      <c r="Q200" s="39" t="str">
        <f>IF(A200="",IF(COUNTA(B200:J200)&gt;0,"Référence manquante",""),IF(COUNTIF($A$5:$A$1004,A200)&gt;1,"Référence en double",IF(B200="","Désignation manquante","OK")))</f>
        <v/>
      </c>
      <c r="R200" s="39" t="str">
        <f>IF(OR(O200="Rupture",O200="À commander"),COUNTIF($O$5:O200,"Rupture")+COUNTIF($O$5:O200,"À commander"),"")</f>
        <v/>
      </c>
    </row>
    <row r="201">
      <c r="A201" s="37" t="n"/>
      <c r="B201" s="37" t="n"/>
      <c r="C201" s="37" t="n"/>
      <c r="D201" s="37" t="n"/>
      <c r="E201" s="37" t="n"/>
      <c r="F201" s="37" t="n"/>
      <c r="G201" s="38" t="n"/>
      <c r="H201" s="37" t="n"/>
      <c r="I201" s="37" t="n"/>
      <c r="J201" s="37" t="n"/>
      <c r="K201" s="39" t="str">
        <f>IF(A201="","",SUMIFS(mv_qty,mv_ref,A201,mv_type,"Entrée"))</f>
        <v/>
      </c>
      <c r="L201" s="39" t="str">
        <f>IF(A201="","",SUMIFS(mv_qty,mv_ref,A201,mv_type,"Sortie"))</f>
        <v/>
      </c>
      <c r="M201" s="39" t="str">
        <f>IF(A201="","",ROUND(N(H201)+K201-L201,6))</f>
        <v/>
      </c>
      <c r="N201" s="40" t="str">
        <f>IF(A201="","",M201*N(G201))</f>
        <v/>
      </c>
      <c r="O201" s="39" t="str">
        <f>IF(A201="","",IF(M201&lt;=0,"Rupture",IF(AND(I201&lt;&gt;"",M201&lt;=N(I201)),"À commander","OK")))</f>
        <v/>
      </c>
      <c r="P201" s="39" t="str">
        <f>IF(OR(A201="",O201="OK",J201=""),"",MAX(N(J201)-M201,0))</f>
        <v/>
      </c>
      <c r="Q201" s="39" t="str">
        <f>IF(A201="",IF(COUNTA(B201:J201)&gt;0,"Référence manquante",""),IF(COUNTIF($A$5:$A$1004,A201)&gt;1,"Référence en double",IF(B201="","Désignation manquante","OK")))</f>
        <v/>
      </c>
      <c r="R201" s="39" t="str">
        <f>IF(OR(O201="Rupture",O201="À commander"),COUNTIF($O$5:O201,"Rupture")+COUNTIF($O$5:O201,"À commander"),"")</f>
        <v/>
      </c>
    </row>
    <row r="202">
      <c r="A202" s="37" t="n"/>
      <c r="B202" s="37" t="n"/>
      <c r="C202" s="37" t="n"/>
      <c r="D202" s="37" t="n"/>
      <c r="E202" s="37" t="n"/>
      <c r="F202" s="37" t="n"/>
      <c r="G202" s="38" t="n"/>
      <c r="H202" s="37" t="n"/>
      <c r="I202" s="37" t="n"/>
      <c r="J202" s="37" t="n"/>
      <c r="K202" s="39" t="str">
        <f>IF(A202="","",SUMIFS(mv_qty,mv_ref,A202,mv_type,"Entrée"))</f>
        <v/>
      </c>
      <c r="L202" s="39" t="str">
        <f>IF(A202="","",SUMIFS(mv_qty,mv_ref,A202,mv_type,"Sortie"))</f>
        <v/>
      </c>
      <c r="M202" s="39" t="str">
        <f>IF(A202="","",ROUND(N(H202)+K202-L202,6))</f>
        <v/>
      </c>
      <c r="N202" s="40" t="str">
        <f>IF(A202="","",M202*N(G202))</f>
        <v/>
      </c>
      <c r="O202" s="39" t="str">
        <f>IF(A202="","",IF(M202&lt;=0,"Rupture",IF(AND(I202&lt;&gt;"",M202&lt;=N(I202)),"À commander","OK")))</f>
        <v/>
      </c>
      <c r="P202" s="39" t="str">
        <f>IF(OR(A202="",O202="OK",J202=""),"",MAX(N(J202)-M202,0))</f>
        <v/>
      </c>
      <c r="Q202" s="39" t="str">
        <f>IF(A202="",IF(COUNTA(B202:J202)&gt;0,"Référence manquante",""),IF(COUNTIF($A$5:$A$1004,A202)&gt;1,"Référence en double",IF(B202="","Désignation manquante","OK")))</f>
        <v/>
      </c>
      <c r="R202" s="39" t="str">
        <f>IF(OR(O202="Rupture",O202="À commander"),COUNTIF($O$5:O202,"Rupture")+COUNTIF($O$5:O202,"À commander"),"")</f>
        <v/>
      </c>
    </row>
    <row r="203">
      <c r="A203" s="37" t="n"/>
      <c r="B203" s="37" t="n"/>
      <c r="C203" s="37" t="n"/>
      <c r="D203" s="37" t="n"/>
      <c r="E203" s="37" t="n"/>
      <c r="F203" s="37" t="n"/>
      <c r="G203" s="38" t="n"/>
      <c r="H203" s="37" t="n"/>
      <c r="I203" s="37" t="n"/>
      <c r="J203" s="37" t="n"/>
      <c r="K203" s="39" t="str">
        <f>IF(A203="","",SUMIFS(mv_qty,mv_ref,A203,mv_type,"Entrée"))</f>
        <v/>
      </c>
      <c r="L203" s="39" t="str">
        <f>IF(A203="","",SUMIFS(mv_qty,mv_ref,A203,mv_type,"Sortie"))</f>
        <v/>
      </c>
      <c r="M203" s="39" t="str">
        <f>IF(A203="","",ROUND(N(H203)+K203-L203,6))</f>
        <v/>
      </c>
      <c r="N203" s="40" t="str">
        <f>IF(A203="","",M203*N(G203))</f>
        <v/>
      </c>
      <c r="O203" s="39" t="str">
        <f>IF(A203="","",IF(M203&lt;=0,"Rupture",IF(AND(I203&lt;&gt;"",M203&lt;=N(I203)),"À commander","OK")))</f>
        <v/>
      </c>
      <c r="P203" s="39" t="str">
        <f>IF(OR(A203="",O203="OK",J203=""),"",MAX(N(J203)-M203,0))</f>
        <v/>
      </c>
      <c r="Q203" s="39" t="str">
        <f>IF(A203="",IF(COUNTA(B203:J203)&gt;0,"Référence manquante",""),IF(COUNTIF($A$5:$A$1004,A203)&gt;1,"Référence en double",IF(B203="","Désignation manquante","OK")))</f>
        <v/>
      </c>
      <c r="R203" s="39" t="str">
        <f>IF(OR(O203="Rupture",O203="À commander"),COUNTIF($O$5:O203,"Rupture")+COUNTIF($O$5:O203,"À commander"),"")</f>
        <v/>
      </c>
    </row>
    <row r="204">
      <c r="A204" s="37" t="n"/>
      <c r="B204" s="37" t="n"/>
      <c r="C204" s="37" t="n"/>
      <c r="D204" s="37" t="n"/>
      <c r="E204" s="37" t="n"/>
      <c r="F204" s="37" t="n"/>
      <c r="G204" s="38" t="n"/>
      <c r="H204" s="37" t="n"/>
      <c r="I204" s="37" t="n"/>
      <c r="J204" s="37" t="n"/>
      <c r="K204" s="39" t="str">
        <f>IF(A204="","",SUMIFS(mv_qty,mv_ref,A204,mv_type,"Entrée"))</f>
        <v/>
      </c>
      <c r="L204" s="39" t="str">
        <f>IF(A204="","",SUMIFS(mv_qty,mv_ref,A204,mv_type,"Sortie"))</f>
        <v/>
      </c>
      <c r="M204" s="39" t="str">
        <f>IF(A204="","",ROUND(N(H204)+K204-L204,6))</f>
        <v/>
      </c>
      <c r="N204" s="40" t="str">
        <f>IF(A204="","",M204*N(G204))</f>
        <v/>
      </c>
      <c r="O204" s="39" t="str">
        <f>IF(A204="","",IF(M204&lt;=0,"Rupture",IF(AND(I204&lt;&gt;"",M204&lt;=N(I204)),"À commander","OK")))</f>
        <v/>
      </c>
      <c r="P204" s="39" t="str">
        <f>IF(OR(A204="",O204="OK",J204=""),"",MAX(N(J204)-M204,0))</f>
        <v/>
      </c>
      <c r="Q204" s="39" t="str">
        <f>IF(A204="",IF(COUNTA(B204:J204)&gt;0,"Référence manquante",""),IF(COUNTIF($A$5:$A$1004,A204)&gt;1,"Référence en double",IF(B204="","Désignation manquante","OK")))</f>
        <v/>
      </c>
      <c r="R204" s="39" t="str">
        <f>IF(OR(O204="Rupture",O204="À commander"),COUNTIF($O$5:O204,"Rupture")+COUNTIF($O$5:O204,"À commander"),"")</f>
        <v/>
      </c>
    </row>
    <row r="205">
      <c r="A205" s="37" t="n"/>
      <c r="B205" s="37" t="n"/>
      <c r="C205" s="37" t="n"/>
      <c r="D205" s="37" t="n"/>
      <c r="E205" s="37" t="n"/>
      <c r="F205" s="37" t="n"/>
      <c r="G205" s="38" t="n"/>
      <c r="H205" s="37" t="n"/>
      <c r="I205" s="37" t="n"/>
      <c r="J205" s="37" t="n"/>
      <c r="K205" s="39" t="str">
        <f>IF(A205="","",SUMIFS(mv_qty,mv_ref,A205,mv_type,"Entrée"))</f>
        <v/>
      </c>
      <c r="L205" s="39" t="str">
        <f>IF(A205="","",SUMIFS(mv_qty,mv_ref,A205,mv_type,"Sortie"))</f>
        <v/>
      </c>
      <c r="M205" s="39" t="str">
        <f>IF(A205="","",ROUND(N(H205)+K205-L205,6))</f>
        <v/>
      </c>
      <c r="N205" s="40" t="str">
        <f>IF(A205="","",M205*N(G205))</f>
        <v/>
      </c>
      <c r="O205" s="39" t="str">
        <f>IF(A205="","",IF(M205&lt;=0,"Rupture",IF(AND(I205&lt;&gt;"",M205&lt;=N(I205)),"À commander","OK")))</f>
        <v/>
      </c>
      <c r="P205" s="39" t="str">
        <f>IF(OR(A205="",O205="OK",J205=""),"",MAX(N(J205)-M205,0))</f>
        <v/>
      </c>
      <c r="Q205" s="39" t="str">
        <f>IF(A205="",IF(COUNTA(B205:J205)&gt;0,"Référence manquante",""),IF(COUNTIF($A$5:$A$1004,A205)&gt;1,"Référence en double",IF(B205="","Désignation manquante","OK")))</f>
        <v/>
      </c>
      <c r="R205" s="39" t="str">
        <f>IF(OR(O205="Rupture",O205="À commander"),COUNTIF($O$5:O205,"Rupture")+COUNTIF($O$5:O205,"À commander"),"")</f>
        <v/>
      </c>
    </row>
    <row r="206">
      <c r="A206" s="37" t="n"/>
      <c r="B206" s="37" t="n"/>
      <c r="C206" s="37" t="n"/>
      <c r="D206" s="37" t="n"/>
      <c r="E206" s="37" t="n"/>
      <c r="F206" s="37" t="n"/>
      <c r="G206" s="38" t="n"/>
      <c r="H206" s="37" t="n"/>
      <c r="I206" s="37" t="n"/>
      <c r="J206" s="37" t="n"/>
      <c r="K206" s="39" t="str">
        <f>IF(A206="","",SUMIFS(mv_qty,mv_ref,A206,mv_type,"Entrée"))</f>
        <v/>
      </c>
      <c r="L206" s="39" t="str">
        <f>IF(A206="","",SUMIFS(mv_qty,mv_ref,A206,mv_type,"Sortie"))</f>
        <v/>
      </c>
      <c r="M206" s="39" t="str">
        <f>IF(A206="","",ROUND(N(H206)+K206-L206,6))</f>
        <v/>
      </c>
      <c r="N206" s="40" t="str">
        <f>IF(A206="","",M206*N(G206))</f>
        <v/>
      </c>
      <c r="O206" s="39" t="str">
        <f>IF(A206="","",IF(M206&lt;=0,"Rupture",IF(AND(I206&lt;&gt;"",M206&lt;=N(I206)),"À commander","OK")))</f>
        <v/>
      </c>
      <c r="P206" s="39" t="str">
        <f>IF(OR(A206="",O206="OK",J206=""),"",MAX(N(J206)-M206,0))</f>
        <v/>
      </c>
      <c r="Q206" s="39" t="str">
        <f>IF(A206="",IF(COUNTA(B206:J206)&gt;0,"Référence manquante",""),IF(COUNTIF($A$5:$A$1004,A206)&gt;1,"Référence en double",IF(B206="","Désignation manquante","OK")))</f>
        <v/>
      </c>
      <c r="R206" s="39" t="str">
        <f>IF(OR(O206="Rupture",O206="À commander"),COUNTIF($O$5:O206,"Rupture")+COUNTIF($O$5:O206,"À commander"),"")</f>
        <v/>
      </c>
    </row>
    <row r="207">
      <c r="A207" s="37" t="n"/>
      <c r="B207" s="37" t="n"/>
      <c r="C207" s="37" t="n"/>
      <c r="D207" s="37" t="n"/>
      <c r="E207" s="37" t="n"/>
      <c r="F207" s="37" t="n"/>
      <c r="G207" s="38" t="n"/>
      <c r="H207" s="37" t="n"/>
      <c r="I207" s="37" t="n"/>
      <c r="J207" s="37" t="n"/>
      <c r="K207" s="39" t="str">
        <f>IF(A207="","",SUMIFS(mv_qty,mv_ref,A207,mv_type,"Entrée"))</f>
        <v/>
      </c>
      <c r="L207" s="39" t="str">
        <f>IF(A207="","",SUMIFS(mv_qty,mv_ref,A207,mv_type,"Sortie"))</f>
        <v/>
      </c>
      <c r="M207" s="39" t="str">
        <f>IF(A207="","",ROUND(N(H207)+K207-L207,6))</f>
        <v/>
      </c>
      <c r="N207" s="40" t="str">
        <f>IF(A207="","",M207*N(G207))</f>
        <v/>
      </c>
      <c r="O207" s="39" t="str">
        <f>IF(A207="","",IF(M207&lt;=0,"Rupture",IF(AND(I207&lt;&gt;"",M207&lt;=N(I207)),"À commander","OK")))</f>
        <v/>
      </c>
      <c r="P207" s="39" t="str">
        <f>IF(OR(A207="",O207="OK",J207=""),"",MAX(N(J207)-M207,0))</f>
        <v/>
      </c>
      <c r="Q207" s="39" t="str">
        <f>IF(A207="",IF(COUNTA(B207:J207)&gt;0,"Référence manquante",""),IF(COUNTIF($A$5:$A$1004,A207)&gt;1,"Référence en double",IF(B207="","Désignation manquante","OK")))</f>
        <v/>
      </c>
      <c r="R207" s="39" t="str">
        <f>IF(OR(O207="Rupture",O207="À commander"),COUNTIF($O$5:O207,"Rupture")+COUNTIF($O$5:O207,"À commander"),"")</f>
        <v/>
      </c>
    </row>
    <row r="208">
      <c r="A208" s="37" t="n"/>
      <c r="B208" s="37" t="n"/>
      <c r="C208" s="37" t="n"/>
      <c r="D208" s="37" t="n"/>
      <c r="E208" s="37" t="n"/>
      <c r="F208" s="37" t="n"/>
      <c r="G208" s="38" t="n"/>
      <c r="H208" s="37" t="n"/>
      <c r="I208" s="37" t="n"/>
      <c r="J208" s="37" t="n"/>
      <c r="K208" s="39" t="str">
        <f>IF(A208="","",SUMIFS(mv_qty,mv_ref,A208,mv_type,"Entrée"))</f>
        <v/>
      </c>
      <c r="L208" s="39" t="str">
        <f>IF(A208="","",SUMIFS(mv_qty,mv_ref,A208,mv_type,"Sortie"))</f>
        <v/>
      </c>
      <c r="M208" s="39" t="str">
        <f>IF(A208="","",ROUND(N(H208)+K208-L208,6))</f>
        <v/>
      </c>
      <c r="N208" s="40" t="str">
        <f>IF(A208="","",M208*N(G208))</f>
        <v/>
      </c>
      <c r="O208" s="39" t="str">
        <f>IF(A208="","",IF(M208&lt;=0,"Rupture",IF(AND(I208&lt;&gt;"",M208&lt;=N(I208)),"À commander","OK")))</f>
        <v/>
      </c>
      <c r="P208" s="39" t="str">
        <f>IF(OR(A208="",O208="OK",J208=""),"",MAX(N(J208)-M208,0))</f>
        <v/>
      </c>
      <c r="Q208" s="39" t="str">
        <f>IF(A208="",IF(COUNTA(B208:J208)&gt;0,"Référence manquante",""),IF(COUNTIF($A$5:$A$1004,A208)&gt;1,"Référence en double",IF(B208="","Désignation manquante","OK")))</f>
        <v/>
      </c>
      <c r="R208" s="39" t="str">
        <f>IF(OR(O208="Rupture",O208="À commander"),COUNTIF($O$5:O208,"Rupture")+COUNTIF($O$5:O208,"À commander"),"")</f>
        <v/>
      </c>
    </row>
    <row r="209">
      <c r="A209" s="37" t="n"/>
      <c r="B209" s="37" t="n"/>
      <c r="C209" s="37" t="n"/>
      <c r="D209" s="37" t="n"/>
      <c r="E209" s="37" t="n"/>
      <c r="F209" s="37" t="n"/>
      <c r="G209" s="38" t="n"/>
      <c r="H209" s="37" t="n"/>
      <c r="I209" s="37" t="n"/>
      <c r="J209" s="37" t="n"/>
      <c r="K209" s="39" t="str">
        <f>IF(A209="","",SUMIFS(mv_qty,mv_ref,A209,mv_type,"Entrée"))</f>
        <v/>
      </c>
      <c r="L209" s="39" t="str">
        <f>IF(A209="","",SUMIFS(mv_qty,mv_ref,A209,mv_type,"Sortie"))</f>
        <v/>
      </c>
      <c r="M209" s="39" t="str">
        <f>IF(A209="","",ROUND(N(H209)+K209-L209,6))</f>
        <v/>
      </c>
      <c r="N209" s="40" t="str">
        <f>IF(A209="","",M209*N(G209))</f>
        <v/>
      </c>
      <c r="O209" s="39" t="str">
        <f>IF(A209="","",IF(M209&lt;=0,"Rupture",IF(AND(I209&lt;&gt;"",M209&lt;=N(I209)),"À commander","OK")))</f>
        <v/>
      </c>
      <c r="P209" s="39" t="str">
        <f>IF(OR(A209="",O209="OK",J209=""),"",MAX(N(J209)-M209,0))</f>
        <v/>
      </c>
      <c r="Q209" s="39" t="str">
        <f>IF(A209="",IF(COUNTA(B209:J209)&gt;0,"Référence manquante",""),IF(COUNTIF($A$5:$A$1004,A209)&gt;1,"Référence en double",IF(B209="","Désignation manquante","OK")))</f>
        <v/>
      </c>
      <c r="R209" s="39" t="str">
        <f>IF(OR(O209="Rupture",O209="À commander"),COUNTIF($O$5:O209,"Rupture")+COUNTIF($O$5:O209,"À commander"),"")</f>
        <v/>
      </c>
    </row>
    <row r="210">
      <c r="A210" s="37" t="n"/>
      <c r="B210" s="37" t="n"/>
      <c r="C210" s="37" t="n"/>
      <c r="D210" s="37" t="n"/>
      <c r="E210" s="37" t="n"/>
      <c r="F210" s="37" t="n"/>
      <c r="G210" s="38" t="n"/>
      <c r="H210" s="37" t="n"/>
      <c r="I210" s="37" t="n"/>
      <c r="J210" s="37" t="n"/>
      <c r="K210" s="39" t="str">
        <f>IF(A210="","",SUMIFS(mv_qty,mv_ref,A210,mv_type,"Entrée"))</f>
        <v/>
      </c>
      <c r="L210" s="39" t="str">
        <f>IF(A210="","",SUMIFS(mv_qty,mv_ref,A210,mv_type,"Sortie"))</f>
        <v/>
      </c>
      <c r="M210" s="39" t="str">
        <f>IF(A210="","",ROUND(N(H210)+K210-L210,6))</f>
        <v/>
      </c>
      <c r="N210" s="40" t="str">
        <f>IF(A210="","",M210*N(G210))</f>
        <v/>
      </c>
      <c r="O210" s="39" t="str">
        <f>IF(A210="","",IF(M210&lt;=0,"Rupture",IF(AND(I210&lt;&gt;"",M210&lt;=N(I210)),"À commander","OK")))</f>
        <v/>
      </c>
      <c r="P210" s="39" t="str">
        <f>IF(OR(A210="",O210="OK",J210=""),"",MAX(N(J210)-M210,0))</f>
        <v/>
      </c>
      <c r="Q210" s="39" t="str">
        <f>IF(A210="",IF(COUNTA(B210:J210)&gt;0,"Référence manquante",""),IF(COUNTIF($A$5:$A$1004,A210)&gt;1,"Référence en double",IF(B210="","Désignation manquante","OK")))</f>
        <v/>
      </c>
      <c r="R210" s="39" t="str">
        <f>IF(OR(O210="Rupture",O210="À commander"),COUNTIF($O$5:O210,"Rupture")+COUNTIF($O$5:O210,"À commander"),"")</f>
        <v/>
      </c>
    </row>
    <row r="211">
      <c r="A211" s="37" t="n"/>
      <c r="B211" s="37" t="n"/>
      <c r="C211" s="37" t="n"/>
      <c r="D211" s="37" t="n"/>
      <c r="E211" s="37" t="n"/>
      <c r="F211" s="37" t="n"/>
      <c r="G211" s="38" t="n"/>
      <c r="H211" s="37" t="n"/>
      <c r="I211" s="37" t="n"/>
      <c r="J211" s="37" t="n"/>
      <c r="K211" s="39" t="str">
        <f>IF(A211="","",SUMIFS(mv_qty,mv_ref,A211,mv_type,"Entrée"))</f>
        <v/>
      </c>
      <c r="L211" s="39" t="str">
        <f>IF(A211="","",SUMIFS(mv_qty,mv_ref,A211,mv_type,"Sortie"))</f>
        <v/>
      </c>
      <c r="M211" s="39" t="str">
        <f>IF(A211="","",ROUND(N(H211)+K211-L211,6))</f>
        <v/>
      </c>
      <c r="N211" s="40" t="str">
        <f>IF(A211="","",M211*N(G211))</f>
        <v/>
      </c>
      <c r="O211" s="39" t="str">
        <f>IF(A211="","",IF(M211&lt;=0,"Rupture",IF(AND(I211&lt;&gt;"",M211&lt;=N(I211)),"À commander","OK")))</f>
        <v/>
      </c>
      <c r="P211" s="39" t="str">
        <f>IF(OR(A211="",O211="OK",J211=""),"",MAX(N(J211)-M211,0))</f>
        <v/>
      </c>
      <c r="Q211" s="39" t="str">
        <f>IF(A211="",IF(COUNTA(B211:J211)&gt;0,"Référence manquante",""),IF(COUNTIF($A$5:$A$1004,A211)&gt;1,"Référence en double",IF(B211="","Désignation manquante","OK")))</f>
        <v/>
      </c>
      <c r="R211" s="39" t="str">
        <f>IF(OR(O211="Rupture",O211="À commander"),COUNTIF($O$5:O211,"Rupture")+COUNTIF($O$5:O211,"À commander"),"")</f>
        <v/>
      </c>
    </row>
    <row r="212">
      <c r="A212" s="37" t="n"/>
      <c r="B212" s="37" t="n"/>
      <c r="C212" s="37" t="n"/>
      <c r="D212" s="37" t="n"/>
      <c r="E212" s="37" t="n"/>
      <c r="F212" s="37" t="n"/>
      <c r="G212" s="38" t="n"/>
      <c r="H212" s="37" t="n"/>
      <c r="I212" s="37" t="n"/>
      <c r="J212" s="37" t="n"/>
      <c r="K212" s="39" t="str">
        <f>IF(A212="","",SUMIFS(mv_qty,mv_ref,A212,mv_type,"Entrée"))</f>
        <v/>
      </c>
      <c r="L212" s="39" t="str">
        <f>IF(A212="","",SUMIFS(mv_qty,mv_ref,A212,mv_type,"Sortie"))</f>
        <v/>
      </c>
      <c r="M212" s="39" t="str">
        <f>IF(A212="","",ROUND(N(H212)+K212-L212,6))</f>
        <v/>
      </c>
      <c r="N212" s="40" t="str">
        <f>IF(A212="","",M212*N(G212))</f>
        <v/>
      </c>
      <c r="O212" s="39" t="str">
        <f>IF(A212="","",IF(M212&lt;=0,"Rupture",IF(AND(I212&lt;&gt;"",M212&lt;=N(I212)),"À commander","OK")))</f>
        <v/>
      </c>
      <c r="P212" s="39" t="str">
        <f>IF(OR(A212="",O212="OK",J212=""),"",MAX(N(J212)-M212,0))</f>
        <v/>
      </c>
      <c r="Q212" s="39" t="str">
        <f>IF(A212="",IF(COUNTA(B212:J212)&gt;0,"Référence manquante",""),IF(COUNTIF($A$5:$A$1004,A212)&gt;1,"Référence en double",IF(B212="","Désignation manquante","OK")))</f>
        <v/>
      </c>
      <c r="R212" s="39" t="str">
        <f>IF(OR(O212="Rupture",O212="À commander"),COUNTIF($O$5:O212,"Rupture")+COUNTIF($O$5:O212,"À commander"),"")</f>
        <v/>
      </c>
    </row>
    <row r="213">
      <c r="A213" s="37" t="n"/>
      <c r="B213" s="37" t="n"/>
      <c r="C213" s="37" t="n"/>
      <c r="D213" s="37" t="n"/>
      <c r="E213" s="37" t="n"/>
      <c r="F213" s="37" t="n"/>
      <c r="G213" s="38" t="n"/>
      <c r="H213" s="37" t="n"/>
      <c r="I213" s="37" t="n"/>
      <c r="J213" s="37" t="n"/>
      <c r="K213" s="39" t="str">
        <f>IF(A213="","",SUMIFS(mv_qty,mv_ref,A213,mv_type,"Entrée"))</f>
        <v/>
      </c>
      <c r="L213" s="39" t="str">
        <f>IF(A213="","",SUMIFS(mv_qty,mv_ref,A213,mv_type,"Sortie"))</f>
        <v/>
      </c>
      <c r="M213" s="39" t="str">
        <f>IF(A213="","",ROUND(N(H213)+K213-L213,6))</f>
        <v/>
      </c>
      <c r="N213" s="40" t="str">
        <f>IF(A213="","",M213*N(G213))</f>
        <v/>
      </c>
      <c r="O213" s="39" t="str">
        <f>IF(A213="","",IF(M213&lt;=0,"Rupture",IF(AND(I213&lt;&gt;"",M213&lt;=N(I213)),"À commander","OK")))</f>
        <v/>
      </c>
      <c r="P213" s="39" t="str">
        <f>IF(OR(A213="",O213="OK",J213=""),"",MAX(N(J213)-M213,0))</f>
        <v/>
      </c>
      <c r="Q213" s="39" t="str">
        <f>IF(A213="",IF(COUNTA(B213:J213)&gt;0,"Référence manquante",""),IF(COUNTIF($A$5:$A$1004,A213)&gt;1,"Référence en double",IF(B213="","Désignation manquante","OK")))</f>
        <v/>
      </c>
      <c r="R213" s="39" t="str">
        <f>IF(OR(O213="Rupture",O213="À commander"),COUNTIF($O$5:O213,"Rupture")+COUNTIF($O$5:O213,"À commander"),"")</f>
        <v/>
      </c>
    </row>
    <row r="214">
      <c r="A214" s="37" t="n"/>
      <c r="B214" s="37" t="n"/>
      <c r="C214" s="37" t="n"/>
      <c r="D214" s="37" t="n"/>
      <c r="E214" s="37" t="n"/>
      <c r="F214" s="37" t="n"/>
      <c r="G214" s="38" t="n"/>
      <c r="H214" s="37" t="n"/>
      <c r="I214" s="37" t="n"/>
      <c r="J214" s="37" t="n"/>
      <c r="K214" s="39" t="str">
        <f>IF(A214="","",SUMIFS(mv_qty,mv_ref,A214,mv_type,"Entrée"))</f>
        <v/>
      </c>
      <c r="L214" s="39" t="str">
        <f>IF(A214="","",SUMIFS(mv_qty,mv_ref,A214,mv_type,"Sortie"))</f>
        <v/>
      </c>
      <c r="M214" s="39" t="str">
        <f>IF(A214="","",ROUND(N(H214)+K214-L214,6))</f>
        <v/>
      </c>
      <c r="N214" s="40" t="str">
        <f>IF(A214="","",M214*N(G214))</f>
        <v/>
      </c>
      <c r="O214" s="39" t="str">
        <f>IF(A214="","",IF(M214&lt;=0,"Rupture",IF(AND(I214&lt;&gt;"",M214&lt;=N(I214)),"À commander","OK")))</f>
        <v/>
      </c>
      <c r="P214" s="39" t="str">
        <f>IF(OR(A214="",O214="OK",J214=""),"",MAX(N(J214)-M214,0))</f>
        <v/>
      </c>
      <c r="Q214" s="39" t="str">
        <f>IF(A214="",IF(COUNTA(B214:J214)&gt;0,"Référence manquante",""),IF(COUNTIF($A$5:$A$1004,A214)&gt;1,"Référence en double",IF(B214="","Désignation manquante","OK")))</f>
        <v/>
      </c>
      <c r="R214" s="39" t="str">
        <f>IF(OR(O214="Rupture",O214="À commander"),COUNTIF($O$5:O214,"Rupture")+COUNTIF($O$5:O214,"À commander"),"")</f>
        <v/>
      </c>
    </row>
    <row r="215">
      <c r="A215" s="37" t="n"/>
      <c r="B215" s="37" t="n"/>
      <c r="C215" s="37" t="n"/>
      <c r="D215" s="37" t="n"/>
      <c r="E215" s="37" t="n"/>
      <c r="F215" s="37" t="n"/>
      <c r="G215" s="38" t="n"/>
      <c r="H215" s="37" t="n"/>
      <c r="I215" s="37" t="n"/>
      <c r="J215" s="37" t="n"/>
      <c r="K215" s="39" t="str">
        <f>IF(A215="","",SUMIFS(mv_qty,mv_ref,A215,mv_type,"Entrée"))</f>
        <v/>
      </c>
      <c r="L215" s="39" t="str">
        <f>IF(A215="","",SUMIFS(mv_qty,mv_ref,A215,mv_type,"Sortie"))</f>
        <v/>
      </c>
      <c r="M215" s="39" t="str">
        <f>IF(A215="","",ROUND(N(H215)+K215-L215,6))</f>
        <v/>
      </c>
      <c r="N215" s="40" t="str">
        <f>IF(A215="","",M215*N(G215))</f>
        <v/>
      </c>
      <c r="O215" s="39" t="str">
        <f>IF(A215="","",IF(M215&lt;=0,"Rupture",IF(AND(I215&lt;&gt;"",M215&lt;=N(I215)),"À commander","OK")))</f>
        <v/>
      </c>
      <c r="P215" s="39" t="str">
        <f>IF(OR(A215="",O215="OK",J215=""),"",MAX(N(J215)-M215,0))</f>
        <v/>
      </c>
      <c r="Q215" s="39" t="str">
        <f>IF(A215="",IF(COUNTA(B215:J215)&gt;0,"Référence manquante",""),IF(COUNTIF($A$5:$A$1004,A215)&gt;1,"Référence en double",IF(B215="","Désignation manquante","OK")))</f>
        <v/>
      </c>
      <c r="R215" s="39" t="str">
        <f>IF(OR(O215="Rupture",O215="À commander"),COUNTIF($O$5:O215,"Rupture")+COUNTIF($O$5:O215,"À commander"),"")</f>
        <v/>
      </c>
    </row>
    <row r="216">
      <c r="A216" s="37" t="n"/>
      <c r="B216" s="37" t="n"/>
      <c r="C216" s="37" t="n"/>
      <c r="D216" s="37" t="n"/>
      <c r="E216" s="37" t="n"/>
      <c r="F216" s="37" t="n"/>
      <c r="G216" s="38" t="n"/>
      <c r="H216" s="37" t="n"/>
      <c r="I216" s="37" t="n"/>
      <c r="J216" s="37" t="n"/>
      <c r="K216" s="39" t="str">
        <f>IF(A216="","",SUMIFS(mv_qty,mv_ref,A216,mv_type,"Entrée"))</f>
        <v/>
      </c>
      <c r="L216" s="39" t="str">
        <f>IF(A216="","",SUMIFS(mv_qty,mv_ref,A216,mv_type,"Sortie"))</f>
        <v/>
      </c>
      <c r="M216" s="39" t="str">
        <f>IF(A216="","",ROUND(N(H216)+K216-L216,6))</f>
        <v/>
      </c>
      <c r="N216" s="40" t="str">
        <f>IF(A216="","",M216*N(G216))</f>
        <v/>
      </c>
      <c r="O216" s="39" t="str">
        <f>IF(A216="","",IF(M216&lt;=0,"Rupture",IF(AND(I216&lt;&gt;"",M216&lt;=N(I216)),"À commander","OK")))</f>
        <v/>
      </c>
      <c r="P216" s="39" t="str">
        <f>IF(OR(A216="",O216="OK",J216=""),"",MAX(N(J216)-M216,0))</f>
        <v/>
      </c>
      <c r="Q216" s="39" t="str">
        <f>IF(A216="",IF(COUNTA(B216:J216)&gt;0,"Référence manquante",""),IF(COUNTIF($A$5:$A$1004,A216)&gt;1,"Référence en double",IF(B216="","Désignation manquante","OK")))</f>
        <v/>
      </c>
      <c r="R216" s="39" t="str">
        <f>IF(OR(O216="Rupture",O216="À commander"),COUNTIF($O$5:O216,"Rupture")+COUNTIF($O$5:O216,"À commander"),"")</f>
        <v/>
      </c>
    </row>
    <row r="217">
      <c r="A217" s="37" t="n"/>
      <c r="B217" s="37" t="n"/>
      <c r="C217" s="37" t="n"/>
      <c r="D217" s="37" t="n"/>
      <c r="E217" s="37" t="n"/>
      <c r="F217" s="37" t="n"/>
      <c r="G217" s="38" t="n"/>
      <c r="H217" s="37" t="n"/>
      <c r="I217" s="37" t="n"/>
      <c r="J217" s="37" t="n"/>
      <c r="K217" s="39" t="str">
        <f>IF(A217="","",SUMIFS(mv_qty,mv_ref,A217,mv_type,"Entrée"))</f>
        <v/>
      </c>
      <c r="L217" s="39" t="str">
        <f>IF(A217="","",SUMIFS(mv_qty,mv_ref,A217,mv_type,"Sortie"))</f>
        <v/>
      </c>
      <c r="M217" s="39" t="str">
        <f>IF(A217="","",ROUND(N(H217)+K217-L217,6))</f>
        <v/>
      </c>
      <c r="N217" s="40" t="str">
        <f>IF(A217="","",M217*N(G217))</f>
        <v/>
      </c>
      <c r="O217" s="39" t="str">
        <f>IF(A217="","",IF(M217&lt;=0,"Rupture",IF(AND(I217&lt;&gt;"",M217&lt;=N(I217)),"À commander","OK")))</f>
        <v/>
      </c>
      <c r="P217" s="39" t="str">
        <f>IF(OR(A217="",O217="OK",J217=""),"",MAX(N(J217)-M217,0))</f>
        <v/>
      </c>
      <c r="Q217" s="39" t="str">
        <f>IF(A217="",IF(COUNTA(B217:J217)&gt;0,"Référence manquante",""),IF(COUNTIF($A$5:$A$1004,A217)&gt;1,"Référence en double",IF(B217="","Désignation manquante","OK")))</f>
        <v/>
      </c>
      <c r="R217" s="39" t="str">
        <f>IF(OR(O217="Rupture",O217="À commander"),COUNTIF($O$5:O217,"Rupture")+COUNTIF($O$5:O217,"À commander"),"")</f>
        <v/>
      </c>
    </row>
    <row r="218">
      <c r="A218" s="37" t="n"/>
      <c r="B218" s="37" t="n"/>
      <c r="C218" s="37" t="n"/>
      <c r="D218" s="37" t="n"/>
      <c r="E218" s="37" t="n"/>
      <c r="F218" s="37" t="n"/>
      <c r="G218" s="38" t="n"/>
      <c r="H218" s="37" t="n"/>
      <c r="I218" s="37" t="n"/>
      <c r="J218" s="37" t="n"/>
      <c r="K218" s="39" t="str">
        <f>IF(A218="","",SUMIFS(mv_qty,mv_ref,A218,mv_type,"Entrée"))</f>
        <v/>
      </c>
      <c r="L218" s="39" t="str">
        <f>IF(A218="","",SUMIFS(mv_qty,mv_ref,A218,mv_type,"Sortie"))</f>
        <v/>
      </c>
      <c r="M218" s="39" t="str">
        <f>IF(A218="","",ROUND(N(H218)+K218-L218,6))</f>
        <v/>
      </c>
      <c r="N218" s="40" t="str">
        <f>IF(A218="","",M218*N(G218))</f>
        <v/>
      </c>
      <c r="O218" s="39" t="str">
        <f>IF(A218="","",IF(M218&lt;=0,"Rupture",IF(AND(I218&lt;&gt;"",M218&lt;=N(I218)),"À commander","OK")))</f>
        <v/>
      </c>
      <c r="P218" s="39" t="str">
        <f>IF(OR(A218="",O218="OK",J218=""),"",MAX(N(J218)-M218,0))</f>
        <v/>
      </c>
      <c r="Q218" s="39" t="str">
        <f>IF(A218="",IF(COUNTA(B218:J218)&gt;0,"Référence manquante",""),IF(COUNTIF($A$5:$A$1004,A218)&gt;1,"Référence en double",IF(B218="","Désignation manquante","OK")))</f>
        <v/>
      </c>
      <c r="R218" s="39" t="str">
        <f>IF(OR(O218="Rupture",O218="À commander"),COUNTIF($O$5:O218,"Rupture")+COUNTIF($O$5:O218,"À commander"),"")</f>
        <v/>
      </c>
    </row>
    <row r="219">
      <c r="A219" s="37" t="n"/>
      <c r="B219" s="37" t="n"/>
      <c r="C219" s="37" t="n"/>
      <c r="D219" s="37" t="n"/>
      <c r="E219" s="37" t="n"/>
      <c r="F219" s="37" t="n"/>
      <c r="G219" s="38" t="n"/>
      <c r="H219" s="37" t="n"/>
      <c r="I219" s="37" t="n"/>
      <c r="J219" s="37" t="n"/>
      <c r="K219" s="39" t="str">
        <f>IF(A219="","",SUMIFS(mv_qty,mv_ref,A219,mv_type,"Entrée"))</f>
        <v/>
      </c>
      <c r="L219" s="39" t="str">
        <f>IF(A219="","",SUMIFS(mv_qty,mv_ref,A219,mv_type,"Sortie"))</f>
        <v/>
      </c>
      <c r="M219" s="39" t="str">
        <f>IF(A219="","",ROUND(N(H219)+K219-L219,6))</f>
        <v/>
      </c>
      <c r="N219" s="40" t="str">
        <f>IF(A219="","",M219*N(G219))</f>
        <v/>
      </c>
      <c r="O219" s="39" t="str">
        <f>IF(A219="","",IF(M219&lt;=0,"Rupture",IF(AND(I219&lt;&gt;"",M219&lt;=N(I219)),"À commander","OK")))</f>
        <v/>
      </c>
      <c r="P219" s="39" t="str">
        <f>IF(OR(A219="",O219="OK",J219=""),"",MAX(N(J219)-M219,0))</f>
        <v/>
      </c>
      <c r="Q219" s="39" t="str">
        <f>IF(A219="",IF(COUNTA(B219:J219)&gt;0,"Référence manquante",""),IF(COUNTIF($A$5:$A$1004,A219)&gt;1,"Référence en double",IF(B219="","Désignation manquante","OK")))</f>
        <v/>
      </c>
      <c r="R219" s="39" t="str">
        <f>IF(OR(O219="Rupture",O219="À commander"),COUNTIF($O$5:O219,"Rupture")+COUNTIF($O$5:O219,"À commander"),"")</f>
        <v/>
      </c>
    </row>
    <row r="220">
      <c r="A220" s="37" t="n"/>
      <c r="B220" s="37" t="n"/>
      <c r="C220" s="37" t="n"/>
      <c r="D220" s="37" t="n"/>
      <c r="E220" s="37" t="n"/>
      <c r="F220" s="37" t="n"/>
      <c r="G220" s="38" t="n"/>
      <c r="H220" s="37" t="n"/>
      <c r="I220" s="37" t="n"/>
      <c r="J220" s="37" t="n"/>
      <c r="K220" s="39" t="str">
        <f>IF(A220="","",SUMIFS(mv_qty,mv_ref,A220,mv_type,"Entrée"))</f>
        <v/>
      </c>
      <c r="L220" s="39" t="str">
        <f>IF(A220="","",SUMIFS(mv_qty,mv_ref,A220,mv_type,"Sortie"))</f>
        <v/>
      </c>
      <c r="M220" s="39" t="str">
        <f>IF(A220="","",ROUND(N(H220)+K220-L220,6))</f>
        <v/>
      </c>
      <c r="N220" s="40" t="str">
        <f>IF(A220="","",M220*N(G220))</f>
        <v/>
      </c>
      <c r="O220" s="39" t="str">
        <f>IF(A220="","",IF(M220&lt;=0,"Rupture",IF(AND(I220&lt;&gt;"",M220&lt;=N(I220)),"À commander","OK")))</f>
        <v/>
      </c>
      <c r="P220" s="39" t="str">
        <f>IF(OR(A220="",O220="OK",J220=""),"",MAX(N(J220)-M220,0))</f>
        <v/>
      </c>
      <c r="Q220" s="39" t="str">
        <f>IF(A220="",IF(COUNTA(B220:J220)&gt;0,"Référence manquante",""),IF(COUNTIF($A$5:$A$1004,A220)&gt;1,"Référence en double",IF(B220="","Désignation manquante","OK")))</f>
        <v/>
      </c>
      <c r="R220" s="39" t="str">
        <f>IF(OR(O220="Rupture",O220="À commander"),COUNTIF($O$5:O220,"Rupture")+COUNTIF($O$5:O220,"À commander"),"")</f>
        <v/>
      </c>
    </row>
    <row r="221">
      <c r="A221" s="37" t="n"/>
      <c r="B221" s="37" t="n"/>
      <c r="C221" s="37" t="n"/>
      <c r="D221" s="37" t="n"/>
      <c r="E221" s="37" t="n"/>
      <c r="F221" s="37" t="n"/>
      <c r="G221" s="38" t="n"/>
      <c r="H221" s="37" t="n"/>
      <c r="I221" s="37" t="n"/>
      <c r="J221" s="37" t="n"/>
      <c r="K221" s="39" t="str">
        <f>IF(A221="","",SUMIFS(mv_qty,mv_ref,A221,mv_type,"Entrée"))</f>
        <v/>
      </c>
      <c r="L221" s="39" t="str">
        <f>IF(A221="","",SUMIFS(mv_qty,mv_ref,A221,mv_type,"Sortie"))</f>
        <v/>
      </c>
      <c r="M221" s="39" t="str">
        <f>IF(A221="","",ROUND(N(H221)+K221-L221,6))</f>
        <v/>
      </c>
      <c r="N221" s="40" t="str">
        <f>IF(A221="","",M221*N(G221))</f>
        <v/>
      </c>
      <c r="O221" s="39" t="str">
        <f>IF(A221="","",IF(M221&lt;=0,"Rupture",IF(AND(I221&lt;&gt;"",M221&lt;=N(I221)),"À commander","OK")))</f>
        <v/>
      </c>
      <c r="P221" s="39" t="str">
        <f>IF(OR(A221="",O221="OK",J221=""),"",MAX(N(J221)-M221,0))</f>
        <v/>
      </c>
      <c r="Q221" s="39" t="str">
        <f>IF(A221="",IF(COUNTA(B221:J221)&gt;0,"Référence manquante",""),IF(COUNTIF($A$5:$A$1004,A221)&gt;1,"Référence en double",IF(B221="","Désignation manquante","OK")))</f>
        <v/>
      </c>
      <c r="R221" s="39" t="str">
        <f>IF(OR(O221="Rupture",O221="À commander"),COUNTIF($O$5:O221,"Rupture")+COUNTIF($O$5:O221,"À commander"),"")</f>
        <v/>
      </c>
    </row>
    <row r="222">
      <c r="A222" s="37" t="n"/>
      <c r="B222" s="37" t="n"/>
      <c r="C222" s="37" t="n"/>
      <c r="D222" s="37" t="n"/>
      <c r="E222" s="37" t="n"/>
      <c r="F222" s="37" t="n"/>
      <c r="G222" s="38" t="n"/>
      <c r="H222" s="37" t="n"/>
      <c r="I222" s="37" t="n"/>
      <c r="J222" s="37" t="n"/>
      <c r="K222" s="39" t="str">
        <f>IF(A222="","",SUMIFS(mv_qty,mv_ref,A222,mv_type,"Entrée"))</f>
        <v/>
      </c>
      <c r="L222" s="39" t="str">
        <f>IF(A222="","",SUMIFS(mv_qty,mv_ref,A222,mv_type,"Sortie"))</f>
        <v/>
      </c>
      <c r="M222" s="39" t="str">
        <f>IF(A222="","",ROUND(N(H222)+K222-L222,6))</f>
        <v/>
      </c>
      <c r="N222" s="40" t="str">
        <f>IF(A222="","",M222*N(G222))</f>
        <v/>
      </c>
      <c r="O222" s="39" t="str">
        <f>IF(A222="","",IF(M222&lt;=0,"Rupture",IF(AND(I222&lt;&gt;"",M222&lt;=N(I222)),"À commander","OK")))</f>
        <v/>
      </c>
      <c r="P222" s="39" t="str">
        <f>IF(OR(A222="",O222="OK",J222=""),"",MAX(N(J222)-M222,0))</f>
        <v/>
      </c>
      <c r="Q222" s="39" t="str">
        <f>IF(A222="",IF(COUNTA(B222:J222)&gt;0,"Référence manquante",""),IF(COUNTIF($A$5:$A$1004,A222)&gt;1,"Référence en double",IF(B222="","Désignation manquante","OK")))</f>
        <v/>
      </c>
      <c r="R222" s="39" t="str">
        <f>IF(OR(O222="Rupture",O222="À commander"),COUNTIF($O$5:O222,"Rupture")+COUNTIF($O$5:O222,"À commander"),"")</f>
        <v/>
      </c>
    </row>
    <row r="223">
      <c r="A223" s="37" t="n"/>
      <c r="B223" s="37" t="n"/>
      <c r="C223" s="37" t="n"/>
      <c r="D223" s="37" t="n"/>
      <c r="E223" s="37" t="n"/>
      <c r="F223" s="37" t="n"/>
      <c r="G223" s="38" t="n"/>
      <c r="H223" s="37" t="n"/>
      <c r="I223" s="37" t="n"/>
      <c r="J223" s="37" t="n"/>
      <c r="K223" s="39" t="str">
        <f>IF(A223="","",SUMIFS(mv_qty,mv_ref,A223,mv_type,"Entrée"))</f>
        <v/>
      </c>
      <c r="L223" s="39" t="str">
        <f>IF(A223="","",SUMIFS(mv_qty,mv_ref,A223,mv_type,"Sortie"))</f>
        <v/>
      </c>
      <c r="M223" s="39" t="str">
        <f>IF(A223="","",ROUND(N(H223)+K223-L223,6))</f>
        <v/>
      </c>
      <c r="N223" s="40" t="str">
        <f>IF(A223="","",M223*N(G223))</f>
        <v/>
      </c>
      <c r="O223" s="39" t="str">
        <f>IF(A223="","",IF(M223&lt;=0,"Rupture",IF(AND(I223&lt;&gt;"",M223&lt;=N(I223)),"À commander","OK")))</f>
        <v/>
      </c>
      <c r="P223" s="39" t="str">
        <f>IF(OR(A223="",O223="OK",J223=""),"",MAX(N(J223)-M223,0))</f>
        <v/>
      </c>
      <c r="Q223" s="39" t="str">
        <f>IF(A223="",IF(COUNTA(B223:J223)&gt;0,"Référence manquante",""),IF(COUNTIF($A$5:$A$1004,A223)&gt;1,"Référence en double",IF(B223="","Désignation manquante","OK")))</f>
        <v/>
      </c>
      <c r="R223" s="39" t="str">
        <f>IF(OR(O223="Rupture",O223="À commander"),COUNTIF($O$5:O223,"Rupture")+COUNTIF($O$5:O223,"À commander"),"")</f>
        <v/>
      </c>
    </row>
    <row r="224">
      <c r="A224" s="37" t="n"/>
      <c r="B224" s="37" t="n"/>
      <c r="C224" s="37" t="n"/>
      <c r="D224" s="37" t="n"/>
      <c r="E224" s="37" t="n"/>
      <c r="F224" s="37" t="n"/>
      <c r="G224" s="38" t="n"/>
      <c r="H224" s="37" t="n"/>
      <c r="I224" s="37" t="n"/>
      <c r="J224" s="37" t="n"/>
      <c r="K224" s="39" t="str">
        <f>IF(A224="","",SUMIFS(mv_qty,mv_ref,A224,mv_type,"Entrée"))</f>
        <v/>
      </c>
      <c r="L224" s="39" t="str">
        <f>IF(A224="","",SUMIFS(mv_qty,mv_ref,A224,mv_type,"Sortie"))</f>
        <v/>
      </c>
      <c r="M224" s="39" t="str">
        <f>IF(A224="","",ROUND(N(H224)+K224-L224,6))</f>
        <v/>
      </c>
      <c r="N224" s="40" t="str">
        <f>IF(A224="","",M224*N(G224))</f>
        <v/>
      </c>
      <c r="O224" s="39" t="str">
        <f>IF(A224="","",IF(M224&lt;=0,"Rupture",IF(AND(I224&lt;&gt;"",M224&lt;=N(I224)),"À commander","OK")))</f>
        <v/>
      </c>
      <c r="P224" s="39" t="str">
        <f>IF(OR(A224="",O224="OK",J224=""),"",MAX(N(J224)-M224,0))</f>
        <v/>
      </c>
      <c r="Q224" s="39" t="str">
        <f>IF(A224="",IF(COUNTA(B224:J224)&gt;0,"Référence manquante",""),IF(COUNTIF($A$5:$A$1004,A224)&gt;1,"Référence en double",IF(B224="","Désignation manquante","OK")))</f>
        <v/>
      </c>
      <c r="R224" s="39" t="str">
        <f>IF(OR(O224="Rupture",O224="À commander"),COUNTIF($O$5:O224,"Rupture")+COUNTIF($O$5:O224,"À commander"),"")</f>
        <v/>
      </c>
    </row>
    <row r="225">
      <c r="A225" s="37" t="n"/>
      <c r="B225" s="37" t="n"/>
      <c r="C225" s="37" t="n"/>
      <c r="D225" s="37" t="n"/>
      <c r="E225" s="37" t="n"/>
      <c r="F225" s="37" t="n"/>
      <c r="G225" s="38" t="n"/>
      <c r="H225" s="37" t="n"/>
      <c r="I225" s="37" t="n"/>
      <c r="J225" s="37" t="n"/>
      <c r="K225" s="39" t="str">
        <f>IF(A225="","",SUMIFS(mv_qty,mv_ref,A225,mv_type,"Entrée"))</f>
        <v/>
      </c>
      <c r="L225" s="39" t="str">
        <f>IF(A225="","",SUMIFS(mv_qty,mv_ref,A225,mv_type,"Sortie"))</f>
        <v/>
      </c>
      <c r="M225" s="39" t="str">
        <f>IF(A225="","",ROUND(N(H225)+K225-L225,6))</f>
        <v/>
      </c>
      <c r="N225" s="40" t="str">
        <f>IF(A225="","",M225*N(G225))</f>
        <v/>
      </c>
      <c r="O225" s="39" t="str">
        <f>IF(A225="","",IF(M225&lt;=0,"Rupture",IF(AND(I225&lt;&gt;"",M225&lt;=N(I225)),"À commander","OK")))</f>
        <v/>
      </c>
      <c r="P225" s="39" t="str">
        <f>IF(OR(A225="",O225="OK",J225=""),"",MAX(N(J225)-M225,0))</f>
        <v/>
      </c>
      <c r="Q225" s="39" t="str">
        <f>IF(A225="",IF(COUNTA(B225:J225)&gt;0,"Référence manquante",""),IF(COUNTIF($A$5:$A$1004,A225)&gt;1,"Référence en double",IF(B225="","Désignation manquante","OK")))</f>
        <v/>
      </c>
      <c r="R225" s="39" t="str">
        <f>IF(OR(O225="Rupture",O225="À commander"),COUNTIF($O$5:O225,"Rupture")+COUNTIF($O$5:O225,"À commander"),"")</f>
        <v/>
      </c>
    </row>
    <row r="226">
      <c r="A226" s="37" t="n"/>
      <c r="B226" s="37" t="n"/>
      <c r="C226" s="37" t="n"/>
      <c r="D226" s="37" t="n"/>
      <c r="E226" s="37" t="n"/>
      <c r="F226" s="37" t="n"/>
      <c r="G226" s="38" t="n"/>
      <c r="H226" s="37" t="n"/>
      <c r="I226" s="37" t="n"/>
      <c r="J226" s="37" t="n"/>
      <c r="K226" s="39" t="str">
        <f>IF(A226="","",SUMIFS(mv_qty,mv_ref,A226,mv_type,"Entrée"))</f>
        <v/>
      </c>
      <c r="L226" s="39" t="str">
        <f>IF(A226="","",SUMIFS(mv_qty,mv_ref,A226,mv_type,"Sortie"))</f>
        <v/>
      </c>
      <c r="M226" s="39" t="str">
        <f>IF(A226="","",ROUND(N(H226)+K226-L226,6))</f>
        <v/>
      </c>
      <c r="N226" s="40" t="str">
        <f>IF(A226="","",M226*N(G226))</f>
        <v/>
      </c>
      <c r="O226" s="39" t="str">
        <f>IF(A226="","",IF(M226&lt;=0,"Rupture",IF(AND(I226&lt;&gt;"",M226&lt;=N(I226)),"À commander","OK")))</f>
        <v/>
      </c>
      <c r="P226" s="39" t="str">
        <f>IF(OR(A226="",O226="OK",J226=""),"",MAX(N(J226)-M226,0))</f>
        <v/>
      </c>
      <c r="Q226" s="39" t="str">
        <f>IF(A226="",IF(COUNTA(B226:J226)&gt;0,"Référence manquante",""),IF(COUNTIF($A$5:$A$1004,A226)&gt;1,"Référence en double",IF(B226="","Désignation manquante","OK")))</f>
        <v/>
      </c>
      <c r="R226" s="39" t="str">
        <f>IF(OR(O226="Rupture",O226="À commander"),COUNTIF($O$5:O226,"Rupture")+COUNTIF($O$5:O226,"À commander"),"")</f>
        <v/>
      </c>
    </row>
    <row r="227">
      <c r="A227" s="37" t="n"/>
      <c r="B227" s="37" t="n"/>
      <c r="C227" s="37" t="n"/>
      <c r="D227" s="37" t="n"/>
      <c r="E227" s="37" t="n"/>
      <c r="F227" s="37" t="n"/>
      <c r="G227" s="38" t="n"/>
      <c r="H227" s="37" t="n"/>
      <c r="I227" s="37" t="n"/>
      <c r="J227" s="37" t="n"/>
      <c r="K227" s="39" t="str">
        <f>IF(A227="","",SUMIFS(mv_qty,mv_ref,A227,mv_type,"Entrée"))</f>
        <v/>
      </c>
      <c r="L227" s="39" t="str">
        <f>IF(A227="","",SUMIFS(mv_qty,mv_ref,A227,mv_type,"Sortie"))</f>
        <v/>
      </c>
      <c r="M227" s="39" t="str">
        <f>IF(A227="","",ROUND(N(H227)+K227-L227,6))</f>
        <v/>
      </c>
      <c r="N227" s="40" t="str">
        <f>IF(A227="","",M227*N(G227))</f>
        <v/>
      </c>
      <c r="O227" s="39" t="str">
        <f>IF(A227="","",IF(M227&lt;=0,"Rupture",IF(AND(I227&lt;&gt;"",M227&lt;=N(I227)),"À commander","OK")))</f>
        <v/>
      </c>
      <c r="P227" s="39" t="str">
        <f>IF(OR(A227="",O227="OK",J227=""),"",MAX(N(J227)-M227,0))</f>
        <v/>
      </c>
      <c r="Q227" s="39" t="str">
        <f>IF(A227="",IF(COUNTA(B227:J227)&gt;0,"Référence manquante",""),IF(COUNTIF($A$5:$A$1004,A227)&gt;1,"Référence en double",IF(B227="","Désignation manquante","OK")))</f>
        <v/>
      </c>
      <c r="R227" s="39" t="str">
        <f>IF(OR(O227="Rupture",O227="À commander"),COUNTIF($O$5:O227,"Rupture")+COUNTIF($O$5:O227,"À commander"),"")</f>
        <v/>
      </c>
    </row>
    <row r="228">
      <c r="A228" s="37" t="n"/>
      <c r="B228" s="37" t="n"/>
      <c r="C228" s="37" t="n"/>
      <c r="D228" s="37" t="n"/>
      <c r="E228" s="37" t="n"/>
      <c r="F228" s="37" t="n"/>
      <c r="G228" s="38" t="n"/>
      <c r="H228" s="37" t="n"/>
      <c r="I228" s="37" t="n"/>
      <c r="J228" s="37" t="n"/>
      <c r="K228" s="39" t="str">
        <f>IF(A228="","",SUMIFS(mv_qty,mv_ref,A228,mv_type,"Entrée"))</f>
        <v/>
      </c>
      <c r="L228" s="39" t="str">
        <f>IF(A228="","",SUMIFS(mv_qty,mv_ref,A228,mv_type,"Sortie"))</f>
        <v/>
      </c>
      <c r="M228" s="39" t="str">
        <f>IF(A228="","",ROUND(N(H228)+K228-L228,6))</f>
        <v/>
      </c>
      <c r="N228" s="40" t="str">
        <f>IF(A228="","",M228*N(G228))</f>
        <v/>
      </c>
      <c r="O228" s="39" t="str">
        <f>IF(A228="","",IF(M228&lt;=0,"Rupture",IF(AND(I228&lt;&gt;"",M228&lt;=N(I228)),"À commander","OK")))</f>
        <v/>
      </c>
      <c r="P228" s="39" t="str">
        <f>IF(OR(A228="",O228="OK",J228=""),"",MAX(N(J228)-M228,0))</f>
        <v/>
      </c>
      <c r="Q228" s="39" t="str">
        <f>IF(A228="",IF(COUNTA(B228:J228)&gt;0,"Référence manquante",""),IF(COUNTIF($A$5:$A$1004,A228)&gt;1,"Référence en double",IF(B228="","Désignation manquante","OK")))</f>
        <v/>
      </c>
      <c r="R228" s="39" t="str">
        <f>IF(OR(O228="Rupture",O228="À commander"),COUNTIF($O$5:O228,"Rupture")+COUNTIF($O$5:O228,"À commander"),"")</f>
        <v/>
      </c>
    </row>
    <row r="229">
      <c r="A229" s="37" t="n"/>
      <c r="B229" s="37" t="n"/>
      <c r="C229" s="37" t="n"/>
      <c r="D229" s="37" t="n"/>
      <c r="E229" s="37" t="n"/>
      <c r="F229" s="37" t="n"/>
      <c r="G229" s="38" t="n"/>
      <c r="H229" s="37" t="n"/>
      <c r="I229" s="37" t="n"/>
      <c r="J229" s="37" t="n"/>
      <c r="K229" s="39" t="str">
        <f>IF(A229="","",SUMIFS(mv_qty,mv_ref,A229,mv_type,"Entrée"))</f>
        <v/>
      </c>
      <c r="L229" s="39" t="str">
        <f>IF(A229="","",SUMIFS(mv_qty,mv_ref,A229,mv_type,"Sortie"))</f>
        <v/>
      </c>
      <c r="M229" s="39" t="str">
        <f>IF(A229="","",ROUND(N(H229)+K229-L229,6))</f>
        <v/>
      </c>
      <c r="N229" s="40" t="str">
        <f>IF(A229="","",M229*N(G229))</f>
        <v/>
      </c>
      <c r="O229" s="39" t="str">
        <f>IF(A229="","",IF(M229&lt;=0,"Rupture",IF(AND(I229&lt;&gt;"",M229&lt;=N(I229)),"À commander","OK")))</f>
        <v/>
      </c>
      <c r="P229" s="39" t="str">
        <f>IF(OR(A229="",O229="OK",J229=""),"",MAX(N(J229)-M229,0))</f>
        <v/>
      </c>
      <c r="Q229" s="39" t="str">
        <f>IF(A229="",IF(COUNTA(B229:J229)&gt;0,"Référence manquante",""),IF(COUNTIF($A$5:$A$1004,A229)&gt;1,"Référence en double",IF(B229="","Désignation manquante","OK")))</f>
        <v/>
      </c>
      <c r="R229" s="39" t="str">
        <f>IF(OR(O229="Rupture",O229="À commander"),COUNTIF($O$5:O229,"Rupture")+COUNTIF($O$5:O229,"À commander"),"")</f>
        <v/>
      </c>
    </row>
    <row r="230">
      <c r="A230" s="37" t="n"/>
      <c r="B230" s="37" t="n"/>
      <c r="C230" s="37" t="n"/>
      <c r="D230" s="37" t="n"/>
      <c r="E230" s="37" t="n"/>
      <c r="F230" s="37" t="n"/>
      <c r="G230" s="38" t="n"/>
      <c r="H230" s="37" t="n"/>
      <c r="I230" s="37" t="n"/>
      <c r="J230" s="37" t="n"/>
      <c r="K230" s="39" t="str">
        <f>IF(A230="","",SUMIFS(mv_qty,mv_ref,A230,mv_type,"Entrée"))</f>
        <v/>
      </c>
      <c r="L230" s="39" t="str">
        <f>IF(A230="","",SUMIFS(mv_qty,mv_ref,A230,mv_type,"Sortie"))</f>
        <v/>
      </c>
      <c r="M230" s="39" t="str">
        <f>IF(A230="","",ROUND(N(H230)+K230-L230,6))</f>
        <v/>
      </c>
      <c r="N230" s="40" t="str">
        <f>IF(A230="","",M230*N(G230))</f>
        <v/>
      </c>
      <c r="O230" s="39" t="str">
        <f>IF(A230="","",IF(M230&lt;=0,"Rupture",IF(AND(I230&lt;&gt;"",M230&lt;=N(I230)),"À commander","OK")))</f>
        <v/>
      </c>
      <c r="P230" s="39" t="str">
        <f>IF(OR(A230="",O230="OK",J230=""),"",MAX(N(J230)-M230,0))</f>
        <v/>
      </c>
      <c r="Q230" s="39" t="str">
        <f>IF(A230="",IF(COUNTA(B230:J230)&gt;0,"Référence manquante",""),IF(COUNTIF($A$5:$A$1004,A230)&gt;1,"Référence en double",IF(B230="","Désignation manquante","OK")))</f>
        <v/>
      </c>
      <c r="R230" s="39" t="str">
        <f>IF(OR(O230="Rupture",O230="À commander"),COUNTIF($O$5:O230,"Rupture")+COUNTIF($O$5:O230,"À commander"),"")</f>
        <v/>
      </c>
    </row>
    <row r="231">
      <c r="A231" s="37" t="n"/>
      <c r="B231" s="37" t="n"/>
      <c r="C231" s="37" t="n"/>
      <c r="D231" s="37" t="n"/>
      <c r="E231" s="37" t="n"/>
      <c r="F231" s="37" t="n"/>
      <c r="G231" s="38" t="n"/>
      <c r="H231" s="37" t="n"/>
      <c r="I231" s="37" t="n"/>
      <c r="J231" s="37" t="n"/>
      <c r="K231" s="39" t="str">
        <f>IF(A231="","",SUMIFS(mv_qty,mv_ref,A231,mv_type,"Entrée"))</f>
        <v/>
      </c>
      <c r="L231" s="39" t="str">
        <f>IF(A231="","",SUMIFS(mv_qty,mv_ref,A231,mv_type,"Sortie"))</f>
        <v/>
      </c>
      <c r="M231" s="39" t="str">
        <f>IF(A231="","",ROUND(N(H231)+K231-L231,6))</f>
        <v/>
      </c>
      <c r="N231" s="40" t="str">
        <f>IF(A231="","",M231*N(G231))</f>
        <v/>
      </c>
      <c r="O231" s="39" t="str">
        <f>IF(A231="","",IF(M231&lt;=0,"Rupture",IF(AND(I231&lt;&gt;"",M231&lt;=N(I231)),"À commander","OK")))</f>
        <v/>
      </c>
      <c r="P231" s="39" t="str">
        <f>IF(OR(A231="",O231="OK",J231=""),"",MAX(N(J231)-M231,0))</f>
        <v/>
      </c>
      <c r="Q231" s="39" t="str">
        <f>IF(A231="",IF(COUNTA(B231:J231)&gt;0,"Référence manquante",""),IF(COUNTIF($A$5:$A$1004,A231)&gt;1,"Référence en double",IF(B231="","Désignation manquante","OK")))</f>
        <v/>
      </c>
      <c r="R231" s="39" t="str">
        <f>IF(OR(O231="Rupture",O231="À commander"),COUNTIF($O$5:O231,"Rupture")+COUNTIF($O$5:O231,"À commander"),"")</f>
        <v/>
      </c>
    </row>
    <row r="232">
      <c r="A232" s="37" t="n"/>
      <c r="B232" s="37" t="n"/>
      <c r="C232" s="37" t="n"/>
      <c r="D232" s="37" t="n"/>
      <c r="E232" s="37" t="n"/>
      <c r="F232" s="37" t="n"/>
      <c r="G232" s="38" t="n"/>
      <c r="H232" s="37" t="n"/>
      <c r="I232" s="37" t="n"/>
      <c r="J232" s="37" t="n"/>
      <c r="K232" s="39" t="str">
        <f>IF(A232="","",SUMIFS(mv_qty,mv_ref,A232,mv_type,"Entrée"))</f>
        <v/>
      </c>
      <c r="L232" s="39" t="str">
        <f>IF(A232="","",SUMIFS(mv_qty,mv_ref,A232,mv_type,"Sortie"))</f>
        <v/>
      </c>
      <c r="M232" s="39" t="str">
        <f>IF(A232="","",ROUND(N(H232)+K232-L232,6))</f>
        <v/>
      </c>
      <c r="N232" s="40" t="str">
        <f>IF(A232="","",M232*N(G232))</f>
        <v/>
      </c>
      <c r="O232" s="39" t="str">
        <f>IF(A232="","",IF(M232&lt;=0,"Rupture",IF(AND(I232&lt;&gt;"",M232&lt;=N(I232)),"À commander","OK")))</f>
        <v/>
      </c>
      <c r="P232" s="39" t="str">
        <f>IF(OR(A232="",O232="OK",J232=""),"",MAX(N(J232)-M232,0))</f>
        <v/>
      </c>
      <c r="Q232" s="39" t="str">
        <f>IF(A232="",IF(COUNTA(B232:J232)&gt;0,"Référence manquante",""),IF(COUNTIF($A$5:$A$1004,A232)&gt;1,"Référence en double",IF(B232="","Désignation manquante","OK")))</f>
        <v/>
      </c>
      <c r="R232" s="39" t="str">
        <f>IF(OR(O232="Rupture",O232="À commander"),COUNTIF($O$5:O232,"Rupture")+COUNTIF($O$5:O232,"À commander"),"")</f>
        <v/>
      </c>
    </row>
    <row r="233">
      <c r="A233" s="37" t="n"/>
      <c r="B233" s="37" t="n"/>
      <c r="C233" s="37" t="n"/>
      <c r="D233" s="37" t="n"/>
      <c r="E233" s="37" t="n"/>
      <c r="F233" s="37" t="n"/>
      <c r="G233" s="38" t="n"/>
      <c r="H233" s="37" t="n"/>
      <c r="I233" s="37" t="n"/>
      <c r="J233" s="37" t="n"/>
      <c r="K233" s="39" t="str">
        <f>IF(A233="","",SUMIFS(mv_qty,mv_ref,A233,mv_type,"Entrée"))</f>
        <v/>
      </c>
      <c r="L233" s="39" t="str">
        <f>IF(A233="","",SUMIFS(mv_qty,mv_ref,A233,mv_type,"Sortie"))</f>
        <v/>
      </c>
      <c r="M233" s="39" t="str">
        <f>IF(A233="","",ROUND(N(H233)+K233-L233,6))</f>
        <v/>
      </c>
      <c r="N233" s="40" t="str">
        <f>IF(A233="","",M233*N(G233))</f>
        <v/>
      </c>
      <c r="O233" s="39" t="str">
        <f>IF(A233="","",IF(M233&lt;=0,"Rupture",IF(AND(I233&lt;&gt;"",M233&lt;=N(I233)),"À commander","OK")))</f>
        <v/>
      </c>
      <c r="P233" s="39" t="str">
        <f>IF(OR(A233="",O233="OK",J233=""),"",MAX(N(J233)-M233,0))</f>
        <v/>
      </c>
      <c r="Q233" s="39" t="str">
        <f>IF(A233="",IF(COUNTA(B233:J233)&gt;0,"Référence manquante",""),IF(COUNTIF($A$5:$A$1004,A233)&gt;1,"Référence en double",IF(B233="","Désignation manquante","OK")))</f>
        <v/>
      </c>
      <c r="R233" s="39" t="str">
        <f>IF(OR(O233="Rupture",O233="À commander"),COUNTIF($O$5:O233,"Rupture")+COUNTIF($O$5:O233,"À commander"),"")</f>
        <v/>
      </c>
    </row>
    <row r="234">
      <c r="A234" s="37" t="n"/>
      <c r="B234" s="37" t="n"/>
      <c r="C234" s="37" t="n"/>
      <c r="D234" s="37" t="n"/>
      <c r="E234" s="37" t="n"/>
      <c r="F234" s="37" t="n"/>
      <c r="G234" s="38" t="n"/>
      <c r="H234" s="37" t="n"/>
      <c r="I234" s="37" t="n"/>
      <c r="J234" s="37" t="n"/>
      <c r="K234" s="39" t="str">
        <f>IF(A234="","",SUMIFS(mv_qty,mv_ref,A234,mv_type,"Entrée"))</f>
        <v/>
      </c>
      <c r="L234" s="39" t="str">
        <f>IF(A234="","",SUMIFS(mv_qty,mv_ref,A234,mv_type,"Sortie"))</f>
        <v/>
      </c>
      <c r="M234" s="39" t="str">
        <f>IF(A234="","",ROUND(N(H234)+K234-L234,6))</f>
        <v/>
      </c>
      <c r="N234" s="40" t="str">
        <f>IF(A234="","",M234*N(G234))</f>
        <v/>
      </c>
      <c r="O234" s="39" t="str">
        <f>IF(A234="","",IF(M234&lt;=0,"Rupture",IF(AND(I234&lt;&gt;"",M234&lt;=N(I234)),"À commander","OK")))</f>
        <v/>
      </c>
      <c r="P234" s="39" t="str">
        <f>IF(OR(A234="",O234="OK",J234=""),"",MAX(N(J234)-M234,0))</f>
        <v/>
      </c>
      <c r="Q234" s="39" t="str">
        <f>IF(A234="",IF(COUNTA(B234:J234)&gt;0,"Référence manquante",""),IF(COUNTIF($A$5:$A$1004,A234)&gt;1,"Référence en double",IF(B234="","Désignation manquante","OK")))</f>
        <v/>
      </c>
      <c r="R234" s="39" t="str">
        <f>IF(OR(O234="Rupture",O234="À commander"),COUNTIF($O$5:O234,"Rupture")+COUNTIF($O$5:O234,"À commander"),"")</f>
        <v/>
      </c>
    </row>
    <row r="235">
      <c r="A235" s="37" t="n"/>
      <c r="B235" s="37" t="n"/>
      <c r="C235" s="37" t="n"/>
      <c r="D235" s="37" t="n"/>
      <c r="E235" s="37" t="n"/>
      <c r="F235" s="37" t="n"/>
      <c r="G235" s="38" t="n"/>
      <c r="H235" s="37" t="n"/>
      <c r="I235" s="37" t="n"/>
      <c r="J235" s="37" t="n"/>
      <c r="K235" s="39" t="str">
        <f>IF(A235="","",SUMIFS(mv_qty,mv_ref,A235,mv_type,"Entrée"))</f>
        <v/>
      </c>
      <c r="L235" s="39" t="str">
        <f>IF(A235="","",SUMIFS(mv_qty,mv_ref,A235,mv_type,"Sortie"))</f>
        <v/>
      </c>
      <c r="M235" s="39" t="str">
        <f>IF(A235="","",ROUND(N(H235)+K235-L235,6))</f>
        <v/>
      </c>
      <c r="N235" s="40" t="str">
        <f>IF(A235="","",M235*N(G235))</f>
        <v/>
      </c>
      <c r="O235" s="39" t="str">
        <f>IF(A235="","",IF(M235&lt;=0,"Rupture",IF(AND(I235&lt;&gt;"",M235&lt;=N(I235)),"À commander","OK")))</f>
        <v/>
      </c>
      <c r="P235" s="39" t="str">
        <f>IF(OR(A235="",O235="OK",J235=""),"",MAX(N(J235)-M235,0))</f>
        <v/>
      </c>
      <c r="Q235" s="39" t="str">
        <f>IF(A235="",IF(COUNTA(B235:J235)&gt;0,"Référence manquante",""),IF(COUNTIF($A$5:$A$1004,A235)&gt;1,"Référence en double",IF(B235="","Désignation manquante","OK")))</f>
        <v/>
      </c>
      <c r="R235" s="39" t="str">
        <f>IF(OR(O235="Rupture",O235="À commander"),COUNTIF($O$5:O235,"Rupture")+COUNTIF($O$5:O235,"À commander"),"")</f>
        <v/>
      </c>
    </row>
    <row r="236">
      <c r="A236" s="37" t="n"/>
      <c r="B236" s="37" t="n"/>
      <c r="C236" s="37" t="n"/>
      <c r="D236" s="37" t="n"/>
      <c r="E236" s="37" t="n"/>
      <c r="F236" s="37" t="n"/>
      <c r="G236" s="38" t="n"/>
      <c r="H236" s="37" t="n"/>
      <c r="I236" s="37" t="n"/>
      <c r="J236" s="37" t="n"/>
      <c r="K236" s="39" t="str">
        <f>IF(A236="","",SUMIFS(mv_qty,mv_ref,A236,mv_type,"Entrée"))</f>
        <v/>
      </c>
      <c r="L236" s="39" t="str">
        <f>IF(A236="","",SUMIFS(mv_qty,mv_ref,A236,mv_type,"Sortie"))</f>
        <v/>
      </c>
      <c r="M236" s="39" t="str">
        <f>IF(A236="","",ROUND(N(H236)+K236-L236,6))</f>
        <v/>
      </c>
      <c r="N236" s="40" t="str">
        <f>IF(A236="","",M236*N(G236))</f>
        <v/>
      </c>
      <c r="O236" s="39" t="str">
        <f>IF(A236="","",IF(M236&lt;=0,"Rupture",IF(AND(I236&lt;&gt;"",M236&lt;=N(I236)),"À commander","OK")))</f>
        <v/>
      </c>
      <c r="P236" s="39" t="str">
        <f>IF(OR(A236="",O236="OK",J236=""),"",MAX(N(J236)-M236,0))</f>
        <v/>
      </c>
      <c r="Q236" s="39" t="str">
        <f>IF(A236="",IF(COUNTA(B236:J236)&gt;0,"Référence manquante",""),IF(COUNTIF($A$5:$A$1004,A236)&gt;1,"Référence en double",IF(B236="","Désignation manquante","OK")))</f>
        <v/>
      </c>
      <c r="R236" s="39" t="str">
        <f>IF(OR(O236="Rupture",O236="À commander"),COUNTIF($O$5:O236,"Rupture")+COUNTIF($O$5:O236,"À commander"),"")</f>
        <v/>
      </c>
    </row>
    <row r="237">
      <c r="A237" s="37" t="n"/>
      <c r="B237" s="37" t="n"/>
      <c r="C237" s="37" t="n"/>
      <c r="D237" s="37" t="n"/>
      <c r="E237" s="37" t="n"/>
      <c r="F237" s="37" t="n"/>
      <c r="G237" s="38" t="n"/>
      <c r="H237" s="37" t="n"/>
      <c r="I237" s="37" t="n"/>
      <c r="J237" s="37" t="n"/>
      <c r="K237" s="39" t="str">
        <f>IF(A237="","",SUMIFS(mv_qty,mv_ref,A237,mv_type,"Entrée"))</f>
        <v/>
      </c>
      <c r="L237" s="39" t="str">
        <f>IF(A237="","",SUMIFS(mv_qty,mv_ref,A237,mv_type,"Sortie"))</f>
        <v/>
      </c>
      <c r="M237" s="39" t="str">
        <f>IF(A237="","",ROUND(N(H237)+K237-L237,6))</f>
        <v/>
      </c>
      <c r="N237" s="40" t="str">
        <f>IF(A237="","",M237*N(G237))</f>
        <v/>
      </c>
      <c r="O237" s="39" t="str">
        <f>IF(A237="","",IF(M237&lt;=0,"Rupture",IF(AND(I237&lt;&gt;"",M237&lt;=N(I237)),"À commander","OK")))</f>
        <v/>
      </c>
      <c r="P237" s="39" t="str">
        <f>IF(OR(A237="",O237="OK",J237=""),"",MAX(N(J237)-M237,0))</f>
        <v/>
      </c>
      <c r="Q237" s="39" t="str">
        <f>IF(A237="",IF(COUNTA(B237:J237)&gt;0,"Référence manquante",""),IF(COUNTIF($A$5:$A$1004,A237)&gt;1,"Référence en double",IF(B237="","Désignation manquante","OK")))</f>
        <v/>
      </c>
      <c r="R237" s="39" t="str">
        <f>IF(OR(O237="Rupture",O237="À commander"),COUNTIF($O$5:O237,"Rupture")+COUNTIF($O$5:O237,"À commander"),"")</f>
        <v/>
      </c>
    </row>
    <row r="238">
      <c r="A238" s="37" t="n"/>
      <c r="B238" s="37" t="n"/>
      <c r="C238" s="37" t="n"/>
      <c r="D238" s="37" t="n"/>
      <c r="E238" s="37" t="n"/>
      <c r="F238" s="37" t="n"/>
      <c r="G238" s="38" t="n"/>
      <c r="H238" s="37" t="n"/>
      <c r="I238" s="37" t="n"/>
      <c r="J238" s="37" t="n"/>
      <c r="K238" s="39" t="str">
        <f>IF(A238="","",SUMIFS(mv_qty,mv_ref,A238,mv_type,"Entrée"))</f>
        <v/>
      </c>
      <c r="L238" s="39" t="str">
        <f>IF(A238="","",SUMIFS(mv_qty,mv_ref,A238,mv_type,"Sortie"))</f>
        <v/>
      </c>
      <c r="M238" s="39" t="str">
        <f>IF(A238="","",ROUND(N(H238)+K238-L238,6))</f>
        <v/>
      </c>
      <c r="N238" s="40" t="str">
        <f>IF(A238="","",M238*N(G238))</f>
        <v/>
      </c>
      <c r="O238" s="39" t="str">
        <f>IF(A238="","",IF(M238&lt;=0,"Rupture",IF(AND(I238&lt;&gt;"",M238&lt;=N(I238)),"À commander","OK")))</f>
        <v/>
      </c>
      <c r="P238" s="39" t="str">
        <f>IF(OR(A238="",O238="OK",J238=""),"",MAX(N(J238)-M238,0))</f>
        <v/>
      </c>
      <c r="Q238" s="39" t="str">
        <f>IF(A238="",IF(COUNTA(B238:J238)&gt;0,"Référence manquante",""),IF(COUNTIF($A$5:$A$1004,A238)&gt;1,"Référence en double",IF(B238="","Désignation manquante","OK")))</f>
        <v/>
      </c>
      <c r="R238" s="39" t="str">
        <f>IF(OR(O238="Rupture",O238="À commander"),COUNTIF($O$5:O238,"Rupture")+COUNTIF($O$5:O238,"À commander"),"")</f>
        <v/>
      </c>
    </row>
    <row r="239">
      <c r="A239" s="37" t="n"/>
      <c r="B239" s="37" t="n"/>
      <c r="C239" s="37" t="n"/>
      <c r="D239" s="37" t="n"/>
      <c r="E239" s="37" t="n"/>
      <c r="F239" s="37" t="n"/>
      <c r="G239" s="38" t="n"/>
      <c r="H239" s="37" t="n"/>
      <c r="I239" s="37" t="n"/>
      <c r="J239" s="37" t="n"/>
      <c r="K239" s="39" t="str">
        <f>IF(A239="","",SUMIFS(mv_qty,mv_ref,A239,mv_type,"Entrée"))</f>
        <v/>
      </c>
      <c r="L239" s="39" t="str">
        <f>IF(A239="","",SUMIFS(mv_qty,mv_ref,A239,mv_type,"Sortie"))</f>
        <v/>
      </c>
      <c r="M239" s="39" t="str">
        <f>IF(A239="","",ROUND(N(H239)+K239-L239,6))</f>
        <v/>
      </c>
      <c r="N239" s="40" t="str">
        <f>IF(A239="","",M239*N(G239))</f>
        <v/>
      </c>
      <c r="O239" s="39" t="str">
        <f>IF(A239="","",IF(M239&lt;=0,"Rupture",IF(AND(I239&lt;&gt;"",M239&lt;=N(I239)),"À commander","OK")))</f>
        <v/>
      </c>
      <c r="P239" s="39" t="str">
        <f>IF(OR(A239="",O239="OK",J239=""),"",MAX(N(J239)-M239,0))</f>
        <v/>
      </c>
      <c r="Q239" s="39" t="str">
        <f>IF(A239="",IF(COUNTA(B239:J239)&gt;0,"Référence manquante",""),IF(COUNTIF($A$5:$A$1004,A239)&gt;1,"Référence en double",IF(B239="","Désignation manquante","OK")))</f>
        <v/>
      </c>
      <c r="R239" s="39" t="str">
        <f>IF(OR(O239="Rupture",O239="À commander"),COUNTIF($O$5:O239,"Rupture")+COUNTIF($O$5:O239,"À commander"),"")</f>
        <v/>
      </c>
    </row>
    <row r="240">
      <c r="A240" s="37" t="n"/>
      <c r="B240" s="37" t="n"/>
      <c r="C240" s="37" t="n"/>
      <c r="D240" s="37" t="n"/>
      <c r="E240" s="37" t="n"/>
      <c r="F240" s="37" t="n"/>
      <c r="G240" s="38" t="n"/>
      <c r="H240" s="37" t="n"/>
      <c r="I240" s="37" t="n"/>
      <c r="J240" s="37" t="n"/>
      <c r="K240" s="39" t="str">
        <f>IF(A240="","",SUMIFS(mv_qty,mv_ref,A240,mv_type,"Entrée"))</f>
        <v/>
      </c>
      <c r="L240" s="39" t="str">
        <f>IF(A240="","",SUMIFS(mv_qty,mv_ref,A240,mv_type,"Sortie"))</f>
        <v/>
      </c>
      <c r="M240" s="39" t="str">
        <f>IF(A240="","",ROUND(N(H240)+K240-L240,6))</f>
        <v/>
      </c>
      <c r="N240" s="40" t="str">
        <f>IF(A240="","",M240*N(G240))</f>
        <v/>
      </c>
      <c r="O240" s="39" t="str">
        <f>IF(A240="","",IF(M240&lt;=0,"Rupture",IF(AND(I240&lt;&gt;"",M240&lt;=N(I240)),"À commander","OK")))</f>
        <v/>
      </c>
      <c r="P240" s="39" t="str">
        <f>IF(OR(A240="",O240="OK",J240=""),"",MAX(N(J240)-M240,0))</f>
        <v/>
      </c>
      <c r="Q240" s="39" t="str">
        <f>IF(A240="",IF(COUNTA(B240:J240)&gt;0,"Référence manquante",""),IF(COUNTIF($A$5:$A$1004,A240)&gt;1,"Référence en double",IF(B240="","Désignation manquante","OK")))</f>
        <v/>
      </c>
      <c r="R240" s="39" t="str">
        <f>IF(OR(O240="Rupture",O240="À commander"),COUNTIF($O$5:O240,"Rupture")+COUNTIF($O$5:O240,"À commander"),"")</f>
        <v/>
      </c>
    </row>
    <row r="241">
      <c r="A241" s="37" t="n"/>
      <c r="B241" s="37" t="n"/>
      <c r="C241" s="37" t="n"/>
      <c r="D241" s="37" t="n"/>
      <c r="E241" s="37" t="n"/>
      <c r="F241" s="37" t="n"/>
      <c r="G241" s="38" t="n"/>
      <c r="H241" s="37" t="n"/>
      <c r="I241" s="37" t="n"/>
      <c r="J241" s="37" t="n"/>
      <c r="K241" s="39" t="str">
        <f>IF(A241="","",SUMIFS(mv_qty,mv_ref,A241,mv_type,"Entrée"))</f>
        <v/>
      </c>
      <c r="L241" s="39" t="str">
        <f>IF(A241="","",SUMIFS(mv_qty,mv_ref,A241,mv_type,"Sortie"))</f>
        <v/>
      </c>
      <c r="M241" s="39" t="str">
        <f>IF(A241="","",ROUND(N(H241)+K241-L241,6))</f>
        <v/>
      </c>
      <c r="N241" s="40" t="str">
        <f>IF(A241="","",M241*N(G241))</f>
        <v/>
      </c>
      <c r="O241" s="39" t="str">
        <f>IF(A241="","",IF(M241&lt;=0,"Rupture",IF(AND(I241&lt;&gt;"",M241&lt;=N(I241)),"À commander","OK")))</f>
        <v/>
      </c>
      <c r="P241" s="39" t="str">
        <f>IF(OR(A241="",O241="OK",J241=""),"",MAX(N(J241)-M241,0))</f>
        <v/>
      </c>
      <c r="Q241" s="39" t="str">
        <f>IF(A241="",IF(COUNTA(B241:J241)&gt;0,"Référence manquante",""),IF(COUNTIF($A$5:$A$1004,A241)&gt;1,"Référence en double",IF(B241="","Désignation manquante","OK")))</f>
        <v/>
      </c>
      <c r="R241" s="39" t="str">
        <f>IF(OR(O241="Rupture",O241="À commander"),COUNTIF($O$5:O241,"Rupture")+COUNTIF($O$5:O241,"À commander"),"")</f>
        <v/>
      </c>
    </row>
    <row r="242">
      <c r="A242" s="37" t="n"/>
      <c r="B242" s="37" t="n"/>
      <c r="C242" s="37" t="n"/>
      <c r="D242" s="37" t="n"/>
      <c r="E242" s="37" t="n"/>
      <c r="F242" s="37" t="n"/>
      <c r="G242" s="38" t="n"/>
      <c r="H242" s="37" t="n"/>
      <c r="I242" s="37" t="n"/>
      <c r="J242" s="37" t="n"/>
      <c r="K242" s="39" t="str">
        <f>IF(A242="","",SUMIFS(mv_qty,mv_ref,A242,mv_type,"Entrée"))</f>
        <v/>
      </c>
      <c r="L242" s="39" t="str">
        <f>IF(A242="","",SUMIFS(mv_qty,mv_ref,A242,mv_type,"Sortie"))</f>
        <v/>
      </c>
      <c r="M242" s="39" t="str">
        <f>IF(A242="","",ROUND(N(H242)+K242-L242,6))</f>
        <v/>
      </c>
      <c r="N242" s="40" t="str">
        <f>IF(A242="","",M242*N(G242))</f>
        <v/>
      </c>
      <c r="O242" s="39" t="str">
        <f>IF(A242="","",IF(M242&lt;=0,"Rupture",IF(AND(I242&lt;&gt;"",M242&lt;=N(I242)),"À commander","OK")))</f>
        <v/>
      </c>
      <c r="P242" s="39" t="str">
        <f>IF(OR(A242="",O242="OK",J242=""),"",MAX(N(J242)-M242,0))</f>
        <v/>
      </c>
      <c r="Q242" s="39" t="str">
        <f>IF(A242="",IF(COUNTA(B242:J242)&gt;0,"Référence manquante",""),IF(COUNTIF($A$5:$A$1004,A242)&gt;1,"Référence en double",IF(B242="","Désignation manquante","OK")))</f>
        <v/>
      </c>
      <c r="R242" s="39" t="str">
        <f>IF(OR(O242="Rupture",O242="À commander"),COUNTIF($O$5:O242,"Rupture")+COUNTIF($O$5:O242,"À commander"),"")</f>
        <v/>
      </c>
    </row>
    <row r="243">
      <c r="A243" s="37" t="n"/>
      <c r="B243" s="37" t="n"/>
      <c r="C243" s="37" t="n"/>
      <c r="D243" s="37" t="n"/>
      <c r="E243" s="37" t="n"/>
      <c r="F243" s="37" t="n"/>
      <c r="G243" s="38" t="n"/>
      <c r="H243" s="37" t="n"/>
      <c r="I243" s="37" t="n"/>
      <c r="J243" s="37" t="n"/>
      <c r="K243" s="39" t="str">
        <f>IF(A243="","",SUMIFS(mv_qty,mv_ref,A243,mv_type,"Entrée"))</f>
        <v/>
      </c>
      <c r="L243" s="39" t="str">
        <f>IF(A243="","",SUMIFS(mv_qty,mv_ref,A243,mv_type,"Sortie"))</f>
        <v/>
      </c>
      <c r="M243" s="39" t="str">
        <f>IF(A243="","",ROUND(N(H243)+K243-L243,6))</f>
        <v/>
      </c>
      <c r="N243" s="40" t="str">
        <f>IF(A243="","",M243*N(G243))</f>
        <v/>
      </c>
      <c r="O243" s="39" t="str">
        <f>IF(A243="","",IF(M243&lt;=0,"Rupture",IF(AND(I243&lt;&gt;"",M243&lt;=N(I243)),"À commander","OK")))</f>
        <v/>
      </c>
      <c r="P243" s="39" t="str">
        <f>IF(OR(A243="",O243="OK",J243=""),"",MAX(N(J243)-M243,0))</f>
        <v/>
      </c>
      <c r="Q243" s="39" t="str">
        <f>IF(A243="",IF(COUNTA(B243:J243)&gt;0,"Référence manquante",""),IF(COUNTIF($A$5:$A$1004,A243)&gt;1,"Référence en double",IF(B243="","Désignation manquante","OK")))</f>
        <v/>
      </c>
      <c r="R243" s="39" t="str">
        <f>IF(OR(O243="Rupture",O243="À commander"),COUNTIF($O$5:O243,"Rupture")+COUNTIF($O$5:O243,"À commander"),"")</f>
        <v/>
      </c>
    </row>
    <row r="244">
      <c r="A244" s="37" t="n"/>
      <c r="B244" s="37" t="n"/>
      <c r="C244" s="37" t="n"/>
      <c r="D244" s="37" t="n"/>
      <c r="E244" s="37" t="n"/>
      <c r="F244" s="37" t="n"/>
      <c r="G244" s="38" t="n"/>
      <c r="H244" s="37" t="n"/>
      <c r="I244" s="37" t="n"/>
      <c r="J244" s="37" t="n"/>
      <c r="K244" s="39" t="str">
        <f>IF(A244="","",SUMIFS(mv_qty,mv_ref,A244,mv_type,"Entrée"))</f>
        <v/>
      </c>
      <c r="L244" s="39" t="str">
        <f>IF(A244="","",SUMIFS(mv_qty,mv_ref,A244,mv_type,"Sortie"))</f>
        <v/>
      </c>
      <c r="M244" s="39" t="str">
        <f>IF(A244="","",ROUND(N(H244)+K244-L244,6))</f>
        <v/>
      </c>
      <c r="N244" s="40" t="str">
        <f>IF(A244="","",M244*N(G244))</f>
        <v/>
      </c>
      <c r="O244" s="39" t="str">
        <f>IF(A244="","",IF(M244&lt;=0,"Rupture",IF(AND(I244&lt;&gt;"",M244&lt;=N(I244)),"À commander","OK")))</f>
        <v/>
      </c>
      <c r="P244" s="39" t="str">
        <f>IF(OR(A244="",O244="OK",J244=""),"",MAX(N(J244)-M244,0))</f>
        <v/>
      </c>
      <c r="Q244" s="39" t="str">
        <f>IF(A244="",IF(COUNTA(B244:J244)&gt;0,"Référence manquante",""),IF(COUNTIF($A$5:$A$1004,A244)&gt;1,"Référence en double",IF(B244="","Désignation manquante","OK")))</f>
        <v/>
      </c>
      <c r="R244" s="39" t="str">
        <f>IF(OR(O244="Rupture",O244="À commander"),COUNTIF($O$5:O244,"Rupture")+COUNTIF($O$5:O244,"À commander"),"")</f>
        <v/>
      </c>
    </row>
    <row r="245">
      <c r="A245" s="37" t="n"/>
      <c r="B245" s="37" t="n"/>
      <c r="C245" s="37" t="n"/>
      <c r="D245" s="37" t="n"/>
      <c r="E245" s="37" t="n"/>
      <c r="F245" s="37" t="n"/>
      <c r="G245" s="38" t="n"/>
      <c r="H245" s="37" t="n"/>
      <c r="I245" s="37" t="n"/>
      <c r="J245" s="37" t="n"/>
      <c r="K245" s="39" t="str">
        <f>IF(A245="","",SUMIFS(mv_qty,mv_ref,A245,mv_type,"Entrée"))</f>
        <v/>
      </c>
      <c r="L245" s="39" t="str">
        <f>IF(A245="","",SUMIFS(mv_qty,mv_ref,A245,mv_type,"Sortie"))</f>
        <v/>
      </c>
      <c r="M245" s="39" t="str">
        <f>IF(A245="","",ROUND(N(H245)+K245-L245,6))</f>
        <v/>
      </c>
      <c r="N245" s="40" t="str">
        <f>IF(A245="","",M245*N(G245))</f>
        <v/>
      </c>
      <c r="O245" s="39" t="str">
        <f>IF(A245="","",IF(M245&lt;=0,"Rupture",IF(AND(I245&lt;&gt;"",M245&lt;=N(I245)),"À commander","OK")))</f>
        <v/>
      </c>
      <c r="P245" s="39" t="str">
        <f>IF(OR(A245="",O245="OK",J245=""),"",MAX(N(J245)-M245,0))</f>
        <v/>
      </c>
      <c r="Q245" s="39" t="str">
        <f>IF(A245="",IF(COUNTA(B245:J245)&gt;0,"Référence manquante",""),IF(COUNTIF($A$5:$A$1004,A245)&gt;1,"Référence en double",IF(B245="","Désignation manquante","OK")))</f>
        <v/>
      </c>
      <c r="R245" s="39" t="str">
        <f>IF(OR(O245="Rupture",O245="À commander"),COUNTIF($O$5:O245,"Rupture")+COUNTIF($O$5:O245,"À commander"),"")</f>
        <v/>
      </c>
    </row>
    <row r="246">
      <c r="A246" s="37" t="n"/>
      <c r="B246" s="37" t="n"/>
      <c r="C246" s="37" t="n"/>
      <c r="D246" s="37" t="n"/>
      <c r="E246" s="37" t="n"/>
      <c r="F246" s="37" t="n"/>
      <c r="G246" s="38" t="n"/>
      <c r="H246" s="37" t="n"/>
      <c r="I246" s="37" t="n"/>
      <c r="J246" s="37" t="n"/>
      <c r="K246" s="39" t="str">
        <f>IF(A246="","",SUMIFS(mv_qty,mv_ref,A246,mv_type,"Entrée"))</f>
        <v/>
      </c>
      <c r="L246" s="39" t="str">
        <f>IF(A246="","",SUMIFS(mv_qty,mv_ref,A246,mv_type,"Sortie"))</f>
        <v/>
      </c>
      <c r="M246" s="39" t="str">
        <f>IF(A246="","",ROUND(N(H246)+K246-L246,6))</f>
        <v/>
      </c>
      <c r="N246" s="40" t="str">
        <f>IF(A246="","",M246*N(G246))</f>
        <v/>
      </c>
      <c r="O246" s="39" t="str">
        <f>IF(A246="","",IF(M246&lt;=0,"Rupture",IF(AND(I246&lt;&gt;"",M246&lt;=N(I246)),"À commander","OK")))</f>
        <v/>
      </c>
      <c r="P246" s="39" t="str">
        <f>IF(OR(A246="",O246="OK",J246=""),"",MAX(N(J246)-M246,0))</f>
        <v/>
      </c>
      <c r="Q246" s="39" t="str">
        <f>IF(A246="",IF(COUNTA(B246:J246)&gt;0,"Référence manquante",""),IF(COUNTIF($A$5:$A$1004,A246)&gt;1,"Référence en double",IF(B246="","Désignation manquante","OK")))</f>
        <v/>
      </c>
      <c r="R246" s="39" t="str">
        <f>IF(OR(O246="Rupture",O246="À commander"),COUNTIF($O$5:O246,"Rupture")+COUNTIF($O$5:O246,"À commander"),"")</f>
        <v/>
      </c>
    </row>
    <row r="247">
      <c r="A247" s="37" t="n"/>
      <c r="B247" s="37" t="n"/>
      <c r="C247" s="37" t="n"/>
      <c r="D247" s="37" t="n"/>
      <c r="E247" s="37" t="n"/>
      <c r="F247" s="37" t="n"/>
      <c r="G247" s="38" t="n"/>
      <c r="H247" s="37" t="n"/>
      <c r="I247" s="37" t="n"/>
      <c r="J247" s="37" t="n"/>
      <c r="K247" s="39" t="str">
        <f>IF(A247="","",SUMIFS(mv_qty,mv_ref,A247,mv_type,"Entrée"))</f>
        <v/>
      </c>
      <c r="L247" s="39" t="str">
        <f>IF(A247="","",SUMIFS(mv_qty,mv_ref,A247,mv_type,"Sortie"))</f>
        <v/>
      </c>
      <c r="M247" s="39" t="str">
        <f>IF(A247="","",ROUND(N(H247)+K247-L247,6))</f>
        <v/>
      </c>
      <c r="N247" s="40" t="str">
        <f>IF(A247="","",M247*N(G247))</f>
        <v/>
      </c>
      <c r="O247" s="39" t="str">
        <f>IF(A247="","",IF(M247&lt;=0,"Rupture",IF(AND(I247&lt;&gt;"",M247&lt;=N(I247)),"À commander","OK")))</f>
        <v/>
      </c>
      <c r="P247" s="39" t="str">
        <f>IF(OR(A247="",O247="OK",J247=""),"",MAX(N(J247)-M247,0))</f>
        <v/>
      </c>
      <c r="Q247" s="39" t="str">
        <f>IF(A247="",IF(COUNTA(B247:J247)&gt;0,"Référence manquante",""),IF(COUNTIF($A$5:$A$1004,A247)&gt;1,"Référence en double",IF(B247="","Désignation manquante","OK")))</f>
        <v/>
      </c>
      <c r="R247" s="39" t="str">
        <f>IF(OR(O247="Rupture",O247="À commander"),COUNTIF($O$5:O247,"Rupture")+COUNTIF($O$5:O247,"À commander"),"")</f>
        <v/>
      </c>
    </row>
    <row r="248">
      <c r="A248" s="37" t="n"/>
      <c r="B248" s="37" t="n"/>
      <c r="C248" s="37" t="n"/>
      <c r="D248" s="37" t="n"/>
      <c r="E248" s="37" t="n"/>
      <c r="F248" s="37" t="n"/>
      <c r="G248" s="38" t="n"/>
      <c r="H248" s="37" t="n"/>
      <c r="I248" s="37" t="n"/>
      <c r="J248" s="37" t="n"/>
      <c r="K248" s="39" t="str">
        <f>IF(A248="","",SUMIFS(mv_qty,mv_ref,A248,mv_type,"Entrée"))</f>
        <v/>
      </c>
      <c r="L248" s="39" t="str">
        <f>IF(A248="","",SUMIFS(mv_qty,mv_ref,A248,mv_type,"Sortie"))</f>
        <v/>
      </c>
      <c r="M248" s="39" t="str">
        <f>IF(A248="","",ROUND(N(H248)+K248-L248,6))</f>
        <v/>
      </c>
      <c r="N248" s="40" t="str">
        <f>IF(A248="","",M248*N(G248))</f>
        <v/>
      </c>
      <c r="O248" s="39" t="str">
        <f>IF(A248="","",IF(M248&lt;=0,"Rupture",IF(AND(I248&lt;&gt;"",M248&lt;=N(I248)),"À commander","OK")))</f>
        <v/>
      </c>
      <c r="P248" s="39" t="str">
        <f>IF(OR(A248="",O248="OK",J248=""),"",MAX(N(J248)-M248,0))</f>
        <v/>
      </c>
      <c r="Q248" s="39" t="str">
        <f>IF(A248="",IF(COUNTA(B248:J248)&gt;0,"Référence manquante",""),IF(COUNTIF($A$5:$A$1004,A248)&gt;1,"Référence en double",IF(B248="","Désignation manquante","OK")))</f>
        <v/>
      </c>
      <c r="R248" s="39" t="str">
        <f>IF(OR(O248="Rupture",O248="À commander"),COUNTIF($O$5:O248,"Rupture")+COUNTIF($O$5:O248,"À commander"),"")</f>
        <v/>
      </c>
    </row>
    <row r="249">
      <c r="A249" s="37" t="n"/>
      <c r="B249" s="37" t="n"/>
      <c r="C249" s="37" t="n"/>
      <c r="D249" s="37" t="n"/>
      <c r="E249" s="37" t="n"/>
      <c r="F249" s="37" t="n"/>
      <c r="G249" s="38" t="n"/>
      <c r="H249" s="37" t="n"/>
      <c r="I249" s="37" t="n"/>
      <c r="J249" s="37" t="n"/>
      <c r="K249" s="39" t="str">
        <f>IF(A249="","",SUMIFS(mv_qty,mv_ref,A249,mv_type,"Entrée"))</f>
        <v/>
      </c>
      <c r="L249" s="39" t="str">
        <f>IF(A249="","",SUMIFS(mv_qty,mv_ref,A249,mv_type,"Sortie"))</f>
        <v/>
      </c>
      <c r="M249" s="39" t="str">
        <f>IF(A249="","",ROUND(N(H249)+K249-L249,6))</f>
        <v/>
      </c>
      <c r="N249" s="40" t="str">
        <f>IF(A249="","",M249*N(G249))</f>
        <v/>
      </c>
      <c r="O249" s="39" t="str">
        <f>IF(A249="","",IF(M249&lt;=0,"Rupture",IF(AND(I249&lt;&gt;"",M249&lt;=N(I249)),"À commander","OK")))</f>
        <v/>
      </c>
      <c r="P249" s="39" t="str">
        <f>IF(OR(A249="",O249="OK",J249=""),"",MAX(N(J249)-M249,0))</f>
        <v/>
      </c>
      <c r="Q249" s="39" t="str">
        <f>IF(A249="",IF(COUNTA(B249:J249)&gt;0,"Référence manquante",""),IF(COUNTIF($A$5:$A$1004,A249)&gt;1,"Référence en double",IF(B249="","Désignation manquante","OK")))</f>
        <v/>
      </c>
      <c r="R249" s="39" t="str">
        <f>IF(OR(O249="Rupture",O249="À commander"),COUNTIF($O$5:O249,"Rupture")+COUNTIF($O$5:O249,"À commander"),"")</f>
        <v/>
      </c>
    </row>
    <row r="250">
      <c r="A250" s="37" t="n"/>
      <c r="B250" s="37" t="n"/>
      <c r="C250" s="37" t="n"/>
      <c r="D250" s="37" t="n"/>
      <c r="E250" s="37" t="n"/>
      <c r="F250" s="37" t="n"/>
      <c r="G250" s="38" t="n"/>
      <c r="H250" s="37" t="n"/>
      <c r="I250" s="37" t="n"/>
      <c r="J250" s="37" t="n"/>
      <c r="K250" s="39" t="str">
        <f>IF(A250="","",SUMIFS(mv_qty,mv_ref,A250,mv_type,"Entrée"))</f>
        <v/>
      </c>
      <c r="L250" s="39" t="str">
        <f>IF(A250="","",SUMIFS(mv_qty,mv_ref,A250,mv_type,"Sortie"))</f>
        <v/>
      </c>
      <c r="M250" s="39" t="str">
        <f>IF(A250="","",ROUND(N(H250)+K250-L250,6))</f>
        <v/>
      </c>
      <c r="N250" s="40" t="str">
        <f>IF(A250="","",M250*N(G250))</f>
        <v/>
      </c>
      <c r="O250" s="39" t="str">
        <f>IF(A250="","",IF(M250&lt;=0,"Rupture",IF(AND(I250&lt;&gt;"",M250&lt;=N(I250)),"À commander","OK")))</f>
        <v/>
      </c>
      <c r="P250" s="39" t="str">
        <f>IF(OR(A250="",O250="OK",J250=""),"",MAX(N(J250)-M250,0))</f>
        <v/>
      </c>
      <c r="Q250" s="39" t="str">
        <f>IF(A250="",IF(COUNTA(B250:J250)&gt;0,"Référence manquante",""),IF(COUNTIF($A$5:$A$1004,A250)&gt;1,"Référence en double",IF(B250="","Désignation manquante","OK")))</f>
        <v/>
      </c>
      <c r="R250" s="39" t="str">
        <f>IF(OR(O250="Rupture",O250="À commander"),COUNTIF($O$5:O250,"Rupture")+COUNTIF($O$5:O250,"À commander"),"")</f>
        <v/>
      </c>
    </row>
    <row r="251">
      <c r="A251" s="37" t="n"/>
      <c r="B251" s="37" t="n"/>
      <c r="C251" s="37" t="n"/>
      <c r="D251" s="37" t="n"/>
      <c r="E251" s="37" t="n"/>
      <c r="F251" s="37" t="n"/>
      <c r="G251" s="38" t="n"/>
      <c r="H251" s="37" t="n"/>
      <c r="I251" s="37" t="n"/>
      <c r="J251" s="37" t="n"/>
      <c r="K251" s="39" t="str">
        <f>IF(A251="","",SUMIFS(mv_qty,mv_ref,A251,mv_type,"Entrée"))</f>
        <v/>
      </c>
      <c r="L251" s="39" t="str">
        <f>IF(A251="","",SUMIFS(mv_qty,mv_ref,A251,mv_type,"Sortie"))</f>
        <v/>
      </c>
      <c r="M251" s="39" t="str">
        <f>IF(A251="","",ROUND(N(H251)+K251-L251,6))</f>
        <v/>
      </c>
      <c r="N251" s="40" t="str">
        <f>IF(A251="","",M251*N(G251))</f>
        <v/>
      </c>
      <c r="O251" s="39" t="str">
        <f>IF(A251="","",IF(M251&lt;=0,"Rupture",IF(AND(I251&lt;&gt;"",M251&lt;=N(I251)),"À commander","OK")))</f>
        <v/>
      </c>
      <c r="P251" s="39" t="str">
        <f>IF(OR(A251="",O251="OK",J251=""),"",MAX(N(J251)-M251,0))</f>
        <v/>
      </c>
      <c r="Q251" s="39" t="str">
        <f>IF(A251="",IF(COUNTA(B251:J251)&gt;0,"Référence manquante",""),IF(COUNTIF($A$5:$A$1004,A251)&gt;1,"Référence en double",IF(B251="","Désignation manquante","OK")))</f>
        <v/>
      </c>
      <c r="R251" s="39" t="str">
        <f>IF(OR(O251="Rupture",O251="À commander"),COUNTIF($O$5:O251,"Rupture")+COUNTIF($O$5:O251,"À commander"),"")</f>
        <v/>
      </c>
    </row>
    <row r="252">
      <c r="A252" s="37" t="n"/>
      <c r="B252" s="37" t="n"/>
      <c r="C252" s="37" t="n"/>
      <c r="D252" s="37" t="n"/>
      <c r="E252" s="37" t="n"/>
      <c r="F252" s="37" t="n"/>
      <c r="G252" s="38" t="n"/>
      <c r="H252" s="37" t="n"/>
      <c r="I252" s="37" t="n"/>
      <c r="J252" s="37" t="n"/>
      <c r="K252" s="39" t="str">
        <f>IF(A252="","",SUMIFS(mv_qty,mv_ref,A252,mv_type,"Entrée"))</f>
        <v/>
      </c>
      <c r="L252" s="39" t="str">
        <f>IF(A252="","",SUMIFS(mv_qty,mv_ref,A252,mv_type,"Sortie"))</f>
        <v/>
      </c>
      <c r="M252" s="39" t="str">
        <f>IF(A252="","",ROUND(N(H252)+K252-L252,6))</f>
        <v/>
      </c>
      <c r="N252" s="40" t="str">
        <f>IF(A252="","",M252*N(G252))</f>
        <v/>
      </c>
      <c r="O252" s="39" t="str">
        <f>IF(A252="","",IF(M252&lt;=0,"Rupture",IF(AND(I252&lt;&gt;"",M252&lt;=N(I252)),"À commander","OK")))</f>
        <v/>
      </c>
      <c r="P252" s="39" t="str">
        <f>IF(OR(A252="",O252="OK",J252=""),"",MAX(N(J252)-M252,0))</f>
        <v/>
      </c>
      <c r="Q252" s="39" t="str">
        <f>IF(A252="",IF(COUNTA(B252:J252)&gt;0,"Référence manquante",""),IF(COUNTIF($A$5:$A$1004,A252)&gt;1,"Référence en double",IF(B252="","Désignation manquante","OK")))</f>
        <v/>
      </c>
      <c r="R252" s="39" t="str">
        <f>IF(OR(O252="Rupture",O252="À commander"),COUNTIF($O$5:O252,"Rupture")+COUNTIF($O$5:O252,"À commander"),"")</f>
        <v/>
      </c>
    </row>
    <row r="253">
      <c r="A253" s="37" t="n"/>
      <c r="B253" s="37" t="n"/>
      <c r="C253" s="37" t="n"/>
      <c r="D253" s="37" t="n"/>
      <c r="E253" s="37" t="n"/>
      <c r="F253" s="37" t="n"/>
      <c r="G253" s="38" t="n"/>
      <c r="H253" s="37" t="n"/>
      <c r="I253" s="37" t="n"/>
      <c r="J253" s="37" t="n"/>
      <c r="K253" s="39" t="str">
        <f>IF(A253="","",SUMIFS(mv_qty,mv_ref,A253,mv_type,"Entrée"))</f>
        <v/>
      </c>
      <c r="L253" s="39" t="str">
        <f>IF(A253="","",SUMIFS(mv_qty,mv_ref,A253,mv_type,"Sortie"))</f>
        <v/>
      </c>
      <c r="M253" s="39" t="str">
        <f>IF(A253="","",ROUND(N(H253)+K253-L253,6))</f>
        <v/>
      </c>
      <c r="N253" s="40" t="str">
        <f>IF(A253="","",M253*N(G253))</f>
        <v/>
      </c>
      <c r="O253" s="39" t="str">
        <f>IF(A253="","",IF(M253&lt;=0,"Rupture",IF(AND(I253&lt;&gt;"",M253&lt;=N(I253)),"À commander","OK")))</f>
        <v/>
      </c>
      <c r="P253" s="39" t="str">
        <f>IF(OR(A253="",O253="OK",J253=""),"",MAX(N(J253)-M253,0))</f>
        <v/>
      </c>
      <c r="Q253" s="39" t="str">
        <f>IF(A253="",IF(COUNTA(B253:J253)&gt;0,"Référence manquante",""),IF(COUNTIF($A$5:$A$1004,A253)&gt;1,"Référence en double",IF(B253="","Désignation manquante","OK")))</f>
        <v/>
      </c>
      <c r="R253" s="39" t="str">
        <f>IF(OR(O253="Rupture",O253="À commander"),COUNTIF($O$5:O253,"Rupture")+COUNTIF($O$5:O253,"À commander"),"")</f>
        <v/>
      </c>
    </row>
    <row r="254">
      <c r="A254" s="37" t="n"/>
      <c r="B254" s="37" t="n"/>
      <c r="C254" s="37" t="n"/>
      <c r="D254" s="37" t="n"/>
      <c r="E254" s="37" t="n"/>
      <c r="F254" s="37" t="n"/>
      <c r="G254" s="38" t="n"/>
      <c r="H254" s="37" t="n"/>
      <c r="I254" s="37" t="n"/>
      <c r="J254" s="37" t="n"/>
      <c r="K254" s="39" t="str">
        <f>IF(A254="","",SUMIFS(mv_qty,mv_ref,A254,mv_type,"Entrée"))</f>
        <v/>
      </c>
      <c r="L254" s="39" t="str">
        <f>IF(A254="","",SUMIFS(mv_qty,mv_ref,A254,mv_type,"Sortie"))</f>
        <v/>
      </c>
      <c r="M254" s="39" t="str">
        <f>IF(A254="","",ROUND(N(H254)+K254-L254,6))</f>
        <v/>
      </c>
      <c r="N254" s="40" t="str">
        <f>IF(A254="","",M254*N(G254))</f>
        <v/>
      </c>
      <c r="O254" s="39" t="str">
        <f>IF(A254="","",IF(M254&lt;=0,"Rupture",IF(AND(I254&lt;&gt;"",M254&lt;=N(I254)),"À commander","OK")))</f>
        <v/>
      </c>
      <c r="P254" s="39" t="str">
        <f>IF(OR(A254="",O254="OK",J254=""),"",MAX(N(J254)-M254,0))</f>
        <v/>
      </c>
      <c r="Q254" s="39" t="str">
        <f>IF(A254="",IF(COUNTA(B254:J254)&gt;0,"Référence manquante",""),IF(COUNTIF($A$5:$A$1004,A254)&gt;1,"Référence en double",IF(B254="","Désignation manquante","OK")))</f>
        <v/>
      </c>
      <c r="R254" s="39" t="str">
        <f>IF(OR(O254="Rupture",O254="À commander"),COUNTIF($O$5:O254,"Rupture")+COUNTIF($O$5:O254,"À commander"),"")</f>
        <v/>
      </c>
    </row>
    <row r="255">
      <c r="A255" s="37" t="n"/>
      <c r="B255" s="37" t="n"/>
      <c r="C255" s="37" t="n"/>
      <c r="D255" s="37" t="n"/>
      <c r="E255" s="37" t="n"/>
      <c r="F255" s="37" t="n"/>
      <c r="G255" s="38" t="n"/>
      <c r="H255" s="37" t="n"/>
      <c r="I255" s="37" t="n"/>
      <c r="J255" s="37" t="n"/>
      <c r="K255" s="39" t="str">
        <f>IF(A255="","",SUMIFS(mv_qty,mv_ref,A255,mv_type,"Entrée"))</f>
        <v/>
      </c>
      <c r="L255" s="39" t="str">
        <f>IF(A255="","",SUMIFS(mv_qty,mv_ref,A255,mv_type,"Sortie"))</f>
        <v/>
      </c>
      <c r="M255" s="39" t="str">
        <f>IF(A255="","",ROUND(N(H255)+K255-L255,6))</f>
        <v/>
      </c>
      <c r="N255" s="40" t="str">
        <f>IF(A255="","",M255*N(G255))</f>
        <v/>
      </c>
      <c r="O255" s="39" t="str">
        <f>IF(A255="","",IF(M255&lt;=0,"Rupture",IF(AND(I255&lt;&gt;"",M255&lt;=N(I255)),"À commander","OK")))</f>
        <v/>
      </c>
      <c r="P255" s="39" t="str">
        <f>IF(OR(A255="",O255="OK",J255=""),"",MAX(N(J255)-M255,0))</f>
        <v/>
      </c>
      <c r="Q255" s="39" t="str">
        <f>IF(A255="",IF(COUNTA(B255:J255)&gt;0,"Référence manquante",""),IF(COUNTIF($A$5:$A$1004,A255)&gt;1,"Référence en double",IF(B255="","Désignation manquante","OK")))</f>
        <v/>
      </c>
      <c r="R255" s="39" t="str">
        <f>IF(OR(O255="Rupture",O255="À commander"),COUNTIF($O$5:O255,"Rupture")+COUNTIF($O$5:O255,"À commander"),"")</f>
        <v/>
      </c>
    </row>
    <row r="256">
      <c r="A256" s="37" t="n"/>
      <c r="B256" s="37" t="n"/>
      <c r="C256" s="37" t="n"/>
      <c r="D256" s="37" t="n"/>
      <c r="E256" s="37" t="n"/>
      <c r="F256" s="37" t="n"/>
      <c r="G256" s="38" t="n"/>
      <c r="H256" s="37" t="n"/>
      <c r="I256" s="37" t="n"/>
      <c r="J256" s="37" t="n"/>
      <c r="K256" s="39" t="str">
        <f>IF(A256="","",SUMIFS(mv_qty,mv_ref,A256,mv_type,"Entrée"))</f>
        <v/>
      </c>
      <c r="L256" s="39" t="str">
        <f>IF(A256="","",SUMIFS(mv_qty,mv_ref,A256,mv_type,"Sortie"))</f>
        <v/>
      </c>
      <c r="M256" s="39" t="str">
        <f>IF(A256="","",ROUND(N(H256)+K256-L256,6))</f>
        <v/>
      </c>
      <c r="N256" s="40" t="str">
        <f>IF(A256="","",M256*N(G256))</f>
        <v/>
      </c>
      <c r="O256" s="39" t="str">
        <f>IF(A256="","",IF(M256&lt;=0,"Rupture",IF(AND(I256&lt;&gt;"",M256&lt;=N(I256)),"À commander","OK")))</f>
        <v/>
      </c>
      <c r="P256" s="39" t="str">
        <f>IF(OR(A256="",O256="OK",J256=""),"",MAX(N(J256)-M256,0))</f>
        <v/>
      </c>
      <c r="Q256" s="39" t="str">
        <f>IF(A256="",IF(COUNTA(B256:J256)&gt;0,"Référence manquante",""),IF(COUNTIF($A$5:$A$1004,A256)&gt;1,"Référence en double",IF(B256="","Désignation manquante","OK")))</f>
        <v/>
      </c>
      <c r="R256" s="39" t="str">
        <f>IF(OR(O256="Rupture",O256="À commander"),COUNTIF($O$5:O256,"Rupture")+COUNTIF($O$5:O256,"À commander"),"")</f>
        <v/>
      </c>
    </row>
    <row r="257">
      <c r="A257" s="37" t="n"/>
      <c r="B257" s="37" t="n"/>
      <c r="C257" s="37" t="n"/>
      <c r="D257" s="37" t="n"/>
      <c r="E257" s="37" t="n"/>
      <c r="F257" s="37" t="n"/>
      <c r="G257" s="38" t="n"/>
      <c r="H257" s="37" t="n"/>
      <c r="I257" s="37" t="n"/>
      <c r="J257" s="37" t="n"/>
      <c r="K257" s="39" t="str">
        <f>IF(A257="","",SUMIFS(mv_qty,mv_ref,A257,mv_type,"Entrée"))</f>
        <v/>
      </c>
      <c r="L257" s="39" t="str">
        <f>IF(A257="","",SUMIFS(mv_qty,mv_ref,A257,mv_type,"Sortie"))</f>
        <v/>
      </c>
      <c r="M257" s="39" t="str">
        <f>IF(A257="","",ROUND(N(H257)+K257-L257,6))</f>
        <v/>
      </c>
      <c r="N257" s="40" t="str">
        <f>IF(A257="","",M257*N(G257))</f>
        <v/>
      </c>
      <c r="O257" s="39" t="str">
        <f>IF(A257="","",IF(M257&lt;=0,"Rupture",IF(AND(I257&lt;&gt;"",M257&lt;=N(I257)),"À commander","OK")))</f>
        <v/>
      </c>
      <c r="P257" s="39" t="str">
        <f>IF(OR(A257="",O257="OK",J257=""),"",MAX(N(J257)-M257,0))</f>
        <v/>
      </c>
      <c r="Q257" s="39" t="str">
        <f>IF(A257="",IF(COUNTA(B257:J257)&gt;0,"Référence manquante",""),IF(COUNTIF($A$5:$A$1004,A257)&gt;1,"Référence en double",IF(B257="","Désignation manquante","OK")))</f>
        <v/>
      </c>
      <c r="R257" s="39" t="str">
        <f>IF(OR(O257="Rupture",O257="À commander"),COUNTIF($O$5:O257,"Rupture")+COUNTIF($O$5:O257,"À commander"),"")</f>
        <v/>
      </c>
    </row>
    <row r="258">
      <c r="A258" s="37" t="n"/>
      <c r="B258" s="37" t="n"/>
      <c r="C258" s="37" t="n"/>
      <c r="D258" s="37" t="n"/>
      <c r="E258" s="37" t="n"/>
      <c r="F258" s="37" t="n"/>
      <c r="G258" s="38" t="n"/>
      <c r="H258" s="37" t="n"/>
      <c r="I258" s="37" t="n"/>
      <c r="J258" s="37" t="n"/>
      <c r="K258" s="39" t="str">
        <f>IF(A258="","",SUMIFS(mv_qty,mv_ref,A258,mv_type,"Entrée"))</f>
        <v/>
      </c>
      <c r="L258" s="39" t="str">
        <f>IF(A258="","",SUMIFS(mv_qty,mv_ref,A258,mv_type,"Sortie"))</f>
        <v/>
      </c>
      <c r="M258" s="39" t="str">
        <f>IF(A258="","",ROUND(N(H258)+K258-L258,6))</f>
        <v/>
      </c>
      <c r="N258" s="40" t="str">
        <f>IF(A258="","",M258*N(G258))</f>
        <v/>
      </c>
      <c r="O258" s="39" t="str">
        <f>IF(A258="","",IF(M258&lt;=0,"Rupture",IF(AND(I258&lt;&gt;"",M258&lt;=N(I258)),"À commander","OK")))</f>
        <v/>
      </c>
      <c r="P258" s="39" t="str">
        <f>IF(OR(A258="",O258="OK",J258=""),"",MAX(N(J258)-M258,0))</f>
        <v/>
      </c>
      <c r="Q258" s="39" t="str">
        <f>IF(A258="",IF(COUNTA(B258:J258)&gt;0,"Référence manquante",""),IF(COUNTIF($A$5:$A$1004,A258)&gt;1,"Référence en double",IF(B258="","Désignation manquante","OK")))</f>
        <v/>
      </c>
      <c r="R258" s="39" t="str">
        <f>IF(OR(O258="Rupture",O258="À commander"),COUNTIF($O$5:O258,"Rupture")+COUNTIF($O$5:O258,"À commander"),"")</f>
        <v/>
      </c>
    </row>
    <row r="259">
      <c r="A259" s="37" t="n"/>
      <c r="B259" s="37" t="n"/>
      <c r="C259" s="37" t="n"/>
      <c r="D259" s="37" t="n"/>
      <c r="E259" s="37" t="n"/>
      <c r="F259" s="37" t="n"/>
      <c r="G259" s="38" t="n"/>
      <c r="H259" s="37" t="n"/>
      <c r="I259" s="37" t="n"/>
      <c r="J259" s="37" t="n"/>
      <c r="K259" s="39" t="str">
        <f>IF(A259="","",SUMIFS(mv_qty,mv_ref,A259,mv_type,"Entrée"))</f>
        <v/>
      </c>
      <c r="L259" s="39" t="str">
        <f>IF(A259="","",SUMIFS(mv_qty,mv_ref,A259,mv_type,"Sortie"))</f>
        <v/>
      </c>
      <c r="M259" s="39" t="str">
        <f>IF(A259="","",ROUND(N(H259)+K259-L259,6))</f>
        <v/>
      </c>
      <c r="N259" s="40" t="str">
        <f>IF(A259="","",M259*N(G259))</f>
        <v/>
      </c>
      <c r="O259" s="39" t="str">
        <f>IF(A259="","",IF(M259&lt;=0,"Rupture",IF(AND(I259&lt;&gt;"",M259&lt;=N(I259)),"À commander","OK")))</f>
        <v/>
      </c>
      <c r="P259" s="39" t="str">
        <f>IF(OR(A259="",O259="OK",J259=""),"",MAX(N(J259)-M259,0))</f>
        <v/>
      </c>
      <c r="Q259" s="39" t="str">
        <f>IF(A259="",IF(COUNTA(B259:J259)&gt;0,"Référence manquante",""),IF(COUNTIF($A$5:$A$1004,A259)&gt;1,"Référence en double",IF(B259="","Désignation manquante","OK")))</f>
        <v/>
      </c>
      <c r="R259" s="39" t="str">
        <f>IF(OR(O259="Rupture",O259="À commander"),COUNTIF($O$5:O259,"Rupture")+COUNTIF($O$5:O259,"À commander"),"")</f>
        <v/>
      </c>
    </row>
    <row r="260">
      <c r="A260" s="37" t="n"/>
      <c r="B260" s="37" t="n"/>
      <c r="C260" s="37" t="n"/>
      <c r="D260" s="37" t="n"/>
      <c r="E260" s="37" t="n"/>
      <c r="F260" s="37" t="n"/>
      <c r="G260" s="38" t="n"/>
      <c r="H260" s="37" t="n"/>
      <c r="I260" s="37" t="n"/>
      <c r="J260" s="37" t="n"/>
      <c r="K260" s="39" t="str">
        <f>IF(A260="","",SUMIFS(mv_qty,mv_ref,A260,mv_type,"Entrée"))</f>
        <v/>
      </c>
      <c r="L260" s="39" t="str">
        <f>IF(A260="","",SUMIFS(mv_qty,mv_ref,A260,mv_type,"Sortie"))</f>
        <v/>
      </c>
      <c r="M260" s="39" t="str">
        <f>IF(A260="","",ROUND(N(H260)+K260-L260,6))</f>
        <v/>
      </c>
      <c r="N260" s="40" t="str">
        <f>IF(A260="","",M260*N(G260))</f>
        <v/>
      </c>
      <c r="O260" s="39" t="str">
        <f>IF(A260="","",IF(M260&lt;=0,"Rupture",IF(AND(I260&lt;&gt;"",M260&lt;=N(I260)),"À commander","OK")))</f>
        <v/>
      </c>
      <c r="P260" s="39" t="str">
        <f>IF(OR(A260="",O260="OK",J260=""),"",MAX(N(J260)-M260,0))</f>
        <v/>
      </c>
      <c r="Q260" s="39" t="str">
        <f>IF(A260="",IF(COUNTA(B260:J260)&gt;0,"Référence manquante",""),IF(COUNTIF($A$5:$A$1004,A260)&gt;1,"Référence en double",IF(B260="","Désignation manquante","OK")))</f>
        <v/>
      </c>
      <c r="R260" s="39" t="str">
        <f>IF(OR(O260="Rupture",O260="À commander"),COUNTIF($O$5:O260,"Rupture")+COUNTIF($O$5:O260,"À commander"),"")</f>
        <v/>
      </c>
    </row>
    <row r="261">
      <c r="A261" s="37" t="n"/>
      <c r="B261" s="37" t="n"/>
      <c r="C261" s="37" t="n"/>
      <c r="D261" s="37" t="n"/>
      <c r="E261" s="37" t="n"/>
      <c r="F261" s="37" t="n"/>
      <c r="G261" s="38" t="n"/>
      <c r="H261" s="37" t="n"/>
      <c r="I261" s="37" t="n"/>
      <c r="J261" s="37" t="n"/>
      <c r="K261" s="39" t="str">
        <f>IF(A261="","",SUMIFS(mv_qty,mv_ref,A261,mv_type,"Entrée"))</f>
        <v/>
      </c>
      <c r="L261" s="39" t="str">
        <f>IF(A261="","",SUMIFS(mv_qty,mv_ref,A261,mv_type,"Sortie"))</f>
        <v/>
      </c>
      <c r="M261" s="39" t="str">
        <f>IF(A261="","",ROUND(N(H261)+K261-L261,6))</f>
        <v/>
      </c>
      <c r="N261" s="40" t="str">
        <f>IF(A261="","",M261*N(G261))</f>
        <v/>
      </c>
      <c r="O261" s="39" t="str">
        <f>IF(A261="","",IF(M261&lt;=0,"Rupture",IF(AND(I261&lt;&gt;"",M261&lt;=N(I261)),"À commander","OK")))</f>
        <v/>
      </c>
      <c r="P261" s="39" t="str">
        <f>IF(OR(A261="",O261="OK",J261=""),"",MAX(N(J261)-M261,0))</f>
        <v/>
      </c>
      <c r="Q261" s="39" t="str">
        <f>IF(A261="",IF(COUNTA(B261:J261)&gt;0,"Référence manquante",""),IF(COUNTIF($A$5:$A$1004,A261)&gt;1,"Référence en double",IF(B261="","Désignation manquante","OK")))</f>
        <v/>
      </c>
      <c r="R261" s="39" t="str">
        <f>IF(OR(O261="Rupture",O261="À commander"),COUNTIF($O$5:O261,"Rupture")+COUNTIF($O$5:O261,"À commander"),"")</f>
        <v/>
      </c>
    </row>
    <row r="262">
      <c r="A262" s="37" t="n"/>
      <c r="B262" s="37" t="n"/>
      <c r="C262" s="37" t="n"/>
      <c r="D262" s="37" t="n"/>
      <c r="E262" s="37" t="n"/>
      <c r="F262" s="37" t="n"/>
      <c r="G262" s="38" t="n"/>
      <c r="H262" s="37" t="n"/>
      <c r="I262" s="37" t="n"/>
      <c r="J262" s="37" t="n"/>
      <c r="K262" s="39" t="str">
        <f>IF(A262="","",SUMIFS(mv_qty,mv_ref,A262,mv_type,"Entrée"))</f>
        <v/>
      </c>
      <c r="L262" s="39" t="str">
        <f>IF(A262="","",SUMIFS(mv_qty,mv_ref,A262,mv_type,"Sortie"))</f>
        <v/>
      </c>
      <c r="M262" s="39" t="str">
        <f>IF(A262="","",ROUND(N(H262)+K262-L262,6))</f>
        <v/>
      </c>
      <c r="N262" s="40" t="str">
        <f>IF(A262="","",M262*N(G262))</f>
        <v/>
      </c>
      <c r="O262" s="39" t="str">
        <f>IF(A262="","",IF(M262&lt;=0,"Rupture",IF(AND(I262&lt;&gt;"",M262&lt;=N(I262)),"À commander","OK")))</f>
        <v/>
      </c>
      <c r="P262" s="39" t="str">
        <f>IF(OR(A262="",O262="OK",J262=""),"",MAX(N(J262)-M262,0))</f>
        <v/>
      </c>
      <c r="Q262" s="39" t="str">
        <f>IF(A262="",IF(COUNTA(B262:J262)&gt;0,"Référence manquante",""),IF(COUNTIF($A$5:$A$1004,A262)&gt;1,"Référence en double",IF(B262="","Désignation manquante","OK")))</f>
        <v/>
      </c>
      <c r="R262" s="39" t="str">
        <f>IF(OR(O262="Rupture",O262="À commander"),COUNTIF($O$5:O262,"Rupture")+COUNTIF($O$5:O262,"À commander"),"")</f>
        <v/>
      </c>
    </row>
    <row r="263">
      <c r="A263" s="37" t="n"/>
      <c r="B263" s="37" t="n"/>
      <c r="C263" s="37" t="n"/>
      <c r="D263" s="37" t="n"/>
      <c r="E263" s="37" t="n"/>
      <c r="F263" s="37" t="n"/>
      <c r="G263" s="38" t="n"/>
      <c r="H263" s="37" t="n"/>
      <c r="I263" s="37" t="n"/>
      <c r="J263" s="37" t="n"/>
      <c r="K263" s="39" t="str">
        <f>IF(A263="","",SUMIFS(mv_qty,mv_ref,A263,mv_type,"Entrée"))</f>
        <v/>
      </c>
      <c r="L263" s="39" t="str">
        <f>IF(A263="","",SUMIFS(mv_qty,mv_ref,A263,mv_type,"Sortie"))</f>
        <v/>
      </c>
      <c r="M263" s="39" t="str">
        <f>IF(A263="","",ROUND(N(H263)+K263-L263,6))</f>
        <v/>
      </c>
      <c r="N263" s="40" t="str">
        <f>IF(A263="","",M263*N(G263))</f>
        <v/>
      </c>
      <c r="O263" s="39" t="str">
        <f>IF(A263="","",IF(M263&lt;=0,"Rupture",IF(AND(I263&lt;&gt;"",M263&lt;=N(I263)),"À commander","OK")))</f>
        <v/>
      </c>
      <c r="P263" s="39" t="str">
        <f>IF(OR(A263="",O263="OK",J263=""),"",MAX(N(J263)-M263,0))</f>
        <v/>
      </c>
      <c r="Q263" s="39" t="str">
        <f>IF(A263="",IF(COUNTA(B263:J263)&gt;0,"Référence manquante",""),IF(COUNTIF($A$5:$A$1004,A263)&gt;1,"Référence en double",IF(B263="","Désignation manquante","OK")))</f>
        <v/>
      </c>
      <c r="R263" s="39" t="str">
        <f>IF(OR(O263="Rupture",O263="À commander"),COUNTIF($O$5:O263,"Rupture")+COUNTIF($O$5:O263,"À commander"),"")</f>
        <v/>
      </c>
    </row>
    <row r="264">
      <c r="A264" s="37" t="n"/>
      <c r="B264" s="37" t="n"/>
      <c r="C264" s="37" t="n"/>
      <c r="D264" s="37" t="n"/>
      <c r="E264" s="37" t="n"/>
      <c r="F264" s="37" t="n"/>
      <c r="G264" s="38" t="n"/>
      <c r="H264" s="37" t="n"/>
      <c r="I264" s="37" t="n"/>
      <c r="J264" s="37" t="n"/>
      <c r="K264" s="39" t="str">
        <f>IF(A264="","",SUMIFS(mv_qty,mv_ref,A264,mv_type,"Entrée"))</f>
        <v/>
      </c>
      <c r="L264" s="39" t="str">
        <f>IF(A264="","",SUMIFS(mv_qty,mv_ref,A264,mv_type,"Sortie"))</f>
        <v/>
      </c>
      <c r="M264" s="39" t="str">
        <f>IF(A264="","",ROUND(N(H264)+K264-L264,6))</f>
        <v/>
      </c>
      <c r="N264" s="40" t="str">
        <f>IF(A264="","",M264*N(G264))</f>
        <v/>
      </c>
      <c r="O264" s="39" t="str">
        <f>IF(A264="","",IF(M264&lt;=0,"Rupture",IF(AND(I264&lt;&gt;"",M264&lt;=N(I264)),"À commander","OK")))</f>
        <v/>
      </c>
      <c r="P264" s="39" t="str">
        <f>IF(OR(A264="",O264="OK",J264=""),"",MAX(N(J264)-M264,0))</f>
        <v/>
      </c>
      <c r="Q264" s="39" t="str">
        <f>IF(A264="",IF(COUNTA(B264:J264)&gt;0,"Référence manquante",""),IF(COUNTIF($A$5:$A$1004,A264)&gt;1,"Référence en double",IF(B264="","Désignation manquante","OK")))</f>
        <v/>
      </c>
      <c r="R264" s="39" t="str">
        <f>IF(OR(O264="Rupture",O264="À commander"),COUNTIF($O$5:O264,"Rupture")+COUNTIF($O$5:O264,"À commander"),"")</f>
        <v/>
      </c>
    </row>
    <row r="265">
      <c r="A265" s="37" t="n"/>
      <c r="B265" s="37" t="n"/>
      <c r="C265" s="37" t="n"/>
      <c r="D265" s="37" t="n"/>
      <c r="E265" s="37" t="n"/>
      <c r="F265" s="37" t="n"/>
      <c r="G265" s="38" t="n"/>
      <c r="H265" s="37" t="n"/>
      <c r="I265" s="37" t="n"/>
      <c r="J265" s="37" t="n"/>
      <c r="K265" s="39" t="str">
        <f>IF(A265="","",SUMIFS(mv_qty,mv_ref,A265,mv_type,"Entrée"))</f>
        <v/>
      </c>
      <c r="L265" s="39" t="str">
        <f>IF(A265="","",SUMIFS(mv_qty,mv_ref,A265,mv_type,"Sortie"))</f>
        <v/>
      </c>
      <c r="M265" s="39" t="str">
        <f>IF(A265="","",ROUND(N(H265)+K265-L265,6))</f>
        <v/>
      </c>
      <c r="N265" s="40" t="str">
        <f>IF(A265="","",M265*N(G265))</f>
        <v/>
      </c>
      <c r="O265" s="39" t="str">
        <f>IF(A265="","",IF(M265&lt;=0,"Rupture",IF(AND(I265&lt;&gt;"",M265&lt;=N(I265)),"À commander","OK")))</f>
        <v/>
      </c>
      <c r="P265" s="39" t="str">
        <f>IF(OR(A265="",O265="OK",J265=""),"",MAX(N(J265)-M265,0))</f>
        <v/>
      </c>
      <c r="Q265" s="39" t="str">
        <f>IF(A265="",IF(COUNTA(B265:J265)&gt;0,"Référence manquante",""),IF(COUNTIF($A$5:$A$1004,A265)&gt;1,"Référence en double",IF(B265="","Désignation manquante","OK")))</f>
        <v/>
      </c>
      <c r="R265" s="39" t="str">
        <f>IF(OR(O265="Rupture",O265="À commander"),COUNTIF($O$5:O265,"Rupture")+COUNTIF($O$5:O265,"À commander"),"")</f>
        <v/>
      </c>
    </row>
    <row r="266">
      <c r="A266" s="37" t="n"/>
      <c r="B266" s="37" t="n"/>
      <c r="C266" s="37" t="n"/>
      <c r="D266" s="37" t="n"/>
      <c r="E266" s="37" t="n"/>
      <c r="F266" s="37" t="n"/>
      <c r="G266" s="38" t="n"/>
      <c r="H266" s="37" t="n"/>
      <c r="I266" s="37" t="n"/>
      <c r="J266" s="37" t="n"/>
      <c r="K266" s="39" t="str">
        <f>IF(A266="","",SUMIFS(mv_qty,mv_ref,A266,mv_type,"Entrée"))</f>
        <v/>
      </c>
      <c r="L266" s="39" t="str">
        <f>IF(A266="","",SUMIFS(mv_qty,mv_ref,A266,mv_type,"Sortie"))</f>
        <v/>
      </c>
      <c r="M266" s="39" t="str">
        <f>IF(A266="","",ROUND(N(H266)+K266-L266,6))</f>
        <v/>
      </c>
      <c r="N266" s="40" t="str">
        <f>IF(A266="","",M266*N(G266))</f>
        <v/>
      </c>
      <c r="O266" s="39" t="str">
        <f>IF(A266="","",IF(M266&lt;=0,"Rupture",IF(AND(I266&lt;&gt;"",M266&lt;=N(I266)),"À commander","OK")))</f>
        <v/>
      </c>
      <c r="P266" s="39" t="str">
        <f>IF(OR(A266="",O266="OK",J266=""),"",MAX(N(J266)-M266,0))</f>
        <v/>
      </c>
      <c r="Q266" s="39" t="str">
        <f>IF(A266="",IF(COUNTA(B266:J266)&gt;0,"Référence manquante",""),IF(COUNTIF($A$5:$A$1004,A266)&gt;1,"Référence en double",IF(B266="","Désignation manquante","OK")))</f>
        <v/>
      </c>
      <c r="R266" s="39" t="str">
        <f>IF(OR(O266="Rupture",O266="À commander"),COUNTIF($O$5:O266,"Rupture")+COUNTIF($O$5:O266,"À commander"),"")</f>
        <v/>
      </c>
    </row>
    <row r="267">
      <c r="A267" s="37" t="n"/>
      <c r="B267" s="37" t="n"/>
      <c r="C267" s="37" t="n"/>
      <c r="D267" s="37" t="n"/>
      <c r="E267" s="37" t="n"/>
      <c r="F267" s="37" t="n"/>
      <c r="G267" s="38" t="n"/>
      <c r="H267" s="37" t="n"/>
      <c r="I267" s="37" t="n"/>
      <c r="J267" s="37" t="n"/>
      <c r="K267" s="39" t="str">
        <f>IF(A267="","",SUMIFS(mv_qty,mv_ref,A267,mv_type,"Entrée"))</f>
        <v/>
      </c>
      <c r="L267" s="39" t="str">
        <f>IF(A267="","",SUMIFS(mv_qty,mv_ref,A267,mv_type,"Sortie"))</f>
        <v/>
      </c>
      <c r="M267" s="39" t="str">
        <f>IF(A267="","",ROUND(N(H267)+K267-L267,6))</f>
        <v/>
      </c>
      <c r="N267" s="40" t="str">
        <f>IF(A267="","",M267*N(G267))</f>
        <v/>
      </c>
      <c r="O267" s="39" t="str">
        <f>IF(A267="","",IF(M267&lt;=0,"Rupture",IF(AND(I267&lt;&gt;"",M267&lt;=N(I267)),"À commander","OK")))</f>
        <v/>
      </c>
      <c r="P267" s="39" t="str">
        <f>IF(OR(A267="",O267="OK",J267=""),"",MAX(N(J267)-M267,0))</f>
        <v/>
      </c>
      <c r="Q267" s="39" t="str">
        <f>IF(A267="",IF(COUNTA(B267:J267)&gt;0,"Référence manquante",""),IF(COUNTIF($A$5:$A$1004,A267)&gt;1,"Référence en double",IF(B267="","Désignation manquante","OK")))</f>
        <v/>
      </c>
      <c r="R267" s="39" t="str">
        <f>IF(OR(O267="Rupture",O267="À commander"),COUNTIF($O$5:O267,"Rupture")+COUNTIF($O$5:O267,"À commander"),"")</f>
        <v/>
      </c>
    </row>
    <row r="268">
      <c r="A268" s="37" t="n"/>
      <c r="B268" s="37" t="n"/>
      <c r="C268" s="37" t="n"/>
      <c r="D268" s="37" t="n"/>
      <c r="E268" s="37" t="n"/>
      <c r="F268" s="37" t="n"/>
      <c r="G268" s="38" t="n"/>
      <c r="H268" s="37" t="n"/>
      <c r="I268" s="37" t="n"/>
      <c r="J268" s="37" t="n"/>
      <c r="K268" s="39" t="str">
        <f>IF(A268="","",SUMIFS(mv_qty,mv_ref,A268,mv_type,"Entrée"))</f>
        <v/>
      </c>
      <c r="L268" s="39" t="str">
        <f>IF(A268="","",SUMIFS(mv_qty,mv_ref,A268,mv_type,"Sortie"))</f>
        <v/>
      </c>
      <c r="M268" s="39" t="str">
        <f>IF(A268="","",ROUND(N(H268)+K268-L268,6))</f>
        <v/>
      </c>
      <c r="N268" s="40" t="str">
        <f>IF(A268="","",M268*N(G268))</f>
        <v/>
      </c>
      <c r="O268" s="39" t="str">
        <f>IF(A268="","",IF(M268&lt;=0,"Rupture",IF(AND(I268&lt;&gt;"",M268&lt;=N(I268)),"À commander","OK")))</f>
        <v/>
      </c>
      <c r="P268" s="39" t="str">
        <f>IF(OR(A268="",O268="OK",J268=""),"",MAX(N(J268)-M268,0))</f>
        <v/>
      </c>
      <c r="Q268" s="39" t="str">
        <f>IF(A268="",IF(COUNTA(B268:J268)&gt;0,"Référence manquante",""),IF(COUNTIF($A$5:$A$1004,A268)&gt;1,"Référence en double",IF(B268="","Désignation manquante","OK")))</f>
        <v/>
      </c>
      <c r="R268" s="39" t="str">
        <f>IF(OR(O268="Rupture",O268="À commander"),COUNTIF($O$5:O268,"Rupture")+COUNTIF($O$5:O268,"À commander"),"")</f>
        <v/>
      </c>
    </row>
    <row r="269">
      <c r="A269" s="37" t="n"/>
      <c r="B269" s="37" t="n"/>
      <c r="C269" s="37" t="n"/>
      <c r="D269" s="37" t="n"/>
      <c r="E269" s="37" t="n"/>
      <c r="F269" s="37" t="n"/>
      <c r="G269" s="38" t="n"/>
      <c r="H269" s="37" t="n"/>
      <c r="I269" s="37" t="n"/>
      <c r="J269" s="37" t="n"/>
      <c r="K269" s="39" t="str">
        <f>IF(A269="","",SUMIFS(mv_qty,mv_ref,A269,mv_type,"Entrée"))</f>
        <v/>
      </c>
      <c r="L269" s="39" t="str">
        <f>IF(A269="","",SUMIFS(mv_qty,mv_ref,A269,mv_type,"Sortie"))</f>
        <v/>
      </c>
      <c r="M269" s="39" t="str">
        <f>IF(A269="","",ROUND(N(H269)+K269-L269,6))</f>
        <v/>
      </c>
      <c r="N269" s="40" t="str">
        <f>IF(A269="","",M269*N(G269))</f>
        <v/>
      </c>
      <c r="O269" s="39" t="str">
        <f>IF(A269="","",IF(M269&lt;=0,"Rupture",IF(AND(I269&lt;&gt;"",M269&lt;=N(I269)),"À commander","OK")))</f>
        <v/>
      </c>
      <c r="P269" s="39" t="str">
        <f>IF(OR(A269="",O269="OK",J269=""),"",MAX(N(J269)-M269,0))</f>
        <v/>
      </c>
      <c r="Q269" s="39" t="str">
        <f>IF(A269="",IF(COUNTA(B269:J269)&gt;0,"Référence manquante",""),IF(COUNTIF($A$5:$A$1004,A269)&gt;1,"Référence en double",IF(B269="","Désignation manquante","OK")))</f>
        <v/>
      </c>
      <c r="R269" s="39" t="str">
        <f>IF(OR(O269="Rupture",O269="À commander"),COUNTIF($O$5:O269,"Rupture")+COUNTIF($O$5:O269,"À commander"),"")</f>
        <v/>
      </c>
    </row>
    <row r="270">
      <c r="A270" s="37" t="n"/>
      <c r="B270" s="37" t="n"/>
      <c r="C270" s="37" t="n"/>
      <c r="D270" s="37" t="n"/>
      <c r="E270" s="37" t="n"/>
      <c r="F270" s="37" t="n"/>
      <c r="G270" s="38" t="n"/>
      <c r="H270" s="37" t="n"/>
      <c r="I270" s="37" t="n"/>
      <c r="J270" s="37" t="n"/>
      <c r="K270" s="39" t="str">
        <f>IF(A270="","",SUMIFS(mv_qty,mv_ref,A270,mv_type,"Entrée"))</f>
        <v/>
      </c>
      <c r="L270" s="39" t="str">
        <f>IF(A270="","",SUMIFS(mv_qty,mv_ref,A270,mv_type,"Sortie"))</f>
        <v/>
      </c>
      <c r="M270" s="39" t="str">
        <f>IF(A270="","",ROUND(N(H270)+K270-L270,6))</f>
        <v/>
      </c>
      <c r="N270" s="40" t="str">
        <f>IF(A270="","",M270*N(G270))</f>
        <v/>
      </c>
      <c r="O270" s="39" t="str">
        <f>IF(A270="","",IF(M270&lt;=0,"Rupture",IF(AND(I270&lt;&gt;"",M270&lt;=N(I270)),"À commander","OK")))</f>
        <v/>
      </c>
      <c r="P270" s="39" t="str">
        <f>IF(OR(A270="",O270="OK",J270=""),"",MAX(N(J270)-M270,0))</f>
        <v/>
      </c>
      <c r="Q270" s="39" t="str">
        <f>IF(A270="",IF(COUNTA(B270:J270)&gt;0,"Référence manquante",""),IF(COUNTIF($A$5:$A$1004,A270)&gt;1,"Référence en double",IF(B270="","Désignation manquante","OK")))</f>
        <v/>
      </c>
      <c r="R270" s="39" t="str">
        <f>IF(OR(O270="Rupture",O270="À commander"),COUNTIF($O$5:O270,"Rupture")+COUNTIF($O$5:O270,"À commander"),"")</f>
        <v/>
      </c>
    </row>
    <row r="271">
      <c r="A271" s="37" t="n"/>
      <c r="B271" s="37" t="n"/>
      <c r="C271" s="37" t="n"/>
      <c r="D271" s="37" t="n"/>
      <c r="E271" s="37" t="n"/>
      <c r="F271" s="37" t="n"/>
      <c r="G271" s="38" t="n"/>
      <c r="H271" s="37" t="n"/>
      <c r="I271" s="37" t="n"/>
      <c r="J271" s="37" t="n"/>
      <c r="K271" s="39" t="str">
        <f>IF(A271="","",SUMIFS(mv_qty,mv_ref,A271,mv_type,"Entrée"))</f>
        <v/>
      </c>
      <c r="L271" s="39" t="str">
        <f>IF(A271="","",SUMIFS(mv_qty,mv_ref,A271,mv_type,"Sortie"))</f>
        <v/>
      </c>
      <c r="M271" s="39" t="str">
        <f>IF(A271="","",ROUND(N(H271)+K271-L271,6))</f>
        <v/>
      </c>
      <c r="N271" s="40" t="str">
        <f>IF(A271="","",M271*N(G271))</f>
        <v/>
      </c>
      <c r="O271" s="39" t="str">
        <f>IF(A271="","",IF(M271&lt;=0,"Rupture",IF(AND(I271&lt;&gt;"",M271&lt;=N(I271)),"À commander","OK")))</f>
        <v/>
      </c>
      <c r="P271" s="39" t="str">
        <f>IF(OR(A271="",O271="OK",J271=""),"",MAX(N(J271)-M271,0))</f>
        <v/>
      </c>
      <c r="Q271" s="39" t="str">
        <f>IF(A271="",IF(COUNTA(B271:J271)&gt;0,"Référence manquante",""),IF(COUNTIF($A$5:$A$1004,A271)&gt;1,"Référence en double",IF(B271="","Désignation manquante","OK")))</f>
        <v/>
      </c>
      <c r="R271" s="39" t="str">
        <f>IF(OR(O271="Rupture",O271="À commander"),COUNTIF($O$5:O271,"Rupture")+COUNTIF($O$5:O271,"À commander"),"")</f>
        <v/>
      </c>
    </row>
    <row r="272">
      <c r="A272" s="37" t="n"/>
      <c r="B272" s="37" t="n"/>
      <c r="C272" s="37" t="n"/>
      <c r="D272" s="37" t="n"/>
      <c r="E272" s="37" t="n"/>
      <c r="F272" s="37" t="n"/>
      <c r="G272" s="38" t="n"/>
      <c r="H272" s="37" t="n"/>
      <c r="I272" s="37" t="n"/>
      <c r="J272" s="37" t="n"/>
      <c r="K272" s="39" t="str">
        <f>IF(A272="","",SUMIFS(mv_qty,mv_ref,A272,mv_type,"Entrée"))</f>
        <v/>
      </c>
      <c r="L272" s="39" t="str">
        <f>IF(A272="","",SUMIFS(mv_qty,mv_ref,A272,mv_type,"Sortie"))</f>
        <v/>
      </c>
      <c r="M272" s="39" t="str">
        <f>IF(A272="","",ROUND(N(H272)+K272-L272,6))</f>
        <v/>
      </c>
      <c r="N272" s="40" t="str">
        <f>IF(A272="","",M272*N(G272))</f>
        <v/>
      </c>
      <c r="O272" s="39" t="str">
        <f>IF(A272="","",IF(M272&lt;=0,"Rupture",IF(AND(I272&lt;&gt;"",M272&lt;=N(I272)),"À commander","OK")))</f>
        <v/>
      </c>
      <c r="P272" s="39" t="str">
        <f>IF(OR(A272="",O272="OK",J272=""),"",MAX(N(J272)-M272,0))</f>
        <v/>
      </c>
      <c r="Q272" s="39" t="str">
        <f>IF(A272="",IF(COUNTA(B272:J272)&gt;0,"Référence manquante",""),IF(COUNTIF($A$5:$A$1004,A272)&gt;1,"Référence en double",IF(B272="","Désignation manquante","OK")))</f>
        <v/>
      </c>
      <c r="R272" s="39" t="str">
        <f>IF(OR(O272="Rupture",O272="À commander"),COUNTIF($O$5:O272,"Rupture")+COUNTIF($O$5:O272,"À commander"),"")</f>
        <v/>
      </c>
    </row>
    <row r="273">
      <c r="A273" s="37" t="n"/>
      <c r="B273" s="37" t="n"/>
      <c r="C273" s="37" t="n"/>
      <c r="D273" s="37" t="n"/>
      <c r="E273" s="37" t="n"/>
      <c r="F273" s="37" t="n"/>
      <c r="G273" s="38" t="n"/>
      <c r="H273" s="37" t="n"/>
      <c r="I273" s="37" t="n"/>
      <c r="J273" s="37" t="n"/>
      <c r="K273" s="39" t="str">
        <f>IF(A273="","",SUMIFS(mv_qty,mv_ref,A273,mv_type,"Entrée"))</f>
        <v/>
      </c>
      <c r="L273" s="39" t="str">
        <f>IF(A273="","",SUMIFS(mv_qty,mv_ref,A273,mv_type,"Sortie"))</f>
        <v/>
      </c>
      <c r="M273" s="39" t="str">
        <f>IF(A273="","",ROUND(N(H273)+K273-L273,6))</f>
        <v/>
      </c>
      <c r="N273" s="40" t="str">
        <f>IF(A273="","",M273*N(G273))</f>
        <v/>
      </c>
      <c r="O273" s="39" t="str">
        <f>IF(A273="","",IF(M273&lt;=0,"Rupture",IF(AND(I273&lt;&gt;"",M273&lt;=N(I273)),"À commander","OK")))</f>
        <v/>
      </c>
      <c r="P273" s="39" t="str">
        <f>IF(OR(A273="",O273="OK",J273=""),"",MAX(N(J273)-M273,0))</f>
        <v/>
      </c>
      <c r="Q273" s="39" t="str">
        <f>IF(A273="",IF(COUNTA(B273:J273)&gt;0,"Référence manquante",""),IF(COUNTIF($A$5:$A$1004,A273)&gt;1,"Référence en double",IF(B273="","Désignation manquante","OK")))</f>
        <v/>
      </c>
      <c r="R273" s="39" t="str">
        <f>IF(OR(O273="Rupture",O273="À commander"),COUNTIF($O$5:O273,"Rupture")+COUNTIF($O$5:O273,"À commander"),"")</f>
        <v/>
      </c>
    </row>
    <row r="274">
      <c r="A274" s="37" t="n"/>
      <c r="B274" s="37" t="n"/>
      <c r="C274" s="37" t="n"/>
      <c r="D274" s="37" t="n"/>
      <c r="E274" s="37" t="n"/>
      <c r="F274" s="37" t="n"/>
      <c r="G274" s="38" t="n"/>
      <c r="H274" s="37" t="n"/>
      <c r="I274" s="37" t="n"/>
      <c r="J274" s="37" t="n"/>
      <c r="K274" s="39" t="str">
        <f>IF(A274="","",SUMIFS(mv_qty,mv_ref,A274,mv_type,"Entrée"))</f>
        <v/>
      </c>
      <c r="L274" s="39" t="str">
        <f>IF(A274="","",SUMIFS(mv_qty,mv_ref,A274,mv_type,"Sortie"))</f>
        <v/>
      </c>
      <c r="M274" s="39" t="str">
        <f>IF(A274="","",ROUND(N(H274)+K274-L274,6))</f>
        <v/>
      </c>
      <c r="N274" s="40" t="str">
        <f>IF(A274="","",M274*N(G274))</f>
        <v/>
      </c>
      <c r="O274" s="39" t="str">
        <f>IF(A274="","",IF(M274&lt;=0,"Rupture",IF(AND(I274&lt;&gt;"",M274&lt;=N(I274)),"À commander","OK")))</f>
        <v/>
      </c>
      <c r="P274" s="39" t="str">
        <f>IF(OR(A274="",O274="OK",J274=""),"",MAX(N(J274)-M274,0))</f>
        <v/>
      </c>
      <c r="Q274" s="39" t="str">
        <f>IF(A274="",IF(COUNTA(B274:J274)&gt;0,"Référence manquante",""),IF(COUNTIF($A$5:$A$1004,A274)&gt;1,"Référence en double",IF(B274="","Désignation manquante","OK")))</f>
        <v/>
      </c>
      <c r="R274" s="39" t="str">
        <f>IF(OR(O274="Rupture",O274="À commander"),COUNTIF($O$5:O274,"Rupture")+COUNTIF($O$5:O274,"À commander"),"")</f>
        <v/>
      </c>
    </row>
    <row r="275">
      <c r="A275" s="37" t="n"/>
      <c r="B275" s="37" t="n"/>
      <c r="C275" s="37" t="n"/>
      <c r="D275" s="37" t="n"/>
      <c r="E275" s="37" t="n"/>
      <c r="F275" s="37" t="n"/>
      <c r="G275" s="38" t="n"/>
      <c r="H275" s="37" t="n"/>
      <c r="I275" s="37" t="n"/>
      <c r="J275" s="37" t="n"/>
      <c r="K275" s="39" t="str">
        <f>IF(A275="","",SUMIFS(mv_qty,mv_ref,A275,mv_type,"Entrée"))</f>
        <v/>
      </c>
      <c r="L275" s="39" t="str">
        <f>IF(A275="","",SUMIFS(mv_qty,mv_ref,A275,mv_type,"Sortie"))</f>
        <v/>
      </c>
      <c r="M275" s="39" t="str">
        <f>IF(A275="","",ROUND(N(H275)+K275-L275,6))</f>
        <v/>
      </c>
      <c r="N275" s="40" t="str">
        <f>IF(A275="","",M275*N(G275))</f>
        <v/>
      </c>
      <c r="O275" s="39" t="str">
        <f>IF(A275="","",IF(M275&lt;=0,"Rupture",IF(AND(I275&lt;&gt;"",M275&lt;=N(I275)),"À commander","OK")))</f>
        <v/>
      </c>
      <c r="P275" s="39" t="str">
        <f>IF(OR(A275="",O275="OK",J275=""),"",MAX(N(J275)-M275,0))</f>
        <v/>
      </c>
      <c r="Q275" s="39" t="str">
        <f>IF(A275="",IF(COUNTA(B275:J275)&gt;0,"Référence manquante",""),IF(COUNTIF($A$5:$A$1004,A275)&gt;1,"Référence en double",IF(B275="","Désignation manquante","OK")))</f>
        <v/>
      </c>
      <c r="R275" s="39" t="str">
        <f>IF(OR(O275="Rupture",O275="À commander"),COUNTIF($O$5:O275,"Rupture")+COUNTIF($O$5:O275,"À commander"),"")</f>
        <v/>
      </c>
    </row>
    <row r="276">
      <c r="A276" s="37" t="n"/>
      <c r="B276" s="37" t="n"/>
      <c r="C276" s="37" t="n"/>
      <c r="D276" s="37" t="n"/>
      <c r="E276" s="37" t="n"/>
      <c r="F276" s="37" t="n"/>
      <c r="G276" s="38" t="n"/>
      <c r="H276" s="37" t="n"/>
      <c r="I276" s="37" t="n"/>
      <c r="J276" s="37" t="n"/>
      <c r="K276" s="39" t="str">
        <f>IF(A276="","",SUMIFS(mv_qty,mv_ref,A276,mv_type,"Entrée"))</f>
        <v/>
      </c>
      <c r="L276" s="39" t="str">
        <f>IF(A276="","",SUMIFS(mv_qty,mv_ref,A276,mv_type,"Sortie"))</f>
        <v/>
      </c>
      <c r="M276" s="39" t="str">
        <f>IF(A276="","",ROUND(N(H276)+K276-L276,6))</f>
        <v/>
      </c>
      <c r="N276" s="40" t="str">
        <f>IF(A276="","",M276*N(G276))</f>
        <v/>
      </c>
      <c r="O276" s="39" t="str">
        <f>IF(A276="","",IF(M276&lt;=0,"Rupture",IF(AND(I276&lt;&gt;"",M276&lt;=N(I276)),"À commander","OK")))</f>
        <v/>
      </c>
      <c r="P276" s="39" t="str">
        <f>IF(OR(A276="",O276="OK",J276=""),"",MAX(N(J276)-M276,0))</f>
        <v/>
      </c>
      <c r="Q276" s="39" t="str">
        <f>IF(A276="",IF(COUNTA(B276:J276)&gt;0,"Référence manquante",""),IF(COUNTIF($A$5:$A$1004,A276)&gt;1,"Référence en double",IF(B276="","Désignation manquante","OK")))</f>
        <v/>
      </c>
      <c r="R276" s="39" t="str">
        <f>IF(OR(O276="Rupture",O276="À commander"),COUNTIF($O$5:O276,"Rupture")+COUNTIF($O$5:O276,"À commander"),"")</f>
        <v/>
      </c>
    </row>
    <row r="277">
      <c r="A277" s="37" t="n"/>
      <c r="B277" s="37" t="n"/>
      <c r="C277" s="37" t="n"/>
      <c r="D277" s="37" t="n"/>
      <c r="E277" s="37" t="n"/>
      <c r="F277" s="37" t="n"/>
      <c r="G277" s="38" t="n"/>
      <c r="H277" s="37" t="n"/>
      <c r="I277" s="37" t="n"/>
      <c r="J277" s="37" t="n"/>
      <c r="K277" s="39" t="str">
        <f>IF(A277="","",SUMIFS(mv_qty,mv_ref,A277,mv_type,"Entrée"))</f>
        <v/>
      </c>
      <c r="L277" s="39" t="str">
        <f>IF(A277="","",SUMIFS(mv_qty,mv_ref,A277,mv_type,"Sortie"))</f>
        <v/>
      </c>
      <c r="M277" s="39" t="str">
        <f>IF(A277="","",ROUND(N(H277)+K277-L277,6))</f>
        <v/>
      </c>
      <c r="N277" s="40" t="str">
        <f>IF(A277="","",M277*N(G277))</f>
        <v/>
      </c>
      <c r="O277" s="39" t="str">
        <f>IF(A277="","",IF(M277&lt;=0,"Rupture",IF(AND(I277&lt;&gt;"",M277&lt;=N(I277)),"À commander","OK")))</f>
        <v/>
      </c>
      <c r="P277" s="39" t="str">
        <f>IF(OR(A277="",O277="OK",J277=""),"",MAX(N(J277)-M277,0))</f>
        <v/>
      </c>
      <c r="Q277" s="39" t="str">
        <f>IF(A277="",IF(COUNTA(B277:J277)&gt;0,"Référence manquante",""),IF(COUNTIF($A$5:$A$1004,A277)&gt;1,"Référence en double",IF(B277="","Désignation manquante","OK")))</f>
        <v/>
      </c>
      <c r="R277" s="39" t="str">
        <f>IF(OR(O277="Rupture",O277="À commander"),COUNTIF($O$5:O277,"Rupture")+COUNTIF($O$5:O277,"À commander"),"")</f>
        <v/>
      </c>
    </row>
    <row r="278">
      <c r="A278" s="37" t="n"/>
      <c r="B278" s="37" t="n"/>
      <c r="C278" s="37" t="n"/>
      <c r="D278" s="37" t="n"/>
      <c r="E278" s="37" t="n"/>
      <c r="F278" s="37" t="n"/>
      <c r="G278" s="38" t="n"/>
      <c r="H278" s="37" t="n"/>
      <c r="I278" s="37" t="n"/>
      <c r="J278" s="37" t="n"/>
      <c r="K278" s="39" t="str">
        <f>IF(A278="","",SUMIFS(mv_qty,mv_ref,A278,mv_type,"Entrée"))</f>
        <v/>
      </c>
      <c r="L278" s="39" t="str">
        <f>IF(A278="","",SUMIFS(mv_qty,mv_ref,A278,mv_type,"Sortie"))</f>
        <v/>
      </c>
      <c r="M278" s="39" t="str">
        <f>IF(A278="","",ROUND(N(H278)+K278-L278,6))</f>
        <v/>
      </c>
      <c r="N278" s="40" t="str">
        <f>IF(A278="","",M278*N(G278))</f>
        <v/>
      </c>
      <c r="O278" s="39" t="str">
        <f>IF(A278="","",IF(M278&lt;=0,"Rupture",IF(AND(I278&lt;&gt;"",M278&lt;=N(I278)),"À commander","OK")))</f>
        <v/>
      </c>
      <c r="P278" s="39" t="str">
        <f>IF(OR(A278="",O278="OK",J278=""),"",MAX(N(J278)-M278,0))</f>
        <v/>
      </c>
      <c r="Q278" s="39" t="str">
        <f>IF(A278="",IF(COUNTA(B278:J278)&gt;0,"Référence manquante",""),IF(COUNTIF($A$5:$A$1004,A278)&gt;1,"Référence en double",IF(B278="","Désignation manquante","OK")))</f>
        <v/>
      </c>
      <c r="R278" s="39" t="str">
        <f>IF(OR(O278="Rupture",O278="À commander"),COUNTIF($O$5:O278,"Rupture")+COUNTIF($O$5:O278,"À commander"),"")</f>
        <v/>
      </c>
    </row>
    <row r="279">
      <c r="A279" s="37" t="n"/>
      <c r="B279" s="37" t="n"/>
      <c r="C279" s="37" t="n"/>
      <c r="D279" s="37" t="n"/>
      <c r="E279" s="37" t="n"/>
      <c r="F279" s="37" t="n"/>
      <c r="G279" s="38" t="n"/>
      <c r="H279" s="37" t="n"/>
      <c r="I279" s="37" t="n"/>
      <c r="J279" s="37" t="n"/>
      <c r="K279" s="39" t="str">
        <f>IF(A279="","",SUMIFS(mv_qty,mv_ref,A279,mv_type,"Entrée"))</f>
        <v/>
      </c>
      <c r="L279" s="39" t="str">
        <f>IF(A279="","",SUMIFS(mv_qty,mv_ref,A279,mv_type,"Sortie"))</f>
        <v/>
      </c>
      <c r="M279" s="39" t="str">
        <f>IF(A279="","",ROUND(N(H279)+K279-L279,6))</f>
        <v/>
      </c>
      <c r="N279" s="40" t="str">
        <f>IF(A279="","",M279*N(G279))</f>
        <v/>
      </c>
      <c r="O279" s="39" t="str">
        <f>IF(A279="","",IF(M279&lt;=0,"Rupture",IF(AND(I279&lt;&gt;"",M279&lt;=N(I279)),"À commander","OK")))</f>
        <v/>
      </c>
      <c r="P279" s="39" t="str">
        <f>IF(OR(A279="",O279="OK",J279=""),"",MAX(N(J279)-M279,0))</f>
        <v/>
      </c>
      <c r="Q279" s="39" t="str">
        <f>IF(A279="",IF(COUNTA(B279:J279)&gt;0,"Référence manquante",""),IF(COUNTIF($A$5:$A$1004,A279)&gt;1,"Référence en double",IF(B279="","Désignation manquante","OK")))</f>
        <v/>
      </c>
      <c r="R279" s="39" t="str">
        <f>IF(OR(O279="Rupture",O279="À commander"),COUNTIF($O$5:O279,"Rupture")+COUNTIF($O$5:O279,"À commander"),"")</f>
        <v/>
      </c>
    </row>
    <row r="280">
      <c r="A280" s="37" t="n"/>
      <c r="B280" s="37" t="n"/>
      <c r="C280" s="37" t="n"/>
      <c r="D280" s="37" t="n"/>
      <c r="E280" s="37" t="n"/>
      <c r="F280" s="37" t="n"/>
      <c r="G280" s="38" t="n"/>
      <c r="H280" s="37" t="n"/>
      <c r="I280" s="37" t="n"/>
      <c r="J280" s="37" t="n"/>
      <c r="K280" s="39" t="str">
        <f>IF(A280="","",SUMIFS(mv_qty,mv_ref,A280,mv_type,"Entrée"))</f>
        <v/>
      </c>
      <c r="L280" s="39" t="str">
        <f>IF(A280="","",SUMIFS(mv_qty,mv_ref,A280,mv_type,"Sortie"))</f>
        <v/>
      </c>
      <c r="M280" s="39" t="str">
        <f>IF(A280="","",ROUND(N(H280)+K280-L280,6))</f>
        <v/>
      </c>
      <c r="N280" s="40" t="str">
        <f>IF(A280="","",M280*N(G280))</f>
        <v/>
      </c>
      <c r="O280" s="39" t="str">
        <f>IF(A280="","",IF(M280&lt;=0,"Rupture",IF(AND(I280&lt;&gt;"",M280&lt;=N(I280)),"À commander","OK")))</f>
        <v/>
      </c>
      <c r="P280" s="39" t="str">
        <f>IF(OR(A280="",O280="OK",J280=""),"",MAX(N(J280)-M280,0))</f>
        <v/>
      </c>
      <c r="Q280" s="39" t="str">
        <f>IF(A280="",IF(COUNTA(B280:J280)&gt;0,"Référence manquante",""),IF(COUNTIF($A$5:$A$1004,A280)&gt;1,"Référence en double",IF(B280="","Désignation manquante","OK")))</f>
        <v/>
      </c>
      <c r="R280" s="39" t="str">
        <f>IF(OR(O280="Rupture",O280="À commander"),COUNTIF($O$5:O280,"Rupture")+COUNTIF($O$5:O280,"À commander"),"")</f>
        <v/>
      </c>
    </row>
    <row r="281">
      <c r="A281" s="37" t="n"/>
      <c r="B281" s="37" t="n"/>
      <c r="C281" s="37" t="n"/>
      <c r="D281" s="37" t="n"/>
      <c r="E281" s="37" t="n"/>
      <c r="F281" s="37" t="n"/>
      <c r="G281" s="38" t="n"/>
      <c r="H281" s="37" t="n"/>
      <c r="I281" s="37" t="n"/>
      <c r="J281" s="37" t="n"/>
      <c r="K281" s="39" t="str">
        <f>IF(A281="","",SUMIFS(mv_qty,mv_ref,A281,mv_type,"Entrée"))</f>
        <v/>
      </c>
      <c r="L281" s="39" t="str">
        <f>IF(A281="","",SUMIFS(mv_qty,mv_ref,A281,mv_type,"Sortie"))</f>
        <v/>
      </c>
      <c r="M281" s="39" t="str">
        <f>IF(A281="","",ROUND(N(H281)+K281-L281,6))</f>
        <v/>
      </c>
      <c r="N281" s="40" t="str">
        <f>IF(A281="","",M281*N(G281))</f>
        <v/>
      </c>
      <c r="O281" s="39" t="str">
        <f>IF(A281="","",IF(M281&lt;=0,"Rupture",IF(AND(I281&lt;&gt;"",M281&lt;=N(I281)),"À commander","OK")))</f>
        <v/>
      </c>
      <c r="P281" s="39" t="str">
        <f>IF(OR(A281="",O281="OK",J281=""),"",MAX(N(J281)-M281,0))</f>
        <v/>
      </c>
      <c r="Q281" s="39" t="str">
        <f>IF(A281="",IF(COUNTA(B281:J281)&gt;0,"Référence manquante",""),IF(COUNTIF($A$5:$A$1004,A281)&gt;1,"Référence en double",IF(B281="","Désignation manquante","OK")))</f>
        <v/>
      </c>
      <c r="R281" s="39" t="str">
        <f>IF(OR(O281="Rupture",O281="À commander"),COUNTIF($O$5:O281,"Rupture")+COUNTIF($O$5:O281,"À commander"),"")</f>
        <v/>
      </c>
    </row>
    <row r="282">
      <c r="A282" s="37" t="n"/>
      <c r="B282" s="37" t="n"/>
      <c r="C282" s="37" t="n"/>
      <c r="D282" s="37" t="n"/>
      <c r="E282" s="37" t="n"/>
      <c r="F282" s="37" t="n"/>
      <c r="G282" s="38" t="n"/>
      <c r="H282" s="37" t="n"/>
      <c r="I282" s="37" t="n"/>
      <c r="J282" s="37" t="n"/>
      <c r="K282" s="39" t="str">
        <f>IF(A282="","",SUMIFS(mv_qty,mv_ref,A282,mv_type,"Entrée"))</f>
        <v/>
      </c>
      <c r="L282" s="39" t="str">
        <f>IF(A282="","",SUMIFS(mv_qty,mv_ref,A282,mv_type,"Sortie"))</f>
        <v/>
      </c>
      <c r="M282" s="39" t="str">
        <f>IF(A282="","",ROUND(N(H282)+K282-L282,6))</f>
        <v/>
      </c>
      <c r="N282" s="40" t="str">
        <f>IF(A282="","",M282*N(G282))</f>
        <v/>
      </c>
      <c r="O282" s="39" t="str">
        <f>IF(A282="","",IF(M282&lt;=0,"Rupture",IF(AND(I282&lt;&gt;"",M282&lt;=N(I282)),"À commander","OK")))</f>
        <v/>
      </c>
      <c r="P282" s="39" t="str">
        <f>IF(OR(A282="",O282="OK",J282=""),"",MAX(N(J282)-M282,0))</f>
        <v/>
      </c>
      <c r="Q282" s="39" t="str">
        <f>IF(A282="",IF(COUNTA(B282:J282)&gt;0,"Référence manquante",""),IF(COUNTIF($A$5:$A$1004,A282)&gt;1,"Référence en double",IF(B282="","Désignation manquante","OK")))</f>
        <v/>
      </c>
      <c r="R282" s="39" t="str">
        <f>IF(OR(O282="Rupture",O282="À commander"),COUNTIF($O$5:O282,"Rupture")+COUNTIF($O$5:O282,"À commander"),"")</f>
        <v/>
      </c>
    </row>
    <row r="283">
      <c r="A283" s="37" t="n"/>
      <c r="B283" s="37" t="n"/>
      <c r="C283" s="37" t="n"/>
      <c r="D283" s="37" t="n"/>
      <c r="E283" s="37" t="n"/>
      <c r="F283" s="37" t="n"/>
      <c r="G283" s="38" t="n"/>
      <c r="H283" s="37" t="n"/>
      <c r="I283" s="37" t="n"/>
      <c r="J283" s="37" t="n"/>
      <c r="K283" s="39" t="str">
        <f>IF(A283="","",SUMIFS(mv_qty,mv_ref,A283,mv_type,"Entrée"))</f>
        <v/>
      </c>
      <c r="L283" s="39" t="str">
        <f>IF(A283="","",SUMIFS(mv_qty,mv_ref,A283,mv_type,"Sortie"))</f>
        <v/>
      </c>
      <c r="M283" s="39" t="str">
        <f>IF(A283="","",ROUND(N(H283)+K283-L283,6))</f>
        <v/>
      </c>
      <c r="N283" s="40" t="str">
        <f>IF(A283="","",M283*N(G283))</f>
        <v/>
      </c>
      <c r="O283" s="39" t="str">
        <f>IF(A283="","",IF(M283&lt;=0,"Rupture",IF(AND(I283&lt;&gt;"",M283&lt;=N(I283)),"À commander","OK")))</f>
        <v/>
      </c>
      <c r="P283" s="39" t="str">
        <f>IF(OR(A283="",O283="OK",J283=""),"",MAX(N(J283)-M283,0))</f>
        <v/>
      </c>
      <c r="Q283" s="39" t="str">
        <f>IF(A283="",IF(COUNTA(B283:J283)&gt;0,"Référence manquante",""),IF(COUNTIF($A$5:$A$1004,A283)&gt;1,"Référence en double",IF(B283="","Désignation manquante","OK")))</f>
        <v/>
      </c>
      <c r="R283" s="39" t="str">
        <f>IF(OR(O283="Rupture",O283="À commander"),COUNTIF($O$5:O283,"Rupture")+COUNTIF($O$5:O283,"À commander"),"")</f>
        <v/>
      </c>
    </row>
    <row r="284">
      <c r="A284" s="37" t="n"/>
      <c r="B284" s="37" t="n"/>
      <c r="C284" s="37" t="n"/>
      <c r="D284" s="37" t="n"/>
      <c r="E284" s="37" t="n"/>
      <c r="F284" s="37" t="n"/>
      <c r="G284" s="38" t="n"/>
      <c r="H284" s="37" t="n"/>
      <c r="I284" s="37" t="n"/>
      <c r="J284" s="37" t="n"/>
      <c r="K284" s="39" t="str">
        <f>IF(A284="","",SUMIFS(mv_qty,mv_ref,A284,mv_type,"Entrée"))</f>
        <v/>
      </c>
      <c r="L284" s="39" t="str">
        <f>IF(A284="","",SUMIFS(mv_qty,mv_ref,A284,mv_type,"Sortie"))</f>
        <v/>
      </c>
      <c r="M284" s="39" t="str">
        <f>IF(A284="","",ROUND(N(H284)+K284-L284,6))</f>
        <v/>
      </c>
      <c r="N284" s="40" t="str">
        <f>IF(A284="","",M284*N(G284))</f>
        <v/>
      </c>
      <c r="O284" s="39" t="str">
        <f>IF(A284="","",IF(M284&lt;=0,"Rupture",IF(AND(I284&lt;&gt;"",M284&lt;=N(I284)),"À commander","OK")))</f>
        <v/>
      </c>
      <c r="P284" s="39" t="str">
        <f>IF(OR(A284="",O284="OK",J284=""),"",MAX(N(J284)-M284,0))</f>
        <v/>
      </c>
      <c r="Q284" s="39" t="str">
        <f>IF(A284="",IF(COUNTA(B284:J284)&gt;0,"Référence manquante",""),IF(COUNTIF($A$5:$A$1004,A284)&gt;1,"Référence en double",IF(B284="","Désignation manquante","OK")))</f>
        <v/>
      </c>
      <c r="R284" s="39" t="str">
        <f>IF(OR(O284="Rupture",O284="À commander"),COUNTIF($O$5:O284,"Rupture")+COUNTIF($O$5:O284,"À commander"),"")</f>
        <v/>
      </c>
    </row>
    <row r="285">
      <c r="A285" s="37" t="n"/>
      <c r="B285" s="37" t="n"/>
      <c r="C285" s="37" t="n"/>
      <c r="D285" s="37" t="n"/>
      <c r="E285" s="37" t="n"/>
      <c r="F285" s="37" t="n"/>
      <c r="G285" s="38" t="n"/>
      <c r="H285" s="37" t="n"/>
      <c r="I285" s="37" t="n"/>
      <c r="J285" s="37" t="n"/>
      <c r="K285" s="39" t="str">
        <f>IF(A285="","",SUMIFS(mv_qty,mv_ref,A285,mv_type,"Entrée"))</f>
        <v/>
      </c>
      <c r="L285" s="39" t="str">
        <f>IF(A285="","",SUMIFS(mv_qty,mv_ref,A285,mv_type,"Sortie"))</f>
        <v/>
      </c>
      <c r="M285" s="39" t="str">
        <f>IF(A285="","",ROUND(N(H285)+K285-L285,6))</f>
        <v/>
      </c>
      <c r="N285" s="40" t="str">
        <f>IF(A285="","",M285*N(G285))</f>
        <v/>
      </c>
      <c r="O285" s="39" t="str">
        <f>IF(A285="","",IF(M285&lt;=0,"Rupture",IF(AND(I285&lt;&gt;"",M285&lt;=N(I285)),"À commander","OK")))</f>
        <v/>
      </c>
      <c r="P285" s="39" t="str">
        <f>IF(OR(A285="",O285="OK",J285=""),"",MAX(N(J285)-M285,0))</f>
        <v/>
      </c>
      <c r="Q285" s="39" t="str">
        <f>IF(A285="",IF(COUNTA(B285:J285)&gt;0,"Référence manquante",""),IF(COUNTIF($A$5:$A$1004,A285)&gt;1,"Référence en double",IF(B285="","Désignation manquante","OK")))</f>
        <v/>
      </c>
      <c r="R285" s="39" t="str">
        <f>IF(OR(O285="Rupture",O285="À commander"),COUNTIF($O$5:O285,"Rupture")+COUNTIF($O$5:O285,"À commander"),"")</f>
        <v/>
      </c>
    </row>
    <row r="286">
      <c r="A286" s="37" t="n"/>
      <c r="B286" s="37" t="n"/>
      <c r="C286" s="37" t="n"/>
      <c r="D286" s="37" t="n"/>
      <c r="E286" s="37" t="n"/>
      <c r="F286" s="37" t="n"/>
      <c r="G286" s="38" t="n"/>
      <c r="H286" s="37" t="n"/>
      <c r="I286" s="37" t="n"/>
      <c r="J286" s="37" t="n"/>
      <c r="K286" s="39" t="str">
        <f>IF(A286="","",SUMIFS(mv_qty,mv_ref,A286,mv_type,"Entrée"))</f>
        <v/>
      </c>
      <c r="L286" s="39" t="str">
        <f>IF(A286="","",SUMIFS(mv_qty,mv_ref,A286,mv_type,"Sortie"))</f>
        <v/>
      </c>
      <c r="M286" s="39" t="str">
        <f>IF(A286="","",ROUND(N(H286)+K286-L286,6))</f>
        <v/>
      </c>
      <c r="N286" s="40" t="str">
        <f>IF(A286="","",M286*N(G286))</f>
        <v/>
      </c>
      <c r="O286" s="39" t="str">
        <f>IF(A286="","",IF(M286&lt;=0,"Rupture",IF(AND(I286&lt;&gt;"",M286&lt;=N(I286)),"À commander","OK")))</f>
        <v/>
      </c>
      <c r="P286" s="39" t="str">
        <f>IF(OR(A286="",O286="OK",J286=""),"",MAX(N(J286)-M286,0))</f>
        <v/>
      </c>
      <c r="Q286" s="39" t="str">
        <f>IF(A286="",IF(COUNTA(B286:J286)&gt;0,"Référence manquante",""),IF(COUNTIF($A$5:$A$1004,A286)&gt;1,"Référence en double",IF(B286="","Désignation manquante","OK")))</f>
        <v/>
      </c>
      <c r="R286" s="39" t="str">
        <f>IF(OR(O286="Rupture",O286="À commander"),COUNTIF($O$5:O286,"Rupture")+COUNTIF($O$5:O286,"À commander"),"")</f>
        <v/>
      </c>
    </row>
    <row r="287">
      <c r="A287" s="37" t="n"/>
      <c r="B287" s="37" t="n"/>
      <c r="C287" s="37" t="n"/>
      <c r="D287" s="37" t="n"/>
      <c r="E287" s="37" t="n"/>
      <c r="F287" s="37" t="n"/>
      <c r="G287" s="38" t="n"/>
      <c r="H287" s="37" t="n"/>
      <c r="I287" s="37" t="n"/>
      <c r="J287" s="37" t="n"/>
      <c r="K287" s="39" t="str">
        <f>IF(A287="","",SUMIFS(mv_qty,mv_ref,A287,mv_type,"Entrée"))</f>
        <v/>
      </c>
      <c r="L287" s="39" t="str">
        <f>IF(A287="","",SUMIFS(mv_qty,mv_ref,A287,mv_type,"Sortie"))</f>
        <v/>
      </c>
      <c r="M287" s="39" t="str">
        <f>IF(A287="","",ROUND(N(H287)+K287-L287,6))</f>
        <v/>
      </c>
      <c r="N287" s="40" t="str">
        <f>IF(A287="","",M287*N(G287))</f>
        <v/>
      </c>
      <c r="O287" s="39" t="str">
        <f>IF(A287="","",IF(M287&lt;=0,"Rupture",IF(AND(I287&lt;&gt;"",M287&lt;=N(I287)),"À commander","OK")))</f>
        <v/>
      </c>
      <c r="P287" s="39" t="str">
        <f>IF(OR(A287="",O287="OK",J287=""),"",MAX(N(J287)-M287,0))</f>
        <v/>
      </c>
      <c r="Q287" s="39" t="str">
        <f>IF(A287="",IF(COUNTA(B287:J287)&gt;0,"Référence manquante",""),IF(COUNTIF($A$5:$A$1004,A287)&gt;1,"Référence en double",IF(B287="","Désignation manquante","OK")))</f>
        <v/>
      </c>
      <c r="R287" s="39" t="str">
        <f>IF(OR(O287="Rupture",O287="À commander"),COUNTIF($O$5:O287,"Rupture")+COUNTIF($O$5:O287,"À commander"),"")</f>
        <v/>
      </c>
    </row>
    <row r="288">
      <c r="A288" s="37" t="n"/>
      <c r="B288" s="37" t="n"/>
      <c r="C288" s="37" t="n"/>
      <c r="D288" s="37" t="n"/>
      <c r="E288" s="37" t="n"/>
      <c r="F288" s="37" t="n"/>
      <c r="G288" s="38" t="n"/>
      <c r="H288" s="37" t="n"/>
      <c r="I288" s="37" t="n"/>
      <c r="J288" s="37" t="n"/>
      <c r="K288" s="39" t="str">
        <f>IF(A288="","",SUMIFS(mv_qty,mv_ref,A288,mv_type,"Entrée"))</f>
        <v/>
      </c>
      <c r="L288" s="39" t="str">
        <f>IF(A288="","",SUMIFS(mv_qty,mv_ref,A288,mv_type,"Sortie"))</f>
        <v/>
      </c>
      <c r="M288" s="39" t="str">
        <f>IF(A288="","",ROUND(N(H288)+K288-L288,6))</f>
        <v/>
      </c>
      <c r="N288" s="40" t="str">
        <f>IF(A288="","",M288*N(G288))</f>
        <v/>
      </c>
      <c r="O288" s="39" t="str">
        <f>IF(A288="","",IF(M288&lt;=0,"Rupture",IF(AND(I288&lt;&gt;"",M288&lt;=N(I288)),"À commander","OK")))</f>
        <v/>
      </c>
      <c r="P288" s="39" t="str">
        <f>IF(OR(A288="",O288="OK",J288=""),"",MAX(N(J288)-M288,0))</f>
        <v/>
      </c>
      <c r="Q288" s="39" t="str">
        <f>IF(A288="",IF(COUNTA(B288:J288)&gt;0,"Référence manquante",""),IF(COUNTIF($A$5:$A$1004,A288)&gt;1,"Référence en double",IF(B288="","Désignation manquante","OK")))</f>
        <v/>
      </c>
      <c r="R288" s="39" t="str">
        <f>IF(OR(O288="Rupture",O288="À commander"),COUNTIF($O$5:O288,"Rupture")+COUNTIF($O$5:O288,"À commander"),"")</f>
        <v/>
      </c>
    </row>
    <row r="289">
      <c r="A289" s="37" t="n"/>
      <c r="B289" s="37" t="n"/>
      <c r="C289" s="37" t="n"/>
      <c r="D289" s="37" t="n"/>
      <c r="E289" s="37" t="n"/>
      <c r="F289" s="37" t="n"/>
      <c r="G289" s="38" t="n"/>
      <c r="H289" s="37" t="n"/>
      <c r="I289" s="37" t="n"/>
      <c r="J289" s="37" t="n"/>
      <c r="K289" s="39" t="str">
        <f>IF(A289="","",SUMIFS(mv_qty,mv_ref,A289,mv_type,"Entrée"))</f>
        <v/>
      </c>
      <c r="L289" s="39" t="str">
        <f>IF(A289="","",SUMIFS(mv_qty,mv_ref,A289,mv_type,"Sortie"))</f>
        <v/>
      </c>
      <c r="M289" s="39" t="str">
        <f>IF(A289="","",ROUND(N(H289)+K289-L289,6))</f>
        <v/>
      </c>
      <c r="N289" s="40" t="str">
        <f>IF(A289="","",M289*N(G289))</f>
        <v/>
      </c>
      <c r="O289" s="39" t="str">
        <f>IF(A289="","",IF(M289&lt;=0,"Rupture",IF(AND(I289&lt;&gt;"",M289&lt;=N(I289)),"À commander","OK")))</f>
        <v/>
      </c>
      <c r="P289" s="39" t="str">
        <f>IF(OR(A289="",O289="OK",J289=""),"",MAX(N(J289)-M289,0))</f>
        <v/>
      </c>
      <c r="Q289" s="39" t="str">
        <f>IF(A289="",IF(COUNTA(B289:J289)&gt;0,"Référence manquante",""),IF(COUNTIF($A$5:$A$1004,A289)&gt;1,"Référence en double",IF(B289="","Désignation manquante","OK")))</f>
        <v/>
      </c>
      <c r="R289" s="39" t="str">
        <f>IF(OR(O289="Rupture",O289="À commander"),COUNTIF($O$5:O289,"Rupture")+COUNTIF($O$5:O289,"À commander"),"")</f>
        <v/>
      </c>
    </row>
    <row r="290">
      <c r="A290" s="37" t="n"/>
      <c r="B290" s="37" t="n"/>
      <c r="C290" s="37" t="n"/>
      <c r="D290" s="37" t="n"/>
      <c r="E290" s="37" t="n"/>
      <c r="F290" s="37" t="n"/>
      <c r="G290" s="38" t="n"/>
      <c r="H290" s="37" t="n"/>
      <c r="I290" s="37" t="n"/>
      <c r="J290" s="37" t="n"/>
      <c r="K290" s="39" t="str">
        <f>IF(A290="","",SUMIFS(mv_qty,mv_ref,A290,mv_type,"Entrée"))</f>
        <v/>
      </c>
      <c r="L290" s="39" t="str">
        <f>IF(A290="","",SUMIFS(mv_qty,mv_ref,A290,mv_type,"Sortie"))</f>
        <v/>
      </c>
      <c r="M290" s="39" t="str">
        <f>IF(A290="","",ROUND(N(H290)+K290-L290,6))</f>
        <v/>
      </c>
      <c r="N290" s="40" t="str">
        <f>IF(A290="","",M290*N(G290))</f>
        <v/>
      </c>
      <c r="O290" s="39" t="str">
        <f>IF(A290="","",IF(M290&lt;=0,"Rupture",IF(AND(I290&lt;&gt;"",M290&lt;=N(I290)),"À commander","OK")))</f>
        <v/>
      </c>
      <c r="P290" s="39" t="str">
        <f>IF(OR(A290="",O290="OK",J290=""),"",MAX(N(J290)-M290,0))</f>
        <v/>
      </c>
      <c r="Q290" s="39" t="str">
        <f>IF(A290="",IF(COUNTA(B290:J290)&gt;0,"Référence manquante",""),IF(COUNTIF($A$5:$A$1004,A290)&gt;1,"Référence en double",IF(B290="","Désignation manquante","OK")))</f>
        <v/>
      </c>
      <c r="R290" s="39" t="str">
        <f>IF(OR(O290="Rupture",O290="À commander"),COUNTIF($O$5:O290,"Rupture")+COUNTIF($O$5:O290,"À commander"),"")</f>
        <v/>
      </c>
    </row>
    <row r="291">
      <c r="A291" s="37" t="n"/>
      <c r="B291" s="37" t="n"/>
      <c r="C291" s="37" t="n"/>
      <c r="D291" s="37" t="n"/>
      <c r="E291" s="37" t="n"/>
      <c r="F291" s="37" t="n"/>
      <c r="G291" s="38" t="n"/>
      <c r="H291" s="37" t="n"/>
      <c r="I291" s="37" t="n"/>
      <c r="J291" s="37" t="n"/>
      <c r="K291" s="39" t="str">
        <f>IF(A291="","",SUMIFS(mv_qty,mv_ref,A291,mv_type,"Entrée"))</f>
        <v/>
      </c>
      <c r="L291" s="39" t="str">
        <f>IF(A291="","",SUMIFS(mv_qty,mv_ref,A291,mv_type,"Sortie"))</f>
        <v/>
      </c>
      <c r="M291" s="39" t="str">
        <f>IF(A291="","",ROUND(N(H291)+K291-L291,6))</f>
        <v/>
      </c>
      <c r="N291" s="40" t="str">
        <f>IF(A291="","",M291*N(G291))</f>
        <v/>
      </c>
      <c r="O291" s="39" t="str">
        <f>IF(A291="","",IF(M291&lt;=0,"Rupture",IF(AND(I291&lt;&gt;"",M291&lt;=N(I291)),"À commander","OK")))</f>
        <v/>
      </c>
      <c r="P291" s="39" t="str">
        <f>IF(OR(A291="",O291="OK",J291=""),"",MAX(N(J291)-M291,0))</f>
        <v/>
      </c>
      <c r="Q291" s="39" t="str">
        <f>IF(A291="",IF(COUNTA(B291:J291)&gt;0,"Référence manquante",""),IF(COUNTIF($A$5:$A$1004,A291)&gt;1,"Référence en double",IF(B291="","Désignation manquante","OK")))</f>
        <v/>
      </c>
      <c r="R291" s="39" t="str">
        <f>IF(OR(O291="Rupture",O291="À commander"),COUNTIF($O$5:O291,"Rupture")+COUNTIF($O$5:O291,"À commander"),"")</f>
        <v/>
      </c>
    </row>
    <row r="292">
      <c r="A292" s="37" t="n"/>
      <c r="B292" s="37" t="n"/>
      <c r="C292" s="37" t="n"/>
      <c r="D292" s="37" t="n"/>
      <c r="E292" s="37" t="n"/>
      <c r="F292" s="37" t="n"/>
      <c r="G292" s="38" t="n"/>
      <c r="H292" s="37" t="n"/>
      <c r="I292" s="37" t="n"/>
      <c r="J292" s="37" t="n"/>
      <c r="K292" s="39" t="str">
        <f>IF(A292="","",SUMIFS(mv_qty,mv_ref,A292,mv_type,"Entrée"))</f>
        <v/>
      </c>
      <c r="L292" s="39" t="str">
        <f>IF(A292="","",SUMIFS(mv_qty,mv_ref,A292,mv_type,"Sortie"))</f>
        <v/>
      </c>
      <c r="M292" s="39" t="str">
        <f>IF(A292="","",ROUND(N(H292)+K292-L292,6))</f>
        <v/>
      </c>
      <c r="N292" s="40" t="str">
        <f>IF(A292="","",M292*N(G292))</f>
        <v/>
      </c>
      <c r="O292" s="39" t="str">
        <f>IF(A292="","",IF(M292&lt;=0,"Rupture",IF(AND(I292&lt;&gt;"",M292&lt;=N(I292)),"À commander","OK")))</f>
        <v/>
      </c>
      <c r="P292" s="39" t="str">
        <f>IF(OR(A292="",O292="OK",J292=""),"",MAX(N(J292)-M292,0))</f>
        <v/>
      </c>
      <c r="Q292" s="39" t="str">
        <f>IF(A292="",IF(COUNTA(B292:J292)&gt;0,"Référence manquante",""),IF(COUNTIF($A$5:$A$1004,A292)&gt;1,"Référence en double",IF(B292="","Désignation manquante","OK")))</f>
        <v/>
      </c>
      <c r="R292" s="39" t="str">
        <f>IF(OR(O292="Rupture",O292="À commander"),COUNTIF($O$5:O292,"Rupture")+COUNTIF($O$5:O292,"À commander"),"")</f>
        <v/>
      </c>
    </row>
    <row r="293">
      <c r="A293" s="37" t="n"/>
      <c r="B293" s="37" t="n"/>
      <c r="C293" s="37" t="n"/>
      <c r="D293" s="37" t="n"/>
      <c r="E293" s="37" t="n"/>
      <c r="F293" s="37" t="n"/>
      <c r="G293" s="38" t="n"/>
      <c r="H293" s="37" t="n"/>
      <c r="I293" s="37" t="n"/>
      <c r="J293" s="37" t="n"/>
      <c r="K293" s="39" t="str">
        <f>IF(A293="","",SUMIFS(mv_qty,mv_ref,A293,mv_type,"Entrée"))</f>
        <v/>
      </c>
      <c r="L293" s="39" t="str">
        <f>IF(A293="","",SUMIFS(mv_qty,mv_ref,A293,mv_type,"Sortie"))</f>
        <v/>
      </c>
      <c r="M293" s="39" t="str">
        <f>IF(A293="","",ROUND(N(H293)+K293-L293,6))</f>
        <v/>
      </c>
      <c r="N293" s="40" t="str">
        <f>IF(A293="","",M293*N(G293))</f>
        <v/>
      </c>
      <c r="O293" s="39" t="str">
        <f>IF(A293="","",IF(M293&lt;=0,"Rupture",IF(AND(I293&lt;&gt;"",M293&lt;=N(I293)),"À commander","OK")))</f>
        <v/>
      </c>
      <c r="P293" s="39" t="str">
        <f>IF(OR(A293="",O293="OK",J293=""),"",MAX(N(J293)-M293,0))</f>
        <v/>
      </c>
      <c r="Q293" s="39" t="str">
        <f>IF(A293="",IF(COUNTA(B293:J293)&gt;0,"Référence manquante",""),IF(COUNTIF($A$5:$A$1004,A293)&gt;1,"Référence en double",IF(B293="","Désignation manquante","OK")))</f>
        <v/>
      </c>
      <c r="R293" s="39" t="str">
        <f>IF(OR(O293="Rupture",O293="À commander"),COUNTIF($O$5:O293,"Rupture")+COUNTIF($O$5:O293,"À commander"),"")</f>
        <v/>
      </c>
    </row>
    <row r="294">
      <c r="A294" s="37" t="n"/>
      <c r="B294" s="37" t="n"/>
      <c r="C294" s="37" t="n"/>
      <c r="D294" s="37" t="n"/>
      <c r="E294" s="37" t="n"/>
      <c r="F294" s="37" t="n"/>
      <c r="G294" s="38" t="n"/>
      <c r="H294" s="37" t="n"/>
      <c r="I294" s="37" t="n"/>
      <c r="J294" s="37" t="n"/>
      <c r="K294" s="39" t="str">
        <f>IF(A294="","",SUMIFS(mv_qty,mv_ref,A294,mv_type,"Entrée"))</f>
        <v/>
      </c>
      <c r="L294" s="39" t="str">
        <f>IF(A294="","",SUMIFS(mv_qty,mv_ref,A294,mv_type,"Sortie"))</f>
        <v/>
      </c>
      <c r="M294" s="39" t="str">
        <f>IF(A294="","",ROUND(N(H294)+K294-L294,6))</f>
        <v/>
      </c>
      <c r="N294" s="40" t="str">
        <f>IF(A294="","",M294*N(G294))</f>
        <v/>
      </c>
      <c r="O294" s="39" t="str">
        <f>IF(A294="","",IF(M294&lt;=0,"Rupture",IF(AND(I294&lt;&gt;"",M294&lt;=N(I294)),"À commander","OK")))</f>
        <v/>
      </c>
      <c r="P294" s="39" t="str">
        <f>IF(OR(A294="",O294="OK",J294=""),"",MAX(N(J294)-M294,0))</f>
        <v/>
      </c>
      <c r="Q294" s="39" t="str">
        <f>IF(A294="",IF(COUNTA(B294:J294)&gt;0,"Référence manquante",""),IF(COUNTIF($A$5:$A$1004,A294)&gt;1,"Référence en double",IF(B294="","Désignation manquante","OK")))</f>
        <v/>
      </c>
      <c r="R294" s="39" t="str">
        <f>IF(OR(O294="Rupture",O294="À commander"),COUNTIF($O$5:O294,"Rupture")+COUNTIF($O$5:O294,"À commander"),"")</f>
        <v/>
      </c>
    </row>
    <row r="295">
      <c r="A295" s="37" t="n"/>
      <c r="B295" s="37" t="n"/>
      <c r="C295" s="37" t="n"/>
      <c r="D295" s="37" t="n"/>
      <c r="E295" s="37" t="n"/>
      <c r="F295" s="37" t="n"/>
      <c r="G295" s="38" t="n"/>
      <c r="H295" s="37" t="n"/>
      <c r="I295" s="37" t="n"/>
      <c r="J295" s="37" t="n"/>
      <c r="K295" s="39" t="str">
        <f>IF(A295="","",SUMIFS(mv_qty,mv_ref,A295,mv_type,"Entrée"))</f>
        <v/>
      </c>
      <c r="L295" s="39" t="str">
        <f>IF(A295="","",SUMIFS(mv_qty,mv_ref,A295,mv_type,"Sortie"))</f>
        <v/>
      </c>
      <c r="M295" s="39" t="str">
        <f>IF(A295="","",ROUND(N(H295)+K295-L295,6))</f>
        <v/>
      </c>
      <c r="N295" s="40" t="str">
        <f>IF(A295="","",M295*N(G295))</f>
        <v/>
      </c>
      <c r="O295" s="39" t="str">
        <f>IF(A295="","",IF(M295&lt;=0,"Rupture",IF(AND(I295&lt;&gt;"",M295&lt;=N(I295)),"À commander","OK")))</f>
        <v/>
      </c>
      <c r="P295" s="39" t="str">
        <f>IF(OR(A295="",O295="OK",J295=""),"",MAX(N(J295)-M295,0))</f>
        <v/>
      </c>
      <c r="Q295" s="39" t="str">
        <f>IF(A295="",IF(COUNTA(B295:J295)&gt;0,"Référence manquante",""),IF(COUNTIF($A$5:$A$1004,A295)&gt;1,"Référence en double",IF(B295="","Désignation manquante","OK")))</f>
        <v/>
      </c>
      <c r="R295" s="39" t="str">
        <f>IF(OR(O295="Rupture",O295="À commander"),COUNTIF($O$5:O295,"Rupture")+COUNTIF($O$5:O295,"À commander"),"")</f>
        <v/>
      </c>
    </row>
    <row r="296">
      <c r="A296" s="37" t="n"/>
      <c r="B296" s="37" t="n"/>
      <c r="C296" s="37" t="n"/>
      <c r="D296" s="37" t="n"/>
      <c r="E296" s="37" t="n"/>
      <c r="F296" s="37" t="n"/>
      <c r="G296" s="38" t="n"/>
      <c r="H296" s="37" t="n"/>
      <c r="I296" s="37" t="n"/>
      <c r="J296" s="37" t="n"/>
      <c r="K296" s="39" t="str">
        <f>IF(A296="","",SUMIFS(mv_qty,mv_ref,A296,mv_type,"Entrée"))</f>
        <v/>
      </c>
      <c r="L296" s="39" t="str">
        <f>IF(A296="","",SUMIFS(mv_qty,mv_ref,A296,mv_type,"Sortie"))</f>
        <v/>
      </c>
      <c r="M296" s="39" t="str">
        <f>IF(A296="","",ROUND(N(H296)+K296-L296,6))</f>
        <v/>
      </c>
      <c r="N296" s="40" t="str">
        <f>IF(A296="","",M296*N(G296))</f>
        <v/>
      </c>
      <c r="O296" s="39" t="str">
        <f>IF(A296="","",IF(M296&lt;=0,"Rupture",IF(AND(I296&lt;&gt;"",M296&lt;=N(I296)),"À commander","OK")))</f>
        <v/>
      </c>
      <c r="P296" s="39" t="str">
        <f>IF(OR(A296="",O296="OK",J296=""),"",MAX(N(J296)-M296,0))</f>
        <v/>
      </c>
      <c r="Q296" s="39" t="str">
        <f>IF(A296="",IF(COUNTA(B296:J296)&gt;0,"Référence manquante",""),IF(COUNTIF($A$5:$A$1004,A296)&gt;1,"Référence en double",IF(B296="","Désignation manquante","OK")))</f>
        <v/>
      </c>
      <c r="R296" s="39" t="str">
        <f>IF(OR(O296="Rupture",O296="À commander"),COUNTIF($O$5:O296,"Rupture")+COUNTIF($O$5:O296,"À commander"),"")</f>
        <v/>
      </c>
    </row>
    <row r="297">
      <c r="A297" s="37" t="n"/>
      <c r="B297" s="37" t="n"/>
      <c r="C297" s="37" t="n"/>
      <c r="D297" s="37" t="n"/>
      <c r="E297" s="37" t="n"/>
      <c r="F297" s="37" t="n"/>
      <c r="G297" s="38" t="n"/>
      <c r="H297" s="37" t="n"/>
      <c r="I297" s="37" t="n"/>
      <c r="J297" s="37" t="n"/>
      <c r="K297" s="39" t="str">
        <f>IF(A297="","",SUMIFS(mv_qty,mv_ref,A297,mv_type,"Entrée"))</f>
        <v/>
      </c>
      <c r="L297" s="39" t="str">
        <f>IF(A297="","",SUMIFS(mv_qty,mv_ref,A297,mv_type,"Sortie"))</f>
        <v/>
      </c>
      <c r="M297" s="39" t="str">
        <f>IF(A297="","",ROUND(N(H297)+K297-L297,6))</f>
        <v/>
      </c>
      <c r="N297" s="40" t="str">
        <f>IF(A297="","",M297*N(G297))</f>
        <v/>
      </c>
      <c r="O297" s="39" t="str">
        <f>IF(A297="","",IF(M297&lt;=0,"Rupture",IF(AND(I297&lt;&gt;"",M297&lt;=N(I297)),"À commander","OK")))</f>
        <v/>
      </c>
      <c r="P297" s="39" t="str">
        <f>IF(OR(A297="",O297="OK",J297=""),"",MAX(N(J297)-M297,0))</f>
        <v/>
      </c>
      <c r="Q297" s="39" t="str">
        <f>IF(A297="",IF(COUNTA(B297:J297)&gt;0,"Référence manquante",""),IF(COUNTIF($A$5:$A$1004,A297)&gt;1,"Référence en double",IF(B297="","Désignation manquante","OK")))</f>
        <v/>
      </c>
      <c r="R297" s="39" t="str">
        <f>IF(OR(O297="Rupture",O297="À commander"),COUNTIF($O$5:O297,"Rupture")+COUNTIF($O$5:O297,"À commander"),"")</f>
        <v/>
      </c>
    </row>
    <row r="298">
      <c r="A298" s="37" t="n"/>
      <c r="B298" s="37" t="n"/>
      <c r="C298" s="37" t="n"/>
      <c r="D298" s="37" t="n"/>
      <c r="E298" s="37" t="n"/>
      <c r="F298" s="37" t="n"/>
      <c r="G298" s="38" t="n"/>
      <c r="H298" s="37" t="n"/>
      <c r="I298" s="37" t="n"/>
      <c r="J298" s="37" t="n"/>
      <c r="K298" s="39" t="str">
        <f>IF(A298="","",SUMIFS(mv_qty,mv_ref,A298,mv_type,"Entrée"))</f>
        <v/>
      </c>
      <c r="L298" s="39" t="str">
        <f>IF(A298="","",SUMIFS(mv_qty,mv_ref,A298,mv_type,"Sortie"))</f>
        <v/>
      </c>
      <c r="M298" s="39" t="str">
        <f>IF(A298="","",ROUND(N(H298)+K298-L298,6))</f>
        <v/>
      </c>
      <c r="N298" s="40" t="str">
        <f>IF(A298="","",M298*N(G298))</f>
        <v/>
      </c>
      <c r="O298" s="39" t="str">
        <f>IF(A298="","",IF(M298&lt;=0,"Rupture",IF(AND(I298&lt;&gt;"",M298&lt;=N(I298)),"À commander","OK")))</f>
        <v/>
      </c>
      <c r="P298" s="39" t="str">
        <f>IF(OR(A298="",O298="OK",J298=""),"",MAX(N(J298)-M298,0))</f>
        <v/>
      </c>
      <c r="Q298" s="39" t="str">
        <f>IF(A298="",IF(COUNTA(B298:J298)&gt;0,"Référence manquante",""),IF(COUNTIF($A$5:$A$1004,A298)&gt;1,"Référence en double",IF(B298="","Désignation manquante","OK")))</f>
        <v/>
      </c>
      <c r="R298" s="39" t="str">
        <f>IF(OR(O298="Rupture",O298="À commander"),COUNTIF($O$5:O298,"Rupture")+COUNTIF($O$5:O298,"À commander"),"")</f>
        <v/>
      </c>
    </row>
    <row r="299">
      <c r="A299" s="37" t="n"/>
      <c r="B299" s="37" t="n"/>
      <c r="C299" s="37" t="n"/>
      <c r="D299" s="37" t="n"/>
      <c r="E299" s="37" t="n"/>
      <c r="F299" s="37" t="n"/>
      <c r="G299" s="38" t="n"/>
      <c r="H299" s="37" t="n"/>
      <c r="I299" s="37" t="n"/>
      <c r="J299" s="37" t="n"/>
      <c r="K299" s="39" t="str">
        <f>IF(A299="","",SUMIFS(mv_qty,mv_ref,A299,mv_type,"Entrée"))</f>
        <v/>
      </c>
      <c r="L299" s="39" t="str">
        <f>IF(A299="","",SUMIFS(mv_qty,mv_ref,A299,mv_type,"Sortie"))</f>
        <v/>
      </c>
      <c r="M299" s="39" t="str">
        <f>IF(A299="","",ROUND(N(H299)+K299-L299,6))</f>
        <v/>
      </c>
      <c r="N299" s="40" t="str">
        <f>IF(A299="","",M299*N(G299))</f>
        <v/>
      </c>
      <c r="O299" s="39" t="str">
        <f>IF(A299="","",IF(M299&lt;=0,"Rupture",IF(AND(I299&lt;&gt;"",M299&lt;=N(I299)),"À commander","OK")))</f>
        <v/>
      </c>
      <c r="P299" s="39" t="str">
        <f>IF(OR(A299="",O299="OK",J299=""),"",MAX(N(J299)-M299,0))</f>
        <v/>
      </c>
      <c r="Q299" s="39" t="str">
        <f>IF(A299="",IF(COUNTA(B299:J299)&gt;0,"Référence manquante",""),IF(COUNTIF($A$5:$A$1004,A299)&gt;1,"Référence en double",IF(B299="","Désignation manquante","OK")))</f>
        <v/>
      </c>
      <c r="R299" s="39" t="str">
        <f>IF(OR(O299="Rupture",O299="À commander"),COUNTIF($O$5:O299,"Rupture")+COUNTIF($O$5:O299,"À commander"),"")</f>
        <v/>
      </c>
    </row>
    <row r="300">
      <c r="A300" s="37" t="n"/>
      <c r="B300" s="37" t="n"/>
      <c r="C300" s="37" t="n"/>
      <c r="D300" s="37" t="n"/>
      <c r="E300" s="37" t="n"/>
      <c r="F300" s="37" t="n"/>
      <c r="G300" s="38" t="n"/>
      <c r="H300" s="37" t="n"/>
      <c r="I300" s="37" t="n"/>
      <c r="J300" s="37" t="n"/>
      <c r="K300" s="39" t="str">
        <f>IF(A300="","",SUMIFS(mv_qty,mv_ref,A300,mv_type,"Entrée"))</f>
        <v/>
      </c>
      <c r="L300" s="39" t="str">
        <f>IF(A300="","",SUMIFS(mv_qty,mv_ref,A300,mv_type,"Sortie"))</f>
        <v/>
      </c>
      <c r="M300" s="39" t="str">
        <f>IF(A300="","",ROUND(N(H300)+K300-L300,6))</f>
        <v/>
      </c>
      <c r="N300" s="40" t="str">
        <f>IF(A300="","",M300*N(G300))</f>
        <v/>
      </c>
      <c r="O300" s="39" t="str">
        <f>IF(A300="","",IF(M300&lt;=0,"Rupture",IF(AND(I300&lt;&gt;"",M300&lt;=N(I300)),"À commander","OK")))</f>
        <v/>
      </c>
      <c r="P300" s="39" t="str">
        <f>IF(OR(A300="",O300="OK",J300=""),"",MAX(N(J300)-M300,0))</f>
        <v/>
      </c>
      <c r="Q300" s="39" t="str">
        <f>IF(A300="",IF(COUNTA(B300:J300)&gt;0,"Référence manquante",""),IF(COUNTIF($A$5:$A$1004,A300)&gt;1,"Référence en double",IF(B300="","Désignation manquante","OK")))</f>
        <v/>
      </c>
      <c r="R300" s="39" t="str">
        <f>IF(OR(O300="Rupture",O300="À commander"),COUNTIF($O$5:O300,"Rupture")+COUNTIF($O$5:O300,"À commander"),"")</f>
        <v/>
      </c>
    </row>
    <row r="301">
      <c r="A301" s="37" t="n"/>
      <c r="B301" s="37" t="n"/>
      <c r="C301" s="37" t="n"/>
      <c r="D301" s="37" t="n"/>
      <c r="E301" s="37" t="n"/>
      <c r="F301" s="37" t="n"/>
      <c r="G301" s="38" t="n"/>
      <c r="H301" s="37" t="n"/>
      <c r="I301" s="37" t="n"/>
      <c r="J301" s="37" t="n"/>
      <c r="K301" s="39" t="str">
        <f>IF(A301="","",SUMIFS(mv_qty,mv_ref,A301,mv_type,"Entrée"))</f>
        <v/>
      </c>
      <c r="L301" s="39" t="str">
        <f>IF(A301="","",SUMIFS(mv_qty,mv_ref,A301,mv_type,"Sortie"))</f>
        <v/>
      </c>
      <c r="M301" s="39" t="str">
        <f>IF(A301="","",ROUND(N(H301)+K301-L301,6))</f>
        <v/>
      </c>
      <c r="N301" s="40" t="str">
        <f>IF(A301="","",M301*N(G301))</f>
        <v/>
      </c>
      <c r="O301" s="39" t="str">
        <f>IF(A301="","",IF(M301&lt;=0,"Rupture",IF(AND(I301&lt;&gt;"",M301&lt;=N(I301)),"À commander","OK")))</f>
        <v/>
      </c>
      <c r="P301" s="39" t="str">
        <f>IF(OR(A301="",O301="OK",J301=""),"",MAX(N(J301)-M301,0))</f>
        <v/>
      </c>
      <c r="Q301" s="39" t="str">
        <f>IF(A301="",IF(COUNTA(B301:J301)&gt;0,"Référence manquante",""),IF(COUNTIF($A$5:$A$1004,A301)&gt;1,"Référence en double",IF(B301="","Désignation manquante","OK")))</f>
        <v/>
      </c>
      <c r="R301" s="39" t="str">
        <f>IF(OR(O301="Rupture",O301="À commander"),COUNTIF($O$5:O301,"Rupture")+COUNTIF($O$5:O301,"À commander"),"")</f>
        <v/>
      </c>
    </row>
    <row r="302">
      <c r="A302" s="37" t="n"/>
      <c r="B302" s="37" t="n"/>
      <c r="C302" s="37" t="n"/>
      <c r="D302" s="37" t="n"/>
      <c r="E302" s="37" t="n"/>
      <c r="F302" s="37" t="n"/>
      <c r="G302" s="38" t="n"/>
      <c r="H302" s="37" t="n"/>
      <c r="I302" s="37" t="n"/>
      <c r="J302" s="37" t="n"/>
      <c r="K302" s="39" t="str">
        <f>IF(A302="","",SUMIFS(mv_qty,mv_ref,A302,mv_type,"Entrée"))</f>
        <v/>
      </c>
      <c r="L302" s="39" t="str">
        <f>IF(A302="","",SUMIFS(mv_qty,mv_ref,A302,mv_type,"Sortie"))</f>
        <v/>
      </c>
      <c r="M302" s="39" t="str">
        <f>IF(A302="","",ROUND(N(H302)+K302-L302,6))</f>
        <v/>
      </c>
      <c r="N302" s="40" t="str">
        <f>IF(A302="","",M302*N(G302))</f>
        <v/>
      </c>
      <c r="O302" s="39" t="str">
        <f>IF(A302="","",IF(M302&lt;=0,"Rupture",IF(AND(I302&lt;&gt;"",M302&lt;=N(I302)),"À commander","OK")))</f>
        <v/>
      </c>
      <c r="P302" s="39" t="str">
        <f>IF(OR(A302="",O302="OK",J302=""),"",MAX(N(J302)-M302,0))</f>
        <v/>
      </c>
      <c r="Q302" s="39" t="str">
        <f>IF(A302="",IF(COUNTA(B302:J302)&gt;0,"Référence manquante",""),IF(COUNTIF($A$5:$A$1004,A302)&gt;1,"Référence en double",IF(B302="","Désignation manquante","OK")))</f>
        <v/>
      </c>
      <c r="R302" s="39" t="str">
        <f>IF(OR(O302="Rupture",O302="À commander"),COUNTIF($O$5:O302,"Rupture")+COUNTIF($O$5:O302,"À commander"),"")</f>
        <v/>
      </c>
    </row>
    <row r="303">
      <c r="A303" s="37" t="n"/>
      <c r="B303" s="37" t="n"/>
      <c r="C303" s="37" t="n"/>
      <c r="D303" s="37" t="n"/>
      <c r="E303" s="37" t="n"/>
      <c r="F303" s="37" t="n"/>
      <c r="G303" s="38" t="n"/>
      <c r="H303" s="37" t="n"/>
      <c r="I303" s="37" t="n"/>
      <c r="J303" s="37" t="n"/>
      <c r="K303" s="39" t="str">
        <f>IF(A303="","",SUMIFS(mv_qty,mv_ref,A303,mv_type,"Entrée"))</f>
        <v/>
      </c>
      <c r="L303" s="39" t="str">
        <f>IF(A303="","",SUMIFS(mv_qty,mv_ref,A303,mv_type,"Sortie"))</f>
        <v/>
      </c>
      <c r="M303" s="39" t="str">
        <f>IF(A303="","",ROUND(N(H303)+K303-L303,6))</f>
        <v/>
      </c>
      <c r="N303" s="40" t="str">
        <f>IF(A303="","",M303*N(G303))</f>
        <v/>
      </c>
      <c r="O303" s="39" t="str">
        <f>IF(A303="","",IF(M303&lt;=0,"Rupture",IF(AND(I303&lt;&gt;"",M303&lt;=N(I303)),"À commander","OK")))</f>
        <v/>
      </c>
      <c r="P303" s="39" t="str">
        <f>IF(OR(A303="",O303="OK",J303=""),"",MAX(N(J303)-M303,0))</f>
        <v/>
      </c>
      <c r="Q303" s="39" t="str">
        <f>IF(A303="",IF(COUNTA(B303:J303)&gt;0,"Référence manquante",""),IF(COUNTIF($A$5:$A$1004,A303)&gt;1,"Référence en double",IF(B303="","Désignation manquante","OK")))</f>
        <v/>
      </c>
      <c r="R303" s="39" t="str">
        <f>IF(OR(O303="Rupture",O303="À commander"),COUNTIF($O$5:O303,"Rupture")+COUNTIF($O$5:O303,"À commander"),"")</f>
        <v/>
      </c>
    </row>
    <row r="304">
      <c r="A304" s="37" t="n"/>
      <c r="B304" s="37" t="n"/>
      <c r="C304" s="37" t="n"/>
      <c r="D304" s="37" t="n"/>
      <c r="E304" s="37" t="n"/>
      <c r="F304" s="37" t="n"/>
      <c r="G304" s="38" t="n"/>
      <c r="H304" s="37" t="n"/>
      <c r="I304" s="37" t="n"/>
      <c r="J304" s="37" t="n"/>
      <c r="K304" s="39" t="str">
        <f>IF(A304="","",SUMIFS(mv_qty,mv_ref,A304,mv_type,"Entrée"))</f>
        <v/>
      </c>
      <c r="L304" s="39" t="str">
        <f>IF(A304="","",SUMIFS(mv_qty,mv_ref,A304,mv_type,"Sortie"))</f>
        <v/>
      </c>
      <c r="M304" s="39" t="str">
        <f>IF(A304="","",ROUND(N(H304)+K304-L304,6))</f>
        <v/>
      </c>
      <c r="N304" s="40" t="str">
        <f>IF(A304="","",M304*N(G304))</f>
        <v/>
      </c>
      <c r="O304" s="39" t="str">
        <f>IF(A304="","",IF(M304&lt;=0,"Rupture",IF(AND(I304&lt;&gt;"",M304&lt;=N(I304)),"À commander","OK")))</f>
        <v/>
      </c>
      <c r="P304" s="39" t="str">
        <f>IF(OR(A304="",O304="OK",J304=""),"",MAX(N(J304)-M304,0))</f>
        <v/>
      </c>
      <c r="Q304" s="39" t="str">
        <f>IF(A304="",IF(COUNTA(B304:J304)&gt;0,"Référence manquante",""),IF(COUNTIF($A$5:$A$1004,A304)&gt;1,"Référence en double",IF(B304="","Désignation manquante","OK")))</f>
        <v/>
      </c>
      <c r="R304" s="39" t="str">
        <f>IF(OR(O304="Rupture",O304="À commander"),COUNTIF($O$5:O304,"Rupture")+COUNTIF($O$5:O304,"À commander"),"")</f>
        <v/>
      </c>
    </row>
    <row r="305">
      <c r="A305" s="37" t="n"/>
      <c r="B305" s="37" t="n"/>
      <c r="C305" s="37" t="n"/>
      <c r="D305" s="37" t="n"/>
      <c r="E305" s="37" t="n"/>
      <c r="F305" s="37" t="n"/>
      <c r="G305" s="38" t="n"/>
      <c r="H305" s="37" t="n"/>
      <c r="I305" s="37" t="n"/>
      <c r="J305" s="37" t="n"/>
      <c r="K305" s="39" t="str">
        <f>IF(A305="","",SUMIFS(mv_qty,mv_ref,A305,mv_type,"Entrée"))</f>
        <v/>
      </c>
      <c r="L305" s="39" t="str">
        <f>IF(A305="","",SUMIFS(mv_qty,mv_ref,A305,mv_type,"Sortie"))</f>
        <v/>
      </c>
      <c r="M305" s="39" t="str">
        <f>IF(A305="","",ROUND(N(H305)+K305-L305,6))</f>
        <v/>
      </c>
      <c r="N305" s="40" t="str">
        <f>IF(A305="","",M305*N(G305))</f>
        <v/>
      </c>
      <c r="O305" s="39" t="str">
        <f>IF(A305="","",IF(M305&lt;=0,"Rupture",IF(AND(I305&lt;&gt;"",M305&lt;=N(I305)),"À commander","OK")))</f>
        <v/>
      </c>
      <c r="P305" s="39" t="str">
        <f>IF(OR(A305="",O305="OK",J305=""),"",MAX(N(J305)-M305,0))</f>
        <v/>
      </c>
      <c r="Q305" s="39" t="str">
        <f>IF(A305="",IF(COUNTA(B305:J305)&gt;0,"Référence manquante",""),IF(COUNTIF($A$5:$A$1004,A305)&gt;1,"Référence en double",IF(B305="","Désignation manquante","OK")))</f>
        <v/>
      </c>
      <c r="R305" s="39" t="str">
        <f>IF(OR(O305="Rupture",O305="À commander"),COUNTIF($O$5:O305,"Rupture")+COUNTIF($O$5:O305,"À commander"),"")</f>
        <v/>
      </c>
    </row>
    <row r="306">
      <c r="A306" s="37" t="n"/>
      <c r="B306" s="37" t="n"/>
      <c r="C306" s="37" t="n"/>
      <c r="D306" s="37" t="n"/>
      <c r="E306" s="37" t="n"/>
      <c r="F306" s="37" t="n"/>
      <c r="G306" s="38" t="n"/>
      <c r="H306" s="37" t="n"/>
      <c r="I306" s="37" t="n"/>
      <c r="J306" s="37" t="n"/>
      <c r="K306" s="39" t="str">
        <f>IF(A306="","",SUMIFS(mv_qty,mv_ref,A306,mv_type,"Entrée"))</f>
        <v/>
      </c>
      <c r="L306" s="39" t="str">
        <f>IF(A306="","",SUMIFS(mv_qty,mv_ref,A306,mv_type,"Sortie"))</f>
        <v/>
      </c>
      <c r="M306" s="39" t="str">
        <f>IF(A306="","",ROUND(N(H306)+K306-L306,6))</f>
        <v/>
      </c>
      <c r="N306" s="40" t="str">
        <f>IF(A306="","",M306*N(G306))</f>
        <v/>
      </c>
      <c r="O306" s="39" t="str">
        <f>IF(A306="","",IF(M306&lt;=0,"Rupture",IF(AND(I306&lt;&gt;"",M306&lt;=N(I306)),"À commander","OK")))</f>
        <v/>
      </c>
      <c r="P306" s="39" t="str">
        <f>IF(OR(A306="",O306="OK",J306=""),"",MAX(N(J306)-M306,0))</f>
        <v/>
      </c>
      <c r="Q306" s="39" t="str">
        <f>IF(A306="",IF(COUNTA(B306:J306)&gt;0,"Référence manquante",""),IF(COUNTIF($A$5:$A$1004,A306)&gt;1,"Référence en double",IF(B306="","Désignation manquante","OK")))</f>
        <v/>
      </c>
      <c r="R306" s="39" t="str">
        <f>IF(OR(O306="Rupture",O306="À commander"),COUNTIF($O$5:O306,"Rupture")+COUNTIF($O$5:O306,"À commander"),"")</f>
        <v/>
      </c>
    </row>
    <row r="307">
      <c r="A307" s="37" t="n"/>
      <c r="B307" s="37" t="n"/>
      <c r="C307" s="37" t="n"/>
      <c r="D307" s="37" t="n"/>
      <c r="E307" s="37" t="n"/>
      <c r="F307" s="37" t="n"/>
      <c r="G307" s="38" t="n"/>
      <c r="H307" s="37" t="n"/>
      <c r="I307" s="37" t="n"/>
      <c r="J307" s="37" t="n"/>
      <c r="K307" s="39" t="str">
        <f>IF(A307="","",SUMIFS(mv_qty,mv_ref,A307,mv_type,"Entrée"))</f>
        <v/>
      </c>
      <c r="L307" s="39" t="str">
        <f>IF(A307="","",SUMIFS(mv_qty,mv_ref,A307,mv_type,"Sortie"))</f>
        <v/>
      </c>
      <c r="M307" s="39" t="str">
        <f>IF(A307="","",ROUND(N(H307)+K307-L307,6))</f>
        <v/>
      </c>
      <c r="N307" s="40" t="str">
        <f>IF(A307="","",M307*N(G307))</f>
        <v/>
      </c>
      <c r="O307" s="39" t="str">
        <f>IF(A307="","",IF(M307&lt;=0,"Rupture",IF(AND(I307&lt;&gt;"",M307&lt;=N(I307)),"À commander","OK")))</f>
        <v/>
      </c>
      <c r="P307" s="39" t="str">
        <f>IF(OR(A307="",O307="OK",J307=""),"",MAX(N(J307)-M307,0))</f>
        <v/>
      </c>
      <c r="Q307" s="39" t="str">
        <f>IF(A307="",IF(COUNTA(B307:J307)&gt;0,"Référence manquante",""),IF(COUNTIF($A$5:$A$1004,A307)&gt;1,"Référence en double",IF(B307="","Désignation manquante","OK")))</f>
        <v/>
      </c>
      <c r="R307" s="39" t="str">
        <f>IF(OR(O307="Rupture",O307="À commander"),COUNTIF($O$5:O307,"Rupture")+COUNTIF($O$5:O307,"À commander"),"")</f>
        <v/>
      </c>
    </row>
    <row r="308">
      <c r="A308" s="37" t="n"/>
      <c r="B308" s="37" t="n"/>
      <c r="C308" s="37" t="n"/>
      <c r="D308" s="37" t="n"/>
      <c r="E308" s="37" t="n"/>
      <c r="F308" s="37" t="n"/>
      <c r="G308" s="38" t="n"/>
      <c r="H308" s="37" t="n"/>
      <c r="I308" s="37" t="n"/>
      <c r="J308" s="37" t="n"/>
      <c r="K308" s="39" t="str">
        <f>IF(A308="","",SUMIFS(mv_qty,mv_ref,A308,mv_type,"Entrée"))</f>
        <v/>
      </c>
      <c r="L308" s="39" t="str">
        <f>IF(A308="","",SUMIFS(mv_qty,mv_ref,A308,mv_type,"Sortie"))</f>
        <v/>
      </c>
      <c r="M308" s="39" t="str">
        <f>IF(A308="","",ROUND(N(H308)+K308-L308,6))</f>
        <v/>
      </c>
      <c r="N308" s="40" t="str">
        <f>IF(A308="","",M308*N(G308))</f>
        <v/>
      </c>
      <c r="O308" s="39" t="str">
        <f>IF(A308="","",IF(M308&lt;=0,"Rupture",IF(AND(I308&lt;&gt;"",M308&lt;=N(I308)),"À commander","OK")))</f>
        <v/>
      </c>
      <c r="P308" s="39" t="str">
        <f>IF(OR(A308="",O308="OK",J308=""),"",MAX(N(J308)-M308,0))</f>
        <v/>
      </c>
      <c r="Q308" s="39" t="str">
        <f>IF(A308="",IF(COUNTA(B308:J308)&gt;0,"Référence manquante",""),IF(COUNTIF($A$5:$A$1004,A308)&gt;1,"Référence en double",IF(B308="","Désignation manquante","OK")))</f>
        <v/>
      </c>
      <c r="R308" s="39" t="str">
        <f>IF(OR(O308="Rupture",O308="À commander"),COUNTIF($O$5:O308,"Rupture")+COUNTIF($O$5:O308,"À commander"),"")</f>
        <v/>
      </c>
    </row>
    <row r="309">
      <c r="A309" s="37" t="n"/>
      <c r="B309" s="37" t="n"/>
      <c r="C309" s="37" t="n"/>
      <c r="D309" s="37" t="n"/>
      <c r="E309" s="37" t="n"/>
      <c r="F309" s="37" t="n"/>
      <c r="G309" s="38" t="n"/>
      <c r="H309" s="37" t="n"/>
      <c r="I309" s="37" t="n"/>
      <c r="J309" s="37" t="n"/>
      <c r="K309" s="39" t="str">
        <f>IF(A309="","",SUMIFS(mv_qty,mv_ref,A309,mv_type,"Entrée"))</f>
        <v/>
      </c>
      <c r="L309" s="39" t="str">
        <f>IF(A309="","",SUMIFS(mv_qty,mv_ref,A309,mv_type,"Sortie"))</f>
        <v/>
      </c>
      <c r="M309" s="39" t="str">
        <f>IF(A309="","",ROUND(N(H309)+K309-L309,6))</f>
        <v/>
      </c>
      <c r="N309" s="40" t="str">
        <f>IF(A309="","",M309*N(G309))</f>
        <v/>
      </c>
      <c r="O309" s="39" t="str">
        <f>IF(A309="","",IF(M309&lt;=0,"Rupture",IF(AND(I309&lt;&gt;"",M309&lt;=N(I309)),"À commander","OK")))</f>
        <v/>
      </c>
      <c r="P309" s="39" t="str">
        <f>IF(OR(A309="",O309="OK",J309=""),"",MAX(N(J309)-M309,0))</f>
        <v/>
      </c>
      <c r="Q309" s="39" t="str">
        <f>IF(A309="",IF(COUNTA(B309:J309)&gt;0,"Référence manquante",""),IF(COUNTIF($A$5:$A$1004,A309)&gt;1,"Référence en double",IF(B309="","Désignation manquante","OK")))</f>
        <v/>
      </c>
      <c r="R309" s="39" t="str">
        <f>IF(OR(O309="Rupture",O309="À commander"),COUNTIF($O$5:O309,"Rupture")+COUNTIF($O$5:O309,"À commander"),"")</f>
        <v/>
      </c>
    </row>
    <row r="310">
      <c r="A310" s="37" t="n"/>
      <c r="B310" s="37" t="n"/>
      <c r="C310" s="37" t="n"/>
      <c r="D310" s="37" t="n"/>
      <c r="E310" s="37" t="n"/>
      <c r="F310" s="37" t="n"/>
      <c r="G310" s="38" t="n"/>
      <c r="H310" s="37" t="n"/>
      <c r="I310" s="37" t="n"/>
      <c r="J310" s="37" t="n"/>
      <c r="K310" s="39" t="str">
        <f>IF(A310="","",SUMIFS(mv_qty,mv_ref,A310,mv_type,"Entrée"))</f>
        <v/>
      </c>
      <c r="L310" s="39" t="str">
        <f>IF(A310="","",SUMIFS(mv_qty,mv_ref,A310,mv_type,"Sortie"))</f>
        <v/>
      </c>
      <c r="M310" s="39" t="str">
        <f>IF(A310="","",ROUND(N(H310)+K310-L310,6))</f>
        <v/>
      </c>
      <c r="N310" s="40" t="str">
        <f>IF(A310="","",M310*N(G310))</f>
        <v/>
      </c>
      <c r="O310" s="39" t="str">
        <f>IF(A310="","",IF(M310&lt;=0,"Rupture",IF(AND(I310&lt;&gt;"",M310&lt;=N(I310)),"À commander","OK")))</f>
        <v/>
      </c>
      <c r="P310" s="39" t="str">
        <f>IF(OR(A310="",O310="OK",J310=""),"",MAX(N(J310)-M310,0))</f>
        <v/>
      </c>
      <c r="Q310" s="39" t="str">
        <f>IF(A310="",IF(COUNTA(B310:J310)&gt;0,"Référence manquante",""),IF(COUNTIF($A$5:$A$1004,A310)&gt;1,"Référence en double",IF(B310="","Désignation manquante","OK")))</f>
        <v/>
      </c>
      <c r="R310" s="39" t="str">
        <f>IF(OR(O310="Rupture",O310="À commander"),COUNTIF($O$5:O310,"Rupture")+COUNTIF($O$5:O310,"À commander"),"")</f>
        <v/>
      </c>
    </row>
    <row r="311">
      <c r="A311" s="37" t="n"/>
      <c r="B311" s="37" t="n"/>
      <c r="C311" s="37" t="n"/>
      <c r="D311" s="37" t="n"/>
      <c r="E311" s="37" t="n"/>
      <c r="F311" s="37" t="n"/>
      <c r="G311" s="38" t="n"/>
      <c r="H311" s="37" t="n"/>
      <c r="I311" s="37" t="n"/>
      <c r="J311" s="37" t="n"/>
      <c r="K311" s="39" t="str">
        <f>IF(A311="","",SUMIFS(mv_qty,mv_ref,A311,mv_type,"Entrée"))</f>
        <v/>
      </c>
      <c r="L311" s="39" t="str">
        <f>IF(A311="","",SUMIFS(mv_qty,mv_ref,A311,mv_type,"Sortie"))</f>
        <v/>
      </c>
      <c r="M311" s="39" t="str">
        <f>IF(A311="","",ROUND(N(H311)+K311-L311,6))</f>
        <v/>
      </c>
      <c r="N311" s="40" t="str">
        <f>IF(A311="","",M311*N(G311))</f>
        <v/>
      </c>
      <c r="O311" s="39" t="str">
        <f>IF(A311="","",IF(M311&lt;=0,"Rupture",IF(AND(I311&lt;&gt;"",M311&lt;=N(I311)),"À commander","OK")))</f>
        <v/>
      </c>
      <c r="P311" s="39" t="str">
        <f>IF(OR(A311="",O311="OK",J311=""),"",MAX(N(J311)-M311,0))</f>
        <v/>
      </c>
      <c r="Q311" s="39" t="str">
        <f>IF(A311="",IF(COUNTA(B311:J311)&gt;0,"Référence manquante",""),IF(COUNTIF($A$5:$A$1004,A311)&gt;1,"Référence en double",IF(B311="","Désignation manquante","OK")))</f>
        <v/>
      </c>
      <c r="R311" s="39" t="str">
        <f>IF(OR(O311="Rupture",O311="À commander"),COUNTIF($O$5:O311,"Rupture")+COUNTIF($O$5:O311,"À commander"),"")</f>
        <v/>
      </c>
    </row>
    <row r="312">
      <c r="A312" s="37" t="n"/>
      <c r="B312" s="37" t="n"/>
      <c r="C312" s="37" t="n"/>
      <c r="D312" s="37" t="n"/>
      <c r="E312" s="37" t="n"/>
      <c r="F312" s="37" t="n"/>
      <c r="G312" s="38" t="n"/>
      <c r="H312" s="37" t="n"/>
      <c r="I312" s="37" t="n"/>
      <c r="J312" s="37" t="n"/>
      <c r="K312" s="39" t="str">
        <f>IF(A312="","",SUMIFS(mv_qty,mv_ref,A312,mv_type,"Entrée"))</f>
        <v/>
      </c>
      <c r="L312" s="39" t="str">
        <f>IF(A312="","",SUMIFS(mv_qty,mv_ref,A312,mv_type,"Sortie"))</f>
        <v/>
      </c>
      <c r="M312" s="39" t="str">
        <f>IF(A312="","",ROUND(N(H312)+K312-L312,6))</f>
        <v/>
      </c>
      <c r="N312" s="40" t="str">
        <f>IF(A312="","",M312*N(G312))</f>
        <v/>
      </c>
      <c r="O312" s="39" t="str">
        <f>IF(A312="","",IF(M312&lt;=0,"Rupture",IF(AND(I312&lt;&gt;"",M312&lt;=N(I312)),"À commander","OK")))</f>
        <v/>
      </c>
      <c r="P312" s="39" t="str">
        <f>IF(OR(A312="",O312="OK",J312=""),"",MAX(N(J312)-M312,0))</f>
        <v/>
      </c>
      <c r="Q312" s="39" t="str">
        <f>IF(A312="",IF(COUNTA(B312:J312)&gt;0,"Référence manquante",""),IF(COUNTIF($A$5:$A$1004,A312)&gt;1,"Référence en double",IF(B312="","Désignation manquante","OK")))</f>
        <v/>
      </c>
      <c r="R312" s="39" t="str">
        <f>IF(OR(O312="Rupture",O312="À commander"),COUNTIF($O$5:O312,"Rupture")+COUNTIF($O$5:O312,"À commander"),"")</f>
        <v/>
      </c>
    </row>
    <row r="313">
      <c r="A313" s="37" t="n"/>
      <c r="B313" s="37" t="n"/>
      <c r="C313" s="37" t="n"/>
      <c r="D313" s="37" t="n"/>
      <c r="E313" s="37" t="n"/>
      <c r="F313" s="37" t="n"/>
      <c r="G313" s="38" t="n"/>
      <c r="H313" s="37" t="n"/>
      <c r="I313" s="37" t="n"/>
      <c r="J313" s="37" t="n"/>
      <c r="K313" s="39" t="str">
        <f>IF(A313="","",SUMIFS(mv_qty,mv_ref,A313,mv_type,"Entrée"))</f>
        <v/>
      </c>
      <c r="L313" s="39" t="str">
        <f>IF(A313="","",SUMIFS(mv_qty,mv_ref,A313,mv_type,"Sortie"))</f>
        <v/>
      </c>
      <c r="M313" s="39" t="str">
        <f>IF(A313="","",ROUND(N(H313)+K313-L313,6))</f>
        <v/>
      </c>
      <c r="N313" s="40" t="str">
        <f>IF(A313="","",M313*N(G313))</f>
        <v/>
      </c>
      <c r="O313" s="39" t="str">
        <f>IF(A313="","",IF(M313&lt;=0,"Rupture",IF(AND(I313&lt;&gt;"",M313&lt;=N(I313)),"À commander","OK")))</f>
        <v/>
      </c>
      <c r="P313" s="39" t="str">
        <f>IF(OR(A313="",O313="OK",J313=""),"",MAX(N(J313)-M313,0))</f>
        <v/>
      </c>
      <c r="Q313" s="39" t="str">
        <f>IF(A313="",IF(COUNTA(B313:J313)&gt;0,"Référence manquante",""),IF(COUNTIF($A$5:$A$1004,A313)&gt;1,"Référence en double",IF(B313="","Désignation manquante","OK")))</f>
        <v/>
      </c>
      <c r="R313" s="39" t="str">
        <f>IF(OR(O313="Rupture",O313="À commander"),COUNTIF($O$5:O313,"Rupture")+COUNTIF($O$5:O313,"À commander"),"")</f>
        <v/>
      </c>
    </row>
    <row r="314">
      <c r="A314" s="37" t="n"/>
      <c r="B314" s="37" t="n"/>
      <c r="C314" s="37" t="n"/>
      <c r="D314" s="37" t="n"/>
      <c r="E314" s="37" t="n"/>
      <c r="F314" s="37" t="n"/>
      <c r="G314" s="38" t="n"/>
      <c r="H314" s="37" t="n"/>
      <c r="I314" s="37" t="n"/>
      <c r="J314" s="37" t="n"/>
      <c r="K314" s="39" t="str">
        <f>IF(A314="","",SUMIFS(mv_qty,mv_ref,A314,mv_type,"Entrée"))</f>
        <v/>
      </c>
      <c r="L314" s="39" t="str">
        <f>IF(A314="","",SUMIFS(mv_qty,mv_ref,A314,mv_type,"Sortie"))</f>
        <v/>
      </c>
      <c r="M314" s="39" t="str">
        <f>IF(A314="","",ROUND(N(H314)+K314-L314,6))</f>
        <v/>
      </c>
      <c r="N314" s="40" t="str">
        <f>IF(A314="","",M314*N(G314))</f>
        <v/>
      </c>
      <c r="O314" s="39" t="str">
        <f>IF(A314="","",IF(M314&lt;=0,"Rupture",IF(AND(I314&lt;&gt;"",M314&lt;=N(I314)),"À commander","OK")))</f>
        <v/>
      </c>
      <c r="P314" s="39" t="str">
        <f>IF(OR(A314="",O314="OK",J314=""),"",MAX(N(J314)-M314,0))</f>
        <v/>
      </c>
      <c r="Q314" s="39" t="str">
        <f>IF(A314="",IF(COUNTA(B314:J314)&gt;0,"Référence manquante",""),IF(COUNTIF($A$5:$A$1004,A314)&gt;1,"Référence en double",IF(B314="","Désignation manquante","OK")))</f>
        <v/>
      </c>
      <c r="R314" s="39" t="str">
        <f>IF(OR(O314="Rupture",O314="À commander"),COUNTIF($O$5:O314,"Rupture")+COUNTIF($O$5:O314,"À commander"),"")</f>
        <v/>
      </c>
    </row>
    <row r="315">
      <c r="A315" s="37" t="n"/>
      <c r="B315" s="37" t="n"/>
      <c r="C315" s="37" t="n"/>
      <c r="D315" s="37" t="n"/>
      <c r="E315" s="37" t="n"/>
      <c r="F315" s="37" t="n"/>
      <c r="G315" s="38" t="n"/>
      <c r="H315" s="37" t="n"/>
      <c r="I315" s="37" t="n"/>
      <c r="J315" s="37" t="n"/>
      <c r="K315" s="39" t="str">
        <f>IF(A315="","",SUMIFS(mv_qty,mv_ref,A315,mv_type,"Entrée"))</f>
        <v/>
      </c>
      <c r="L315" s="39" t="str">
        <f>IF(A315="","",SUMIFS(mv_qty,mv_ref,A315,mv_type,"Sortie"))</f>
        <v/>
      </c>
      <c r="M315" s="39" t="str">
        <f>IF(A315="","",ROUND(N(H315)+K315-L315,6))</f>
        <v/>
      </c>
      <c r="N315" s="40" t="str">
        <f>IF(A315="","",M315*N(G315))</f>
        <v/>
      </c>
      <c r="O315" s="39" t="str">
        <f>IF(A315="","",IF(M315&lt;=0,"Rupture",IF(AND(I315&lt;&gt;"",M315&lt;=N(I315)),"À commander","OK")))</f>
        <v/>
      </c>
      <c r="P315" s="39" t="str">
        <f>IF(OR(A315="",O315="OK",J315=""),"",MAX(N(J315)-M315,0))</f>
        <v/>
      </c>
      <c r="Q315" s="39" t="str">
        <f>IF(A315="",IF(COUNTA(B315:J315)&gt;0,"Référence manquante",""),IF(COUNTIF($A$5:$A$1004,A315)&gt;1,"Référence en double",IF(B315="","Désignation manquante","OK")))</f>
        <v/>
      </c>
      <c r="R315" s="39" t="str">
        <f>IF(OR(O315="Rupture",O315="À commander"),COUNTIF($O$5:O315,"Rupture")+COUNTIF($O$5:O315,"À commander"),"")</f>
        <v/>
      </c>
    </row>
    <row r="316">
      <c r="A316" s="37" t="n"/>
      <c r="B316" s="37" t="n"/>
      <c r="C316" s="37" t="n"/>
      <c r="D316" s="37" t="n"/>
      <c r="E316" s="37" t="n"/>
      <c r="F316" s="37" t="n"/>
      <c r="G316" s="38" t="n"/>
      <c r="H316" s="37" t="n"/>
      <c r="I316" s="37" t="n"/>
      <c r="J316" s="37" t="n"/>
      <c r="K316" s="39" t="str">
        <f>IF(A316="","",SUMIFS(mv_qty,mv_ref,A316,mv_type,"Entrée"))</f>
        <v/>
      </c>
      <c r="L316" s="39" t="str">
        <f>IF(A316="","",SUMIFS(mv_qty,mv_ref,A316,mv_type,"Sortie"))</f>
        <v/>
      </c>
      <c r="M316" s="39" t="str">
        <f>IF(A316="","",ROUND(N(H316)+K316-L316,6))</f>
        <v/>
      </c>
      <c r="N316" s="40" t="str">
        <f>IF(A316="","",M316*N(G316))</f>
        <v/>
      </c>
      <c r="O316" s="39" t="str">
        <f>IF(A316="","",IF(M316&lt;=0,"Rupture",IF(AND(I316&lt;&gt;"",M316&lt;=N(I316)),"À commander","OK")))</f>
        <v/>
      </c>
      <c r="P316" s="39" t="str">
        <f>IF(OR(A316="",O316="OK",J316=""),"",MAX(N(J316)-M316,0))</f>
        <v/>
      </c>
      <c r="Q316" s="39" t="str">
        <f>IF(A316="",IF(COUNTA(B316:J316)&gt;0,"Référence manquante",""),IF(COUNTIF($A$5:$A$1004,A316)&gt;1,"Référence en double",IF(B316="","Désignation manquante","OK")))</f>
        <v/>
      </c>
      <c r="R316" s="39" t="str">
        <f>IF(OR(O316="Rupture",O316="À commander"),COUNTIF($O$5:O316,"Rupture")+COUNTIF($O$5:O316,"À commander"),"")</f>
        <v/>
      </c>
    </row>
    <row r="317">
      <c r="A317" s="37" t="n"/>
      <c r="B317" s="37" t="n"/>
      <c r="C317" s="37" t="n"/>
      <c r="D317" s="37" t="n"/>
      <c r="E317" s="37" t="n"/>
      <c r="F317" s="37" t="n"/>
      <c r="G317" s="38" t="n"/>
      <c r="H317" s="37" t="n"/>
      <c r="I317" s="37" t="n"/>
      <c r="J317" s="37" t="n"/>
      <c r="K317" s="39" t="str">
        <f>IF(A317="","",SUMIFS(mv_qty,mv_ref,A317,mv_type,"Entrée"))</f>
        <v/>
      </c>
      <c r="L317" s="39" t="str">
        <f>IF(A317="","",SUMIFS(mv_qty,mv_ref,A317,mv_type,"Sortie"))</f>
        <v/>
      </c>
      <c r="M317" s="39" t="str">
        <f>IF(A317="","",ROUND(N(H317)+K317-L317,6))</f>
        <v/>
      </c>
      <c r="N317" s="40" t="str">
        <f>IF(A317="","",M317*N(G317))</f>
        <v/>
      </c>
      <c r="O317" s="39" t="str">
        <f>IF(A317="","",IF(M317&lt;=0,"Rupture",IF(AND(I317&lt;&gt;"",M317&lt;=N(I317)),"À commander","OK")))</f>
        <v/>
      </c>
      <c r="P317" s="39" t="str">
        <f>IF(OR(A317="",O317="OK",J317=""),"",MAX(N(J317)-M317,0))</f>
        <v/>
      </c>
      <c r="Q317" s="39" t="str">
        <f>IF(A317="",IF(COUNTA(B317:J317)&gt;0,"Référence manquante",""),IF(COUNTIF($A$5:$A$1004,A317)&gt;1,"Référence en double",IF(B317="","Désignation manquante","OK")))</f>
        <v/>
      </c>
      <c r="R317" s="39" t="str">
        <f>IF(OR(O317="Rupture",O317="À commander"),COUNTIF($O$5:O317,"Rupture")+COUNTIF($O$5:O317,"À commander"),"")</f>
        <v/>
      </c>
    </row>
    <row r="318">
      <c r="A318" s="37" t="n"/>
      <c r="B318" s="37" t="n"/>
      <c r="C318" s="37" t="n"/>
      <c r="D318" s="37" t="n"/>
      <c r="E318" s="37" t="n"/>
      <c r="F318" s="37" t="n"/>
      <c r="G318" s="38" t="n"/>
      <c r="H318" s="37" t="n"/>
      <c r="I318" s="37" t="n"/>
      <c r="J318" s="37" t="n"/>
      <c r="K318" s="39" t="str">
        <f>IF(A318="","",SUMIFS(mv_qty,mv_ref,A318,mv_type,"Entrée"))</f>
        <v/>
      </c>
      <c r="L318" s="39" t="str">
        <f>IF(A318="","",SUMIFS(mv_qty,mv_ref,A318,mv_type,"Sortie"))</f>
        <v/>
      </c>
      <c r="M318" s="39" t="str">
        <f>IF(A318="","",ROUND(N(H318)+K318-L318,6))</f>
        <v/>
      </c>
      <c r="N318" s="40" t="str">
        <f>IF(A318="","",M318*N(G318))</f>
        <v/>
      </c>
      <c r="O318" s="39" t="str">
        <f>IF(A318="","",IF(M318&lt;=0,"Rupture",IF(AND(I318&lt;&gt;"",M318&lt;=N(I318)),"À commander","OK")))</f>
        <v/>
      </c>
      <c r="P318" s="39" t="str">
        <f>IF(OR(A318="",O318="OK",J318=""),"",MAX(N(J318)-M318,0))</f>
        <v/>
      </c>
      <c r="Q318" s="39" t="str">
        <f>IF(A318="",IF(COUNTA(B318:J318)&gt;0,"Référence manquante",""),IF(COUNTIF($A$5:$A$1004,A318)&gt;1,"Référence en double",IF(B318="","Désignation manquante","OK")))</f>
        <v/>
      </c>
      <c r="R318" s="39" t="str">
        <f>IF(OR(O318="Rupture",O318="À commander"),COUNTIF($O$5:O318,"Rupture")+COUNTIF($O$5:O318,"À commander"),"")</f>
        <v/>
      </c>
    </row>
    <row r="319">
      <c r="A319" s="37" t="n"/>
      <c r="B319" s="37" t="n"/>
      <c r="C319" s="37" t="n"/>
      <c r="D319" s="37" t="n"/>
      <c r="E319" s="37" t="n"/>
      <c r="F319" s="37" t="n"/>
      <c r="G319" s="38" t="n"/>
      <c r="H319" s="37" t="n"/>
      <c r="I319" s="37" t="n"/>
      <c r="J319" s="37" t="n"/>
      <c r="K319" s="39" t="str">
        <f>IF(A319="","",SUMIFS(mv_qty,mv_ref,A319,mv_type,"Entrée"))</f>
        <v/>
      </c>
      <c r="L319" s="39" t="str">
        <f>IF(A319="","",SUMIFS(mv_qty,mv_ref,A319,mv_type,"Sortie"))</f>
        <v/>
      </c>
      <c r="M319" s="39" t="str">
        <f>IF(A319="","",ROUND(N(H319)+K319-L319,6))</f>
        <v/>
      </c>
      <c r="N319" s="40" t="str">
        <f>IF(A319="","",M319*N(G319))</f>
        <v/>
      </c>
      <c r="O319" s="39" t="str">
        <f>IF(A319="","",IF(M319&lt;=0,"Rupture",IF(AND(I319&lt;&gt;"",M319&lt;=N(I319)),"À commander","OK")))</f>
        <v/>
      </c>
      <c r="P319" s="39" t="str">
        <f>IF(OR(A319="",O319="OK",J319=""),"",MAX(N(J319)-M319,0))</f>
        <v/>
      </c>
      <c r="Q319" s="39" t="str">
        <f>IF(A319="",IF(COUNTA(B319:J319)&gt;0,"Référence manquante",""),IF(COUNTIF($A$5:$A$1004,A319)&gt;1,"Référence en double",IF(B319="","Désignation manquante","OK")))</f>
        <v/>
      </c>
      <c r="R319" s="39" t="str">
        <f>IF(OR(O319="Rupture",O319="À commander"),COUNTIF($O$5:O319,"Rupture")+COUNTIF($O$5:O319,"À commander"),"")</f>
        <v/>
      </c>
    </row>
    <row r="320">
      <c r="A320" s="37" t="n"/>
      <c r="B320" s="37" t="n"/>
      <c r="C320" s="37" t="n"/>
      <c r="D320" s="37" t="n"/>
      <c r="E320" s="37" t="n"/>
      <c r="F320" s="37" t="n"/>
      <c r="G320" s="38" t="n"/>
      <c r="H320" s="37" t="n"/>
      <c r="I320" s="37" t="n"/>
      <c r="J320" s="37" t="n"/>
      <c r="K320" s="39" t="str">
        <f>IF(A320="","",SUMIFS(mv_qty,mv_ref,A320,mv_type,"Entrée"))</f>
        <v/>
      </c>
      <c r="L320" s="39" t="str">
        <f>IF(A320="","",SUMIFS(mv_qty,mv_ref,A320,mv_type,"Sortie"))</f>
        <v/>
      </c>
      <c r="M320" s="39" t="str">
        <f>IF(A320="","",ROUND(N(H320)+K320-L320,6))</f>
        <v/>
      </c>
      <c r="N320" s="40" t="str">
        <f>IF(A320="","",M320*N(G320))</f>
        <v/>
      </c>
      <c r="O320" s="39" t="str">
        <f>IF(A320="","",IF(M320&lt;=0,"Rupture",IF(AND(I320&lt;&gt;"",M320&lt;=N(I320)),"À commander","OK")))</f>
        <v/>
      </c>
      <c r="P320" s="39" t="str">
        <f>IF(OR(A320="",O320="OK",J320=""),"",MAX(N(J320)-M320,0))</f>
        <v/>
      </c>
      <c r="Q320" s="39" t="str">
        <f>IF(A320="",IF(COUNTA(B320:J320)&gt;0,"Référence manquante",""),IF(COUNTIF($A$5:$A$1004,A320)&gt;1,"Référence en double",IF(B320="","Désignation manquante","OK")))</f>
        <v/>
      </c>
      <c r="R320" s="39" t="str">
        <f>IF(OR(O320="Rupture",O320="À commander"),COUNTIF($O$5:O320,"Rupture")+COUNTIF($O$5:O320,"À commander"),"")</f>
        <v/>
      </c>
    </row>
    <row r="321">
      <c r="A321" s="37" t="n"/>
      <c r="B321" s="37" t="n"/>
      <c r="C321" s="37" t="n"/>
      <c r="D321" s="37" t="n"/>
      <c r="E321" s="37" t="n"/>
      <c r="F321" s="37" t="n"/>
      <c r="G321" s="38" t="n"/>
      <c r="H321" s="37" t="n"/>
      <c r="I321" s="37" t="n"/>
      <c r="J321" s="37" t="n"/>
      <c r="K321" s="39" t="str">
        <f>IF(A321="","",SUMIFS(mv_qty,mv_ref,A321,mv_type,"Entrée"))</f>
        <v/>
      </c>
      <c r="L321" s="39" t="str">
        <f>IF(A321="","",SUMIFS(mv_qty,mv_ref,A321,mv_type,"Sortie"))</f>
        <v/>
      </c>
      <c r="M321" s="39" t="str">
        <f>IF(A321="","",ROUND(N(H321)+K321-L321,6))</f>
        <v/>
      </c>
      <c r="N321" s="40" t="str">
        <f>IF(A321="","",M321*N(G321))</f>
        <v/>
      </c>
      <c r="O321" s="39" t="str">
        <f>IF(A321="","",IF(M321&lt;=0,"Rupture",IF(AND(I321&lt;&gt;"",M321&lt;=N(I321)),"À commander","OK")))</f>
        <v/>
      </c>
      <c r="P321" s="39" t="str">
        <f>IF(OR(A321="",O321="OK",J321=""),"",MAX(N(J321)-M321,0))</f>
        <v/>
      </c>
      <c r="Q321" s="39" t="str">
        <f>IF(A321="",IF(COUNTA(B321:J321)&gt;0,"Référence manquante",""),IF(COUNTIF($A$5:$A$1004,A321)&gt;1,"Référence en double",IF(B321="","Désignation manquante","OK")))</f>
        <v/>
      </c>
      <c r="R321" s="39" t="str">
        <f>IF(OR(O321="Rupture",O321="À commander"),COUNTIF($O$5:O321,"Rupture")+COUNTIF($O$5:O321,"À commander"),"")</f>
        <v/>
      </c>
    </row>
    <row r="322">
      <c r="A322" s="37" t="n"/>
      <c r="B322" s="37" t="n"/>
      <c r="C322" s="37" t="n"/>
      <c r="D322" s="37" t="n"/>
      <c r="E322" s="37" t="n"/>
      <c r="F322" s="37" t="n"/>
      <c r="G322" s="38" t="n"/>
      <c r="H322" s="37" t="n"/>
      <c r="I322" s="37" t="n"/>
      <c r="J322" s="37" t="n"/>
      <c r="K322" s="39" t="str">
        <f>IF(A322="","",SUMIFS(mv_qty,mv_ref,A322,mv_type,"Entrée"))</f>
        <v/>
      </c>
      <c r="L322" s="39" t="str">
        <f>IF(A322="","",SUMIFS(mv_qty,mv_ref,A322,mv_type,"Sortie"))</f>
        <v/>
      </c>
      <c r="M322" s="39" t="str">
        <f>IF(A322="","",ROUND(N(H322)+K322-L322,6))</f>
        <v/>
      </c>
      <c r="N322" s="40" t="str">
        <f>IF(A322="","",M322*N(G322))</f>
        <v/>
      </c>
      <c r="O322" s="39" t="str">
        <f>IF(A322="","",IF(M322&lt;=0,"Rupture",IF(AND(I322&lt;&gt;"",M322&lt;=N(I322)),"À commander","OK")))</f>
        <v/>
      </c>
      <c r="P322" s="39" t="str">
        <f>IF(OR(A322="",O322="OK",J322=""),"",MAX(N(J322)-M322,0))</f>
        <v/>
      </c>
      <c r="Q322" s="39" t="str">
        <f>IF(A322="",IF(COUNTA(B322:J322)&gt;0,"Référence manquante",""),IF(COUNTIF($A$5:$A$1004,A322)&gt;1,"Référence en double",IF(B322="","Désignation manquante","OK")))</f>
        <v/>
      </c>
      <c r="R322" s="39" t="str">
        <f>IF(OR(O322="Rupture",O322="À commander"),COUNTIF($O$5:O322,"Rupture")+COUNTIF($O$5:O322,"À commander"),"")</f>
        <v/>
      </c>
    </row>
    <row r="323">
      <c r="A323" s="37" t="n"/>
      <c r="B323" s="37" t="n"/>
      <c r="C323" s="37" t="n"/>
      <c r="D323" s="37" t="n"/>
      <c r="E323" s="37" t="n"/>
      <c r="F323" s="37" t="n"/>
      <c r="G323" s="38" t="n"/>
      <c r="H323" s="37" t="n"/>
      <c r="I323" s="37" t="n"/>
      <c r="J323" s="37" t="n"/>
      <c r="K323" s="39" t="str">
        <f>IF(A323="","",SUMIFS(mv_qty,mv_ref,A323,mv_type,"Entrée"))</f>
        <v/>
      </c>
      <c r="L323" s="39" t="str">
        <f>IF(A323="","",SUMIFS(mv_qty,mv_ref,A323,mv_type,"Sortie"))</f>
        <v/>
      </c>
      <c r="M323" s="39" t="str">
        <f>IF(A323="","",ROUND(N(H323)+K323-L323,6))</f>
        <v/>
      </c>
      <c r="N323" s="40" t="str">
        <f>IF(A323="","",M323*N(G323))</f>
        <v/>
      </c>
      <c r="O323" s="39" t="str">
        <f>IF(A323="","",IF(M323&lt;=0,"Rupture",IF(AND(I323&lt;&gt;"",M323&lt;=N(I323)),"À commander","OK")))</f>
        <v/>
      </c>
      <c r="P323" s="39" t="str">
        <f>IF(OR(A323="",O323="OK",J323=""),"",MAX(N(J323)-M323,0))</f>
        <v/>
      </c>
      <c r="Q323" s="39" t="str">
        <f>IF(A323="",IF(COUNTA(B323:J323)&gt;0,"Référence manquante",""),IF(COUNTIF($A$5:$A$1004,A323)&gt;1,"Référence en double",IF(B323="","Désignation manquante","OK")))</f>
        <v/>
      </c>
      <c r="R323" s="39" t="str">
        <f>IF(OR(O323="Rupture",O323="À commander"),COUNTIF($O$5:O323,"Rupture")+COUNTIF($O$5:O323,"À commander"),"")</f>
        <v/>
      </c>
    </row>
    <row r="324">
      <c r="A324" s="37" t="n"/>
      <c r="B324" s="37" t="n"/>
      <c r="C324" s="37" t="n"/>
      <c r="D324" s="37" t="n"/>
      <c r="E324" s="37" t="n"/>
      <c r="F324" s="37" t="n"/>
      <c r="G324" s="38" t="n"/>
      <c r="H324" s="37" t="n"/>
      <c r="I324" s="37" t="n"/>
      <c r="J324" s="37" t="n"/>
      <c r="K324" s="39" t="str">
        <f>IF(A324="","",SUMIFS(mv_qty,mv_ref,A324,mv_type,"Entrée"))</f>
        <v/>
      </c>
      <c r="L324" s="39" t="str">
        <f>IF(A324="","",SUMIFS(mv_qty,mv_ref,A324,mv_type,"Sortie"))</f>
        <v/>
      </c>
      <c r="M324" s="39" t="str">
        <f>IF(A324="","",ROUND(N(H324)+K324-L324,6))</f>
        <v/>
      </c>
      <c r="N324" s="40" t="str">
        <f>IF(A324="","",M324*N(G324))</f>
        <v/>
      </c>
      <c r="O324" s="39" t="str">
        <f>IF(A324="","",IF(M324&lt;=0,"Rupture",IF(AND(I324&lt;&gt;"",M324&lt;=N(I324)),"À commander","OK")))</f>
        <v/>
      </c>
      <c r="P324" s="39" t="str">
        <f>IF(OR(A324="",O324="OK",J324=""),"",MAX(N(J324)-M324,0))</f>
        <v/>
      </c>
      <c r="Q324" s="39" t="str">
        <f>IF(A324="",IF(COUNTA(B324:J324)&gt;0,"Référence manquante",""),IF(COUNTIF($A$5:$A$1004,A324)&gt;1,"Référence en double",IF(B324="","Désignation manquante","OK")))</f>
        <v/>
      </c>
      <c r="R324" s="39" t="str">
        <f>IF(OR(O324="Rupture",O324="À commander"),COUNTIF($O$5:O324,"Rupture")+COUNTIF($O$5:O324,"À commander"),"")</f>
        <v/>
      </c>
    </row>
    <row r="325">
      <c r="A325" s="37" t="n"/>
      <c r="B325" s="37" t="n"/>
      <c r="C325" s="37" t="n"/>
      <c r="D325" s="37" t="n"/>
      <c r="E325" s="37" t="n"/>
      <c r="F325" s="37" t="n"/>
      <c r="G325" s="38" t="n"/>
      <c r="H325" s="37" t="n"/>
      <c r="I325" s="37" t="n"/>
      <c r="J325" s="37" t="n"/>
      <c r="K325" s="39" t="str">
        <f>IF(A325="","",SUMIFS(mv_qty,mv_ref,A325,mv_type,"Entrée"))</f>
        <v/>
      </c>
      <c r="L325" s="39" t="str">
        <f>IF(A325="","",SUMIFS(mv_qty,mv_ref,A325,mv_type,"Sortie"))</f>
        <v/>
      </c>
      <c r="M325" s="39" t="str">
        <f>IF(A325="","",ROUND(N(H325)+K325-L325,6))</f>
        <v/>
      </c>
      <c r="N325" s="40" t="str">
        <f>IF(A325="","",M325*N(G325))</f>
        <v/>
      </c>
      <c r="O325" s="39" t="str">
        <f>IF(A325="","",IF(M325&lt;=0,"Rupture",IF(AND(I325&lt;&gt;"",M325&lt;=N(I325)),"À commander","OK")))</f>
        <v/>
      </c>
      <c r="P325" s="39" t="str">
        <f>IF(OR(A325="",O325="OK",J325=""),"",MAX(N(J325)-M325,0))</f>
        <v/>
      </c>
      <c r="Q325" s="39" t="str">
        <f>IF(A325="",IF(COUNTA(B325:J325)&gt;0,"Référence manquante",""),IF(COUNTIF($A$5:$A$1004,A325)&gt;1,"Référence en double",IF(B325="","Désignation manquante","OK")))</f>
        <v/>
      </c>
      <c r="R325" s="39" t="str">
        <f>IF(OR(O325="Rupture",O325="À commander"),COUNTIF($O$5:O325,"Rupture")+COUNTIF($O$5:O325,"À commander"),"")</f>
        <v/>
      </c>
    </row>
    <row r="326">
      <c r="A326" s="37" t="n"/>
      <c r="B326" s="37" t="n"/>
      <c r="C326" s="37" t="n"/>
      <c r="D326" s="37" t="n"/>
      <c r="E326" s="37" t="n"/>
      <c r="F326" s="37" t="n"/>
      <c r="G326" s="38" t="n"/>
      <c r="H326" s="37" t="n"/>
      <c r="I326" s="37" t="n"/>
      <c r="J326" s="37" t="n"/>
      <c r="K326" s="39" t="str">
        <f>IF(A326="","",SUMIFS(mv_qty,mv_ref,A326,mv_type,"Entrée"))</f>
        <v/>
      </c>
      <c r="L326" s="39" t="str">
        <f>IF(A326="","",SUMIFS(mv_qty,mv_ref,A326,mv_type,"Sortie"))</f>
        <v/>
      </c>
      <c r="M326" s="39" t="str">
        <f>IF(A326="","",ROUND(N(H326)+K326-L326,6))</f>
        <v/>
      </c>
      <c r="N326" s="40" t="str">
        <f>IF(A326="","",M326*N(G326))</f>
        <v/>
      </c>
      <c r="O326" s="39" t="str">
        <f>IF(A326="","",IF(M326&lt;=0,"Rupture",IF(AND(I326&lt;&gt;"",M326&lt;=N(I326)),"À commander","OK")))</f>
        <v/>
      </c>
      <c r="P326" s="39" t="str">
        <f>IF(OR(A326="",O326="OK",J326=""),"",MAX(N(J326)-M326,0))</f>
        <v/>
      </c>
      <c r="Q326" s="39" t="str">
        <f>IF(A326="",IF(COUNTA(B326:J326)&gt;0,"Référence manquante",""),IF(COUNTIF($A$5:$A$1004,A326)&gt;1,"Référence en double",IF(B326="","Désignation manquante","OK")))</f>
        <v/>
      </c>
      <c r="R326" s="39" t="str">
        <f>IF(OR(O326="Rupture",O326="À commander"),COUNTIF($O$5:O326,"Rupture")+COUNTIF($O$5:O326,"À commander"),"")</f>
        <v/>
      </c>
    </row>
    <row r="327">
      <c r="A327" s="37" t="n"/>
      <c r="B327" s="37" t="n"/>
      <c r="C327" s="37" t="n"/>
      <c r="D327" s="37" t="n"/>
      <c r="E327" s="37" t="n"/>
      <c r="F327" s="37" t="n"/>
      <c r="G327" s="38" t="n"/>
      <c r="H327" s="37" t="n"/>
      <c r="I327" s="37" t="n"/>
      <c r="J327" s="37" t="n"/>
      <c r="K327" s="39" t="str">
        <f>IF(A327="","",SUMIFS(mv_qty,mv_ref,A327,mv_type,"Entrée"))</f>
        <v/>
      </c>
      <c r="L327" s="39" t="str">
        <f>IF(A327="","",SUMIFS(mv_qty,mv_ref,A327,mv_type,"Sortie"))</f>
        <v/>
      </c>
      <c r="M327" s="39" t="str">
        <f>IF(A327="","",ROUND(N(H327)+K327-L327,6))</f>
        <v/>
      </c>
      <c r="N327" s="40" t="str">
        <f>IF(A327="","",M327*N(G327))</f>
        <v/>
      </c>
      <c r="O327" s="39" t="str">
        <f>IF(A327="","",IF(M327&lt;=0,"Rupture",IF(AND(I327&lt;&gt;"",M327&lt;=N(I327)),"À commander","OK")))</f>
        <v/>
      </c>
      <c r="P327" s="39" t="str">
        <f>IF(OR(A327="",O327="OK",J327=""),"",MAX(N(J327)-M327,0))</f>
        <v/>
      </c>
      <c r="Q327" s="39" t="str">
        <f>IF(A327="",IF(COUNTA(B327:J327)&gt;0,"Référence manquante",""),IF(COUNTIF($A$5:$A$1004,A327)&gt;1,"Référence en double",IF(B327="","Désignation manquante","OK")))</f>
        <v/>
      </c>
      <c r="R327" s="39" t="str">
        <f>IF(OR(O327="Rupture",O327="À commander"),COUNTIF($O$5:O327,"Rupture")+COUNTIF($O$5:O327,"À commander"),"")</f>
        <v/>
      </c>
    </row>
    <row r="328">
      <c r="A328" s="37" t="n"/>
      <c r="B328" s="37" t="n"/>
      <c r="C328" s="37" t="n"/>
      <c r="D328" s="37" t="n"/>
      <c r="E328" s="37" t="n"/>
      <c r="F328" s="37" t="n"/>
      <c r="G328" s="38" t="n"/>
      <c r="H328" s="37" t="n"/>
      <c r="I328" s="37" t="n"/>
      <c r="J328" s="37" t="n"/>
      <c r="K328" s="39" t="str">
        <f>IF(A328="","",SUMIFS(mv_qty,mv_ref,A328,mv_type,"Entrée"))</f>
        <v/>
      </c>
      <c r="L328" s="39" t="str">
        <f>IF(A328="","",SUMIFS(mv_qty,mv_ref,A328,mv_type,"Sortie"))</f>
        <v/>
      </c>
      <c r="M328" s="39" t="str">
        <f>IF(A328="","",ROUND(N(H328)+K328-L328,6))</f>
        <v/>
      </c>
      <c r="N328" s="40" t="str">
        <f>IF(A328="","",M328*N(G328))</f>
        <v/>
      </c>
      <c r="O328" s="39" t="str">
        <f>IF(A328="","",IF(M328&lt;=0,"Rupture",IF(AND(I328&lt;&gt;"",M328&lt;=N(I328)),"À commander","OK")))</f>
        <v/>
      </c>
      <c r="P328" s="39" t="str">
        <f>IF(OR(A328="",O328="OK",J328=""),"",MAX(N(J328)-M328,0))</f>
        <v/>
      </c>
      <c r="Q328" s="39" t="str">
        <f>IF(A328="",IF(COUNTA(B328:J328)&gt;0,"Référence manquante",""),IF(COUNTIF($A$5:$A$1004,A328)&gt;1,"Référence en double",IF(B328="","Désignation manquante","OK")))</f>
        <v/>
      </c>
      <c r="R328" s="39" t="str">
        <f>IF(OR(O328="Rupture",O328="À commander"),COUNTIF($O$5:O328,"Rupture")+COUNTIF($O$5:O328,"À commander"),"")</f>
        <v/>
      </c>
    </row>
    <row r="329">
      <c r="A329" s="37" t="n"/>
      <c r="B329" s="37" t="n"/>
      <c r="C329" s="37" t="n"/>
      <c r="D329" s="37" t="n"/>
      <c r="E329" s="37" t="n"/>
      <c r="F329" s="37" t="n"/>
      <c r="G329" s="38" t="n"/>
      <c r="H329" s="37" t="n"/>
      <c r="I329" s="37" t="n"/>
      <c r="J329" s="37" t="n"/>
      <c r="K329" s="39" t="str">
        <f>IF(A329="","",SUMIFS(mv_qty,mv_ref,A329,mv_type,"Entrée"))</f>
        <v/>
      </c>
      <c r="L329" s="39" t="str">
        <f>IF(A329="","",SUMIFS(mv_qty,mv_ref,A329,mv_type,"Sortie"))</f>
        <v/>
      </c>
      <c r="M329" s="39" t="str">
        <f>IF(A329="","",ROUND(N(H329)+K329-L329,6))</f>
        <v/>
      </c>
      <c r="N329" s="40" t="str">
        <f>IF(A329="","",M329*N(G329))</f>
        <v/>
      </c>
      <c r="O329" s="39" t="str">
        <f>IF(A329="","",IF(M329&lt;=0,"Rupture",IF(AND(I329&lt;&gt;"",M329&lt;=N(I329)),"À commander","OK")))</f>
        <v/>
      </c>
      <c r="P329" s="39" t="str">
        <f>IF(OR(A329="",O329="OK",J329=""),"",MAX(N(J329)-M329,0))</f>
        <v/>
      </c>
      <c r="Q329" s="39" t="str">
        <f>IF(A329="",IF(COUNTA(B329:J329)&gt;0,"Référence manquante",""),IF(COUNTIF($A$5:$A$1004,A329)&gt;1,"Référence en double",IF(B329="","Désignation manquante","OK")))</f>
        <v/>
      </c>
      <c r="R329" s="39" t="str">
        <f>IF(OR(O329="Rupture",O329="À commander"),COUNTIF($O$5:O329,"Rupture")+COUNTIF($O$5:O329,"À commander"),"")</f>
        <v/>
      </c>
    </row>
    <row r="330">
      <c r="A330" s="37" t="n"/>
      <c r="B330" s="37" t="n"/>
      <c r="C330" s="37" t="n"/>
      <c r="D330" s="37" t="n"/>
      <c r="E330" s="37" t="n"/>
      <c r="F330" s="37" t="n"/>
      <c r="G330" s="38" t="n"/>
      <c r="H330" s="37" t="n"/>
      <c r="I330" s="37" t="n"/>
      <c r="J330" s="37" t="n"/>
      <c r="K330" s="39" t="str">
        <f>IF(A330="","",SUMIFS(mv_qty,mv_ref,A330,mv_type,"Entrée"))</f>
        <v/>
      </c>
      <c r="L330" s="39" t="str">
        <f>IF(A330="","",SUMIFS(mv_qty,mv_ref,A330,mv_type,"Sortie"))</f>
        <v/>
      </c>
      <c r="M330" s="39" t="str">
        <f>IF(A330="","",ROUND(N(H330)+K330-L330,6))</f>
        <v/>
      </c>
      <c r="N330" s="40" t="str">
        <f>IF(A330="","",M330*N(G330))</f>
        <v/>
      </c>
      <c r="O330" s="39" t="str">
        <f>IF(A330="","",IF(M330&lt;=0,"Rupture",IF(AND(I330&lt;&gt;"",M330&lt;=N(I330)),"À commander","OK")))</f>
        <v/>
      </c>
      <c r="P330" s="39" t="str">
        <f>IF(OR(A330="",O330="OK",J330=""),"",MAX(N(J330)-M330,0))</f>
        <v/>
      </c>
      <c r="Q330" s="39" t="str">
        <f>IF(A330="",IF(COUNTA(B330:J330)&gt;0,"Référence manquante",""),IF(COUNTIF($A$5:$A$1004,A330)&gt;1,"Référence en double",IF(B330="","Désignation manquante","OK")))</f>
        <v/>
      </c>
      <c r="R330" s="39" t="str">
        <f>IF(OR(O330="Rupture",O330="À commander"),COUNTIF($O$5:O330,"Rupture")+COUNTIF($O$5:O330,"À commander"),"")</f>
        <v/>
      </c>
    </row>
    <row r="331">
      <c r="A331" s="37" t="n"/>
      <c r="B331" s="37" t="n"/>
      <c r="C331" s="37" t="n"/>
      <c r="D331" s="37" t="n"/>
      <c r="E331" s="37" t="n"/>
      <c r="F331" s="37" t="n"/>
      <c r="G331" s="38" t="n"/>
      <c r="H331" s="37" t="n"/>
      <c r="I331" s="37" t="n"/>
      <c r="J331" s="37" t="n"/>
      <c r="K331" s="39" t="str">
        <f>IF(A331="","",SUMIFS(mv_qty,mv_ref,A331,mv_type,"Entrée"))</f>
        <v/>
      </c>
      <c r="L331" s="39" t="str">
        <f>IF(A331="","",SUMIFS(mv_qty,mv_ref,A331,mv_type,"Sortie"))</f>
        <v/>
      </c>
      <c r="M331" s="39" t="str">
        <f>IF(A331="","",ROUND(N(H331)+K331-L331,6))</f>
        <v/>
      </c>
      <c r="N331" s="40" t="str">
        <f>IF(A331="","",M331*N(G331))</f>
        <v/>
      </c>
      <c r="O331" s="39" t="str">
        <f>IF(A331="","",IF(M331&lt;=0,"Rupture",IF(AND(I331&lt;&gt;"",M331&lt;=N(I331)),"À commander","OK")))</f>
        <v/>
      </c>
      <c r="P331" s="39" t="str">
        <f>IF(OR(A331="",O331="OK",J331=""),"",MAX(N(J331)-M331,0))</f>
        <v/>
      </c>
      <c r="Q331" s="39" t="str">
        <f>IF(A331="",IF(COUNTA(B331:J331)&gt;0,"Référence manquante",""),IF(COUNTIF($A$5:$A$1004,A331)&gt;1,"Référence en double",IF(B331="","Désignation manquante","OK")))</f>
        <v/>
      </c>
      <c r="R331" s="39" t="str">
        <f>IF(OR(O331="Rupture",O331="À commander"),COUNTIF($O$5:O331,"Rupture")+COUNTIF($O$5:O331,"À commander"),"")</f>
        <v/>
      </c>
    </row>
    <row r="332">
      <c r="A332" s="37" t="n"/>
      <c r="B332" s="37" t="n"/>
      <c r="C332" s="37" t="n"/>
      <c r="D332" s="37" t="n"/>
      <c r="E332" s="37" t="n"/>
      <c r="F332" s="37" t="n"/>
      <c r="G332" s="38" t="n"/>
      <c r="H332" s="37" t="n"/>
      <c r="I332" s="37" t="n"/>
      <c r="J332" s="37" t="n"/>
      <c r="K332" s="39" t="str">
        <f>IF(A332="","",SUMIFS(mv_qty,mv_ref,A332,mv_type,"Entrée"))</f>
        <v/>
      </c>
      <c r="L332" s="39" t="str">
        <f>IF(A332="","",SUMIFS(mv_qty,mv_ref,A332,mv_type,"Sortie"))</f>
        <v/>
      </c>
      <c r="M332" s="39" t="str">
        <f>IF(A332="","",ROUND(N(H332)+K332-L332,6))</f>
        <v/>
      </c>
      <c r="N332" s="40" t="str">
        <f>IF(A332="","",M332*N(G332))</f>
        <v/>
      </c>
      <c r="O332" s="39" t="str">
        <f>IF(A332="","",IF(M332&lt;=0,"Rupture",IF(AND(I332&lt;&gt;"",M332&lt;=N(I332)),"À commander","OK")))</f>
        <v/>
      </c>
      <c r="P332" s="39" t="str">
        <f>IF(OR(A332="",O332="OK",J332=""),"",MAX(N(J332)-M332,0))</f>
        <v/>
      </c>
      <c r="Q332" s="39" t="str">
        <f>IF(A332="",IF(COUNTA(B332:J332)&gt;0,"Référence manquante",""),IF(COUNTIF($A$5:$A$1004,A332)&gt;1,"Référence en double",IF(B332="","Désignation manquante","OK")))</f>
        <v/>
      </c>
      <c r="R332" s="39" t="str">
        <f>IF(OR(O332="Rupture",O332="À commander"),COUNTIF($O$5:O332,"Rupture")+COUNTIF($O$5:O332,"À commander"),"")</f>
        <v/>
      </c>
    </row>
    <row r="333">
      <c r="A333" s="37" t="n"/>
      <c r="B333" s="37" t="n"/>
      <c r="C333" s="37" t="n"/>
      <c r="D333" s="37" t="n"/>
      <c r="E333" s="37" t="n"/>
      <c r="F333" s="37" t="n"/>
      <c r="G333" s="38" t="n"/>
      <c r="H333" s="37" t="n"/>
      <c r="I333" s="37" t="n"/>
      <c r="J333" s="37" t="n"/>
      <c r="K333" s="39" t="str">
        <f>IF(A333="","",SUMIFS(mv_qty,mv_ref,A333,mv_type,"Entrée"))</f>
        <v/>
      </c>
      <c r="L333" s="39" t="str">
        <f>IF(A333="","",SUMIFS(mv_qty,mv_ref,A333,mv_type,"Sortie"))</f>
        <v/>
      </c>
      <c r="M333" s="39" t="str">
        <f>IF(A333="","",ROUND(N(H333)+K333-L333,6))</f>
        <v/>
      </c>
      <c r="N333" s="40" t="str">
        <f>IF(A333="","",M333*N(G333))</f>
        <v/>
      </c>
      <c r="O333" s="39" t="str">
        <f>IF(A333="","",IF(M333&lt;=0,"Rupture",IF(AND(I333&lt;&gt;"",M333&lt;=N(I333)),"À commander","OK")))</f>
        <v/>
      </c>
      <c r="P333" s="39" t="str">
        <f>IF(OR(A333="",O333="OK",J333=""),"",MAX(N(J333)-M333,0))</f>
        <v/>
      </c>
      <c r="Q333" s="39" t="str">
        <f>IF(A333="",IF(COUNTA(B333:J333)&gt;0,"Référence manquante",""),IF(COUNTIF($A$5:$A$1004,A333)&gt;1,"Référence en double",IF(B333="","Désignation manquante","OK")))</f>
        <v/>
      </c>
      <c r="R333" s="39" t="str">
        <f>IF(OR(O333="Rupture",O333="À commander"),COUNTIF($O$5:O333,"Rupture")+COUNTIF($O$5:O333,"À commander"),"")</f>
        <v/>
      </c>
    </row>
    <row r="334">
      <c r="A334" s="37" t="n"/>
      <c r="B334" s="37" t="n"/>
      <c r="C334" s="37" t="n"/>
      <c r="D334" s="37" t="n"/>
      <c r="E334" s="37" t="n"/>
      <c r="F334" s="37" t="n"/>
      <c r="G334" s="38" t="n"/>
      <c r="H334" s="37" t="n"/>
      <c r="I334" s="37" t="n"/>
      <c r="J334" s="37" t="n"/>
      <c r="K334" s="39" t="str">
        <f>IF(A334="","",SUMIFS(mv_qty,mv_ref,A334,mv_type,"Entrée"))</f>
        <v/>
      </c>
      <c r="L334" s="39" t="str">
        <f>IF(A334="","",SUMIFS(mv_qty,mv_ref,A334,mv_type,"Sortie"))</f>
        <v/>
      </c>
      <c r="M334" s="39" t="str">
        <f>IF(A334="","",ROUND(N(H334)+K334-L334,6))</f>
        <v/>
      </c>
      <c r="N334" s="40" t="str">
        <f>IF(A334="","",M334*N(G334))</f>
        <v/>
      </c>
      <c r="O334" s="39" t="str">
        <f>IF(A334="","",IF(M334&lt;=0,"Rupture",IF(AND(I334&lt;&gt;"",M334&lt;=N(I334)),"À commander","OK")))</f>
        <v/>
      </c>
      <c r="P334" s="39" t="str">
        <f>IF(OR(A334="",O334="OK",J334=""),"",MAX(N(J334)-M334,0))</f>
        <v/>
      </c>
      <c r="Q334" s="39" t="str">
        <f>IF(A334="",IF(COUNTA(B334:J334)&gt;0,"Référence manquante",""),IF(COUNTIF($A$5:$A$1004,A334)&gt;1,"Référence en double",IF(B334="","Désignation manquante","OK")))</f>
        <v/>
      </c>
      <c r="R334" s="39" t="str">
        <f>IF(OR(O334="Rupture",O334="À commander"),COUNTIF($O$5:O334,"Rupture")+COUNTIF($O$5:O334,"À commander"),"")</f>
        <v/>
      </c>
    </row>
    <row r="335">
      <c r="A335" s="37" t="n"/>
      <c r="B335" s="37" t="n"/>
      <c r="C335" s="37" t="n"/>
      <c r="D335" s="37" t="n"/>
      <c r="E335" s="37" t="n"/>
      <c r="F335" s="37" t="n"/>
      <c r="G335" s="38" t="n"/>
      <c r="H335" s="37" t="n"/>
      <c r="I335" s="37" t="n"/>
      <c r="J335" s="37" t="n"/>
      <c r="K335" s="39" t="str">
        <f>IF(A335="","",SUMIFS(mv_qty,mv_ref,A335,mv_type,"Entrée"))</f>
        <v/>
      </c>
      <c r="L335" s="39" t="str">
        <f>IF(A335="","",SUMIFS(mv_qty,mv_ref,A335,mv_type,"Sortie"))</f>
        <v/>
      </c>
      <c r="M335" s="39" t="str">
        <f>IF(A335="","",ROUND(N(H335)+K335-L335,6))</f>
        <v/>
      </c>
      <c r="N335" s="40" t="str">
        <f>IF(A335="","",M335*N(G335))</f>
        <v/>
      </c>
      <c r="O335" s="39" t="str">
        <f>IF(A335="","",IF(M335&lt;=0,"Rupture",IF(AND(I335&lt;&gt;"",M335&lt;=N(I335)),"À commander","OK")))</f>
        <v/>
      </c>
      <c r="P335" s="39" t="str">
        <f>IF(OR(A335="",O335="OK",J335=""),"",MAX(N(J335)-M335,0))</f>
        <v/>
      </c>
      <c r="Q335" s="39" t="str">
        <f>IF(A335="",IF(COUNTA(B335:J335)&gt;0,"Référence manquante",""),IF(COUNTIF($A$5:$A$1004,A335)&gt;1,"Référence en double",IF(B335="","Désignation manquante","OK")))</f>
        <v/>
      </c>
      <c r="R335" s="39" t="str">
        <f>IF(OR(O335="Rupture",O335="À commander"),COUNTIF($O$5:O335,"Rupture")+COUNTIF($O$5:O335,"À commander"),"")</f>
        <v/>
      </c>
    </row>
    <row r="336">
      <c r="A336" s="37" t="n"/>
      <c r="B336" s="37" t="n"/>
      <c r="C336" s="37" t="n"/>
      <c r="D336" s="37" t="n"/>
      <c r="E336" s="37" t="n"/>
      <c r="F336" s="37" t="n"/>
      <c r="G336" s="38" t="n"/>
      <c r="H336" s="37" t="n"/>
      <c r="I336" s="37" t="n"/>
      <c r="J336" s="37" t="n"/>
      <c r="K336" s="39" t="str">
        <f>IF(A336="","",SUMIFS(mv_qty,mv_ref,A336,mv_type,"Entrée"))</f>
        <v/>
      </c>
      <c r="L336" s="39" t="str">
        <f>IF(A336="","",SUMIFS(mv_qty,mv_ref,A336,mv_type,"Sortie"))</f>
        <v/>
      </c>
      <c r="M336" s="39" t="str">
        <f>IF(A336="","",ROUND(N(H336)+K336-L336,6))</f>
        <v/>
      </c>
      <c r="N336" s="40" t="str">
        <f>IF(A336="","",M336*N(G336))</f>
        <v/>
      </c>
      <c r="O336" s="39" t="str">
        <f>IF(A336="","",IF(M336&lt;=0,"Rupture",IF(AND(I336&lt;&gt;"",M336&lt;=N(I336)),"À commander","OK")))</f>
        <v/>
      </c>
      <c r="P336" s="39" t="str">
        <f>IF(OR(A336="",O336="OK",J336=""),"",MAX(N(J336)-M336,0))</f>
        <v/>
      </c>
      <c r="Q336" s="39" t="str">
        <f>IF(A336="",IF(COUNTA(B336:J336)&gt;0,"Référence manquante",""),IF(COUNTIF($A$5:$A$1004,A336)&gt;1,"Référence en double",IF(B336="","Désignation manquante","OK")))</f>
        <v/>
      </c>
      <c r="R336" s="39" t="str">
        <f>IF(OR(O336="Rupture",O336="À commander"),COUNTIF($O$5:O336,"Rupture")+COUNTIF($O$5:O336,"À commander"),"")</f>
        <v/>
      </c>
    </row>
    <row r="337">
      <c r="A337" s="37" t="n"/>
      <c r="B337" s="37" t="n"/>
      <c r="C337" s="37" t="n"/>
      <c r="D337" s="37" t="n"/>
      <c r="E337" s="37" t="n"/>
      <c r="F337" s="37" t="n"/>
      <c r="G337" s="38" t="n"/>
      <c r="H337" s="37" t="n"/>
      <c r="I337" s="37" t="n"/>
      <c r="J337" s="37" t="n"/>
      <c r="K337" s="39" t="str">
        <f>IF(A337="","",SUMIFS(mv_qty,mv_ref,A337,mv_type,"Entrée"))</f>
        <v/>
      </c>
      <c r="L337" s="39" t="str">
        <f>IF(A337="","",SUMIFS(mv_qty,mv_ref,A337,mv_type,"Sortie"))</f>
        <v/>
      </c>
      <c r="M337" s="39" t="str">
        <f>IF(A337="","",ROUND(N(H337)+K337-L337,6))</f>
        <v/>
      </c>
      <c r="N337" s="40" t="str">
        <f>IF(A337="","",M337*N(G337))</f>
        <v/>
      </c>
      <c r="O337" s="39" t="str">
        <f>IF(A337="","",IF(M337&lt;=0,"Rupture",IF(AND(I337&lt;&gt;"",M337&lt;=N(I337)),"À commander","OK")))</f>
        <v/>
      </c>
      <c r="P337" s="39" t="str">
        <f>IF(OR(A337="",O337="OK",J337=""),"",MAX(N(J337)-M337,0))</f>
        <v/>
      </c>
      <c r="Q337" s="39" t="str">
        <f>IF(A337="",IF(COUNTA(B337:J337)&gt;0,"Référence manquante",""),IF(COUNTIF($A$5:$A$1004,A337)&gt;1,"Référence en double",IF(B337="","Désignation manquante","OK")))</f>
        <v/>
      </c>
      <c r="R337" s="39" t="str">
        <f>IF(OR(O337="Rupture",O337="À commander"),COUNTIF($O$5:O337,"Rupture")+COUNTIF($O$5:O337,"À commander"),"")</f>
        <v/>
      </c>
    </row>
    <row r="338">
      <c r="A338" s="37" t="n"/>
      <c r="B338" s="37" t="n"/>
      <c r="C338" s="37" t="n"/>
      <c r="D338" s="37" t="n"/>
      <c r="E338" s="37" t="n"/>
      <c r="F338" s="37" t="n"/>
      <c r="G338" s="38" t="n"/>
      <c r="H338" s="37" t="n"/>
      <c r="I338" s="37" t="n"/>
      <c r="J338" s="37" t="n"/>
      <c r="K338" s="39" t="str">
        <f>IF(A338="","",SUMIFS(mv_qty,mv_ref,A338,mv_type,"Entrée"))</f>
        <v/>
      </c>
      <c r="L338" s="39" t="str">
        <f>IF(A338="","",SUMIFS(mv_qty,mv_ref,A338,mv_type,"Sortie"))</f>
        <v/>
      </c>
      <c r="M338" s="39" t="str">
        <f>IF(A338="","",ROUND(N(H338)+K338-L338,6))</f>
        <v/>
      </c>
      <c r="N338" s="40" t="str">
        <f>IF(A338="","",M338*N(G338))</f>
        <v/>
      </c>
      <c r="O338" s="39" t="str">
        <f>IF(A338="","",IF(M338&lt;=0,"Rupture",IF(AND(I338&lt;&gt;"",M338&lt;=N(I338)),"À commander","OK")))</f>
        <v/>
      </c>
      <c r="P338" s="39" t="str">
        <f>IF(OR(A338="",O338="OK",J338=""),"",MAX(N(J338)-M338,0))</f>
        <v/>
      </c>
      <c r="Q338" s="39" t="str">
        <f>IF(A338="",IF(COUNTA(B338:J338)&gt;0,"Référence manquante",""),IF(COUNTIF($A$5:$A$1004,A338)&gt;1,"Référence en double",IF(B338="","Désignation manquante","OK")))</f>
        <v/>
      </c>
      <c r="R338" s="39" t="str">
        <f>IF(OR(O338="Rupture",O338="À commander"),COUNTIF($O$5:O338,"Rupture")+COUNTIF($O$5:O338,"À commander"),"")</f>
        <v/>
      </c>
    </row>
    <row r="339">
      <c r="A339" s="37" t="n"/>
      <c r="B339" s="37" t="n"/>
      <c r="C339" s="37" t="n"/>
      <c r="D339" s="37" t="n"/>
      <c r="E339" s="37" t="n"/>
      <c r="F339" s="37" t="n"/>
      <c r="G339" s="38" t="n"/>
      <c r="H339" s="37" t="n"/>
      <c r="I339" s="37" t="n"/>
      <c r="J339" s="37" t="n"/>
      <c r="K339" s="39" t="str">
        <f>IF(A339="","",SUMIFS(mv_qty,mv_ref,A339,mv_type,"Entrée"))</f>
        <v/>
      </c>
      <c r="L339" s="39" t="str">
        <f>IF(A339="","",SUMIFS(mv_qty,mv_ref,A339,mv_type,"Sortie"))</f>
        <v/>
      </c>
      <c r="M339" s="39" t="str">
        <f>IF(A339="","",ROUND(N(H339)+K339-L339,6))</f>
        <v/>
      </c>
      <c r="N339" s="40" t="str">
        <f>IF(A339="","",M339*N(G339))</f>
        <v/>
      </c>
      <c r="O339" s="39" t="str">
        <f>IF(A339="","",IF(M339&lt;=0,"Rupture",IF(AND(I339&lt;&gt;"",M339&lt;=N(I339)),"À commander","OK")))</f>
        <v/>
      </c>
      <c r="P339" s="39" t="str">
        <f>IF(OR(A339="",O339="OK",J339=""),"",MAX(N(J339)-M339,0))</f>
        <v/>
      </c>
      <c r="Q339" s="39" t="str">
        <f>IF(A339="",IF(COUNTA(B339:J339)&gt;0,"Référence manquante",""),IF(COUNTIF($A$5:$A$1004,A339)&gt;1,"Référence en double",IF(B339="","Désignation manquante","OK")))</f>
        <v/>
      </c>
      <c r="R339" s="39" t="str">
        <f>IF(OR(O339="Rupture",O339="À commander"),COUNTIF($O$5:O339,"Rupture")+COUNTIF($O$5:O339,"À commander"),"")</f>
        <v/>
      </c>
    </row>
    <row r="340">
      <c r="A340" s="37" t="n"/>
      <c r="B340" s="37" t="n"/>
      <c r="C340" s="37" t="n"/>
      <c r="D340" s="37" t="n"/>
      <c r="E340" s="37" t="n"/>
      <c r="F340" s="37" t="n"/>
      <c r="G340" s="38" t="n"/>
      <c r="H340" s="37" t="n"/>
      <c r="I340" s="37" t="n"/>
      <c r="J340" s="37" t="n"/>
      <c r="K340" s="39" t="str">
        <f>IF(A340="","",SUMIFS(mv_qty,mv_ref,A340,mv_type,"Entrée"))</f>
        <v/>
      </c>
      <c r="L340" s="39" t="str">
        <f>IF(A340="","",SUMIFS(mv_qty,mv_ref,A340,mv_type,"Sortie"))</f>
        <v/>
      </c>
      <c r="M340" s="39" t="str">
        <f>IF(A340="","",ROUND(N(H340)+K340-L340,6))</f>
        <v/>
      </c>
      <c r="N340" s="40" t="str">
        <f>IF(A340="","",M340*N(G340))</f>
        <v/>
      </c>
      <c r="O340" s="39" t="str">
        <f>IF(A340="","",IF(M340&lt;=0,"Rupture",IF(AND(I340&lt;&gt;"",M340&lt;=N(I340)),"À commander","OK")))</f>
        <v/>
      </c>
      <c r="P340" s="39" t="str">
        <f>IF(OR(A340="",O340="OK",J340=""),"",MAX(N(J340)-M340,0))</f>
        <v/>
      </c>
      <c r="Q340" s="39" t="str">
        <f>IF(A340="",IF(COUNTA(B340:J340)&gt;0,"Référence manquante",""),IF(COUNTIF($A$5:$A$1004,A340)&gt;1,"Référence en double",IF(B340="","Désignation manquante","OK")))</f>
        <v/>
      </c>
      <c r="R340" s="39" t="str">
        <f>IF(OR(O340="Rupture",O340="À commander"),COUNTIF($O$5:O340,"Rupture")+COUNTIF($O$5:O340,"À commander"),"")</f>
        <v/>
      </c>
    </row>
    <row r="341">
      <c r="A341" s="37" t="n"/>
      <c r="B341" s="37" t="n"/>
      <c r="C341" s="37" t="n"/>
      <c r="D341" s="37" t="n"/>
      <c r="E341" s="37" t="n"/>
      <c r="F341" s="37" t="n"/>
      <c r="G341" s="38" t="n"/>
      <c r="H341" s="37" t="n"/>
      <c r="I341" s="37" t="n"/>
      <c r="J341" s="37" t="n"/>
      <c r="K341" s="39" t="str">
        <f>IF(A341="","",SUMIFS(mv_qty,mv_ref,A341,mv_type,"Entrée"))</f>
        <v/>
      </c>
      <c r="L341" s="39" t="str">
        <f>IF(A341="","",SUMIFS(mv_qty,mv_ref,A341,mv_type,"Sortie"))</f>
        <v/>
      </c>
      <c r="M341" s="39" t="str">
        <f>IF(A341="","",ROUND(N(H341)+K341-L341,6))</f>
        <v/>
      </c>
      <c r="N341" s="40" t="str">
        <f>IF(A341="","",M341*N(G341))</f>
        <v/>
      </c>
      <c r="O341" s="39" t="str">
        <f>IF(A341="","",IF(M341&lt;=0,"Rupture",IF(AND(I341&lt;&gt;"",M341&lt;=N(I341)),"À commander","OK")))</f>
        <v/>
      </c>
      <c r="P341" s="39" t="str">
        <f>IF(OR(A341="",O341="OK",J341=""),"",MAX(N(J341)-M341,0))</f>
        <v/>
      </c>
      <c r="Q341" s="39" t="str">
        <f>IF(A341="",IF(COUNTA(B341:J341)&gt;0,"Référence manquante",""),IF(COUNTIF($A$5:$A$1004,A341)&gt;1,"Référence en double",IF(B341="","Désignation manquante","OK")))</f>
        <v/>
      </c>
      <c r="R341" s="39" t="str">
        <f>IF(OR(O341="Rupture",O341="À commander"),COUNTIF($O$5:O341,"Rupture")+COUNTIF($O$5:O341,"À commander"),"")</f>
        <v/>
      </c>
    </row>
    <row r="342">
      <c r="A342" s="37" t="n"/>
      <c r="B342" s="37" t="n"/>
      <c r="C342" s="37" t="n"/>
      <c r="D342" s="37" t="n"/>
      <c r="E342" s="37" t="n"/>
      <c r="F342" s="37" t="n"/>
      <c r="G342" s="38" t="n"/>
      <c r="H342" s="37" t="n"/>
      <c r="I342" s="37" t="n"/>
      <c r="J342" s="37" t="n"/>
      <c r="K342" s="39" t="str">
        <f>IF(A342="","",SUMIFS(mv_qty,mv_ref,A342,mv_type,"Entrée"))</f>
        <v/>
      </c>
      <c r="L342" s="39" t="str">
        <f>IF(A342="","",SUMIFS(mv_qty,mv_ref,A342,mv_type,"Sortie"))</f>
        <v/>
      </c>
      <c r="M342" s="39" t="str">
        <f>IF(A342="","",ROUND(N(H342)+K342-L342,6))</f>
        <v/>
      </c>
      <c r="N342" s="40" t="str">
        <f>IF(A342="","",M342*N(G342))</f>
        <v/>
      </c>
      <c r="O342" s="39" t="str">
        <f>IF(A342="","",IF(M342&lt;=0,"Rupture",IF(AND(I342&lt;&gt;"",M342&lt;=N(I342)),"À commander","OK")))</f>
        <v/>
      </c>
      <c r="P342" s="39" t="str">
        <f>IF(OR(A342="",O342="OK",J342=""),"",MAX(N(J342)-M342,0))</f>
        <v/>
      </c>
      <c r="Q342" s="39" t="str">
        <f>IF(A342="",IF(COUNTA(B342:J342)&gt;0,"Référence manquante",""),IF(COUNTIF($A$5:$A$1004,A342)&gt;1,"Référence en double",IF(B342="","Désignation manquante","OK")))</f>
        <v/>
      </c>
      <c r="R342" s="39" t="str">
        <f>IF(OR(O342="Rupture",O342="À commander"),COUNTIF($O$5:O342,"Rupture")+COUNTIF($O$5:O342,"À commander"),"")</f>
        <v/>
      </c>
    </row>
    <row r="343">
      <c r="A343" s="37" t="n"/>
      <c r="B343" s="37" t="n"/>
      <c r="C343" s="37" t="n"/>
      <c r="D343" s="37" t="n"/>
      <c r="E343" s="37" t="n"/>
      <c r="F343" s="37" t="n"/>
      <c r="G343" s="38" t="n"/>
      <c r="H343" s="37" t="n"/>
      <c r="I343" s="37" t="n"/>
      <c r="J343" s="37" t="n"/>
      <c r="K343" s="39" t="str">
        <f>IF(A343="","",SUMIFS(mv_qty,mv_ref,A343,mv_type,"Entrée"))</f>
        <v/>
      </c>
      <c r="L343" s="39" t="str">
        <f>IF(A343="","",SUMIFS(mv_qty,mv_ref,A343,mv_type,"Sortie"))</f>
        <v/>
      </c>
      <c r="M343" s="39" t="str">
        <f>IF(A343="","",ROUND(N(H343)+K343-L343,6))</f>
        <v/>
      </c>
      <c r="N343" s="40" t="str">
        <f>IF(A343="","",M343*N(G343))</f>
        <v/>
      </c>
      <c r="O343" s="39" t="str">
        <f>IF(A343="","",IF(M343&lt;=0,"Rupture",IF(AND(I343&lt;&gt;"",M343&lt;=N(I343)),"À commander","OK")))</f>
        <v/>
      </c>
      <c r="P343" s="39" t="str">
        <f>IF(OR(A343="",O343="OK",J343=""),"",MAX(N(J343)-M343,0))</f>
        <v/>
      </c>
      <c r="Q343" s="39" t="str">
        <f>IF(A343="",IF(COUNTA(B343:J343)&gt;0,"Référence manquante",""),IF(COUNTIF($A$5:$A$1004,A343)&gt;1,"Référence en double",IF(B343="","Désignation manquante","OK")))</f>
        <v/>
      </c>
      <c r="R343" s="39" t="str">
        <f>IF(OR(O343="Rupture",O343="À commander"),COUNTIF($O$5:O343,"Rupture")+COUNTIF($O$5:O343,"À commander"),"")</f>
        <v/>
      </c>
    </row>
    <row r="344">
      <c r="A344" s="37" t="n"/>
      <c r="B344" s="37" t="n"/>
      <c r="C344" s="37" t="n"/>
      <c r="D344" s="37" t="n"/>
      <c r="E344" s="37" t="n"/>
      <c r="F344" s="37" t="n"/>
      <c r="G344" s="38" t="n"/>
      <c r="H344" s="37" t="n"/>
      <c r="I344" s="37" t="n"/>
      <c r="J344" s="37" t="n"/>
      <c r="K344" s="39" t="str">
        <f>IF(A344="","",SUMIFS(mv_qty,mv_ref,A344,mv_type,"Entrée"))</f>
        <v/>
      </c>
      <c r="L344" s="39" t="str">
        <f>IF(A344="","",SUMIFS(mv_qty,mv_ref,A344,mv_type,"Sortie"))</f>
        <v/>
      </c>
      <c r="M344" s="39" t="str">
        <f>IF(A344="","",ROUND(N(H344)+K344-L344,6))</f>
        <v/>
      </c>
      <c r="N344" s="40" t="str">
        <f>IF(A344="","",M344*N(G344))</f>
        <v/>
      </c>
      <c r="O344" s="39" t="str">
        <f>IF(A344="","",IF(M344&lt;=0,"Rupture",IF(AND(I344&lt;&gt;"",M344&lt;=N(I344)),"À commander","OK")))</f>
        <v/>
      </c>
      <c r="P344" s="39" t="str">
        <f>IF(OR(A344="",O344="OK",J344=""),"",MAX(N(J344)-M344,0))</f>
        <v/>
      </c>
      <c r="Q344" s="39" t="str">
        <f>IF(A344="",IF(COUNTA(B344:J344)&gt;0,"Référence manquante",""),IF(COUNTIF($A$5:$A$1004,A344)&gt;1,"Référence en double",IF(B344="","Désignation manquante","OK")))</f>
        <v/>
      </c>
      <c r="R344" s="39" t="str">
        <f>IF(OR(O344="Rupture",O344="À commander"),COUNTIF($O$5:O344,"Rupture")+COUNTIF($O$5:O344,"À commander"),"")</f>
        <v/>
      </c>
    </row>
    <row r="345">
      <c r="A345" s="37" t="n"/>
      <c r="B345" s="37" t="n"/>
      <c r="C345" s="37" t="n"/>
      <c r="D345" s="37" t="n"/>
      <c r="E345" s="37" t="n"/>
      <c r="F345" s="37" t="n"/>
      <c r="G345" s="38" t="n"/>
      <c r="H345" s="37" t="n"/>
      <c r="I345" s="37" t="n"/>
      <c r="J345" s="37" t="n"/>
      <c r="K345" s="39" t="str">
        <f>IF(A345="","",SUMIFS(mv_qty,mv_ref,A345,mv_type,"Entrée"))</f>
        <v/>
      </c>
      <c r="L345" s="39" t="str">
        <f>IF(A345="","",SUMIFS(mv_qty,mv_ref,A345,mv_type,"Sortie"))</f>
        <v/>
      </c>
      <c r="M345" s="39" t="str">
        <f>IF(A345="","",ROUND(N(H345)+K345-L345,6))</f>
        <v/>
      </c>
      <c r="N345" s="40" t="str">
        <f>IF(A345="","",M345*N(G345))</f>
        <v/>
      </c>
      <c r="O345" s="39" t="str">
        <f>IF(A345="","",IF(M345&lt;=0,"Rupture",IF(AND(I345&lt;&gt;"",M345&lt;=N(I345)),"À commander","OK")))</f>
        <v/>
      </c>
      <c r="P345" s="39" t="str">
        <f>IF(OR(A345="",O345="OK",J345=""),"",MAX(N(J345)-M345,0))</f>
        <v/>
      </c>
      <c r="Q345" s="39" t="str">
        <f>IF(A345="",IF(COUNTA(B345:J345)&gt;0,"Référence manquante",""),IF(COUNTIF($A$5:$A$1004,A345)&gt;1,"Référence en double",IF(B345="","Désignation manquante","OK")))</f>
        <v/>
      </c>
      <c r="R345" s="39" t="str">
        <f>IF(OR(O345="Rupture",O345="À commander"),COUNTIF($O$5:O345,"Rupture")+COUNTIF($O$5:O345,"À commander"),"")</f>
        <v/>
      </c>
    </row>
    <row r="346">
      <c r="A346" s="37" t="n"/>
      <c r="B346" s="37" t="n"/>
      <c r="C346" s="37" t="n"/>
      <c r="D346" s="37" t="n"/>
      <c r="E346" s="37" t="n"/>
      <c r="F346" s="37" t="n"/>
      <c r="G346" s="38" t="n"/>
      <c r="H346" s="37" t="n"/>
      <c r="I346" s="37" t="n"/>
      <c r="J346" s="37" t="n"/>
      <c r="K346" s="39" t="str">
        <f>IF(A346="","",SUMIFS(mv_qty,mv_ref,A346,mv_type,"Entrée"))</f>
        <v/>
      </c>
      <c r="L346" s="39" t="str">
        <f>IF(A346="","",SUMIFS(mv_qty,mv_ref,A346,mv_type,"Sortie"))</f>
        <v/>
      </c>
      <c r="M346" s="39" t="str">
        <f>IF(A346="","",ROUND(N(H346)+K346-L346,6))</f>
        <v/>
      </c>
      <c r="N346" s="40" t="str">
        <f>IF(A346="","",M346*N(G346))</f>
        <v/>
      </c>
      <c r="O346" s="39" t="str">
        <f>IF(A346="","",IF(M346&lt;=0,"Rupture",IF(AND(I346&lt;&gt;"",M346&lt;=N(I346)),"À commander","OK")))</f>
        <v/>
      </c>
      <c r="P346" s="39" t="str">
        <f>IF(OR(A346="",O346="OK",J346=""),"",MAX(N(J346)-M346,0))</f>
        <v/>
      </c>
      <c r="Q346" s="39" t="str">
        <f>IF(A346="",IF(COUNTA(B346:J346)&gt;0,"Référence manquante",""),IF(COUNTIF($A$5:$A$1004,A346)&gt;1,"Référence en double",IF(B346="","Désignation manquante","OK")))</f>
        <v/>
      </c>
      <c r="R346" s="39" t="str">
        <f>IF(OR(O346="Rupture",O346="À commander"),COUNTIF($O$5:O346,"Rupture")+COUNTIF($O$5:O346,"À commander"),"")</f>
        <v/>
      </c>
    </row>
    <row r="347">
      <c r="A347" s="37" t="n"/>
      <c r="B347" s="37" t="n"/>
      <c r="C347" s="37" t="n"/>
      <c r="D347" s="37" t="n"/>
      <c r="E347" s="37" t="n"/>
      <c r="F347" s="37" t="n"/>
      <c r="G347" s="38" t="n"/>
      <c r="H347" s="37" t="n"/>
      <c r="I347" s="37" t="n"/>
      <c r="J347" s="37" t="n"/>
      <c r="K347" s="39" t="str">
        <f>IF(A347="","",SUMIFS(mv_qty,mv_ref,A347,mv_type,"Entrée"))</f>
        <v/>
      </c>
      <c r="L347" s="39" t="str">
        <f>IF(A347="","",SUMIFS(mv_qty,mv_ref,A347,mv_type,"Sortie"))</f>
        <v/>
      </c>
      <c r="M347" s="39" t="str">
        <f>IF(A347="","",ROUND(N(H347)+K347-L347,6))</f>
        <v/>
      </c>
      <c r="N347" s="40" t="str">
        <f>IF(A347="","",M347*N(G347))</f>
        <v/>
      </c>
      <c r="O347" s="39" t="str">
        <f>IF(A347="","",IF(M347&lt;=0,"Rupture",IF(AND(I347&lt;&gt;"",M347&lt;=N(I347)),"À commander","OK")))</f>
        <v/>
      </c>
      <c r="P347" s="39" t="str">
        <f>IF(OR(A347="",O347="OK",J347=""),"",MAX(N(J347)-M347,0))</f>
        <v/>
      </c>
      <c r="Q347" s="39" t="str">
        <f>IF(A347="",IF(COUNTA(B347:J347)&gt;0,"Référence manquante",""),IF(COUNTIF($A$5:$A$1004,A347)&gt;1,"Référence en double",IF(B347="","Désignation manquante","OK")))</f>
        <v/>
      </c>
      <c r="R347" s="39" t="str">
        <f>IF(OR(O347="Rupture",O347="À commander"),COUNTIF($O$5:O347,"Rupture")+COUNTIF($O$5:O347,"À commander"),"")</f>
        <v/>
      </c>
    </row>
    <row r="348">
      <c r="A348" s="37" t="n"/>
      <c r="B348" s="37" t="n"/>
      <c r="C348" s="37" t="n"/>
      <c r="D348" s="37" t="n"/>
      <c r="E348" s="37" t="n"/>
      <c r="F348" s="37" t="n"/>
      <c r="G348" s="38" t="n"/>
      <c r="H348" s="37" t="n"/>
      <c r="I348" s="37" t="n"/>
      <c r="J348" s="37" t="n"/>
      <c r="K348" s="39" t="str">
        <f>IF(A348="","",SUMIFS(mv_qty,mv_ref,A348,mv_type,"Entrée"))</f>
        <v/>
      </c>
      <c r="L348" s="39" t="str">
        <f>IF(A348="","",SUMIFS(mv_qty,mv_ref,A348,mv_type,"Sortie"))</f>
        <v/>
      </c>
      <c r="M348" s="39" t="str">
        <f>IF(A348="","",ROUND(N(H348)+K348-L348,6))</f>
        <v/>
      </c>
      <c r="N348" s="40" t="str">
        <f>IF(A348="","",M348*N(G348))</f>
        <v/>
      </c>
      <c r="O348" s="39" t="str">
        <f>IF(A348="","",IF(M348&lt;=0,"Rupture",IF(AND(I348&lt;&gt;"",M348&lt;=N(I348)),"À commander","OK")))</f>
        <v/>
      </c>
      <c r="P348" s="39" t="str">
        <f>IF(OR(A348="",O348="OK",J348=""),"",MAX(N(J348)-M348,0))</f>
        <v/>
      </c>
      <c r="Q348" s="39" t="str">
        <f>IF(A348="",IF(COUNTA(B348:J348)&gt;0,"Référence manquante",""),IF(COUNTIF($A$5:$A$1004,A348)&gt;1,"Référence en double",IF(B348="","Désignation manquante","OK")))</f>
        <v/>
      </c>
      <c r="R348" s="39" t="str">
        <f>IF(OR(O348="Rupture",O348="À commander"),COUNTIF($O$5:O348,"Rupture")+COUNTIF($O$5:O348,"À commander"),"")</f>
        <v/>
      </c>
    </row>
    <row r="349">
      <c r="A349" s="37" t="n"/>
      <c r="B349" s="37" t="n"/>
      <c r="C349" s="37" t="n"/>
      <c r="D349" s="37" t="n"/>
      <c r="E349" s="37" t="n"/>
      <c r="F349" s="37" t="n"/>
      <c r="G349" s="38" t="n"/>
      <c r="H349" s="37" t="n"/>
      <c r="I349" s="37" t="n"/>
      <c r="J349" s="37" t="n"/>
      <c r="K349" s="39" t="str">
        <f>IF(A349="","",SUMIFS(mv_qty,mv_ref,A349,mv_type,"Entrée"))</f>
        <v/>
      </c>
      <c r="L349" s="39" t="str">
        <f>IF(A349="","",SUMIFS(mv_qty,mv_ref,A349,mv_type,"Sortie"))</f>
        <v/>
      </c>
      <c r="M349" s="39" t="str">
        <f>IF(A349="","",ROUND(N(H349)+K349-L349,6))</f>
        <v/>
      </c>
      <c r="N349" s="40" t="str">
        <f>IF(A349="","",M349*N(G349))</f>
        <v/>
      </c>
      <c r="O349" s="39" t="str">
        <f>IF(A349="","",IF(M349&lt;=0,"Rupture",IF(AND(I349&lt;&gt;"",M349&lt;=N(I349)),"À commander","OK")))</f>
        <v/>
      </c>
      <c r="P349" s="39" t="str">
        <f>IF(OR(A349="",O349="OK",J349=""),"",MAX(N(J349)-M349,0))</f>
        <v/>
      </c>
      <c r="Q349" s="39" t="str">
        <f>IF(A349="",IF(COUNTA(B349:J349)&gt;0,"Référence manquante",""),IF(COUNTIF($A$5:$A$1004,A349)&gt;1,"Référence en double",IF(B349="","Désignation manquante","OK")))</f>
        <v/>
      </c>
      <c r="R349" s="39" t="str">
        <f>IF(OR(O349="Rupture",O349="À commander"),COUNTIF($O$5:O349,"Rupture")+COUNTIF($O$5:O349,"À commander"),"")</f>
        <v/>
      </c>
    </row>
    <row r="350">
      <c r="A350" s="37" t="n"/>
      <c r="B350" s="37" t="n"/>
      <c r="C350" s="37" t="n"/>
      <c r="D350" s="37" t="n"/>
      <c r="E350" s="37" t="n"/>
      <c r="F350" s="37" t="n"/>
      <c r="G350" s="38" t="n"/>
      <c r="H350" s="37" t="n"/>
      <c r="I350" s="37" t="n"/>
      <c r="J350" s="37" t="n"/>
      <c r="K350" s="39" t="str">
        <f>IF(A350="","",SUMIFS(mv_qty,mv_ref,A350,mv_type,"Entrée"))</f>
        <v/>
      </c>
      <c r="L350" s="39" t="str">
        <f>IF(A350="","",SUMIFS(mv_qty,mv_ref,A350,mv_type,"Sortie"))</f>
        <v/>
      </c>
      <c r="M350" s="39" t="str">
        <f>IF(A350="","",ROUND(N(H350)+K350-L350,6))</f>
        <v/>
      </c>
      <c r="N350" s="40" t="str">
        <f>IF(A350="","",M350*N(G350))</f>
        <v/>
      </c>
      <c r="O350" s="39" t="str">
        <f>IF(A350="","",IF(M350&lt;=0,"Rupture",IF(AND(I350&lt;&gt;"",M350&lt;=N(I350)),"À commander","OK")))</f>
        <v/>
      </c>
      <c r="P350" s="39" t="str">
        <f>IF(OR(A350="",O350="OK",J350=""),"",MAX(N(J350)-M350,0))</f>
        <v/>
      </c>
      <c r="Q350" s="39" t="str">
        <f>IF(A350="",IF(COUNTA(B350:J350)&gt;0,"Référence manquante",""),IF(COUNTIF($A$5:$A$1004,A350)&gt;1,"Référence en double",IF(B350="","Désignation manquante","OK")))</f>
        <v/>
      </c>
      <c r="R350" s="39" t="str">
        <f>IF(OR(O350="Rupture",O350="À commander"),COUNTIF($O$5:O350,"Rupture")+COUNTIF($O$5:O350,"À commander"),"")</f>
        <v/>
      </c>
    </row>
    <row r="351">
      <c r="A351" s="37" t="n"/>
      <c r="B351" s="37" t="n"/>
      <c r="C351" s="37" t="n"/>
      <c r="D351" s="37" t="n"/>
      <c r="E351" s="37" t="n"/>
      <c r="F351" s="37" t="n"/>
      <c r="G351" s="38" t="n"/>
      <c r="H351" s="37" t="n"/>
      <c r="I351" s="37" t="n"/>
      <c r="J351" s="37" t="n"/>
      <c r="K351" s="39" t="str">
        <f>IF(A351="","",SUMIFS(mv_qty,mv_ref,A351,mv_type,"Entrée"))</f>
        <v/>
      </c>
      <c r="L351" s="39" t="str">
        <f>IF(A351="","",SUMIFS(mv_qty,mv_ref,A351,mv_type,"Sortie"))</f>
        <v/>
      </c>
      <c r="M351" s="39" t="str">
        <f>IF(A351="","",ROUND(N(H351)+K351-L351,6))</f>
        <v/>
      </c>
      <c r="N351" s="40" t="str">
        <f>IF(A351="","",M351*N(G351))</f>
        <v/>
      </c>
      <c r="O351" s="39" t="str">
        <f>IF(A351="","",IF(M351&lt;=0,"Rupture",IF(AND(I351&lt;&gt;"",M351&lt;=N(I351)),"À commander","OK")))</f>
        <v/>
      </c>
      <c r="P351" s="39" t="str">
        <f>IF(OR(A351="",O351="OK",J351=""),"",MAX(N(J351)-M351,0))</f>
        <v/>
      </c>
      <c r="Q351" s="39" t="str">
        <f>IF(A351="",IF(COUNTA(B351:J351)&gt;0,"Référence manquante",""),IF(COUNTIF($A$5:$A$1004,A351)&gt;1,"Référence en double",IF(B351="","Désignation manquante","OK")))</f>
        <v/>
      </c>
      <c r="R351" s="39" t="str">
        <f>IF(OR(O351="Rupture",O351="À commander"),COUNTIF($O$5:O351,"Rupture")+COUNTIF($O$5:O351,"À commander"),"")</f>
        <v/>
      </c>
    </row>
    <row r="352">
      <c r="A352" s="37" t="n"/>
      <c r="B352" s="37" t="n"/>
      <c r="C352" s="37" t="n"/>
      <c r="D352" s="37" t="n"/>
      <c r="E352" s="37" t="n"/>
      <c r="F352" s="37" t="n"/>
      <c r="G352" s="38" t="n"/>
      <c r="H352" s="37" t="n"/>
      <c r="I352" s="37" t="n"/>
      <c r="J352" s="37" t="n"/>
      <c r="K352" s="39" t="str">
        <f>IF(A352="","",SUMIFS(mv_qty,mv_ref,A352,mv_type,"Entrée"))</f>
        <v/>
      </c>
      <c r="L352" s="39" t="str">
        <f>IF(A352="","",SUMIFS(mv_qty,mv_ref,A352,mv_type,"Sortie"))</f>
        <v/>
      </c>
      <c r="M352" s="39" t="str">
        <f>IF(A352="","",ROUND(N(H352)+K352-L352,6))</f>
        <v/>
      </c>
      <c r="N352" s="40" t="str">
        <f>IF(A352="","",M352*N(G352))</f>
        <v/>
      </c>
      <c r="O352" s="39" t="str">
        <f>IF(A352="","",IF(M352&lt;=0,"Rupture",IF(AND(I352&lt;&gt;"",M352&lt;=N(I352)),"À commander","OK")))</f>
        <v/>
      </c>
      <c r="P352" s="39" t="str">
        <f>IF(OR(A352="",O352="OK",J352=""),"",MAX(N(J352)-M352,0))</f>
        <v/>
      </c>
      <c r="Q352" s="39" t="str">
        <f>IF(A352="",IF(COUNTA(B352:J352)&gt;0,"Référence manquante",""),IF(COUNTIF($A$5:$A$1004,A352)&gt;1,"Référence en double",IF(B352="","Désignation manquante","OK")))</f>
        <v/>
      </c>
      <c r="R352" s="39" t="str">
        <f>IF(OR(O352="Rupture",O352="À commander"),COUNTIF($O$5:O352,"Rupture")+COUNTIF($O$5:O352,"À commander"),"")</f>
        <v/>
      </c>
    </row>
    <row r="353">
      <c r="A353" s="37" t="n"/>
      <c r="B353" s="37" t="n"/>
      <c r="C353" s="37" t="n"/>
      <c r="D353" s="37" t="n"/>
      <c r="E353" s="37" t="n"/>
      <c r="F353" s="37" t="n"/>
      <c r="G353" s="38" t="n"/>
      <c r="H353" s="37" t="n"/>
      <c r="I353" s="37" t="n"/>
      <c r="J353" s="37" t="n"/>
      <c r="K353" s="39" t="str">
        <f>IF(A353="","",SUMIFS(mv_qty,mv_ref,A353,mv_type,"Entrée"))</f>
        <v/>
      </c>
      <c r="L353" s="39" t="str">
        <f>IF(A353="","",SUMIFS(mv_qty,mv_ref,A353,mv_type,"Sortie"))</f>
        <v/>
      </c>
      <c r="M353" s="39" t="str">
        <f>IF(A353="","",ROUND(N(H353)+K353-L353,6))</f>
        <v/>
      </c>
      <c r="N353" s="40" t="str">
        <f>IF(A353="","",M353*N(G353))</f>
        <v/>
      </c>
      <c r="O353" s="39" t="str">
        <f>IF(A353="","",IF(M353&lt;=0,"Rupture",IF(AND(I353&lt;&gt;"",M353&lt;=N(I353)),"À commander","OK")))</f>
        <v/>
      </c>
      <c r="P353" s="39" t="str">
        <f>IF(OR(A353="",O353="OK",J353=""),"",MAX(N(J353)-M353,0))</f>
        <v/>
      </c>
      <c r="Q353" s="39" t="str">
        <f>IF(A353="",IF(COUNTA(B353:J353)&gt;0,"Référence manquante",""),IF(COUNTIF($A$5:$A$1004,A353)&gt;1,"Référence en double",IF(B353="","Désignation manquante","OK")))</f>
        <v/>
      </c>
      <c r="R353" s="39" t="str">
        <f>IF(OR(O353="Rupture",O353="À commander"),COUNTIF($O$5:O353,"Rupture")+COUNTIF($O$5:O353,"À commander"),"")</f>
        <v/>
      </c>
    </row>
    <row r="354">
      <c r="A354" s="37" t="n"/>
      <c r="B354" s="37" t="n"/>
      <c r="C354" s="37" t="n"/>
      <c r="D354" s="37" t="n"/>
      <c r="E354" s="37" t="n"/>
      <c r="F354" s="37" t="n"/>
      <c r="G354" s="38" t="n"/>
      <c r="H354" s="37" t="n"/>
      <c r="I354" s="37" t="n"/>
      <c r="J354" s="37" t="n"/>
      <c r="K354" s="39" t="str">
        <f>IF(A354="","",SUMIFS(mv_qty,mv_ref,A354,mv_type,"Entrée"))</f>
        <v/>
      </c>
      <c r="L354" s="39" t="str">
        <f>IF(A354="","",SUMIFS(mv_qty,mv_ref,A354,mv_type,"Sortie"))</f>
        <v/>
      </c>
      <c r="M354" s="39" t="str">
        <f>IF(A354="","",ROUND(N(H354)+K354-L354,6))</f>
        <v/>
      </c>
      <c r="N354" s="40" t="str">
        <f>IF(A354="","",M354*N(G354))</f>
        <v/>
      </c>
      <c r="O354" s="39" t="str">
        <f>IF(A354="","",IF(M354&lt;=0,"Rupture",IF(AND(I354&lt;&gt;"",M354&lt;=N(I354)),"À commander","OK")))</f>
        <v/>
      </c>
      <c r="P354" s="39" t="str">
        <f>IF(OR(A354="",O354="OK",J354=""),"",MAX(N(J354)-M354,0))</f>
        <v/>
      </c>
      <c r="Q354" s="39" t="str">
        <f>IF(A354="",IF(COUNTA(B354:J354)&gt;0,"Référence manquante",""),IF(COUNTIF($A$5:$A$1004,A354)&gt;1,"Référence en double",IF(B354="","Désignation manquante","OK")))</f>
        <v/>
      </c>
      <c r="R354" s="39" t="str">
        <f>IF(OR(O354="Rupture",O354="À commander"),COUNTIF($O$5:O354,"Rupture")+COUNTIF($O$5:O354,"À commander"),"")</f>
        <v/>
      </c>
    </row>
    <row r="355">
      <c r="A355" s="37" t="n"/>
      <c r="B355" s="37" t="n"/>
      <c r="C355" s="37" t="n"/>
      <c r="D355" s="37" t="n"/>
      <c r="E355" s="37" t="n"/>
      <c r="F355" s="37" t="n"/>
      <c r="G355" s="38" t="n"/>
      <c r="H355" s="37" t="n"/>
      <c r="I355" s="37" t="n"/>
      <c r="J355" s="37" t="n"/>
      <c r="K355" s="39" t="str">
        <f>IF(A355="","",SUMIFS(mv_qty,mv_ref,A355,mv_type,"Entrée"))</f>
        <v/>
      </c>
      <c r="L355" s="39" t="str">
        <f>IF(A355="","",SUMIFS(mv_qty,mv_ref,A355,mv_type,"Sortie"))</f>
        <v/>
      </c>
      <c r="M355" s="39" t="str">
        <f>IF(A355="","",ROUND(N(H355)+K355-L355,6))</f>
        <v/>
      </c>
      <c r="N355" s="40" t="str">
        <f>IF(A355="","",M355*N(G355))</f>
        <v/>
      </c>
      <c r="O355" s="39" t="str">
        <f>IF(A355="","",IF(M355&lt;=0,"Rupture",IF(AND(I355&lt;&gt;"",M355&lt;=N(I355)),"À commander","OK")))</f>
        <v/>
      </c>
      <c r="P355" s="39" t="str">
        <f>IF(OR(A355="",O355="OK",J355=""),"",MAX(N(J355)-M355,0))</f>
        <v/>
      </c>
      <c r="Q355" s="39" t="str">
        <f>IF(A355="",IF(COUNTA(B355:J355)&gt;0,"Référence manquante",""),IF(COUNTIF($A$5:$A$1004,A355)&gt;1,"Référence en double",IF(B355="","Désignation manquante","OK")))</f>
        <v/>
      </c>
      <c r="R355" s="39" t="str">
        <f>IF(OR(O355="Rupture",O355="À commander"),COUNTIF($O$5:O355,"Rupture")+COUNTIF($O$5:O355,"À commander"),"")</f>
        <v/>
      </c>
    </row>
    <row r="356">
      <c r="A356" s="37" t="n"/>
      <c r="B356" s="37" t="n"/>
      <c r="C356" s="37" t="n"/>
      <c r="D356" s="37" t="n"/>
      <c r="E356" s="37" t="n"/>
      <c r="F356" s="37" t="n"/>
      <c r="G356" s="38" t="n"/>
      <c r="H356" s="37" t="n"/>
      <c r="I356" s="37" t="n"/>
      <c r="J356" s="37" t="n"/>
      <c r="K356" s="39" t="str">
        <f>IF(A356="","",SUMIFS(mv_qty,mv_ref,A356,mv_type,"Entrée"))</f>
        <v/>
      </c>
      <c r="L356" s="39" t="str">
        <f>IF(A356="","",SUMIFS(mv_qty,mv_ref,A356,mv_type,"Sortie"))</f>
        <v/>
      </c>
      <c r="M356" s="39" t="str">
        <f>IF(A356="","",ROUND(N(H356)+K356-L356,6))</f>
        <v/>
      </c>
      <c r="N356" s="40" t="str">
        <f>IF(A356="","",M356*N(G356))</f>
        <v/>
      </c>
      <c r="O356" s="39" t="str">
        <f>IF(A356="","",IF(M356&lt;=0,"Rupture",IF(AND(I356&lt;&gt;"",M356&lt;=N(I356)),"À commander","OK")))</f>
        <v/>
      </c>
      <c r="P356" s="39" t="str">
        <f>IF(OR(A356="",O356="OK",J356=""),"",MAX(N(J356)-M356,0))</f>
        <v/>
      </c>
      <c r="Q356" s="39" t="str">
        <f>IF(A356="",IF(COUNTA(B356:J356)&gt;0,"Référence manquante",""),IF(COUNTIF($A$5:$A$1004,A356)&gt;1,"Référence en double",IF(B356="","Désignation manquante","OK")))</f>
        <v/>
      </c>
      <c r="R356" s="39" t="str">
        <f>IF(OR(O356="Rupture",O356="À commander"),COUNTIF($O$5:O356,"Rupture")+COUNTIF($O$5:O356,"À commander"),"")</f>
        <v/>
      </c>
    </row>
    <row r="357">
      <c r="A357" s="37" t="n"/>
      <c r="B357" s="37" t="n"/>
      <c r="C357" s="37" t="n"/>
      <c r="D357" s="37" t="n"/>
      <c r="E357" s="37" t="n"/>
      <c r="F357" s="37" t="n"/>
      <c r="G357" s="38" t="n"/>
      <c r="H357" s="37" t="n"/>
      <c r="I357" s="37" t="n"/>
      <c r="J357" s="37" t="n"/>
      <c r="K357" s="39" t="str">
        <f>IF(A357="","",SUMIFS(mv_qty,mv_ref,A357,mv_type,"Entrée"))</f>
        <v/>
      </c>
      <c r="L357" s="39" t="str">
        <f>IF(A357="","",SUMIFS(mv_qty,mv_ref,A357,mv_type,"Sortie"))</f>
        <v/>
      </c>
      <c r="M357" s="39" t="str">
        <f>IF(A357="","",ROUND(N(H357)+K357-L357,6))</f>
        <v/>
      </c>
      <c r="N357" s="40" t="str">
        <f>IF(A357="","",M357*N(G357))</f>
        <v/>
      </c>
      <c r="O357" s="39" t="str">
        <f>IF(A357="","",IF(M357&lt;=0,"Rupture",IF(AND(I357&lt;&gt;"",M357&lt;=N(I357)),"À commander","OK")))</f>
        <v/>
      </c>
      <c r="P357" s="39" t="str">
        <f>IF(OR(A357="",O357="OK",J357=""),"",MAX(N(J357)-M357,0))</f>
        <v/>
      </c>
      <c r="Q357" s="39" t="str">
        <f>IF(A357="",IF(COUNTA(B357:J357)&gt;0,"Référence manquante",""),IF(COUNTIF($A$5:$A$1004,A357)&gt;1,"Référence en double",IF(B357="","Désignation manquante","OK")))</f>
        <v/>
      </c>
      <c r="R357" s="39" t="str">
        <f>IF(OR(O357="Rupture",O357="À commander"),COUNTIF($O$5:O357,"Rupture")+COUNTIF($O$5:O357,"À commander"),"")</f>
        <v/>
      </c>
    </row>
    <row r="358">
      <c r="A358" s="37" t="n"/>
      <c r="B358" s="37" t="n"/>
      <c r="C358" s="37" t="n"/>
      <c r="D358" s="37" t="n"/>
      <c r="E358" s="37" t="n"/>
      <c r="F358" s="37" t="n"/>
      <c r="G358" s="38" t="n"/>
      <c r="H358" s="37" t="n"/>
      <c r="I358" s="37" t="n"/>
      <c r="J358" s="37" t="n"/>
      <c r="K358" s="39" t="str">
        <f>IF(A358="","",SUMIFS(mv_qty,mv_ref,A358,mv_type,"Entrée"))</f>
        <v/>
      </c>
      <c r="L358" s="39" t="str">
        <f>IF(A358="","",SUMIFS(mv_qty,mv_ref,A358,mv_type,"Sortie"))</f>
        <v/>
      </c>
      <c r="M358" s="39" t="str">
        <f>IF(A358="","",ROUND(N(H358)+K358-L358,6))</f>
        <v/>
      </c>
      <c r="N358" s="40" t="str">
        <f>IF(A358="","",M358*N(G358))</f>
        <v/>
      </c>
      <c r="O358" s="39" t="str">
        <f>IF(A358="","",IF(M358&lt;=0,"Rupture",IF(AND(I358&lt;&gt;"",M358&lt;=N(I358)),"À commander","OK")))</f>
        <v/>
      </c>
      <c r="P358" s="39" t="str">
        <f>IF(OR(A358="",O358="OK",J358=""),"",MAX(N(J358)-M358,0))</f>
        <v/>
      </c>
      <c r="Q358" s="39" t="str">
        <f>IF(A358="",IF(COUNTA(B358:J358)&gt;0,"Référence manquante",""),IF(COUNTIF($A$5:$A$1004,A358)&gt;1,"Référence en double",IF(B358="","Désignation manquante","OK")))</f>
        <v/>
      </c>
      <c r="R358" s="39" t="str">
        <f>IF(OR(O358="Rupture",O358="À commander"),COUNTIF($O$5:O358,"Rupture")+COUNTIF($O$5:O358,"À commander"),"")</f>
        <v/>
      </c>
    </row>
    <row r="359">
      <c r="A359" s="37" t="n"/>
      <c r="B359" s="37" t="n"/>
      <c r="C359" s="37" t="n"/>
      <c r="D359" s="37" t="n"/>
      <c r="E359" s="37" t="n"/>
      <c r="F359" s="37" t="n"/>
      <c r="G359" s="38" t="n"/>
      <c r="H359" s="37" t="n"/>
      <c r="I359" s="37" t="n"/>
      <c r="J359" s="37" t="n"/>
      <c r="K359" s="39" t="str">
        <f>IF(A359="","",SUMIFS(mv_qty,mv_ref,A359,mv_type,"Entrée"))</f>
        <v/>
      </c>
      <c r="L359" s="39" t="str">
        <f>IF(A359="","",SUMIFS(mv_qty,mv_ref,A359,mv_type,"Sortie"))</f>
        <v/>
      </c>
      <c r="M359" s="39" t="str">
        <f>IF(A359="","",ROUND(N(H359)+K359-L359,6))</f>
        <v/>
      </c>
      <c r="N359" s="40" t="str">
        <f>IF(A359="","",M359*N(G359))</f>
        <v/>
      </c>
      <c r="O359" s="39" t="str">
        <f>IF(A359="","",IF(M359&lt;=0,"Rupture",IF(AND(I359&lt;&gt;"",M359&lt;=N(I359)),"À commander","OK")))</f>
        <v/>
      </c>
      <c r="P359" s="39" t="str">
        <f>IF(OR(A359="",O359="OK",J359=""),"",MAX(N(J359)-M359,0))</f>
        <v/>
      </c>
      <c r="Q359" s="39" t="str">
        <f>IF(A359="",IF(COUNTA(B359:J359)&gt;0,"Référence manquante",""),IF(COUNTIF($A$5:$A$1004,A359)&gt;1,"Référence en double",IF(B359="","Désignation manquante","OK")))</f>
        <v/>
      </c>
      <c r="R359" s="39" t="str">
        <f>IF(OR(O359="Rupture",O359="À commander"),COUNTIF($O$5:O359,"Rupture")+COUNTIF($O$5:O359,"À commander"),"")</f>
        <v/>
      </c>
    </row>
    <row r="360">
      <c r="A360" s="37" t="n"/>
      <c r="B360" s="37" t="n"/>
      <c r="C360" s="37" t="n"/>
      <c r="D360" s="37" t="n"/>
      <c r="E360" s="37" t="n"/>
      <c r="F360" s="37" t="n"/>
      <c r="G360" s="38" t="n"/>
      <c r="H360" s="37" t="n"/>
      <c r="I360" s="37" t="n"/>
      <c r="J360" s="37" t="n"/>
      <c r="K360" s="39" t="str">
        <f>IF(A360="","",SUMIFS(mv_qty,mv_ref,A360,mv_type,"Entrée"))</f>
        <v/>
      </c>
      <c r="L360" s="39" t="str">
        <f>IF(A360="","",SUMIFS(mv_qty,mv_ref,A360,mv_type,"Sortie"))</f>
        <v/>
      </c>
      <c r="M360" s="39" t="str">
        <f>IF(A360="","",ROUND(N(H360)+K360-L360,6))</f>
        <v/>
      </c>
      <c r="N360" s="40" t="str">
        <f>IF(A360="","",M360*N(G360))</f>
        <v/>
      </c>
      <c r="O360" s="39" t="str">
        <f>IF(A360="","",IF(M360&lt;=0,"Rupture",IF(AND(I360&lt;&gt;"",M360&lt;=N(I360)),"À commander","OK")))</f>
        <v/>
      </c>
      <c r="P360" s="39" t="str">
        <f>IF(OR(A360="",O360="OK",J360=""),"",MAX(N(J360)-M360,0))</f>
        <v/>
      </c>
      <c r="Q360" s="39" t="str">
        <f>IF(A360="",IF(COUNTA(B360:J360)&gt;0,"Référence manquante",""),IF(COUNTIF($A$5:$A$1004,A360)&gt;1,"Référence en double",IF(B360="","Désignation manquante","OK")))</f>
        <v/>
      </c>
      <c r="R360" s="39" t="str">
        <f>IF(OR(O360="Rupture",O360="À commander"),COUNTIF($O$5:O360,"Rupture")+COUNTIF($O$5:O360,"À commander"),"")</f>
        <v/>
      </c>
    </row>
    <row r="361">
      <c r="A361" s="37" t="n"/>
      <c r="B361" s="37" t="n"/>
      <c r="C361" s="37" t="n"/>
      <c r="D361" s="37" t="n"/>
      <c r="E361" s="37" t="n"/>
      <c r="F361" s="37" t="n"/>
      <c r="G361" s="38" t="n"/>
      <c r="H361" s="37" t="n"/>
      <c r="I361" s="37" t="n"/>
      <c r="J361" s="37" t="n"/>
      <c r="K361" s="39" t="str">
        <f>IF(A361="","",SUMIFS(mv_qty,mv_ref,A361,mv_type,"Entrée"))</f>
        <v/>
      </c>
      <c r="L361" s="39" t="str">
        <f>IF(A361="","",SUMIFS(mv_qty,mv_ref,A361,mv_type,"Sortie"))</f>
        <v/>
      </c>
      <c r="M361" s="39" t="str">
        <f>IF(A361="","",ROUND(N(H361)+K361-L361,6))</f>
        <v/>
      </c>
      <c r="N361" s="40" t="str">
        <f>IF(A361="","",M361*N(G361))</f>
        <v/>
      </c>
      <c r="O361" s="39" t="str">
        <f>IF(A361="","",IF(M361&lt;=0,"Rupture",IF(AND(I361&lt;&gt;"",M361&lt;=N(I361)),"À commander","OK")))</f>
        <v/>
      </c>
      <c r="P361" s="39" t="str">
        <f>IF(OR(A361="",O361="OK",J361=""),"",MAX(N(J361)-M361,0))</f>
        <v/>
      </c>
      <c r="Q361" s="39" t="str">
        <f>IF(A361="",IF(COUNTA(B361:J361)&gt;0,"Référence manquante",""),IF(COUNTIF($A$5:$A$1004,A361)&gt;1,"Référence en double",IF(B361="","Désignation manquante","OK")))</f>
        <v/>
      </c>
      <c r="R361" s="39" t="str">
        <f>IF(OR(O361="Rupture",O361="À commander"),COUNTIF($O$5:O361,"Rupture")+COUNTIF($O$5:O361,"À commander"),"")</f>
        <v/>
      </c>
    </row>
    <row r="362">
      <c r="A362" s="37" t="n"/>
      <c r="B362" s="37" t="n"/>
      <c r="C362" s="37" t="n"/>
      <c r="D362" s="37" t="n"/>
      <c r="E362" s="37" t="n"/>
      <c r="F362" s="37" t="n"/>
      <c r="G362" s="38" t="n"/>
      <c r="H362" s="37" t="n"/>
      <c r="I362" s="37" t="n"/>
      <c r="J362" s="37" t="n"/>
      <c r="K362" s="39" t="str">
        <f>IF(A362="","",SUMIFS(mv_qty,mv_ref,A362,mv_type,"Entrée"))</f>
        <v/>
      </c>
      <c r="L362" s="39" t="str">
        <f>IF(A362="","",SUMIFS(mv_qty,mv_ref,A362,mv_type,"Sortie"))</f>
        <v/>
      </c>
      <c r="M362" s="39" t="str">
        <f>IF(A362="","",ROUND(N(H362)+K362-L362,6))</f>
        <v/>
      </c>
      <c r="N362" s="40" t="str">
        <f>IF(A362="","",M362*N(G362))</f>
        <v/>
      </c>
      <c r="O362" s="39" t="str">
        <f>IF(A362="","",IF(M362&lt;=0,"Rupture",IF(AND(I362&lt;&gt;"",M362&lt;=N(I362)),"À commander","OK")))</f>
        <v/>
      </c>
      <c r="P362" s="39" t="str">
        <f>IF(OR(A362="",O362="OK",J362=""),"",MAX(N(J362)-M362,0))</f>
        <v/>
      </c>
      <c r="Q362" s="39" t="str">
        <f>IF(A362="",IF(COUNTA(B362:J362)&gt;0,"Référence manquante",""),IF(COUNTIF($A$5:$A$1004,A362)&gt;1,"Référence en double",IF(B362="","Désignation manquante","OK")))</f>
        <v/>
      </c>
      <c r="R362" s="39" t="str">
        <f>IF(OR(O362="Rupture",O362="À commander"),COUNTIF($O$5:O362,"Rupture")+COUNTIF($O$5:O362,"À commander"),"")</f>
        <v/>
      </c>
    </row>
    <row r="363">
      <c r="A363" s="37" t="n"/>
      <c r="B363" s="37" t="n"/>
      <c r="C363" s="37" t="n"/>
      <c r="D363" s="37" t="n"/>
      <c r="E363" s="37" t="n"/>
      <c r="F363" s="37" t="n"/>
      <c r="G363" s="38" t="n"/>
      <c r="H363" s="37" t="n"/>
      <c r="I363" s="37" t="n"/>
      <c r="J363" s="37" t="n"/>
      <c r="K363" s="39" t="str">
        <f>IF(A363="","",SUMIFS(mv_qty,mv_ref,A363,mv_type,"Entrée"))</f>
        <v/>
      </c>
      <c r="L363" s="39" t="str">
        <f>IF(A363="","",SUMIFS(mv_qty,mv_ref,A363,mv_type,"Sortie"))</f>
        <v/>
      </c>
      <c r="M363" s="39" t="str">
        <f>IF(A363="","",ROUND(N(H363)+K363-L363,6))</f>
        <v/>
      </c>
      <c r="N363" s="40" t="str">
        <f>IF(A363="","",M363*N(G363))</f>
        <v/>
      </c>
      <c r="O363" s="39" t="str">
        <f>IF(A363="","",IF(M363&lt;=0,"Rupture",IF(AND(I363&lt;&gt;"",M363&lt;=N(I363)),"À commander","OK")))</f>
        <v/>
      </c>
      <c r="P363" s="39" t="str">
        <f>IF(OR(A363="",O363="OK",J363=""),"",MAX(N(J363)-M363,0))</f>
        <v/>
      </c>
      <c r="Q363" s="39" t="str">
        <f>IF(A363="",IF(COUNTA(B363:J363)&gt;0,"Référence manquante",""),IF(COUNTIF($A$5:$A$1004,A363)&gt;1,"Référence en double",IF(B363="","Désignation manquante","OK")))</f>
        <v/>
      </c>
      <c r="R363" s="39" t="str">
        <f>IF(OR(O363="Rupture",O363="À commander"),COUNTIF($O$5:O363,"Rupture")+COUNTIF($O$5:O363,"À commander"),"")</f>
        <v/>
      </c>
    </row>
    <row r="364">
      <c r="A364" s="37" t="n"/>
      <c r="B364" s="37" t="n"/>
      <c r="C364" s="37" t="n"/>
      <c r="D364" s="37" t="n"/>
      <c r="E364" s="37" t="n"/>
      <c r="F364" s="37" t="n"/>
      <c r="G364" s="38" t="n"/>
      <c r="H364" s="37" t="n"/>
      <c r="I364" s="37" t="n"/>
      <c r="J364" s="37" t="n"/>
      <c r="K364" s="39" t="str">
        <f>IF(A364="","",SUMIFS(mv_qty,mv_ref,A364,mv_type,"Entrée"))</f>
        <v/>
      </c>
      <c r="L364" s="39" t="str">
        <f>IF(A364="","",SUMIFS(mv_qty,mv_ref,A364,mv_type,"Sortie"))</f>
        <v/>
      </c>
      <c r="M364" s="39" t="str">
        <f>IF(A364="","",ROUND(N(H364)+K364-L364,6))</f>
        <v/>
      </c>
      <c r="N364" s="40" t="str">
        <f>IF(A364="","",M364*N(G364))</f>
        <v/>
      </c>
      <c r="O364" s="39" t="str">
        <f>IF(A364="","",IF(M364&lt;=0,"Rupture",IF(AND(I364&lt;&gt;"",M364&lt;=N(I364)),"À commander","OK")))</f>
        <v/>
      </c>
      <c r="P364" s="39" t="str">
        <f>IF(OR(A364="",O364="OK",J364=""),"",MAX(N(J364)-M364,0))</f>
        <v/>
      </c>
      <c r="Q364" s="39" t="str">
        <f>IF(A364="",IF(COUNTA(B364:J364)&gt;0,"Référence manquante",""),IF(COUNTIF($A$5:$A$1004,A364)&gt;1,"Référence en double",IF(B364="","Désignation manquante","OK")))</f>
        <v/>
      </c>
      <c r="R364" s="39" t="str">
        <f>IF(OR(O364="Rupture",O364="À commander"),COUNTIF($O$5:O364,"Rupture")+COUNTIF($O$5:O364,"À commander"),"")</f>
        <v/>
      </c>
    </row>
    <row r="365">
      <c r="A365" s="37" t="n"/>
      <c r="B365" s="37" t="n"/>
      <c r="C365" s="37" t="n"/>
      <c r="D365" s="37" t="n"/>
      <c r="E365" s="37" t="n"/>
      <c r="F365" s="37" t="n"/>
      <c r="G365" s="38" t="n"/>
      <c r="H365" s="37" t="n"/>
      <c r="I365" s="37" t="n"/>
      <c r="J365" s="37" t="n"/>
      <c r="K365" s="39" t="str">
        <f>IF(A365="","",SUMIFS(mv_qty,mv_ref,A365,mv_type,"Entrée"))</f>
        <v/>
      </c>
      <c r="L365" s="39" t="str">
        <f>IF(A365="","",SUMIFS(mv_qty,mv_ref,A365,mv_type,"Sortie"))</f>
        <v/>
      </c>
      <c r="M365" s="39" t="str">
        <f>IF(A365="","",ROUND(N(H365)+K365-L365,6))</f>
        <v/>
      </c>
      <c r="N365" s="40" t="str">
        <f>IF(A365="","",M365*N(G365))</f>
        <v/>
      </c>
      <c r="O365" s="39" t="str">
        <f>IF(A365="","",IF(M365&lt;=0,"Rupture",IF(AND(I365&lt;&gt;"",M365&lt;=N(I365)),"À commander","OK")))</f>
        <v/>
      </c>
      <c r="P365" s="39" t="str">
        <f>IF(OR(A365="",O365="OK",J365=""),"",MAX(N(J365)-M365,0))</f>
        <v/>
      </c>
      <c r="Q365" s="39" t="str">
        <f>IF(A365="",IF(COUNTA(B365:J365)&gt;0,"Référence manquante",""),IF(COUNTIF($A$5:$A$1004,A365)&gt;1,"Référence en double",IF(B365="","Désignation manquante","OK")))</f>
        <v/>
      </c>
      <c r="R365" s="39" t="str">
        <f>IF(OR(O365="Rupture",O365="À commander"),COUNTIF($O$5:O365,"Rupture")+COUNTIF($O$5:O365,"À commander"),"")</f>
        <v/>
      </c>
    </row>
    <row r="366">
      <c r="A366" s="37" t="n"/>
      <c r="B366" s="37" t="n"/>
      <c r="C366" s="37" t="n"/>
      <c r="D366" s="37" t="n"/>
      <c r="E366" s="37" t="n"/>
      <c r="F366" s="37" t="n"/>
      <c r="G366" s="38" t="n"/>
      <c r="H366" s="37" t="n"/>
      <c r="I366" s="37" t="n"/>
      <c r="J366" s="37" t="n"/>
      <c r="K366" s="39" t="str">
        <f>IF(A366="","",SUMIFS(mv_qty,mv_ref,A366,mv_type,"Entrée"))</f>
        <v/>
      </c>
      <c r="L366" s="39" t="str">
        <f>IF(A366="","",SUMIFS(mv_qty,mv_ref,A366,mv_type,"Sortie"))</f>
        <v/>
      </c>
      <c r="M366" s="39" t="str">
        <f>IF(A366="","",ROUND(N(H366)+K366-L366,6))</f>
        <v/>
      </c>
      <c r="N366" s="40" t="str">
        <f>IF(A366="","",M366*N(G366))</f>
        <v/>
      </c>
      <c r="O366" s="39" t="str">
        <f>IF(A366="","",IF(M366&lt;=0,"Rupture",IF(AND(I366&lt;&gt;"",M366&lt;=N(I366)),"À commander","OK")))</f>
        <v/>
      </c>
      <c r="P366" s="39" t="str">
        <f>IF(OR(A366="",O366="OK",J366=""),"",MAX(N(J366)-M366,0))</f>
        <v/>
      </c>
      <c r="Q366" s="39" t="str">
        <f>IF(A366="",IF(COUNTA(B366:J366)&gt;0,"Référence manquante",""),IF(COUNTIF($A$5:$A$1004,A366)&gt;1,"Référence en double",IF(B366="","Désignation manquante","OK")))</f>
        <v/>
      </c>
      <c r="R366" s="39" t="str">
        <f>IF(OR(O366="Rupture",O366="À commander"),COUNTIF($O$5:O366,"Rupture")+COUNTIF($O$5:O366,"À commander"),"")</f>
        <v/>
      </c>
    </row>
    <row r="367">
      <c r="A367" s="37" t="n"/>
      <c r="B367" s="37" t="n"/>
      <c r="C367" s="37" t="n"/>
      <c r="D367" s="37" t="n"/>
      <c r="E367" s="37" t="n"/>
      <c r="F367" s="37" t="n"/>
      <c r="G367" s="38" t="n"/>
      <c r="H367" s="37" t="n"/>
      <c r="I367" s="37" t="n"/>
      <c r="J367" s="37" t="n"/>
      <c r="K367" s="39" t="str">
        <f>IF(A367="","",SUMIFS(mv_qty,mv_ref,A367,mv_type,"Entrée"))</f>
        <v/>
      </c>
      <c r="L367" s="39" t="str">
        <f>IF(A367="","",SUMIFS(mv_qty,mv_ref,A367,mv_type,"Sortie"))</f>
        <v/>
      </c>
      <c r="M367" s="39" t="str">
        <f>IF(A367="","",ROUND(N(H367)+K367-L367,6))</f>
        <v/>
      </c>
      <c r="N367" s="40" t="str">
        <f>IF(A367="","",M367*N(G367))</f>
        <v/>
      </c>
      <c r="O367" s="39" t="str">
        <f>IF(A367="","",IF(M367&lt;=0,"Rupture",IF(AND(I367&lt;&gt;"",M367&lt;=N(I367)),"À commander","OK")))</f>
        <v/>
      </c>
      <c r="P367" s="39" t="str">
        <f>IF(OR(A367="",O367="OK",J367=""),"",MAX(N(J367)-M367,0))</f>
        <v/>
      </c>
      <c r="Q367" s="39" t="str">
        <f>IF(A367="",IF(COUNTA(B367:J367)&gt;0,"Référence manquante",""),IF(COUNTIF($A$5:$A$1004,A367)&gt;1,"Référence en double",IF(B367="","Désignation manquante","OK")))</f>
        <v/>
      </c>
      <c r="R367" s="39" t="str">
        <f>IF(OR(O367="Rupture",O367="À commander"),COUNTIF($O$5:O367,"Rupture")+COUNTIF($O$5:O367,"À commander"),"")</f>
        <v/>
      </c>
    </row>
    <row r="368">
      <c r="A368" s="37" t="n"/>
      <c r="B368" s="37" t="n"/>
      <c r="C368" s="37" t="n"/>
      <c r="D368" s="37" t="n"/>
      <c r="E368" s="37" t="n"/>
      <c r="F368" s="37" t="n"/>
      <c r="G368" s="38" t="n"/>
      <c r="H368" s="37" t="n"/>
      <c r="I368" s="37" t="n"/>
      <c r="J368" s="37" t="n"/>
      <c r="K368" s="39" t="str">
        <f>IF(A368="","",SUMIFS(mv_qty,mv_ref,A368,mv_type,"Entrée"))</f>
        <v/>
      </c>
      <c r="L368" s="39" t="str">
        <f>IF(A368="","",SUMIFS(mv_qty,mv_ref,A368,mv_type,"Sortie"))</f>
        <v/>
      </c>
      <c r="M368" s="39" t="str">
        <f>IF(A368="","",ROUND(N(H368)+K368-L368,6))</f>
        <v/>
      </c>
      <c r="N368" s="40" t="str">
        <f>IF(A368="","",M368*N(G368))</f>
        <v/>
      </c>
      <c r="O368" s="39" t="str">
        <f>IF(A368="","",IF(M368&lt;=0,"Rupture",IF(AND(I368&lt;&gt;"",M368&lt;=N(I368)),"À commander","OK")))</f>
        <v/>
      </c>
      <c r="P368" s="39" t="str">
        <f>IF(OR(A368="",O368="OK",J368=""),"",MAX(N(J368)-M368,0))</f>
        <v/>
      </c>
      <c r="Q368" s="39" t="str">
        <f>IF(A368="",IF(COUNTA(B368:J368)&gt;0,"Référence manquante",""),IF(COUNTIF($A$5:$A$1004,A368)&gt;1,"Référence en double",IF(B368="","Désignation manquante","OK")))</f>
        <v/>
      </c>
      <c r="R368" s="39" t="str">
        <f>IF(OR(O368="Rupture",O368="À commander"),COUNTIF($O$5:O368,"Rupture")+COUNTIF($O$5:O368,"À commander"),"")</f>
        <v/>
      </c>
    </row>
    <row r="369">
      <c r="A369" s="37" t="n"/>
      <c r="B369" s="37" t="n"/>
      <c r="C369" s="37" t="n"/>
      <c r="D369" s="37" t="n"/>
      <c r="E369" s="37" t="n"/>
      <c r="F369" s="37" t="n"/>
      <c r="G369" s="38" t="n"/>
      <c r="H369" s="37" t="n"/>
      <c r="I369" s="37" t="n"/>
      <c r="J369" s="37" t="n"/>
      <c r="K369" s="39" t="str">
        <f>IF(A369="","",SUMIFS(mv_qty,mv_ref,A369,mv_type,"Entrée"))</f>
        <v/>
      </c>
      <c r="L369" s="39" t="str">
        <f>IF(A369="","",SUMIFS(mv_qty,mv_ref,A369,mv_type,"Sortie"))</f>
        <v/>
      </c>
      <c r="M369" s="39" t="str">
        <f>IF(A369="","",ROUND(N(H369)+K369-L369,6))</f>
        <v/>
      </c>
      <c r="N369" s="40" t="str">
        <f>IF(A369="","",M369*N(G369))</f>
        <v/>
      </c>
      <c r="O369" s="39" t="str">
        <f>IF(A369="","",IF(M369&lt;=0,"Rupture",IF(AND(I369&lt;&gt;"",M369&lt;=N(I369)),"À commander","OK")))</f>
        <v/>
      </c>
      <c r="P369" s="39" t="str">
        <f>IF(OR(A369="",O369="OK",J369=""),"",MAX(N(J369)-M369,0))</f>
        <v/>
      </c>
      <c r="Q369" s="39" t="str">
        <f>IF(A369="",IF(COUNTA(B369:J369)&gt;0,"Référence manquante",""),IF(COUNTIF($A$5:$A$1004,A369)&gt;1,"Référence en double",IF(B369="","Désignation manquante","OK")))</f>
        <v/>
      </c>
      <c r="R369" s="39" t="str">
        <f>IF(OR(O369="Rupture",O369="À commander"),COUNTIF($O$5:O369,"Rupture")+COUNTIF($O$5:O369,"À commander"),"")</f>
        <v/>
      </c>
    </row>
    <row r="370">
      <c r="A370" s="37" t="n"/>
      <c r="B370" s="37" t="n"/>
      <c r="C370" s="37" t="n"/>
      <c r="D370" s="37" t="n"/>
      <c r="E370" s="37" t="n"/>
      <c r="F370" s="37" t="n"/>
      <c r="G370" s="38" t="n"/>
      <c r="H370" s="37" t="n"/>
      <c r="I370" s="37" t="n"/>
      <c r="J370" s="37" t="n"/>
      <c r="K370" s="39" t="str">
        <f>IF(A370="","",SUMIFS(mv_qty,mv_ref,A370,mv_type,"Entrée"))</f>
        <v/>
      </c>
      <c r="L370" s="39" t="str">
        <f>IF(A370="","",SUMIFS(mv_qty,mv_ref,A370,mv_type,"Sortie"))</f>
        <v/>
      </c>
      <c r="M370" s="39" t="str">
        <f>IF(A370="","",ROUND(N(H370)+K370-L370,6))</f>
        <v/>
      </c>
      <c r="N370" s="40" t="str">
        <f>IF(A370="","",M370*N(G370))</f>
        <v/>
      </c>
      <c r="O370" s="39" t="str">
        <f>IF(A370="","",IF(M370&lt;=0,"Rupture",IF(AND(I370&lt;&gt;"",M370&lt;=N(I370)),"À commander","OK")))</f>
        <v/>
      </c>
      <c r="P370" s="39" t="str">
        <f>IF(OR(A370="",O370="OK",J370=""),"",MAX(N(J370)-M370,0))</f>
        <v/>
      </c>
      <c r="Q370" s="39" t="str">
        <f>IF(A370="",IF(COUNTA(B370:J370)&gt;0,"Référence manquante",""),IF(COUNTIF($A$5:$A$1004,A370)&gt;1,"Référence en double",IF(B370="","Désignation manquante","OK")))</f>
        <v/>
      </c>
      <c r="R370" s="39" t="str">
        <f>IF(OR(O370="Rupture",O370="À commander"),COUNTIF($O$5:O370,"Rupture")+COUNTIF($O$5:O370,"À commander"),"")</f>
        <v/>
      </c>
    </row>
    <row r="371">
      <c r="A371" s="37" t="n"/>
      <c r="B371" s="37" t="n"/>
      <c r="C371" s="37" t="n"/>
      <c r="D371" s="37" t="n"/>
      <c r="E371" s="37" t="n"/>
      <c r="F371" s="37" t="n"/>
      <c r="G371" s="38" t="n"/>
      <c r="H371" s="37" t="n"/>
      <c r="I371" s="37" t="n"/>
      <c r="J371" s="37" t="n"/>
      <c r="K371" s="39" t="str">
        <f>IF(A371="","",SUMIFS(mv_qty,mv_ref,A371,mv_type,"Entrée"))</f>
        <v/>
      </c>
      <c r="L371" s="39" t="str">
        <f>IF(A371="","",SUMIFS(mv_qty,mv_ref,A371,mv_type,"Sortie"))</f>
        <v/>
      </c>
      <c r="M371" s="39" t="str">
        <f>IF(A371="","",ROUND(N(H371)+K371-L371,6))</f>
        <v/>
      </c>
      <c r="N371" s="40" t="str">
        <f>IF(A371="","",M371*N(G371))</f>
        <v/>
      </c>
      <c r="O371" s="39" t="str">
        <f>IF(A371="","",IF(M371&lt;=0,"Rupture",IF(AND(I371&lt;&gt;"",M371&lt;=N(I371)),"À commander","OK")))</f>
        <v/>
      </c>
      <c r="P371" s="39" t="str">
        <f>IF(OR(A371="",O371="OK",J371=""),"",MAX(N(J371)-M371,0))</f>
        <v/>
      </c>
      <c r="Q371" s="39" t="str">
        <f>IF(A371="",IF(COUNTA(B371:J371)&gt;0,"Référence manquante",""),IF(COUNTIF($A$5:$A$1004,A371)&gt;1,"Référence en double",IF(B371="","Désignation manquante","OK")))</f>
        <v/>
      </c>
      <c r="R371" s="39" t="str">
        <f>IF(OR(O371="Rupture",O371="À commander"),COUNTIF($O$5:O371,"Rupture")+COUNTIF($O$5:O371,"À commander"),"")</f>
        <v/>
      </c>
    </row>
    <row r="372">
      <c r="A372" s="37" t="n"/>
      <c r="B372" s="37" t="n"/>
      <c r="C372" s="37" t="n"/>
      <c r="D372" s="37" t="n"/>
      <c r="E372" s="37" t="n"/>
      <c r="F372" s="37" t="n"/>
      <c r="G372" s="38" t="n"/>
      <c r="H372" s="37" t="n"/>
      <c r="I372" s="37" t="n"/>
      <c r="J372" s="37" t="n"/>
      <c r="K372" s="39" t="str">
        <f>IF(A372="","",SUMIFS(mv_qty,mv_ref,A372,mv_type,"Entrée"))</f>
        <v/>
      </c>
      <c r="L372" s="39" t="str">
        <f>IF(A372="","",SUMIFS(mv_qty,mv_ref,A372,mv_type,"Sortie"))</f>
        <v/>
      </c>
      <c r="M372" s="39" t="str">
        <f>IF(A372="","",ROUND(N(H372)+K372-L372,6))</f>
        <v/>
      </c>
      <c r="N372" s="40" t="str">
        <f>IF(A372="","",M372*N(G372))</f>
        <v/>
      </c>
      <c r="O372" s="39" t="str">
        <f>IF(A372="","",IF(M372&lt;=0,"Rupture",IF(AND(I372&lt;&gt;"",M372&lt;=N(I372)),"À commander","OK")))</f>
        <v/>
      </c>
      <c r="P372" s="39" t="str">
        <f>IF(OR(A372="",O372="OK",J372=""),"",MAX(N(J372)-M372,0))</f>
        <v/>
      </c>
      <c r="Q372" s="39" t="str">
        <f>IF(A372="",IF(COUNTA(B372:J372)&gt;0,"Référence manquante",""),IF(COUNTIF($A$5:$A$1004,A372)&gt;1,"Référence en double",IF(B372="","Désignation manquante","OK")))</f>
        <v/>
      </c>
      <c r="R372" s="39" t="str">
        <f>IF(OR(O372="Rupture",O372="À commander"),COUNTIF($O$5:O372,"Rupture")+COUNTIF($O$5:O372,"À commander"),"")</f>
        <v/>
      </c>
    </row>
    <row r="373">
      <c r="A373" s="37" t="n"/>
      <c r="B373" s="37" t="n"/>
      <c r="C373" s="37" t="n"/>
      <c r="D373" s="37" t="n"/>
      <c r="E373" s="37" t="n"/>
      <c r="F373" s="37" t="n"/>
      <c r="G373" s="38" t="n"/>
      <c r="H373" s="37" t="n"/>
      <c r="I373" s="37" t="n"/>
      <c r="J373" s="37" t="n"/>
      <c r="K373" s="39" t="str">
        <f>IF(A373="","",SUMIFS(mv_qty,mv_ref,A373,mv_type,"Entrée"))</f>
        <v/>
      </c>
      <c r="L373" s="39" t="str">
        <f>IF(A373="","",SUMIFS(mv_qty,mv_ref,A373,mv_type,"Sortie"))</f>
        <v/>
      </c>
      <c r="M373" s="39" t="str">
        <f>IF(A373="","",ROUND(N(H373)+K373-L373,6))</f>
        <v/>
      </c>
      <c r="N373" s="40" t="str">
        <f>IF(A373="","",M373*N(G373))</f>
        <v/>
      </c>
      <c r="O373" s="39" t="str">
        <f>IF(A373="","",IF(M373&lt;=0,"Rupture",IF(AND(I373&lt;&gt;"",M373&lt;=N(I373)),"À commander","OK")))</f>
        <v/>
      </c>
      <c r="P373" s="39" t="str">
        <f>IF(OR(A373="",O373="OK",J373=""),"",MAX(N(J373)-M373,0))</f>
        <v/>
      </c>
      <c r="Q373" s="39" t="str">
        <f>IF(A373="",IF(COUNTA(B373:J373)&gt;0,"Référence manquante",""),IF(COUNTIF($A$5:$A$1004,A373)&gt;1,"Référence en double",IF(B373="","Désignation manquante","OK")))</f>
        <v/>
      </c>
      <c r="R373" s="39" t="str">
        <f>IF(OR(O373="Rupture",O373="À commander"),COUNTIF($O$5:O373,"Rupture")+COUNTIF($O$5:O373,"À commander"),"")</f>
        <v/>
      </c>
    </row>
    <row r="374">
      <c r="A374" s="37" t="n"/>
      <c r="B374" s="37" t="n"/>
      <c r="C374" s="37" t="n"/>
      <c r="D374" s="37" t="n"/>
      <c r="E374" s="37" t="n"/>
      <c r="F374" s="37" t="n"/>
      <c r="G374" s="38" t="n"/>
      <c r="H374" s="37" t="n"/>
      <c r="I374" s="37" t="n"/>
      <c r="J374" s="37" t="n"/>
      <c r="K374" s="39" t="str">
        <f>IF(A374="","",SUMIFS(mv_qty,mv_ref,A374,mv_type,"Entrée"))</f>
        <v/>
      </c>
      <c r="L374" s="39" t="str">
        <f>IF(A374="","",SUMIFS(mv_qty,mv_ref,A374,mv_type,"Sortie"))</f>
        <v/>
      </c>
      <c r="M374" s="39" t="str">
        <f>IF(A374="","",ROUND(N(H374)+K374-L374,6))</f>
        <v/>
      </c>
      <c r="N374" s="40" t="str">
        <f>IF(A374="","",M374*N(G374))</f>
        <v/>
      </c>
      <c r="O374" s="39" t="str">
        <f>IF(A374="","",IF(M374&lt;=0,"Rupture",IF(AND(I374&lt;&gt;"",M374&lt;=N(I374)),"À commander","OK")))</f>
        <v/>
      </c>
      <c r="P374" s="39" t="str">
        <f>IF(OR(A374="",O374="OK",J374=""),"",MAX(N(J374)-M374,0))</f>
        <v/>
      </c>
      <c r="Q374" s="39" t="str">
        <f>IF(A374="",IF(COUNTA(B374:J374)&gt;0,"Référence manquante",""),IF(COUNTIF($A$5:$A$1004,A374)&gt;1,"Référence en double",IF(B374="","Désignation manquante","OK")))</f>
        <v/>
      </c>
      <c r="R374" s="39" t="str">
        <f>IF(OR(O374="Rupture",O374="À commander"),COUNTIF($O$5:O374,"Rupture")+COUNTIF($O$5:O374,"À commander"),"")</f>
        <v/>
      </c>
    </row>
    <row r="375">
      <c r="A375" s="37" t="n"/>
      <c r="B375" s="37" t="n"/>
      <c r="C375" s="37" t="n"/>
      <c r="D375" s="37" t="n"/>
      <c r="E375" s="37" t="n"/>
      <c r="F375" s="37" t="n"/>
      <c r="G375" s="38" t="n"/>
      <c r="H375" s="37" t="n"/>
      <c r="I375" s="37" t="n"/>
      <c r="J375" s="37" t="n"/>
      <c r="K375" s="39" t="str">
        <f>IF(A375="","",SUMIFS(mv_qty,mv_ref,A375,mv_type,"Entrée"))</f>
        <v/>
      </c>
      <c r="L375" s="39" t="str">
        <f>IF(A375="","",SUMIFS(mv_qty,mv_ref,A375,mv_type,"Sortie"))</f>
        <v/>
      </c>
      <c r="M375" s="39" t="str">
        <f>IF(A375="","",ROUND(N(H375)+K375-L375,6))</f>
        <v/>
      </c>
      <c r="N375" s="40" t="str">
        <f>IF(A375="","",M375*N(G375))</f>
        <v/>
      </c>
      <c r="O375" s="39" t="str">
        <f>IF(A375="","",IF(M375&lt;=0,"Rupture",IF(AND(I375&lt;&gt;"",M375&lt;=N(I375)),"À commander","OK")))</f>
        <v/>
      </c>
      <c r="P375" s="39" t="str">
        <f>IF(OR(A375="",O375="OK",J375=""),"",MAX(N(J375)-M375,0))</f>
        <v/>
      </c>
      <c r="Q375" s="39" t="str">
        <f>IF(A375="",IF(COUNTA(B375:J375)&gt;0,"Référence manquante",""),IF(COUNTIF($A$5:$A$1004,A375)&gt;1,"Référence en double",IF(B375="","Désignation manquante","OK")))</f>
        <v/>
      </c>
      <c r="R375" s="39" t="str">
        <f>IF(OR(O375="Rupture",O375="À commander"),COUNTIF($O$5:O375,"Rupture")+COUNTIF($O$5:O375,"À commander"),"")</f>
        <v/>
      </c>
    </row>
    <row r="376">
      <c r="A376" s="37" t="n"/>
      <c r="B376" s="37" t="n"/>
      <c r="C376" s="37" t="n"/>
      <c r="D376" s="37" t="n"/>
      <c r="E376" s="37" t="n"/>
      <c r="F376" s="37" t="n"/>
      <c r="G376" s="38" t="n"/>
      <c r="H376" s="37" t="n"/>
      <c r="I376" s="37" t="n"/>
      <c r="J376" s="37" t="n"/>
      <c r="K376" s="39" t="str">
        <f>IF(A376="","",SUMIFS(mv_qty,mv_ref,A376,mv_type,"Entrée"))</f>
        <v/>
      </c>
      <c r="L376" s="39" t="str">
        <f>IF(A376="","",SUMIFS(mv_qty,mv_ref,A376,mv_type,"Sortie"))</f>
        <v/>
      </c>
      <c r="M376" s="39" t="str">
        <f>IF(A376="","",ROUND(N(H376)+K376-L376,6))</f>
        <v/>
      </c>
      <c r="N376" s="40" t="str">
        <f>IF(A376="","",M376*N(G376))</f>
        <v/>
      </c>
      <c r="O376" s="39" t="str">
        <f>IF(A376="","",IF(M376&lt;=0,"Rupture",IF(AND(I376&lt;&gt;"",M376&lt;=N(I376)),"À commander","OK")))</f>
        <v/>
      </c>
      <c r="P376" s="39" t="str">
        <f>IF(OR(A376="",O376="OK",J376=""),"",MAX(N(J376)-M376,0))</f>
        <v/>
      </c>
      <c r="Q376" s="39" t="str">
        <f>IF(A376="",IF(COUNTA(B376:J376)&gt;0,"Référence manquante",""),IF(COUNTIF($A$5:$A$1004,A376)&gt;1,"Référence en double",IF(B376="","Désignation manquante","OK")))</f>
        <v/>
      </c>
      <c r="R376" s="39" t="str">
        <f>IF(OR(O376="Rupture",O376="À commander"),COUNTIF($O$5:O376,"Rupture")+COUNTIF($O$5:O376,"À commander"),"")</f>
        <v/>
      </c>
    </row>
    <row r="377">
      <c r="A377" s="37" t="n"/>
      <c r="B377" s="37" t="n"/>
      <c r="C377" s="37" t="n"/>
      <c r="D377" s="37" t="n"/>
      <c r="E377" s="37" t="n"/>
      <c r="F377" s="37" t="n"/>
      <c r="G377" s="38" t="n"/>
      <c r="H377" s="37" t="n"/>
      <c r="I377" s="37" t="n"/>
      <c r="J377" s="37" t="n"/>
      <c r="K377" s="39" t="str">
        <f>IF(A377="","",SUMIFS(mv_qty,mv_ref,A377,mv_type,"Entrée"))</f>
        <v/>
      </c>
      <c r="L377" s="39" t="str">
        <f>IF(A377="","",SUMIFS(mv_qty,mv_ref,A377,mv_type,"Sortie"))</f>
        <v/>
      </c>
      <c r="M377" s="39" t="str">
        <f>IF(A377="","",ROUND(N(H377)+K377-L377,6))</f>
        <v/>
      </c>
      <c r="N377" s="40" t="str">
        <f>IF(A377="","",M377*N(G377))</f>
        <v/>
      </c>
      <c r="O377" s="39" t="str">
        <f>IF(A377="","",IF(M377&lt;=0,"Rupture",IF(AND(I377&lt;&gt;"",M377&lt;=N(I377)),"À commander","OK")))</f>
        <v/>
      </c>
      <c r="P377" s="39" t="str">
        <f>IF(OR(A377="",O377="OK",J377=""),"",MAX(N(J377)-M377,0))</f>
        <v/>
      </c>
      <c r="Q377" s="39" t="str">
        <f>IF(A377="",IF(COUNTA(B377:J377)&gt;0,"Référence manquante",""),IF(COUNTIF($A$5:$A$1004,A377)&gt;1,"Référence en double",IF(B377="","Désignation manquante","OK")))</f>
        <v/>
      </c>
      <c r="R377" s="39" t="str">
        <f>IF(OR(O377="Rupture",O377="À commander"),COUNTIF($O$5:O377,"Rupture")+COUNTIF($O$5:O377,"À commander"),"")</f>
        <v/>
      </c>
    </row>
    <row r="378">
      <c r="A378" s="37" t="n"/>
      <c r="B378" s="37" t="n"/>
      <c r="C378" s="37" t="n"/>
      <c r="D378" s="37" t="n"/>
      <c r="E378" s="37" t="n"/>
      <c r="F378" s="37" t="n"/>
      <c r="G378" s="38" t="n"/>
      <c r="H378" s="37" t="n"/>
      <c r="I378" s="37" t="n"/>
      <c r="J378" s="37" t="n"/>
      <c r="K378" s="39" t="str">
        <f>IF(A378="","",SUMIFS(mv_qty,mv_ref,A378,mv_type,"Entrée"))</f>
        <v/>
      </c>
      <c r="L378" s="39" t="str">
        <f>IF(A378="","",SUMIFS(mv_qty,mv_ref,A378,mv_type,"Sortie"))</f>
        <v/>
      </c>
      <c r="M378" s="39" t="str">
        <f>IF(A378="","",ROUND(N(H378)+K378-L378,6))</f>
        <v/>
      </c>
      <c r="N378" s="40" t="str">
        <f>IF(A378="","",M378*N(G378))</f>
        <v/>
      </c>
      <c r="O378" s="39" t="str">
        <f>IF(A378="","",IF(M378&lt;=0,"Rupture",IF(AND(I378&lt;&gt;"",M378&lt;=N(I378)),"À commander","OK")))</f>
        <v/>
      </c>
      <c r="P378" s="39" t="str">
        <f>IF(OR(A378="",O378="OK",J378=""),"",MAX(N(J378)-M378,0))</f>
        <v/>
      </c>
      <c r="Q378" s="39" t="str">
        <f>IF(A378="",IF(COUNTA(B378:J378)&gt;0,"Référence manquante",""),IF(COUNTIF($A$5:$A$1004,A378)&gt;1,"Référence en double",IF(B378="","Désignation manquante","OK")))</f>
        <v/>
      </c>
      <c r="R378" s="39" t="str">
        <f>IF(OR(O378="Rupture",O378="À commander"),COUNTIF($O$5:O378,"Rupture")+COUNTIF($O$5:O378,"À commander"),"")</f>
        <v/>
      </c>
    </row>
    <row r="379">
      <c r="A379" s="37" t="n"/>
      <c r="B379" s="37" t="n"/>
      <c r="C379" s="37" t="n"/>
      <c r="D379" s="37" t="n"/>
      <c r="E379" s="37" t="n"/>
      <c r="F379" s="37" t="n"/>
      <c r="G379" s="38" t="n"/>
      <c r="H379" s="37" t="n"/>
      <c r="I379" s="37" t="n"/>
      <c r="J379" s="37" t="n"/>
      <c r="K379" s="39" t="str">
        <f>IF(A379="","",SUMIFS(mv_qty,mv_ref,A379,mv_type,"Entrée"))</f>
        <v/>
      </c>
      <c r="L379" s="39" t="str">
        <f>IF(A379="","",SUMIFS(mv_qty,mv_ref,A379,mv_type,"Sortie"))</f>
        <v/>
      </c>
      <c r="M379" s="39" t="str">
        <f>IF(A379="","",ROUND(N(H379)+K379-L379,6))</f>
        <v/>
      </c>
      <c r="N379" s="40" t="str">
        <f>IF(A379="","",M379*N(G379))</f>
        <v/>
      </c>
      <c r="O379" s="39" t="str">
        <f>IF(A379="","",IF(M379&lt;=0,"Rupture",IF(AND(I379&lt;&gt;"",M379&lt;=N(I379)),"À commander","OK")))</f>
        <v/>
      </c>
      <c r="P379" s="39" t="str">
        <f>IF(OR(A379="",O379="OK",J379=""),"",MAX(N(J379)-M379,0))</f>
        <v/>
      </c>
      <c r="Q379" s="39" t="str">
        <f>IF(A379="",IF(COUNTA(B379:J379)&gt;0,"Référence manquante",""),IF(COUNTIF($A$5:$A$1004,A379)&gt;1,"Référence en double",IF(B379="","Désignation manquante","OK")))</f>
        <v/>
      </c>
      <c r="R379" s="39" t="str">
        <f>IF(OR(O379="Rupture",O379="À commander"),COUNTIF($O$5:O379,"Rupture")+COUNTIF($O$5:O379,"À commander"),"")</f>
        <v/>
      </c>
    </row>
    <row r="380">
      <c r="A380" s="37" t="n"/>
      <c r="B380" s="37" t="n"/>
      <c r="C380" s="37" t="n"/>
      <c r="D380" s="37" t="n"/>
      <c r="E380" s="37" t="n"/>
      <c r="F380" s="37" t="n"/>
      <c r="G380" s="38" t="n"/>
      <c r="H380" s="37" t="n"/>
      <c r="I380" s="37" t="n"/>
      <c r="J380" s="37" t="n"/>
      <c r="K380" s="39" t="str">
        <f>IF(A380="","",SUMIFS(mv_qty,mv_ref,A380,mv_type,"Entrée"))</f>
        <v/>
      </c>
      <c r="L380" s="39" t="str">
        <f>IF(A380="","",SUMIFS(mv_qty,mv_ref,A380,mv_type,"Sortie"))</f>
        <v/>
      </c>
      <c r="M380" s="39" t="str">
        <f>IF(A380="","",ROUND(N(H380)+K380-L380,6))</f>
        <v/>
      </c>
      <c r="N380" s="40" t="str">
        <f>IF(A380="","",M380*N(G380))</f>
        <v/>
      </c>
      <c r="O380" s="39" t="str">
        <f>IF(A380="","",IF(M380&lt;=0,"Rupture",IF(AND(I380&lt;&gt;"",M380&lt;=N(I380)),"À commander","OK")))</f>
        <v/>
      </c>
      <c r="P380" s="39" t="str">
        <f>IF(OR(A380="",O380="OK",J380=""),"",MAX(N(J380)-M380,0))</f>
        <v/>
      </c>
      <c r="Q380" s="39" t="str">
        <f>IF(A380="",IF(COUNTA(B380:J380)&gt;0,"Référence manquante",""),IF(COUNTIF($A$5:$A$1004,A380)&gt;1,"Référence en double",IF(B380="","Désignation manquante","OK")))</f>
        <v/>
      </c>
      <c r="R380" s="39" t="str">
        <f>IF(OR(O380="Rupture",O380="À commander"),COUNTIF($O$5:O380,"Rupture")+COUNTIF($O$5:O380,"À commander"),"")</f>
        <v/>
      </c>
    </row>
    <row r="381">
      <c r="A381" s="37" t="n"/>
      <c r="B381" s="37" t="n"/>
      <c r="C381" s="37" t="n"/>
      <c r="D381" s="37" t="n"/>
      <c r="E381" s="37" t="n"/>
      <c r="F381" s="37" t="n"/>
      <c r="G381" s="38" t="n"/>
      <c r="H381" s="37" t="n"/>
      <c r="I381" s="37" t="n"/>
      <c r="J381" s="37" t="n"/>
      <c r="K381" s="39" t="str">
        <f>IF(A381="","",SUMIFS(mv_qty,mv_ref,A381,mv_type,"Entrée"))</f>
        <v/>
      </c>
      <c r="L381" s="39" t="str">
        <f>IF(A381="","",SUMIFS(mv_qty,mv_ref,A381,mv_type,"Sortie"))</f>
        <v/>
      </c>
      <c r="M381" s="39" t="str">
        <f>IF(A381="","",ROUND(N(H381)+K381-L381,6))</f>
        <v/>
      </c>
      <c r="N381" s="40" t="str">
        <f>IF(A381="","",M381*N(G381))</f>
        <v/>
      </c>
      <c r="O381" s="39" t="str">
        <f>IF(A381="","",IF(M381&lt;=0,"Rupture",IF(AND(I381&lt;&gt;"",M381&lt;=N(I381)),"À commander","OK")))</f>
        <v/>
      </c>
      <c r="P381" s="39" t="str">
        <f>IF(OR(A381="",O381="OK",J381=""),"",MAX(N(J381)-M381,0))</f>
        <v/>
      </c>
      <c r="Q381" s="39" t="str">
        <f>IF(A381="",IF(COUNTA(B381:J381)&gt;0,"Référence manquante",""),IF(COUNTIF($A$5:$A$1004,A381)&gt;1,"Référence en double",IF(B381="","Désignation manquante","OK")))</f>
        <v/>
      </c>
      <c r="R381" s="39" t="str">
        <f>IF(OR(O381="Rupture",O381="À commander"),COUNTIF($O$5:O381,"Rupture")+COUNTIF($O$5:O381,"À commander"),"")</f>
        <v/>
      </c>
    </row>
    <row r="382">
      <c r="A382" s="37" t="n"/>
      <c r="B382" s="37" t="n"/>
      <c r="C382" s="37" t="n"/>
      <c r="D382" s="37" t="n"/>
      <c r="E382" s="37" t="n"/>
      <c r="F382" s="37" t="n"/>
      <c r="G382" s="38" t="n"/>
      <c r="H382" s="37" t="n"/>
      <c r="I382" s="37" t="n"/>
      <c r="J382" s="37" t="n"/>
      <c r="K382" s="39" t="str">
        <f>IF(A382="","",SUMIFS(mv_qty,mv_ref,A382,mv_type,"Entrée"))</f>
        <v/>
      </c>
      <c r="L382" s="39" t="str">
        <f>IF(A382="","",SUMIFS(mv_qty,mv_ref,A382,mv_type,"Sortie"))</f>
        <v/>
      </c>
      <c r="M382" s="39" t="str">
        <f>IF(A382="","",ROUND(N(H382)+K382-L382,6))</f>
        <v/>
      </c>
      <c r="N382" s="40" t="str">
        <f>IF(A382="","",M382*N(G382))</f>
        <v/>
      </c>
      <c r="O382" s="39" t="str">
        <f>IF(A382="","",IF(M382&lt;=0,"Rupture",IF(AND(I382&lt;&gt;"",M382&lt;=N(I382)),"À commander","OK")))</f>
        <v/>
      </c>
      <c r="P382" s="39" t="str">
        <f>IF(OR(A382="",O382="OK",J382=""),"",MAX(N(J382)-M382,0))</f>
        <v/>
      </c>
      <c r="Q382" s="39" t="str">
        <f>IF(A382="",IF(COUNTA(B382:J382)&gt;0,"Référence manquante",""),IF(COUNTIF($A$5:$A$1004,A382)&gt;1,"Référence en double",IF(B382="","Désignation manquante","OK")))</f>
        <v/>
      </c>
      <c r="R382" s="39" t="str">
        <f>IF(OR(O382="Rupture",O382="À commander"),COUNTIF($O$5:O382,"Rupture")+COUNTIF($O$5:O382,"À commander"),"")</f>
        <v/>
      </c>
    </row>
    <row r="383">
      <c r="A383" s="37" t="n"/>
      <c r="B383" s="37" t="n"/>
      <c r="C383" s="37" t="n"/>
      <c r="D383" s="37" t="n"/>
      <c r="E383" s="37" t="n"/>
      <c r="F383" s="37" t="n"/>
      <c r="G383" s="38" t="n"/>
      <c r="H383" s="37" t="n"/>
      <c r="I383" s="37" t="n"/>
      <c r="J383" s="37" t="n"/>
      <c r="K383" s="39" t="str">
        <f>IF(A383="","",SUMIFS(mv_qty,mv_ref,A383,mv_type,"Entrée"))</f>
        <v/>
      </c>
      <c r="L383" s="39" t="str">
        <f>IF(A383="","",SUMIFS(mv_qty,mv_ref,A383,mv_type,"Sortie"))</f>
        <v/>
      </c>
      <c r="M383" s="39" t="str">
        <f>IF(A383="","",ROUND(N(H383)+K383-L383,6))</f>
        <v/>
      </c>
      <c r="N383" s="40" t="str">
        <f>IF(A383="","",M383*N(G383))</f>
        <v/>
      </c>
      <c r="O383" s="39" t="str">
        <f>IF(A383="","",IF(M383&lt;=0,"Rupture",IF(AND(I383&lt;&gt;"",M383&lt;=N(I383)),"À commander","OK")))</f>
        <v/>
      </c>
      <c r="P383" s="39" t="str">
        <f>IF(OR(A383="",O383="OK",J383=""),"",MAX(N(J383)-M383,0))</f>
        <v/>
      </c>
      <c r="Q383" s="39" t="str">
        <f>IF(A383="",IF(COUNTA(B383:J383)&gt;0,"Référence manquante",""),IF(COUNTIF($A$5:$A$1004,A383)&gt;1,"Référence en double",IF(B383="","Désignation manquante","OK")))</f>
        <v/>
      </c>
      <c r="R383" s="39" t="str">
        <f>IF(OR(O383="Rupture",O383="À commander"),COUNTIF($O$5:O383,"Rupture")+COUNTIF($O$5:O383,"À commander"),"")</f>
        <v/>
      </c>
    </row>
    <row r="384">
      <c r="A384" s="37" t="n"/>
      <c r="B384" s="37" t="n"/>
      <c r="C384" s="37" t="n"/>
      <c r="D384" s="37" t="n"/>
      <c r="E384" s="37" t="n"/>
      <c r="F384" s="37" t="n"/>
      <c r="G384" s="38" t="n"/>
      <c r="H384" s="37" t="n"/>
      <c r="I384" s="37" t="n"/>
      <c r="J384" s="37" t="n"/>
      <c r="K384" s="39" t="str">
        <f>IF(A384="","",SUMIFS(mv_qty,mv_ref,A384,mv_type,"Entrée"))</f>
        <v/>
      </c>
      <c r="L384" s="39" t="str">
        <f>IF(A384="","",SUMIFS(mv_qty,mv_ref,A384,mv_type,"Sortie"))</f>
        <v/>
      </c>
      <c r="M384" s="39" t="str">
        <f>IF(A384="","",ROUND(N(H384)+K384-L384,6))</f>
        <v/>
      </c>
      <c r="N384" s="40" t="str">
        <f>IF(A384="","",M384*N(G384))</f>
        <v/>
      </c>
      <c r="O384" s="39" t="str">
        <f>IF(A384="","",IF(M384&lt;=0,"Rupture",IF(AND(I384&lt;&gt;"",M384&lt;=N(I384)),"À commander","OK")))</f>
        <v/>
      </c>
      <c r="P384" s="39" t="str">
        <f>IF(OR(A384="",O384="OK",J384=""),"",MAX(N(J384)-M384,0))</f>
        <v/>
      </c>
      <c r="Q384" s="39" t="str">
        <f>IF(A384="",IF(COUNTA(B384:J384)&gt;0,"Référence manquante",""),IF(COUNTIF($A$5:$A$1004,A384)&gt;1,"Référence en double",IF(B384="","Désignation manquante","OK")))</f>
        <v/>
      </c>
      <c r="R384" s="39" t="str">
        <f>IF(OR(O384="Rupture",O384="À commander"),COUNTIF($O$5:O384,"Rupture")+COUNTIF($O$5:O384,"À commander"),"")</f>
        <v/>
      </c>
    </row>
    <row r="385">
      <c r="A385" s="37" t="n"/>
      <c r="B385" s="37" t="n"/>
      <c r="C385" s="37" t="n"/>
      <c r="D385" s="37" t="n"/>
      <c r="E385" s="37" t="n"/>
      <c r="F385" s="37" t="n"/>
      <c r="G385" s="38" t="n"/>
      <c r="H385" s="37" t="n"/>
      <c r="I385" s="37" t="n"/>
      <c r="J385" s="37" t="n"/>
      <c r="K385" s="39" t="str">
        <f>IF(A385="","",SUMIFS(mv_qty,mv_ref,A385,mv_type,"Entrée"))</f>
        <v/>
      </c>
      <c r="L385" s="39" t="str">
        <f>IF(A385="","",SUMIFS(mv_qty,mv_ref,A385,mv_type,"Sortie"))</f>
        <v/>
      </c>
      <c r="M385" s="39" t="str">
        <f>IF(A385="","",ROUND(N(H385)+K385-L385,6))</f>
        <v/>
      </c>
      <c r="N385" s="40" t="str">
        <f>IF(A385="","",M385*N(G385))</f>
        <v/>
      </c>
      <c r="O385" s="39" t="str">
        <f>IF(A385="","",IF(M385&lt;=0,"Rupture",IF(AND(I385&lt;&gt;"",M385&lt;=N(I385)),"À commander","OK")))</f>
        <v/>
      </c>
      <c r="P385" s="39" t="str">
        <f>IF(OR(A385="",O385="OK",J385=""),"",MAX(N(J385)-M385,0))</f>
        <v/>
      </c>
      <c r="Q385" s="39" t="str">
        <f>IF(A385="",IF(COUNTA(B385:J385)&gt;0,"Référence manquante",""),IF(COUNTIF($A$5:$A$1004,A385)&gt;1,"Référence en double",IF(B385="","Désignation manquante","OK")))</f>
        <v/>
      </c>
      <c r="R385" s="39" t="str">
        <f>IF(OR(O385="Rupture",O385="À commander"),COUNTIF($O$5:O385,"Rupture")+COUNTIF($O$5:O385,"À commander"),"")</f>
        <v/>
      </c>
    </row>
    <row r="386">
      <c r="A386" s="37" t="n"/>
      <c r="B386" s="37" t="n"/>
      <c r="C386" s="37" t="n"/>
      <c r="D386" s="37" t="n"/>
      <c r="E386" s="37" t="n"/>
      <c r="F386" s="37" t="n"/>
      <c r="G386" s="38" t="n"/>
      <c r="H386" s="37" t="n"/>
      <c r="I386" s="37" t="n"/>
      <c r="J386" s="37" t="n"/>
      <c r="K386" s="39" t="str">
        <f>IF(A386="","",SUMIFS(mv_qty,mv_ref,A386,mv_type,"Entrée"))</f>
        <v/>
      </c>
      <c r="L386" s="39" t="str">
        <f>IF(A386="","",SUMIFS(mv_qty,mv_ref,A386,mv_type,"Sortie"))</f>
        <v/>
      </c>
      <c r="M386" s="39" t="str">
        <f>IF(A386="","",ROUND(N(H386)+K386-L386,6))</f>
        <v/>
      </c>
      <c r="N386" s="40" t="str">
        <f>IF(A386="","",M386*N(G386))</f>
        <v/>
      </c>
      <c r="O386" s="39" t="str">
        <f>IF(A386="","",IF(M386&lt;=0,"Rupture",IF(AND(I386&lt;&gt;"",M386&lt;=N(I386)),"À commander","OK")))</f>
        <v/>
      </c>
      <c r="P386" s="39" t="str">
        <f>IF(OR(A386="",O386="OK",J386=""),"",MAX(N(J386)-M386,0))</f>
        <v/>
      </c>
      <c r="Q386" s="39" t="str">
        <f>IF(A386="",IF(COUNTA(B386:J386)&gt;0,"Référence manquante",""),IF(COUNTIF($A$5:$A$1004,A386)&gt;1,"Référence en double",IF(B386="","Désignation manquante","OK")))</f>
        <v/>
      </c>
      <c r="R386" s="39" t="str">
        <f>IF(OR(O386="Rupture",O386="À commander"),COUNTIF($O$5:O386,"Rupture")+COUNTIF($O$5:O386,"À commander"),"")</f>
        <v/>
      </c>
    </row>
    <row r="387">
      <c r="A387" s="37" t="n"/>
      <c r="B387" s="37" t="n"/>
      <c r="C387" s="37" t="n"/>
      <c r="D387" s="37" t="n"/>
      <c r="E387" s="37" t="n"/>
      <c r="F387" s="37" t="n"/>
      <c r="G387" s="38" t="n"/>
      <c r="H387" s="37" t="n"/>
      <c r="I387" s="37" t="n"/>
      <c r="J387" s="37" t="n"/>
      <c r="K387" s="39" t="str">
        <f>IF(A387="","",SUMIFS(mv_qty,mv_ref,A387,mv_type,"Entrée"))</f>
        <v/>
      </c>
      <c r="L387" s="39" t="str">
        <f>IF(A387="","",SUMIFS(mv_qty,mv_ref,A387,mv_type,"Sortie"))</f>
        <v/>
      </c>
      <c r="M387" s="39" t="str">
        <f>IF(A387="","",ROUND(N(H387)+K387-L387,6))</f>
        <v/>
      </c>
      <c r="N387" s="40" t="str">
        <f>IF(A387="","",M387*N(G387))</f>
        <v/>
      </c>
      <c r="O387" s="39" t="str">
        <f>IF(A387="","",IF(M387&lt;=0,"Rupture",IF(AND(I387&lt;&gt;"",M387&lt;=N(I387)),"À commander","OK")))</f>
        <v/>
      </c>
      <c r="P387" s="39" t="str">
        <f>IF(OR(A387="",O387="OK",J387=""),"",MAX(N(J387)-M387,0))</f>
        <v/>
      </c>
      <c r="Q387" s="39" t="str">
        <f>IF(A387="",IF(COUNTA(B387:J387)&gt;0,"Référence manquante",""),IF(COUNTIF($A$5:$A$1004,A387)&gt;1,"Référence en double",IF(B387="","Désignation manquante","OK")))</f>
        <v/>
      </c>
      <c r="R387" s="39" t="str">
        <f>IF(OR(O387="Rupture",O387="À commander"),COUNTIF($O$5:O387,"Rupture")+COUNTIF($O$5:O387,"À commander"),"")</f>
        <v/>
      </c>
    </row>
    <row r="388">
      <c r="A388" s="37" t="n"/>
      <c r="B388" s="37" t="n"/>
      <c r="C388" s="37" t="n"/>
      <c r="D388" s="37" t="n"/>
      <c r="E388" s="37" t="n"/>
      <c r="F388" s="37" t="n"/>
      <c r="G388" s="38" t="n"/>
      <c r="H388" s="37" t="n"/>
      <c r="I388" s="37" t="n"/>
      <c r="J388" s="37" t="n"/>
      <c r="K388" s="39" t="str">
        <f>IF(A388="","",SUMIFS(mv_qty,mv_ref,A388,mv_type,"Entrée"))</f>
        <v/>
      </c>
      <c r="L388" s="39" t="str">
        <f>IF(A388="","",SUMIFS(mv_qty,mv_ref,A388,mv_type,"Sortie"))</f>
        <v/>
      </c>
      <c r="M388" s="39" t="str">
        <f>IF(A388="","",ROUND(N(H388)+K388-L388,6))</f>
        <v/>
      </c>
      <c r="N388" s="40" t="str">
        <f>IF(A388="","",M388*N(G388))</f>
        <v/>
      </c>
      <c r="O388" s="39" t="str">
        <f>IF(A388="","",IF(M388&lt;=0,"Rupture",IF(AND(I388&lt;&gt;"",M388&lt;=N(I388)),"À commander","OK")))</f>
        <v/>
      </c>
      <c r="P388" s="39" t="str">
        <f>IF(OR(A388="",O388="OK",J388=""),"",MAX(N(J388)-M388,0))</f>
        <v/>
      </c>
      <c r="Q388" s="39" t="str">
        <f>IF(A388="",IF(COUNTA(B388:J388)&gt;0,"Référence manquante",""),IF(COUNTIF($A$5:$A$1004,A388)&gt;1,"Référence en double",IF(B388="","Désignation manquante","OK")))</f>
        <v/>
      </c>
      <c r="R388" s="39" t="str">
        <f>IF(OR(O388="Rupture",O388="À commander"),COUNTIF($O$5:O388,"Rupture")+COUNTIF($O$5:O388,"À commander"),"")</f>
        <v/>
      </c>
    </row>
    <row r="389">
      <c r="A389" s="37" t="n"/>
      <c r="B389" s="37" t="n"/>
      <c r="C389" s="37" t="n"/>
      <c r="D389" s="37" t="n"/>
      <c r="E389" s="37" t="n"/>
      <c r="F389" s="37" t="n"/>
      <c r="G389" s="38" t="n"/>
      <c r="H389" s="37" t="n"/>
      <c r="I389" s="37" t="n"/>
      <c r="J389" s="37" t="n"/>
      <c r="K389" s="39" t="str">
        <f>IF(A389="","",SUMIFS(mv_qty,mv_ref,A389,mv_type,"Entrée"))</f>
        <v/>
      </c>
      <c r="L389" s="39" t="str">
        <f>IF(A389="","",SUMIFS(mv_qty,mv_ref,A389,mv_type,"Sortie"))</f>
        <v/>
      </c>
      <c r="M389" s="39" t="str">
        <f>IF(A389="","",ROUND(N(H389)+K389-L389,6))</f>
        <v/>
      </c>
      <c r="N389" s="40" t="str">
        <f>IF(A389="","",M389*N(G389))</f>
        <v/>
      </c>
      <c r="O389" s="39" t="str">
        <f>IF(A389="","",IF(M389&lt;=0,"Rupture",IF(AND(I389&lt;&gt;"",M389&lt;=N(I389)),"À commander","OK")))</f>
        <v/>
      </c>
      <c r="P389" s="39" t="str">
        <f>IF(OR(A389="",O389="OK",J389=""),"",MAX(N(J389)-M389,0))</f>
        <v/>
      </c>
      <c r="Q389" s="39" t="str">
        <f>IF(A389="",IF(COUNTA(B389:J389)&gt;0,"Référence manquante",""),IF(COUNTIF($A$5:$A$1004,A389)&gt;1,"Référence en double",IF(B389="","Désignation manquante","OK")))</f>
        <v/>
      </c>
      <c r="R389" s="39" t="str">
        <f>IF(OR(O389="Rupture",O389="À commander"),COUNTIF($O$5:O389,"Rupture")+COUNTIF($O$5:O389,"À commander"),"")</f>
        <v/>
      </c>
    </row>
    <row r="390">
      <c r="A390" s="37" t="n"/>
      <c r="B390" s="37" t="n"/>
      <c r="C390" s="37" t="n"/>
      <c r="D390" s="37" t="n"/>
      <c r="E390" s="37" t="n"/>
      <c r="F390" s="37" t="n"/>
      <c r="G390" s="38" t="n"/>
      <c r="H390" s="37" t="n"/>
      <c r="I390" s="37" t="n"/>
      <c r="J390" s="37" t="n"/>
      <c r="K390" s="39" t="str">
        <f>IF(A390="","",SUMIFS(mv_qty,mv_ref,A390,mv_type,"Entrée"))</f>
        <v/>
      </c>
      <c r="L390" s="39" t="str">
        <f>IF(A390="","",SUMIFS(mv_qty,mv_ref,A390,mv_type,"Sortie"))</f>
        <v/>
      </c>
      <c r="M390" s="39" t="str">
        <f>IF(A390="","",ROUND(N(H390)+K390-L390,6))</f>
        <v/>
      </c>
      <c r="N390" s="40" t="str">
        <f>IF(A390="","",M390*N(G390))</f>
        <v/>
      </c>
      <c r="O390" s="39" t="str">
        <f>IF(A390="","",IF(M390&lt;=0,"Rupture",IF(AND(I390&lt;&gt;"",M390&lt;=N(I390)),"À commander","OK")))</f>
        <v/>
      </c>
      <c r="P390" s="39" t="str">
        <f>IF(OR(A390="",O390="OK",J390=""),"",MAX(N(J390)-M390,0))</f>
        <v/>
      </c>
      <c r="Q390" s="39" t="str">
        <f>IF(A390="",IF(COUNTA(B390:J390)&gt;0,"Référence manquante",""),IF(COUNTIF($A$5:$A$1004,A390)&gt;1,"Référence en double",IF(B390="","Désignation manquante","OK")))</f>
        <v/>
      </c>
      <c r="R390" s="39" t="str">
        <f>IF(OR(O390="Rupture",O390="À commander"),COUNTIF($O$5:O390,"Rupture")+COUNTIF($O$5:O390,"À commander"),"")</f>
        <v/>
      </c>
    </row>
    <row r="391">
      <c r="A391" s="37" t="n"/>
      <c r="B391" s="37" t="n"/>
      <c r="C391" s="37" t="n"/>
      <c r="D391" s="37" t="n"/>
      <c r="E391" s="37" t="n"/>
      <c r="F391" s="37" t="n"/>
      <c r="G391" s="38" t="n"/>
      <c r="H391" s="37" t="n"/>
      <c r="I391" s="37" t="n"/>
      <c r="J391" s="37" t="n"/>
      <c r="K391" s="39" t="str">
        <f>IF(A391="","",SUMIFS(mv_qty,mv_ref,A391,mv_type,"Entrée"))</f>
        <v/>
      </c>
      <c r="L391" s="39" t="str">
        <f>IF(A391="","",SUMIFS(mv_qty,mv_ref,A391,mv_type,"Sortie"))</f>
        <v/>
      </c>
      <c r="M391" s="39" t="str">
        <f>IF(A391="","",ROUND(N(H391)+K391-L391,6))</f>
        <v/>
      </c>
      <c r="N391" s="40" t="str">
        <f>IF(A391="","",M391*N(G391))</f>
        <v/>
      </c>
      <c r="O391" s="39" t="str">
        <f>IF(A391="","",IF(M391&lt;=0,"Rupture",IF(AND(I391&lt;&gt;"",M391&lt;=N(I391)),"À commander","OK")))</f>
        <v/>
      </c>
      <c r="P391" s="39" t="str">
        <f>IF(OR(A391="",O391="OK",J391=""),"",MAX(N(J391)-M391,0))</f>
        <v/>
      </c>
      <c r="Q391" s="39" t="str">
        <f>IF(A391="",IF(COUNTA(B391:J391)&gt;0,"Référence manquante",""),IF(COUNTIF($A$5:$A$1004,A391)&gt;1,"Référence en double",IF(B391="","Désignation manquante","OK")))</f>
        <v/>
      </c>
      <c r="R391" s="39" t="str">
        <f>IF(OR(O391="Rupture",O391="À commander"),COUNTIF($O$5:O391,"Rupture")+COUNTIF($O$5:O391,"À commander"),"")</f>
        <v/>
      </c>
    </row>
    <row r="392">
      <c r="A392" s="37" t="n"/>
      <c r="B392" s="37" t="n"/>
      <c r="C392" s="37" t="n"/>
      <c r="D392" s="37" t="n"/>
      <c r="E392" s="37" t="n"/>
      <c r="F392" s="37" t="n"/>
      <c r="G392" s="38" t="n"/>
      <c r="H392" s="37" t="n"/>
      <c r="I392" s="37" t="n"/>
      <c r="J392" s="37" t="n"/>
      <c r="K392" s="39" t="str">
        <f>IF(A392="","",SUMIFS(mv_qty,mv_ref,A392,mv_type,"Entrée"))</f>
        <v/>
      </c>
      <c r="L392" s="39" t="str">
        <f>IF(A392="","",SUMIFS(mv_qty,mv_ref,A392,mv_type,"Sortie"))</f>
        <v/>
      </c>
      <c r="M392" s="39" t="str">
        <f>IF(A392="","",ROUND(N(H392)+K392-L392,6))</f>
        <v/>
      </c>
      <c r="N392" s="40" t="str">
        <f>IF(A392="","",M392*N(G392))</f>
        <v/>
      </c>
      <c r="O392" s="39" t="str">
        <f>IF(A392="","",IF(M392&lt;=0,"Rupture",IF(AND(I392&lt;&gt;"",M392&lt;=N(I392)),"À commander","OK")))</f>
        <v/>
      </c>
      <c r="P392" s="39" t="str">
        <f>IF(OR(A392="",O392="OK",J392=""),"",MAX(N(J392)-M392,0))</f>
        <v/>
      </c>
      <c r="Q392" s="39" t="str">
        <f>IF(A392="",IF(COUNTA(B392:J392)&gt;0,"Référence manquante",""),IF(COUNTIF($A$5:$A$1004,A392)&gt;1,"Référence en double",IF(B392="","Désignation manquante","OK")))</f>
        <v/>
      </c>
      <c r="R392" s="39" t="str">
        <f>IF(OR(O392="Rupture",O392="À commander"),COUNTIF($O$5:O392,"Rupture")+COUNTIF($O$5:O392,"À commander"),"")</f>
        <v/>
      </c>
    </row>
    <row r="393">
      <c r="A393" s="37" t="n"/>
      <c r="B393" s="37" t="n"/>
      <c r="C393" s="37" t="n"/>
      <c r="D393" s="37" t="n"/>
      <c r="E393" s="37" t="n"/>
      <c r="F393" s="37" t="n"/>
      <c r="G393" s="38" t="n"/>
      <c r="H393" s="37" t="n"/>
      <c r="I393" s="37" t="n"/>
      <c r="J393" s="37" t="n"/>
      <c r="K393" s="39" t="str">
        <f>IF(A393="","",SUMIFS(mv_qty,mv_ref,A393,mv_type,"Entrée"))</f>
        <v/>
      </c>
      <c r="L393" s="39" t="str">
        <f>IF(A393="","",SUMIFS(mv_qty,mv_ref,A393,mv_type,"Sortie"))</f>
        <v/>
      </c>
      <c r="M393" s="39" t="str">
        <f>IF(A393="","",ROUND(N(H393)+K393-L393,6))</f>
        <v/>
      </c>
      <c r="N393" s="40" t="str">
        <f>IF(A393="","",M393*N(G393))</f>
        <v/>
      </c>
      <c r="O393" s="39" t="str">
        <f>IF(A393="","",IF(M393&lt;=0,"Rupture",IF(AND(I393&lt;&gt;"",M393&lt;=N(I393)),"À commander","OK")))</f>
        <v/>
      </c>
      <c r="P393" s="39" t="str">
        <f>IF(OR(A393="",O393="OK",J393=""),"",MAX(N(J393)-M393,0))</f>
        <v/>
      </c>
      <c r="Q393" s="39" t="str">
        <f>IF(A393="",IF(COUNTA(B393:J393)&gt;0,"Référence manquante",""),IF(COUNTIF($A$5:$A$1004,A393)&gt;1,"Référence en double",IF(B393="","Désignation manquante","OK")))</f>
        <v/>
      </c>
      <c r="R393" s="39" t="str">
        <f>IF(OR(O393="Rupture",O393="À commander"),COUNTIF($O$5:O393,"Rupture")+COUNTIF($O$5:O393,"À commander"),"")</f>
        <v/>
      </c>
    </row>
    <row r="394">
      <c r="A394" s="37" t="n"/>
      <c r="B394" s="37" t="n"/>
      <c r="C394" s="37" t="n"/>
      <c r="D394" s="37" t="n"/>
      <c r="E394" s="37" t="n"/>
      <c r="F394" s="37" t="n"/>
      <c r="G394" s="38" t="n"/>
      <c r="H394" s="37" t="n"/>
      <c r="I394" s="37" t="n"/>
      <c r="J394" s="37" t="n"/>
      <c r="K394" s="39" t="str">
        <f>IF(A394="","",SUMIFS(mv_qty,mv_ref,A394,mv_type,"Entrée"))</f>
        <v/>
      </c>
      <c r="L394" s="39" t="str">
        <f>IF(A394="","",SUMIFS(mv_qty,mv_ref,A394,mv_type,"Sortie"))</f>
        <v/>
      </c>
      <c r="M394" s="39" t="str">
        <f>IF(A394="","",ROUND(N(H394)+K394-L394,6))</f>
        <v/>
      </c>
      <c r="N394" s="40" t="str">
        <f>IF(A394="","",M394*N(G394))</f>
        <v/>
      </c>
      <c r="O394" s="39" t="str">
        <f>IF(A394="","",IF(M394&lt;=0,"Rupture",IF(AND(I394&lt;&gt;"",M394&lt;=N(I394)),"À commander","OK")))</f>
        <v/>
      </c>
      <c r="P394" s="39" t="str">
        <f>IF(OR(A394="",O394="OK",J394=""),"",MAX(N(J394)-M394,0))</f>
        <v/>
      </c>
      <c r="Q394" s="39" t="str">
        <f>IF(A394="",IF(COUNTA(B394:J394)&gt;0,"Référence manquante",""),IF(COUNTIF($A$5:$A$1004,A394)&gt;1,"Référence en double",IF(B394="","Désignation manquante","OK")))</f>
        <v/>
      </c>
      <c r="R394" s="39" t="str">
        <f>IF(OR(O394="Rupture",O394="À commander"),COUNTIF($O$5:O394,"Rupture")+COUNTIF($O$5:O394,"À commander"),"")</f>
        <v/>
      </c>
    </row>
    <row r="395">
      <c r="A395" s="37" t="n"/>
      <c r="B395" s="37" t="n"/>
      <c r="C395" s="37" t="n"/>
      <c r="D395" s="37" t="n"/>
      <c r="E395" s="37" t="n"/>
      <c r="F395" s="37" t="n"/>
      <c r="G395" s="38" t="n"/>
      <c r="H395" s="37" t="n"/>
      <c r="I395" s="37" t="n"/>
      <c r="J395" s="37" t="n"/>
      <c r="K395" s="39" t="str">
        <f>IF(A395="","",SUMIFS(mv_qty,mv_ref,A395,mv_type,"Entrée"))</f>
        <v/>
      </c>
      <c r="L395" s="39" t="str">
        <f>IF(A395="","",SUMIFS(mv_qty,mv_ref,A395,mv_type,"Sortie"))</f>
        <v/>
      </c>
      <c r="M395" s="39" t="str">
        <f>IF(A395="","",ROUND(N(H395)+K395-L395,6))</f>
        <v/>
      </c>
      <c r="N395" s="40" t="str">
        <f>IF(A395="","",M395*N(G395))</f>
        <v/>
      </c>
      <c r="O395" s="39" t="str">
        <f>IF(A395="","",IF(M395&lt;=0,"Rupture",IF(AND(I395&lt;&gt;"",M395&lt;=N(I395)),"À commander","OK")))</f>
        <v/>
      </c>
      <c r="P395" s="39" t="str">
        <f>IF(OR(A395="",O395="OK",J395=""),"",MAX(N(J395)-M395,0))</f>
        <v/>
      </c>
      <c r="Q395" s="39" t="str">
        <f>IF(A395="",IF(COUNTA(B395:J395)&gt;0,"Référence manquante",""),IF(COUNTIF($A$5:$A$1004,A395)&gt;1,"Référence en double",IF(B395="","Désignation manquante","OK")))</f>
        <v/>
      </c>
      <c r="R395" s="39" t="str">
        <f>IF(OR(O395="Rupture",O395="À commander"),COUNTIF($O$5:O395,"Rupture")+COUNTIF($O$5:O395,"À commander"),"")</f>
        <v/>
      </c>
    </row>
    <row r="396">
      <c r="A396" s="37" t="n"/>
      <c r="B396" s="37" t="n"/>
      <c r="C396" s="37" t="n"/>
      <c r="D396" s="37" t="n"/>
      <c r="E396" s="37" t="n"/>
      <c r="F396" s="37" t="n"/>
      <c r="G396" s="38" t="n"/>
      <c r="H396" s="37" t="n"/>
      <c r="I396" s="37" t="n"/>
      <c r="J396" s="37" t="n"/>
      <c r="K396" s="39" t="str">
        <f>IF(A396="","",SUMIFS(mv_qty,mv_ref,A396,mv_type,"Entrée"))</f>
        <v/>
      </c>
      <c r="L396" s="39" t="str">
        <f>IF(A396="","",SUMIFS(mv_qty,mv_ref,A396,mv_type,"Sortie"))</f>
        <v/>
      </c>
      <c r="M396" s="39" t="str">
        <f>IF(A396="","",ROUND(N(H396)+K396-L396,6))</f>
        <v/>
      </c>
      <c r="N396" s="40" t="str">
        <f>IF(A396="","",M396*N(G396))</f>
        <v/>
      </c>
      <c r="O396" s="39" t="str">
        <f>IF(A396="","",IF(M396&lt;=0,"Rupture",IF(AND(I396&lt;&gt;"",M396&lt;=N(I396)),"À commander","OK")))</f>
        <v/>
      </c>
      <c r="P396" s="39" t="str">
        <f>IF(OR(A396="",O396="OK",J396=""),"",MAX(N(J396)-M396,0))</f>
        <v/>
      </c>
      <c r="Q396" s="39" t="str">
        <f>IF(A396="",IF(COUNTA(B396:J396)&gt;0,"Référence manquante",""),IF(COUNTIF($A$5:$A$1004,A396)&gt;1,"Référence en double",IF(B396="","Désignation manquante","OK")))</f>
        <v/>
      </c>
      <c r="R396" s="39" t="str">
        <f>IF(OR(O396="Rupture",O396="À commander"),COUNTIF($O$5:O396,"Rupture")+COUNTIF($O$5:O396,"À commander"),"")</f>
        <v/>
      </c>
    </row>
    <row r="397">
      <c r="A397" s="37" t="n"/>
      <c r="B397" s="37" t="n"/>
      <c r="C397" s="37" t="n"/>
      <c r="D397" s="37" t="n"/>
      <c r="E397" s="37" t="n"/>
      <c r="F397" s="37" t="n"/>
      <c r="G397" s="38" t="n"/>
      <c r="H397" s="37" t="n"/>
      <c r="I397" s="37" t="n"/>
      <c r="J397" s="37" t="n"/>
      <c r="K397" s="39" t="str">
        <f>IF(A397="","",SUMIFS(mv_qty,mv_ref,A397,mv_type,"Entrée"))</f>
        <v/>
      </c>
      <c r="L397" s="39" t="str">
        <f>IF(A397="","",SUMIFS(mv_qty,mv_ref,A397,mv_type,"Sortie"))</f>
        <v/>
      </c>
      <c r="M397" s="39" t="str">
        <f>IF(A397="","",ROUND(N(H397)+K397-L397,6))</f>
        <v/>
      </c>
      <c r="N397" s="40" t="str">
        <f>IF(A397="","",M397*N(G397))</f>
        <v/>
      </c>
      <c r="O397" s="39" t="str">
        <f>IF(A397="","",IF(M397&lt;=0,"Rupture",IF(AND(I397&lt;&gt;"",M397&lt;=N(I397)),"À commander","OK")))</f>
        <v/>
      </c>
      <c r="P397" s="39" t="str">
        <f>IF(OR(A397="",O397="OK",J397=""),"",MAX(N(J397)-M397,0))</f>
        <v/>
      </c>
      <c r="Q397" s="39" t="str">
        <f>IF(A397="",IF(COUNTA(B397:J397)&gt;0,"Référence manquante",""),IF(COUNTIF($A$5:$A$1004,A397)&gt;1,"Référence en double",IF(B397="","Désignation manquante","OK")))</f>
        <v/>
      </c>
      <c r="R397" s="39" t="str">
        <f>IF(OR(O397="Rupture",O397="À commander"),COUNTIF($O$5:O397,"Rupture")+COUNTIF($O$5:O397,"À commander"),"")</f>
        <v/>
      </c>
    </row>
    <row r="398">
      <c r="A398" s="37" t="n"/>
      <c r="B398" s="37" t="n"/>
      <c r="C398" s="37" t="n"/>
      <c r="D398" s="37" t="n"/>
      <c r="E398" s="37" t="n"/>
      <c r="F398" s="37" t="n"/>
      <c r="G398" s="38" t="n"/>
      <c r="H398" s="37" t="n"/>
      <c r="I398" s="37" t="n"/>
      <c r="J398" s="37" t="n"/>
      <c r="K398" s="39" t="str">
        <f>IF(A398="","",SUMIFS(mv_qty,mv_ref,A398,mv_type,"Entrée"))</f>
        <v/>
      </c>
      <c r="L398" s="39" t="str">
        <f>IF(A398="","",SUMIFS(mv_qty,mv_ref,A398,mv_type,"Sortie"))</f>
        <v/>
      </c>
      <c r="M398" s="39" t="str">
        <f>IF(A398="","",ROUND(N(H398)+K398-L398,6))</f>
        <v/>
      </c>
      <c r="N398" s="40" t="str">
        <f>IF(A398="","",M398*N(G398))</f>
        <v/>
      </c>
      <c r="O398" s="39" t="str">
        <f>IF(A398="","",IF(M398&lt;=0,"Rupture",IF(AND(I398&lt;&gt;"",M398&lt;=N(I398)),"À commander","OK")))</f>
        <v/>
      </c>
      <c r="P398" s="39" t="str">
        <f>IF(OR(A398="",O398="OK",J398=""),"",MAX(N(J398)-M398,0))</f>
        <v/>
      </c>
      <c r="Q398" s="39" t="str">
        <f>IF(A398="",IF(COUNTA(B398:J398)&gt;0,"Référence manquante",""),IF(COUNTIF($A$5:$A$1004,A398)&gt;1,"Référence en double",IF(B398="","Désignation manquante","OK")))</f>
        <v/>
      </c>
      <c r="R398" s="39" t="str">
        <f>IF(OR(O398="Rupture",O398="À commander"),COUNTIF($O$5:O398,"Rupture")+COUNTIF($O$5:O398,"À commander"),"")</f>
        <v/>
      </c>
    </row>
    <row r="399">
      <c r="A399" s="37" t="n"/>
      <c r="B399" s="37" t="n"/>
      <c r="C399" s="37" t="n"/>
      <c r="D399" s="37" t="n"/>
      <c r="E399" s="37" t="n"/>
      <c r="F399" s="37" t="n"/>
      <c r="G399" s="38" t="n"/>
      <c r="H399" s="37" t="n"/>
      <c r="I399" s="37" t="n"/>
      <c r="J399" s="37" t="n"/>
      <c r="K399" s="39" t="str">
        <f>IF(A399="","",SUMIFS(mv_qty,mv_ref,A399,mv_type,"Entrée"))</f>
        <v/>
      </c>
      <c r="L399" s="39" t="str">
        <f>IF(A399="","",SUMIFS(mv_qty,mv_ref,A399,mv_type,"Sortie"))</f>
        <v/>
      </c>
      <c r="M399" s="39" t="str">
        <f>IF(A399="","",ROUND(N(H399)+K399-L399,6))</f>
        <v/>
      </c>
      <c r="N399" s="40" t="str">
        <f>IF(A399="","",M399*N(G399))</f>
        <v/>
      </c>
      <c r="O399" s="39" t="str">
        <f>IF(A399="","",IF(M399&lt;=0,"Rupture",IF(AND(I399&lt;&gt;"",M399&lt;=N(I399)),"À commander","OK")))</f>
        <v/>
      </c>
      <c r="P399" s="39" t="str">
        <f>IF(OR(A399="",O399="OK",J399=""),"",MAX(N(J399)-M399,0))</f>
        <v/>
      </c>
      <c r="Q399" s="39" t="str">
        <f>IF(A399="",IF(COUNTA(B399:J399)&gt;0,"Référence manquante",""),IF(COUNTIF($A$5:$A$1004,A399)&gt;1,"Référence en double",IF(B399="","Désignation manquante","OK")))</f>
        <v/>
      </c>
      <c r="R399" s="39" t="str">
        <f>IF(OR(O399="Rupture",O399="À commander"),COUNTIF($O$5:O399,"Rupture")+COUNTIF($O$5:O399,"À commander"),"")</f>
        <v/>
      </c>
    </row>
    <row r="400">
      <c r="A400" s="37" t="n"/>
      <c r="B400" s="37" t="n"/>
      <c r="C400" s="37" t="n"/>
      <c r="D400" s="37" t="n"/>
      <c r="E400" s="37" t="n"/>
      <c r="F400" s="37" t="n"/>
      <c r="G400" s="38" t="n"/>
      <c r="H400" s="37" t="n"/>
      <c r="I400" s="37" t="n"/>
      <c r="J400" s="37" t="n"/>
      <c r="K400" s="39" t="str">
        <f>IF(A400="","",SUMIFS(mv_qty,mv_ref,A400,mv_type,"Entrée"))</f>
        <v/>
      </c>
      <c r="L400" s="39" t="str">
        <f>IF(A400="","",SUMIFS(mv_qty,mv_ref,A400,mv_type,"Sortie"))</f>
        <v/>
      </c>
      <c r="M400" s="39" t="str">
        <f>IF(A400="","",ROUND(N(H400)+K400-L400,6))</f>
        <v/>
      </c>
      <c r="N400" s="40" t="str">
        <f>IF(A400="","",M400*N(G400))</f>
        <v/>
      </c>
      <c r="O400" s="39" t="str">
        <f>IF(A400="","",IF(M400&lt;=0,"Rupture",IF(AND(I400&lt;&gt;"",M400&lt;=N(I400)),"À commander","OK")))</f>
        <v/>
      </c>
      <c r="P400" s="39" t="str">
        <f>IF(OR(A400="",O400="OK",J400=""),"",MAX(N(J400)-M400,0))</f>
        <v/>
      </c>
      <c r="Q400" s="39" t="str">
        <f>IF(A400="",IF(COUNTA(B400:J400)&gt;0,"Référence manquante",""),IF(COUNTIF($A$5:$A$1004,A400)&gt;1,"Référence en double",IF(B400="","Désignation manquante","OK")))</f>
        <v/>
      </c>
      <c r="R400" s="39" t="str">
        <f>IF(OR(O400="Rupture",O400="À commander"),COUNTIF($O$5:O400,"Rupture")+COUNTIF($O$5:O400,"À commander"),"")</f>
        <v/>
      </c>
    </row>
    <row r="401">
      <c r="A401" s="37" t="n"/>
      <c r="B401" s="37" t="n"/>
      <c r="C401" s="37" t="n"/>
      <c r="D401" s="37" t="n"/>
      <c r="E401" s="37" t="n"/>
      <c r="F401" s="37" t="n"/>
      <c r="G401" s="38" t="n"/>
      <c r="H401" s="37" t="n"/>
      <c r="I401" s="37" t="n"/>
      <c r="J401" s="37" t="n"/>
      <c r="K401" s="39" t="str">
        <f>IF(A401="","",SUMIFS(mv_qty,mv_ref,A401,mv_type,"Entrée"))</f>
        <v/>
      </c>
      <c r="L401" s="39" t="str">
        <f>IF(A401="","",SUMIFS(mv_qty,mv_ref,A401,mv_type,"Sortie"))</f>
        <v/>
      </c>
      <c r="M401" s="39" t="str">
        <f>IF(A401="","",ROUND(N(H401)+K401-L401,6))</f>
        <v/>
      </c>
      <c r="N401" s="40" t="str">
        <f>IF(A401="","",M401*N(G401))</f>
        <v/>
      </c>
      <c r="O401" s="39" t="str">
        <f>IF(A401="","",IF(M401&lt;=0,"Rupture",IF(AND(I401&lt;&gt;"",M401&lt;=N(I401)),"À commander","OK")))</f>
        <v/>
      </c>
      <c r="P401" s="39" t="str">
        <f>IF(OR(A401="",O401="OK",J401=""),"",MAX(N(J401)-M401,0))</f>
        <v/>
      </c>
      <c r="Q401" s="39" t="str">
        <f>IF(A401="",IF(COUNTA(B401:J401)&gt;0,"Référence manquante",""),IF(COUNTIF($A$5:$A$1004,A401)&gt;1,"Référence en double",IF(B401="","Désignation manquante","OK")))</f>
        <v/>
      </c>
      <c r="R401" s="39" t="str">
        <f>IF(OR(O401="Rupture",O401="À commander"),COUNTIF($O$5:O401,"Rupture")+COUNTIF($O$5:O401,"À commander"),"")</f>
        <v/>
      </c>
    </row>
    <row r="402">
      <c r="A402" s="37" t="n"/>
      <c r="B402" s="37" t="n"/>
      <c r="C402" s="37" t="n"/>
      <c r="D402" s="37" t="n"/>
      <c r="E402" s="37" t="n"/>
      <c r="F402" s="37" t="n"/>
      <c r="G402" s="38" t="n"/>
      <c r="H402" s="37" t="n"/>
      <c r="I402" s="37" t="n"/>
      <c r="J402" s="37" t="n"/>
      <c r="K402" s="39" t="str">
        <f>IF(A402="","",SUMIFS(mv_qty,mv_ref,A402,mv_type,"Entrée"))</f>
        <v/>
      </c>
      <c r="L402" s="39" t="str">
        <f>IF(A402="","",SUMIFS(mv_qty,mv_ref,A402,mv_type,"Sortie"))</f>
        <v/>
      </c>
      <c r="M402" s="39" t="str">
        <f>IF(A402="","",ROUND(N(H402)+K402-L402,6))</f>
        <v/>
      </c>
      <c r="N402" s="40" t="str">
        <f>IF(A402="","",M402*N(G402))</f>
        <v/>
      </c>
      <c r="O402" s="39" t="str">
        <f>IF(A402="","",IF(M402&lt;=0,"Rupture",IF(AND(I402&lt;&gt;"",M402&lt;=N(I402)),"À commander","OK")))</f>
        <v/>
      </c>
      <c r="P402" s="39" t="str">
        <f>IF(OR(A402="",O402="OK",J402=""),"",MAX(N(J402)-M402,0))</f>
        <v/>
      </c>
      <c r="Q402" s="39" t="str">
        <f>IF(A402="",IF(COUNTA(B402:J402)&gt;0,"Référence manquante",""),IF(COUNTIF($A$5:$A$1004,A402)&gt;1,"Référence en double",IF(B402="","Désignation manquante","OK")))</f>
        <v/>
      </c>
      <c r="R402" s="39" t="str">
        <f>IF(OR(O402="Rupture",O402="À commander"),COUNTIF($O$5:O402,"Rupture")+COUNTIF($O$5:O402,"À commander"),"")</f>
        <v/>
      </c>
    </row>
    <row r="403">
      <c r="A403" s="37" t="n"/>
      <c r="B403" s="37" t="n"/>
      <c r="C403" s="37" t="n"/>
      <c r="D403" s="37" t="n"/>
      <c r="E403" s="37" t="n"/>
      <c r="F403" s="37" t="n"/>
      <c r="G403" s="38" t="n"/>
      <c r="H403" s="37" t="n"/>
      <c r="I403" s="37" t="n"/>
      <c r="J403" s="37" t="n"/>
      <c r="K403" s="39" t="str">
        <f>IF(A403="","",SUMIFS(mv_qty,mv_ref,A403,mv_type,"Entrée"))</f>
        <v/>
      </c>
      <c r="L403" s="39" t="str">
        <f>IF(A403="","",SUMIFS(mv_qty,mv_ref,A403,mv_type,"Sortie"))</f>
        <v/>
      </c>
      <c r="M403" s="39" t="str">
        <f>IF(A403="","",ROUND(N(H403)+K403-L403,6))</f>
        <v/>
      </c>
      <c r="N403" s="40" t="str">
        <f>IF(A403="","",M403*N(G403))</f>
        <v/>
      </c>
      <c r="O403" s="39" t="str">
        <f>IF(A403="","",IF(M403&lt;=0,"Rupture",IF(AND(I403&lt;&gt;"",M403&lt;=N(I403)),"À commander","OK")))</f>
        <v/>
      </c>
      <c r="P403" s="39" t="str">
        <f>IF(OR(A403="",O403="OK",J403=""),"",MAX(N(J403)-M403,0))</f>
        <v/>
      </c>
      <c r="Q403" s="39" t="str">
        <f>IF(A403="",IF(COUNTA(B403:J403)&gt;0,"Référence manquante",""),IF(COUNTIF($A$5:$A$1004,A403)&gt;1,"Référence en double",IF(B403="","Désignation manquante","OK")))</f>
        <v/>
      </c>
      <c r="R403" s="39" t="str">
        <f>IF(OR(O403="Rupture",O403="À commander"),COUNTIF($O$5:O403,"Rupture")+COUNTIF($O$5:O403,"À commander"),"")</f>
        <v/>
      </c>
    </row>
    <row r="404">
      <c r="A404" s="37" t="n"/>
      <c r="B404" s="37" t="n"/>
      <c r="C404" s="37" t="n"/>
      <c r="D404" s="37" t="n"/>
      <c r="E404" s="37" t="n"/>
      <c r="F404" s="37" t="n"/>
      <c r="G404" s="38" t="n"/>
      <c r="H404" s="37" t="n"/>
      <c r="I404" s="37" t="n"/>
      <c r="J404" s="37" t="n"/>
      <c r="K404" s="39" t="str">
        <f>IF(A404="","",SUMIFS(mv_qty,mv_ref,A404,mv_type,"Entrée"))</f>
        <v/>
      </c>
      <c r="L404" s="39" t="str">
        <f>IF(A404="","",SUMIFS(mv_qty,mv_ref,A404,mv_type,"Sortie"))</f>
        <v/>
      </c>
      <c r="M404" s="39" t="str">
        <f>IF(A404="","",ROUND(N(H404)+K404-L404,6))</f>
        <v/>
      </c>
      <c r="N404" s="40" t="str">
        <f>IF(A404="","",M404*N(G404))</f>
        <v/>
      </c>
      <c r="O404" s="39" t="str">
        <f>IF(A404="","",IF(M404&lt;=0,"Rupture",IF(AND(I404&lt;&gt;"",M404&lt;=N(I404)),"À commander","OK")))</f>
        <v/>
      </c>
      <c r="P404" s="39" t="str">
        <f>IF(OR(A404="",O404="OK",J404=""),"",MAX(N(J404)-M404,0))</f>
        <v/>
      </c>
      <c r="Q404" s="39" t="str">
        <f>IF(A404="",IF(COUNTA(B404:J404)&gt;0,"Référence manquante",""),IF(COUNTIF($A$5:$A$1004,A404)&gt;1,"Référence en double",IF(B404="","Désignation manquante","OK")))</f>
        <v/>
      </c>
      <c r="R404" s="39" t="str">
        <f>IF(OR(O404="Rupture",O404="À commander"),COUNTIF($O$5:O404,"Rupture")+COUNTIF($O$5:O404,"À commander"),"")</f>
        <v/>
      </c>
    </row>
    <row r="405">
      <c r="A405" s="37" t="n"/>
      <c r="B405" s="37" t="n"/>
      <c r="C405" s="37" t="n"/>
      <c r="D405" s="37" t="n"/>
      <c r="E405" s="37" t="n"/>
      <c r="F405" s="37" t="n"/>
      <c r="G405" s="38" t="n"/>
      <c r="H405" s="37" t="n"/>
      <c r="I405" s="37" t="n"/>
      <c r="J405" s="37" t="n"/>
      <c r="K405" s="39" t="str">
        <f>IF(A405="","",SUMIFS(mv_qty,mv_ref,A405,mv_type,"Entrée"))</f>
        <v/>
      </c>
      <c r="L405" s="39" t="str">
        <f>IF(A405="","",SUMIFS(mv_qty,mv_ref,A405,mv_type,"Sortie"))</f>
        <v/>
      </c>
      <c r="M405" s="39" t="str">
        <f>IF(A405="","",ROUND(N(H405)+K405-L405,6))</f>
        <v/>
      </c>
      <c r="N405" s="40" t="str">
        <f>IF(A405="","",M405*N(G405))</f>
        <v/>
      </c>
      <c r="O405" s="39" t="str">
        <f>IF(A405="","",IF(M405&lt;=0,"Rupture",IF(AND(I405&lt;&gt;"",M405&lt;=N(I405)),"À commander","OK")))</f>
        <v/>
      </c>
      <c r="P405" s="39" t="str">
        <f>IF(OR(A405="",O405="OK",J405=""),"",MAX(N(J405)-M405,0))</f>
        <v/>
      </c>
      <c r="Q405" s="39" t="str">
        <f>IF(A405="",IF(COUNTA(B405:J405)&gt;0,"Référence manquante",""),IF(COUNTIF($A$5:$A$1004,A405)&gt;1,"Référence en double",IF(B405="","Désignation manquante","OK")))</f>
        <v/>
      </c>
      <c r="R405" s="39" t="str">
        <f>IF(OR(O405="Rupture",O405="À commander"),COUNTIF($O$5:O405,"Rupture")+COUNTIF($O$5:O405,"À commander"),"")</f>
        <v/>
      </c>
    </row>
    <row r="406">
      <c r="A406" s="37" t="n"/>
      <c r="B406" s="37" t="n"/>
      <c r="C406" s="37" t="n"/>
      <c r="D406" s="37" t="n"/>
      <c r="E406" s="37" t="n"/>
      <c r="F406" s="37" t="n"/>
      <c r="G406" s="38" t="n"/>
      <c r="H406" s="37" t="n"/>
      <c r="I406" s="37" t="n"/>
      <c r="J406" s="37" t="n"/>
      <c r="K406" s="39" t="str">
        <f>IF(A406="","",SUMIFS(mv_qty,mv_ref,A406,mv_type,"Entrée"))</f>
        <v/>
      </c>
      <c r="L406" s="39" t="str">
        <f>IF(A406="","",SUMIFS(mv_qty,mv_ref,A406,mv_type,"Sortie"))</f>
        <v/>
      </c>
      <c r="M406" s="39" t="str">
        <f>IF(A406="","",ROUND(N(H406)+K406-L406,6))</f>
        <v/>
      </c>
      <c r="N406" s="40" t="str">
        <f>IF(A406="","",M406*N(G406))</f>
        <v/>
      </c>
      <c r="O406" s="39" t="str">
        <f>IF(A406="","",IF(M406&lt;=0,"Rupture",IF(AND(I406&lt;&gt;"",M406&lt;=N(I406)),"À commander","OK")))</f>
        <v/>
      </c>
      <c r="P406" s="39" t="str">
        <f>IF(OR(A406="",O406="OK",J406=""),"",MAX(N(J406)-M406,0))</f>
        <v/>
      </c>
      <c r="Q406" s="39" t="str">
        <f>IF(A406="",IF(COUNTA(B406:J406)&gt;0,"Référence manquante",""),IF(COUNTIF($A$5:$A$1004,A406)&gt;1,"Référence en double",IF(B406="","Désignation manquante","OK")))</f>
        <v/>
      </c>
      <c r="R406" s="39" t="str">
        <f>IF(OR(O406="Rupture",O406="À commander"),COUNTIF($O$5:O406,"Rupture")+COUNTIF($O$5:O406,"À commander"),"")</f>
        <v/>
      </c>
    </row>
    <row r="407">
      <c r="A407" s="37" t="n"/>
      <c r="B407" s="37" t="n"/>
      <c r="C407" s="37" t="n"/>
      <c r="D407" s="37" t="n"/>
      <c r="E407" s="37" t="n"/>
      <c r="F407" s="37" t="n"/>
      <c r="G407" s="38" t="n"/>
      <c r="H407" s="37" t="n"/>
      <c r="I407" s="37" t="n"/>
      <c r="J407" s="37" t="n"/>
      <c r="K407" s="39" t="str">
        <f>IF(A407="","",SUMIFS(mv_qty,mv_ref,A407,mv_type,"Entrée"))</f>
        <v/>
      </c>
      <c r="L407" s="39" t="str">
        <f>IF(A407="","",SUMIFS(mv_qty,mv_ref,A407,mv_type,"Sortie"))</f>
        <v/>
      </c>
      <c r="M407" s="39" t="str">
        <f>IF(A407="","",ROUND(N(H407)+K407-L407,6))</f>
        <v/>
      </c>
      <c r="N407" s="40" t="str">
        <f>IF(A407="","",M407*N(G407))</f>
        <v/>
      </c>
      <c r="O407" s="39" t="str">
        <f>IF(A407="","",IF(M407&lt;=0,"Rupture",IF(AND(I407&lt;&gt;"",M407&lt;=N(I407)),"À commander","OK")))</f>
        <v/>
      </c>
      <c r="P407" s="39" t="str">
        <f>IF(OR(A407="",O407="OK",J407=""),"",MAX(N(J407)-M407,0))</f>
        <v/>
      </c>
      <c r="Q407" s="39" t="str">
        <f>IF(A407="",IF(COUNTA(B407:J407)&gt;0,"Référence manquante",""),IF(COUNTIF($A$5:$A$1004,A407)&gt;1,"Référence en double",IF(B407="","Désignation manquante","OK")))</f>
        <v/>
      </c>
      <c r="R407" s="39" t="str">
        <f>IF(OR(O407="Rupture",O407="À commander"),COUNTIF($O$5:O407,"Rupture")+COUNTIF($O$5:O407,"À commander"),"")</f>
        <v/>
      </c>
    </row>
    <row r="408">
      <c r="A408" s="37" t="n"/>
      <c r="B408" s="37" t="n"/>
      <c r="C408" s="37" t="n"/>
      <c r="D408" s="37" t="n"/>
      <c r="E408" s="37" t="n"/>
      <c r="F408" s="37" t="n"/>
      <c r="G408" s="38" t="n"/>
      <c r="H408" s="37" t="n"/>
      <c r="I408" s="37" t="n"/>
      <c r="J408" s="37" t="n"/>
      <c r="K408" s="39" t="str">
        <f>IF(A408="","",SUMIFS(mv_qty,mv_ref,A408,mv_type,"Entrée"))</f>
        <v/>
      </c>
      <c r="L408" s="39" t="str">
        <f>IF(A408="","",SUMIFS(mv_qty,mv_ref,A408,mv_type,"Sortie"))</f>
        <v/>
      </c>
      <c r="M408" s="39" t="str">
        <f>IF(A408="","",ROUND(N(H408)+K408-L408,6))</f>
        <v/>
      </c>
      <c r="N408" s="40" t="str">
        <f>IF(A408="","",M408*N(G408))</f>
        <v/>
      </c>
      <c r="O408" s="39" t="str">
        <f>IF(A408="","",IF(M408&lt;=0,"Rupture",IF(AND(I408&lt;&gt;"",M408&lt;=N(I408)),"À commander","OK")))</f>
        <v/>
      </c>
      <c r="P408" s="39" t="str">
        <f>IF(OR(A408="",O408="OK",J408=""),"",MAX(N(J408)-M408,0))</f>
        <v/>
      </c>
      <c r="Q408" s="39" t="str">
        <f>IF(A408="",IF(COUNTA(B408:J408)&gt;0,"Référence manquante",""),IF(COUNTIF($A$5:$A$1004,A408)&gt;1,"Référence en double",IF(B408="","Désignation manquante","OK")))</f>
        <v/>
      </c>
      <c r="R408" s="39" t="str">
        <f>IF(OR(O408="Rupture",O408="À commander"),COUNTIF($O$5:O408,"Rupture")+COUNTIF($O$5:O408,"À commander"),"")</f>
        <v/>
      </c>
    </row>
    <row r="409">
      <c r="A409" s="37" t="n"/>
      <c r="B409" s="37" t="n"/>
      <c r="C409" s="37" t="n"/>
      <c r="D409" s="37" t="n"/>
      <c r="E409" s="37" t="n"/>
      <c r="F409" s="37" t="n"/>
      <c r="G409" s="38" t="n"/>
      <c r="H409" s="37" t="n"/>
      <c r="I409" s="37" t="n"/>
      <c r="J409" s="37" t="n"/>
      <c r="K409" s="39" t="str">
        <f>IF(A409="","",SUMIFS(mv_qty,mv_ref,A409,mv_type,"Entrée"))</f>
        <v/>
      </c>
      <c r="L409" s="39" t="str">
        <f>IF(A409="","",SUMIFS(mv_qty,mv_ref,A409,mv_type,"Sortie"))</f>
        <v/>
      </c>
      <c r="M409" s="39" t="str">
        <f>IF(A409="","",ROUND(N(H409)+K409-L409,6))</f>
        <v/>
      </c>
      <c r="N409" s="40" t="str">
        <f>IF(A409="","",M409*N(G409))</f>
        <v/>
      </c>
      <c r="O409" s="39" t="str">
        <f>IF(A409="","",IF(M409&lt;=0,"Rupture",IF(AND(I409&lt;&gt;"",M409&lt;=N(I409)),"À commander","OK")))</f>
        <v/>
      </c>
      <c r="P409" s="39" t="str">
        <f>IF(OR(A409="",O409="OK",J409=""),"",MAX(N(J409)-M409,0))</f>
        <v/>
      </c>
      <c r="Q409" s="39" t="str">
        <f>IF(A409="",IF(COUNTA(B409:J409)&gt;0,"Référence manquante",""),IF(COUNTIF($A$5:$A$1004,A409)&gt;1,"Référence en double",IF(B409="","Désignation manquante","OK")))</f>
        <v/>
      </c>
      <c r="R409" s="39" t="str">
        <f>IF(OR(O409="Rupture",O409="À commander"),COUNTIF($O$5:O409,"Rupture")+COUNTIF($O$5:O409,"À commander"),"")</f>
        <v/>
      </c>
    </row>
    <row r="410">
      <c r="A410" s="37" t="n"/>
      <c r="B410" s="37" t="n"/>
      <c r="C410" s="37" t="n"/>
      <c r="D410" s="37" t="n"/>
      <c r="E410" s="37" t="n"/>
      <c r="F410" s="37" t="n"/>
      <c r="G410" s="38" t="n"/>
      <c r="H410" s="37" t="n"/>
      <c r="I410" s="37" t="n"/>
      <c r="J410" s="37" t="n"/>
      <c r="K410" s="39" t="str">
        <f>IF(A410="","",SUMIFS(mv_qty,mv_ref,A410,mv_type,"Entrée"))</f>
        <v/>
      </c>
      <c r="L410" s="39" t="str">
        <f>IF(A410="","",SUMIFS(mv_qty,mv_ref,A410,mv_type,"Sortie"))</f>
        <v/>
      </c>
      <c r="M410" s="39" t="str">
        <f>IF(A410="","",ROUND(N(H410)+K410-L410,6))</f>
        <v/>
      </c>
      <c r="N410" s="40" t="str">
        <f>IF(A410="","",M410*N(G410))</f>
        <v/>
      </c>
      <c r="O410" s="39" t="str">
        <f>IF(A410="","",IF(M410&lt;=0,"Rupture",IF(AND(I410&lt;&gt;"",M410&lt;=N(I410)),"À commander","OK")))</f>
        <v/>
      </c>
      <c r="P410" s="39" t="str">
        <f>IF(OR(A410="",O410="OK",J410=""),"",MAX(N(J410)-M410,0))</f>
        <v/>
      </c>
      <c r="Q410" s="39" t="str">
        <f>IF(A410="",IF(COUNTA(B410:J410)&gt;0,"Référence manquante",""),IF(COUNTIF($A$5:$A$1004,A410)&gt;1,"Référence en double",IF(B410="","Désignation manquante","OK")))</f>
        <v/>
      </c>
      <c r="R410" s="39" t="str">
        <f>IF(OR(O410="Rupture",O410="À commander"),COUNTIF($O$5:O410,"Rupture")+COUNTIF($O$5:O410,"À commander"),"")</f>
        <v/>
      </c>
    </row>
    <row r="411">
      <c r="A411" s="37" t="n"/>
      <c r="B411" s="37" t="n"/>
      <c r="C411" s="37" t="n"/>
      <c r="D411" s="37" t="n"/>
      <c r="E411" s="37" t="n"/>
      <c r="F411" s="37" t="n"/>
      <c r="G411" s="38" t="n"/>
      <c r="H411" s="37" t="n"/>
      <c r="I411" s="37" t="n"/>
      <c r="J411" s="37" t="n"/>
      <c r="K411" s="39" t="str">
        <f>IF(A411="","",SUMIFS(mv_qty,mv_ref,A411,mv_type,"Entrée"))</f>
        <v/>
      </c>
      <c r="L411" s="39" t="str">
        <f>IF(A411="","",SUMIFS(mv_qty,mv_ref,A411,mv_type,"Sortie"))</f>
        <v/>
      </c>
      <c r="M411" s="39" t="str">
        <f>IF(A411="","",ROUND(N(H411)+K411-L411,6))</f>
        <v/>
      </c>
      <c r="N411" s="40" t="str">
        <f>IF(A411="","",M411*N(G411))</f>
        <v/>
      </c>
      <c r="O411" s="39" t="str">
        <f>IF(A411="","",IF(M411&lt;=0,"Rupture",IF(AND(I411&lt;&gt;"",M411&lt;=N(I411)),"À commander","OK")))</f>
        <v/>
      </c>
      <c r="P411" s="39" t="str">
        <f>IF(OR(A411="",O411="OK",J411=""),"",MAX(N(J411)-M411,0))</f>
        <v/>
      </c>
      <c r="Q411" s="39" t="str">
        <f>IF(A411="",IF(COUNTA(B411:J411)&gt;0,"Référence manquante",""),IF(COUNTIF($A$5:$A$1004,A411)&gt;1,"Référence en double",IF(B411="","Désignation manquante","OK")))</f>
        <v/>
      </c>
      <c r="R411" s="39" t="str">
        <f>IF(OR(O411="Rupture",O411="À commander"),COUNTIF($O$5:O411,"Rupture")+COUNTIF($O$5:O411,"À commander"),"")</f>
        <v/>
      </c>
    </row>
    <row r="412">
      <c r="A412" s="37" t="n"/>
      <c r="B412" s="37" t="n"/>
      <c r="C412" s="37" t="n"/>
      <c r="D412" s="37" t="n"/>
      <c r="E412" s="37" t="n"/>
      <c r="F412" s="37" t="n"/>
      <c r="G412" s="38" t="n"/>
      <c r="H412" s="37" t="n"/>
      <c r="I412" s="37" t="n"/>
      <c r="J412" s="37" t="n"/>
      <c r="K412" s="39" t="str">
        <f>IF(A412="","",SUMIFS(mv_qty,mv_ref,A412,mv_type,"Entrée"))</f>
        <v/>
      </c>
      <c r="L412" s="39" t="str">
        <f>IF(A412="","",SUMIFS(mv_qty,mv_ref,A412,mv_type,"Sortie"))</f>
        <v/>
      </c>
      <c r="M412" s="39" t="str">
        <f>IF(A412="","",ROUND(N(H412)+K412-L412,6))</f>
        <v/>
      </c>
      <c r="N412" s="40" t="str">
        <f>IF(A412="","",M412*N(G412))</f>
        <v/>
      </c>
      <c r="O412" s="39" t="str">
        <f>IF(A412="","",IF(M412&lt;=0,"Rupture",IF(AND(I412&lt;&gt;"",M412&lt;=N(I412)),"À commander","OK")))</f>
        <v/>
      </c>
      <c r="P412" s="39" t="str">
        <f>IF(OR(A412="",O412="OK",J412=""),"",MAX(N(J412)-M412,0))</f>
        <v/>
      </c>
      <c r="Q412" s="39" t="str">
        <f>IF(A412="",IF(COUNTA(B412:J412)&gt;0,"Référence manquante",""),IF(COUNTIF($A$5:$A$1004,A412)&gt;1,"Référence en double",IF(B412="","Désignation manquante","OK")))</f>
        <v/>
      </c>
      <c r="R412" s="39" t="str">
        <f>IF(OR(O412="Rupture",O412="À commander"),COUNTIF($O$5:O412,"Rupture")+COUNTIF($O$5:O412,"À commander"),"")</f>
        <v/>
      </c>
    </row>
    <row r="413">
      <c r="A413" s="37" t="n"/>
      <c r="B413" s="37" t="n"/>
      <c r="C413" s="37" t="n"/>
      <c r="D413" s="37" t="n"/>
      <c r="E413" s="37" t="n"/>
      <c r="F413" s="37" t="n"/>
      <c r="G413" s="38" t="n"/>
      <c r="H413" s="37" t="n"/>
      <c r="I413" s="37" t="n"/>
      <c r="J413" s="37" t="n"/>
      <c r="K413" s="39" t="str">
        <f>IF(A413="","",SUMIFS(mv_qty,mv_ref,A413,mv_type,"Entrée"))</f>
        <v/>
      </c>
      <c r="L413" s="39" t="str">
        <f>IF(A413="","",SUMIFS(mv_qty,mv_ref,A413,mv_type,"Sortie"))</f>
        <v/>
      </c>
      <c r="M413" s="39" t="str">
        <f>IF(A413="","",ROUND(N(H413)+K413-L413,6))</f>
        <v/>
      </c>
      <c r="N413" s="40" t="str">
        <f>IF(A413="","",M413*N(G413))</f>
        <v/>
      </c>
      <c r="O413" s="39" t="str">
        <f>IF(A413="","",IF(M413&lt;=0,"Rupture",IF(AND(I413&lt;&gt;"",M413&lt;=N(I413)),"À commander","OK")))</f>
        <v/>
      </c>
      <c r="P413" s="39" t="str">
        <f>IF(OR(A413="",O413="OK",J413=""),"",MAX(N(J413)-M413,0))</f>
        <v/>
      </c>
      <c r="Q413" s="39" t="str">
        <f>IF(A413="",IF(COUNTA(B413:J413)&gt;0,"Référence manquante",""),IF(COUNTIF($A$5:$A$1004,A413)&gt;1,"Référence en double",IF(B413="","Désignation manquante","OK")))</f>
        <v/>
      </c>
      <c r="R413" s="39" t="str">
        <f>IF(OR(O413="Rupture",O413="À commander"),COUNTIF($O$5:O413,"Rupture")+COUNTIF($O$5:O413,"À commander"),"")</f>
        <v/>
      </c>
    </row>
    <row r="414">
      <c r="A414" s="37" t="n"/>
      <c r="B414" s="37" t="n"/>
      <c r="C414" s="37" t="n"/>
      <c r="D414" s="37" t="n"/>
      <c r="E414" s="37" t="n"/>
      <c r="F414" s="37" t="n"/>
      <c r="G414" s="38" t="n"/>
      <c r="H414" s="37" t="n"/>
      <c r="I414" s="37" t="n"/>
      <c r="J414" s="37" t="n"/>
      <c r="K414" s="39" t="str">
        <f>IF(A414="","",SUMIFS(mv_qty,mv_ref,A414,mv_type,"Entrée"))</f>
        <v/>
      </c>
      <c r="L414" s="39" t="str">
        <f>IF(A414="","",SUMIFS(mv_qty,mv_ref,A414,mv_type,"Sortie"))</f>
        <v/>
      </c>
      <c r="M414" s="39" t="str">
        <f>IF(A414="","",ROUND(N(H414)+K414-L414,6))</f>
        <v/>
      </c>
      <c r="N414" s="40" t="str">
        <f>IF(A414="","",M414*N(G414))</f>
        <v/>
      </c>
      <c r="O414" s="39" t="str">
        <f>IF(A414="","",IF(M414&lt;=0,"Rupture",IF(AND(I414&lt;&gt;"",M414&lt;=N(I414)),"À commander","OK")))</f>
        <v/>
      </c>
      <c r="P414" s="39" t="str">
        <f>IF(OR(A414="",O414="OK",J414=""),"",MAX(N(J414)-M414,0))</f>
        <v/>
      </c>
      <c r="Q414" s="39" t="str">
        <f>IF(A414="",IF(COUNTA(B414:J414)&gt;0,"Référence manquante",""),IF(COUNTIF($A$5:$A$1004,A414)&gt;1,"Référence en double",IF(B414="","Désignation manquante","OK")))</f>
        <v/>
      </c>
      <c r="R414" s="39" t="str">
        <f>IF(OR(O414="Rupture",O414="À commander"),COUNTIF($O$5:O414,"Rupture")+COUNTIF($O$5:O414,"À commander"),"")</f>
        <v/>
      </c>
    </row>
    <row r="415">
      <c r="A415" s="37" t="n"/>
      <c r="B415" s="37" t="n"/>
      <c r="C415" s="37" t="n"/>
      <c r="D415" s="37" t="n"/>
      <c r="E415" s="37" t="n"/>
      <c r="F415" s="37" t="n"/>
      <c r="G415" s="38" t="n"/>
      <c r="H415" s="37" t="n"/>
      <c r="I415" s="37" t="n"/>
      <c r="J415" s="37" t="n"/>
      <c r="K415" s="39" t="str">
        <f>IF(A415="","",SUMIFS(mv_qty,mv_ref,A415,mv_type,"Entrée"))</f>
        <v/>
      </c>
      <c r="L415" s="39" t="str">
        <f>IF(A415="","",SUMIFS(mv_qty,mv_ref,A415,mv_type,"Sortie"))</f>
        <v/>
      </c>
      <c r="M415" s="39" t="str">
        <f>IF(A415="","",ROUND(N(H415)+K415-L415,6))</f>
        <v/>
      </c>
      <c r="N415" s="40" t="str">
        <f>IF(A415="","",M415*N(G415))</f>
        <v/>
      </c>
      <c r="O415" s="39" t="str">
        <f>IF(A415="","",IF(M415&lt;=0,"Rupture",IF(AND(I415&lt;&gt;"",M415&lt;=N(I415)),"À commander","OK")))</f>
        <v/>
      </c>
      <c r="P415" s="39" t="str">
        <f>IF(OR(A415="",O415="OK",J415=""),"",MAX(N(J415)-M415,0))</f>
        <v/>
      </c>
      <c r="Q415" s="39" t="str">
        <f>IF(A415="",IF(COUNTA(B415:J415)&gt;0,"Référence manquante",""),IF(COUNTIF($A$5:$A$1004,A415)&gt;1,"Référence en double",IF(B415="","Désignation manquante","OK")))</f>
        <v/>
      </c>
      <c r="R415" s="39" t="str">
        <f>IF(OR(O415="Rupture",O415="À commander"),COUNTIF($O$5:O415,"Rupture")+COUNTIF($O$5:O415,"À commander"),"")</f>
        <v/>
      </c>
    </row>
    <row r="416">
      <c r="A416" s="37" t="n"/>
      <c r="B416" s="37" t="n"/>
      <c r="C416" s="37" t="n"/>
      <c r="D416" s="37" t="n"/>
      <c r="E416" s="37" t="n"/>
      <c r="F416" s="37" t="n"/>
      <c r="G416" s="38" t="n"/>
      <c r="H416" s="37" t="n"/>
      <c r="I416" s="37" t="n"/>
      <c r="J416" s="37" t="n"/>
      <c r="K416" s="39" t="str">
        <f>IF(A416="","",SUMIFS(mv_qty,mv_ref,A416,mv_type,"Entrée"))</f>
        <v/>
      </c>
      <c r="L416" s="39" t="str">
        <f>IF(A416="","",SUMIFS(mv_qty,mv_ref,A416,mv_type,"Sortie"))</f>
        <v/>
      </c>
      <c r="M416" s="39" t="str">
        <f>IF(A416="","",ROUND(N(H416)+K416-L416,6))</f>
        <v/>
      </c>
      <c r="N416" s="40" t="str">
        <f>IF(A416="","",M416*N(G416))</f>
        <v/>
      </c>
      <c r="O416" s="39" t="str">
        <f>IF(A416="","",IF(M416&lt;=0,"Rupture",IF(AND(I416&lt;&gt;"",M416&lt;=N(I416)),"À commander","OK")))</f>
        <v/>
      </c>
      <c r="P416" s="39" t="str">
        <f>IF(OR(A416="",O416="OK",J416=""),"",MAX(N(J416)-M416,0))</f>
        <v/>
      </c>
      <c r="Q416" s="39" t="str">
        <f>IF(A416="",IF(COUNTA(B416:J416)&gt;0,"Référence manquante",""),IF(COUNTIF($A$5:$A$1004,A416)&gt;1,"Référence en double",IF(B416="","Désignation manquante","OK")))</f>
        <v/>
      </c>
      <c r="R416" s="39" t="str">
        <f>IF(OR(O416="Rupture",O416="À commander"),COUNTIF($O$5:O416,"Rupture")+COUNTIF($O$5:O416,"À commander"),"")</f>
        <v/>
      </c>
    </row>
    <row r="417">
      <c r="A417" s="37" t="n"/>
      <c r="B417" s="37" t="n"/>
      <c r="C417" s="37" t="n"/>
      <c r="D417" s="37" t="n"/>
      <c r="E417" s="37" t="n"/>
      <c r="F417" s="37" t="n"/>
      <c r="G417" s="38" t="n"/>
      <c r="H417" s="37" t="n"/>
      <c r="I417" s="37" t="n"/>
      <c r="J417" s="37" t="n"/>
      <c r="K417" s="39" t="str">
        <f>IF(A417="","",SUMIFS(mv_qty,mv_ref,A417,mv_type,"Entrée"))</f>
        <v/>
      </c>
      <c r="L417" s="39" t="str">
        <f>IF(A417="","",SUMIFS(mv_qty,mv_ref,A417,mv_type,"Sortie"))</f>
        <v/>
      </c>
      <c r="M417" s="39" t="str">
        <f>IF(A417="","",ROUND(N(H417)+K417-L417,6))</f>
        <v/>
      </c>
      <c r="N417" s="40" t="str">
        <f>IF(A417="","",M417*N(G417))</f>
        <v/>
      </c>
      <c r="O417" s="39" t="str">
        <f>IF(A417="","",IF(M417&lt;=0,"Rupture",IF(AND(I417&lt;&gt;"",M417&lt;=N(I417)),"À commander","OK")))</f>
        <v/>
      </c>
      <c r="P417" s="39" t="str">
        <f>IF(OR(A417="",O417="OK",J417=""),"",MAX(N(J417)-M417,0))</f>
        <v/>
      </c>
      <c r="Q417" s="39" t="str">
        <f>IF(A417="",IF(COUNTA(B417:J417)&gt;0,"Référence manquante",""),IF(COUNTIF($A$5:$A$1004,A417)&gt;1,"Référence en double",IF(B417="","Désignation manquante","OK")))</f>
        <v/>
      </c>
      <c r="R417" s="39" t="str">
        <f>IF(OR(O417="Rupture",O417="À commander"),COUNTIF($O$5:O417,"Rupture")+COUNTIF($O$5:O417,"À commander"),"")</f>
        <v/>
      </c>
    </row>
    <row r="418">
      <c r="A418" s="37" t="n"/>
      <c r="B418" s="37" t="n"/>
      <c r="C418" s="37" t="n"/>
      <c r="D418" s="37" t="n"/>
      <c r="E418" s="37" t="n"/>
      <c r="F418" s="37" t="n"/>
      <c r="G418" s="38" t="n"/>
      <c r="H418" s="37" t="n"/>
      <c r="I418" s="37" t="n"/>
      <c r="J418" s="37" t="n"/>
      <c r="K418" s="39" t="str">
        <f>IF(A418="","",SUMIFS(mv_qty,mv_ref,A418,mv_type,"Entrée"))</f>
        <v/>
      </c>
      <c r="L418" s="39" t="str">
        <f>IF(A418="","",SUMIFS(mv_qty,mv_ref,A418,mv_type,"Sortie"))</f>
        <v/>
      </c>
      <c r="M418" s="39" t="str">
        <f>IF(A418="","",ROUND(N(H418)+K418-L418,6))</f>
        <v/>
      </c>
      <c r="N418" s="40" t="str">
        <f>IF(A418="","",M418*N(G418))</f>
        <v/>
      </c>
      <c r="O418" s="39" t="str">
        <f>IF(A418="","",IF(M418&lt;=0,"Rupture",IF(AND(I418&lt;&gt;"",M418&lt;=N(I418)),"À commander","OK")))</f>
        <v/>
      </c>
      <c r="P418" s="39" t="str">
        <f>IF(OR(A418="",O418="OK",J418=""),"",MAX(N(J418)-M418,0))</f>
        <v/>
      </c>
      <c r="Q418" s="39" t="str">
        <f>IF(A418="",IF(COUNTA(B418:J418)&gt;0,"Référence manquante",""),IF(COUNTIF($A$5:$A$1004,A418)&gt;1,"Référence en double",IF(B418="","Désignation manquante","OK")))</f>
        <v/>
      </c>
      <c r="R418" s="39" t="str">
        <f>IF(OR(O418="Rupture",O418="À commander"),COUNTIF($O$5:O418,"Rupture")+COUNTIF($O$5:O418,"À commander"),"")</f>
        <v/>
      </c>
    </row>
    <row r="419">
      <c r="A419" s="37" t="n"/>
      <c r="B419" s="37" t="n"/>
      <c r="C419" s="37" t="n"/>
      <c r="D419" s="37" t="n"/>
      <c r="E419" s="37" t="n"/>
      <c r="F419" s="37" t="n"/>
      <c r="G419" s="38" t="n"/>
      <c r="H419" s="37" t="n"/>
      <c r="I419" s="37" t="n"/>
      <c r="J419" s="37" t="n"/>
      <c r="K419" s="39" t="str">
        <f>IF(A419="","",SUMIFS(mv_qty,mv_ref,A419,mv_type,"Entrée"))</f>
        <v/>
      </c>
      <c r="L419" s="39" t="str">
        <f>IF(A419="","",SUMIFS(mv_qty,mv_ref,A419,mv_type,"Sortie"))</f>
        <v/>
      </c>
      <c r="M419" s="39" t="str">
        <f>IF(A419="","",ROUND(N(H419)+K419-L419,6))</f>
        <v/>
      </c>
      <c r="N419" s="40" t="str">
        <f>IF(A419="","",M419*N(G419))</f>
        <v/>
      </c>
      <c r="O419" s="39" t="str">
        <f>IF(A419="","",IF(M419&lt;=0,"Rupture",IF(AND(I419&lt;&gt;"",M419&lt;=N(I419)),"À commander","OK")))</f>
        <v/>
      </c>
      <c r="P419" s="39" t="str">
        <f>IF(OR(A419="",O419="OK",J419=""),"",MAX(N(J419)-M419,0))</f>
        <v/>
      </c>
      <c r="Q419" s="39" t="str">
        <f>IF(A419="",IF(COUNTA(B419:J419)&gt;0,"Référence manquante",""),IF(COUNTIF($A$5:$A$1004,A419)&gt;1,"Référence en double",IF(B419="","Désignation manquante","OK")))</f>
        <v/>
      </c>
      <c r="R419" s="39" t="str">
        <f>IF(OR(O419="Rupture",O419="À commander"),COUNTIF($O$5:O419,"Rupture")+COUNTIF($O$5:O419,"À commander"),"")</f>
        <v/>
      </c>
    </row>
    <row r="420">
      <c r="A420" s="37" t="n"/>
      <c r="B420" s="37" t="n"/>
      <c r="C420" s="37" t="n"/>
      <c r="D420" s="37" t="n"/>
      <c r="E420" s="37" t="n"/>
      <c r="F420" s="37" t="n"/>
      <c r="G420" s="38" t="n"/>
      <c r="H420" s="37" t="n"/>
      <c r="I420" s="37" t="n"/>
      <c r="J420" s="37" t="n"/>
      <c r="K420" s="39" t="str">
        <f>IF(A420="","",SUMIFS(mv_qty,mv_ref,A420,mv_type,"Entrée"))</f>
        <v/>
      </c>
      <c r="L420" s="39" t="str">
        <f>IF(A420="","",SUMIFS(mv_qty,mv_ref,A420,mv_type,"Sortie"))</f>
        <v/>
      </c>
      <c r="M420" s="39" t="str">
        <f>IF(A420="","",ROUND(N(H420)+K420-L420,6))</f>
        <v/>
      </c>
      <c r="N420" s="40" t="str">
        <f>IF(A420="","",M420*N(G420))</f>
        <v/>
      </c>
      <c r="O420" s="39" t="str">
        <f>IF(A420="","",IF(M420&lt;=0,"Rupture",IF(AND(I420&lt;&gt;"",M420&lt;=N(I420)),"À commander","OK")))</f>
        <v/>
      </c>
      <c r="P420" s="39" t="str">
        <f>IF(OR(A420="",O420="OK",J420=""),"",MAX(N(J420)-M420,0))</f>
        <v/>
      </c>
      <c r="Q420" s="39" t="str">
        <f>IF(A420="",IF(COUNTA(B420:J420)&gt;0,"Référence manquante",""),IF(COUNTIF($A$5:$A$1004,A420)&gt;1,"Référence en double",IF(B420="","Désignation manquante","OK")))</f>
        <v/>
      </c>
      <c r="R420" s="39" t="str">
        <f>IF(OR(O420="Rupture",O420="À commander"),COUNTIF($O$5:O420,"Rupture")+COUNTIF($O$5:O420,"À commander"),"")</f>
        <v/>
      </c>
    </row>
    <row r="421">
      <c r="A421" s="37" t="n"/>
      <c r="B421" s="37" t="n"/>
      <c r="C421" s="37" t="n"/>
      <c r="D421" s="37" t="n"/>
      <c r="E421" s="37" t="n"/>
      <c r="F421" s="37" t="n"/>
      <c r="G421" s="38" t="n"/>
      <c r="H421" s="37" t="n"/>
      <c r="I421" s="37" t="n"/>
      <c r="J421" s="37" t="n"/>
      <c r="K421" s="39" t="str">
        <f>IF(A421="","",SUMIFS(mv_qty,mv_ref,A421,mv_type,"Entrée"))</f>
        <v/>
      </c>
      <c r="L421" s="39" t="str">
        <f>IF(A421="","",SUMIFS(mv_qty,mv_ref,A421,mv_type,"Sortie"))</f>
        <v/>
      </c>
      <c r="M421" s="39" t="str">
        <f>IF(A421="","",ROUND(N(H421)+K421-L421,6))</f>
        <v/>
      </c>
      <c r="N421" s="40" t="str">
        <f>IF(A421="","",M421*N(G421))</f>
        <v/>
      </c>
      <c r="O421" s="39" t="str">
        <f>IF(A421="","",IF(M421&lt;=0,"Rupture",IF(AND(I421&lt;&gt;"",M421&lt;=N(I421)),"À commander","OK")))</f>
        <v/>
      </c>
      <c r="P421" s="39" t="str">
        <f>IF(OR(A421="",O421="OK",J421=""),"",MAX(N(J421)-M421,0))</f>
        <v/>
      </c>
      <c r="Q421" s="39" t="str">
        <f>IF(A421="",IF(COUNTA(B421:J421)&gt;0,"Référence manquante",""),IF(COUNTIF($A$5:$A$1004,A421)&gt;1,"Référence en double",IF(B421="","Désignation manquante","OK")))</f>
        <v/>
      </c>
      <c r="R421" s="39" t="str">
        <f>IF(OR(O421="Rupture",O421="À commander"),COUNTIF($O$5:O421,"Rupture")+COUNTIF($O$5:O421,"À commander"),"")</f>
        <v/>
      </c>
    </row>
    <row r="422">
      <c r="A422" s="37" t="n"/>
      <c r="B422" s="37" t="n"/>
      <c r="C422" s="37" t="n"/>
      <c r="D422" s="37" t="n"/>
      <c r="E422" s="37" t="n"/>
      <c r="F422" s="37" t="n"/>
      <c r="G422" s="38" t="n"/>
      <c r="H422" s="37" t="n"/>
      <c r="I422" s="37" t="n"/>
      <c r="J422" s="37" t="n"/>
      <c r="K422" s="39" t="str">
        <f>IF(A422="","",SUMIFS(mv_qty,mv_ref,A422,mv_type,"Entrée"))</f>
        <v/>
      </c>
      <c r="L422" s="39" t="str">
        <f>IF(A422="","",SUMIFS(mv_qty,mv_ref,A422,mv_type,"Sortie"))</f>
        <v/>
      </c>
      <c r="M422" s="39" t="str">
        <f>IF(A422="","",ROUND(N(H422)+K422-L422,6))</f>
        <v/>
      </c>
      <c r="N422" s="40" t="str">
        <f>IF(A422="","",M422*N(G422))</f>
        <v/>
      </c>
      <c r="O422" s="39" t="str">
        <f>IF(A422="","",IF(M422&lt;=0,"Rupture",IF(AND(I422&lt;&gt;"",M422&lt;=N(I422)),"À commander","OK")))</f>
        <v/>
      </c>
      <c r="P422" s="39" t="str">
        <f>IF(OR(A422="",O422="OK",J422=""),"",MAX(N(J422)-M422,0))</f>
        <v/>
      </c>
      <c r="Q422" s="39" t="str">
        <f>IF(A422="",IF(COUNTA(B422:J422)&gt;0,"Référence manquante",""),IF(COUNTIF($A$5:$A$1004,A422)&gt;1,"Référence en double",IF(B422="","Désignation manquante","OK")))</f>
        <v/>
      </c>
      <c r="R422" s="39" t="str">
        <f>IF(OR(O422="Rupture",O422="À commander"),COUNTIF($O$5:O422,"Rupture")+COUNTIF($O$5:O422,"À commander"),"")</f>
        <v/>
      </c>
    </row>
    <row r="423">
      <c r="A423" s="37" t="n"/>
      <c r="B423" s="37" t="n"/>
      <c r="C423" s="37" t="n"/>
      <c r="D423" s="37" t="n"/>
      <c r="E423" s="37" t="n"/>
      <c r="F423" s="37" t="n"/>
      <c r="G423" s="38" t="n"/>
      <c r="H423" s="37" t="n"/>
      <c r="I423" s="37" t="n"/>
      <c r="J423" s="37" t="n"/>
      <c r="K423" s="39" t="str">
        <f>IF(A423="","",SUMIFS(mv_qty,mv_ref,A423,mv_type,"Entrée"))</f>
        <v/>
      </c>
      <c r="L423" s="39" t="str">
        <f>IF(A423="","",SUMIFS(mv_qty,mv_ref,A423,mv_type,"Sortie"))</f>
        <v/>
      </c>
      <c r="M423" s="39" t="str">
        <f>IF(A423="","",ROUND(N(H423)+K423-L423,6))</f>
        <v/>
      </c>
      <c r="N423" s="40" t="str">
        <f>IF(A423="","",M423*N(G423))</f>
        <v/>
      </c>
      <c r="O423" s="39" t="str">
        <f>IF(A423="","",IF(M423&lt;=0,"Rupture",IF(AND(I423&lt;&gt;"",M423&lt;=N(I423)),"À commander","OK")))</f>
        <v/>
      </c>
      <c r="P423" s="39" t="str">
        <f>IF(OR(A423="",O423="OK",J423=""),"",MAX(N(J423)-M423,0))</f>
        <v/>
      </c>
      <c r="Q423" s="39" t="str">
        <f>IF(A423="",IF(COUNTA(B423:J423)&gt;0,"Référence manquante",""),IF(COUNTIF($A$5:$A$1004,A423)&gt;1,"Référence en double",IF(B423="","Désignation manquante","OK")))</f>
        <v/>
      </c>
      <c r="R423" s="39" t="str">
        <f>IF(OR(O423="Rupture",O423="À commander"),COUNTIF($O$5:O423,"Rupture")+COUNTIF($O$5:O423,"À commander"),"")</f>
        <v/>
      </c>
    </row>
    <row r="424">
      <c r="A424" s="37" t="n"/>
      <c r="B424" s="37" t="n"/>
      <c r="C424" s="37" t="n"/>
      <c r="D424" s="37" t="n"/>
      <c r="E424" s="37" t="n"/>
      <c r="F424" s="37" t="n"/>
      <c r="G424" s="38" t="n"/>
      <c r="H424" s="37" t="n"/>
      <c r="I424" s="37" t="n"/>
      <c r="J424" s="37" t="n"/>
      <c r="K424" s="39" t="str">
        <f>IF(A424="","",SUMIFS(mv_qty,mv_ref,A424,mv_type,"Entrée"))</f>
        <v/>
      </c>
      <c r="L424" s="39" t="str">
        <f>IF(A424="","",SUMIFS(mv_qty,mv_ref,A424,mv_type,"Sortie"))</f>
        <v/>
      </c>
      <c r="M424" s="39" t="str">
        <f>IF(A424="","",ROUND(N(H424)+K424-L424,6))</f>
        <v/>
      </c>
      <c r="N424" s="40" t="str">
        <f>IF(A424="","",M424*N(G424))</f>
        <v/>
      </c>
      <c r="O424" s="39" t="str">
        <f>IF(A424="","",IF(M424&lt;=0,"Rupture",IF(AND(I424&lt;&gt;"",M424&lt;=N(I424)),"À commander","OK")))</f>
        <v/>
      </c>
      <c r="P424" s="39" t="str">
        <f>IF(OR(A424="",O424="OK",J424=""),"",MAX(N(J424)-M424,0))</f>
        <v/>
      </c>
      <c r="Q424" s="39" t="str">
        <f>IF(A424="",IF(COUNTA(B424:J424)&gt;0,"Référence manquante",""),IF(COUNTIF($A$5:$A$1004,A424)&gt;1,"Référence en double",IF(B424="","Désignation manquante","OK")))</f>
        <v/>
      </c>
      <c r="R424" s="39" t="str">
        <f>IF(OR(O424="Rupture",O424="À commander"),COUNTIF($O$5:O424,"Rupture")+COUNTIF($O$5:O424,"À commander"),"")</f>
        <v/>
      </c>
    </row>
    <row r="425">
      <c r="A425" s="37" t="n"/>
      <c r="B425" s="37" t="n"/>
      <c r="C425" s="37" t="n"/>
      <c r="D425" s="37" t="n"/>
      <c r="E425" s="37" t="n"/>
      <c r="F425" s="37" t="n"/>
      <c r="G425" s="38" t="n"/>
      <c r="H425" s="37" t="n"/>
      <c r="I425" s="37" t="n"/>
      <c r="J425" s="37" t="n"/>
      <c r="K425" s="39" t="str">
        <f>IF(A425="","",SUMIFS(mv_qty,mv_ref,A425,mv_type,"Entrée"))</f>
        <v/>
      </c>
      <c r="L425" s="39" t="str">
        <f>IF(A425="","",SUMIFS(mv_qty,mv_ref,A425,mv_type,"Sortie"))</f>
        <v/>
      </c>
      <c r="M425" s="39" t="str">
        <f>IF(A425="","",ROUND(N(H425)+K425-L425,6))</f>
        <v/>
      </c>
      <c r="N425" s="40" t="str">
        <f>IF(A425="","",M425*N(G425))</f>
        <v/>
      </c>
      <c r="O425" s="39" t="str">
        <f>IF(A425="","",IF(M425&lt;=0,"Rupture",IF(AND(I425&lt;&gt;"",M425&lt;=N(I425)),"À commander","OK")))</f>
        <v/>
      </c>
      <c r="P425" s="39" t="str">
        <f>IF(OR(A425="",O425="OK",J425=""),"",MAX(N(J425)-M425,0))</f>
        <v/>
      </c>
      <c r="Q425" s="39" t="str">
        <f>IF(A425="",IF(COUNTA(B425:J425)&gt;0,"Référence manquante",""),IF(COUNTIF($A$5:$A$1004,A425)&gt;1,"Référence en double",IF(B425="","Désignation manquante","OK")))</f>
        <v/>
      </c>
      <c r="R425" s="39" t="str">
        <f>IF(OR(O425="Rupture",O425="À commander"),COUNTIF($O$5:O425,"Rupture")+COUNTIF($O$5:O425,"À commander"),"")</f>
        <v/>
      </c>
    </row>
    <row r="426">
      <c r="A426" s="37" t="n"/>
      <c r="B426" s="37" t="n"/>
      <c r="C426" s="37" t="n"/>
      <c r="D426" s="37" t="n"/>
      <c r="E426" s="37" t="n"/>
      <c r="F426" s="37" t="n"/>
      <c r="G426" s="38" t="n"/>
      <c r="H426" s="37" t="n"/>
      <c r="I426" s="37" t="n"/>
      <c r="J426" s="37" t="n"/>
      <c r="K426" s="39" t="str">
        <f>IF(A426="","",SUMIFS(mv_qty,mv_ref,A426,mv_type,"Entrée"))</f>
        <v/>
      </c>
      <c r="L426" s="39" t="str">
        <f>IF(A426="","",SUMIFS(mv_qty,mv_ref,A426,mv_type,"Sortie"))</f>
        <v/>
      </c>
      <c r="M426" s="39" t="str">
        <f>IF(A426="","",ROUND(N(H426)+K426-L426,6))</f>
        <v/>
      </c>
      <c r="N426" s="40" t="str">
        <f>IF(A426="","",M426*N(G426))</f>
        <v/>
      </c>
      <c r="O426" s="39" t="str">
        <f>IF(A426="","",IF(M426&lt;=0,"Rupture",IF(AND(I426&lt;&gt;"",M426&lt;=N(I426)),"À commander","OK")))</f>
        <v/>
      </c>
      <c r="P426" s="39" t="str">
        <f>IF(OR(A426="",O426="OK",J426=""),"",MAX(N(J426)-M426,0))</f>
        <v/>
      </c>
      <c r="Q426" s="39" t="str">
        <f>IF(A426="",IF(COUNTA(B426:J426)&gt;0,"Référence manquante",""),IF(COUNTIF($A$5:$A$1004,A426)&gt;1,"Référence en double",IF(B426="","Désignation manquante","OK")))</f>
        <v/>
      </c>
      <c r="R426" s="39" t="str">
        <f>IF(OR(O426="Rupture",O426="À commander"),COUNTIF($O$5:O426,"Rupture")+COUNTIF($O$5:O426,"À commander"),"")</f>
        <v/>
      </c>
    </row>
    <row r="427">
      <c r="A427" s="37" t="n"/>
      <c r="B427" s="37" t="n"/>
      <c r="C427" s="37" t="n"/>
      <c r="D427" s="37" t="n"/>
      <c r="E427" s="37" t="n"/>
      <c r="F427" s="37" t="n"/>
      <c r="G427" s="38" t="n"/>
      <c r="H427" s="37" t="n"/>
      <c r="I427" s="37" t="n"/>
      <c r="J427" s="37" t="n"/>
      <c r="K427" s="39" t="str">
        <f>IF(A427="","",SUMIFS(mv_qty,mv_ref,A427,mv_type,"Entrée"))</f>
        <v/>
      </c>
      <c r="L427" s="39" t="str">
        <f>IF(A427="","",SUMIFS(mv_qty,mv_ref,A427,mv_type,"Sortie"))</f>
        <v/>
      </c>
      <c r="M427" s="39" t="str">
        <f>IF(A427="","",ROUND(N(H427)+K427-L427,6))</f>
        <v/>
      </c>
      <c r="N427" s="40" t="str">
        <f>IF(A427="","",M427*N(G427))</f>
        <v/>
      </c>
      <c r="O427" s="39" t="str">
        <f>IF(A427="","",IF(M427&lt;=0,"Rupture",IF(AND(I427&lt;&gt;"",M427&lt;=N(I427)),"À commander","OK")))</f>
        <v/>
      </c>
      <c r="P427" s="39" t="str">
        <f>IF(OR(A427="",O427="OK",J427=""),"",MAX(N(J427)-M427,0))</f>
        <v/>
      </c>
      <c r="Q427" s="39" t="str">
        <f>IF(A427="",IF(COUNTA(B427:J427)&gt;0,"Référence manquante",""),IF(COUNTIF($A$5:$A$1004,A427)&gt;1,"Référence en double",IF(B427="","Désignation manquante","OK")))</f>
        <v/>
      </c>
      <c r="R427" s="39" t="str">
        <f>IF(OR(O427="Rupture",O427="À commander"),COUNTIF($O$5:O427,"Rupture")+COUNTIF($O$5:O427,"À commander"),"")</f>
        <v/>
      </c>
    </row>
    <row r="428">
      <c r="A428" s="37" t="n"/>
      <c r="B428" s="37" t="n"/>
      <c r="C428" s="37" t="n"/>
      <c r="D428" s="37" t="n"/>
      <c r="E428" s="37" t="n"/>
      <c r="F428" s="37" t="n"/>
      <c r="G428" s="38" t="n"/>
      <c r="H428" s="37" t="n"/>
      <c r="I428" s="37" t="n"/>
      <c r="J428" s="37" t="n"/>
      <c r="K428" s="39" t="str">
        <f>IF(A428="","",SUMIFS(mv_qty,mv_ref,A428,mv_type,"Entrée"))</f>
        <v/>
      </c>
      <c r="L428" s="39" t="str">
        <f>IF(A428="","",SUMIFS(mv_qty,mv_ref,A428,mv_type,"Sortie"))</f>
        <v/>
      </c>
      <c r="M428" s="39" t="str">
        <f>IF(A428="","",ROUND(N(H428)+K428-L428,6))</f>
        <v/>
      </c>
      <c r="N428" s="40" t="str">
        <f>IF(A428="","",M428*N(G428))</f>
        <v/>
      </c>
      <c r="O428" s="39" t="str">
        <f>IF(A428="","",IF(M428&lt;=0,"Rupture",IF(AND(I428&lt;&gt;"",M428&lt;=N(I428)),"À commander","OK")))</f>
        <v/>
      </c>
      <c r="P428" s="39" t="str">
        <f>IF(OR(A428="",O428="OK",J428=""),"",MAX(N(J428)-M428,0))</f>
        <v/>
      </c>
      <c r="Q428" s="39" t="str">
        <f>IF(A428="",IF(COUNTA(B428:J428)&gt;0,"Référence manquante",""),IF(COUNTIF($A$5:$A$1004,A428)&gt;1,"Référence en double",IF(B428="","Désignation manquante","OK")))</f>
        <v/>
      </c>
      <c r="R428" s="39" t="str">
        <f>IF(OR(O428="Rupture",O428="À commander"),COUNTIF($O$5:O428,"Rupture")+COUNTIF($O$5:O428,"À commander"),"")</f>
        <v/>
      </c>
    </row>
    <row r="429">
      <c r="A429" s="37" t="n"/>
      <c r="B429" s="37" t="n"/>
      <c r="C429" s="37" t="n"/>
      <c r="D429" s="37" t="n"/>
      <c r="E429" s="37" t="n"/>
      <c r="F429" s="37" t="n"/>
      <c r="G429" s="38" t="n"/>
      <c r="H429" s="37" t="n"/>
      <c r="I429" s="37" t="n"/>
      <c r="J429" s="37" t="n"/>
      <c r="K429" s="39" t="str">
        <f>IF(A429="","",SUMIFS(mv_qty,mv_ref,A429,mv_type,"Entrée"))</f>
        <v/>
      </c>
      <c r="L429" s="39" t="str">
        <f>IF(A429="","",SUMIFS(mv_qty,mv_ref,A429,mv_type,"Sortie"))</f>
        <v/>
      </c>
      <c r="M429" s="39" t="str">
        <f>IF(A429="","",ROUND(N(H429)+K429-L429,6))</f>
        <v/>
      </c>
      <c r="N429" s="40" t="str">
        <f>IF(A429="","",M429*N(G429))</f>
        <v/>
      </c>
      <c r="O429" s="39" t="str">
        <f>IF(A429="","",IF(M429&lt;=0,"Rupture",IF(AND(I429&lt;&gt;"",M429&lt;=N(I429)),"À commander","OK")))</f>
        <v/>
      </c>
      <c r="P429" s="39" t="str">
        <f>IF(OR(A429="",O429="OK",J429=""),"",MAX(N(J429)-M429,0))</f>
        <v/>
      </c>
      <c r="Q429" s="39" t="str">
        <f>IF(A429="",IF(COUNTA(B429:J429)&gt;0,"Référence manquante",""),IF(COUNTIF($A$5:$A$1004,A429)&gt;1,"Référence en double",IF(B429="","Désignation manquante","OK")))</f>
        <v/>
      </c>
      <c r="R429" s="39" t="str">
        <f>IF(OR(O429="Rupture",O429="À commander"),COUNTIF($O$5:O429,"Rupture")+COUNTIF($O$5:O429,"À commander"),"")</f>
        <v/>
      </c>
    </row>
    <row r="430">
      <c r="A430" s="37" t="n"/>
      <c r="B430" s="37" t="n"/>
      <c r="C430" s="37" t="n"/>
      <c r="D430" s="37" t="n"/>
      <c r="E430" s="37" t="n"/>
      <c r="F430" s="37" t="n"/>
      <c r="G430" s="38" t="n"/>
      <c r="H430" s="37" t="n"/>
      <c r="I430" s="37" t="n"/>
      <c r="J430" s="37" t="n"/>
      <c r="K430" s="39" t="str">
        <f>IF(A430="","",SUMIFS(mv_qty,mv_ref,A430,mv_type,"Entrée"))</f>
        <v/>
      </c>
      <c r="L430" s="39" t="str">
        <f>IF(A430="","",SUMIFS(mv_qty,mv_ref,A430,mv_type,"Sortie"))</f>
        <v/>
      </c>
      <c r="M430" s="39" t="str">
        <f>IF(A430="","",ROUND(N(H430)+K430-L430,6))</f>
        <v/>
      </c>
      <c r="N430" s="40" t="str">
        <f>IF(A430="","",M430*N(G430))</f>
        <v/>
      </c>
      <c r="O430" s="39" t="str">
        <f>IF(A430="","",IF(M430&lt;=0,"Rupture",IF(AND(I430&lt;&gt;"",M430&lt;=N(I430)),"À commander","OK")))</f>
        <v/>
      </c>
      <c r="P430" s="39" t="str">
        <f>IF(OR(A430="",O430="OK",J430=""),"",MAX(N(J430)-M430,0))</f>
        <v/>
      </c>
      <c r="Q430" s="39" t="str">
        <f>IF(A430="",IF(COUNTA(B430:J430)&gt;0,"Référence manquante",""),IF(COUNTIF($A$5:$A$1004,A430)&gt;1,"Référence en double",IF(B430="","Désignation manquante","OK")))</f>
        <v/>
      </c>
      <c r="R430" s="39" t="str">
        <f>IF(OR(O430="Rupture",O430="À commander"),COUNTIF($O$5:O430,"Rupture")+COUNTIF($O$5:O430,"À commander"),"")</f>
        <v/>
      </c>
    </row>
    <row r="431">
      <c r="A431" s="37" t="n"/>
      <c r="B431" s="37" t="n"/>
      <c r="C431" s="37" t="n"/>
      <c r="D431" s="37" t="n"/>
      <c r="E431" s="37" t="n"/>
      <c r="F431" s="37" t="n"/>
      <c r="G431" s="38" t="n"/>
      <c r="H431" s="37" t="n"/>
      <c r="I431" s="37" t="n"/>
      <c r="J431" s="37" t="n"/>
      <c r="K431" s="39" t="str">
        <f>IF(A431="","",SUMIFS(mv_qty,mv_ref,A431,mv_type,"Entrée"))</f>
        <v/>
      </c>
      <c r="L431" s="39" t="str">
        <f>IF(A431="","",SUMIFS(mv_qty,mv_ref,A431,mv_type,"Sortie"))</f>
        <v/>
      </c>
      <c r="M431" s="39" t="str">
        <f>IF(A431="","",ROUND(N(H431)+K431-L431,6))</f>
        <v/>
      </c>
      <c r="N431" s="40" t="str">
        <f>IF(A431="","",M431*N(G431))</f>
        <v/>
      </c>
      <c r="O431" s="39" t="str">
        <f>IF(A431="","",IF(M431&lt;=0,"Rupture",IF(AND(I431&lt;&gt;"",M431&lt;=N(I431)),"À commander","OK")))</f>
        <v/>
      </c>
      <c r="P431" s="39" t="str">
        <f>IF(OR(A431="",O431="OK",J431=""),"",MAX(N(J431)-M431,0))</f>
        <v/>
      </c>
      <c r="Q431" s="39" t="str">
        <f>IF(A431="",IF(COUNTA(B431:J431)&gt;0,"Référence manquante",""),IF(COUNTIF($A$5:$A$1004,A431)&gt;1,"Référence en double",IF(B431="","Désignation manquante","OK")))</f>
        <v/>
      </c>
      <c r="R431" s="39" t="str">
        <f>IF(OR(O431="Rupture",O431="À commander"),COUNTIF($O$5:O431,"Rupture")+COUNTIF($O$5:O431,"À commander"),"")</f>
        <v/>
      </c>
    </row>
    <row r="432">
      <c r="A432" s="37" t="n"/>
      <c r="B432" s="37" t="n"/>
      <c r="C432" s="37" t="n"/>
      <c r="D432" s="37" t="n"/>
      <c r="E432" s="37" t="n"/>
      <c r="F432" s="37" t="n"/>
      <c r="G432" s="38" t="n"/>
      <c r="H432" s="37" t="n"/>
      <c r="I432" s="37" t="n"/>
      <c r="J432" s="37" t="n"/>
      <c r="K432" s="39" t="str">
        <f>IF(A432="","",SUMIFS(mv_qty,mv_ref,A432,mv_type,"Entrée"))</f>
        <v/>
      </c>
      <c r="L432" s="39" t="str">
        <f>IF(A432="","",SUMIFS(mv_qty,mv_ref,A432,mv_type,"Sortie"))</f>
        <v/>
      </c>
      <c r="M432" s="39" t="str">
        <f>IF(A432="","",ROUND(N(H432)+K432-L432,6))</f>
        <v/>
      </c>
      <c r="N432" s="40" t="str">
        <f>IF(A432="","",M432*N(G432))</f>
        <v/>
      </c>
      <c r="O432" s="39" t="str">
        <f>IF(A432="","",IF(M432&lt;=0,"Rupture",IF(AND(I432&lt;&gt;"",M432&lt;=N(I432)),"À commander","OK")))</f>
        <v/>
      </c>
      <c r="P432" s="39" t="str">
        <f>IF(OR(A432="",O432="OK",J432=""),"",MAX(N(J432)-M432,0))</f>
        <v/>
      </c>
      <c r="Q432" s="39" t="str">
        <f>IF(A432="",IF(COUNTA(B432:J432)&gt;0,"Référence manquante",""),IF(COUNTIF($A$5:$A$1004,A432)&gt;1,"Référence en double",IF(B432="","Désignation manquante","OK")))</f>
        <v/>
      </c>
      <c r="R432" s="39" t="str">
        <f>IF(OR(O432="Rupture",O432="À commander"),COUNTIF($O$5:O432,"Rupture")+COUNTIF($O$5:O432,"À commander"),"")</f>
        <v/>
      </c>
    </row>
    <row r="433">
      <c r="A433" s="37" t="n"/>
      <c r="B433" s="37" t="n"/>
      <c r="C433" s="37" t="n"/>
      <c r="D433" s="37" t="n"/>
      <c r="E433" s="37" t="n"/>
      <c r="F433" s="37" t="n"/>
      <c r="G433" s="38" t="n"/>
      <c r="H433" s="37" t="n"/>
      <c r="I433" s="37" t="n"/>
      <c r="J433" s="37" t="n"/>
      <c r="K433" s="39" t="str">
        <f>IF(A433="","",SUMIFS(mv_qty,mv_ref,A433,mv_type,"Entrée"))</f>
        <v/>
      </c>
      <c r="L433" s="39" t="str">
        <f>IF(A433="","",SUMIFS(mv_qty,mv_ref,A433,mv_type,"Sortie"))</f>
        <v/>
      </c>
      <c r="M433" s="39" t="str">
        <f>IF(A433="","",ROUND(N(H433)+K433-L433,6))</f>
        <v/>
      </c>
      <c r="N433" s="40" t="str">
        <f>IF(A433="","",M433*N(G433))</f>
        <v/>
      </c>
      <c r="O433" s="39" t="str">
        <f>IF(A433="","",IF(M433&lt;=0,"Rupture",IF(AND(I433&lt;&gt;"",M433&lt;=N(I433)),"À commander","OK")))</f>
        <v/>
      </c>
      <c r="P433" s="39" t="str">
        <f>IF(OR(A433="",O433="OK",J433=""),"",MAX(N(J433)-M433,0))</f>
        <v/>
      </c>
      <c r="Q433" s="39" t="str">
        <f>IF(A433="",IF(COUNTA(B433:J433)&gt;0,"Référence manquante",""),IF(COUNTIF($A$5:$A$1004,A433)&gt;1,"Référence en double",IF(B433="","Désignation manquante","OK")))</f>
        <v/>
      </c>
      <c r="R433" s="39" t="str">
        <f>IF(OR(O433="Rupture",O433="À commander"),COUNTIF($O$5:O433,"Rupture")+COUNTIF($O$5:O433,"À commander"),"")</f>
        <v/>
      </c>
    </row>
    <row r="434">
      <c r="A434" s="37" t="n"/>
      <c r="B434" s="37" t="n"/>
      <c r="C434" s="37" t="n"/>
      <c r="D434" s="37" t="n"/>
      <c r="E434" s="37" t="n"/>
      <c r="F434" s="37" t="n"/>
      <c r="G434" s="38" t="n"/>
      <c r="H434" s="37" t="n"/>
      <c r="I434" s="37" t="n"/>
      <c r="J434" s="37" t="n"/>
      <c r="K434" s="39" t="str">
        <f>IF(A434="","",SUMIFS(mv_qty,mv_ref,A434,mv_type,"Entrée"))</f>
        <v/>
      </c>
      <c r="L434" s="39" t="str">
        <f>IF(A434="","",SUMIFS(mv_qty,mv_ref,A434,mv_type,"Sortie"))</f>
        <v/>
      </c>
      <c r="M434" s="39" t="str">
        <f>IF(A434="","",ROUND(N(H434)+K434-L434,6))</f>
        <v/>
      </c>
      <c r="N434" s="40" t="str">
        <f>IF(A434="","",M434*N(G434))</f>
        <v/>
      </c>
      <c r="O434" s="39" t="str">
        <f>IF(A434="","",IF(M434&lt;=0,"Rupture",IF(AND(I434&lt;&gt;"",M434&lt;=N(I434)),"À commander","OK")))</f>
        <v/>
      </c>
      <c r="P434" s="39" t="str">
        <f>IF(OR(A434="",O434="OK",J434=""),"",MAX(N(J434)-M434,0))</f>
        <v/>
      </c>
      <c r="Q434" s="39" t="str">
        <f>IF(A434="",IF(COUNTA(B434:J434)&gt;0,"Référence manquante",""),IF(COUNTIF($A$5:$A$1004,A434)&gt;1,"Référence en double",IF(B434="","Désignation manquante","OK")))</f>
        <v/>
      </c>
      <c r="R434" s="39" t="str">
        <f>IF(OR(O434="Rupture",O434="À commander"),COUNTIF($O$5:O434,"Rupture")+COUNTIF($O$5:O434,"À commander"),"")</f>
        <v/>
      </c>
    </row>
    <row r="435">
      <c r="A435" s="37" t="n"/>
      <c r="B435" s="37" t="n"/>
      <c r="C435" s="37" t="n"/>
      <c r="D435" s="37" t="n"/>
      <c r="E435" s="37" t="n"/>
      <c r="F435" s="37" t="n"/>
      <c r="G435" s="38" t="n"/>
      <c r="H435" s="37" t="n"/>
      <c r="I435" s="37" t="n"/>
      <c r="J435" s="37" t="n"/>
      <c r="K435" s="39" t="str">
        <f>IF(A435="","",SUMIFS(mv_qty,mv_ref,A435,mv_type,"Entrée"))</f>
        <v/>
      </c>
      <c r="L435" s="39" t="str">
        <f>IF(A435="","",SUMIFS(mv_qty,mv_ref,A435,mv_type,"Sortie"))</f>
        <v/>
      </c>
      <c r="M435" s="39" t="str">
        <f>IF(A435="","",ROUND(N(H435)+K435-L435,6))</f>
        <v/>
      </c>
      <c r="N435" s="40" t="str">
        <f>IF(A435="","",M435*N(G435))</f>
        <v/>
      </c>
      <c r="O435" s="39" t="str">
        <f>IF(A435="","",IF(M435&lt;=0,"Rupture",IF(AND(I435&lt;&gt;"",M435&lt;=N(I435)),"À commander","OK")))</f>
        <v/>
      </c>
      <c r="P435" s="39" t="str">
        <f>IF(OR(A435="",O435="OK",J435=""),"",MAX(N(J435)-M435,0))</f>
        <v/>
      </c>
      <c r="Q435" s="39" t="str">
        <f>IF(A435="",IF(COUNTA(B435:J435)&gt;0,"Référence manquante",""),IF(COUNTIF($A$5:$A$1004,A435)&gt;1,"Référence en double",IF(B435="","Désignation manquante","OK")))</f>
        <v/>
      </c>
      <c r="R435" s="39" t="str">
        <f>IF(OR(O435="Rupture",O435="À commander"),COUNTIF($O$5:O435,"Rupture")+COUNTIF($O$5:O435,"À commander"),"")</f>
        <v/>
      </c>
    </row>
    <row r="436">
      <c r="A436" s="37" t="n"/>
      <c r="B436" s="37" t="n"/>
      <c r="C436" s="37" t="n"/>
      <c r="D436" s="37" t="n"/>
      <c r="E436" s="37" t="n"/>
      <c r="F436" s="37" t="n"/>
      <c r="G436" s="38" t="n"/>
      <c r="H436" s="37" t="n"/>
      <c r="I436" s="37" t="n"/>
      <c r="J436" s="37" t="n"/>
      <c r="K436" s="39" t="str">
        <f>IF(A436="","",SUMIFS(mv_qty,mv_ref,A436,mv_type,"Entrée"))</f>
        <v/>
      </c>
      <c r="L436" s="39" t="str">
        <f>IF(A436="","",SUMIFS(mv_qty,mv_ref,A436,mv_type,"Sortie"))</f>
        <v/>
      </c>
      <c r="M436" s="39" t="str">
        <f>IF(A436="","",ROUND(N(H436)+K436-L436,6))</f>
        <v/>
      </c>
      <c r="N436" s="40" t="str">
        <f>IF(A436="","",M436*N(G436))</f>
        <v/>
      </c>
      <c r="O436" s="39" t="str">
        <f>IF(A436="","",IF(M436&lt;=0,"Rupture",IF(AND(I436&lt;&gt;"",M436&lt;=N(I436)),"À commander","OK")))</f>
        <v/>
      </c>
      <c r="P436" s="39" t="str">
        <f>IF(OR(A436="",O436="OK",J436=""),"",MAX(N(J436)-M436,0))</f>
        <v/>
      </c>
      <c r="Q436" s="39" t="str">
        <f>IF(A436="",IF(COUNTA(B436:J436)&gt;0,"Référence manquante",""),IF(COUNTIF($A$5:$A$1004,A436)&gt;1,"Référence en double",IF(B436="","Désignation manquante","OK")))</f>
        <v/>
      </c>
      <c r="R436" s="39" t="str">
        <f>IF(OR(O436="Rupture",O436="À commander"),COUNTIF($O$5:O436,"Rupture")+COUNTIF($O$5:O436,"À commander"),"")</f>
        <v/>
      </c>
    </row>
    <row r="437">
      <c r="A437" s="37" t="n"/>
      <c r="B437" s="37" t="n"/>
      <c r="C437" s="37" t="n"/>
      <c r="D437" s="37" t="n"/>
      <c r="E437" s="37" t="n"/>
      <c r="F437" s="37" t="n"/>
      <c r="G437" s="38" t="n"/>
      <c r="H437" s="37" t="n"/>
      <c r="I437" s="37" t="n"/>
      <c r="J437" s="37" t="n"/>
      <c r="K437" s="39" t="str">
        <f>IF(A437="","",SUMIFS(mv_qty,mv_ref,A437,mv_type,"Entrée"))</f>
        <v/>
      </c>
      <c r="L437" s="39" t="str">
        <f>IF(A437="","",SUMIFS(mv_qty,mv_ref,A437,mv_type,"Sortie"))</f>
        <v/>
      </c>
      <c r="M437" s="39" t="str">
        <f>IF(A437="","",ROUND(N(H437)+K437-L437,6))</f>
        <v/>
      </c>
      <c r="N437" s="40" t="str">
        <f>IF(A437="","",M437*N(G437))</f>
        <v/>
      </c>
      <c r="O437" s="39" t="str">
        <f>IF(A437="","",IF(M437&lt;=0,"Rupture",IF(AND(I437&lt;&gt;"",M437&lt;=N(I437)),"À commander","OK")))</f>
        <v/>
      </c>
      <c r="P437" s="39" t="str">
        <f>IF(OR(A437="",O437="OK",J437=""),"",MAX(N(J437)-M437,0))</f>
        <v/>
      </c>
      <c r="Q437" s="39" t="str">
        <f>IF(A437="",IF(COUNTA(B437:J437)&gt;0,"Référence manquante",""),IF(COUNTIF($A$5:$A$1004,A437)&gt;1,"Référence en double",IF(B437="","Désignation manquante","OK")))</f>
        <v/>
      </c>
      <c r="R437" s="39" t="str">
        <f>IF(OR(O437="Rupture",O437="À commander"),COUNTIF($O$5:O437,"Rupture")+COUNTIF($O$5:O437,"À commander"),"")</f>
        <v/>
      </c>
    </row>
    <row r="438">
      <c r="A438" s="37" t="n"/>
      <c r="B438" s="37" t="n"/>
      <c r="C438" s="37" t="n"/>
      <c r="D438" s="37" t="n"/>
      <c r="E438" s="37" t="n"/>
      <c r="F438" s="37" t="n"/>
      <c r="G438" s="38" t="n"/>
      <c r="H438" s="37" t="n"/>
      <c r="I438" s="37" t="n"/>
      <c r="J438" s="37" t="n"/>
      <c r="K438" s="39" t="str">
        <f>IF(A438="","",SUMIFS(mv_qty,mv_ref,A438,mv_type,"Entrée"))</f>
        <v/>
      </c>
      <c r="L438" s="39" t="str">
        <f>IF(A438="","",SUMIFS(mv_qty,mv_ref,A438,mv_type,"Sortie"))</f>
        <v/>
      </c>
      <c r="M438" s="39" t="str">
        <f>IF(A438="","",ROUND(N(H438)+K438-L438,6))</f>
        <v/>
      </c>
      <c r="N438" s="40" t="str">
        <f>IF(A438="","",M438*N(G438))</f>
        <v/>
      </c>
      <c r="O438" s="39" t="str">
        <f>IF(A438="","",IF(M438&lt;=0,"Rupture",IF(AND(I438&lt;&gt;"",M438&lt;=N(I438)),"À commander","OK")))</f>
        <v/>
      </c>
      <c r="P438" s="39" t="str">
        <f>IF(OR(A438="",O438="OK",J438=""),"",MAX(N(J438)-M438,0))</f>
        <v/>
      </c>
      <c r="Q438" s="39" t="str">
        <f>IF(A438="",IF(COUNTA(B438:J438)&gt;0,"Référence manquante",""),IF(COUNTIF($A$5:$A$1004,A438)&gt;1,"Référence en double",IF(B438="","Désignation manquante","OK")))</f>
        <v/>
      </c>
      <c r="R438" s="39" t="str">
        <f>IF(OR(O438="Rupture",O438="À commander"),COUNTIF($O$5:O438,"Rupture")+COUNTIF($O$5:O438,"À commander"),"")</f>
        <v/>
      </c>
    </row>
    <row r="439">
      <c r="A439" s="37" t="n"/>
      <c r="B439" s="37" t="n"/>
      <c r="C439" s="37" t="n"/>
      <c r="D439" s="37" t="n"/>
      <c r="E439" s="37" t="n"/>
      <c r="F439" s="37" t="n"/>
      <c r="G439" s="38" t="n"/>
      <c r="H439" s="37" t="n"/>
      <c r="I439" s="37" t="n"/>
      <c r="J439" s="37" t="n"/>
      <c r="K439" s="39" t="str">
        <f>IF(A439="","",SUMIFS(mv_qty,mv_ref,A439,mv_type,"Entrée"))</f>
        <v/>
      </c>
      <c r="L439" s="39" t="str">
        <f>IF(A439="","",SUMIFS(mv_qty,mv_ref,A439,mv_type,"Sortie"))</f>
        <v/>
      </c>
      <c r="M439" s="39" t="str">
        <f>IF(A439="","",ROUND(N(H439)+K439-L439,6))</f>
        <v/>
      </c>
      <c r="N439" s="40" t="str">
        <f>IF(A439="","",M439*N(G439))</f>
        <v/>
      </c>
      <c r="O439" s="39" t="str">
        <f>IF(A439="","",IF(M439&lt;=0,"Rupture",IF(AND(I439&lt;&gt;"",M439&lt;=N(I439)),"À commander","OK")))</f>
        <v/>
      </c>
      <c r="P439" s="39" t="str">
        <f>IF(OR(A439="",O439="OK",J439=""),"",MAX(N(J439)-M439,0))</f>
        <v/>
      </c>
      <c r="Q439" s="39" t="str">
        <f>IF(A439="",IF(COUNTA(B439:J439)&gt;0,"Référence manquante",""),IF(COUNTIF($A$5:$A$1004,A439)&gt;1,"Référence en double",IF(B439="","Désignation manquante","OK")))</f>
        <v/>
      </c>
      <c r="R439" s="39" t="str">
        <f>IF(OR(O439="Rupture",O439="À commander"),COUNTIF($O$5:O439,"Rupture")+COUNTIF($O$5:O439,"À commander"),"")</f>
        <v/>
      </c>
    </row>
    <row r="440">
      <c r="A440" s="37" t="n"/>
      <c r="B440" s="37" t="n"/>
      <c r="C440" s="37" t="n"/>
      <c r="D440" s="37" t="n"/>
      <c r="E440" s="37" t="n"/>
      <c r="F440" s="37" t="n"/>
      <c r="G440" s="38" t="n"/>
      <c r="H440" s="37" t="n"/>
      <c r="I440" s="37" t="n"/>
      <c r="J440" s="37" t="n"/>
      <c r="K440" s="39" t="str">
        <f>IF(A440="","",SUMIFS(mv_qty,mv_ref,A440,mv_type,"Entrée"))</f>
        <v/>
      </c>
      <c r="L440" s="39" t="str">
        <f>IF(A440="","",SUMIFS(mv_qty,mv_ref,A440,mv_type,"Sortie"))</f>
        <v/>
      </c>
      <c r="M440" s="39" t="str">
        <f>IF(A440="","",ROUND(N(H440)+K440-L440,6))</f>
        <v/>
      </c>
      <c r="N440" s="40" t="str">
        <f>IF(A440="","",M440*N(G440))</f>
        <v/>
      </c>
      <c r="O440" s="39" t="str">
        <f>IF(A440="","",IF(M440&lt;=0,"Rupture",IF(AND(I440&lt;&gt;"",M440&lt;=N(I440)),"À commander","OK")))</f>
        <v/>
      </c>
      <c r="P440" s="39" t="str">
        <f>IF(OR(A440="",O440="OK",J440=""),"",MAX(N(J440)-M440,0))</f>
        <v/>
      </c>
      <c r="Q440" s="39" t="str">
        <f>IF(A440="",IF(COUNTA(B440:J440)&gt;0,"Référence manquante",""),IF(COUNTIF($A$5:$A$1004,A440)&gt;1,"Référence en double",IF(B440="","Désignation manquante","OK")))</f>
        <v/>
      </c>
      <c r="R440" s="39" t="str">
        <f>IF(OR(O440="Rupture",O440="À commander"),COUNTIF($O$5:O440,"Rupture")+COUNTIF($O$5:O440,"À commander"),"")</f>
        <v/>
      </c>
    </row>
    <row r="441">
      <c r="A441" s="37" t="n"/>
      <c r="B441" s="37" t="n"/>
      <c r="C441" s="37" t="n"/>
      <c r="D441" s="37" t="n"/>
      <c r="E441" s="37" t="n"/>
      <c r="F441" s="37" t="n"/>
      <c r="G441" s="38" t="n"/>
      <c r="H441" s="37" t="n"/>
      <c r="I441" s="37" t="n"/>
      <c r="J441" s="37" t="n"/>
      <c r="K441" s="39" t="str">
        <f>IF(A441="","",SUMIFS(mv_qty,mv_ref,A441,mv_type,"Entrée"))</f>
        <v/>
      </c>
      <c r="L441" s="39" t="str">
        <f>IF(A441="","",SUMIFS(mv_qty,mv_ref,A441,mv_type,"Sortie"))</f>
        <v/>
      </c>
      <c r="M441" s="39" t="str">
        <f>IF(A441="","",ROUND(N(H441)+K441-L441,6))</f>
        <v/>
      </c>
      <c r="N441" s="40" t="str">
        <f>IF(A441="","",M441*N(G441))</f>
        <v/>
      </c>
      <c r="O441" s="39" t="str">
        <f>IF(A441="","",IF(M441&lt;=0,"Rupture",IF(AND(I441&lt;&gt;"",M441&lt;=N(I441)),"À commander","OK")))</f>
        <v/>
      </c>
      <c r="P441" s="39" t="str">
        <f>IF(OR(A441="",O441="OK",J441=""),"",MAX(N(J441)-M441,0))</f>
        <v/>
      </c>
      <c r="Q441" s="39" t="str">
        <f>IF(A441="",IF(COUNTA(B441:J441)&gt;0,"Référence manquante",""),IF(COUNTIF($A$5:$A$1004,A441)&gt;1,"Référence en double",IF(B441="","Désignation manquante","OK")))</f>
        <v/>
      </c>
      <c r="R441" s="39" t="str">
        <f>IF(OR(O441="Rupture",O441="À commander"),COUNTIF($O$5:O441,"Rupture")+COUNTIF($O$5:O441,"À commander"),"")</f>
        <v/>
      </c>
    </row>
    <row r="442">
      <c r="A442" s="37" t="n"/>
      <c r="B442" s="37" t="n"/>
      <c r="C442" s="37" t="n"/>
      <c r="D442" s="37" t="n"/>
      <c r="E442" s="37" t="n"/>
      <c r="F442" s="37" t="n"/>
      <c r="G442" s="38" t="n"/>
      <c r="H442" s="37" t="n"/>
      <c r="I442" s="37" t="n"/>
      <c r="J442" s="37" t="n"/>
      <c r="K442" s="39" t="str">
        <f>IF(A442="","",SUMIFS(mv_qty,mv_ref,A442,mv_type,"Entrée"))</f>
        <v/>
      </c>
      <c r="L442" s="39" t="str">
        <f>IF(A442="","",SUMIFS(mv_qty,mv_ref,A442,mv_type,"Sortie"))</f>
        <v/>
      </c>
      <c r="M442" s="39" t="str">
        <f>IF(A442="","",ROUND(N(H442)+K442-L442,6))</f>
        <v/>
      </c>
      <c r="N442" s="40" t="str">
        <f>IF(A442="","",M442*N(G442))</f>
        <v/>
      </c>
      <c r="O442" s="39" t="str">
        <f>IF(A442="","",IF(M442&lt;=0,"Rupture",IF(AND(I442&lt;&gt;"",M442&lt;=N(I442)),"À commander","OK")))</f>
        <v/>
      </c>
      <c r="P442" s="39" t="str">
        <f>IF(OR(A442="",O442="OK",J442=""),"",MAX(N(J442)-M442,0))</f>
        <v/>
      </c>
      <c r="Q442" s="39" t="str">
        <f>IF(A442="",IF(COUNTA(B442:J442)&gt;0,"Référence manquante",""),IF(COUNTIF($A$5:$A$1004,A442)&gt;1,"Référence en double",IF(B442="","Désignation manquante","OK")))</f>
        <v/>
      </c>
      <c r="R442" s="39" t="str">
        <f>IF(OR(O442="Rupture",O442="À commander"),COUNTIF($O$5:O442,"Rupture")+COUNTIF($O$5:O442,"À commander"),"")</f>
        <v/>
      </c>
    </row>
    <row r="443">
      <c r="A443" s="37" t="n"/>
      <c r="B443" s="37" t="n"/>
      <c r="C443" s="37" t="n"/>
      <c r="D443" s="37" t="n"/>
      <c r="E443" s="37" t="n"/>
      <c r="F443" s="37" t="n"/>
      <c r="G443" s="38" t="n"/>
      <c r="H443" s="37" t="n"/>
      <c r="I443" s="37" t="n"/>
      <c r="J443" s="37" t="n"/>
      <c r="K443" s="39" t="str">
        <f>IF(A443="","",SUMIFS(mv_qty,mv_ref,A443,mv_type,"Entrée"))</f>
        <v/>
      </c>
      <c r="L443" s="39" t="str">
        <f>IF(A443="","",SUMIFS(mv_qty,mv_ref,A443,mv_type,"Sortie"))</f>
        <v/>
      </c>
      <c r="M443" s="39" t="str">
        <f>IF(A443="","",ROUND(N(H443)+K443-L443,6))</f>
        <v/>
      </c>
      <c r="N443" s="40" t="str">
        <f>IF(A443="","",M443*N(G443))</f>
        <v/>
      </c>
      <c r="O443" s="39" t="str">
        <f>IF(A443="","",IF(M443&lt;=0,"Rupture",IF(AND(I443&lt;&gt;"",M443&lt;=N(I443)),"À commander","OK")))</f>
        <v/>
      </c>
      <c r="P443" s="39" t="str">
        <f>IF(OR(A443="",O443="OK",J443=""),"",MAX(N(J443)-M443,0))</f>
        <v/>
      </c>
      <c r="Q443" s="39" t="str">
        <f>IF(A443="",IF(COUNTA(B443:J443)&gt;0,"Référence manquante",""),IF(COUNTIF($A$5:$A$1004,A443)&gt;1,"Référence en double",IF(B443="","Désignation manquante","OK")))</f>
        <v/>
      </c>
      <c r="R443" s="39" t="str">
        <f>IF(OR(O443="Rupture",O443="À commander"),COUNTIF($O$5:O443,"Rupture")+COUNTIF($O$5:O443,"À commander"),"")</f>
        <v/>
      </c>
    </row>
    <row r="444">
      <c r="A444" s="37" t="n"/>
      <c r="B444" s="37" t="n"/>
      <c r="C444" s="37" t="n"/>
      <c r="D444" s="37" t="n"/>
      <c r="E444" s="37" t="n"/>
      <c r="F444" s="37" t="n"/>
      <c r="G444" s="38" t="n"/>
      <c r="H444" s="37" t="n"/>
      <c r="I444" s="37" t="n"/>
      <c r="J444" s="37" t="n"/>
      <c r="K444" s="39" t="str">
        <f>IF(A444="","",SUMIFS(mv_qty,mv_ref,A444,mv_type,"Entrée"))</f>
        <v/>
      </c>
      <c r="L444" s="39" t="str">
        <f>IF(A444="","",SUMIFS(mv_qty,mv_ref,A444,mv_type,"Sortie"))</f>
        <v/>
      </c>
      <c r="M444" s="39" t="str">
        <f>IF(A444="","",ROUND(N(H444)+K444-L444,6))</f>
        <v/>
      </c>
      <c r="N444" s="40" t="str">
        <f>IF(A444="","",M444*N(G444))</f>
        <v/>
      </c>
      <c r="O444" s="39" t="str">
        <f>IF(A444="","",IF(M444&lt;=0,"Rupture",IF(AND(I444&lt;&gt;"",M444&lt;=N(I444)),"À commander","OK")))</f>
        <v/>
      </c>
      <c r="P444" s="39" t="str">
        <f>IF(OR(A444="",O444="OK",J444=""),"",MAX(N(J444)-M444,0))</f>
        <v/>
      </c>
      <c r="Q444" s="39" t="str">
        <f>IF(A444="",IF(COUNTA(B444:J444)&gt;0,"Référence manquante",""),IF(COUNTIF($A$5:$A$1004,A444)&gt;1,"Référence en double",IF(B444="","Désignation manquante","OK")))</f>
        <v/>
      </c>
      <c r="R444" s="39" t="str">
        <f>IF(OR(O444="Rupture",O444="À commander"),COUNTIF($O$5:O444,"Rupture")+COUNTIF($O$5:O444,"À commander"),"")</f>
        <v/>
      </c>
    </row>
    <row r="445">
      <c r="A445" s="37" t="n"/>
      <c r="B445" s="37" t="n"/>
      <c r="C445" s="37" t="n"/>
      <c r="D445" s="37" t="n"/>
      <c r="E445" s="37" t="n"/>
      <c r="F445" s="37" t="n"/>
      <c r="G445" s="38" t="n"/>
      <c r="H445" s="37" t="n"/>
      <c r="I445" s="37" t="n"/>
      <c r="J445" s="37" t="n"/>
      <c r="K445" s="39" t="str">
        <f>IF(A445="","",SUMIFS(mv_qty,mv_ref,A445,mv_type,"Entrée"))</f>
        <v/>
      </c>
      <c r="L445" s="39" t="str">
        <f>IF(A445="","",SUMIFS(mv_qty,mv_ref,A445,mv_type,"Sortie"))</f>
        <v/>
      </c>
      <c r="M445" s="39" t="str">
        <f>IF(A445="","",ROUND(N(H445)+K445-L445,6))</f>
        <v/>
      </c>
      <c r="N445" s="40" t="str">
        <f>IF(A445="","",M445*N(G445))</f>
        <v/>
      </c>
      <c r="O445" s="39" t="str">
        <f>IF(A445="","",IF(M445&lt;=0,"Rupture",IF(AND(I445&lt;&gt;"",M445&lt;=N(I445)),"À commander","OK")))</f>
        <v/>
      </c>
      <c r="P445" s="39" t="str">
        <f>IF(OR(A445="",O445="OK",J445=""),"",MAX(N(J445)-M445,0))</f>
        <v/>
      </c>
      <c r="Q445" s="39" t="str">
        <f>IF(A445="",IF(COUNTA(B445:J445)&gt;0,"Référence manquante",""),IF(COUNTIF($A$5:$A$1004,A445)&gt;1,"Référence en double",IF(B445="","Désignation manquante","OK")))</f>
        <v/>
      </c>
      <c r="R445" s="39" t="str">
        <f>IF(OR(O445="Rupture",O445="À commander"),COUNTIF($O$5:O445,"Rupture")+COUNTIF($O$5:O445,"À commander"),"")</f>
        <v/>
      </c>
    </row>
    <row r="446">
      <c r="A446" s="37" t="n"/>
      <c r="B446" s="37" t="n"/>
      <c r="C446" s="37" t="n"/>
      <c r="D446" s="37" t="n"/>
      <c r="E446" s="37" t="n"/>
      <c r="F446" s="37" t="n"/>
      <c r="G446" s="38" t="n"/>
      <c r="H446" s="37" t="n"/>
      <c r="I446" s="37" t="n"/>
      <c r="J446" s="37" t="n"/>
      <c r="K446" s="39" t="str">
        <f>IF(A446="","",SUMIFS(mv_qty,mv_ref,A446,mv_type,"Entrée"))</f>
        <v/>
      </c>
      <c r="L446" s="39" t="str">
        <f>IF(A446="","",SUMIFS(mv_qty,mv_ref,A446,mv_type,"Sortie"))</f>
        <v/>
      </c>
      <c r="M446" s="39" t="str">
        <f>IF(A446="","",ROUND(N(H446)+K446-L446,6))</f>
        <v/>
      </c>
      <c r="N446" s="40" t="str">
        <f>IF(A446="","",M446*N(G446))</f>
        <v/>
      </c>
      <c r="O446" s="39" t="str">
        <f>IF(A446="","",IF(M446&lt;=0,"Rupture",IF(AND(I446&lt;&gt;"",M446&lt;=N(I446)),"À commander","OK")))</f>
        <v/>
      </c>
      <c r="P446" s="39" t="str">
        <f>IF(OR(A446="",O446="OK",J446=""),"",MAX(N(J446)-M446,0))</f>
        <v/>
      </c>
      <c r="Q446" s="39" t="str">
        <f>IF(A446="",IF(COUNTA(B446:J446)&gt;0,"Référence manquante",""),IF(COUNTIF($A$5:$A$1004,A446)&gt;1,"Référence en double",IF(B446="","Désignation manquante","OK")))</f>
        <v/>
      </c>
      <c r="R446" s="39" t="str">
        <f>IF(OR(O446="Rupture",O446="À commander"),COUNTIF($O$5:O446,"Rupture")+COUNTIF($O$5:O446,"À commander"),"")</f>
        <v/>
      </c>
    </row>
    <row r="447">
      <c r="A447" s="37" t="n"/>
      <c r="B447" s="37" t="n"/>
      <c r="C447" s="37" t="n"/>
      <c r="D447" s="37" t="n"/>
      <c r="E447" s="37" t="n"/>
      <c r="F447" s="37" t="n"/>
      <c r="G447" s="38" t="n"/>
      <c r="H447" s="37" t="n"/>
      <c r="I447" s="37" t="n"/>
      <c r="J447" s="37" t="n"/>
      <c r="K447" s="39" t="str">
        <f>IF(A447="","",SUMIFS(mv_qty,mv_ref,A447,mv_type,"Entrée"))</f>
        <v/>
      </c>
      <c r="L447" s="39" t="str">
        <f>IF(A447="","",SUMIFS(mv_qty,mv_ref,A447,mv_type,"Sortie"))</f>
        <v/>
      </c>
      <c r="M447" s="39" t="str">
        <f>IF(A447="","",ROUND(N(H447)+K447-L447,6))</f>
        <v/>
      </c>
      <c r="N447" s="40" t="str">
        <f>IF(A447="","",M447*N(G447))</f>
        <v/>
      </c>
      <c r="O447" s="39" t="str">
        <f>IF(A447="","",IF(M447&lt;=0,"Rupture",IF(AND(I447&lt;&gt;"",M447&lt;=N(I447)),"À commander","OK")))</f>
        <v/>
      </c>
      <c r="P447" s="39" t="str">
        <f>IF(OR(A447="",O447="OK",J447=""),"",MAX(N(J447)-M447,0))</f>
        <v/>
      </c>
      <c r="Q447" s="39" t="str">
        <f>IF(A447="",IF(COUNTA(B447:J447)&gt;0,"Référence manquante",""),IF(COUNTIF($A$5:$A$1004,A447)&gt;1,"Référence en double",IF(B447="","Désignation manquante","OK")))</f>
        <v/>
      </c>
      <c r="R447" s="39" t="str">
        <f>IF(OR(O447="Rupture",O447="À commander"),COUNTIF($O$5:O447,"Rupture")+COUNTIF($O$5:O447,"À commander"),"")</f>
        <v/>
      </c>
    </row>
    <row r="448">
      <c r="A448" s="37" t="n"/>
      <c r="B448" s="37" t="n"/>
      <c r="C448" s="37" t="n"/>
      <c r="D448" s="37" t="n"/>
      <c r="E448" s="37" t="n"/>
      <c r="F448" s="37" t="n"/>
      <c r="G448" s="38" t="n"/>
      <c r="H448" s="37" t="n"/>
      <c r="I448" s="37" t="n"/>
      <c r="J448" s="37" t="n"/>
      <c r="K448" s="39" t="str">
        <f>IF(A448="","",SUMIFS(mv_qty,mv_ref,A448,mv_type,"Entrée"))</f>
        <v/>
      </c>
      <c r="L448" s="39" t="str">
        <f>IF(A448="","",SUMIFS(mv_qty,mv_ref,A448,mv_type,"Sortie"))</f>
        <v/>
      </c>
      <c r="M448" s="39" t="str">
        <f>IF(A448="","",ROUND(N(H448)+K448-L448,6))</f>
        <v/>
      </c>
      <c r="N448" s="40" t="str">
        <f>IF(A448="","",M448*N(G448))</f>
        <v/>
      </c>
      <c r="O448" s="39" t="str">
        <f>IF(A448="","",IF(M448&lt;=0,"Rupture",IF(AND(I448&lt;&gt;"",M448&lt;=N(I448)),"À commander","OK")))</f>
        <v/>
      </c>
      <c r="P448" s="39" t="str">
        <f>IF(OR(A448="",O448="OK",J448=""),"",MAX(N(J448)-M448,0))</f>
        <v/>
      </c>
      <c r="Q448" s="39" t="str">
        <f>IF(A448="",IF(COUNTA(B448:J448)&gt;0,"Référence manquante",""),IF(COUNTIF($A$5:$A$1004,A448)&gt;1,"Référence en double",IF(B448="","Désignation manquante","OK")))</f>
        <v/>
      </c>
      <c r="R448" s="39" t="str">
        <f>IF(OR(O448="Rupture",O448="À commander"),COUNTIF($O$5:O448,"Rupture")+COUNTIF($O$5:O448,"À commander"),"")</f>
        <v/>
      </c>
    </row>
    <row r="449">
      <c r="A449" s="37" t="n"/>
      <c r="B449" s="37" t="n"/>
      <c r="C449" s="37" t="n"/>
      <c r="D449" s="37" t="n"/>
      <c r="E449" s="37" t="n"/>
      <c r="F449" s="37" t="n"/>
      <c r="G449" s="38" t="n"/>
      <c r="H449" s="37" t="n"/>
      <c r="I449" s="37" t="n"/>
      <c r="J449" s="37" t="n"/>
      <c r="K449" s="39" t="str">
        <f>IF(A449="","",SUMIFS(mv_qty,mv_ref,A449,mv_type,"Entrée"))</f>
        <v/>
      </c>
      <c r="L449" s="39" t="str">
        <f>IF(A449="","",SUMIFS(mv_qty,mv_ref,A449,mv_type,"Sortie"))</f>
        <v/>
      </c>
      <c r="M449" s="39" t="str">
        <f>IF(A449="","",ROUND(N(H449)+K449-L449,6))</f>
        <v/>
      </c>
      <c r="N449" s="40" t="str">
        <f>IF(A449="","",M449*N(G449))</f>
        <v/>
      </c>
      <c r="O449" s="39" t="str">
        <f>IF(A449="","",IF(M449&lt;=0,"Rupture",IF(AND(I449&lt;&gt;"",M449&lt;=N(I449)),"À commander","OK")))</f>
        <v/>
      </c>
      <c r="P449" s="39" t="str">
        <f>IF(OR(A449="",O449="OK",J449=""),"",MAX(N(J449)-M449,0))</f>
        <v/>
      </c>
      <c r="Q449" s="39" t="str">
        <f>IF(A449="",IF(COUNTA(B449:J449)&gt;0,"Référence manquante",""),IF(COUNTIF($A$5:$A$1004,A449)&gt;1,"Référence en double",IF(B449="","Désignation manquante","OK")))</f>
        <v/>
      </c>
      <c r="R449" s="39" t="str">
        <f>IF(OR(O449="Rupture",O449="À commander"),COUNTIF($O$5:O449,"Rupture")+COUNTIF($O$5:O449,"À commander"),"")</f>
        <v/>
      </c>
    </row>
    <row r="450">
      <c r="A450" s="37" t="n"/>
      <c r="B450" s="37" t="n"/>
      <c r="C450" s="37" t="n"/>
      <c r="D450" s="37" t="n"/>
      <c r="E450" s="37" t="n"/>
      <c r="F450" s="37" t="n"/>
      <c r="G450" s="38" t="n"/>
      <c r="H450" s="37" t="n"/>
      <c r="I450" s="37" t="n"/>
      <c r="J450" s="37" t="n"/>
      <c r="K450" s="39" t="str">
        <f>IF(A450="","",SUMIFS(mv_qty,mv_ref,A450,mv_type,"Entrée"))</f>
        <v/>
      </c>
      <c r="L450" s="39" t="str">
        <f>IF(A450="","",SUMIFS(mv_qty,mv_ref,A450,mv_type,"Sortie"))</f>
        <v/>
      </c>
      <c r="M450" s="39" t="str">
        <f>IF(A450="","",ROUND(N(H450)+K450-L450,6))</f>
        <v/>
      </c>
      <c r="N450" s="40" t="str">
        <f>IF(A450="","",M450*N(G450))</f>
        <v/>
      </c>
      <c r="O450" s="39" t="str">
        <f>IF(A450="","",IF(M450&lt;=0,"Rupture",IF(AND(I450&lt;&gt;"",M450&lt;=N(I450)),"À commander","OK")))</f>
        <v/>
      </c>
      <c r="P450" s="39" t="str">
        <f>IF(OR(A450="",O450="OK",J450=""),"",MAX(N(J450)-M450,0))</f>
        <v/>
      </c>
      <c r="Q450" s="39" t="str">
        <f>IF(A450="",IF(COUNTA(B450:J450)&gt;0,"Référence manquante",""),IF(COUNTIF($A$5:$A$1004,A450)&gt;1,"Référence en double",IF(B450="","Désignation manquante","OK")))</f>
        <v/>
      </c>
      <c r="R450" s="39" t="str">
        <f>IF(OR(O450="Rupture",O450="À commander"),COUNTIF($O$5:O450,"Rupture")+COUNTIF($O$5:O450,"À commander"),"")</f>
        <v/>
      </c>
    </row>
    <row r="451">
      <c r="A451" s="37" t="n"/>
      <c r="B451" s="37" t="n"/>
      <c r="C451" s="37" t="n"/>
      <c r="D451" s="37" t="n"/>
      <c r="E451" s="37" t="n"/>
      <c r="F451" s="37" t="n"/>
      <c r="G451" s="38" t="n"/>
      <c r="H451" s="37" t="n"/>
      <c r="I451" s="37" t="n"/>
      <c r="J451" s="37" t="n"/>
      <c r="K451" s="39" t="str">
        <f>IF(A451="","",SUMIFS(mv_qty,mv_ref,A451,mv_type,"Entrée"))</f>
        <v/>
      </c>
      <c r="L451" s="39" t="str">
        <f>IF(A451="","",SUMIFS(mv_qty,mv_ref,A451,mv_type,"Sortie"))</f>
        <v/>
      </c>
      <c r="M451" s="39" t="str">
        <f>IF(A451="","",ROUND(N(H451)+K451-L451,6))</f>
        <v/>
      </c>
      <c r="N451" s="40" t="str">
        <f>IF(A451="","",M451*N(G451))</f>
        <v/>
      </c>
      <c r="O451" s="39" t="str">
        <f>IF(A451="","",IF(M451&lt;=0,"Rupture",IF(AND(I451&lt;&gt;"",M451&lt;=N(I451)),"À commander","OK")))</f>
        <v/>
      </c>
      <c r="P451" s="39" t="str">
        <f>IF(OR(A451="",O451="OK",J451=""),"",MAX(N(J451)-M451,0))</f>
        <v/>
      </c>
      <c r="Q451" s="39" t="str">
        <f>IF(A451="",IF(COUNTA(B451:J451)&gt;0,"Référence manquante",""),IF(COUNTIF($A$5:$A$1004,A451)&gt;1,"Référence en double",IF(B451="","Désignation manquante","OK")))</f>
        <v/>
      </c>
      <c r="R451" s="39" t="str">
        <f>IF(OR(O451="Rupture",O451="À commander"),COUNTIF($O$5:O451,"Rupture")+COUNTIF($O$5:O451,"À commander"),"")</f>
        <v/>
      </c>
    </row>
    <row r="452">
      <c r="A452" s="37" t="n"/>
      <c r="B452" s="37" t="n"/>
      <c r="C452" s="37" t="n"/>
      <c r="D452" s="37" t="n"/>
      <c r="E452" s="37" t="n"/>
      <c r="F452" s="37" t="n"/>
      <c r="G452" s="38" t="n"/>
      <c r="H452" s="37" t="n"/>
      <c r="I452" s="37" t="n"/>
      <c r="J452" s="37" t="n"/>
      <c r="K452" s="39" t="str">
        <f>IF(A452="","",SUMIFS(mv_qty,mv_ref,A452,mv_type,"Entrée"))</f>
        <v/>
      </c>
      <c r="L452" s="39" t="str">
        <f>IF(A452="","",SUMIFS(mv_qty,mv_ref,A452,mv_type,"Sortie"))</f>
        <v/>
      </c>
      <c r="M452" s="39" t="str">
        <f>IF(A452="","",ROUND(N(H452)+K452-L452,6))</f>
        <v/>
      </c>
      <c r="N452" s="40" t="str">
        <f>IF(A452="","",M452*N(G452))</f>
        <v/>
      </c>
      <c r="O452" s="39" t="str">
        <f>IF(A452="","",IF(M452&lt;=0,"Rupture",IF(AND(I452&lt;&gt;"",M452&lt;=N(I452)),"À commander","OK")))</f>
        <v/>
      </c>
      <c r="P452" s="39" t="str">
        <f>IF(OR(A452="",O452="OK",J452=""),"",MAX(N(J452)-M452,0))</f>
        <v/>
      </c>
      <c r="Q452" s="39" t="str">
        <f>IF(A452="",IF(COUNTA(B452:J452)&gt;0,"Référence manquante",""),IF(COUNTIF($A$5:$A$1004,A452)&gt;1,"Référence en double",IF(B452="","Désignation manquante","OK")))</f>
        <v/>
      </c>
      <c r="R452" s="39" t="str">
        <f>IF(OR(O452="Rupture",O452="À commander"),COUNTIF($O$5:O452,"Rupture")+COUNTIF($O$5:O452,"À commander"),"")</f>
        <v/>
      </c>
    </row>
    <row r="453">
      <c r="A453" s="37" t="n"/>
      <c r="B453" s="37" t="n"/>
      <c r="C453" s="37" t="n"/>
      <c r="D453" s="37" t="n"/>
      <c r="E453" s="37" t="n"/>
      <c r="F453" s="37" t="n"/>
      <c r="G453" s="38" t="n"/>
      <c r="H453" s="37" t="n"/>
      <c r="I453" s="37" t="n"/>
      <c r="J453" s="37" t="n"/>
      <c r="K453" s="39" t="str">
        <f>IF(A453="","",SUMIFS(mv_qty,mv_ref,A453,mv_type,"Entrée"))</f>
        <v/>
      </c>
      <c r="L453" s="39" t="str">
        <f>IF(A453="","",SUMIFS(mv_qty,mv_ref,A453,mv_type,"Sortie"))</f>
        <v/>
      </c>
      <c r="M453" s="39" t="str">
        <f>IF(A453="","",ROUND(N(H453)+K453-L453,6))</f>
        <v/>
      </c>
      <c r="N453" s="40" t="str">
        <f>IF(A453="","",M453*N(G453))</f>
        <v/>
      </c>
      <c r="O453" s="39" t="str">
        <f>IF(A453="","",IF(M453&lt;=0,"Rupture",IF(AND(I453&lt;&gt;"",M453&lt;=N(I453)),"À commander","OK")))</f>
        <v/>
      </c>
      <c r="P453" s="39" t="str">
        <f>IF(OR(A453="",O453="OK",J453=""),"",MAX(N(J453)-M453,0))</f>
        <v/>
      </c>
      <c r="Q453" s="39" t="str">
        <f>IF(A453="",IF(COUNTA(B453:J453)&gt;0,"Référence manquante",""),IF(COUNTIF($A$5:$A$1004,A453)&gt;1,"Référence en double",IF(B453="","Désignation manquante","OK")))</f>
        <v/>
      </c>
      <c r="R453" s="39" t="str">
        <f>IF(OR(O453="Rupture",O453="À commander"),COUNTIF($O$5:O453,"Rupture")+COUNTIF($O$5:O453,"À commander"),"")</f>
        <v/>
      </c>
    </row>
    <row r="454">
      <c r="A454" s="37" t="n"/>
      <c r="B454" s="37" t="n"/>
      <c r="C454" s="37" t="n"/>
      <c r="D454" s="37" t="n"/>
      <c r="E454" s="37" t="n"/>
      <c r="F454" s="37" t="n"/>
      <c r="G454" s="38" t="n"/>
      <c r="H454" s="37" t="n"/>
      <c r="I454" s="37" t="n"/>
      <c r="J454" s="37" t="n"/>
      <c r="K454" s="39" t="str">
        <f>IF(A454="","",SUMIFS(mv_qty,mv_ref,A454,mv_type,"Entrée"))</f>
        <v/>
      </c>
      <c r="L454" s="39" t="str">
        <f>IF(A454="","",SUMIFS(mv_qty,mv_ref,A454,mv_type,"Sortie"))</f>
        <v/>
      </c>
      <c r="M454" s="39" t="str">
        <f>IF(A454="","",ROUND(N(H454)+K454-L454,6))</f>
        <v/>
      </c>
      <c r="N454" s="40" t="str">
        <f>IF(A454="","",M454*N(G454))</f>
        <v/>
      </c>
      <c r="O454" s="39" t="str">
        <f>IF(A454="","",IF(M454&lt;=0,"Rupture",IF(AND(I454&lt;&gt;"",M454&lt;=N(I454)),"À commander","OK")))</f>
        <v/>
      </c>
      <c r="P454" s="39" t="str">
        <f>IF(OR(A454="",O454="OK",J454=""),"",MAX(N(J454)-M454,0))</f>
        <v/>
      </c>
      <c r="Q454" s="39" t="str">
        <f>IF(A454="",IF(COUNTA(B454:J454)&gt;0,"Référence manquante",""),IF(COUNTIF($A$5:$A$1004,A454)&gt;1,"Référence en double",IF(B454="","Désignation manquante","OK")))</f>
        <v/>
      </c>
      <c r="R454" s="39" t="str">
        <f>IF(OR(O454="Rupture",O454="À commander"),COUNTIF($O$5:O454,"Rupture")+COUNTIF($O$5:O454,"À commander"),"")</f>
        <v/>
      </c>
    </row>
    <row r="455">
      <c r="A455" s="37" t="n"/>
      <c r="B455" s="37" t="n"/>
      <c r="C455" s="37" t="n"/>
      <c r="D455" s="37" t="n"/>
      <c r="E455" s="37" t="n"/>
      <c r="F455" s="37" t="n"/>
      <c r="G455" s="38" t="n"/>
      <c r="H455" s="37" t="n"/>
      <c r="I455" s="37" t="n"/>
      <c r="J455" s="37" t="n"/>
      <c r="K455" s="39" t="str">
        <f>IF(A455="","",SUMIFS(mv_qty,mv_ref,A455,mv_type,"Entrée"))</f>
        <v/>
      </c>
      <c r="L455" s="39" t="str">
        <f>IF(A455="","",SUMIFS(mv_qty,mv_ref,A455,mv_type,"Sortie"))</f>
        <v/>
      </c>
      <c r="M455" s="39" t="str">
        <f>IF(A455="","",ROUND(N(H455)+K455-L455,6))</f>
        <v/>
      </c>
      <c r="N455" s="40" t="str">
        <f>IF(A455="","",M455*N(G455))</f>
        <v/>
      </c>
      <c r="O455" s="39" t="str">
        <f>IF(A455="","",IF(M455&lt;=0,"Rupture",IF(AND(I455&lt;&gt;"",M455&lt;=N(I455)),"À commander","OK")))</f>
        <v/>
      </c>
      <c r="P455" s="39" t="str">
        <f>IF(OR(A455="",O455="OK",J455=""),"",MAX(N(J455)-M455,0))</f>
        <v/>
      </c>
      <c r="Q455" s="39" t="str">
        <f>IF(A455="",IF(COUNTA(B455:J455)&gt;0,"Référence manquante",""),IF(COUNTIF($A$5:$A$1004,A455)&gt;1,"Référence en double",IF(B455="","Désignation manquante","OK")))</f>
        <v/>
      </c>
      <c r="R455" s="39" t="str">
        <f>IF(OR(O455="Rupture",O455="À commander"),COUNTIF($O$5:O455,"Rupture")+COUNTIF($O$5:O455,"À commander"),"")</f>
        <v/>
      </c>
    </row>
    <row r="456">
      <c r="A456" s="37" t="n"/>
      <c r="B456" s="37" t="n"/>
      <c r="C456" s="37" t="n"/>
      <c r="D456" s="37" t="n"/>
      <c r="E456" s="37" t="n"/>
      <c r="F456" s="37" t="n"/>
      <c r="G456" s="38" t="n"/>
      <c r="H456" s="37" t="n"/>
      <c r="I456" s="37" t="n"/>
      <c r="J456" s="37" t="n"/>
      <c r="K456" s="39" t="str">
        <f>IF(A456="","",SUMIFS(mv_qty,mv_ref,A456,mv_type,"Entrée"))</f>
        <v/>
      </c>
      <c r="L456" s="39" t="str">
        <f>IF(A456="","",SUMIFS(mv_qty,mv_ref,A456,mv_type,"Sortie"))</f>
        <v/>
      </c>
      <c r="M456" s="39" t="str">
        <f>IF(A456="","",ROUND(N(H456)+K456-L456,6))</f>
        <v/>
      </c>
      <c r="N456" s="40" t="str">
        <f>IF(A456="","",M456*N(G456))</f>
        <v/>
      </c>
      <c r="O456" s="39" t="str">
        <f>IF(A456="","",IF(M456&lt;=0,"Rupture",IF(AND(I456&lt;&gt;"",M456&lt;=N(I456)),"À commander","OK")))</f>
        <v/>
      </c>
      <c r="P456" s="39" t="str">
        <f>IF(OR(A456="",O456="OK",J456=""),"",MAX(N(J456)-M456,0))</f>
        <v/>
      </c>
      <c r="Q456" s="39" t="str">
        <f>IF(A456="",IF(COUNTA(B456:J456)&gt;0,"Référence manquante",""),IF(COUNTIF($A$5:$A$1004,A456)&gt;1,"Référence en double",IF(B456="","Désignation manquante","OK")))</f>
        <v/>
      </c>
      <c r="R456" s="39" t="str">
        <f>IF(OR(O456="Rupture",O456="À commander"),COUNTIF($O$5:O456,"Rupture")+COUNTIF($O$5:O456,"À commander"),"")</f>
        <v/>
      </c>
    </row>
    <row r="457">
      <c r="A457" s="37" t="n"/>
      <c r="B457" s="37" t="n"/>
      <c r="C457" s="37" t="n"/>
      <c r="D457" s="37" t="n"/>
      <c r="E457" s="37" t="n"/>
      <c r="F457" s="37" t="n"/>
      <c r="G457" s="38" t="n"/>
      <c r="H457" s="37" t="n"/>
      <c r="I457" s="37" t="n"/>
      <c r="J457" s="37" t="n"/>
      <c r="K457" s="39" t="str">
        <f>IF(A457="","",SUMIFS(mv_qty,mv_ref,A457,mv_type,"Entrée"))</f>
        <v/>
      </c>
      <c r="L457" s="39" t="str">
        <f>IF(A457="","",SUMIFS(mv_qty,mv_ref,A457,mv_type,"Sortie"))</f>
        <v/>
      </c>
      <c r="M457" s="39" t="str">
        <f>IF(A457="","",ROUND(N(H457)+K457-L457,6))</f>
        <v/>
      </c>
      <c r="N457" s="40" t="str">
        <f>IF(A457="","",M457*N(G457))</f>
        <v/>
      </c>
      <c r="O457" s="39" t="str">
        <f>IF(A457="","",IF(M457&lt;=0,"Rupture",IF(AND(I457&lt;&gt;"",M457&lt;=N(I457)),"À commander","OK")))</f>
        <v/>
      </c>
      <c r="P457" s="39" t="str">
        <f>IF(OR(A457="",O457="OK",J457=""),"",MAX(N(J457)-M457,0))</f>
        <v/>
      </c>
      <c r="Q457" s="39" t="str">
        <f>IF(A457="",IF(COUNTA(B457:J457)&gt;0,"Référence manquante",""),IF(COUNTIF($A$5:$A$1004,A457)&gt;1,"Référence en double",IF(B457="","Désignation manquante","OK")))</f>
        <v/>
      </c>
      <c r="R457" s="39" t="str">
        <f>IF(OR(O457="Rupture",O457="À commander"),COUNTIF($O$5:O457,"Rupture")+COUNTIF($O$5:O457,"À commander"),"")</f>
        <v/>
      </c>
    </row>
    <row r="458">
      <c r="A458" s="37" t="n"/>
      <c r="B458" s="37" t="n"/>
      <c r="C458" s="37" t="n"/>
      <c r="D458" s="37" t="n"/>
      <c r="E458" s="37" t="n"/>
      <c r="F458" s="37" t="n"/>
      <c r="G458" s="38" t="n"/>
      <c r="H458" s="37" t="n"/>
      <c r="I458" s="37" t="n"/>
      <c r="J458" s="37" t="n"/>
      <c r="K458" s="39" t="str">
        <f>IF(A458="","",SUMIFS(mv_qty,mv_ref,A458,mv_type,"Entrée"))</f>
        <v/>
      </c>
      <c r="L458" s="39" t="str">
        <f>IF(A458="","",SUMIFS(mv_qty,mv_ref,A458,mv_type,"Sortie"))</f>
        <v/>
      </c>
      <c r="M458" s="39" t="str">
        <f>IF(A458="","",ROUND(N(H458)+K458-L458,6))</f>
        <v/>
      </c>
      <c r="N458" s="40" t="str">
        <f>IF(A458="","",M458*N(G458))</f>
        <v/>
      </c>
      <c r="O458" s="39" t="str">
        <f>IF(A458="","",IF(M458&lt;=0,"Rupture",IF(AND(I458&lt;&gt;"",M458&lt;=N(I458)),"À commander","OK")))</f>
        <v/>
      </c>
      <c r="P458" s="39" t="str">
        <f>IF(OR(A458="",O458="OK",J458=""),"",MAX(N(J458)-M458,0))</f>
        <v/>
      </c>
      <c r="Q458" s="39" t="str">
        <f>IF(A458="",IF(COUNTA(B458:J458)&gt;0,"Référence manquante",""),IF(COUNTIF($A$5:$A$1004,A458)&gt;1,"Référence en double",IF(B458="","Désignation manquante","OK")))</f>
        <v/>
      </c>
      <c r="R458" s="39" t="str">
        <f>IF(OR(O458="Rupture",O458="À commander"),COUNTIF($O$5:O458,"Rupture")+COUNTIF($O$5:O458,"À commander"),"")</f>
        <v/>
      </c>
    </row>
    <row r="459">
      <c r="A459" s="37" t="n"/>
      <c r="B459" s="37" t="n"/>
      <c r="C459" s="37" t="n"/>
      <c r="D459" s="37" t="n"/>
      <c r="E459" s="37" t="n"/>
      <c r="F459" s="37" t="n"/>
      <c r="G459" s="38" t="n"/>
      <c r="H459" s="37" t="n"/>
      <c r="I459" s="37" t="n"/>
      <c r="J459" s="37" t="n"/>
      <c r="K459" s="39" t="str">
        <f>IF(A459="","",SUMIFS(mv_qty,mv_ref,A459,mv_type,"Entrée"))</f>
        <v/>
      </c>
      <c r="L459" s="39" t="str">
        <f>IF(A459="","",SUMIFS(mv_qty,mv_ref,A459,mv_type,"Sortie"))</f>
        <v/>
      </c>
      <c r="M459" s="39" t="str">
        <f>IF(A459="","",ROUND(N(H459)+K459-L459,6))</f>
        <v/>
      </c>
      <c r="N459" s="40" t="str">
        <f>IF(A459="","",M459*N(G459))</f>
        <v/>
      </c>
      <c r="O459" s="39" t="str">
        <f>IF(A459="","",IF(M459&lt;=0,"Rupture",IF(AND(I459&lt;&gt;"",M459&lt;=N(I459)),"À commander","OK")))</f>
        <v/>
      </c>
      <c r="P459" s="39" t="str">
        <f>IF(OR(A459="",O459="OK",J459=""),"",MAX(N(J459)-M459,0))</f>
        <v/>
      </c>
      <c r="Q459" s="39" t="str">
        <f>IF(A459="",IF(COUNTA(B459:J459)&gt;0,"Référence manquante",""),IF(COUNTIF($A$5:$A$1004,A459)&gt;1,"Référence en double",IF(B459="","Désignation manquante","OK")))</f>
        <v/>
      </c>
      <c r="R459" s="39" t="str">
        <f>IF(OR(O459="Rupture",O459="À commander"),COUNTIF($O$5:O459,"Rupture")+COUNTIF($O$5:O459,"À commander"),"")</f>
        <v/>
      </c>
    </row>
    <row r="460">
      <c r="A460" s="37" t="n"/>
      <c r="B460" s="37" t="n"/>
      <c r="C460" s="37" t="n"/>
      <c r="D460" s="37" t="n"/>
      <c r="E460" s="37" t="n"/>
      <c r="F460" s="37" t="n"/>
      <c r="G460" s="38" t="n"/>
      <c r="H460" s="37" t="n"/>
      <c r="I460" s="37" t="n"/>
      <c r="J460" s="37" t="n"/>
      <c r="K460" s="39" t="str">
        <f>IF(A460="","",SUMIFS(mv_qty,mv_ref,A460,mv_type,"Entrée"))</f>
        <v/>
      </c>
      <c r="L460" s="39" t="str">
        <f>IF(A460="","",SUMIFS(mv_qty,mv_ref,A460,mv_type,"Sortie"))</f>
        <v/>
      </c>
      <c r="M460" s="39" t="str">
        <f>IF(A460="","",ROUND(N(H460)+K460-L460,6))</f>
        <v/>
      </c>
      <c r="N460" s="40" t="str">
        <f>IF(A460="","",M460*N(G460))</f>
        <v/>
      </c>
      <c r="O460" s="39" t="str">
        <f>IF(A460="","",IF(M460&lt;=0,"Rupture",IF(AND(I460&lt;&gt;"",M460&lt;=N(I460)),"À commander","OK")))</f>
        <v/>
      </c>
      <c r="P460" s="39" t="str">
        <f>IF(OR(A460="",O460="OK",J460=""),"",MAX(N(J460)-M460,0))</f>
        <v/>
      </c>
      <c r="Q460" s="39" t="str">
        <f>IF(A460="",IF(COUNTA(B460:J460)&gt;0,"Référence manquante",""),IF(COUNTIF($A$5:$A$1004,A460)&gt;1,"Référence en double",IF(B460="","Désignation manquante","OK")))</f>
        <v/>
      </c>
      <c r="R460" s="39" t="str">
        <f>IF(OR(O460="Rupture",O460="À commander"),COUNTIF($O$5:O460,"Rupture")+COUNTIF($O$5:O460,"À commander"),"")</f>
        <v/>
      </c>
    </row>
    <row r="461">
      <c r="A461" s="37" t="n"/>
      <c r="B461" s="37" t="n"/>
      <c r="C461" s="37" t="n"/>
      <c r="D461" s="37" t="n"/>
      <c r="E461" s="37" t="n"/>
      <c r="F461" s="37" t="n"/>
      <c r="G461" s="38" t="n"/>
      <c r="H461" s="37" t="n"/>
      <c r="I461" s="37" t="n"/>
      <c r="J461" s="37" t="n"/>
      <c r="K461" s="39" t="str">
        <f>IF(A461="","",SUMIFS(mv_qty,mv_ref,A461,mv_type,"Entrée"))</f>
        <v/>
      </c>
      <c r="L461" s="39" t="str">
        <f>IF(A461="","",SUMIFS(mv_qty,mv_ref,A461,mv_type,"Sortie"))</f>
        <v/>
      </c>
      <c r="M461" s="39" t="str">
        <f>IF(A461="","",ROUND(N(H461)+K461-L461,6))</f>
        <v/>
      </c>
      <c r="N461" s="40" t="str">
        <f>IF(A461="","",M461*N(G461))</f>
        <v/>
      </c>
      <c r="O461" s="39" t="str">
        <f>IF(A461="","",IF(M461&lt;=0,"Rupture",IF(AND(I461&lt;&gt;"",M461&lt;=N(I461)),"À commander","OK")))</f>
        <v/>
      </c>
      <c r="P461" s="39" t="str">
        <f>IF(OR(A461="",O461="OK",J461=""),"",MAX(N(J461)-M461,0))</f>
        <v/>
      </c>
      <c r="Q461" s="39" t="str">
        <f>IF(A461="",IF(COUNTA(B461:J461)&gt;0,"Référence manquante",""),IF(COUNTIF($A$5:$A$1004,A461)&gt;1,"Référence en double",IF(B461="","Désignation manquante","OK")))</f>
        <v/>
      </c>
      <c r="R461" s="39" t="str">
        <f>IF(OR(O461="Rupture",O461="À commander"),COUNTIF($O$5:O461,"Rupture")+COUNTIF($O$5:O461,"À commander"),"")</f>
        <v/>
      </c>
    </row>
    <row r="462">
      <c r="A462" s="37" t="n"/>
      <c r="B462" s="37" t="n"/>
      <c r="C462" s="37" t="n"/>
      <c r="D462" s="37" t="n"/>
      <c r="E462" s="37" t="n"/>
      <c r="F462" s="37" t="n"/>
      <c r="G462" s="38" t="n"/>
      <c r="H462" s="37" t="n"/>
      <c r="I462" s="37" t="n"/>
      <c r="J462" s="37" t="n"/>
      <c r="K462" s="39" t="str">
        <f>IF(A462="","",SUMIFS(mv_qty,mv_ref,A462,mv_type,"Entrée"))</f>
        <v/>
      </c>
      <c r="L462" s="39" t="str">
        <f>IF(A462="","",SUMIFS(mv_qty,mv_ref,A462,mv_type,"Sortie"))</f>
        <v/>
      </c>
      <c r="M462" s="39" t="str">
        <f>IF(A462="","",ROUND(N(H462)+K462-L462,6))</f>
        <v/>
      </c>
      <c r="N462" s="40" t="str">
        <f>IF(A462="","",M462*N(G462))</f>
        <v/>
      </c>
      <c r="O462" s="39" t="str">
        <f>IF(A462="","",IF(M462&lt;=0,"Rupture",IF(AND(I462&lt;&gt;"",M462&lt;=N(I462)),"À commander","OK")))</f>
        <v/>
      </c>
      <c r="P462" s="39" t="str">
        <f>IF(OR(A462="",O462="OK",J462=""),"",MAX(N(J462)-M462,0))</f>
        <v/>
      </c>
      <c r="Q462" s="39" t="str">
        <f>IF(A462="",IF(COUNTA(B462:J462)&gt;0,"Référence manquante",""),IF(COUNTIF($A$5:$A$1004,A462)&gt;1,"Référence en double",IF(B462="","Désignation manquante","OK")))</f>
        <v/>
      </c>
      <c r="R462" s="39" t="str">
        <f>IF(OR(O462="Rupture",O462="À commander"),COUNTIF($O$5:O462,"Rupture")+COUNTIF($O$5:O462,"À commander"),"")</f>
        <v/>
      </c>
    </row>
    <row r="463">
      <c r="A463" s="37" t="n"/>
      <c r="B463" s="37" t="n"/>
      <c r="C463" s="37" t="n"/>
      <c r="D463" s="37" t="n"/>
      <c r="E463" s="37" t="n"/>
      <c r="F463" s="37" t="n"/>
      <c r="G463" s="38" t="n"/>
      <c r="H463" s="37" t="n"/>
      <c r="I463" s="37" t="n"/>
      <c r="J463" s="37" t="n"/>
      <c r="K463" s="39" t="str">
        <f>IF(A463="","",SUMIFS(mv_qty,mv_ref,A463,mv_type,"Entrée"))</f>
        <v/>
      </c>
      <c r="L463" s="39" t="str">
        <f>IF(A463="","",SUMIFS(mv_qty,mv_ref,A463,mv_type,"Sortie"))</f>
        <v/>
      </c>
      <c r="M463" s="39" t="str">
        <f>IF(A463="","",ROUND(N(H463)+K463-L463,6))</f>
        <v/>
      </c>
      <c r="N463" s="40" t="str">
        <f>IF(A463="","",M463*N(G463))</f>
        <v/>
      </c>
      <c r="O463" s="39" t="str">
        <f>IF(A463="","",IF(M463&lt;=0,"Rupture",IF(AND(I463&lt;&gt;"",M463&lt;=N(I463)),"À commander","OK")))</f>
        <v/>
      </c>
      <c r="P463" s="39" t="str">
        <f>IF(OR(A463="",O463="OK",J463=""),"",MAX(N(J463)-M463,0))</f>
        <v/>
      </c>
      <c r="Q463" s="39" t="str">
        <f>IF(A463="",IF(COUNTA(B463:J463)&gt;0,"Référence manquante",""),IF(COUNTIF($A$5:$A$1004,A463)&gt;1,"Référence en double",IF(B463="","Désignation manquante","OK")))</f>
        <v/>
      </c>
      <c r="R463" s="39" t="str">
        <f>IF(OR(O463="Rupture",O463="À commander"),COUNTIF($O$5:O463,"Rupture")+COUNTIF($O$5:O463,"À commander"),"")</f>
        <v/>
      </c>
    </row>
    <row r="464">
      <c r="A464" s="37" t="n"/>
      <c r="B464" s="37" t="n"/>
      <c r="C464" s="37" t="n"/>
      <c r="D464" s="37" t="n"/>
      <c r="E464" s="37" t="n"/>
      <c r="F464" s="37" t="n"/>
      <c r="G464" s="38" t="n"/>
      <c r="H464" s="37" t="n"/>
      <c r="I464" s="37" t="n"/>
      <c r="J464" s="37" t="n"/>
      <c r="K464" s="39" t="str">
        <f>IF(A464="","",SUMIFS(mv_qty,mv_ref,A464,mv_type,"Entrée"))</f>
        <v/>
      </c>
      <c r="L464" s="39" t="str">
        <f>IF(A464="","",SUMIFS(mv_qty,mv_ref,A464,mv_type,"Sortie"))</f>
        <v/>
      </c>
      <c r="M464" s="39" t="str">
        <f>IF(A464="","",ROUND(N(H464)+K464-L464,6))</f>
        <v/>
      </c>
      <c r="N464" s="40" t="str">
        <f>IF(A464="","",M464*N(G464))</f>
        <v/>
      </c>
      <c r="O464" s="39" t="str">
        <f>IF(A464="","",IF(M464&lt;=0,"Rupture",IF(AND(I464&lt;&gt;"",M464&lt;=N(I464)),"À commander","OK")))</f>
        <v/>
      </c>
      <c r="P464" s="39" t="str">
        <f>IF(OR(A464="",O464="OK",J464=""),"",MAX(N(J464)-M464,0))</f>
        <v/>
      </c>
      <c r="Q464" s="39" t="str">
        <f>IF(A464="",IF(COUNTA(B464:J464)&gt;0,"Référence manquante",""),IF(COUNTIF($A$5:$A$1004,A464)&gt;1,"Référence en double",IF(B464="","Désignation manquante","OK")))</f>
        <v/>
      </c>
      <c r="R464" s="39" t="str">
        <f>IF(OR(O464="Rupture",O464="À commander"),COUNTIF($O$5:O464,"Rupture")+COUNTIF($O$5:O464,"À commander"),"")</f>
        <v/>
      </c>
    </row>
    <row r="465">
      <c r="A465" s="37" t="n"/>
      <c r="B465" s="37" t="n"/>
      <c r="C465" s="37" t="n"/>
      <c r="D465" s="37" t="n"/>
      <c r="E465" s="37" t="n"/>
      <c r="F465" s="37" t="n"/>
      <c r="G465" s="38" t="n"/>
      <c r="H465" s="37" t="n"/>
      <c r="I465" s="37" t="n"/>
      <c r="J465" s="37" t="n"/>
      <c r="K465" s="39" t="str">
        <f>IF(A465="","",SUMIFS(mv_qty,mv_ref,A465,mv_type,"Entrée"))</f>
        <v/>
      </c>
      <c r="L465" s="39" t="str">
        <f>IF(A465="","",SUMIFS(mv_qty,mv_ref,A465,mv_type,"Sortie"))</f>
        <v/>
      </c>
      <c r="M465" s="39" t="str">
        <f>IF(A465="","",ROUND(N(H465)+K465-L465,6))</f>
        <v/>
      </c>
      <c r="N465" s="40" t="str">
        <f>IF(A465="","",M465*N(G465))</f>
        <v/>
      </c>
      <c r="O465" s="39" t="str">
        <f>IF(A465="","",IF(M465&lt;=0,"Rupture",IF(AND(I465&lt;&gt;"",M465&lt;=N(I465)),"À commander","OK")))</f>
        <v/>
      </c>
      <c r="P465" s="39" t="str">
        <f>IF(OR(A465="",O465="OK",J465=""),"",MAX(N(J465)-M465,0))</f>
        <v/>
      </c>
      <c r="Q465" s="39" t="str">
        <f>IF(A465="",IF(COUNTA(B465:J465)&gt;0,"Référence manquante",""),IF(COUNTIF($A$5:$A$1004,A465)&gt;1,"Référence en double",IF(B465="","Désignation manquante","OK")))</f>
        <v/>
      </c>
      <c r="R465" s="39" t="str">
        <f>IF(OR(O465="Rupture",O465="À commander"),COUNTIF($O$5:O465,"Rupture")+COUNTIF($O$5:O465,"À commander"),"")</f>
        <v/>
      </c>
    </row>
    <row r="466">
      <c r="A466" s="37" t="n"/>
      <c r="B466" s="37" t="n"/>
      <c r="C466" s="37" t="n"/>
      <c r="D466" s="37" t="n"/>
      <c r="E466" s="37" t="n"/>
      <c r="F466" s="37" t="n"/>
      <c r="G466" s="38" t="n"/>
      <c r="H466" s="37" t="n"/>
      <c r="I466" s="37" t="n"/>
      <c r="J466" s="37" t="n"/>
      <c r="K466" s="39" t="str">
        <f>IF(A466="","",SUMIFS(mv_qty,mv_ref,A466,mv_type,"Entrée"))</f>
        <v/>
      </c>
      <c r="L466" s="39" t="str">
        <f>IF(A466="","",SUMIFS(mv_qty,mv_ref,A466,mv_type,"Sortie"))</f>
        <v/>
      </c>
      <c r="M466" s="39" t="str">
        <f>IF(A466="","",ROUND(N(H466)+K466-L466,6))</f>
        <v/>
      </c>
      <c r="N466" s="40" t="str">
        <f>IF(A466="","",M466*N(G466))</f>
        <v/>
      </c>
      <c r="O466" s="39" t="str">
        <f>IF(A466="","",IF(M466&lt;=0,"Rupture",IF(AND(I466&lt;&gt;"",M466&lt;=N(I466)),"À commander","OK")))</f>
        <v/>
      </c>
      <c r="P466" s="39" t="str">
        <f>IF(OR(A466="",O466="OK",J466=""),"",MAX(N(J466)-M466,0))</f>
        <v/>
      </c>
      <c r="Q466" s="39" t="str">
        <f>IF(A466="",IF(COUNTA(B466:J466)&gt;0,"Référence manquante",""),IF(COUNTIF($A$5:$A$1004,A466)&gt;1,"Référence en double",IF(B466="","Désignation manquante","OK")))</f>
        <v/>
      </c>
      <c r="R466" s="39" t="str">
        <f>IF(OR(O466="Rupture",O466="À commander"),COUNTIF($O$5:O466,"Rupture")+COUNTIF($O$5:O466,"À commander"),"")</f>
        <v/>
      </c>
    </row>
    <row r="467">
      <c r="A467" s="37" t="n"/>
      <c r="B467" s="37" t="n"/>
      <c r="C467" s="37" t="n"/>
      <c r="D467" s="37" t="n"/>
      <c r="E467" s="37" t="n"/>
      <c r="F467" s="37" t="n"/>
      <c r="G467" s="38" t="n"/>
      <c r="H467" s="37" t="n"/>
      <c r="I467" s="37" t="n"/>
      <c r="J467" s="37" t="n"/>
      <c r="K467" s="39" t="str">
        <f>IF(A467="","",SUMIFS(mv_qty,mv_ref,A467,mv_type,"Entrée"))</f>
        <v/>
      </c>
      <c r="L467" s="39" t="str">
        <f>IF(A467="","",SUMIFS(mv_qty,mv_ref,A467,mv_type,"Sortie"))</f>
        <v/>
      </c>
      <c r="M467" s="39" t="str">
        <f>IF(A467="","",ROUND(N(H467)+K467-L467,6))</f>
        <v/>
      </c>
      <c r="N467" s="40" t="str">
        <f>IF(A467="","",M467*N(G467))</f>
        <v/>
      </c>
      <c r="O467" s="39" t="str">
        <f>IF(A467="","",IF(M467&lt;=0,"Rupture",IF(AND(I467&lt;&gt;"",M467&lt;=N(I467)),"À commander","OK")))</f>
        <v/>
      </c>
      <c r="P467" s="39" t="str">
        <f>IF(OR(A467="",O467="OK",J467=""),"",MAX(N(J467)-M467,0))</f>
        <v/>
      </c>
      <c r="Q467" s="39" t="str">
        <f>IF(A467="",IF(COUNTA(B467:J467)&gt;0,"Référence manquante",""),IF(COUNTIF($A$5:$A$1004,A467)&gt;1,"Référence en double",IF(B467="","Désignation manquante","OK")))</f>
        <v/>
      </c>
      <c r="R467" s="39" t="str">
        <f>IF(OR(O467="Rupture",O467="À commander"),COUNTIF($O$5:O467,"Rupture")+COUNTIF($O$5:O467,"À commander"),"")</f>
        <v/>
      </c>
    </row>
    <row r="468">
      <c r="A468" s="37" t="n"/>
      <c r="B468" s="37" t="n"/>
      <c r="C468" s="37" t="n"/>
      <c r="D468" s="37" t="n"/>
      <c r="E468" s="37" t="n"/>
      <c r="F468" s="37" t="n"/>
      <c r="G468" s="38" t="n"/>
      <c r="H468" s="37" t="n"/>
      <c r="I468" s="37" t="n"/>
      <c r="J468" s="37" t="n"/>
      <c r="K468" s="39" t="str">
        <f>IF(A468="","",SUMIFS(mv_qty,mv_ref,A468,mv_type,"Entrée"))</f>
        <v/>
      </c>
      <c r="L468" s="39" t="str">
        <f>IF(A468="","",SUMIFS(mv_qty,mv_ref,A468,mv_type,"Sortie"))</f>
        <v/>
      </c>
      <c r="M468" s="39" t="str">
        <f>IF(A468="","",ROUND(N(H468)+K468-L468,6))</f>
        <v/>
      </c>
      <c r="N468" s="40" t="str">
        <f>IF(A468="","",M468*N(G468))</f>
        <v/>
      </c>
      <c r="O468" s="39" t="str">
        <f>IF(A468="","",IF(M468&lt;=0,"Rupture",IF(AND(I468&lt;&gt;"",M468&lt;=N(I468)),"À commander","OK")))</f>
        <v/>
      </c>
      <c r="P468" s="39" t="str">
        <f>IF(OR(A468="",O468="OK",J468=""),"",MAX(N(J468)-M468,0))</f>
        <v/>
      </c>
      <c r="Q468" s="39" t="str">
        <f>IF(A468="",IF(COUNTA(B468:J468)&gt;0,"Référence manquante",""),IF(COUNTIF($A$5:$A$1004,A468)&gt;1,"Référence en double",IF(B468="","Désignation manquante","OK")))</f>
        <v/>
      </c>
      <c r="R468" s="39" t="str">
        <f>IF(OR(O468="Rupture",O468="À commander"),COUNTIF($O$5:O468,"Rupture")+COUNTIF($O$5:O468,"À commander"),"")</f>
        <v/>
      </c>
    </row>
    <row r="469">
      <c r="A469" s="37" t="n"/>
      <c r="B469" s="37" t="n"/>
      <c r="C469" s="37" t="n"/>
      <c r="D469" s="37" t="n"/>
      <c r="E469" s="37" t="n"/>
      <c r="F469" s="37" t="n"/>
      <c r="G469" s="38" t="n"/>
      <c r="H469" s="37" t="n"/>
      <c r="I469" s="37" t="n"/>
      <c r="J469" s="37" t="n"/>
      <c r="K469" s="39" t="str">
        <f>IF(A469="","",SUMIFS(mv_qty,mv_ref,A469,mv_type,"Entrée"))</f>
        <v/>
      </c>
      <c r="L469" s="39" t="str">
        <f>IF(A469="","",SUMIFS(mv_qty,mv_ref,A469,mv_type,"Sortie"))</f>
        <v/>
      </c>
      <c r="M469" s="39" t="str">
        <f>IF(A469="","",ROUND(N(H469)+K469-L469,6))</f>
        <v/>
      </c>
      <c r="N469" s="40" t="str">
        <f>IF(A469="","",M469*N(G469))</f>
        <v/>
      </c>
      <c r="O469" s="39" t="str">
        <f>IF(A469="","",IF(M469&lt;=0,"Rupture",IF(AND(I469&lt;&gt;"",M469&lt;=N(I469)),"À commander","OK")))</f>
        <v/>
      </c>
      <c r="P469" s="39" t="str">
        <f>IF(OR(A469="",O469="OK",J469=""),"",MAX(N(J469)-M469,0))</f>
        <v/>
      </c>
      <c r="Q469" s="39" t="str">
        <f>IF(A469="",IF(COUNTA(B469:J469)&gt;0,"Référence manquante",""),IF(COUNTIF($A$5:$A$1004,A469)&gt;1,"Référence en double",IF(B469="","Désignation manquante","OK")))</f>
        <v/>
      </c>
      <c r="R469" s="39" t="str">
        <f>IF(OR(O469="Rupture",O469="À commander"),COUNTIF($O$5:O469,"Rupture")+COUNTIF($O$5:O469,"À commander"),"")</f>
        <v/>
      </c>
    </row>
    <row r="470">
      <c r="A470" s="37" t="n"/>
      <c r="B470" s="37" t="n"/>
      <c r="C470" s="37" t="n"/>
      <c r="D470" s="37" t="n"/>
      <c r="E470" s="37" t="n"/>
      <c r="F470" s="37" t="n"/>
      <c r="G470" s="38" t="n"/>
      <c r="H470" s="37" t="n"/>
      <c r="I470" s="37" t="n"/>
      <c r="J470" s="37" t="n"/>
      <c r="K470" s="39" t="str">
        <f>IF(A470="","",SUMIFS(mv_qty,mv_ref,A470,mv_type,"Entrée"))</f>
        <v/>
      </c>
      <c r="L470" s="39" t="str">
        <f>IF(A470="","",SUMIFS(mv_qty,mv_ref,A470,mv_type,"Sortie"))</f>
        <v/>
      </c>
      <c r="M470" s="39" t="str">
        <f>IF(A470="","",ROUND(N(H470)+K470-L470,6))</f>
        <v/>
      </c>
      <c r="N470" s="40" t="str">
        <f>IF(A470="","",M470*N(G470))</f>
        <v/>
      </c>
      <c r="O470" s="39" t="str">
        <f>IF(A470="","",IF(M470&lt;=0,"Rupture",IF(AND(I470&lt;&gt;"",M470&lt;=N(I470)),"À commander","OK")))</f>
        <v/>
      </c>
      <c r="P470" s="39" t="str">
        <f>IF(OR(A470="",O470="OK",J470=""),"",MAX(N(J470)-M470,0))</f>
        <v/>
      </c>
      <c r="Q470" s="39" t="str">
        <f>IF(A470="",IF(COUNTA(B470:J470)&gt;0,"Référence manquante",""),IF(COUNTIF($A$5:$A$1004,A470)&gt;1,"Référence en double",IF(B470="","Désignation manquante","OK")))</f>
        <v/>
      </c>
      <c r="R470" s="39" t="str">
        <f>IF(OR(O470="Rupture",O470="À commander"),COUNTIF($O$5:O470,"Rupture")+COUNTIF($O$5:O470,"À commander"),"")</f>
        <v/>
      </c>
    </row>
    <row r="471">
      <c r="A471" s="37" t="n"/>
      <c r="B471" s="37" t="n"/>
      <c r="C471" s="37" t="n"/>
      <c r="D471" s="37" t="n"/>
      <c r="E471" s="37" t="n"/>
      <c r="F471" s="37" t="n"/>
      <c r="G471" s="38" t="n"/>
      <c r="H471" s="37" t="n"/>
      <c r="I471" s="37" t="n"/>
      <c r="J471" s="37" t="n"/>
      <c r="K471" s="39" t="str">
        <f>IF(A471="","",SUMIFS(mv_qty,mv_ref,A471,mv_type,"Entrée"))</f>
        <v/>
      </c>
      <c r="L471" s="39" t="str">
        <f>IF(A471="","",SUMIFS(mv_qty,mv_ref,A471,mv_type,"Sortie"))</f>
        <v/>
      </c>
      <c r="M471" s="39" t="str">
        <f>IF(A471="","",ROUND(N(H471)+K471-L471,6))</f>
        <v/>
      </c>
      <c r="N471" s="40" t="str">
        <f>IF(A471="","",M471*N(G471))</f>
        <v/>
      </c>
      <c r="O471" s="39" t="str">
        <f>IF(A471="","",IF(M471&lt;=0,"Rupture",IF(AND(I471&lt;&gt;"",M471&lt;=N(I471)),"À commander","OK")))</f>
        <v/>
      </c>
      <c r="P471" s="39" t="str">
        <f>IF(OR(A471="",O471="OK",J471=""),"",MAX(N(J471)-M471,0))</f>
        <v/>
      </c>
      <c r="Q471" s="39" t="str">
        <f>IF(A471="",IF(COUNTA(B471:J471)&gt;0,"Référence manquante",""),IF(COUNTIF($A$5:$A$1004,A471)&gt;1,"Référence en double",IF(B471="","Désignation manquante","OK")))</f>
        <v/>
      </c>
      <c r="R471" s="39" t="str">
        <f>IF(OR(O471="Rupture",O471="À commander"),COUNTIF($O$5:O471,"Rupture")+COUNTIF($O$5:O471,"À commander"),"")</f>
        <v/>
      </c>
    </row>
    <row r="472">
      <c r="A472" s="37" t="n"/>
      <c r="B472" s="37" t="n"/>
      <c r="C472" s="37" t="n"/>
      <c r="D472" s="37" t="n"/>
      <c r="E472" s="37" t="n"/>
      <c r="F472" s="37" t="n"/>
      <c r="G472" s="38" t="n"/>
      <c r="H472" s="37" t="n"/>
      <c r="I472" s="37" t="n"/>
      <c r="J472" s="37" t="n"/>
      <c r="K472" s="39" t="str">
        <f>IF(A472="","",SUMIFS(mv_qty,mv_ref,A472,mv_type,"Entrée"))</f>
        <v/>
      </c>
      <c r="L472" s="39" t="str">
        <f>IF(A472="","",SUMIFS(mv_qty,mv_ref,A472,mv_type,"Sortie"))</f>
        <v/>
      </c>
      <c r="M472" s="39" t="str">
        <f>IF(A472="","",ROUND(N(H472)+K472-L472,6))</f>
        <v/>
      </c>
      <c r="N472" s="40" t="str">
        <f>IF(A472="","",M472*N(G472))</f>
        <v/>
      </c>
      <c r="O472" s="39" t="str">
        <f>IF(A472="","",IF(M472&lt;=0,"Rupture",IF(AND(I472&lt;&gt;"",M472&lt;=N(I472)),"À commander","OK")))</f>
        <v/>
      </c>
      <c r="P472" s="39" t="str">
        <f>IF(OR(A472="",O472="OK",J472=""),"",MAX(N(J472)-M472,0))</f>
        <v/>
      </c>
      <c r="Q472" s="39" t="str">
        <f>IF(A472="",IF(COUNTA(B472:J472)&gt;0,"Référence manquante",""),IF(COUNTIF($A$5:$A$1004,A472)&gt;1,"Référence en double",IF(B472="","Désignation manquante","OK")))</f>
        <v/>
      </c>
      <c r="R472" s="39" t="str">
        <f>IF(OR(O472="Rupture",O472="À commander"),COUNTIF($O$5:O472,"Rupture")+COUNTIF($O$5:O472,"À commander"),"")</f>
        <v/>
      </c>
    </row>
    <row r="473">
      <c r="A473" s="37" t="n"/>
      <c r="B473" s="37" t="n"/>
      <c r="C473" s="37" t="n"/>
      <c r="D473" s="37" t="n"/>
      <c r="E473" s="37" t="n"/>
      <c r="F473" s="37" t="n"/>
      <c r="G473" s="38" t="n"/>
      <c r="H473" s="37" t="n"/>
      <c r="I473" s="37" t="n"/>
      <c r="J473" s="37" t="n"/>
      <c r="K473" s="39" t="str">
        <f>IF(A473="","",SUMIFS(mv_qty,mv_ref,A473,mv_type,"Entrée"))</f>
        <v/>
      </c>
      <c r="L473" s="39" t="str">
        <f>IF(A473="","",SUMIFS(mv_qty,mv_ref,A473,mv_type,"Sortie"))</f>
        <v/>
      </c>
      <c r="M473" s="39" t="str">
        <f>IF(A473="","",ROUND(N(H473)+K473-L473,6))</f>
        <v/>
      </c>
      <c r="N473" s="40" t="str">
        <f>IF(A473="","",M473*N(G473))</f>
        <v/>
      </c>
      <c r="O473" s="39" t="str">
        <f>IF(A473="","",IF(M473&lt;=0,"Rupture",IF(AND(I473&lt;&gt;"",M473&lt;=N(I473)),"À commander","OK")))</f>
        <v/>
      </c>
      <c r="P473" s="39" t="str">
        <f>IF(OR(A473="",O473="OK",J473=""),"",MAX(N(J473)-M473,0))</f>
        <v/>
      </c>
      <c r="Q473" s="39" t="str">
        <f>IF(A473="",IF(COUNTA(B473:J473)&gt;0,"Référence manquante",""),IF(COUNTIF($A$5:$A$1004,A473)&gt;1,"Référence en double",IF(B473="","Désignation manquante","OK")))</f>
        <v/>
      </c>
      <c r="R473" s="39" t="str">
        <f>IF(OR(O473="Rupture",O473="À commander"),COUNTIF($O$5:O473,"Rupture")+COUNTIF($O$5:O473,"À commander"),"")</f>
        <v/>
      </c>
    </row>
    <row r="474">
      <c r="A474" s="37" t="n"/>
      <c r="B474" s="37" t="n"/>
      <c r="C474" s="37" t="n"/>
      <c r="D474" s="37" t="n"/>
      <c r="E474" s="37" t="n"/>
      <c r="F474" s="37" t="n"/>
      <c r="G474" s="38" t="n"/>
      <c r="H474" s="37" t="n"/>
      <c r="I474" s="37" t="n"/>
      <c r="J474" s="37" t="n"/>
      <c r="K474" s="39" t="str">
        <f>IF(A474="","",SUMIFS(mv_qty,mv_ref,A474,mv_type,"Entrée"))</f>
        <v/>
      </c>
      <c r="L474" s="39" t="str">
        <f>IF(A474="","",SUMIFS(mv_qty,mv_ref,A474,mv_type,"Sortie"))</f>
        <v/>
      </c>
      <c r="M474" s="39" t="str">
        <f>IF(A474="","",ROUND(N(H474)+K474-L474,6))</f>
        <v/>
      </c>
      <c r="N474" s="40" t="str">
        <f>IF(A474="","",M474*N(G474))</f>
        <v/>
      </c>
      <c r="O474" s="39" t="str">
        <f>IF(A474="","",IF(M474&lt;=0,"Rupture",IF(AND(I474&lt;&gt;"",M474&lt;=N(I474)),"À commander","OK")))</f>
        <v/>
      </c>
      <c r="P474" s="39" t="str">
        <f>IF(OR(A474="",O474="OK",J474=""),"",MAX(N(J474)-M474,0))</f>
        <v/>
      </c>
      <c r="Q474" s="39" t="str">
        <f>IF(A474="",IF(COUNTA(B474:J474)&gt;0,"Référence manquante",""),IF(COUNTIF($A$5:$A$1004,A474)&gt;1,"Référence en double",IF(B474="","Désignation manquante","OK")))</f>
        <v/>
      </c>
      <c r="R474" s="39" t="str">
        <f>IF(OR(O474="Rupture",O474="À commander"),COUNTIF($O$5:O474,"Rupture")+COUNTIF($O$5:O474,"À commander"),"")</f>
        <v/>
      </c>
    </row>
    <row r="475">
      <c r="A475" s="37" t="n"/>
      <c r="B475" s="37" t="n"/>
      <c r="C475" s="37" t="n"/>
      <c r="D475" s="37" t="n"/>
      <c r="E475" s="37" t="n"/>
      <c r="F475" s="37" t="n"/>
      <c r="G475" s="38" t="n"/>
      <c r="H475" s="37" t="n"/>
      <c r="I475" s="37" t="n"/>
      <c r="J475" s="37" t="n"/>
      <c r="K475" s="39" t="str">
        <f>IF(A475="","",SUMIFS(mv_qty,mv_ref,A475,mv_type,"Entrée"))</f>
        <v/>
      </c>
      <c r="L475" s="39" t="str">
        <f>IF(A475="","",SUMIFS(mv_qty,mv_ref,A475,mv_type,"Sortie"))</f>
        <v/>
      </c>
      <c r="M475" s="39" t="str">
        <f>IF(A475="","",ROUND(N(H475)+K475-L475,6))</f>
        <v/>
      </c>
      <c r="N475" s="40" t="str">
        <f>IF(A475="","",M475*N(G475))</f>
        <v/>
      </c>
      <c r="O475" s="39" t="str">
        <f>IF(A475="","",IF(M475&lt;=0,"Rupture",IF(AND(I475&lt;&gt;"",M475&lt;=N(I475)),"À commander","OK")))</f>
        <v/>
      </c>
      <c r="P475" s="39" t="str">
        <f>IF(OR(A475="",O475="OK",J475=""),"",MAX(N(J475)-M475,0))</f>
        <v/>
      </c>
      <c r="Q475" s="39" t="str">
        <f>IF(A475="",IF(COUNTA(B475:J475)&gt;0,"Référence manquante",""),IF(COUNTIF($A$5:$A$1004,A475)&gt;1,"Référence en double",IF(B475="","Désignation manquante","OK")))</f>
        <v/>
      </c>
      <c r="R475" s="39" t="str">
        <f>IF(OR(O475="Rupture",O475="À commander"),COUNTIF($O$5:O475,"Rupture")+COUNTIF($O$5:O475,"À commander"),"")</f>
        <v/>
      </c>
    </row>
    <row r="476">
      <c r="A476" s="37" t="n"/>
      <c r="B476" s="37" t="n"/>
      <c r="C476" s="37" t="n"/>
      <c r="D476" s="37" t="n"/>
      <c r="E476" s="37" t="n"/>
      <c r="F476" s="37" t="n"/>
      <c r="G476" s="38" t="n"/>
      <c r="H476" s="37" t="n"/>
      <c r="I476" s="37" t="n"/>
      <c r="J476" s="37" t="n"/>
      <c r="K476" s="39" t="str">
        <f>IF(A476="","",SUMIFS(mv_qty,mv_ref,A476,mv_type,"Entrée"))</f>
        <v/>
      </c>
      <c r="L476" s="39" t="str">
        <f>IF(A476="","",SUMIFS(mv_qty,mv_ref,A476,mv_type,"Sortie"))</f>
        <v/>
      </c>
      <c r="M476" s="39" t="str">
        <f>IF(A476="","",ROUND(N(H476)+K476-L476,6))</f>
        <v/>
      </c>
      <c r="N476" s="40" t="str">
        <f>IF(A476="","",M476*N(G476))</f>
        <v/>
      </c>
      <c r="O476" s="39" t="str">
        <f>IF(A476="","",IF(M476&lt;=0,"Rupture",IF(AND(I476&lt;&gt;"",M476&lt;=N(I476)),"À commander","OK")))</f>
        <v/>
      </c>
      <c r="P476" s="39" t="str">
        <f>IF(OR(A476="",O476="OK",J476=""),"",MAX(N(J476)-M476,0))</f>
        <v/>
      </c>
      <c r="Q476" s="39" t="str">
        <f>IF(A476="",IF(COUNTA(B476:J476)&gt;0,"Référence manquante",""),IF(COUNTIF($A$5:$A$1004,A476)&gt;1,"Référence en double",IF(B476="","Désignation manquante","OK")))</f>
        <v/>
      </c>
      <c r="R476" s="39" t="str">
        <f>IF(OR(O476="Rupture",O476="À commander"),COUNTIF($O$5:O476,"Rupture")+COUNTIF($O$5:O476,"À commander"),"")</f>
        <v/>
      </c>
    </row>
    <row r="477">
      <c r="A477" s="37" t="n"/>
      <c r="B477" s="37" t="n"/>
      <c r="C477" s="37" t="n"/>
      <c r="D477" s="37" t="n"/>
      <c r="E477" s="37" t="n"/>
      <c r="F477" s="37" t="n"/>
      <c r="G477" s="38" t="n"/>
      <c r="H477" s="37" t="n"/>
      <c r="I477" s="37" t="n"/>
      <c r="J477" s="37" t="n"/>
      <c r="K477" s="39" t="str">
        <f>IF(A477="","",SUMIFS(mv_qty,mv_ref,A477,mv_type,"Entrée"))</f>
        <v/>
      </c>
      <c r="L477" s="39" t="str">
        <f>IF(A477="","",SUMIFS(mv_qty,mv_ref,A477,mv_type,"Sortie"))</f>
        <v/>
      </c>
      <c r="M477" s="39" t="str">
        <f>IF(A477="","",ROUND(N(H477)+K477-L477,6))</f>
        <v/>
      </c>
      <c r="N477" s="40" t="str">
        <f>IF(A477="","",M477*N(G477))</f>
        <v/>
      </c>
      <c r="O477" s="39" t="str">
        <f>IF(A477="","",IF(M477&lt;=0,"Rupture",IF(AND(I477&lt;&gt;"",M477&lt;=N(I477)),"À commander","OK")))</f>
        <v/>
      </c>
      <c r="P477" s="39" t="str">
        <f>IF(OR(A477="",O477="OK",J477=""),"",MAX(N(J477)-M477,0))</f>
        <v/>
      </c>
      <c r="Q477" s="39" t="str">
        <f>IF(A477="",IF(COUNTA(B477:J477)&gt;0,"Référence manquante",""),IF(COUNTIF($A$5:$A$1004,A477)&gt;1,"Référence en double",IF(B477="","Désignation manquante","OK")))</f>
        <v/>
      </c>
      <c r="R477" s="39" t="str">
        <f>IF(OR(O477="Rupture",O477="À commander"),COUNTIF($O$5:O477,"Rupture")+COUNTIF($O$5:O477,"À commander"),"")</f>
        <v/>
      </c>
    </row>
    <row r="478">
      <c r="A478" s="37" t="n"/>
      <c r="B478" s="37" t="n"/>
      <c r="C478" s="37" t="n"/>
      <c r="D478" s="37" t="n"/>
      <c r="E478" s="37" t="n"/>
      <c r="F478" s="37" t="n"/>
      <c r="G478" s="38" t="n"/>
      <c r="H478" s="37" t="n"/>
      <c r="I478" s="37" t="n"/>
      <c r="J478" s="37" t="n"/>
      <c r="K478" s="39" t="str">
        <f>IF(A478="","",SUMIFS(mv_qty,mv_ref,A478,mv_type,"Entrée"))</f>
        <v/>
      </c>
      <c r="L478" s="39" t="str">
        <f>IF(A478="","",SUMIFS(mv_qty,mv_ref,A478,mv_type,"Sortie"))</f>
        <v/>
      </c>
      <c r="M478" s="39" t="str">
        <f>IF(A478="","",ROUND(N(H478)+K478-L478,6))</f>
        <v/>
      </c>
      <c r="N478" s="40" t="str">
        <f>IF(A478="","",M478*N(G478))</f>
        <v/>
      </c>
      <c r="O478" s="39" t="str">
        <f>IF(A478="","",IF(M478&lt;=0,"Rupture",IF(AND(I478&lt;&gt;"",M478&lt;=N(I478)),"À commander","OK")))</f>
        <v/>
      </c>
      <c r="P478" s="39" t="str">
        <f>IF(OR(A478="",O478="OK",J478=""),"",MAX(N(J478)-M478,0))</f>
        <v/>
      </c>
      <c r="Q478" s="39" t="str">
        <f>IF(A478="",IF(COUNTA(B478:J478)&gt;0,"Référence manquante",""),IF(COUNTIF($A$5:$A$1004,A478)&gt;1,"Référence en double",IF(B478="","Désignation manquante","OK")))</f>
        <v/>
      </c>
      <c r="R478" s="39" t="str">
        <f>IF(OR(O478="Rupture",O478="À commander"),COUNTIF($O$5:O478,"Rupture")+COUNTIF($O$5:O478,"À commander"),"")</f>
        <v/>
      </c>
    </row>
    <row r="479">
      <c r="A479" s="37" t="n"/>
      <c r="B479" s="37" t="n"/>
      <c r="C479" s="37" t="n"/>
      <c r="D479" s="37" t="n"/>
      <c r="E479" s="37" t="n"/>
      <c r="F479" s="37" t="n"/>
      <c r="G479" s="38" t="n"/>
      <c r="H479" s="37" t="n"/>
      <c r="I479" s="37" t="n"/>
      <c r="J479" s="37" t="n"/>
      <c r="K479" s="39" t="str">
        <f>IF(A479="","",SUMIFS(mv_qty,mv_ref,A479,mv_type,"Entrée"))</f>
        <v/>
      </c>
      <c r="L479" s="39" t="str">
        <f>IF(A479="","",SUMIFS(mv_qty,mv_ref,A479,mv_type,"Sortie"))</f>
        <v/>
      </c>
      <c r="M479" s="39" t="str">
        <f>IF(A479="","",ROUND(N(H479)+K479-L479,6))</f>
        <v/>
      </c>
      <c r="N479" s="40" t="str">
        <f>IF(A479="","",M479*N(G479))</f>
        <v/>
      </c>
      <c r="O479" s="39" t="str">
        <f>IF(A479="","",IF(M479&lt;=0,"Rupture",IF(AND(I479&lt;&gt;"",M479&lt;=N(I479)),"À commander","OK")))</f>
        <v/>
      </c>
      <c r="P479" s="39" t="str">
        <f>IF(OR(A479="",O479="OK",J479=""),"",MAX(N(J479)-M479,0))</f>
        <v/>
      </c>
      <c r="Q479" s="39" t="str">
        <f>IF(A479="",IF(COUNTA(B479:J479)&gt;0,"Référence manquante",""),IF(COUNTIF($A$5:$A$1004,A479)&gt;1,"Référence en double",IF(B479="","Désignation manquante","OK")))</f>
        <v/>
      </c>
      <c r="R479" s="39" t="str">
        <f>IF(OR(O479="Rupture",O479="À commander"),COUNTIF($O$5:O479,"Rupture")+COUNTIF($O$5:O479,"À commander"),"")</f>
        <v/>
      </c>
    </row>
    <row r="480">
      <c r="A480" s="37" t="n"/>
      <c r="B480" s="37" t="n"/>
      <c r="C480" s="37" t="n"/>
      <c r="D480" s="37" t="n"/>
      <c r="E480" s="37" t="n"/>
      <c r="F480" s="37" t="n"/>
      <c r="G480" s="38" t="n"/>
      <c r="H480" s="37" t="n"/>
      <c r="I480" s="37" t="n"/>
      <c r="J480" s="37" t="n"/>
      <c r="K480" s="39" t="str">
        <f>IF(A480="","",SUMIFS(mv_qty,mv_ref,A480,mv_type,"Entrée"))</f>
        <v/>
      </c>
      <c r="L480" s="39" t="str">
        <f>IF(A480="","",SUMIFS(mv_qty,mv_ref,A480,mv_type,"Sortie"))</f>
        <v/>
      </c>
      <c r="M480" s="39" t="str">
        <f>IF(A480="","",ROUND(N(H480)+K480-L480,6))</f>
        <v/>
      </c>
      <c r="N480" s="40" t="str">
        <f>IF(A480="","",M480*N(G480))</f>
        <v/>
      </c>
      <c r="O480" s="39" t="str">
        <f>IF(A480="","",IF(M480&lt;=0,"Rupture",IF(AND(I480&lt;&gt;"",M480&lt;=N(I480)),"À commander","OK")))</f>
        <v/>
      </c>
      <c r="P480" s="39" t="str">
        <f>IF(OR(A480="",O480="OK",J480=""),"",MAX(N(J480)-M480,0))</f>
        <v/>
      </c>
      <c r="Q480" s="39" t="str">
        <f>IF(A480="",IF(COUNTA(B480:J480)&gt;0,"Référence manquante",""),IF(COUNTIF($A$5:$A$1004,A480)&gt;1,"Référence en double",IF(B480="","Désignation manquante","OK")))</f>
        <v/>
      </c>
      <c r="R480" s="39" t="str">
        <f>IF(OR(O480="Rupture",O480="À commander"),COUNTIF($O$5:O480,"Rupture")+COUNTIF($O$5:O480,"À commander"),"")</f>
        <v/>
      </c>
    </row>
    <row r="481">
      <c r="A481" s="37" t="n"/>
      <c r="B481" s="37" t="n"/>
      <c r="C481" s="37" t="n"/>
      <c r="D481" s="37" t="n"/>
      <c r="E481" s="37" t="n"/>
      <c r="F481" s="37" t="n"/>
      <c r="G481" s="38" t="n"/>
      <c r="H481" s="37" t="n"/>
      <c r="I481" s="37" t="n"/>
      <c r="J481" s="37" t="n"/>
      <c r="K481" s="39" t="str">
        <f>IF(A481="","",SUMIFS(mv_qty,mv_ref,A481,mv_type,"Entrée"))</f>
        <v/>
      </c>
      <c r="L481" s="39" t="str">
        <f>IF(A481="","",SUMIFS(mv_qty,mv_ref,A481,mv_type,"Sortie"))</f>
        <v/>
      </c>
      <c r="M481" s="39" t="str">
        <f>IF(A481="","",ROUND(N(H481)+K481-L481,6))</f>
        <v/>
      </c>
      <c r="N481" s="40" t="str">
        <f>IF(A481="","",M481*N(G481))</f>
        <v/>
      </c>
      <c r="O481" s="39" t="str">
        <f>IF(A481="","",IF(M481&lt;=0,"Rupture",IF(AND(I481&lt;&gt;"",M481&lt;=N(I481)),"À commander","OK")))</f>
        <v/>
      </c>
      <c r="P481" s="39" t="str">
        <f>IF(OR(A481="",O481="OK",J481=""),"",MAX(N(J481)-M481,0))</f>
        <v/>
      </c>
      <c r="Q481" s="39" t="str">
        <f>IF(A481="",IF(COUNTA(B481:J481)&gt;0,"Référence manquante",""),IF(COUNTIF($A$5:$A$1004,A481)&gt;1,"Référence en double",IF(B481="","Désignation manquante","OK")))</f>
        <v/>
      </c>
      <c r="R481" s="39" t="str">
        <f>IF(OR(O481="Rupture",O481="À commander"),COUNTIF($O$5:O481,"Rupture")+COUNTIF($O$5:O481,"À commander"),"")</f>
        <v/>
      </c>
    </row>
    <row r="482">
      <c r="A482" s="37" t="n"/>
      <c r="B482" s="37" t="n"/>
      <c r="C482" s="37" t="n"/>
      <c r="D482" s="37" t="n"/>
      <c r="E482" s="37" t="n"/>
      <c r="F482" s="37" t="n"/>
      <c r="G482" s="38" t="n"/>
      <c r="H482" s="37" t="n"/>
      <c r="I482" s="37" t="n"/>
      <c r="J482" s="37" t="n"/>
      <c r="K482" s="39" t="str">
        <f>IF(A482="","",SUMIFS(mv_qty,mv_ref,A482,mv_type,"Entrée"))</f>
        <v/>
      </c>
      <c r="L482" s="39" t="str">
        <f>IF(A482="","",SUMIFS(mv_qty,mv_ref,A482,mv_type,"Sortie"))</f>
        <v/>
      </c>
      <c r="M482" s="39" t="str">
        <f>IF(A482="","",ROUND(N(H482)+K482-L482,6))</f>
        <v/>
      </c>
      <c r="N482" s="40" t="str">
        <f>IF(A482="","",M482*N(G482))</f>
        <v/>
      </c>
      <c r="O482" s="39" t="str">
        <f>IF(A482="","",IF(M482&lt;=0,"Rupture",IF(AND(I482&lt;&gt;"",M482&lt;=N(I482)),"À commander","OK")))</f>
        <v/>
      </c>
      <c r="P482" s="39" t="str">
        <f>IF(OR(A482="",O482="OK",J482=""),"",MAX(N(J482)-M482,0))</f>
        <v/>
      </c>
      <c r="Q482" s="39" t="str">
        <f>IF(A482="",IF(COUNTA(B482:J482)&gt;0,"Référence manquante",""),IF(COUNTIF($A$5:$A$1004,A482)&gt;1,"Référence en double",IF(B482="","Désignation manquante","OK")))</f>
        <v/>
      </c>
      <c r="R482" s="39" t="str">
        <f>IF(OR(O482="Rupture",O482="À commander"),COUNTIF($O$5:O482,"Rupture")+COUNTIF($O$5:O482,"À commander"),"")</f>
        <v/>
      </c>
    </row>
    <row r="483">
      <c r="A483" s="37" t="n"/>
      <c r="B483" s="37" t="n"/>
      <c r="C483" s="37" t="n"/>
      <c r="D483" s="37" t="n"/>
      <c r="E483" s="37" t="n"/>
      <c r="F483" s="37" t="n"/>
      <c r="G483" s="38" t="n"/>
      <c r="H483" s="37" t="n"/>
      <c r="I483" s="37" t="n"/>
      <c r="J483" s="37" t="n"/>
      <c r="K483" s="39" t="str">
        <f>IF(A483="","",SUMIFS(mv_qty,mv_ref,A483,mv_type,"Entrée"))</f>
        <v/>
      </c>
      <c r="L483" s="39" t="str">
        <f>IF(A483="","",SUMIFS(mv_qty,mv_ref,A483,mv_type,"Sortie"))</f>
        <v/>
      </c>
      <c r="M483" s="39" t="str">
        <f>IF(A483="","",ROUND(N(H483)+K483-L483,6))</f>
        <v/>
      </c>
      <c r="N483" s="40" t="str">
        <f>IF(A483="","",M483*N(G483))</f>
        <v/>
      </c>
      <c r="O483" s="39" t="str">
        <f>IF(A483="","",IF(M483&lt;=0,"Rupture",IF(AND(I483&lt;&gt;"",M483&lt;=N(I483)),"À commander","OK")))</f>
        <v/>
      </c>
      <c r="P483" s="39" t="str">
        <f>IF(OR(A483="",O483="OK",J483=""),"",MAX(N(J483)-M483,0))</f>
        <v/>
      </c>
      <c r="Q483" s="39" t="str">
        <f>IF(A483="",IF(COUNTA(B483:J483)&gt;0,"Référence manquante",""),IF(COUNTIF($A$5:$A$1004,A483)&gt;1,"Référence en double",IF(B483="","Désignation manquante","OK")))</f>
        <v/>
      </c>
      <c r="R483" s="39" t="str">
        <f>IF(OR(O483="Rupture",O483="À commander"),COUNTIF($O$5:O483,"Rupture")+COUNTIF($O$5:O483,"À commander"),"")</f>
        <v/>
      </c>
    </row>
    <row r="484">
      <c r="A484" s="37" t="n"/>
      <c r="B484" s="37" t="n"/>
      <c r="C484" s="37" t="n"/>
      <c r="D484" s="37" t="n"/>
      <c r="E484" s="37" t="n"/>
      <c r="F484" s="37" t="n"/>
      <c r="G484" s="38" t="n"/>
      <c r="H484" s="37" t="n"/>
      <c r="I484" s="37" t="n"/>
      <c r="J484" s="37" t="n"/>
      <c r="K484" s="39" t="str">
        <f>IF(A484="","",SUMIFS(mv_qty,mv_ref,A484,mv_type,"Entrée"))</f>
        <v/>
      </c>
      <c r="L484" s="39" t="str">
        <f>IF(A484="","",SUMIFS(mv_qty,mv_ref,A484,mv_type,"Sortie"))</f>
        <v/>
      </c>
      <c r="M484" s="39" t="str">
        <f>IF(A484="","",ROUND(N(H484)+K484-L484,6))</f>
        <v/>
      </c>
      <c r="N484" s="40" t="str">
        <f>IF(A484="","",M484*N(G484))</f>
        <v/>
      </c>
      <c r="O484" s="39" t="str">
        <f>IF(A484="","",IF(M484&lt;=0,"Rupture",IF(AND(I484&lt;&gt;"",M484&lt;=N(I484)),"À commander","OK")))</f>
        <v/>
      </c>
      <c r="P484" s="39" t="str">
        <f>IF(OR(A484="",O484="OK",J484=""),"",MAX(N(J484)-M484,0))</f>
        <v/>
      </c>
      <c r="Q484" s="39" t="str">
        <f>IF(A484="",IF(COUNTA(B484:J484)&gt;0,"Référence manquante",""),IF(COUNTIF($A$5:$A$1004,A484)&gt;1,"Référence en double",IF(B484="","Désignation manquante","OK")))</f>
        <v/>
      </c>
      <c r="R484" s="39" t="str">
        <f>IF(OR(O484="Rupture",O484="À commander"),COUNTIF($O$5:O484,"Rupture")+COUNTIF($O$5:O484,"À commander"),"")</f>
        <v/>
      </c>
    </row>
    <row r="485">
      <c r="A485" s="37" t="n"/>
      <c r="B485" s="37" t="n"/>
      <c r="C485" s="37" t="n"/>
      <c r="D485" s="37" t="n"/>
      <c r="E485" s="37" t="n"/>
      <c r="F485" s="37" t="n"/>
      <c r="G485" s="38" t="n"/>
      <c r="H485" s="37" t="n"/>
      <c r="I485" s="37" t="n"/>
      <c r="J485" s="37" t="n"/>
      <c r="K485" s="39" t="str">
        <f>IF(A485="","",SUMIFS(mv_qty,mv_ref,A485,mv_type,"Entrée"))</f>
        <v/>
      </c>
      <c r="L485" s="39" t="str">
        <f>IF(A485="","",SUMIFS(mv_qty,mv_ref,A485,mv_type,"Sortie"))</f>
        <v/>
      </c>
      <c r="M485" s="39" t="str">
        <f>IF(A485="","",ROUND(N(H485)+K485-L485,6))</f>
        <v/>
      </c>
      <c r="N485" s="40" t="str">
        <f>IF(A485="","",M485*N(G485))</f>
        <v/>
      </c>
      <c r="O485" s="39" t="str">
        <f>IF(A485="","",IF(M485&lt;=0,"Rupture",IF(AND(I485&lt;&gt;"",M485&lt;=N(I485)),"À commander","OK")))</f>
        <v/>
      </c>
      <c r="P485" s="39" t="str">
        <f>IF(OR(A485="",O485="OK",J485=""),"",MAX(N(J485)-M485,0))</f>
        <v/>
      </c>
      <c r="Q485" s="39" t="str">
        <f>IF(A485="",IF(COUNTA(B485:J485)&gt;0,"Référence manquante",""),IF(COUNTIF($A$5:$A$1004,A485)&gt;1,"Référence en double",IF(B485="","Désignation manquante","OK")))</f>
        <v/>
      </c>
      <c r="R485" s="39" t="str">
        <f>IF(OR(O485="Rupture",O485="À commander"),COUNTIF($O$5:O485,"Rupture")+COUNTIF($O$5:O485,"À commander"),"")</f>
        <v/>
      </c>
    </row>
    <row r="486">
      <c r="A486" s="37" t="n"/>
      <c r="B486" s="37" t="n"/>
      <c r="C486" s="37" t="n"/>
      <c r="D486" s="37" t="n"/>
      <c r="E486" s="37" t="n"/>
      <c r="F486" s="37" t="n"/>
      <c r="G486" s="38" t="n"/>
      <c r="H486" s="37" t="n"/>
      <c r="I486" s="37" t="n"/>
      <c r="J486" s="37" t="n"/>
      <c r="K486" s="39" t="str">
        <f>IF(A486="","",SUMIFS(mv_qty,mv_ref,A486,mv_type,"Entrée"))</f>
        <v/>
      </c>
      <c r="L486" s="39" t="str">
        <f>IF(A486="","",SUMIFS(mv_qty,mv_ref,A486,mv_type,"Sortie"))</f>
        <v/>
      </c>
      <c r="M486" s="39" t="str">
        <f>IF(A486="","",ROUND(N(H486)+K486-L486,6))</f>
        <v/>
      </c>
      <c r="N486" s="40" t="str">
        <f>IF(A486="","",M486*N(G486))</f>
        <v/>
      </c>
      <c r="O486" s="39" t="str">
        <f>IF(A486="","",IF(M486&lt;=0,"Rupture",IF(AND(I486&lt;&gt;"",M486&lt;=N(I486)),"À commander","OK")))</f>
        <v/>
      </c>
      <c r="P486" s="39" t="str">
        <f>IF(OR(A486="",O486="OK",J486=""),"",MAX(N(J486)-M486,0))</f>
        <v/>
      </c>
      <c r="Q486" s="39" t="str">
        <f>IF(A486="",IF(COUNTA(B486:J486)&gt;0,"Référence manquante",""),IF(COUNTIF($A$5:$A$1004,A486)&gt;1,"Référence en double",IF(B486="","Désignation manquante","OK")))</f>
        <v/>
      </c>
      <c r="R486" s="39" t="str">
        <f>IF(OR(O486="Rupture",O486="À commander"),COUNTIF($O$5:O486,"Rupture")+COUNTIF($O$5:O486,"À commander"),"")</f>
        <v/>
      </c>
    </row>
    <row r="487">
      <c r="A487" s="37" t="n"/>
      <c r="B487" s="37" t="n"/>
      <c r="C487" s="37" t="n"/>
      <c r="D487" s="37" t="n"/>
      <c r="E487" s="37" t="n"/>
      <c r="F487" s="37" t="n"/>
      <c r="G487" s="38" t="n"/>
      <c r="H487" s="37" t="n"/>
      <c r="I487" s="37" t="n"/>
      <c r="J487" s="37" t="n"/>
      <c r="K487" s="39" t="str">
        <f>IF(A487="","",SUMIFS(mv_qty,mv_ref,A487,mv_type,"Entrée"))</f>
        <v/>
      </c>
      <c r="L487" s="39" t="str">
        <f>IF(A487="","",SUMIFS(mv_qty,mv_ref,A487,mv_type,"Sortie"))</f>
        <v/>
      </c>
      <c r="M487" s="39" t="str">
        <f>IF(A487="","",ROUND(N(H487)+K487-L487,6))</f>
        <v/>
      </c>
      <c r="N487" s="40" t="str">
        <f>IF(A487="","",M487*N(G487))</f>
        <v/>
      </c>
      <c r="O487" s="39" t="str">
        <f>IF(A487="","",IF(M487&lt;=0,"Rupture",IF(AND(I487&lt;&gt;"",M487&lt;=N(I487)),"À commander","OK")))</f>
        <v/>
      </c>
      <c r="P487" s="39" t="str">
        <f>IF(OR(A487="",O487="OK",J487=""),"",MAX(N(J487)-M487,0))</f>
        <v/>
      </c>
      <c r="Q487" s="39" t="str">
        <f>IF(A487="",IF(COUNTA(B487:J487)&gt;0,"Référence manquante",""),IF(COUNTIF($A$5:$A$1004,A487)&gt;1,"Référence en double",IF(B487="","Désignation manquante","OK")))</f>
        <v/>
      </c>
      <c r="R487" s="39" t="str">
        <f>IF(OR(O487="Rupture",O487="À commander"),COUNTIF($O$5:O487,"Rupture")+COUNTIF($O$5:O487,"À commander"),"")</f>
        <v/>
      </c>
    </row>
    <row r="488">
      <c r="A488" s="37" t="n"/>
      <c r="B488" s="37" t="n"/>
      <c r="C488" s="37" t="n"/>
      <c r="D488" s="37" t="n"/>
      <c r="E488" s="37" t="n"/>
      <c r="F488" s="37" t="n"/>
      <c r="G488" s="38" t="n"/>
      <c r="H488" s="37" t="n"/>
      <c r="I488" s="37" t="n"/>
      <c r="J488" s="37" t="n"/>
      <c r="K488" s="39" t="str">
        <f>IF(A488="","",SUMIFS(mv_qty,mv_ref,A488,mv_type,"Entrée"))</f>
        <v/>
      </c>
      <c r="L488" s="39" t="str">
        <f>IF(A488="","",SUMIFS(mv_qty,mv_ref,A488,mv_type,"Sortie"))</f>
        <v/>
      </c>
      <c r="M488" s="39" t="str">
        <f>IF(A488="","",ROUND(N(H488)+K488-L488,6))</f>
        <v/>
      </c>
      <c r="N488" s="40" t="str">
        <f>IF(A488="","",M488*N(G488))</f>
        <v/>
      </c>
      <c r="O488" s="39" t="str">
        <f>IF(A488="","",IF(M488&lt;=0,"Rupture",IF(AND(I488&lt;&gt;"",M488&lt;=N(I488)),"À commander","OK")))</f>
        <v/>
      </c>
      <c r="P488" s="39" t="str">
        <f>IF(OR(A488="",O488="OK",J488=""),"",MAX(N(J488)-M488,0))</f>
        <v/>
      </c>
      <c r="Q488" s="39" t="str">
        <f>IF(A488="",IF(COUNTA(B488:J488)&gt;0,"Référence manquante",""),IF(COUNTIF($A$5:$A$1004,A488)&gt;1,"Référence en double",IF(B488="","Désignation manquante","OK")))</f>
        <v/>
      </c>
      <c r="R488" s="39" t="str">
        <f>IF(OR(O488="Rupture",O488="À commander"),COUNTIF($O$5:O488,"Rupture")+COUNTIF($O$5:O488,"À commander"),"")</f>
        <v/>
      </c>
    </row>
    <row r="489">
      <c r="A489" s="37" t="n"/>
      <c r="B489" s="37" t="n"/>
      <c r="C489" s="37" t="n"/>
      <c r="D489" s="37" t="n"/>
      <c r="E489" s="37" t="n"/>
      <c r="F489" s="37" t="n"/>
      <c r="G489" s="38" t="n"/>
      <c r="H489" s="37" t="n"/>
      <c r="I489" s="37" t="n"/>
      <c r="J489" s="37" t="n"/>
      <c r="K489" s="39" t="str">
        <f>IF(A489="","",SUMIFS(mv_qty,mv_ref,A489,mv_type,"Entrée"))</f>
        <v/>
      </c>
      <c r="L489" s="39" t="str">
        <f>IF(A489="","",SUMIFS(mv_qty,mv_ref,A489,mv_type,"Sortie"))</f>
        <v/>
      </c>
      <c r="M489" s="39" t="str">
        <f>IF(A489="","",ROUND(N(H489)+K489-L489,6))</f>
        <v/>
      </c>
      <c r="N489" s="40" t="str">
        <f>IF(A489="","",M489*N(G489))</f>
        <v/>
      </c>
      <c r="O489" s="39" t="str">
        <f>IF(A489="","",IF(M489&lt;=0,"Rupture",IF(AND(I489&lt;&gt;"",M489&lt;=N(I489)),"À commander","OK")))</f>
        <v/>
      </c>
      <c r="P489" s="39" t="str">
        <f>IF(OR(A489="",O489="OK",J489=""),"",MAX(N(J489)-M489,0))</f>
        <v/>
      </c>
      <c r="Q489" s="39" t="str">
        <f>IF(A489="",IF(COUNTA(B489:J489)&gt;0,"Référence manquante",""),IF(COUNTIF($A$5:$A$1004,A489)&gt;1,"Référence en double",IF(B489="","Désignation manquante","OK")))</f>
        <v/>
      </c>
      <c r="R489" s="39" t="str">
        <f>IF(OR(O489="Rupture",O489="À commander"),COUNTIF($O$5:O489,"Rupture")+COUNTIF($O$5:O489,"À commander"),"")</f>
        <v/>
      </c>
    </row>
    <row r="490">
      <c r="A490" s="37" t="n"/>
      <c r="B490" s="37" t="n"/>
      <c r="C490" s="37" t="n"/>
      <c r="D490" s="37" t="n"/>
      <c r="E490" s="37" t="n"/>
      <c r="F490" s="37" t="n"/>
      <c r="G490" s="38" t="n"/>
      <c r="H490" s="37" t="n"/>
      <c r="I490" s="37" t="n"/>
      <c r="J490" s="37" t="n"/>
      <c r="K490" s="39" t="str">
        <f>IF(A490="","",SUMIFS(mv_qty,mv_ref,A490,mv_type,"Entrée"))</f>
        <v/>
      </c>
      <c r="L490" s="39" t="str">
        <f>IF(A490="","",SUMIFS(mv_qty,mv_ref,A490,mv_type,"Sortie"))</f>
        <v/>
      </c>
      <c r="M490" s="39" t="str">
        <f>IF(A490="","",ROUND(N(H490)+K490-L490,6))</f>
        <v/>
      </c>
      <c r="N490" s="40" t="str">
        <f>IF(A490="","",M490*N(G490))</f>
        <v/>
      </c>
      <c r="O490" s="39" t="str">
        <f>IF(A490="","",IF(M490&lt;=0,"Rupture",IF(AND(I490&lt;&gt;"",M490&lt;=N(I490)),"À commander","OK")))</f>
        <v/>
      </c>
      <c r="P490" s="39" t="str">
        <f>IF(OR(A490="",O490="OK",J490=""),"",MAX(N(J490)-M490,0))</f>
        <v/>
      </c>
      <c r="Q490" s="39" t="str">
        <f>IF(A490="",IF(COUNTA(B490:J490)&gt;0,"Référence manquante",""),IF(COUNTIF($A$5:$A$1004,A490)&gt;1,"Référence en double",IF(B490="","Désignation manquante","OK")))</f>
        <v/>
      </c>
      <c r="R490" s="39" t="str">
        <f>IF(OR(O490="Rupture",O490="À commander"),COUNTIF($O$5:O490,"Rupture")+COUNTIF($O$5:O490,"À commander"),"")</f>
        <v/>
      </c>
    </row>
    <row r="491">
      <c r="A491" s="37" t="n"/>
      <c r="B491" s="37" t="n"/>
      <c r="C491" s="37" t="n"/>
      <c r="D491" s="37" t="n"/>
      <c r="E491" s="37" t="n"/>
      <c r="F491" s="37" t="n"/>
      <c r="G491" s="38" t="n"/>
      <c r="H491" s="37" t="n"/>
      <c r="I491" s="37" t="n"/>
      <c r="J491" s="37" t="n"/>
      <c r="K491" s="39" t="str">
        <f>IF(A491="","",SUMIFS(mv_qty,mv_ref,A491,mv_type,"Entrée"))</f>
        <v/>
      </c>
      <c r="L491" s="39" t="str">
        <f>IF(A491="","",SUMIFS(mv_qty,mv_ref,A491,mv_type,"Sortie"))</f>
        <v/>
      </c>
      <c r="M491" s="39" t="str">
        <f>IF(A491="","",ROUND(N(H491)+K491-L491,6))</f>
        <v/>
      </c>
      <c r="N491" s="40" t="str">
        <f>IF(A491="","",M491*N(G491))</f>
        <v/>
      </c>
      <c r="O491" s="39" t="str">
        <f>IF(A491="","",IF(M491&lt;=0,"Rupture",IF(AND(I491&lt;&gt;"",M491&lt;=N(I491)),"À commander","OK")))</f>
        <v/>
      </c>
      <c r="P491" s="39" t="str">
        <f>IF(OR(A491="",O491="OK",J491=""),"",MAX(N(J491)-M491,0))</f>
        <v/>
      </c>
      <c r="Q491" s="39" t="str">
        <f>IF(A491="",IF(COUNTA(B491:J491)&gt;0,"Référence manquante",""),IF(COUNTIF($A$5:$A$1004,A491)&gt;1,"Référence en double",IF(B491="","Désignation manquante","OK")))</f>
        <v/>
      </c>
      <c r="R491" s="39" t="str">
        <f>IF(OR(O491="Rupture",O491="À commander"),COUNTIF($O$5:O491,"Rupture")+COUNTIF($O$5:O491,"À commander"),"")</f>
        <v/>
      </c>
    </row>
    <row r="492">
      <c r="A492" s="37" t="n"/>
      <c r="B492" s="37" t="n"/>
      <c r="C492" s="37" t="n"/>
      <c r="D492" s="37" t="n"/>
      <c r="E492" s="37" t="n"/>
      <c r="F492" s="37" t="n"/>
      <c r="G492" s="38" t="n"/>
      <c r="H492" s="37" t="n"/>
      <c r="I492" s="37" t="n"/>
      <c r="J492" s="37" t="n"/>
      <c r="K492" s="39" t="str">
        <f>IF(A492="","",SUMIFS(mv_qty,mv_ref,A492,mv_type,"Entrée"))</f>
        <v/>
      </c>
      <c r="L492" s="39" t="str">
        <f>IF(A492="","",SUMIFS(mv_qty,mv_ref,A492,mv_type,"Sortie"))</f>
        <v/>
      </c>
      <c r="M492" s="39" t="str">
        <f>IF(A492="","",ROUND(N(H492)+K492-L492,6))</f>
        <v/>
      </c>
      <c r="N492" s="40" t="str">
        <f>IF(A492="","",M492*N(G492))</f>
        <v/>
      </c>
      <c r="O492" s="39" t="str">
        <f>IF(A492="","",IF(M492&lt;=0,"Rupture",IF(AND(I492&lt;&gt;"",M492&lt;=N(I492)),"À commander","OK")))</f>
        <v/>
      </c>
      <c r="P492" s="39" t="str">
        <f>IF(OR(A492="",O492="OK",J492=""),"",MAX(N(J492)-M492,0))</f>
        <v/>
      </c>
      <c r="Q492" s="39" t="str">
        <f>IF(A492="",IF(COUNTA(B492:J492)&gt;0,"Référence manquante",""),IF(COUNTIF($A$5:$A$1004,A492)&gt;1,"Référence en double",IF(B492="","Désignation manquante","OK")))</f>
        <v/>
      </c>
      <c r="R492" s="39" t="str">
        <f>IF(OR(O492="Rupture",O492="À commander"),COUNTIF($O$5:O492,"Rupture")+COUNTIF($O$5:O492,"À commander"),"")</f>
        <v/>
      </c>
    </row>
    <row r="493">
      <c r="A493" s="37" t="n"/>
      <c r="B493" s="37" t="n"/>
      <c r="C493" s="37" t="n"/>
      <c r="D493" s="37" t="n"/>
      <c r="E493" s="37" t="n"/>
      <c r="F493" s="37" t="n"/>
      <c r="G493" s="38" t="n"/>
      <c r="H493" s="37" t="n"/>
      <c r="I493" s="37" t="n"/>
      <c r="J493" s="37" t="n"/>
      <c r="K493" s="39" t="str">
        <f>IF(A493="","",SUMIFS(mv_qty,mv_ref,A493,mv_type,"Entrée"))</f>
        <v/>
      </c>
      <c r="L493" s="39" t="str">
        <f>IF(A493="","",SUMIFS(mv_qty,mv_ref,A493,mv_type,"Sortie"))</f>
        <v/>
      </c>
      <c r="M493" s="39" t="str">
        <f>IF(A493="","",ROUND(N(H493)+K493-L493,6))</f>
        <v/>
      </c>
      <c r="N493" s="40" t="str">
        <f>IF(A493="","",M493*N(G493))</f>
        <v/>
      </c>
      <c r="O493" s="39" t="str">
        <f>IF(A493="","",IF(M493&lt;=0,"Rupture",IF(AND(I493&lt;&gt;"",M493&lt;=N(I493)),"À commander","OK")))</f>
        <v/>
      </c>
      <c r="P493" s="39" t="str">
        <f>IF(OR(A493="",O493="OK",J493=""),"",MAX(N(J493)-M493,0))</f>
        <v/>
      </c>
      <c r="Q493" s="39" t="str">
        <f>IF(A493="",IF(COUNTA(B493:J493)&gt;0,"Référence manquante",""),IF(COUNTIF($A$5:$A$1004,A493)&gt;1,"Référence en double",IF(B493="","Désignation manquante","OK")))</f>
        <v/>
      </c>
      <c r="R493" s="39" t="str">
        <f>IF(OR(O493="Rupture",O493="À commander"),COUNTIF($O$5:O493,"Rupture")+COUNTIF($O$5:O493,"À commander"),"")</f>
        <v/>
      </c>
    </row>
    <row r="494">
      <c r="A494" s="37" t="n"/>
      <c r="B494" s="37" t="n"/>
      <c r="C494" s="37" t="n"/>
      <c r="D494" s="37" t="n"/>
      <c r="E494" s="37" t="n"/>
      <c r="F494" s="37" t="n"/>
      <c r="G494" s="38" t="n"/>
      <c r="H494" s="37" t="n"/>
      <c r="I494" s="37" t="n"/>
      <c r="J494" s="37" t="n"/>
      <c r="K494" s="39" t="str">
        <f>IF(A494="","",SUMIFS(mv_qty,mv_ref,A494,mv_type,"Entrée"))</f>
        <v/>
      </c>
      <c r="L494" s="39" t="str">
        <f>IF(A494="","",SUMIFS(mv_qty,mv_ref,A494,mv_type,"Sortie"))</f>
        <v/>
      </c>
      <c r="M494" s="39" t="str">
        <f>IF(A494="","",ROUND(N(H494)+K494-L494,6))</f>
        <v/>
      </c>
      <c r="N494" s="40" t="str">
        <f>IF(A494="","",M494*N(G494))</f>
        <v/>
      </c>
      <c r="O494" s="39" t="str">
        <f>IF(A494="","",IF(M494&lt;=0,"Rupture",IF(AND(I494&lt;&gt;"",M494&lt;=N(I494)),"À commander","OK")))</f>
        <v/>
      </c>
      <c r="P494" s="39" t="str">
        <f>IF(OR(A494="",O494="OK",J494=""),"",MAX(N(J494)-M494,0))</f>
        <v/>
      </c>
      <c r="Q494" s="39" t="str">
        <f>IF(A494="",IF(COUNTA(B494:J494)&gt;0,"Référence manquante",""),IF(COUNTIF($A$5:$A$1004,A494)&gt;1,"Référence en double",IF(B494="","Désignation manquante","OK")))</f>
        <v/>
      </c>
      <c r="R494" s="39" t="str">
        <f>IF(OR(O494="Rupture",O494="À commander"),COUNTIF($O$5:O494,"Rupture")+COUNTIF($O$5:O494,"À commander"),"")</f>
        <v/>
      </c>
    </row>
    <row r="495">
      <c r="A495" s="37" t="n"/>
      <c r="B495" s="37" t="n"/>
      <c r="C495" s="37" t="n"/>
      <c r="D495" s="37" t="n"/>
      <c r="E495" s="37" t="n"/>
      <c r="F495" s="37" t="n"/>
      <c r="G495" s="38" t="n"/>
      <c r="H495" s="37" t="n"/>
      <c r="I495" s="37" t="n"/>
      <c r="J495" s="37" t="n"/>
      <c r="K495" s="39" t="str">
        <f>IF(A495="","",SUMIFS(mv_qty,mv_ref,A495,mv_type,"Entrée"))</f>
        <v/>
      </c>
      <c r="L495" s="39" t="str">
        <f>IF(A495="","",SUMIFS(mv_qty,mv_ref,A495,mv_type,"Sortie"))</f>
        <v/>
      </c>
      <c r="M495" s="39" t="str">
        <f>IF(A495="","",ROUND(N(H495)+K495-L495,6))</f>
        <v/>
      </c>
      <c r="N495" s="40" t="str">
        <f>IF(A495="","",M495*N(G495))</f>
        <v/>
      </c>
      <c r="O495" s="39" t="str">
        <f>IF(A495="","",IF(M495&lt;=0,"Rupture",IF(AND(I495&lt;&gt;"",M495&lt;=N(I495)),"À commander","OK")))</f>
        <v/>
      </c>
      <c r="P495" s="39" t="str">
        <f>IF(OR(A495="",O495="OK",J495=""),"",MAX(N(J495)-M495,0))</f>
        <v/>
      </c>
      <c r="Q495" s="39" t="str">
        <f>IF(A495="",IF(COUNTA(B495:J495)&gt;0,"Référence manquante",""),IF(COUNTIF($A$5:$A$1004,A495)&gt;1,"Référence en double",IF(B495="","Désignation manquante","OK")))</f>
        <v/>
      </c>
      <c r="R495" s="39" t="str">
        <f>IF(OR(O495="Rupture",O495="À commander"),COUNTIF($O$5:O495,"Rupture")+COUNTIF($O$5:O495,"À commander"),"")</f>
        <v/>
      </c>
    </row>
    <row r="496">
      <c r="A496" s="37" t="n"/>
      <c r="B496" s="37" t="n"/>
      <c r="C496" s="37" t="n"/>
      <c r="D496" s="37" t="n"/>
      <c r="E496" s="37" t="n"/>
      <c r="F496" s="37" t="n"/>
      <c r="G496" s="38" t="n"/>
      <c r="H496" s="37" t="n"/>
      <c r="I496" s="37" t="n"/>
      <c r="J496" s="37" t="n"/>
      <c r="K496" s="39" t="str">
        <f>IF(A496="","",SUMIFS(mv_qty,mv_ref,A496,mv_type,"Entrée"))</f>
        <v/>
      </c>
      <c r="L496" s="39" t="str">
        <f>IF(A496="","",SUMIFS(mv_qty,mv_ref,A496,mv_type,"Sortie"))</f>
        <v/>
      </c>
      <c r="M496" s="39" t="str">
        <f>IF(A496="","",ROUND(N(H496)+K496-L496,6))</f>
        <v/>
      </c>
      <c r="N496" s="40" t="str">
        <f>IF(A496="","",M496*N(G496))</f>
        <v/>
      </c>
      <c r="O496" s="39" t="str">
        <f>IF(A496="","",IF(M496&lt;=0,"Rupture",IF(AND(I496&lt;&gt;"",M496&lt;=N(I496)),"À commander","OK")))</f>
        <v/>
      </c>
      <c r="P496" s="39" t="str">
        <f>IF(OR(A496="",O496="OK",J496=""),"",MAX(N(J496)-M496,0))</f>
        <v/>
      </c>
      <c r="Q496" s="39" t="str">
        <f>IF(A496="",IF(COUNTA(B496:J496)&gt;0,"Référence manquante",""),IF(COUNTIF($A$5:$A$1004,A496)&gt;1,"Référence en double",IF(B496="","Désignation manquante","OK")))</f>
        <v/>
      </c>
      <c r="R496" s="39" t="str">
        <f>IF(OR(O496="Rupture",O496="À commander"),COUNTIF($O$5:O496,"Rupture")+COUNTIF($O$5:O496,"À commander"),"")</f>
        <v/>
      </c>
    </row>
    <row r="497">
      <c r="A497" s="37" t="n"/>
      <c r="B497" s="37" t="n"/>
      <c r="C497" s="37" t="n"/>
      <c r="D497" s="37" t="n"/>
      <c r="E497" s="37" t="n"/>
      <c r="F497" s="37" t="n"/>
      <c r="G497" s="38" t="n"/>
      <c r="H497" s="37" t="n"/>
      <c r="I497" s="37" t="n"/>
      <c r="J497" s="37" t="n"/>
      <c r="K497" s="39" t="str">
        <f>IF(A497="","",SUMIFS(mv_qty,mv_ref,A497,mv_type,"Entrée"))</f>
        <v/>
      </c>
      <c r="L497" s="39" t="str">
        <f>IF(A497="","",SUMIFS(mv_qty,mv_ref,A497,mv_type,"Sortie"))</f>
        <v/>
      </c>
      <c r="M497" s="39" t="str">
        <f>IF(A497="","",ROUND(N(H497)+K497-L497,6))</f>
        <v/>
      </c>
      <c r="N497" s="40" t="str">
        <f>IF(A497="","",M497*N(G497))</f>
        <v/>
      </c>
      <c r="O497" s="39" t="str">
        <f>IF(A497="","",IF(M497&lt;=0,"Rupture",IF(AND(I497&lt;&gt;"",M497&lt;=N(I497)),"À commander","OK")))</f>
        <v/>
      </c>
      <c r="P497" s="39" t="str">
        <f>IF(OR(A497="",O497="OK",J497=""),"",MAX(N(J497)-M497,0))</f>
        <v/>
      </c>
      <c r="Q497" s="39" t="str">
        <f>IF(A497="",IF(COUNTA(B497:J497)&gt;0,"Référence manquante",""),IF(COUNTIF($A$5:$A$1004,A497)&gt;1,"Référence en double",IF(B497="","Désignation manquante","OK")))</f>
        <v/>
      </c>
      <c r="R497" s="39" t="str">
        <f>IF(OR(O497="Rupture",O497="À commander"),COUNTIF($O$5:O497,"Rupture")+COUNTIF($O$5:O497,"À commander"),"")</f>
        <v/>
      </c>
    </row>
    <row r="498">
      <c r="A498" s="37" t="n"/>
      <c r="B498" s="37" t="n"/>
      <c r="C498" s="37" t="n"/>
      <c r="D498" s="37" t="n"/>
      <c r="E498" s="37" t="n"/>
      <c r="F498" s="37" t="n"/>
      <c r="G498" s="38" t="n"/>
      <c r="H498" s="37" t="n"/>
      <c r="I498" s="37" t="n"/>
      <c r="J498" s="37" t="n"/>
      <c r="K498" s="39" t="str">
        <f>IF(A498="","",SUMIFS(mv_qty,mv_ref,A498,mv_type,"Entrée"))</f>
        <v/>
      </c>
      <c r="L498" s="39" t="str">
        <f>IF(A498="","",SUMIFS(mv_qty,mv_ref,A498,mv_type,"Sortie"))</f>
        <v/>
      </c>
      <c r="M498" s="39" t="str">
        <f>IF(A498="","",ROUND(N(H498)+K498-L498,6))</f>
        <v/>
      </c>
      <c r="N498" s="40" t="str">
        <f>IF(A498="","",M498*N(G498))</f>
        <v/>
      </c>
      <c r="O498" s="39" t="str">
        <f>IF(A498="","",IF(M498&lt;=0,"Rupture",IF(AND(I498&lt;&gt;"",M498&lt;=N(I498)),"À commander","OK")))</f>
        <v/>
      </c>
      <c r="P498" s="39" t="str">
        <f>IF(OR(A498="",O498="OK",J498=""),"",MAX(N(J498)-M498,0))</f>
        <v/>
      </c>
      <c r="Q498" s="39" t="str">
        <f>IF(A498="",IF(COUNTA(B498:J498)&gt;0,"Référence manquante",""),IF(COUNTIF($A$5:$A$1004,A498)&gt;1,"Référence en double",IF(B498="","Désignation manquante","OK")))</f>
        <v/>
      </c>
      <c r="R498" s="39" t="str">
        <f>IF(OR(O498="Rupture",O498="À commander"),COUNTIF($O$5:O498,"Rupture")+COUNTIF($O$5:O498,"À commander"),"")</f>
        <v/>
      </c>
    </row>
    <row r="499">
      <c r="A499" s="37" t="n"/>
      <c r="B499" s="37" t="n"/>
      <c r="C499" s="37" t="n"/>
      <c r="D499" s="37" t="n"/>
      <c r="E499" s="37" t="n"/>
      <c r="F499" s="37" t="n"/>
      <c r="G499" s="38" t="n"/>
      <c r="H499" s="37" t="n"/>
      <c r="I499" s="37" t="n"/>
      <c r="J499" s="37" t="n"/>
      <c r="K499" s="39" t="str">
        <f>IF(A499="","",SUMIFS(mv_qty,mv_ref,A499,mv_type,"Entrée"))</f>
        <v/>
      </c>
      <c r="L499" s="39" t="str">
        <f>IF(A499="","",SUMIFS(mv_qty,mv_ref,A499,mv_type,"Sortie"))</f>
        <v/>
      </c>
      <c r="M499" s="39" t="str">
        <f>IF(A499="","",ROUND(N(H499)+K499-L499,6))</f>
        <v/>
      </c>
      <c r="N499" s="40" t="str">
        <f>IF(A499="","",M499*N(G499))</f>
        <v/>
      </c>
      <c r="O499" s="39" t="str">
        <f>IF(A499="","",IF(M499&lt;=0,"Rupture",IF(AND(I499&lt;&gt;"",M499&lt;=N(I499)),"À commander","OK")))</f>
        <v/>
      </c>
      <c r="P499" s="39" t="str">
        <f>IF(OR(A499="",O499="OK",J499=""),"",MAX(N(J499)-M499,0))</f>
        <v/>
      </c>
      <c r="Q499" s="39" t="str">
        <f>IF(A499="",IF(COUNTA(B499:J499)&gt;0,"Référence manquante",""),IF(COUNTIF($A$5:$A$1004,A499)&gt;1,"Référence en double",IF(B499="","Désignation manquante","OK")))</f>
        <v/>
      </c>
      <c r="R499" s="39" t="str">
        <f>IF(OR(O499="Rupture",O499="À commander"),COUNTIF($O$5:O499,"Rupture")+COUNTIF($O$5:O499,"À commander"),"")</f>
        <v/>
      </c>
    </row>
    <row r="500">
      <c r="A500" s="37" t="n"/>
      <c r="B500" s="37" t="n"/>
      <c r="C500" s="37" t="n"/>
      <c r="D500" s="37" t="n"/>
      <c r="E500" s="37" t="n"/>
      <c r="F500" s="37" t="n"/>
      <c r="G500" s="38" t="n"/>
      <c r="H500" s="37" t="n"/>
      <c r="I500" s="37" t="n"/>
      <c r="J500" s="37" t="n"/>
      <c r="K500" s="39" t="str">
        <f>IF(A500="","",SUMIFS(mv_qty,mv_ref,A500,mv_type,"Entrée"))</f>
        <v/>
      </c>
      <c r="L500" s="39" t="str">
        <f>IF(A500="","",SUMIFS(mv_qty,mv_ref,A500,mv_type,"Sortie"))</f>
        <v/>
      </c>
      <c r="M500" s="39" t="str">
        <f>IF(A500="","",ROUND(N(H500)+K500-L500,6))</f>
        <v/>
      </c>
      <c r="N500" s="40" t="str">
        <f>IF(A500="","",M500*N(G500))</f>
        <v/>
      </c>
      <c r="O500" s="39" t="str">
        <f>IF(A500="","",IF(M500&lt;=0,"Rupture",IF(AND(I500&lt;&gt;"",M500&lt;=N(I500)),"À commander","OK")))</f>
        <v/>
      </c>
      <c r="P500" s="39" t="str">
        <f>IF(OR(A500="",O500="OK",J500=""),"",MAX(N(J500)-M500,0))</f>
        <v/>
      </c>
      <c r="Q500" s="39" t="str">
        <f>IF(A500="",IF(COUNTA(B500:J500)&gt;0,"Référence manquante",""),IF(COUNTIF($A$5:$A$1004,A500)&gt;1,"Référence en double",IF(B500="","Désignation manquante","OK")))</f>
        <v/>
      </c>
      <c r="R500" s="39" t="str">
        <f>IF(OR(O500="Rupture",O500="À commander"),COUNTIF($O$5:O500,"Rupture")+COUNTIF($O$5:O500,"À commander"),"")</f>
        <v/>
      </c>
    </row>
    <row r="501">
      <c r="A501" s="37" t="n"/>
      <c r="B501" s="37" t="n"/>
      <c r="C501" s="37" t="n"/>
      <c r="D501" s="37" t="n"/>
      <c r="E501" s="37" t="n"/>
      <c r="F501" s="37" t="n"/>
      <c r="G501" s="38" t="n"/>
      <c r="H501" s="37" t="n"/>
      <c r="I501" s="37" t="n"/>
      <c r="J501" s="37" t="n"/>
      <c r="K501" s="39" t="str">
        <f>IF(A501="","",SUMIFS(mv_qty,mv_ref,A501,mv_type,"Entrée"))</f>
        <v/>
      </c>
      <c r="L501" s="39" t="str">
        <f>IF(A501="","",SUMIFS(mv_qty,mv_ref,A501,mv_type,"Sortie"))</f>
        <v/>
      </c>
      <c r="M501" s="39" t="str">
        <f>IF(A501="","",ROUND(N(H501)+K501-L501,6))</f>
        <v/>
      </c>
      <c r="N501" s="40" t="str">
        <f>IF(A501="","",M501*N(G501))</f>
        <v/>
      </c>
      <c r="O501" s="39" t="str">
        <f>IF(A501="","",IF(M501&lt;=0,"Rupture",IF(AND(I501&lt;&gt;"",M501&lt;=N(I501)),"À commander","OK")))</f>
        <v/>
      </c>
      <c r="P501" s="39" t="str">
        <f>IF(OR(A501="",O501="OK",J501=""),"",MAX(N(J501)-M501,0))</f>
        <v/>
      </c>
      <c r="Q501" s="39" t="str">
        <f>IF(A501="",IF(COUNTA(B501:J501)&gt;0,"Référence manquante",""),IF(COUNTIF($A$5:$A$1004,A501)&gt;1,"Référence en double",IF(B501="","Désignation manquante","OK")))</f>
        <v/>
      </c>
      <c r="R501" s="39" t="str">
        <f>IF(OR(O501="Rupture",O501="À commander"),COUNTIF($O$5:O501,"Rupture")+COUNTIF($O$5:O501,"À commander"),"")</f>
        <v/>
      </c>
    </row>
    <row r="502">
      <c r="A502" s="37" t="n"/>
      <c r="B502" s="37" t="n"/>
      <c r="C502" s="37" t="n"/>
      <c r="D502" s="37" t="n"/>
      <c r="E502" s="37" t="n"/>
      <c r="F502" s="37" t="n"/>
      <c r="G502" s="38" t="n"/>
      <c r="H502" s="37" t="n"/>
      <c r="I502" s="37" t="n"/>
      <c r="J502" s="37" t="n"/>
      <c r="K502" s="39" t="str">
        <f>IF(A502="","",SUMIFS(mv_qty,mv_ref,A502,mv_type,"Entrée"))</f>
        <v/>
      </c>
      <c r="L502" s="39" t="str">
        <f>IF(A502="","",SUMIFS(mv_qty,mv_ref,A502,mv_type,"Sortie"))</f>
        <v/>
      </c>
      <c r="M502" s="39" t="str">
        <f>IF(A502="","",ROUND(N(H502)+K502-L502,6))</f>
        <v/>
      </c>
      <c r="N502" s="40" t="str">
        <f>IF(A502="","",M502*N(G502))</f>
        <v/>
      </c>
      <c r="O502" s="39" t="str">
        <f>IF(A502="","",IF(M502&lt;=0,"Rupture",IF(AND(I502&lt;&gt;"",M502&lt;=N(I502)),"À commander","OK")))</f>
        <v/>
      </c>
      <c r="P502" s="39" t="str">
        <f>IF(OR(A502="",O502="OK",J502=""),"",MAX(N(J502)-M502,0))</f>
        <v/>
      </c>
      <c r="Q502" s="39" t="str">
        <f>IF(A502="",IF(COUNTA(B502:J502)&gt;0,"Référence manquante",""),IF(COUNTIF($A$5:$A$1004,A502)&gt;1,"Référence en double",IF(B502="","Désignation manquante","OK")))</f>
        <v/>
      </c>
      <c r="R502" s="39" t="str">
        <f>IF(OR(O502="Rupture",O502="À commander"),COUNTIF($O$5:O502,"Rupture")+COUNTIF($O$5:O502,"À commander"),"")</f>
        <v/>
      </c>
    </row>
    <row r="503">
      <c r="A503" s="37" t="n"/>
      <c r="B503" s="37" t="n"/>
      <c r="C503" s="37" t="n"/>
      <c r="D503" s="37" t="n"/>
      <c r="E503" s="37" t="n"/>
      <c r="F503" s="37" t="n"/>
      <c r="G503" s="38" t="n"/>
      <c r="H503" s="37" t="n"/>
      <c r="I503" s="37" t="n"/>
      <c r="J503" s="37" t="n"/>
      <c r="K503" s="39" t="str">
        <f>IF(A503="","",SUMIFS(mv_qty,mv_ref,A503,mv_type,"Entrée"))</f>
        <v/>
      </c>
      <c r="L503" s="39" t="str">
        <f>IF(A503="","",SUMIFS(mv_qty,mv_ref,A503,mv_type,"Sortie"))</f>
        <v/>
      </c>
      <c r="M503" s="39" t="str">
        <f>IF(A503="","",ROUND(N(H503)+K503-L503,6))</f>
        <v/>
      </c>
      <c r="N503" s="40" t="str">
        <f>IF(A503="","",M503*N(G503))</f>
        <v/>
      </c>
      <c r="O503" s="39" t="str">
        <f>IF(A503="","",IF(M503&lt;=0,"Rupture",IF(AND(I503&lt;&gt;"",M503&lt;=N(I503)),"À commander","OK")))</f>
        <v/>
      </c>
      <c r="P503" s="39" t="str">
        <f>IF(OR(A503="",O503="OK",J503=""),"",MAX(N(J503)-M503,0))</f>
        <v/>
      </c>
      <c r="Q503" s="39" t="str">
        <f>IF(A503="",IF(COUNTA(B503:J503)&gt;0,"Référence manquante",""),IF(COUNTIF($A$5:$A$1004,A503)&gt;1,"Référence en double",IF(B503="","Désignation manquante","OK")))</f>
        <v/>
      </c>
      <c r="R503" s="39" t="str">
        <f>IF(OR(O503="Rupture",O503="À commander"),COUNTIF($O$5:O503,"Rupture")+COUNTIF($O$5:O503,"À commander"),"")</f>
        <v/>
      </c>
    </row>
    <row r="504">
      <c r="A504" s="37" t="n"/>
      <c r="B504" s="37" t="n"/>
      <c r="C504" s="37" t="n"/>
      <c r="D504" s="37" t="n"/>
      <c r="E504" s="37" t="n"/>
      <c r="F504" s="37" t="n"/>
      <c r="G504" s="38" t="n"/>
      <c r="H504" s="37" t="n"/>
      <c r="I504" s="37" t="n"/>
      <c r="J504" s="37" t="n"/>
      <c r="K504" s="39" t="str">
        <f>IF(A504="","",SUMIFS(mv_qty,mv_ref,A504,mv_type,"Entrée"))</f>
        <v/>
      </c>
      <c r="L504" s="39" t="str">
        <f>IF(A504="","",SUMIFS(mv_qty,mv_ref,A504,mv_type,"Sortie"))</f>
        <v/>
      </c>
      <c r="M504" s="39" t="str">
        <f>IF(A504="","",ROUND(N(H504)+K504-L504,6))</f>
        <v/>
      </c>
      <c r="N504" s="40" t="str">
        <f>IF(A504="","",M504*N(G504))</f>
        <v/>
      </c>
      <c r="O504" s="39" t="str">
        <f>IF(A504="","",IF(M504&lt;=0,"Rupture",IF(AND(I504&lt;&gt;"",M504&lt;=N(I504)),"À commander","OK")))</f>
        <v/>
      </c>
      <c r="P504" s="39" t="str">
        <f>IF(OR(A504="",O504="OK",J504=""),"",MAX(N(J504)-M504,0))</f>
        <v/>
      </c>
      <c r="Q504" s="39" t="str">
        <f>IF(A504="",IF(COUNTA(B504:J504)&gt;0,"Référence manquante",""),IF(COUNTIF($A$5:$A$1004,A504)&gt;1,"Référence en double",IF(B504="","Désignation manquante","OK")))</f>
        <v/>
      </c>
      <c r="R504" s="39" t="str">
        <f>IF(OR(O504="Rupture",O504="À commander"),COUNTIF($O$5:O504,"Rupture")+COUNTIF($O$5:O504,"À commander"),"")</f>
        <v/>
      </c>
    </row>
    <row r="505">
      <c r="A505" s="37" t="n"/>
      <c r="B505" s="37" t="n"/>
      <c r="C505" s="37" t="n"/>
      <c r="D505" s="37" t="n"/>
      <c r="E505" s="37" t="n"/>
      <c r="F505" s="37" t="n"/>
      <c r="G505" s="38" t="n"/>
      <c r="H505" s="37" t="n"/>
      <c r="I505" s="37" t="n"/>
      <c r="J505" s="37" t="n"/>
      <c r="K505" s="39" t="str">
        <f>IF(A505="","",SUMIFS(mv_qty,mv_ref,A505,mv_type,"Entrée"))</f>
        <v/>
      </c>
      <c r="L505" s="39" t="str">
        <f>IF(A505="","",SUMIFS(mv_qty,mv_ref,A505,mv_type,"Sortie"))</f>
        <v/>
      </c>
      <c r="M505" s="39" t="str">
        <f>IF(A505="","",ROUND(N(H505)+K505-L505,6))</f>
        <v/>
      </c>
      <c r="N505" s="40" t="str">
        <f>IF(A505="","",M505*N(G505))</f>
        <v/>
      </c>
      <c r="O505" s="39" t="str">
        <f>IF(A505="","",IF(M505&lt;=0,"Rupture",IF(AND(I505&lt;&gt;"",M505&lt;=N(I505)),"À commander","OK")))</f>
        <v/>
      </c>
      <c r="P505" s="39" t="str">
        <f>IF(OR(A505="",O505="OK",J505=""),"",MAX(N(J505)-M505,0))</f>
        <v/>
      </c>
      <c r="Q505" s="39" t="str">
        <f>IF(A505="",IF(COUNTA(B505:J505)&gt;0,"Référence manquante",""),IF(COUNTIF($A$5:$A$1004,A505)&gt;1,"Référence en double",IF(B505="","Désignation manquante","OK")))</f>
        <v/>
      </c>
      <c r="R505" s="39" t="str">
        <f>IF(OR(O505="Rupture",O505="À commander"),COUNTIF($O$5:O505,"Rupture")+COUNTIF($O$5:O505,"À commander"),"")</f>
        <v/>
      </c>
    </row>
    <row r="506">
      <c r="A506" s="37" t="n"/>
      <c r="B506" s="37" t="n"/>
      <c r="C506" s="37" t="n"/>
      <c r="D506" s="37" t="n"/>
      <c r="E506" s="37" t="n"/>
      <c r="F506" s="37" t="n"/>
      <c r="G506" s="38" t="n"/>
      <c r="H506" s="37" t="n"/>
      <c r="I506" s="37" t="n"/>
      <c r="J506" s="37" t="n"/>
      <c r="K506" s="39" t="str">
        <f>IF(A506="","",SUMIFS(mv_qty,mv_ref,A506,mv_type,"Entrée"))</f>
        <v/>
      </c>
      <c r="L506" s="39" t="str">
        <f>IF(A506="","",SUMIFS(mv_qty,mv_ref,A506,mv_type,"Sortie"))</f>
        <v/>
      </c>
      <c r="M506" s="39" t="str">
        <f>IF(A506="","",ROUND(N(H506)+K506-L506,6))</f>
        <v/>
      </c>
      <c r="N506" s="40" t="str">
        <f>IF(A506="","",M506*N(G506))</f>
        <v/>
      </c>
      <c r="O506" s="39" t="str">
        <f>IF(A506="","",IF(M506&lt;=0,"Rupture",IF(AND(I506&lt;&gt;"",M506&lt;=N(I506)),"À commander","OK")))</f>
        <v/>
      </c>
      <c r="P506" s="39" t="str">
        <f>IF(OR(A506="",O506="OK",J506=""),"",MAX(N(J506)-M506,0))</f>
        <v/>
      </c>
      <c r="Q506" s="39" t="str">
        <f>IF(A506="",IF(COUNTA(B506:J506)&gt;0,"Référence manquante",""),IF(COUNTIF($A$5:$A$1004,A506)&gt;1,"Référence en double",IF(B506="","Désignation manquante","OK")))</f>
        <v/>
      </c>
      <c r="R506" s="39" t="str">
        <f>IF(OR(O506="Rupture",O506="À commander"),COUNTIF($O$5:O506,"Rupture")+COUNTIF($O$5:O506,"À commander"),"")</f>
        <v/>
      </c>
    </row>
    <row r="507">
      <c r="A507" s="37" t="n"/>
      <c r="B507" s="37" t="n"/>
      <c r="C507" s="37" t="n"/>
      <c r="D507" s="37" t="n"/>
      <c r="E507" s="37" t="n"/>
      <c r="F507" s="37" t="n"/>
      <c r="G507" s="38" t="n"/>
      <c r="H507" s="37" t="n"/>
      <c r="I507" s="37" t="n"/>
      <c r="J507" s="37" t="n"/>
      <c r="K507" s="39" t="str">
        <f>IF(A507="","",SUMIFS(mv_qty,mv_ref,A507,mv_type,"Entrée"))</f>
        <v/>
      </c>
      <c r="L507" s="39" t="str">
        <f>IF(A507="","",SUMIFS(mv_qty,mv_ref,A507,mv_type,"Sortie"))</f>
        <v/>
      </c>
      <c r="M507" s="39" t="str">
        <f>IF(A507="","",ROUND(N(H507)+K507-L507,6))</f>
        <v/>
      </c>
      <c r="N507" s="40" t="str">
        <f>IF(A507="","",M507*N(G507))</f>
        <v/>
      </c>
      <c r="O507" s="39" t="str">
        <f>IF(A507="","",IF(M507&lt;=0,"Rupture",IF(AND(I507&lt;&gt;"",M507&lt;=N(I507)),"À commander","OK")))</f>
        <v/>
      </c>
      <c r="P507" s="39" t="str">
        <f>IF(OR(A507="",O507="OK",J507=""),"",MAX(N(J507)-M507,0))</f>
        <v/>
      </c>
      <c r="Q507" s="39" t="str">
        <f>IF(A507="",IF(COUNTA(B507:J507)&gt;0,"Référence manquante",""),IF(COUNTIF($A$5:$A$1004,A507)&gt;1,"Référence en double",IF(B507="","Désignation manquante","OK")))</f>
        <v/>
      </c>
      <c r="R507" s="39" t="str">
        <f>IF(OR(O507="Rupture",O507="À commander"),COUNTIF($O$5:O507,"Rupture")+COUNTIF($O$5:O507,"À commander"),"")</f>
        <v/>
      </c>
    </row>
    <row r="508">
      <c r="A508" s="37" t="n"/>
      <c r="B508" s="37" t="n"/>
      <c r="C508" s="37" t="n"/>
      <c r="D508" s="37" t="n"/>
      <c r="E508" s="37" t="n"/>
      <c r="F508" s="37" t="n"/>
      <c r="G508" s="38" t="n"/>
      <c r="H508" s="37" t="n"/>
      <c r="I508" s="37" t="n"/>
      <c r="J508" s="37" t="n"/>
      <c r="K508" s="39" t="str">
        <f>IF(A508="","",SUMIFS(mv_qty,mv_ref,A508,mv_type,"Entrée"))</f>
        <v/>
      </c>
      <c r="L508" s="39" t="str">
        <f>IF(A508="","",SUMIFS(mv_qty,mv_ref,A508,mv_type,"Sortie"))</f>
        <v/>
      </c>
      <c r="M508" s="39" t="str">
        <f>IF(A508="","",ROUND(N(H508)+K508-L508,6))</f>
        <v/>
      </c>
      <c r="N508" s="40" t="str">
        <f>IF(A508="","",M508*N(G508))</f>
        <v/>
      </c>
      <c r="O508" s="39" t="str">
        <f>IF(A508="","",IF(M508&lt;=0,"Rupture",IF(AND(I508&lt;&gt;"",M508&lt;=N(I508)),"À commander","OK")))</f>
        <v/>
      </c>
      <c r="P508" s="39" t="str">
        <f>IF(OR(A508="",O508="OK",J508=""),"",MAX(N(J508)-M508,0))</f>
        <v/>
      </c>
      <c r="Q508" s="39" t="str">
        <f>IF(A508="",IF(COUNTA(B508:J508)&gt;0,"Référence manquante",""),IF(COUNTIF($A$5:$A$1004,A508)&gt;1,"Référence en double",IF(B508="","Désignation manquante","OK")))</f>
        <v/>
      </c>
      <c r="R508" s="39" t="str">
        <f>IF(OR(O508="Rupture",O508="À commander"),COUNTIF($O$5:O508,"Rupture")+COUNTIF($O$5:O508,"À commander"),"")</f>
        <v/>
      </c>
    </row>
    <row r="509">
      <c r="A509" s="37" t="n"/>
      <c r="B509" s="37" t="n"/>
      <c r="C509" s="37" t="n"/>
      <c r="D509" s="37" t="n"/>
      <c r="E509" s="37" t="n"/>
      <c r="F509" s="37" t="n"/>
      <c r="G509" s="38" t="n"/>
      <c r="H509" s="37" t="n"/>
      <c r="I509" s="37" t="n"/>
      <c r="J509" s="37" t="n"/>
      <c r="K509" s="39" t="str">
        <f>IF(A509="","",SUMIFS(mv_qty,mv_ref,A509,mv_type,"Entrée"))</f>
        <v/>
      </c>
      <c r="L509" s="39" t="str">
        <f>IF(A509="","",SUMIFS(mv_qty,mv_ref,A509,mv_type,"Sortie"))</f>
        <v/>
      </c>
      <c r="M509" s="39" t="str">
        <f>IF(A509="","",ROUND(N(H509)+K509-L509,6))</f>
        <v/>
      </c>
      <c r="N509" s="40" t="str">
        <f>IF(A509="","",M509*N(G509))</f>
        <v/>
      </c>
      <c r="O509" s="39" t="str">
        <f>IF(A509="","",IF(M509&lt;=0,"Rupture",IF(AND(I509&lt;&gt;"",M509&lt;=N(I509)),"À commander","OK")))</f>
        <v/>
      </c>
      <c r="P509" s="39" t="str">
        <f>IF(OR(A509="",O509="OK",J509=""),"",MAX(N(J509)-M509,0))</f>
        <v/>
      </c>
      <c r="Q509" s="39" t="str">
        <f>IF(A509="",IF(COUNTA(B509:J509)&gt;0,"Référence manquante",""),IF(COUNTIF($A$5:$A$1004,A509)&gt;1,"Référence en double",IF(B509="","Désignation manquante","OK")))</f>
        <v/>
      </c>
      <c r="R509" s="39" t="str">
        <f>IF(OR(O509="Rupture",O509="À commander"),COUNTIF($O$5:O509,"Rupture")+COUNTIF($O$5:O509,"À commander"),"")</f>
        <v/>
      </c>
    </row>
    <row r="510">
      <c r="A510" s="37" t="n"/>
      <c r="B510" s="37" t="n"/>
      <c r="C510" s="37" t="n"/>
      <c r="D510" s="37" t="n"/>
      <c r="E510" s="37" t="n"/>
      <c r="F510" s="37" t="n"/>
      <c r="G510" s="38" t="n"/>
      <c r="H510" s="37" t="n"/>
      <c r="I510" s="37" t="n"/>
      <c r="J510" s="37" t="n"/>
      <c r="K510" s="39" t="str">
        <f>IF(A510="","",SUMIFS(mv_qty,mv_ref,A510,mv_type,"Entrée"))</f>
        <v/>
      </c>
      <c r="L510" s="39" t="str">
        <f>IF(A510="","",SUMIFS(mv_qty,mv_ref,A510,mv_type,"Sortie"))</f>
        <v/>
      </c>
      <c r="M510" s="39" t="str">
        <f>IF(A510="","",ROUND(N(H510)+K510-L510,6))</f>
        <v/>
      </c>
      <c r="N510" s="40" t="str">
        <f>IF(A510="","",M510*N(G510))</f>
        <v/>
      </c>
      <c r="O510" s="39" t="str">
        <f>IF(A510="","",IF(M510&lt;=0,"Rupture",IF(AND(I510&lt;&gt;"",M510&lt;=N(I510)),"À commander","OK")))</f>
        <v/>
      </c>
      <c r="P510" s="39" t="str">
        <f>IF(OR(A510="",O510="OK",J510=""),"",MAX(N(J510)-M510,0))</f>
        <v/>
      </c>
      <c r="Q510" s="39" t="str">
        <f>IF(A510="",IF(COUNTA(B510:J510)&gt;0,"Référence manquante",""),IF(COUNTIF($A$5:$A$1004,A510)&gt;1,"Référence en double",IF(B510="","Désignation manquante","OK")))</f>
        <v/>
      </c>
      <c r="R510" s="39" t="str">
        <f>IF(OR(O510="Rupture",O510="À commander"),COUNTIF($O$5:O510,"Rupture")+COUNTIF($O$5:O510,"À commander"),"")</f>
        <v/>
      </c>
    </row>
    <row r="511">
      <c r="A511" s="37" t="n"/>
      <c r="B511" s="37" t="n"/>
      <c r="C511" s="37" t="n"/>
      <c r="D511" s="37" t="n"/>
      <c r="E511" s="37" t="n"/>
      <c r="F511" s="37" t="n"/>
      <c r="G511" s="38" t="n"/>
      <c r="H511" s="37" t="n"/>
      <c r="I511" s="37" t="n"/>
      <c r="J511" s="37" t="n"/>
      <c r="K511" s="39" t="str">
        <f>IF(A511="","",SUMIFS(mv_qty,mv_ref,A511,mv_type,"Entrée"))</f>
        <v/>
      </c>
      <c r="L511" s="39" t="str">
        <f>IF(A511="","",SUMIFS(mv_qty,mv_ref,A511,mv_type,"Sortie"))</f>
        <v/>
      </c>
      <c r="M511" s="39" t="str">
        <f>IF(A511="","",ROUND(N(H511)+K511-L511,6))</f>
        <v/>
      </c>
      <c r="N511" s="40" t="str">
        <f>IF(A511="","",M511*N(G511))</f>
        <v/>
      </c>
      <c r="O511" s="39" t="str">
        <f>IF(A511="","",IF(M511&lt;=0,"Rupture",IF(AND(I511&lt;&gt;"",M511&lt;=N(I511)),"À commander","OK")))</f>
        <v/>
      </c>
      <c r="P511" s="39" t="str">
        <f>IF(OR(A511="",O511="OK",J511=""),"",MAX(N(J511)-M511,0))</f>
        <v/>
      </c>
      <c r="Q511" s="39" t="str">
        <f>IF(A511="",IF(COUNTA(B511:J511)&gt;0,"Référence manquante",""),IF(COUNTIF($A$5:$A$1004,A511)&gt;1,"Référence en double",IF(B511="","Désignation manquante","OK")))</f>
        <v/>
      </c>
      <c r="R511" s="39" t="str">
        <f>IF(OR(O511="Rupture",O511="À commander"),COUNTIF($O$5:O511,"Rupture")+COUNTIF($O$5:O511,"À commander"),"")</f>
        <v/>
      </c>
    </row>
    <row r="512">
      <c r="A512" s="37" t="n"/>
      <c r="B512" s="37" t="n"/>
      <c r="C512" s="37" t="n"/>
      <c r="D512" s="37" t="n"/>
      <c r="E512" s="37" t="n"/>
      <c r="F512" s="37" t="n"/>
      <c r="G512" s="38" t="n"/>
      <c r="H512" s="37" t="n"/>
      <c r="I512" s="37" t="n"/>
      <c r="J512" s="37" t="n"/>
      <c r="K512" s="39" t="str">
        <f>IF(A512="","",SUMIFS(mv_qty,mv_ref,A512,mv_type,"Entrée"))</f>
        <v/>
      </c>
      <c r="L512" s="39" t="str">
        <f>IF(A512="","",SUMIFS(mv_qty,mv_ref,A512,mv_type,"Sortie"))</f>
        <v/>
      </c>
      <c r="M512" s="39" t="str">
        <f>IF(A512="","",ROUND(N(H512)+K512-L512,6))</f>
        <v/>
      </c>
      <c r="N512" s="40" t="str">
        <f>IF(A512="","",M512*N(G512))</f>
        <v/>
      </c>
      <c r="O512" s="39" t="str">
        <f>IF(A512="","",IF(M512&lt;=0,"Rupture",IF(AND(I512&lt;&gt;"",M512&lt;=N(I512)),"À commander","OK")))</f>
        <v/>
      </c>
      <c r="P512" s="39" t="str">
        <f>IF(OR(A512="",O512="OK",J512=""),"",MAX(N(J512)-M512,0))</f>
        <v/>
      </c>
      <c r="Q512" s="39" t="str">
        <f>IF(A512="",IF(COUNTA(B512:J512)&gt;0,"Référence manquante",""),IF(COUNTIF($A$5:$A$1004,A512)&gt;1,"Référence en double",IF(B512="","Désignation manquante","OK")))</f>
        <v/>
      </c>
      <c r="R512" s="39" t="str">
        <f>IF(OR(O512="Rupture",O512="À commander"),COUNTIF($O$5:O512,"Rupture")+COUNTIF($O$5:O512,"À commander"),"")</f>
        <v/>
      </c>
    </row>
    <row r="513">
      <c r="A513" s="37" t="n"/>
      <c r="B513" s="37" t="n"/>
      <c r="C513" s="37" t="n"/>
      <c r="D513" s="37" t="n"/>
      <c r="E513" s="37" t="n"/>
      <c r="F513" s="37" t="n"/>
      <c r="G513" s="38" t="n"/>
      <c r="H513" s="37" t="n"/>
      <c r="I513" s="37" t="n"/>
      <c r="J513" s="37" t="n"/>
      <c r="K513" s="39" t="str">
        <f>IF(A513="","",SUMIFS(mv_qty,mv_ref,A513,mv_type,"Entrée"))</f>
        <v/>
      </c>
      <c r="L513" s="39" t="str">
        <f>IF(A513="","",SUMIFS(mv_qty,mv_ref,A513,mv_type,"Sortie"))</f>
        <v/>
      </c>
      <c r="M513" s="39" t="str">
        <f>IF(A513="","",ROUND(N(H513)+K513-L513,6))</f>
        <v/>
      </c>
      <c r="N513" s="40" t="str">
        <f>IF(A513="","",M513*N(G513))</f>
        <v/>
      </c>
      <c r="O513" s="39" t="str">
        <f>IF(A513="","",IF(M513&lt;=0,"Rupture",IF(AND(I513&lt;&gt;"",M513&lt;=N(I513)),"À commander","OK")))</f>
        <v/>
      </c>
      <c r="P513" s="39" t="str">
        <f>IF(OR(A513="",O513="OK",J513=""),"",MAX(N(J513)-M513,0))</f>
        <v/>
      </c>
      <c r="Q513" s="39" t="str">
        <f>IF(A513="",IF(COUNTA(B513:J513)&gt;0,"Référence manquante",""),IF(COUNTIF($A$5:$A$1004,A513)&gt;1,"Référence en double",IF(B513="","Désignation manquante","OK")))</f>
        <v/>
      </c>
      <c r="R513" s="39" t="str">
        <f>IF(OR(O513="Rupture",O513="À commander"),COUNTIF($O$5:O513,"Rupture")+COUNTIF($O$5:O513,"À commander"),"")</f>
        <v/>
      </c>
    </row>
    <row r="514">
      <c r="A514" s="37" t="n"/>
      <c r="B514" s="37" t="n"/>
      <c r="C514" s="37" t="n"/>
      <c r="D514" s="37" t="n"/>
      <c r="E514" s="37" t="n"/>
      <c r="F514" s="37" t="n"/>
      <c r="G514" s="38" t="n"/>
      <c r="H514" s="37" t="n"/>
      <c r="I514" s="37" t="n"/>
      <c r="J514" s="37" t="n"/>
      <c r="K514" s="39" t="str">
        <f>IF(A514="","",SUMIFS(mv_qty,mv_ref,A514,mv_type,"Entrée"))</f>
        <v/>
      </c>
      <c r="L514" s="39" t="str">
        <f>IF(A514="","",SUMIFS(mv_qty,mv_ref,A514,mv_type,"Sortie"))</f>
        <v/>
      </c>
      <c r="M514" s="39" t="str">
        <f>IF(A514="","",ROUND(N(H514)+K514-L514,6))</f>
        <v/>
      </c>
      <c r="N514" s="40" t="str">
        <f>IF(A514="","",M514*N(G514))</f>
        <v/>
      </c>
      <c r="O514" s="39" t="str">
        <f>IF(A514="","",IF(M514&lt;=0,"Rupture",IF(AND(I514&lt;&gt;"",M514&lt;=N(I514)),"À commander","OK")))</f>
        <v/>
      </c>
      <c r="P514" s="39" t="str">
        <f>IF(OR(A514="",O514="OK",J514=""),"",MAX(N(J514)-M514,0))</f>
        <v/>
      </c>
      <c r="Q514" s="39" t="str">
        <f>IF(A514="",IF(COUNTA(B514:J514)&gt;0,"Référence manquante",""),IF(COUNTIF($A$5:$A$1004,A514)&gt;1,"Référence en double",IF(B514="","Désignation manquante","OK")))</f>
        <v/>
      </c>
      <c r="R514" s="39" t="str">
        <f>IF(OR(O514="Rupture",O514="À commander"),COUNTIF($O$5:O514,"Rupture")+COUNTIF($O$5:O514,"À commander"),"")</f>
        <v/>
      </c>
    </row>
    <row r="515">
      <c r="A515" s="37" t="n"/>
      <c r="B515" s="37" t="n"/>
      <c r="C515" s="37" t="n"/>
      <c r="D515" s="37" t="n"/>
      <c r="E515" s="37" t="n"/>
      <c r="F515" s="37" t="n"/>
      <c r="G515" s="38" t="n"/>
      <c r="H515" s="37" t="n"/>
      <c r="I515" s="37" t="n"/>
      <c r="J515" s="37" t="n"/>
      <c r="K515" s="39" t="str">
        <f>IF(A515="","",SUMIFS(mv_qty,mv_ref,A515,mv_type,"Entrée"))</f>
        <v/>
      </c>
      <c r="L515" s="39" t="str">
        <f>IF(A515="","",SUMIFS(mv_qty,mv_ref,A515,mv_type,"Sortie"))</f>
        <v/>
      </c>
      <c r="M515" s="39" t="str">
        <f>IF(A515="","",ROUND(N(H515)+K515-L515,6))</f>
        <v/>
      </c>
      <c r="N515" s="40" t="str">
        <f>IF(A515="","",M515*N(G515))</f>
        <v/>
      </c>
      <c r="O515" s="39" t="str">
        <f>IF(A515="","",IF(M515&lt;=0,"Rupture",IF(AND(I515&lt;&gt;"",M515&lt;=N(I515)),"À commander","OK")))</f>
        <v/>
      </c>
      <c r="P515" s="39" t="str">
        <f>IF(OR(A515="",O515="OK",J515=""),"",MAX(N(J515)-M515,0))</f>
        <v/>
      </c>
      <c r="Q515" s="39" t="str">
        <f>IF(A515="",IF(COUNTA(B515:J515)&gt;0,"Référence manquante",""),IF(COUNTIF($A$5:$A$1004,A515)&gt;1,"Référence en double",IF(B515="","Désignation manquante","OK")))</f>
        <v/>
      </c>
      <c r="R515" s="39" t="str">
        <f>IF(OR(O515="Rupture",O515="À commander"),COUNTIF($O$5:O515,"Rupture")+COUNTIF($O$5:O515,"À commander"),"")</f>
        <v/>
      </c>
    </row>
    <row r="516">
      <c r="A516" s="37" t="n"/>
      <c r="B516" s="37" t="n"/>
      <c r="C516" s="37" t="n"/>
      <c r="D516" s="37" t="n"/>
      <c r="E516" s="37" t="n"/>
      <c r="F516" s="37" t="n"/>
      <c r="G516" s="38" t="n"/>
      <c r="H516" s="37" t="n"/>
      <c r="I516" s="37" t="n"/>
      <c r="J516" s="37" t="n"/>
      <c r="K516" s="39" t="str">
        <f>IF(A516="","",SUMIFS(mv_qty,mv_ref,A516,mv_type,"Entrée"))</f>
        <v/>
      </c>
      <c r="L516" s="39" t="str">
        <f>IF(A516="","",SUMIFS(mv_qty,mv_ref,A516,mv_type,"Sortie"))</f>
        <v/>
      </c>
      <c r="M516" s="39" t="str">
        <f>IF(A516="","",ROUND(N(H516)+K516-L516,6))</f>
        <v/>
      </c>
      <c r="N516" s="40" t="str">
        <f>IF(A516="","",M516*N(G516))</f>
        <v/>
      </c>
      <c r="O516" s="39" t="str">
        <f>IF(A516="","",IF(M516&lt;=0,"Rupture",IF(AND(I516&lt;&gt;"",M516&lt;=N(I516)),"À commander","OK")))</f>
        <v/>
      </c>
      <c r="P516" s="39" t="str">
        <f>IF(OR(A516="",O516="OK",J516=""),"",MAX(N(J516)-M516,0))</f>
        <v/>
      </c>
      <c r="Q516" s="39" t="str">
        <f>IF(A516="",IF(COUNTA(B516:J516)&gt;0,"Référence manquante",""),IF(COUNTIF($A$5:$A$1004,A516)&gt;1,"Référence en double",IF(B516="","Désignation manquante","OK")))</f>
        <v/>
      </c>
      <c r="R516" s="39" t="str">
        <f>IF(OR(O516="Rupture",O516="À commander"),COUNTIF($O$5:O516,"Rupture")+COUNTIF($O$5:O516,"À commander"),"")</f>
        <v/>
      </c>
    </row>
    <row r="517">
      <c r="A517" s="37" t="n"/>
      <c r="B517" s="37" t="n"/>
      <c r="C517" s="37" t="n"/>
      <c r="D517" s="37" t="n"/>
      <c r="E517" s="37" t="n"/>
      <c r="F517" s="37" t="n"/>
      <c r="G517" s="38" t="n"/>
      <c r="H517" s="37" t="n"/>
      <c r="I517" s="37" t="n"/>
      <c r="J517" s="37" t="n"/>
      <c r="K517" s="39" t="str">
        <f>IF(A517="","",SUMIFS(mv_qty,mv_ref,A517,mv_type,"Entrée"))</f>
        <v/>
      </c>
      <c r="L517" s="39" t="str">
        <f>IF(A517="","",SUMIFS(mv_qty,mv_ref,A517,mv_type,"Sortie"))</f>
        <v/>
      </c>
      <c r="M517" s="39" t="str">
        <f>IF(A517="","",ROUND(N(H517)+K517-L517,6))</f>
        <v/>
      </c>
      <c r="N517" s="40" t="str">
        <f>IF(A517="","",M517*N(G517))</f>
        <v/>
      </c>
      <c r="O517" s="39" t="str">
        <f>IF(A517="","",IF(M517&lt;=0,"Rupture",IF(AND(I517&lt;&gt;"",M517&lt;=N(I517)),"À commander","OK")))</f>
        <v/>
      </c>
      <c r="P517" s="39" t="str">
        <f>IF(OR(A517="",O517="OK",J517=""),"",MAX(N(J517)-M517,0))</f>
        <v/>
      </c>
      <c r="Q517" s="39" t="str">
        <f>IF(A517="",IF(COUNTA(B517:J517)&gt;0,"Référence manquante",""),IF(COUNTIF($A$5:$A$1004,A517)&gt;1,"Référence en double",IF(B517="","Désignation manquante","OK")))</f>
        <v/>
      </c>
      <c r="R517" s="39" t="str">
        <f>IF(OR(O517="Rupture",O517="À commander"),COUNTIF($O$5:O517,"Rupture")+COUNTIF($O$5:O517,"À commander"),"")</f>
        <v/>
      </c>
    </row>
    <row r="518">
      <c r="A518" s="37" t="n"/>
      <c r="B518" s="37" t="n"/>
      <c r="C518" s="37" t="n"/>
      <c r="D518" s="37" t="n"/>
      <c r="E518" s="37" t="n"/>
      <c r="F518" s="37" t="n"/>
      <c r="G518" s="38" t="n"/>
      <c r="H518" s="37" t="n"/>
      <c r="I518" s="37" t="n"/>
      <c r="J518" s="37" t="n"/>
      <c r="K518" s="39" t="str">
        <f>IF(A518="","",SUMIFS(mv_qty,mv_ref,A518,mv_type,"Entrée"))</f>
        <v/>
      </c>
      <c r="L518" s="39" t="str">
        <f>IF(A518="","",SUMIFS(mv_qty,mv_ref,A518,mv_type,"Sortie"))</f>
        <v/>
      </c>
      <c r="M518" s="39" t="str">
        <f>IF(A518="","",ROUND(N(H518)+K518-L518,6))</f>
        <v/>
      </c>
      <c r="N518" s="40" t="str">
        <f>IF(A518="","",M518*N(G518))</f>
        <v/>
      </c>
      <c r="O518" s="39" t="str">
        <f>IF(A518="","",IF(M518&lt;=0,"Rupture",IF(AND(I518&lt;&gt;"",M518&lt;=N(I518)),"À commander","OK")))</f>
        <v/>
      </c>
      <c r="P518" s="39" t="str">
        <f>IF(OR(A518="",O518="OK",J518=""),"",MAX(N(J518)-M518,0))</f>
        <v/>
      </c>
      <c r="Q518" s="39" t="str">
        <f>IF(A518="",IF(COUNTA(B518:J518)&gt;0,"Référence manquante",""),IF(COUNTIF($A$5:$A$1004,A518)&gt;1,"Référence en double",IF(B518="","Désignation manquante","OK")))</f>
        <v/>
      </c>
      <c r="R518" s="39" t="str">
        <f>IF(OR(O518="Rupture",O518="À commander"),COUNTIF($O$5:O518,"Rupture")+COUNTIF($O$5:O518,"À commander"),"")</f>
        <v/>
      </c>
    </row>
    <row r="519">
      <c r="A519" s="37" t="n"/>
      <c r="B519" s="37" t="n"/>
      <c r="C519" s="37" t="n"/>
      <c r="D519" s="37" t="n"/>
      <c r="E519" s="37" t="n"/>
      <c r="F519" s="37" t="n"/>
      <c r="G519" s="38" t="n"/>
      <c r="H519" s="37" t="n"/>
      <c r="I519" s="37" t="n"/>
      <c r="J519" s="37" t="n"/>
      <c r="K519" s="39" t="str">
        <f>IF(A519="","",SUMIFS(mv_qty,mv_ref,A519,mv_type,"Entrée"))</f>
        <v/>
      </c>
      <c r="L519" s="39" t="str">
        <f>IF(A519="","",SUMIFS(mv_qty,mv_ref,A519,mv_type,"Sortie"))</f>
        <v/>
      </c>
      <c r="M519" s="39" t="str">
        <f>IF(A519="","",ROUND(N(H519)+K519-L519,6))</f>
        <v/>
      </c>
      <c r="N519" s="40" t="str">
        <f>IF(A519="","",M519*N(G519))</f>
        <v/>
      </c>
      <c r="O519" s="39" t="str">
        <f>IF(A519="","",IF(M519&lt;=0,"Rupture",IF(AND(I519&lt;&gt;"",M519&lt;=N(I519)),"À commander","OK")))</f>
        <v/>
      </c>
      <c r="P519" s="39" t="str">
        <f>IF(OR(A519="",O519="OK",J519=""),"",MAX(N(J519)-M519,0))</f>
        <v/>
      </c>
      <c r="Q519" s="39" t="str">
        <f>IF(A519="",IF(COUNTA(B519:J519)&gt;0,"Référence manquante",""),IF(COUNTIF($A$5:$A$1004,A519)&gt;1,"Référence en double",IF(B519="","Désignation manquante","OK")))</f>
        <v/>
      </c>
      <c r="R519" s="39" t="str">
        <f>IF(OR(O519="Rupture",O519="À commander"),COUNTIF($O$5:O519,"Rupture")+COUNTIF($O$5:O519,"À commander"),"")</f>
        <v/>
      </c>
    </row>
    <row r="520">
      <c r="A520" s="37" t="n"/>
      <c r="B520" s="37" t="n"/>
      <c r="C520" s="37" t="n"/>
      <c r="D520" s="37" t="n"/>
      <c r="E520" s="37" t="n"/>
      <c r="F520" s="37" t="n"/>
      <c r="G520" s="38" t="n"/>
      <c r="H520" s="37" t="n"/>
      <c r="I520" s="37" t="n"/>
      <c r="J520" s="37" t="n"/>
      <c r="K520" s="39" t="str">
        <f>IF(A520="","",SUMIFS(mv_qty,mv_ref,A520,mv_type,"Entrée"))</f>
        <v/>
      </c>
      <c r="L520" s="39" t="str">
        <f>IF(A520="","",SUMIFS(mv_qty,mv_ref,A520,mv_type,"Sortie"))</f>
        <v/>
      </c>
      <c r="M520" s="39" t="str">
        <f>IF(A520="","",ROUND(N(H520)+K520-L520,6))</f>
        <v/>
      </c>
      <c r="N520" s="40" t="str">
        <f>IF(A520="","",M520*N(G520))</f>
        <v/>
      </c>
      <c r="O520" s="39" t="str">
        <f>IF(A520="","",IF(M520&lt;=0,"Rupture",IF(AND(I520&lt;&gt;"",M520&lt;=N(I520)),"À commander","OK")))</f>
        <v/>
      </c>
      <c r="P520" s="39" t="str">
        <f>IF(OR(A520="",O520="OK",J520=""),"",MAX(N(J520)-M520,0))</f>
        <v/>
      </c>
      <c r="Q520" s="39" t="str">
        <f>IF(A520="",IF(COUNTA(B520:J520)&gt;0,"Référence manquante",""),IF(COUNTIF($A$5:$A$1004,A520)&gt;1,"Référence en double",IF(B520="","Désignation manquante","OK")))</f>
        <v/>
      </c>
      <c r="R520" s="39" t="str">
        <f>IF(OR(O520="Rupture",O520="À commander"),COUNTIF($O$5:O520,"Rupture")+COUNTIF($O$5:O520,"À commander"),"")</f>
        <v/>
      </c>
    </row>
    <row r="521">
      <c r="A521" s="37" t="n"/>
      <c r="B521" s="37" t="n"/>
      <c r="C521" s="37" t="n"/>
      <c r="D521" s="37" t="n"/>
      <c r="E521" s="37" t="n"/>
      <c r="F521" s="37" t="n"/>
      <c r="G521" s="38" t="n"/>
      <c r="H521" s="37" t="n"/>
      <c r="I521" s="37" t="n"/>
      <c r="J521" s="37" t="n"/>
      <c r="K521" s="39" t="str">
        <f>IF(A521="","",SUMIFS(mv_qty,mv_ref,A521,mv_type,"Entrée"))</f>
        <v/>
      </c>
      <c r="L521" s="39" t="str">
        <f>IF(A521="","",SUMIFS(mv_qty,mv_ref,A521,mv_type,"Sortie"))</f>
        <v/>
      </c>
      <c r="M521" s="39" t="str">
        <f>IF(A521="","",ROUND(N(H521)+K521-L521,6))</f>
        <v/>
      </c>
      <c r="N521" s="40" t="str">
        <f>IF(A521="","",M521*N(G521))</f>
        <v/>
      </c>
      <c r="O521" s="39" t="str">
        <f>IF(A521="","",IF(M521&lt;=0,"Rupture",IF(AND(I521&lt;&gt;"",M521&lt;=N(I521)),"À commander","OK")))</f>
        <v/>
      </c>
      <c r="P521" s="39" t="str">
        <f>IF(OR(A521="",O521="OK",J521=""),"",MAX(N(J521)-M521,0))</f>
        <v/>
      </c>
      <c r="Q521" s="39" t="str">
        <f>IF(A521="",IF(COUNTA(B521:J521)&gt;0,"Référence manquante",""),IF(COUNTIF($A$5:$A$1004,A521)&gt;1,"Référence en double",IF(B521="","Désignation manquante","OK")))</f>
        <v/>
      </c>
      <c r="R521" s="39" t="str">
        <f>IF(OR(O521="Rupture",O521="À commander"),COUNTIF($O$5:O521,"Rupture")+COUNTIF($O$5:O521,"À commander"),"")</f>
        <v/>
      </c>
    </row>
    <row r="522">
      <c r="A522" s="37" t="n"/>
      <c r="B522" s="37" t="n"/>
      <c r="C522" s="37" t="n"/>
      <c r="D522" s="37" t="n"/>
      <c r="E522" s="37" t="n"/>
      <c r="F522" s="37" t="n"/>
      <c r="G522" s="38" t="n"/>
      <c r="H522" s="37" t="n"/>
      <c r="I522" s="37" t="n"/>
      <c r="J522" s="37" t="n"/>
      <c r="K522" s="39" t="str">
        <f>IF(A522="","",SUMIFS(mv_qty,mv_ref,A522,mv_type,"Entrée"))</f>
        <v/>
      </c>
      <c r="L522" s="39" t="str">
        <f>IF(A522="","",SUMIFS(mv_qty,mv_ref,A522,mv_type,"Sortie"))</f>
        <v/>
      </c>
      <c r="M522" s="39" t="str">
        <f>IF(A522="","",ROUND(N(H522)+K522-L522,6))</f>
        <v/>
      </c>
      <c r="N522" s="40" t="str">
        <f>IF(A522="","",M522*N(G522))</f>
        <v/>
      </c>
      <c r="O522" s="39" t="str">
        <f>IF(A522="","",IF(M522&lt;=0,"Rupture",IF(AND(I522&lt;&gt;"",M522&lt;=N(I522)),"À commander","OK")))</f>
        <v/>
      </c>
      <c r="P522" s="39" t="str">
        <f>IF(OR(A522="",O522="OK",J522=""),"",MAX(N(J522)-M522,0))</f>
        <v/>
      </c>
      <c r="Q522" s="39" t="str">
        <f>IF(A522="",IF(COUNTA(B522:J522)&gt;0,"Référence manquante",""),IF(COUNTIF($A$5:$A$1004,A522)&gt;1,"Référence en double",IF(B522="","Désignation manquante","OK")))</f>
        <v/>
      </c>
      <c r="R522" s="39" t="str">
        <f>IF(OR(O522="Rupture",O522="À commander"),COUNTIF($O$5:O522,"Rupture")+COUNTIF($O$5:O522,"À commander"),"")</f>
        <v/>
      </c>
    </row>
    <row r="523">
      <c r="A523" s="37" t="n"/>
      <c r="B523" s="37" t="n"/>
      <c r="C523" s="37" t="n"/>
      <c r="D523" s="37" t="n"/>
      <c r="E523" s="37" t="n"/>
      <c r="F523" s="37" t="n"/>
      <c r="G523" s="38" t="n"/>
      <c r="H523" s="37" t="n"/>
      <c r="I523" s="37" t="n"/>
      <c r="J523" s="37" t="n"/>
      <c r="K523" s="39" t="str">
        <f>IF(A523="","",SUMIFS(mv_qty,mv_ref,A523,mv_type,"Entrée"))</f>
        <v/>
      </c>
      <c r="L523" s="39" t="str">
        <f>IF(A523="","",SUMIFS(mv_qty,mv_ref,A523,mv_type,"Sortie"))</f>
        <v/>
      </c>
      <c r="M523" s="39" t="str">
        <f>IF(A523="","",ROUND(N(H523)+K523-L523,6))</f>
        <v/>
      </c>
      <c r="N523" s="40" t="str">
        <f>IF(A523="","",M523*N(G523))</f>
        <v/>
      </c>
      <c r="O523" s="39" t="str">
        <f>IF(A523="","",IF(M523&lt;=0,"Rupture",IF(AND(I523&lt;&gt;"",M523&lt;=N(I523)),"À commander","OK")))</f>
        <v/>
      </c>
      <c r="P523" s="39" t="str">
        <f>IF(OR(A523="",O523="OK",J523=""),"",MAX(N(J523)-M523,0))</f>
        <v/>
      </c>
      <c r="Q523" s="39" t="str">
        <f>IF(A523="",IF(COUNTA(B523:J523)&gt;0,"Référence manquante",""),IF(COUNTIF($A$5:$A$1004,A523)&gt;1,"Référence en double",IF(B523="","Désignation manquante","OK")))</f>
        <v/>
      </c>
      <c r="R523" s="39" t="str">
        <f>IF(OR(O523="Rupture",O523="À commander"),COUNTIF($O$5:O523,"Rupture")+COUNTIF($O$5:O523,"À commander"),"")</f>
        <v/>
      </c>
    </row>
    <row r="524">
      <c r="A524" s="37" t="n"/>
      <c r="B524" s="37" t="n"/>
      <c r="C524" s="37" t="n"/>
      <c r="D524" s="37" t="n"/>
      <c r="E524" s="37" t="n"/>
      <c r="F524" s="37" t="n"/>
      <c r="G524" s="38" t="n"/>
      <c r="H524" s="37" t="n"/>
      <c r="I524" s="37" t="n"/>
      <c r="J524" s="37" t="n"/>
      <c r="K524" s="39" t="str">
        <f>IF(A524="","",SUMIFS(mv_qty,mv_ref,A524,mv_type,"Entrée"))</f>
        <v/>
      </c>
      <c r="L524" s="39" t="str">
        <f>IF(A524="","",SUMIFS(mv_qty,mv_ref,A524,mv_type,"Sortie"))</f>
        <v/>
      </c>
      <c r="M524" s="39" t="str">
        <f>IF(A524="","",ROUND(N(H524)+K524-L524,6))</f>
        <v/>
      </c>
      <c r="N524" s="40" t="str">
        <f>IF(A524="","",M524*N(G524))</f>
        <v/>
      </c>
      <c r="O524" s="39" t="str">
        <f>IF(A524="","",IF(M524&lt;=0,"Rupture",IF(AND(I524&lt;&gt;"",M524&lt;=N(I524)),"À commander","OK")))</f>
        <v/>
      </c>
      <c r="P524" s="39" t="str">
        <f>IF(OR(A524="",O524="OK",J524=""),"",MAX(N(J524)-M524,0))</f>
        <v/>
      </c>
      <c r="Q524" s="39" t="str">
        <f>IF(A524="",IF(COUNTA(B524:J524)&gt;0,"Référence manquante",""),IF(COUNTIF($A$5:$A$1004,A524)&gt;1,"Référence en double",IF(B524="","Désignation manquante","OK")))</f>
        <v/>
      </c>
      <c r="R524" s="39" t="str">
        <f>IF(OR(O524="Rupture",O524="À commander"),COUNTIF($O$5:O524,"Rupture")+COUNTIF($O$5:O524,"À commander"),"")</f>
        <v/>
      </c>
    </row>
    <row r="525">
      <c r="A525" s="37" t="n"/>
      <c r="B525" s="37" t="n"/>
      <c r="C525" s="37" t="n"/>
      <c r="D525" s="37" t="n"/>
      <c r="E525" s="37" t="n"/>
      <c r="F525" s="37" t="n"/>
      <c r="G525" s="38" t="n"/>
      <c r="H525" s="37" t="n"/>
      <c r="I525" s="37" t="n"/>
      <c r="J525" s="37" t="n"/>
      <c r="K525" s="39" t="str">
        <f>IF(A525="","",SUMIFS(mv_qty,mv_ref,A525,mv_type,"Entrée"))</f>
        <v/>
      </c>
      <c r="L525" s="39" t="str">
        <f>IF(A525="","",SUMIFS(mv_qty,mv_ref,A525,mv_type,"Sortie"))</f>
        <v/>
      </c>
      <c r="M525" s="39" t="str">
        <f>IF(A525="","",ROUND(N(H525)+K525-L525,6))</f>
        <v/>
      </c>
      <c r="N525" s="40" t="str">
        <f>IF(A525="","",M525*N(G525))</f>
        <v/>
      </c>
      <c r="O525" s="39" t="str">
        <f>IF(A525="","",IF(M525&lt;=0,"Rupture",IF(AND(I525&lt;&gt;"",M525&lt;=N(I525)),"À commander","OK")))</f>
        <v/>
      </c>
      <c r="P525" s="39" t="str">
        <f>IF(OR(A525="",O525="OK",J525=""),"",MAX(N(J525)-M525,0))</f>
        <v/>
      </c>
      <c r="Q525" s="39" t="str">
        <f>IF(A525="",IF(COUNTA(B525:J525)&gt;0,"Référence manquante",""),IF(COUNTIF($A$5:$A$1004,A525)&gt;1,"Référence en double",IF(B525="","Désignation manquante","OK")))</f>
        <v/>
      </c>
      <c r="R525" s="39" t="str">
        <f>IF(OR(O525="Rupture",O525="À commander"),COUNTIF($O$5:O525,"Rupture")+COUNTIF($O$5:O525,"À commander"),"")</f>
        <v/>
      </c>
    </row>
    <row r="526">
      <c r="A526" s="37" t="n"/>
      <c r="B526" s="37" t="n"/>
      <c r="C526" s="37" t="n"/>
      <c r="D526" s="37" t="n"/>
      <c r="E526" s="37" t="n"/>
      <c r="F526" s="37" t="n"/>
      <c r="G526" s="38" t="n"/>
      <c r="H526" s="37" t="n"/>
      <c r="I526" s="37" t="n"/>
      <c r="J526" s="37" t="n"/>
      <c r="K526" s="39" t="str">
        <f>IF(A526="","",SUMIFS(mv_qty,mv_ref,A526,mv_type,"Entrée"))</f>
        <v/>
      </c>
      <c r="L526" s="39" t="str">
        <f>IF(A526="","",SUMIFS(mv_qty,mv_ref,A526,mv_type,"Sortie"))</f>
        <v/>
      </c>
      <c r="M526" s="39" t="str">
        <f>IF(A526="","",ROUND(N(H526)+K526-L526,6))</f>
        <v/>
      </c>
      <c r="N526" s="40" t="str">
        <f>IF(A526="","",M526*N(G526))</f>
        <v/>
      </c>
      <c r="O526" s="39" t="str">
        <f>IF(A526="","",IF(M526&lt;=0,"Rupture",IF(AND(I526&lt;&gt;"",M526&lt;=N(I526)),"À commander","OK")))</f>
        <v/>
      </c>
      <c r="P526" s="39" t="str">
        <f>IF(OR(A526="",O526="OK",J526=""),"",MAX(N(J526)-M526,0))</f>
        <v/>
      </c>
      <c r="Q526" s="39" t="str">
        <f>IF(A526="",IF(COUNTA(B526:J526)&gt;0,"Référence manquante",""),IF(COUNTIF($A$5:$A$1004,A526)&gt;1,"Référence en double",IF(B526="","Désignation manquante","OK")))</f>
        <v/>
      </c>
      <c r="R526" s="39" t="str">
        <f>IF(OR(O526="Rupture",O526="À commander"),COUNTIF($O$5:O526,"Rupture")+COUNTIF($O$5:O526,"À commander"),"")</f>
        <v/>
      </c>
    </row>
    <row r="527">
      <c r="A527" s="37" t="n"/>
      <c r="B527" s="37" t="n"/>
      <c r="C527" s="37" t="n"/>
      <c r="D527" s="37" t="n"/>
      <c r="E527" s="37" t="n"/>
      <c r="F527" s="37" t="n"/>
      <c r="G527" s="38" t="n"/>
      <c r="H527" s="37" t="n"/>
      <c r="I527" s="37" t="n"/>
      <c r="J527" s="37" t="n"/>
      <c r="K527" s="39" t="str">
        <f>IF(A527="","",SUMIFS(mv_qty,mv_ref,A527,mv_type,"Entrée"))</f>
        <v/>
      </c>
      <c r="L527" s="39" t="str">
        <f>IF(A527="","",SUMIFS(mv_qty,mv_ref,A527,mv_type,"Sortie"))</f>
        <v/>
      </c>
      <c r="M527" s="39" t="str">
        <f>IF(A527="","",ROUND(N(H527)+K527-L527,6))</f>
        <v/>
      </c>
      <c r="N527" s="40" t="str">
        <f>IF(A527="","",M527*N(G527))</f>
        <v/>
      </c>
      <c r="O527" s="39" t="str">
        <f>IF(A527="","",IF(M527&lt;=0,"Rupture",IF(AND(I527&lt;&gt;"",M527&lt;=N(I527)),"À commander","OK")))</f>
        <v/>
      </c>
      <c r="P527" s="39" t="str">
        <f>IF(OR(A527="",O527="OK",J527=""),"",MAX(N(J527)-M527,0))</f>
        <v/>
      </c>
      <c r="Q527" s="39" t="str">
        <f>IF(A527="",IF(COUNTA(B527:J527)&gt;0,"Référence manquante",""),IF(COUNTIF($A$5:$A$1004,A527)&gt;1,"Référence en double",IF(B527="","Désignation manquante","OK")))</f>
        <v/>
      </c>
      <c r="R527" s="39" t="str">
        <f>IF(OR(O527="Rupture",O527="À commander"),COUNTIF($O$5:O527,"Rupture")+COUNTIF($O$5:O527,"À commander"),"")</f>
        <v/>
      </c>
    </row>
    <row r="528">
      <c r="A528" s="37" t="n"/>
      <c r="B528" s="37" t="n"/>
      <c r="C528" s="37" t="n"/>
      <c r="D528" s="37" t="n"/>
      <c r="E528" s="37" t="n"/>
      <c r="F528" s="37" t="n"/>
      <c r="G528" s="38" t="n"/>
      <c r="H528" s="37" t="n"/>
      <c r="I528" s="37" t="n"/>
      <c r="J528" s="37" t="n"/>
      <c r="K528" s="39" t="str">
        <f>IF(A528="","",SUMIFS(mv_qty,mv_ref,A528,mv_type,"Entrée"))</f>
        <v/>
      </c>
      <c r="L528" s="39" t="str">
        <f>IF(A528="","",SUMIFS(mv_qty,mv_ref,A528,mv_type,"Sortie"))</f>
        <v/>
      </c>
      <c r="M528" s="39" t="str">
        <f>IF(A528="","",ROUND(N(H528)+K528-L528,6))</f>
        <v/>
      </c>
      <c r="N528" s="40" t="str">
        <f>IF(A528="","",M528*N(G528))</f>
        <v/>
      </c>
      <c r="O528" s="39" t="str">
        <f>IF(A528="","",IF(M528&lt;=0,"Rupture",IF(AND(I528&lt;&gt;"",M528&lt;=N(I528)),"À commander","OK")))</f>
        <v/>
      </c>
      <c r="P528" s="39" t="str">
        <f>IF(OR(A528="",O528="OK",J528=""),"",MAX(N(J528)-M528,0))</f>
        <v/>
      </c>
      <c r="Q528" s="39" t="str">
        <f>IF(A528="",IF(COUNTA(B528:J528)&gt;0,"Référence manquante",""),IF(COUNTIF($A$5:$A$1004,A528)&gt;1,"Référence en double",IF(B528="","Désignation manquante","OK")))</f>
        <v/>
      </c>
      <c r="R528" s="39" t="str">
        <f>IF(OR(O528="Rupture",O528="À commander"),COUNTIF($O$5:O528,"Rupture")+COUNTIF($O$5:O528,"À commander"),"")</f>
        <v/>
      </c>
    </row>
    <row r="529">
      <c r="A529" s="37" t="n"/>
      <c r="B529" s="37" t="n"/>
      <c r="C529" s="37" t="n"/>
      <c r="D529" s="37" t="n"/>
      <c r="E529" s="37" t="n"/>
      <c r="F529" s="37" t="n"/>
      <c r="G529" s="38" t="n"/>
      <c r="H529" s="37" t="n"/>
      <c r="I529" s="37" t="n"/>
      <c r="J529" s="37" t="n"/>
      <c r="K529" s="39" t="str">
        <f>IF(A529="","",SUMIFS(mv_qty,mv_ref,A529,mv_type,"Entrée"))</f>
        <v/>
      </c>
      <c r="L529" s="39" t="str">
        <f>IF(A529="","",SUMIFS(mv_qty,mv_ref,A529,mv_type,"Sortie"))</f>
        <v/>
      </c>
      <c r="M529" s="39" t="str">
        <f>IF(A529="","",ROUND(N(H529)+K529-L529,6))</f>
        <v/>
      </c>
      <c r="N529" s="40" t="str">
        <f>IF(A529="","",M529*N(G529))</f>
        <v/>
      </c>
      <c r="O529" s="39" t="str">
        <f>IF(A529="","",IF(M529&lt;=0,"Rupture",IF(AND(I529&lt;&gt;"",M529&lt;=N(I529)),"À commander","OK")))</f>
        <v/>
      </c>
      <c r="P529" s="39" t="str">
        <f>IF(OR(A529="",O529="OK",J529=""),"",MAX(N(J529)-M529,0))</f>
        <v/>
      </c>
      <c r="Q529" s="39" t="str">
        <f>IF(A529="",IF(COUNTA(B529:J529)&gt;0,"Référence manquante",""),IF(COUNTIF($A$5:$A$1004,A529)&gt;1,"Référence en double",IF(B529="","Désignation manquante","OK")))</f>
        <v/>
      </c>
      <c r="R529" s="39" t="str">
        <f>IF(OR(O529="Rupture",O529="À commander"),COUNTIF($O$5:O529,"Rupture")+COUNTIF($O$5:O529,"À commander"),"")</f>
        <v/>
      </c>
    </row>
    <row r="530">
      <c r="A530" s="37" t="n"/>
      <c r="B530" s="37" t="n"/>
      <c r="C530" s="37" t="n"/>
      <c r="D530" s="37" t="n"/>
      <c r="E530" s="37" t="n"/>
      <c r="F530" s="37" t="n"/>
      <c r="G530" s="38" t="n"/>
      <c r="H530" s="37" t="n"/>
      <c r="I530" s="37" t="n"/>
      <c r="J530" s="37" t="n"/>
      <c r="K530" s="39" t="str">
        <f>IF(A530="","",SUMIFS(mv_qty,mv_ref,A530,mv_type,"Entrée"))</f>
        <v/>
      </c>
      <c r="L530" s="39" t="str">
        <f>IF(A530="","",SUMIFS(mv_qty,mv_ref,A530,mv_type,"Sortie"))</f>
        <v/>
      </c>
      <c r="M530" s="39" t="str">
        <f>IF(A530="","",ROUND(N(H530)+K530-L530,6))</f>
        <v/>
      </c>
      <c r="N530" s="40" t="str">
        <f>IF(A530="","",M530*N(G530))</f>
        <v/>
      </c>
      <c r="O530" s="39" t="str">
        <f>IF(A530="","",IF(M530&lt;=0,"Rupture",IF(AND(I530&lt;&gt;"",M530&lt;=N(I530)),"À commander","OK")))</f>
        <v/>
      </c>
      <c r="P530" s="39" t="str">
        <f>IF(OR(A530="",O530="OK",J530=""),"",MAX(N(J530)-M530,0))</f>
        <v/>
      </c>
      <c r="Q530" s="39" t="str">
        <f>IF(A530="",IF(COUNTA(B530:J530)&gt;0,"Référence manquante",""),IF(COUNTIF($A$5:$A$1004,A530)&gt;1,"Référence en double",IF(B530="","Désignation manquante","OK")))</f>
        <v/>
      </c>
      <c r="R530" s="39" t="str">
        <f>IF(OR(O530="Rupture",O530="À commander"),COUNTIF($O$5:O530,"Rupture")+COUNTIF($O$5:O530,"À commander"),"")</f>
        <v/>
      </c>
    </row>
    <row r="531">
      <c r="A531" s="37" t="n"/>
      <c r="B531" s="37" t="n"/>
      <c r="C531" s="37" t="n"/>
      <c r="D531" s="37" t="n"/>
      <c r="E531" s="37" t="n"/>
      <c r="F531" s="37" t="n"/>
      <c r="G531" s="38" t="n"/>
      <c r="H531" s="37" t="n"/>
      <c r="I531" s="37" t="n"/>
      <c r="J531" s="37" t="n"/>
      <c r="K531" s="39" t="str">
        <f>IF(A531="","",SUMIFS(mv_qty,mv_ref,A531,mv_type,"Entrée"))</f>
        <v/>
      </c>
      <c r="L531" s="39" t="str">
        <f>IF(A531="","",SUMIFS(mv_qty,mv_ref,A531,mv_type,"Sortie"))</f>
        <v/>
      </c>
      <c r="M531" s="39" t="str">
        <f>IF(A531="","",ROUND(N(H531)+K531-L531,6))</f>
        <v/>
      </c>
      <c r="N531" s="40" t="str">
        <f>IF(A531="","",M531*N(G531))</f>
        <v/>
      </c>
      <c r="O531" s="39" t="str">
        <f>IF(A531="","",IF(M531&lt;=0,"Rupture",IF(AND(I531&lt;&gt;"",M531&lt;=N(I531)),"À commander","OK")))</f>
        <v/>
      </c>
      <c r="P531" s="39" t="str">
        <f>IF(OR(A531="",O531="OK",J531=""),"",MAX(N(J531)-M531,0))</f>
        <v/>
      </c>
      <c r="Q531" s="39" t="str">
        <f>IF(A531="",IF(COUNTA(B531:J531)&gt;0,"Référence manquante",""),IF(COUNTIF($A$5:$A$1004,A531)&gt;1,"Référence en double",IF(B531="","Désignation manquante","OK")))</f>
        <v/>
      </c>
      <c r="R531" s="39" t="str">
        <f>IF(OR(O531="Rupture",O531="À commander"),COUNTIF($O$5:O531,"Rupture")+COUNTIF($O$5:O531,"À commander"),"")</f>
        <v/>
      </c>
    </row>
    <row r="532">
      <c r="A532" s="37" t="n"/>
      <c r="B532" s="37" t="n"/>
      <c r="C532" s="37" t="n"/>
      <c r="D532" s="37" t="n"/>
      <c r="E532" s="37" t="n"/>
      <c r="F532" s="37" t="n"/>
      <c r="G532" s="38" t="n"/>
      <c r="H532" s="37" t="n"/>
      <c r="I532" s="37" t="n"/>
      <c r="J532" s="37" t="n"/>
      <c r="K532" s="39" t="str">
        <f>IF(A532="","",SUMIFS(mv_qty,mv_ref,A532,mv_type,"Entrée"))</f>
        <v/>
      </c>
      <c r="L532" s="39" t="str">
        <f>IF(A532="","",SUMIFS(mv_qty,mv_ref,A532,mv_type,"Sortie"))</f>
        <v/>
      </c>
      <c r="M532" s="39" t="str">
        <f>IF(A532="","",ROUND(N(H532)+K532-L532,6))</f>
        <v/>
      </c>
      <c r="N532" s="40" t="str">
        <f>IF(A532="","",M532*N(G532))</f>
        <v/>
      </c>
      <c r="O532" s="39" t="str">
        <f>IF(A532="","",IF(M532&lt;=0,"Rupture",IF(AND(I532&lt;&gt;"",M532&lt;=N(I532)),"À commander","OK")))</f>
        <v/>
      </c>
      <c r="P532" s="39" t="str">
        <f>IF(OR(A532="",O532="OK",J532=""),"",MAX(N(J532)-M532,0))</f>
        <v/>
      </c>
      <c r="Q532" s="39" t="str">
        <f>IF(A532="",IF(COUNTA(B532:J532)&gt;0,"Référence manquante",""),IF(COUNTIF($A$5:$A$1004,A532)&gt;1,"Référence en double",IF(B532="","Désignation manquante","OK")))</f>
        <v/>
      </c>
      <c r="R532" s="39" t="str">
        <f>IF(OR(O532="Rupture",O532="À commander"),COUNTIF($O$5:O532,"Rupture")+COUNTIF($O$5:O532,"À commander"),"")</f>
        <v/>
      </c>
    </row>
    <row r="533">
      <c r="A533" s="37" t="n"/>
      <c r="B533" s="37" t="n"/>
      <c r="C533" s="37" t="n"/>
      <c r="D533" s="37" t="n"/>
      <c r="E533" s="37" t="n"/>
      <c r="F533" s="37" t="n"/>
      <c r="G533" s="38" t="n"/>
      <c r="H533" s="37" t="n"/>
      <c r="I533" s="37" t="n"/>
      <c r="J533" s="37" t="n"/>
      <c r="K533" s="39" t="str">
        <f>IF(A533="","",SUMIFS(mv_qty,mv_ref,A533,mv_type,"Entrée"))</f>
        <v/>
      </c>
      <c r="L533" s="39" t="str">
        <f>IF(A533="","",SUMIFS(mv_qty,mv_ref,A533,mv_type,"Sortie"))</f>
        <v/>
      </c>
      <c r="M533" s="39" t="str">
        <f>IF(A533="","",ROUND(N(H533)+K533-L533,6))</f>
        <v/>
      </c>
      <c r="N533" s="40" t="str">
        <f>IF(A533="","",M533*N(G533))</f>
        <v/>
      </c>
      <c r="O533" s="39" t="str">
        <f>IF(A533="","",IF(M533&lt;=0,"Rupture",IF(AND(I533&lt;&gt;"",M533&lt;=N(I533)),"À commander","OK")))</f>
        <v/>
      </c>
      <c r="P533" s="39" t="str">
        <f>IF(OR(A533="",O533="OK",J533=""),"",MAX(N(J533)-M533,0))</f>
        <v/>
      </c>
      <c r="Q533" s="39" t="str">
        <f>IF(A533="",IF(COUNTA(B533:J533)&gt;0,"Référence manquante",""),IF(COUNTIF($A$5:$A$1004,A533)&gt;1,"Référence en double",IF(B533="","Désignation manquante","OK")))</f>
        <v/>
      </c>
      <c r="R533" s="39" t="str">
        <f>IF(OR(O533="Rupture",O533="À commander"),COUNTIF($O$5:O533,"Rupture")+COUNTIF($O$5:O533,"À commander"),"")</f>
        <v/>
      </c>
    </row>
    <row r="534">
      <c r="A534" s="37" t="n"/>
      <c r="B534" s="37" t="n"/>
      <c r="C534" s="37" t="n"/>
      <c r="D534" s="37" t="n"/>
      <c r="E534" s="37" t="n"/>
      <c r="F534" s="37" t="n"/>
      <c r="G534" s="38" t="n"/>
      <c r="H534" s="37" t="n"/>
      <c r="I534" s="37" t="n"/>
      <c r="J534" s="37" t="n"/>
      <c r="K534" s="39" t="str">
        <f>IF(A534="","",SUMIFS(mv_qty,mv_ref,A534,mv_type,"Entrée"))</f>
        <v/>
      </c>
      <c r="L534" s="39" t="str">
        <f>IF(A534="","",SUMIFS(mv_qty,mv_ref,A534,mv_type,"Sortie"))</f>
        <v/>
      </c>
      <c r="M534" s="39" t="str">
        <f>IF(A534="","",ROUND(N(H534)+K534-L534,6))</f>
        <v/>
      </c>
      <c r="N534" s="40" t="str">
        <f>IF(A534="","",M534*N(G534))</f>
        <v/>
      </c>
      <c r="O534" s="39" t="str">
        <f>IF(A534="","",IF(M534&lt;=0,"Rupture",IF(AND(I534&lt;&gt;"",M534&lt;=N(I534)),"À commander","OK")))</f>
        <v/>
      </c>
      <c r="P534" s="39" t="str">
        <f>IF(OR(A534="",O534="OK",J534=""),"",MAX(N(J534)-M534,0))</f>
        <v/>
      </c>
      <c r="Q534" s="39" t="str">
        <f>IF(A534="",IF(COUNTA(B534:J534)&gt;0,"Référence manquante",""),IF(COUNTIF($A$5:$A$1004,A534)&gt;1,"Référence en double",IF(B534="","Désignation manquante","OK")))</f>
        <v/>
      </c>
      <c r="R534" s="39" t="str">
        <f>IF(OR(O534="Rupture",O534="À commander"),COUNTIF($O$5:O534,"Rupture")+COUNTIF($O$5:O534,"À commander"),"")</f>
        <v/>
      </c>
    </row>
    <row r="535">
      <c r="A535" s="37" t="n"/>
      <c r="B535" s="37" t="n"/>
      <c r="C535" s="37" t="n"/>
      <c r="D535" s="37" t="n"/>
      <c r="E535" s="37" t="n"/>
      <c r="F535" s="37" t="n"/>
      <c r="G535" s="38" t="n"/>
      <c r="H535" s="37" t="n"/>
      <c r="I535" s="37" t="n"/>
      <c r="J535" s="37" t="n"/>
      <c r="K535" s="39" t="str">
        <f>IF(A535="","",SUMIFS(mv_qty,mv_ref,A535,mv_type,"Entrée"))</f>
        <v/>
      </c>
      <c r="L535" s="39" t="str">
        <f>IF(A535="","",SUMIFS(mv_qty,mv_ref,A535,mv_type,"Sortie"))</f>
        <v/>
      </c>
      <c r="M535" s="39" t="str">
        <f>IF(A535="","",ROUND(N(H535)+K535-L535,6))</f>
        <v/>
      </c>
      <c r="N535" s="40" t="str">
        <f>IF(A535="","",M535*N(G535))</f>
        <v/>
      </c>
      <c r="O535" s="39" t="str">
        <f>IF(A535="","",IF(M535&lt;=0,"Rupture",IF(AND(I535&lt;&gt;"",M535&lt;=N(I535)),"À commander","OK")))</f>
        <v/>
      </c>
      <c r="P535" s="39" t="str">
        <f>IF(OR(A535="",O535="OK",J535=""),"",MAX(N(J535)-M535,0))</f>
        <v/>
      </c>
      <c r="Q535" s="39" t="str">
        <f>IF(A535="",IF(COUNTA(B535:J535)&gt;0,"Référence manquante",""),IF(COUNTIF($A$5:$A$1004,A535)&gt;1,"Référence en double",IF(B535="","Désignation manquante","OK")))</f>
        <v/>
      </c>
      <c r="R535" s="39" t="str">
        <f>IF(OR(O535="Rupture",O535="À commander"),COUNTIF($O$5:O535,"Rupture")+COUNTIF($O$5:O535,"À commander"),"")</f>
        <v/>
      </c>
    </row>
    <row r="536">
      <c r="A536" s="37" t="n"/>
      <c r="B536" s="37" t="n"/>
      <c r="C536" s="37" t="n"/>
      <c r="D536" s="37" t="n"/>
      <c r="E536" s="37" t="n"/>
      <c r="F536" s="37" t="n"/>
      <c r="G536" s="38" t="n"/>
      <c r="H536" s="37" t="n"/>
      <c r="I536" s="37" t="n"/>
      <c r="J536" s="37" t="n"/>
      <c r="K536" s="39" t="str">
        <f>IF(A536="","",SUMIFS(mv_qty,mv_ref,A536,mv_type,"Entrée"))</f>
        <v/>
      </c>
      <c r="L536" s="39" t="str">
        <f>IF(A536="","",SUMIFS(mv_qty,mv_ref,A536,mv_type,"Sortie"))</f>
        <v/>
      </c>
      <c r="M536" s="39" t="str">
        <f>IF(A536="","",ROUND(N(H536)+K536-L536,6))</f>
        <v/>
      </c>
      <c r="N536" s="40" t="str">
        <f>IF(A536="","",M536*N(G536))</f>
        <v/>
      </c>
      <c r="O536" s="39" t="str">
        <f>IF(A536="","",IF(M536&lt;=0,"Rupture",IF(AND(I536&lt;&gt;"",M536&lt;=N(I536)),"À commander","OK")))</f>
        <v/>
      </c>
      <c r="P536" s="39" t="str">
        <f>IF(OR(A536="",O536="OK",J536=""),"",MAX(N(J536)-M536,0))</f>
        <v/>
      </c>
      <c r="Q536" s="39" t="str">
        <f>IF(A536="",IF(COUNTA(B536:J536)&gt;0,"Référence manquante",""),IF(COUNTIF($A$5:$A$1004,A536)&gt;1,"Référence en double",IF(B536="","Désignation manquante","OK")))</f>
        <v/>
      </c>
      <c r="R536" s="39" t="str">
        <f>IF(OR(O536="Rupture",O536="À commander"),COUNTIF($O$5:O536,"Rupture")+COUNTIF($O$5:O536,"À commander"),"")</f>
        <v/>
      </c>
    </row>
    <row r="537">
      <c r="A537" s="37" t="n"/>
      <c r="B537" s="37" t="n"/>
      <c r="C537" s="37" t="n"/>
      <c r="D537" s="37" t="n"/>
      <c r="E537" s="37" t="n"/>
      <c r="F537" s="37" t="n"/>
      <c r="G537" s="38" t="n"/>
      <c r="H537" s="37" t="n"/>
      <c r="I537" s="37" t="n"/>
      <c r="J537" s="37" t="n"/>
      <c r="K537" s="39" t="str">
        <f>IF(A537="","",SUMIFS(mv_qty,mv_ref,A537,mv_type,"Entrée"))</f>
        <v/>
      </c>
      <c r="L537" s="39" t="str">
        <f>IF(A537="","",SUMIFS(mv_qty,mv_ref,A537,mv_type,"Sortie"))</f>
        <v/>
      </c>
      <c r="M537" s="39" t="str">
        <f>IF(A537="","",ROUND(N(H537)+K537-L537,6))</f>
        <v/>
      </c>
      <c r="N537" s="40" t="str">
        <f>IF(A537="","",M537*N(G537))</f>
        <v/>
      </c>
      <c r="O537" s="39" t="str">
        <f>IF(A537="","",IF(M537&lt;=0,"Rupture",IF(AND(I537&lt;&gt;"",M537&lt;=N(I537)),"À commander","OK")))</f>
        <v/>
      </c>
      <c r="P537" s="39" t="str">
        <f>IF(OR(A537="",O537="OK",J537=""),"",MAX(N(J537)-M537,0))</f>
        <v/>
      </c>
      <c r="Q537" s="39" t="str">
        <f>IF(A537="",IF(COUNTA(B537:J537)&gt;0,"Référence manquante",""),IF(COUNTIF($A$5:$A$1004,A537)&gt;1,"Référence en double",IF(B537="","Désignation manquante","OK")))</f>
        <v/>
      </c>
      <c r="R537" s="39" t="str">
        <f>IF(OR(O537="Rupture",O537="À commander"),COUNTIF($O$5:O537,"Rupture")+COUNTIF($O$5:O537,"À commander"),"")</f>
        <v/>
      </c>
    </row>
    <row r="538">
      <c r="A538" s="37" t="n"/>
      <c r="B538" s="37" t="n"/>
      <c r="C538" s="37" t="n"/>
      <c r="D538" s="37" t="n"/>
      <c r="E538" s="37" t="n"/>
      <c r="F538" s="37" t="n"/>
      <c r="G538" s="38" t="n"/>
      <c r="H538" s="37" t="n"/>
      <c r="I538" s="37" t="n"/>
      <c r="J538" s="37" t="n"/>
      <c r="K538" s="39" t="str">
        <f>IF(A538="","",SUMIFS(mv_qty,mv_ref,A538,mv_type,"Entrée"))</f>
        <v/>
      </c>
      <c r="L538" s="39" t="str">
        <f>IF(A538="","",SUMIFS(mv_qty,mv_ref,A538,mv_type,"Sortie"))</f>
        <v/>
      </c>
      <c r="M538" s="39" t="str">
        <f>IF(A538="","",ROUND(N(H538)+K538-L538,6))</f>
        <v/>
      </c>
      <c r="N538" s="40" t="str">
        <f>IF(A538="","",M538*N(G538))</f>
        <v/>
      </c>
      <c r="O538" s="39" t="str">
        <f>IF(A538="","",IF(M538&lt;=0,"Rupture",IF(AND(I538&lt;&gt;"",M538&lt;=N(I538)),"À commander","OK")))</f>
        <v/>
      </c>
      <c r="P538" s="39" t="str">
        <f>IF(OR(A538="",O538="OK",J538=""),"",MAX(N(J538)-M538,0))</f>
        <v/>
      </c>
      <c r="Q538" s="39" t="str">
        <f>IF(A538="",IF(COUNTA(B538:J538)&gt;0,"Référence manquante",""),IF(COUNTIF($A$5:$A$1004,A538)&gt;1,"Référence en double",IF(B538="","Désignation manquante","OK")))</f>
        <v/>
      </c>
      <c r="R538" s="39" t="str">
        <f>IF(OR(O538="Rupture",O538="À commander"),COUNTIF($O$5:O538,"Rupture")+COUNTIF($O$5:O538,"À commander"),"")</f>
        <v/>
      </c>
    </row>
    <row r="539">
      <c r="A539" s="37" t="n"/>
      <c r="B539" s="37" t="n"/>
      <c r="C539" s="37" t="n"/>
      <c r="D539" s="37" t="n"/>
      <c r="E539" s="37" t="n"/>
      <c r="F539" s="37" t="n"/>
      <c r="G539" s="38" t="n"/>
      <c r="H539" s="37" t="n"/>
      <c r="I539" s="37" t="n"/>
      <c r="J539" s="37" t="n"/>
      <c r="K539" s="39" t="str">
        <f>IF(A539="","",SUMIFS(mv_qty,mv_ref,A539,mv_type,"Entrée"))</f>
        <v/>
      </c>
      <c r="L539" s="39" t="str">
        <f>IF(A539="","",SUMIFS(mv_qty,mv_ref,A539,mv_type,"Sortie"))</f>
        <v/>
      </c>
      <c r="M539" s="39" t="str">
        <f>IF(A539="","",ROUND(N(H539)+K539-L539,6))</f>
        <v/>
      </c>
      <c r="N539" s="40" t="str">
        <f>IF(A539="","",M539*N(G539))</f>
        <v/>
      </c>
      <c r="O539" s="39" t="str">
        <f>IF(A539="","",IF(M539&lt;=0,"Rupture",IF(AND(I539&lt;&gt;"",M539&lt;=N(I539)),"À commander","OK")))</f>
        <v/>
      </c>
      <c r="P539" s="39" t="str">
        <f>IF(OR(A539="",O539="OK",J539=""),"",MAX(N(J539)-M539,0))</f>
        <v/>
      </c>
      <c r="Q539" s="39" t="str">
        <f>IF(A539="",IF(COUNTA(B539:J539)&gt;0,"Référence manquante",""),IF(COUNTIF($A$5:$A$1004,A539)&gt;1,"Référence en double",IF(B539="","Désignation manquante","OK")))</f>
        <v/>
      </c>
      <c r="R539" s="39" t="str">
        <f>IF(OR(O539="Rupture",O539="À commander"),COUNTIF($O$5:O539,"Rupture")+COUNTIF($O$5:O539,"À commander"),"")</f>
        <v/>
      </c>
    </row>
    <row r="540">
      <c r="A540" s="37" t="n"/>
      <c r="B540" s="37" t="n"/>
      <c r="C540" s="37" t="n"/>
      <c r="D540" s="37" t="n"/>
      <c r="E540" s="37" t="n"/>
      <c r="F540" s="37" t="n"/>
      <c r="G540" s="38" t="n"/>
      <c r="H540" s="37" t="n"/>
      <c r="I540" s="37" t="n"/>
      <c r="J540" s="37" t="n"/>
      <c r="K540" s="39" t="str">
        <f>IF(A540="","",SUMIFS(mv_qty,mv_ref,A540,mv_type,"Entrée"))</f>
        <v/>
      </c>
      <c r="L540" s="39" t="str">
        <f>IF(A540="","",SUMIFS(mv_qty,mv_ref,A540,mv_type,"Sortie"))</f>
        <v/>
      </c>
      <c r="M540" s="39" t="str">
        <f>IF(A540="","",ROUND(N(H540)+K540-L540,6))</f>
        <v/>
      </c>
      <c r="N540" s="40" t="str">
        <f>IF(A540="","",M540*N(G540))</f>
        <v/>
      </c>
      <c r="O540" s="39" t="str">
        <f>IF(A540="","",IF(M540&lt;=0,"Rupture",IF(AND(I540&lt;&gt;"",M540&lt;=N(I540)),"À commander","OK")))</f>
        <v/>
      </c>
      <c r="P540" s="39" t="str">
        <f>IF(OR(A540="",O540="OK",J540=""),"",MAX(N(J540)-M540,0))</f>
        <v/>
      </c>
      <c r="Q540" s="39" t="str">
        <f>IF(A540="",IF(COUNTA(B540:J540)&gt;0,"Référence manquante",""),IF(COUNTIF($A$5:$A$1004,A540)&gt;1,"Référence en double",IF(B540="","Désignation manquante","OK")))</f>
        <v/>
      </c>
      <c r="R540" s="39" t="str">
        <f>IF(OR(O540="Rupture",O540="À commander"),COUNTIF($O$5:O540,"Rupture")+COUNTIF($O$5:O540,"À commander"),"")</f>
        <v/>
      </c>
    </row>
    <row r="541">
      <c r="A541" s="37" t="n"/>
      <c r="B541" s="37" t="n"/>
      <c r="C541" s="37" t="n"/>
      <c r="D541" s="37" t="n"/>
      <c r="E541" s="37" t="n"/>
      <c r="F541" s="37" t="n"/>
      <c r="G541" s="38" t="n"/>
      <c r="H541" s="37" t="n"/>
      <c r="I541" s="37" t="n"/>
      <c r="J541" s="37" t="n"/>
      <c r="K541" s="39" t="str">
        <f>IF(A541="","",SUMIFS(mv_qty,mv_ref,A541,mv_type,"Entrée"))</f>
        <v/>
      </c>
      <c r="L541" s="39" t="str">
        <f>IF(A541="","",SUMIFS(mv_qty,mv_ref,A541,mv_type,"Sortie"))</f>
        <v/>
      </c>
      <c r="M541" s="39" t="str">
        <f>IF(A541="","",ROUND(N(H541)+K541-L541,6))</f>
        <v/>
      </c>
      <c r="N541" s="40" t="str">
        <f>IF(A541="","",M541*N(G541))</f>
        <v/>
      </c>
      <c r="O541" s="39" t="str">
        <f>IF(A541="","",IF(M541&lt;=0,"Rupture",IF(AND(I541&lt;&gt;"",M541&lt;=N(I541)),"À commander","OK")))</f>
        <v/>
      </c>
      <c r="P541" s="39" t="str">
        <f>IF(OR(A541="",O541="OK",J541=""),"",MAX(N(J541)-M541,0))</f>
        <v/>
      </c>
      <c r="Q541" s="39" t="str">
        <f>IF(A541="",IF(COUNTA(B541:J541)&gt;0,"Référence manquante",""),IF(COUNTIF($A$5:$A$1004,A541)&gt;1,"Référence en double",IF(B541="","Désignation manquante","OK")))</f>
        <v/>
      </c>
      <c r="R541" s="39" t="str">
        <f>IF(OR(O541="Rupture",O541="À commander"),COUNTIF($O$5:O541,"Rupture")+COUNTIF($O$5:O541,"À commander"),"")</f>
        <v/>
      </c>
    </row>
    <row r="542">
      <c r="A542" s="37" t="n"/>
      <c r="B542" s="37" t="n"/>
      <c r="C542" s="37" t="n"/>
      <c r="D542" s="37" t="n"/>
      <c r="E542" s="37" t="n"/>
      <c r="F542" s="37" t="n"/>
      <c r="G542" s="38" t="n"/>
      <c r="H542" s="37" t="n"/>
      <c r="I542" s="37" t="n"/>
      <c r="J542" s="37" t="n"/>
      <c r="K542" s="39" t="str">
        <f>IF(A542="","",SUMIFS(mv_qty,mv_ref,A542,mv_type,"Entrée"))</f>
        <v/>
      </c>
      <c r="L542" s="39" t="str">
        <f>IF(A542="","",SUMIFS(mv_qty,mv_ref,A542,mv_type,"Sortie"))</f>
        <v/>
      </c>
      <c r="M542" s="39" t="str">
        <f>IF(A542="","",ROUND(N(H542)+K542-L542,6))</f>
        <v/>
      </c>
      <c r="N542" s="40" t="str">
        <f>IF(A542="","",M542*N(G542))</f>
        <v/>
      </c>
      <c r="O542" s="39" t="str">
        <f>IF(A542="","",IF(M542&lt;=0,"Rupture",IF(AND(I542&lt;&gt;"",M542&lt;=N(I542)),"À commander","OK")))</f>
        <v/>
      </c>
      <c r="P542" s="39" t="str">
        <f>IF(OR(A542="",O542="OK",J542=""),"",MAX(N(J542)-M542,0))</f>
        <v/>
      </c>
      <c r="Q542" s="39" t="str">
        <f>IF(A542="",IF(COUNTA(B542:J542)&gt;0,"Référence manquante",""),IF(COUNTIF($A$5:$A$1004,A542)&gt;1,"Référence en double",IF(B542="","Désignation manquante","OK")))</f>
        <v/>
      </c>
      <c r="R542" s="39" t="str">
        <f>IF(OR(O542="Rupture",O542="À commander"),COUNTIF($O$5:O542,"Rupture")+COUNTIF($O$5:O542,"À commander"),"")</f>
        <v/>
      </c>
    </row>
    <row r="543">
      <c r="A543" s="37" t="n"/>
      <c r="B543" s="37" t="n"/>
      <c r="C543" s="37" t="n"/>
      <c r="D543" s="37" t="n"/>
      <c r="E543" s="37" t="n"/>
      <c r="F543" s="37" t="n"/>
      <c r="G543" s="38" t="n"/>
      <c r="H543" s="37" t="n"/>
      <c r="I543" s="37" t="n"/>
      <c r="J543" s="37" t="n"/>
      <c r="K543" s="39" t="str">
        <f>IF(A543="","",SUMIFS(mv_qty,mv_ref,A543,mv_type,"Entrée"))</f>
        <v/>
      </c>
      <c r="L543" s="39" t="str">
        <f>IF(A543="","",SUMIFS(mv_qty,mv_ref,A543,mv_type,"Sortie"))</f>
        <v/>
      </c>
      <c r="M543" s="39" t="str">
        <f>IF(A543="","",ROUND(N(H543)+K543-L543,6))</f>
        <v/>
      </c>
      <c r="N543" s="40" t="str">
        <f>IF(A543="","",M543*N(G543))</f>
        <v/>
      </c>
      <c r="O543" s="39" t="str">
        <f>IF(A543="","",IF(M543&lt;=0,"Rupture",IF(AND(I543&lt;&gt;"",M543&lt;=N(I543)),"À commander","OK")))</f>
        <v/>
      </c>
      <c r="P543" s="39" t="str">
        <f>IF(OR(A543="",O543="OK",J543=""),"",MAX(N(J543)-M543,0))</f>
        <v/>
      </c>
      <c r="Q543" s="39" t="str">
        <f>IF(A543="",IF(COUNTA(B543:J543)&gt;0,"Référence manquante",""),IF(COUNTIF($A$5:$A$1004,A543)&gt;1,"Référence en double",IF(B543="","Désignation manquante","OK")))</f>
        <v/>
      </c>
      <c r="R543" s="39" t="str">
        <f>IF(OR(O543="Rupture",O543="À commander"),COUNTIF($O$5:O543,"Rupture")+COUNTIF($O$5:O543,"À commander"),"")</f>
        <v/>
      </c>
    </row>
    <row r="544">
      <c r="A544" s="37" t="n"/>
      <c r="B544" s="37" t="n"/>
      <c r="C544" s="37" t="n"/>
      <c r="D544" s="37" t="n"/>
      <c r="E544" s="37" t="n"/>
      <c r="F544" s="37" t="n"/>
      <c r="G544" s="38" t="n"/>
      <c r="H544" s="37" t="n"/>
      <c r="I544" s="37" t="n"/>
      <c r="J544" s="37" t="n"/>
      <c r="K544" s="39" t="str">
        <f>IF(A544="","",SUMIFS(mv_qty,mv_ref,A544,mv_type,"Entrée"))</f>
        <v/>
      </c>
      <c r="L544" s="39" t="str">
        <f>IF(A544="","",SUMIFS(mv_qty,mv_ref,A544,mv_type,"Sortie"))</f>
        <v/>
      </c>
      <c r="M544" s="39" t="str">
        <f>IF(A544="","",ROUND(N(H544)+K544-L544,6))</f>
        <v/>
      </c>
      <c r="N544" s="40" t="str">
        <f>IF(A544="","",M544*N(G544))</f>
        <v/>
      </c>
      <c r="O544" s="39" t="str">
        <f>IF(A544="","",IF(M544&lt;=0,"Rupture",IF(AND(I544&lt;&gt;"",M544&lt;=N(I544)),"À commander","OK")))</f>
        <v/>
      </c>
      <c r="P544" s="39" t="str">
        <f>IF(OR(A544="",O544="OK",J544=""),"",MAX(N(J544)-M544,0))</f>
        <v/>
      </c>
      <c r="Q544" s="39" t="str">
        <f>IF(A544="",IF(COUNTA(B544:J544)&gt;0,"Référence manquante",""),IF(COUNTIF($A$5:$A$1004,A544)&gt;1,"Référence en double",IF(B544="","Désignation manquante","OK")))</f>
        <v/>
      </c>
      <c r="R544" s="39" t="str">
        <f>IF(OR(O544="Rupture",O544="À commander"),COUNTIF($O$5:O544,"Rupture")+COUNTIF($O$5:O544,"À commander"),"")</f>
        <v/>
      </c>
    </row>
    <row r="545">
      <c r="A545" s="37" t="n"/>
      <c r="B545" s="37" t="n"/>
      <c r="C545" s="37" t="n"/>
      <c r="D545" s="37" t="n"/>
      <c r="E545" s="37" t="n"/>
      <c r="F545" s="37" t="n"/>
      <c r="G545" s="38" t="n"/>
      <c r="H545" s="37" t="n"/>
      <c r="I545" s="37" t="n"/>
      <c r="J545" s="37" t="n"/>
      <c r="K545" s="39" t="str">
        <f>IF(A545="","",SUMIFS(mv_qty,mv_ref,A545,mv_type,"Entrée"))</f>
        <v/>
      </c>
      <c r="L545" s="39" t="str">
        <f>IF(A545="","",SUMIFS(mv_qty,mv_ref,A545,mv_type,"Sortie"))</f>
        <v/>
      </c>
      <c r="M545" s="39" t="str">
        <f>IF(A545="","",ROUND(N(H545)+K545-L545,6))</f>
        <v/>
      </c>
      <c r="N545" s="40" t="str">
        <f>IF(A545="","",M545*N(G545))</f>
        <v/>
      </c>
      <c r="O545" s="39" t="str">
        <f>IF(A545="","",IF(M545&lt;=0,"Rupture",IF(AND(I545&lt;&gt;"",M545&lt;=N(I545)),"À commander","OK")))</f>
        <v/>
      </c>
      <c r="P545" s="39" t="str">
        <f>IF(OR(A545="",O545="OK",J545=""),"",MAX(N(J545)-M545,0))</f>
        <v/>
      </c>
      <c r="Q545" s="39" t="str">
        <f>IF(A545="",IF(COUNTA(B545:J545)&gt;0,"Référence manquante",""),IF(COUNTIF($A$5:$A$1004,A545)&gt;1,"Référence en double",IF(B545="","Désignation manquante","OK")))</f>
        <v/>
      </c>
      <c r="R545" s="39" t="str">
        <f>IF(OR(O545="Rupture",O545="À commander"),COUNTIF($O$5:O545,"Rupture")+COUNTIF($O$5:O545,"À commander"),"")</f>
        <v/>
      </c>
    </row>
    <row r="546">
      <c r="A546" s="37" t="n"/>
      <c r="B546" s="37" t="n"/>
      <c r="C546" s="37" t="n"/>
      <c r="D546" s="37" t="n"/>
      <c r="E546" s="37" t="n"/>
      <c r="F546" s="37" t="n"/>
      <c r="G546" s="38" t="n"/>
      <c r="H546" s="37" t="n"/>
      <c r="I546" s="37" t="n"/>
      <c r="J546" s="37" t="n"/>
      <c r="K546" s="39" t="str">
        <f>IF(A546="","",SUMIFS(mv_qty,mv_ref,A546,mv_type,"Entrée"))</f>
        <v/>
      </c>
      <c r="L546" s="39" t="str">
        <f>IF(A546="","",SUMIFS(mv_qty,mv_ref,A546,mv_type,"Sortie"))</f>
        <v/>
      </c>
      <c r="M546" s="39" t="str">
        <f>IF(A546="","",ROUND(N(H546)+K546-L546,6))</f>
        <v/>
      </c>
      <c r="N546" s="40" t="str">
        <f>IF(A546="","",M546*N(G546))</f>
        <v/>
      </c>
      <c r="O546" s="39" t="str">
        <f>IF(A546="","",IF(M546&lt;=0,"Rupture",IF(AND(I546&lt;&gt;"",M546&lt;=N(I546)),"À commander","OK")))</f>
        <v/>
      </c>
      <c r="P546" s="39" t="str">
        <f>IF(OR(A546="",O546="OK",J546=""),"",MAX(N(J546)-M546,0))</f>
        <v/>
      </c>
      <c r="Q546" s="39" t="str">
        <f>IF(A546="",IF(COUNTA(B546:J546)&gt;0,"Référence manquante",""),IF(COUNTIF($A$5:$A$1004,A546)&gt;1,"Référence en double",IF(B546="","Désignation manquante","OK")))</f>
        <v/>
      </c>
      <c r="R546" s="39" t="str">
        <f>IF(OR(O546="Rupture",O546="À commander"),COUNTIF($O$5:O546,"Rupture")+COUNTIF($O$5:O546,"À commander"),"")</f>
        <v/>
      </c>
    </row>
    <row r="547">
      <c r="A547" s="37" t="n"/>
      <c r="B547" s="37" t="n"/>
      <c r="C547" s="37" t="n"/>
      <c r="D547" s="37" t="n"/>
      <c r="E547" s="37" t="n"/>
      <c r="F547" s="37" t="n"/>
      <c r="G547" s="38" t="n"/>
      <c r="H547" s="37" t="n"/>
      <c r="I547" s="37" t="n"/>
      <c r="J547" s="37" t="n"/>
      <c r="K547" s="39" t="str">
        <f>IF(A547="","",SUMIFS(mv_qty,mv_ref,A547,mv_type,"Entrée"))</f>
        <v/>
      </c>
      <c r="L547" s="39" t="str">
        <f>IF(A547="","",SUMIFS(mv_qty,mv_ref,A547,mv_type,"Sortie"))</f>
        <v/>
      </c>
      <c r="M547" s="39" t="str">
        <f>IF(A547="","",ROUND(N(H547)+K547-L547,6))</f>
        <v/>
      </c>
      <c r="N547" s="40" t="str">
        <f>IF(A547="","",M547*N(G547))</f>
        <v/>
      </c>
      <c r="O547" s="39" t="str">
        <f>IF(A547="","",IF(M547&lt;=0,"Rupture",IF(AND(I547&lt;&gt;"",M547&lt;=N(I547)),"À commander","OK")))</f>
        <v/>
      </c>
      <c r="P547" s="39" t="str">
        <f>IF(OR(A547="",O547="OK",J547=""),"",MAX(N(J547)-M547,0))</f>
        <v/>
      </c>
      <c r="Q547" s="39" t="str">
        <f>IF(A547="",IF(COUNTA(B547:J547)&gt;0,"Référence manquante",""),IF(COUNTIF($A$5:$A$1004,A547)&gt;1,"Référence en double",IF(B547="","Désignation manquante","OK")))</f>
        <v/>
      </c>
      <c r="R547" s="39" t="str">
        <f>IF(OR(O547="Rupture",O547="À commander"),COUNTIF($O$5:O547,"Rupture")+COUNTIF($O$5:O547,"À commander"),"")</f>
        <v/>
      </c>
    </row>
    <row r="548">
      <c r="A548" s="37" t="n"/>
      <c r="B548" s="37" t="n"/>
      <c r="C548" s="37" t="n"/>
      <c r="D548" s="37" t="n"/>
      <c r="E548" s="37" t="n"/>
      <c r="F548" s="37" t="n"/>
      <c r="G548" s="38" t="n"/>
      <c r="H548" s="37" t="n"/>
      <c r="I548" s="37" t="n"/>
      <c r="J548" s="37" t="n"/>
      <c r="K548" s="39" t="str">
        <f>IF(A548="","",SUMIFS(mv_qty,mv_ref,A548,mv_type,"Entrée"))</f>
        <v/>
      </c>
      <c r="L548" s="39" t="str">
        <f>IF(A548="","",SUMIFS(mv_qty,mv_ref,A548,mv_type,"Sortie"))</f>
        <v/>
      </c>
      <c r="M548" s="39" t="str">
        <f>IF(A548="","",ROUND(N(H548)+K548-L548,6))</f>
        <v/>
      </c>
      <c r="N548" s="40" t="str">
        <f>IF(A548="","",M548*N(G548))</f>
        <v/>
      </c>
      <c r="O548" s="39" t="str">
        <f>IF(A548="","",IF(M548&lt;=0,"Rupture",IF(AND(I548&lt;&gt;"",M548&lt;=N(I548)),"À commander","OK")))</f>
        <v/>
      </c>
      <c r="P548" s="39" t="str">
        <f>IF(OR(A548="",O548="OK",J548=""),"",MAX(N(J548)-M548,0))</f>
        <v/>
      </c>
      <c r="Q548" s="39" t="str">
        <f>IF(A548="",IF(COUNTA(B548:J548)&gt;0,"Référence manquante",""),IF(COUNTIF($A$5:$A$1004,A548)&gt;1,"Référence en double",IF(B548="","Désignation manquante","OK")))</f>
        <v/>
      </c>
      <c r="R548" s="39" t="str">
        <f>IF(OR(O548="Rupture",O548="À commander"),COUNTIF($O$5:O548,"Rupture")+COUNTIF($O$5:O548,"À commander"),"")</f>
        <v/>
      </c>
    </row>
    <row r="549">
      <c r="A549" s="37" t="n"/>
      <c r="B549" s="37" t="n"/>
      <c r="C549" s="37" t="n"/>
      <c r="D549" s="37" t="n"/>
      <c r="E549" s="37" t="n"/>
      <c r="F549" s="37" t="n"/>
      <c r="G549" s="38" t="n"/>
      <c r="H549" s="37" t="n"/>
      <c r="I549" s="37" t="n"/>
      <c r="J549" s="37" t="n"/>
      <c r="K549" s="39" t="str">
        <f>IF(A549="","",SUMIFS(mv_qty,mv_ref,A549,mv_type,"Entrée"))</f>
        <v/>
      </c>
      <c r="L549" s="39" t="str">
        <f>IF(A549="","",SUMIFS(mv_qty,mv_ref,A549,mv_type,"Sortie"))</f>
        <v/>
      </c>
      <c r="M549" s="39" t="str">
        <f>IF(A549="","",ROUND(N(H549)+K549-L549,6))</f>
        <v/>
      </c>
      <c r="N549" s="40" t="str">
        <f>IF(A549="","",M549*N(G549))</f>
        <v/>
      </c>
      <c r="O549" s="39" t="str">
        <f>IF(A549="","",IF(M549&lt;=0,"Rupture",IF(AND(I549&lt;&gt;"",M549&lt;=N(I549)),"À commander","OK")))</f>
        <v/>
      </c>
      <c r="P549" s="39" t="str">
        <f>IF(OR(A549="",O549="OK",J549=""),"",MAX(N(J549)-M549,0))</f>
        <v/>
      </c>
      <c r="Q549" s="39" t="str">
        <f>IF(A549="",IF(COUNTA(B549:J549)&gt;0,"Référence manquante",""),IF(COUNTIF($A$5:$A$1004,A549)&gt;1,"Référence en double",IF(B549="","Désignation manquante","OK")))</f>
        <v/>
      </c>
      <c r="R549" s="39" t="str">
        <f>IF(OR(O549="Rupture",O549="À commander"),COUNTIF($O$5:O549,"Rupture")+COUNTIF($O$5:O549,"À commander"),"")</f>
        <v/>
      </c>
    </row>
    <row r="550">
      <c r="A550" s="37" t="n"/>
      <c r="B550" s="37" t="n"/>
      <c r="C550" s="37" t="n"/>
      <c r="D550" s="37" t="n"/>
      <c r="E550" s="37" t="n"/>
      <c r="F550" s="37" t="n"/>
      <c r="G550" s="38" t="n"/>
      <c r="H550" s="37" t="n"/>
      <c r="I550" s="37" t="n"/>
      <c r="J550" s="37" t="n"/>
      <c r="K550" s="39" t="str">
        <f>IF(A550="","",SUMIFS(mv_qty,mv_ref,A550,mv_type,"Entrée"))</f>
        <v/>
      </c>
      <c r="L550" s="39" t="str">
        <f>IF(A550="","",SUMIFS(mv_qty,mv_ref,A550,mv_type,"Sortie"))</f>
        <v/>
      </c>
      <c r="M550" s="39" t="str">
        <f>IF(A550="","",ROUND(N(H550)+K550-L550,6))</f>
        <v/>
      </c>
      <c r="N550" s="40" t="str">
        <f>IF(A550="","",M550*N(G550))</f>
        <v/>
      </c>
      <c r="O550" s="39" t="str">
        <f>IF(A550="","",IF(M550&lt;=0,"Rupture",IF(AND(I550&lt;&gt;"",M550&lt;=N(I550)),"À commander","OK")))</f>
        <v/>
      </c>
      <c r="P550" s="39" t="str">
        <f>IF(OR(A550="",O550="OK",J550=""),"",MAX(N(J550)-M550,0))</f>
        <v/>
      </c>
      <c r="Q550" s="39" t="str">
        <f>IF(A550="",IF(COUNTA(B550:J550)&gt;0,"Référence manquante",""),IF(COUNTIF($A$5:$A$1004,A550)&gt;1,"Référence en double",IF(B550="","Désignation manquante","OK")))</f>
        <v/>
      </c>
      <c r="R550" s="39" t="str">
        <f>IF(OR(O550="Rupture",O550="À commander"),COUNTIF($O$5:O550,"Rupture")+COUNTIF($O$5:O550,"À commander"),"")</f>
        <v/>
      </c>
    </row>
    <row r="551">
      <c r="A551" s="37" t="n"/>
      <c r="B551" s="37" t="n"/>
      <c r="C551" s="37" t="n"/>
      <c r="D551" s="37" t="n"/>
      <c r="E551" s="37" t="n"/>
      <c r="F551" s="37" t="n"/>
      <c r="G551" s="38" t="n"/>
      <c r="H551" s="37" t="n"/>
      <c r="I551" s="37" t="n"/>
      <c r="J551" s="37" t="n"/>
      <c r="K551" s="39" t="str">
        <f>IF(A551="","",SUMIFS(mv_qty,mv_ref,A551,mv_type,"Entrée"))</f>
        <v/>
      </c>
      <c r="L551" s="39" t="str">
        <f>IF(A551="","",SUMIFS(mv_qty,mv_ref,A551,mv_type,"Sortie"))</f>
        <v/>
      </c>
      <c r="M551" s="39" t="str">
        <f>IF(A551="","",ROUND(N(H551)+K551-L551,6))</f>
        <v/>
      </c>
      <c r="N551" s="40" t="str">
        <f>IF(A551="","",M551*N(G551))</f>
        <v/>
      </c>
      <c r="O551" s="39" t="str">
        <f>IF(A551="","",IF(M551&lt;=0,"Rupture",IF(AND(I551&lt;&gt;"",M551&lt;=N(I551)),"À commander","OK")))</f>
        <v/>
      </c>
      <c r="P551" s="39" t="str">
        <f>IF(OR(A551="",O551="OK",J551=""),"",MAX(N(J551)-M551,0))</f>
        <v/>
      </c>
      <c r="Q551" s="39" t="str">
        <f>IF(A551="",IF(COUNTA(B551:J551)&gt;0,"Référence manquante",""),IF(COUNTIF($A$5:$A$1004,A551)&gt;1,"Référence en double",IF(B551="","Désignation manquante","OK")))</f>
        <v/>
      </c>
      <c r="R551" s="39" t="str">
        <f>IF(OR(O551="Rupture",O551="À commander"),COUNTIF($O$5:O551,"Rupture")+COUNTIF($O$5:O551,"À commander"),"")</f>
        <v/>
      </c>
    </row>
    <row r="552">
      <c r="A552" s="37" t="n"/>
      <c r="B552" s="37" t="n"/>
      <c r="C552" s="37" t="n"/>
      <c r="D552" s="37" t="n"/>
      <c r="E552" s="37" t="n"/>
      <c r="F552" s="37" t="n"/>
      <c r="G552" s="38" t="n"/>
      <c r="H552" s="37" t="n"/>
      <c r="I552" s="37" t="n"/>
      <c r="J552" s="37" t="n"/>
      <c r="K552" s="39" t="str">
        <f>IF(A552="","",SUMIFS(mv_qty,mv_ref,A552,mv_type,"Entrée"))</f>
        <v/>
      </c>
      <c r="L552" s="39" t="str">
        <f>IF(A552="","",SUMIFS(mv_qty,mv_ref,A552,mv_type,"Sortie"))</f>
        <v/>
      </c>
      <c r="M552" s="39" t="str">
        <f>IF(A552="","",ROUND(N(H552)+K552-L552,6))</f>
        <v/>
      </c>
      <c r="N552" s="40" t="str">
        <f>IF(A552="","",M552*N(G552))</f>
        <v/>
      </c>
      <c r="O552" s="39" t="str">
        <f>IF(A552="","",IF(M552&lt;=0,"Rupture",IF(AND(I552&lt;&gt;"",M552&lt;=N(I552)),"À commander","OK")))</f>
        <v/>
      </c>
      <c r="P552" s="39" t="str">
        <f>IF(OR(A552="",O552="OK",J552=""),"",MAX(N(J552)-M552,0))</f>
        <v/>
      </c>
      <c r="Q552" s="39" t="str">
        <f>IF(A552="",IF(COUNTA(B552:J552)&gt;0,"Référence manquante",""),IF(COUNTIF($A$5:$A$1004,A552)&gt;1,"Référence en double",IF(B552="","Désignation manquante","OK")))</f>
        <v/>
      </c>
      <c r="R552" s="39" t="str">
        <f>IF(OR(O552="Rupture",O552="À commander"),COUNTIF($O$5:O552,"Rupture")+COUNTIF($O$5:O552,"À commander"),"")</f>
        <v/>
      </c>
    </row>
    <row r="553">
      <c r="A553" s="37" t="n"/>
      <c r="B553" s="37" t="n"/>
      <c r="C553" s="37" t="n"/>
      <c r="D553" s="37" t="n"/>
      <c r="E553" s="37" t="n"/>
      <c r="F553" s="37" t="n"/>
      <c r="G553" s="38" t="n"/>
      <c r="H553" s="37" t="n"/>
      <c r="I553" s="37" t="n"/>
      <c r="J553" s="37" t="n"/>
      <c r="K553" s="39" t="str">
        <f>IF(A553="","",SUMIFS(mv_qty,mv_ref,A553,mv_type,"Entrée"))</f>
        <v/>
      </c>
      <c r="L553" s="39" t="str">
        <f>IF(A553="","",SUMIFS(mv_qty,mv_ref,A553,mv_type,"Sortie"))</f>
        <v/>
      </c>
      <c r="M553" s="39" t="str">
        <f>IF(A553="","",ROUND(N(H553)+K553-L553,6))</f>
        <v/>
      </c>
      <c r="N553" s="40" t="str">
        <f>IF(A553="","",M553*N(G553))</f>
        <v/>
      </c>
      <c r="O553" s="39" t="str">
        <f>IF(A553="","",IF(M553&lt;=0,"Rupture",IF(AND(I553&lt;&gt;"",M553&lt;=N(I553)),"À commander","OK")))</f>
        <v/>
      </c>
      <c r="P553" s="39" t="str">
        <f>IF(OR(A553="",O553="OK",J553=""),"",MAX(N(J553)-M553,0))</f>
        <v/>
      </c>
      <c r="Q553" s="39" t="str">
        <f>IF(A553="",IF(COUNTA(B553:J553)&gt;0,"Référence manquante",""),IF(COUNTIF($A$5:$A$1004,A553)&gt;1,"Référence en double",IF(B553="","Désignation manquante","OK")))</f>
        <v/>
      </c>
      <c r="R553" s="39" t="str">
        <f>IF(OR(O553="Rupture",O553="À commander"),COUNTIF($O$5:O553,"Rupture")+COUNTIF($O$5:O553,"À commander"),"")</f>
        <v/>
      </c>
    </row>
    <row r="554">
      <c r="A554" s="37" t="n"/>
      <c r="B554" s="37" t="n"/>
      <c r="C554" s="37" t="n"/>
      <c r="D554" s="37" t="n"/>
      <c r="E554" s="37" t="n"/>
      <c r="F554" s="37" t="n"/>
      <c r="G554" s="38" t="n"/>
      <c r="H554" s="37" t="n"/>
      <c r="I554" s="37" t="n"/>
      <c r="J554" s="37" t="n"/>
      <c r="K554" s="39" t="str">
        <f>IF(A554="","",SUMIFS(mv_qty,mv_ref,A554,mv_type,"Entrée"))</f>
        <v/>
      </c>
      <c r="L554" s="39" t="str">
        <f>IF(A554="","",SUMIFS(mv_qty,mv_ref,A554,mv_type,"Sortie"))</f>
        <v/>
      </c>
      <c r="M554" s="39" t="str">
        <f>IF(A554="","",ROUND(N(H554)+K554-L554,6))</f>
        <v/>
      </c>
      <c r="N554" s="40" t="str">
        <f>IF(A554="","",M554*N(G554))</f>
        <v/>
      </c>
      <c r="O554" s="39" t="str">
        <f>IF(A554="","",IF(M554&lt;=0,"Rupture",IF(AND(I554&lt;&gt;"",M554&lt;=N(I554)),"À commander","OK")))</f>
        <v/>
      </c>
      <c r="P554" s="39" t="str">
        <f>IF(OR(A554="",O554="OK",J554=""),"",MAX(N(J554)-M554,0))</f>
        <v/>
      </c>
      <c r="Q554" s="39" t="str">
        <f>IF(A554="",IF(COUNTA(B554:J554)&gt;0,"Référence manquante",""),IF(COUNTIF($A$5:$A$1004,A554)&gt;1,"Référence en double",IF(B554="","Désignation manquante","OK")))</f>
        <v/>
      </c>
      <c r="R554" s="39" t="str">
        <f>IF(OR(O554="Rupture",O554="À commander"),COUNTIF($O$5:O554,"Rupture")+COUNTIF($O$5:O554,"À commander"),"")</f>
        <v/>
      </c>
    </row>
    <row r="555">
      <c r="A555" s="37" t="n"/>
      <c r="B555" s="37" t="n"/>
      <c r="C555" s="37" t="n"/>
      <c r="D555" s="37" t="n"/>
      <c r="E555" s="37" t="n"/>
      <c r="F555" s="37" t="n"/>
      <c r="G555" s="38" t="n"/>
      <c r="H555" s="37" t="n"/>
      <c r="I555" s="37" t="n"/>
      <c r="J555" s="37" t="n"/>
      <c r="K555" s="39" t="str">
        <f>IF(A555="","",SUMIFS(mv_qty,mv_ref,A555,mv_type,"Entrée"))</f>
        <v/>
      </c>
      <c r="L555" s="39" t="str">
        <f>IF(A555="","",SUMIFS(mv_qty,mv_ref,A555,mv_type,"Sortie"))</f>
        <v/>
      </c>
      <c r="M555" s="39" t="str">
        <f>IF(A555="","",ROUND(N(H555)+K555-L555,6))</f>
        <v/>
      </c>
      <c r="N555" s="40" t="str">
        <f>IF(A555="","",M555*N(G555))</f>
        <v/>
      </c>
      <c r="O555" s="39" t="str">
        <f>IF(A555="","",IF(M555&lt;=0,"Rupture",IF(AND(I555&lt;&gt;"",M555&lt;=N(I555)),"À commander","OK")))</f>
        <v/>
      </c>
      <c r="P555" s="39" t="str">
        <f>IF(OR(A555="",O555="OK",J555=""),"",MAX(N(J555)-M555,0))</f>
        <v/>
      </c>
      <c r="Q555" s="39" t="str">
        <f>IF(A555="",IF(COUNTA(B555:J555)&gt;0,"Référence manquante",""),IF(COUNTIF($A$5:$A$1004,A555)&gt;1,"Référence en double",IF(B555="","Désignation manquante","OK")))</f>
        <v/>
      </c>
      <c r="R555" s="39" t="str">
        <f>IF(OR(O555="Rupture",O555="À commander"),COUNTIF($O$5:O555,"Rupture")+COUNTIF($O$5:O555,"À commander"),"")</f>
        <v/>
      </c>
    </row>
    <row r="556">
      <c r="A556" s="37" t="n"/>
      <c r="B556" s="37" t="n"/>
      <c r="C556" s="37" t="n"/>
      <c r="D556" s="37" t="n"/>
      <c r="E556" s="37" t="n"/>
      <c r="F556" s="37" t="n"/>
      <c r="G556" s="38" t="n"/>
      <c r="H556" s="37" t="n"/>
      <c r="I556" s="37" t="n"/>
      <c r="J556" s="37" t="n"/>
      <c r="K556" s="39" t="str">
        <f>IF(A556="","",SUMIFS(mv_qty,mv_ref,A556,mv_type,"Entrée"))</f>
        <v/>
      </c>
      <c r="L556" s="39" t="str">
        <f>IF(A556="","",SUMIFS(mv_qty,mv_ref,A556,mv_type,"Sortie"))</f>
        <v/>
      </c>
      <c r="M556" s="39" t="str">
        <f>IF(A556="","",ROUND(N(H556)+K556-L556,6))</f>
        <v/>
      </c>
      <c r="N556" s="40" t="str">
        <f>IF(A556="","",M556*N(G556))</f>
        <v/>
      </c>
      <c r="O556" s="39" t="str">
        <f>IF(A556="","",IF(M556&lt;=0,"Rupture",IF(AND(I556&lt;&gt;"",M556&lt;=N(I556)),"À commander","OK")))</f>
        <v/>
      </c>
      <c r="P556" s="39" t="str">
        <f>IF(OR(A556="",O556="OK",J556=""),"",MAX(N(J556)-M556,0))</f>
        <v/>
      </c>
      <c r="Q556" s="39" t="str">
        <f>IF(A556="",IF(COUNTA(B556:J556)&gt;0,"Référence manquante",""),IF(COUNTIF($A$5:$A$1004,A556)&gt;1,"Référence en double",IF(B556="","Désignation manquante","OK")))</f>
        <v/>
      </c>
      <c r="R556" s="39" t="str">
        <f>IF(OR(O556="Rupture",O556="À commander"),COUNTIF($O$5:O556,"Rupture")+COUNTIF($O$5:O556,"À commander"),"")</f>
        <v/>
      </c>
    </row>
    <row r="557">
      <c r="A557" s="37" t="n"/>
      <c r="B557" s="37" t="n"/>
      <c r="C557" s="37" t="n"/>
      <c r="D557" s="37" t="n"/>
      <c r="E557" s="37" t="n"/>
      <c r="F557" s="37" t="n"/>
      <c r="G557" s="38" t="n"/>
      <c r="H557" s="37" t="n"/>
      <c r="I557" s="37" t="n"/>
      <c r="J557" s="37" t="n"/>
      <c r="K557" s="39" t="str">
        <f>IF(A557="","",SUMIFS(mv_qty,mv_ref,A557,mv_type,"Entrée"))</f>
        <v/>
      </c>
      <c r="L557" s="39" t="str">
        <f>IF(A557="","",SUMIFS(mv_qty,mv_ref,A557,mv_type,"Sortie"))</f>
        <v/>
      </c>
      <c r="M557" s="39" t="str">
        <f>IF(A557="","",ROUND(N(H557)+K557-L557,6))</f>
        <v/>
      </c>
      <c r="N557" s="40" t="str">
        <f>IF(A557="","",M557*N(G557))</f>
        <v/>
      </c>
      <c r="O557" s="39" t="str">
        <f>IF(A557="","",IF(M557&lt;=0,"Rupture",IF(AND(I557&lt;&gt;"",M557&lt;=N(I557)),"À commander","OK")))</f>
        <v/>
      </c>
      <c r="P557" s="39" t="str">
        <f>IF(OR(A557="",O557="OK",J557=""),"",MAX(N(J557)-M557,0))</f>
        <v/>
      </c>
      <c r="Q557" s="39" t="str">
        <f>IF(A557="",IF(COUNTA(B557:J557)&gt;0,"Référence manquante",""),IF(COUNTIF($A$5:$A$1004,A557)&gt;1,"Référence en double",IF(B557="","Désignation manquante","OK")))</f>
        <v/>
      </c>
      <c r="R557" s="39" t="str">
        <f>IF(OR(O557="Rupture",O557="À commander"),COUNTIF($O$5:O557,"Rupture")+COUNTIF($O$5:O557,"À commander"),"")</f>
        <v/>
      </c>
    </row>
    <row r="558">
      <c r="A558" s="37" t="n"/>
      <c r="B558" s="37" t="n"/>
      <c r="C558" s="37" t="n"/>
      <c r="D558" s="37" t="n"/>
      <c r="E558" s="37" t="n"/>
      <c r="F558" s="37" t="n"/>
      <c r="G558" s="38" t="n"/>
      <c r="H558" s="37" t="n"/>
      <c r="I558" s="37" t="n"/>
      <c r="J558" s="37" t="n"/>
      <c r="K558" s="39" t="str">
        <f>IF(A558="","",SUMIFS(mv_qty,mv_ref,A558,mv_type,"Entrée"))</f>
        <v/>
      </c>
      <c r="L558" s="39" t="str">
        <f>IF(A558="","",SUMIFS(mv_qty,mv_ref,A558,mv_type,"Sortie"))</f>
        <v/>
      </c>
      <c r="M558" s="39" t="str">
        <f>IF(A558="","",ROUND(N(H558)+K558-L558,6))</f>
        <v/>
      </c>
      <c r="N558" s="40" t="str">
        <f>IF(A558="","",M558*N(G558))</f>
        <v/>
      </c>
      <c r="O558" s="39" t="str">
        <f>IF(A558="","",IF(M558&lt;=0,"Rupture",IF(AND(I558&lt;&gt;"",M558&lt;=N(I558)),"À commander","OK")))</f>
        <v/>
      </c>
      <c r="P558" s="39" t="str">
        <f>IF(OR(A558="",O558="OK",J558=""),"",MAX(N(J558)-M558,0))</f>
        <v/>
      </c>
      <c r="Q558" s="39" t="str">
        <f>IF(A558="",IF(COUNTA(B558:J558)&gt;0,"Référence manquante",""),IF(COUNTIF($A$5:$A$1004,A558)&gt;1,"Référence en double",IF(B558="","Désignation manquante","OK")))</f>
        <v/>
      </c>
      <c r="R558" s="39" t="str">
        <f>IF(OR(O558="Rupture",O558="À commander"),COUNTIF($O$5:O558,"Rupture")+COUNTIF($O$5:O558,"À commander"),"")</f>
        <v/>
      </c>
    </row>
    <row r="559">
      <c r="A559" s="37" t="n"/>
      <c r="B559" s="37" t="n"/>
      <c r="C559" s="37" t="n"/>
      <c r="D559" s="37" t="n"/>
      <c r="E559" s="37" t="n"/>
      <c r="F559" s="37" t="n"/>
      <c r="G559" s="38" t="n"/>
      <c r="H559" s="37" t="n"/>
      <c r="I559" s="37" t="n"/>
      <c r="J559" s="37" t="n"/>
      <c r="K559" s="39" t="str">
        <f>IF(A559="","",SUMIFS(mv_qty,mv_ref,A559,mv_type,"Entrée"))</f>
        <v/>
      </c>
      <c r="L559" s="39" t="str">
        <f>IF(A559="","",SUMIFS(mv_qty,mv_ref,A559,mv_type,"Sortie"))</f>
        <v/>
      </c>
      <c r="M559" s="39" t="str">
        <f>IF(A559="","",ROUND(N(H559)+K559-L559,6))</f>
        <v/>
      </c>
      <c r="N559" s="40" t="str">
        <f>IF(A559="","",M559*N(G559))</f>
        <v/>
      </c>
      <c r="O559" s="39" t="str">
        <f>IF(A559="","",IF(M559&lt;=0,"Rupture",IF(AND(I559&lt;&gt;"",M559&lt;=N(I559)),"À commander","OK")))</f>
        <v/>
      </c>
      <c r="P559" s="39" t="str">
        <f>IF(OR(A559="",O559="OK",J559=""),"",MAX(N(J559)-M559,0))</f>
        <v/>
      </c>
      <c r="Q559" s="39" t="str">
        <f>IF(A559="",IF(COUNTA(B559:J559)&gt;0,"Référence manquante",""),IF(COUNTIF($A$5:$A$1004,A559)&gt;1,"Référence en double",IF(B559="","Désignation manquante","OK")))</f>
        <v/>
      </c>
      <c r="R559" s="39" t="str">
        <f>IF(OR(O559="Rupture",O559="À commander"),COUNTIF($O$5:O559,"Rupture")+COUNTIF($O$5:O559,"À commander"),"")</f>
        <v/>
      </c>
    </row>
    <row r="560">
      <c r="A560" s="37" t="n"/>
      <c r="B560" s="37" t="n"/>
      <c r="C560" s="37" t="n"/>
      <c r="D560" s="37" t="n"/>
      <c r="E560" s="37" t="n"/>
      <c r="F560" s="37" t="n"/>
      <c r="G560" s="38" t="n"/>
      <c r="H560" s="37" t="n"/>
      <c r="I560" s="37" t="n"/>
      <c r="J560" s="37" t="n"/>
      <c r="K560" s="39" t="str">
        <f>IF(A560="","",SUMIFS(mv_qty,mv_ref,A560,mv_type,"Entrée"))</f>
        <v/>
      </c>
      <c r="L560" s="39" t="str">
        <f>IF(A560="","",SUMIFS(mv_qty,mv_ref,A560,mv_type,"Sortie"))</f>
        <v/>
      </c>
      <c r="M560" s="39" t="str">
        <f>IF(A560="","",ROUND(N(H560)+K560-L560,6))</f>
        <v/>
      </c>
      <c r="N560" s="40" t="str">
        <f>IF(A560="","",M560*N(G560))</f>
        <v/>
      </c>
      <c r="O560" s="39" t="str">
        <f>IF(A560="","",IF(M560&lt;=0,"Rupture",IF(AND(I560&lt;&gt;"",M560&lt;=N(I560)),"À commander","OK")))</f>
        <v/>
      </c>
      <c r="P560" s="39" t="str">
        <f>IF(OR(A560="",O560="OK",J560=""),"",MAX(N(J560)-M560,0))</f>
        <v/>
      </c>
      <c r="Q560" s="39" t="str">
        <f>IF(A560="",IF(COUNTA(B560:J560)&gt;0,"Référence manquante",""),IF(COUNTIF($A$5:$A$1004,A560)&gt;1,"Référence en double",IF(B560="","Désignation manquante","OK")))</f>
        <v/>
      </c>
      <c r="R560" s="39" t="str">
        <f>IF(OR(O560="Rupture",O560="À commander"),COUNTIF($O$5:O560,"Rupture")+COUNTIF($O$5:O560,"À commander"),"")</f>
        <v/>
      </c>
    </row>
    <row r="561">
      <c r="A561" s="37" t="n"/>
      <c r="B561" s="37" t="n"/>
      <c r="C561" s="37" t="n"/>
      <c r="D561" s="37" t="n"/>
      <c r="E561" s="37" t="n"/>
      <c r="F561" s="37" t="n"/>
      <c r="G561" s="38" t="n"/>
      <c r="H561" s="37" t="n"/>
      <c r="I561" s="37" t="n"/>
      <c r="J561" s="37" t="n"/>
      <c r="K561" s="39" t="str">
        <f>IF(A561="","",SUMIFS(mv_qty,mv_ref,A561,mv_type,"Entrée"))</f>
        <v/>
      </c>
      <c r="L561" s="39" t="str">
        <f>IF(A561="","",SUMIFS(mv_qty,mv_ref,A561,mv_type,"Sortie"))</f>
        <v/>
      </c>
      <c r="M561" s="39" t="str">
        <f>IF(A561="","",ROUND(N(H561)+K561-L561,6))</f>
        <v/>
      </c>
      <c r="N561" s="40" t="str">
        <f>IF(A561="","",M561*N(G561))</f>
        <v/>
      </c>
      <c r="O561" s="39" t="str">
        <f>IF(A561="","",IF(M561&lt;=0,"Rupture",IF(AND(I561&lt;&gt;"",M561&lt;=N(I561)),"À commander","OK")))</f>
        <v/>
      </c>
      <c r="P561" s="39" t="str">
        <f>IF(OR(A561="",O561="OK",J561=""),"",MAX(N(J561)-M561,0))</f>
        <v/>
      </c>
      <c r="Q561" s="39" t="str">
        <f>IF(A561="",IF(COUNTA(B561:J561)&gt;0,"Référence manquante",""),IF(COUNTIF($A$5:$A$1004,A561)&gt;1,"Référence en double",IF(B561="","Désignation manquante","OK")))</f>
        <v/>
      </c>
      <c r="R561" s="39" t="str">
        <f>IF(OR(O561="Rupture",O561="À commander"),COUNTIF($O$5:O561,"Rupture")+COUNTIF($O$5:O561,"À commander"),"")</f>
        <v/>
      </c>
    </row>
    <row r="562">
      <c r="A562" s="37" t="n"/>
      <c r="B562" s="37" t="n"/>
      <c r="C562" s="37" t="n"/>
      <c r="D562" s="37" t="n"/>
      <c r="E562" s="37" t="n"/>
      <c r="F562" s="37" t="n"/>
      <c r="G562" s="38" t="n"/>
      <c r="H562" s="37" t="n"/>
      <c r="I562" s="37" t="n"/>
      <c r="J562" s="37" t="n"/>
      <c r="K562" s="39" t="str">
        <f>IF(A562="","",SUMIFS(mv_qty,mv_ref,A562,mv_type,"Entrée"))</f>
        <v/>
      </c>
      <c r="L562" s="39" t="str">
        <f>IF(A562="","",SUMIFS(mv_qty,mv_ref,A562,mv_type,"Sortie"))</f>
        <v/>
      </c>
      <c r="M562" s="39" t="str">
        <f>IF(A562="","",ROUND(N(H562)+K562-L562,6))</f>
        <v/>
      </c>
      <c r="N562" s="40" t="str">
        <f>IF(A562="","",M562*N(G562))</f>
        <v/>
      </c>
      <c r="O562" s="39" t="str">
        <f>IF(A562="","",IF(M562&lt;=0,"Rupture",IF(AND(I562&lt;&gt;"",M562&lt;=N(I562)),"À commander","OK")))</f>
        <v/>
      </c>
      <c r="P562" s="39" t="str">
        <f>IF(OR(A562="",O562="OK",J562=""),"",MAX(N(J562)-M562,0))</f>
        <v/>
      </c>
      <c r="Q562" s="39" t="str">
        <f>IF(A562="",IF(COUNTA(B562:J562)&gt;0,"Référence manquante",""),IF(COUNTIF($A$5:$A$1004,A562)&gt;1,"Référence en double",IF(B562="","Désignation manquante","OK")))</f>
        <v/>
      </c>
      <c r="R562" s="39" t="str">
        <f>IF(OR(O562="Rupture",O562="À commander"),COUNTIF($O$5:O562,"Rupture")+COUNTIF($O$5:O562,"À commander"),"")</f>
        <v/>
      </c>
    </row>
    <row r="563">
      <c r="A563" s="37" t="n"/>
      <c r="B563" s="37" t="n"/>
      <c r="C563" s="37" t="n"/>
      <c r="D563" s="37" t="n"/>
      <c r="E563" s="37" t="n"/>
      <c r="F563" s="37" t="n"/>
      <c r="G563" s="38" t="n"/>
      <c r="H563" s="37" t="n"/>
      <c r="I563" s="37" t="n"/>
      <c r="J563" s="37" t="n"/>
      <c r="K563" s="39" t="str">
        <f>IF(A563="","",SUMIFS(mv_qty,mv_ref,A563,mv_type,"Entrée"))</f>
        <v/>
      </c>
      <c r="L563" s="39" t="str">
        <f>IF(A563="","",SUMIFS(mv_qty,mv_ref,A563,mv_type,"Sortie"))</f>
        <v/>
      </c>
      <c r="M563" s="39" t="str">
        <f>IF(A563="","",ROUND(N(H563)+K563-L563,6))</f>
        <v/>
      </c>
      <c r="N563" s="40" t="str">
        <f>IF(A563="","",M563*N(G563))</f>
        <v/>
      </c>
      <c r="O563" s="39" t="str">
        <f>IF(A563="","",IF(M563&lt;=0,"Rupture",IF(AND(I563&lt;&gt;"",M563&lt;=N(I563)),"À commander","OK")))</f>
        <v/>
      </c>
      <c r="P563" s="39" t="str">
        <f>IF(OR(A563="",O563="OK",J563=""),"",MAX(N(J563)-M563,0))</f>
        <v/>
      </c>
      <c r="Q563" s="39" t="str">
        <f>IF(A563="",IF(COUNTA(B563:J563)&gt;0,"Référence manquante",""),IF(COUNTIF($A$5:$A$1004,A563)&gt;1,"Référence en double",IF(B563="","Désignation manquante","OK")))</f>
        <v/>
      </c>
      <c r="R563" s="39" t="str">
        <f>IF(OR(O563="Rupture",O563="À commander"),COUNTIF($O$5:O563,"Rupture")+COUNTIF($O$5:O563,"À commander"),"")</f>
        <v/>
      </c>
    </row>
    <row r="564">
      <c r="A564" s="37" t="n"/>
      <c r="B564" s="37" t="n"/>
      <c r="C564" s="37" t="n"/>
      <c r="D564" s="37" t="n"/>
      <c r="E564" s="37" t="n"/>
      <c r="F564" s="37" t="n"/>
      <c r="G564" s="38" t="n"/>
      <c r="H564" s="37" t="n"/>
      <c r="I564" s="37" t="n"/>
      <c r="J564" s="37" t="n"/>
      <c r="K564" s="39" t="str">
        <f>IF(A564="","",SUMIFS(mv_qty,mv_ref,A564,mv_type,"Entrée"))</f>
        <v/>
      </c>
      <c r="L564" s="39" t="str">
        <f>IF(A564="","",SUMIFS(mv_qty,mv_ref,A564,mv_type,"Sortie"))</f>
        <v/>
      </c>
      <c r="M564" s="39" t="str">
        <f>IF(A564="","",ROUND(N(H564)+K564-L564,6))</f>
        <v/>
      </c>
      <c r="N564" s="40" t="str">
        <f>IF(A564="","",M564*N(G564))</f>
        <v/>
      </c>
      <c r="O564" s="39" t="str">
        <f>IF(A564="","",IF(M564&lt;=0,"Rupture",IF(AND(I564&lt;&gt;"",M564&lt;=N(I564)),"À commander","OK")))</f>
        <v/>
      </c>
      <c r="P564" s="39" t="str">
        <f>IF(OR(A564="",O564="OK",J564=""),"",MAX(N(J564)-M564,0))</f>
        <v/>
      </c>
      <c r="Q564" s="39" t="str">
        <f>IF(A564="",IF(COUNTA(B564:J564)&gt;0,"Référence manquante",""),IF(COUNTIF($A$5:$A$1004,A564)&gt;1,"Référence en double",IF(B564="","Désignation manquante","OK")))</f>
        <v/>
      </c>
      <c r="R564" s="39" t="str">
        <f>IF(OR(O564="Rupture",O564="À commander"),COUNTIF($O$5:O564,"Rupture")+COUNTIF($O$5:O564,"À commander"),"")</f>
        <v/>
      </c>
    </row>
    <row r="565">
      <c r="A565" s="37" t="n"/>
      <c r="B565" s="37" t="n"/>
      <c r="C565" s="37" t="n"/>
      <c r="D565" s="37" t="n"/>
      <c r="E565" s="37" t="n"/>
      <c r="F565" s="37" t="n"/>
      <c r="G565" s="38" t="n"/>
      <c r="H565" s="37" t="n"/>
      <c r="I565" s="37" t="n"/>
      <c r="J565" s="37" t="n"/>
      <c r="K565" s="39" t="str">
        <f>IF(A565="","",SUMIFS(mv_qty,mv_ref,A565,mv_type,"Entrée"))</f>
        <v/>
      </c>
      <c r="L565" s="39" t="str">
        <f>IF(A565="","",SUMIFS(mv_qty,mv_ref,A565,mv_type,"Sortie"))</f>
        <v/>
      </c>
      <c r="M565" s="39" t="str">
        <f>IF(A565="","",ROUND(N(H565)+K565-L565,6))</f>
        <v/>
      </c>
      <c r="N565" s="40" t="str">
        <f>IF(A565="","",M565*N(G565))</f>
        <v/>
      </c>
      <c r="O565" s="39" t="str">
        <f>IF(A565="","",IF(M565&lt;=0,"Rupture",IF(AND(I565&lt;&gt;"",M565&lt;=N(I565)),"À commander","OK")))</f>
        <v/>
      </c>
      <c r="P565" s="39" t="str">
        <f>IF(OR(A565="",O565="OK",J565=""),"",MAX(N(J565)-M565,0))</f>
        <v/>
      </c>
      <c r="Q565" s="39" t="str">
        <f>IF(A565="",IF(COUNTA(B565:J565)&gt;0,"Référence manquante",""),IF(COUNTIF($A$5:$A$1004,A565)&gt;1,"Référence en double",IF(B565="","Désignation manquante","OK")))</f>
        <v/>
      </c>
      <c r="R565" s="39" t="str">
        <f>IF(OR(O565="Rupture",O565="À commander"),COUNTIF($O$5:O565,"Rupture")+COUNTIF($O$5:O565,"À commander"),"")</f>
        <v/>
      </c>
    </row>
    <row r="566">
      <c r="A566" s="37" t="n"/>
      <c r="B566" s="37" t="n"/>
      <c r="C566" s="37" t="n"/>
      <c r="D566" s="37" t="n"/>
      <c r="E566" s="37" t="n"/>
      <c r="F566" s="37" t="n"/>
      <c r="G566" s="38" t="n"/>
      <c r="H566" s="37" t="n"/>
      <c r="I566" s="37" t="n"/>
      <c r="J566" s="37" t="n"/>
      <c r="K566" s="39" t="str">
        <f>IF(A566="","",SUMIFS(mv_qty,mv_ref,A566,mv_type,"Entrée"))</f>
        <v/>
      </c>
      <c r="L566" s="39" t="str">
        <f>IF(A566="","",SUMIFS(mv_qty,mv_ref,A566,mv_type,"Sortie"))</f>
        <v/>
      </c>
      <c r="M566" s="39" t="str">
        <f>IF(A566="","",ROUND(N(H566)+K566-L566,6))</f>
        <v/>
      </c>
      <c r="N566" s="40" t="str">
        <f>IF(A566="","",M566*N(G566))</f>
        <v/>
      </c>
      <c r="O566" s="39" t="str">
        <f>IF(A566="","",IF(M566&lt;=0,"Rupture",IF(AND(I566&lt;&gt;"",M566&lt;=N(I566)),"À commander","OK")))</f>
        <v/>
      </c>
      <c r="P566" s="39" t="str">
        <f>IF(OR(A566="",O566="OK",J566=""),"",MAX(N(J566)-M566,0))</f>
        <v/>
      </c>
      <c r="Q566" s="39" t="str">
        <f>IF(A566="",IF(COUNTA(B566:J566)&gt;0,"Référence manquante",""),IF(COUNTIF($A$5:$A$1004,A566)&gt;1,"Référence en double",IF(B566="","Désignation manquante","OK")))</f>
        <v/>
      </c>
      <c r="R566" s="39" t="str">
        <f>IF(OR(O566="Rupture",O566="À commander"),COUNTIF($O$5:O566,"Rupture")+COUNTIF($O$5:O566,"À commander"),"")</f>
        <v/>
      </c>
    </row>
    <row r="567">
      <c r="A567" s="37" t="n"/>
      <c r="B567" s="37" t="n"/>
      <c r="C567" s="37" t="n"/>
      <c r="D567" s="37" t="n"/>
      <c r="E567" s="37" t="n"/>
      <c r="F567" s="37" t="n"/>
      <c r="G567" s="38" t="n"/>
      <c r="H567" s="37" t="n"/>
      <c r="I567" s="37" t="n"/>
      <c r="J567" s="37" t="n"/>
      <c r="K567" s="39" t="str">
        <f>IF(A567="","",SUMIFS(mv_qty,mv_ref,A567,mv_type,"Entrée"))</f>
        <v/>
      </c>
      <c r="L567" s="39" t="str">
        <f>IF(A567="","",SUMIFS(mv_qty,mv_ref,A567,mv_type,"Sortie"))</f>
        <v/>
      </c>
      <c r="M567" s="39" t="str">
        <f>IF(A567="","",ROUND(N(H567)+K567-L567,6))</f>
        <v/>
      </c>
      <c r="N567" s="40" t="str">
        <f>IF(A567="","",M567*N(G567))</f>
        <v/>
      </c>
      <c r="O567" s="39" t="str">
        <f>IF(A567="","",IF(M567&lt;=0,"Rupture",IF(AND(I567&lt;&gt;"",M567&lt;=N(I567)),"À commander","OK")))</f>
        <v/>
      </c>
      <c r="P567" s="39" t="str">
        <f>IF(OR(A567="",O567="OK",J567=""),"",MAX(N(J567)-M567,0))</f>
        <v/>
      </c>
      <c r="Q567" s="39" t="str">
        <f>IF(A567="",IF(COUNTA(B567:J567)&gt;0,"Référence manquante",""),IF(COUNTIF($A$5:$A$1004,A567)&gt;1,"Référence en double",IF(B567="","Désignation manquante","OK")))</f>
        <v/>
      </c>
      <c r="R567" s="39" t="str">
        <f>IF(OR(O567="Rupture",O567="À commander"),COUNTIF($O$5:O567,"Rupture")+COUNTIF($O$5:O567,"À commander"),"")</f>
        <v/>
      </c>
    </row>
    <row r="568">
      <c r="A568" s="37" t="n"/>
      <c r="B568" s="37" t="n"/>
      <c r="C568" s="37" t="n"/>
      <c r="D568" s="37" t="n"/>
      <c r="E568" s="37" t="n"/>
      <c r="F568" s="37" t="n"/>
      <c r="G568" s="38" t="n"/>
      <c r="H568" s="37" t="n"/>
      <c r="I568" s="37" t="n"/>
      <c r="J568" s="37" t="n"/>
      <c r="K568" s="39" t="str">
        <f>IF(A568="","",SUMIFS(mv_qty,mv_ref,A568,mv_type,"Entrée"))</f>
        <v/>
      </c>
      <c r="L568" s="39" t="str">
        <f>IF(A568="","",SUMIFS(mv_qty,mv_ref,A568,mv_type,"Sortie"))</f>
        <v/>
      </c>
      <c r="M568" s="39" t="str">
        <f>IF(A568="","",ROUND(N(H568)+K568-L568,6))</f>
        <v/>
      </c>
      <c r="N568" s="40" t="str">
        <f>IF(A568="","",M568*N(G568))</f>
        <v/>
      </c>
      <c r="O568" s="39" t="str">
        <f>IF(A568="","",IF(M568&lt;=0,"Rupture",IF(AND(I568&lt;&gt;"",M568&lt;=N(I568)),"À commander","OK")))</f>
        <v/>
      </c>
      <c r="P568" s="39" t="str">
        <f>IF(OR(A568="",O568="OK",J568=""),"",MAX(N(J568)-M568,0))</f>
        <v/>
      </c>
      <c r="Q568" s="39" t="str">
        <f>IF(A568="",IF(COUNTA(B568:J568)&gt;0,"Référence manquante",""),IF(COUNTIF($A$5:$A$1004,A568)&gt;1,"Référence en double",IF(B568="","Désignation manquante","OK")))</f>
        <v/>
      </c>
      <c r="R568" s="39" t="str">
        <f>IF(OR(O568="Rupture",O568="À commander"),COUNTIF($O$5:O568,"Rupture")+COUNTIF($O$5:O568,"À commander"),"")</f>
        <v/>
      </c>
    </row>
    <row r="569">
      <c r="A569" s="37" t="n"/>
      <c r="B569" s="37" t="n"/>
      <c r="C569" s="37" t="n"/>
      <c r="D569" s="37" t="n"/>
      <c r="E569" s="37" t="n"/>
      <c r="F569" s="37" t="n"/>
      <c r="G569" s="38" t="n"/>
      <c r="H569" s="37" t="n"/>
      <c r="I569" s="37" t="n"/>
      <c r="J569" s="37" t="n"/>
      <c r="K569" s="39" t="str">
        <f>IF(A569="","",SUMIFS(mv_qty,mv_ref,A569,mv_type,"Entrée"))</f>
        <v/>
      </c>
      <c r="L569" s="39" t="str">
        <f>IF(A569="","",SUMIFS(mv_qty,mv_ref,A569,mv_type,"Sortie"))</f>
        <v/>
      </c>
      <c r="M569" s="39" t="str">
        <f>IF(A569="","",ROUND(N(H569)+K569-L569,6))</f>
        <v/>
      </c>
      <c r="N569" s="40" t="str">
        <f>IF(A569="","",M569*N(G569))</f>
        <v/>
      </c>
      <c r="O569" s="39" t="str">
        <f>IF(A569="","",IF(M569&lt;=0,"Rupture",IF(AND(I569&lt;&gt;"",M569&lt;=N(I569)),"À commander","OK")))</f>
        <v/>
      </c>
      <c r="P569" s="39" t="str">
        <f>IF(OR(A569="",O569="OK",J569=""),"",MAX(N(J569)-M569,0))</f>
        <v/>
      </c>
      <c r="Q569" s="39" t="str">
        <f>IF(A569="",IF(COUNTA(B569:J569)&gt;0,"Référence manquante",""),IF(COUNTIF($A$5:$A$1004,A569)&gt;1,"Référence en double",IF(B569="","Désignation manquante","OK")))</f>
        <v/>
      </c>
      <c r="R569" s="39" t="str">
        <f>IF(OR(O569="Rupture",O569="À commander"),COUNTIF($O$5:O569,"Rupture")+COUNTIF($O$5:O569,"À commander"),"")</f>
        <v/>
      </c>
    </row>
    <row r="570">
      <c r="A570" s="37" t="n"/>
      <c r="B570" s="37" t="n"/>
      <c r="C570" s="37" t="n"/>
      <c r="D570" s="37" t="n"/>
      <c r="E570" s="37" t="n"/>
      <c r="F570" s="37" t="n"/>
      <c r="G570" s="38" t="n"/>
      <c r="H570" s="37" t="n"/>
      <c r="I570" s="37" t="n"/>
      <c r="J570" s="37" t="n"/>
      <c r="K570" s="39" t="str">
        <f>IF(A570="","",SUMIFS(mv_qty,mv_ref,A570,mv_type,"Entrée"))</f>
        <v/>
      </c>
      <c r="L570" s="39" t="str">
        <f>IF(A570="","",SUMIFS(mv_qty,mv_ref,A570,mv_type,"Sortie"))</f>
        <v/>
      </c>
      <c r="M570" s="39" t="str">
        <f>IF(A570="","",ROUND(N(H570)+K570-L570,6))</f>
        <v/>
      </c>
      <c r="N570" s="40" t="str">
        <f>IF(A570="","",M570*N(G570))</f>
        <v/>
      </c>
      <c r="O570" s="39" t="str">
        <f>IF(A570="","",IF(M570&lt;=0,"Rupture",IF(AND(I570&lt;&gt;"",M570&lt;=N(I570)),"À commander","OK")))</f>
        <v/>
      </c>
      <c r="P570" s="39" t="str">
        <f>IF(OR(A570="",O570="OK",J570=""),"",MAX(N(J570)-M570,0))</f>
        <v/>
      </c>
      <c r="Q570" s="39" t="str">
        <f>IF(A570="",IF(COUNTA(B570:J570)&gt;0,"Référence manquante",""),IF(COUNTIF($A$5:$A$1004,A570)&gt;1,"Référence en double",IF(B570="","Désignation manquante","OK")))</f>
        <v/>
      </c>
      <c r="R570" s="39" t="str">
        <f>IF(OR(O570="Rupture",O570="À commander"),COUNTIF($O$5:O570,"Rupture")+COUNTIF($O$5:O570,"À commander"),"")</f>
        <v/>
      </c>
    </row>
    <row r="571">
      <c r="A571" s="37" t="n"/>
      <c r="B571" s="37" t="n"/>
      <c r="C571" s="37" t="n"/>
      <c r="D571" s="37" t="n"/>
      <c r="E571" s="37" t="n"/>
      <c r="F571" s="37" t="n"/>
      <c r="G571" s="38" t="n"/>
      <c r="H571" s="37" t="n"/>
      <c r="I571" s="37" t="n"/>
      <c r="J571" s="37" t="n"/>
      <c r="K571" s="39" t="str">
        <f>IF(A571="","",SUMIFS(mv_qty,mv_ref,A571,mv_type,"Entrée"))</f>
        <v/>
      </c>
      <c r="L571" s="39" t="str">
        <f>IF(A571="","",SUMIFS(mv_qty,mv_ref,A571,mv_type,"Sortie"))</f>
        <v/>
      </c>
      <c r="M571" s="39" t="str">
        <f>IF(A571="","",ROUND(N(H571)+K571-L571,6))</f>
        <v/>
      </c>
      <c r="N571" s="40" t="str">
        <f>IF(A571="","",M571*N(G571))</f>
        <v/>
      </c>
      <c r="O571" s="39" t="str">
        <f>IF(A571="","",IF(M571&lt;=0,"Rupture",IF(AND(I571&lt;&gt;"",M571&lt;=N(I571)),"À commander","OK")))</f>
        <v/>
      </c>
      <c r="P571" s="39" t="str">
        <f>IF(OR(A571="",O571="OK",J571=""),"",MAX(N(J571)-M571,0))</f>
        <v/>
      </c>
      <c r="Q571" s="39" t="str">
        <f>IF(A571="",IF(COUNTA(B571:J571)&gt;0,"Référence manquante",""),IF(COUNTIF($A$5:$A$1004,A571)&gt;1,"Référence en double",IF(B571="","Désignation manquante","OK")))</f>
        <v/>
      </c>
      <c r="R571" s="39" t="str">
        <f>IF(OR(O571="Rupture",O571="À commander"),COUNTIF($O$5:O571,"Rupture")+COUNTIF($O$5:O571,"À commander"),"")</f>
        <v/>
      </c>
    </row>
    <row r="572">
      <c r="A572" s="37" t="n"/>
      <c r="B572" s="37" t="n"/>
      <c r="C572" s="37" t="n"/>
      <c r="D572" s="37" t="n"/>
      <c r="E572" s="37" t="n"/>
      <c r="F572" s="37" t="n"/>
      <c r="G572" s="38" t="n"/>
      <c r="H572" s="37" t="n"/>
      <c r="I572" s="37" t="n"/>
      <c r="J572" s="37" t="n"/>
      <c r="K572" s="39" t="str">
        <f>IF(A572="","",SUMIFS(mv_qty,mv_ref,A572,mv_type,"Entrée"))</f>
        <v/>
      </c>
      <c r="L572" s="39" t="str">
        <f>IF(A572="","",SUMIFS(mv_qty,mv_ref,A572,mv_type,"Sortie"))</f>
        <v/>
      </c>
      <c r="M572" s="39" t="str">
        <f>IF(A572="","",ROUND(N(H572)+K572-L572,6))</f>
        <v/>
      </c>
      <c r="N572" s="40" t="str">
        <f>IF(A572="","",M572*N(G572))</f>
        <v/>
      </c>
      <c r="O572" s="39" t="str">
        <f>IF(A572="","",IF(M572&lt;=0,"Rupture",IF(AND(I572&lt;&gt;"",M572&lt;=N(I572)),"À commander","OK")))</f>
        <v/>
      </c>
      <c r="P572" s="39" t="str">
        <f>IF(OR(A572="",O572="OK",J572=""),"",MAX(N(J572)-M572,0))</f>
        <v/>
      </c>
      <c r="Q572" s="39" t="str">
        <f>IF(A572="",IF(COUNTA(B572:J572)&gt;0,"Référence manquante",""),IF(COUNTIF($A$5:$A$1004,A572)&gt;1,"Référence en double",IF(B572="","Désignation manquante","OK")))</f>
        <v/>
      </c>
      <c r="R572" s="39" t="str">
        <f>IF(OR(O572="Rupture",O572="À commander"),COUNTIF($O$5:O572,"Rupture")+COUNTIF($O$5:O572,"À commander"),"")</f>
        <v/>
      </c>
    </row>
    <row r="573">
      <c r="A573" s="37" t="n"/>
      <c r="B573" s="37" t="n"/>
      <c r="C573" s="37" t="n"/>
      <c r="D573" s="37" t="n"/>
      <c r="E573" s="37" t="n"/>
      <c r="F573" s="37" t="n"/>
      <c r="G573" s="38" t="n"/>
      <c r="H573" s="37" t="n"/>
      <c r="I573" s="37" t="n"/>
      <c r="J573" s="37" t="n"/>
      <c r="K573" s="39" t="str">
        <f>IF(A573="","",SUMIFS(mv_qty,mv_ref,A573,mv_type,"Entrée"))</f>
        <v/>
      </c>
      <c r="L573" s="39" t="str">
        <f>IF(A573="","",SUMIFS(mv_qty,mv_ref,A573,mv_type,"Sortie"))</f>
        <v/>
      </c>
      <c r="M573" s="39" t="str">
        <f>IF(A573="","",ROUND(N(H573)+K573-L573,6))</f>
        <v/>
      </c>
      <c r="N573" s="40" t="str">
        <f>IF(A573="","",M573*N(G573))</f>
        <v/>
      </c>
      <c r="O573" s="39" t="str">
        <f>IF(A573="","",IF(M573&lt;=0,"Rupture",IF(AND(I573&lt;&gt;"",M573&lt;=N(I573)),"À commander","OK")))</f>
        <v/>
      </c>
      <c r="P573" s="39" t="str">
        <f>IF(OR(A573="",O573="OK",J573=""),"",MAX(N(J573)-M573,0))</f>
        <v/>
      </c>
      <c r="Q573" s="39" t="str">
        <f>IF(A573="",IF(COUNTA(B573:J573)&gt;0,"Référence manquante",""),IF(COUNTIF($A$5:$A$1004,A573)&gt;1,"Référence en double",IF(B573="","Désignation manquante","OK")))</f>
        <v/>
      </c>
      <c r="R573" s="39" t="str">
        <f>IF(OR(O573="Rupture",O573="À commander"),COUNTIF($O$5:O573,"Rupture")+COUNTIF($O$5:O573,"À commander"),"")</f>
        <v/>
      </c>
    </row>
    <row r="574">
      <c r="A574" s="37" t="n"/>
      <c r="B574" s="37" t="n"/>
      <c r="C574" s="37" t="n"/>
      <c r="D574" s="37" t="n"/>
      <c r="E574" s="37" t="n"/>
      <c r="F574" s="37" t="n"/>
      <c r="G574" s="38" t="n"/>
      <c r="H574" s="37" t="n"/>
      <c r="I574" s="37" t="n"/>
      <c r="J574" s="37" t="n"/>
      <c r="K574" s="39" t="str">
        <f>IF(A574="","",SUMIFS(mv_qty,mv_ref,A574,mv_type,"Entrée"))</f>
        <v/>
      </c>
      <c r="L574" s="39" t="str">
        <f>IF(A574="","",SUMIFS(mv_qty,mv_ref,A574,mv_type,"Sortie"))</f>
        <v/>
      </c>
      <c r="M574" s="39" t="str">
        <f>IF(A574="","",ROUND(N(H574)+K574-L574,6))</f>
        <v/>
      </c>
      <c r="N574" s="40" t="str">
        <f>IF(A574="","",M574*N(G574))</f>
        <v/>
      </c>
      <c r="O574" s="39" t="str">
        <f>IF(A574="","",IF(M574&lt;=0,"Rupture",IF(AND(I574&lt;&gt;"",M574&lt;=N(I574)),"À commander","OK")))</f>
        <v/>
      </c>
      <c r="P574" s="39" t="str">
        <f>IF(OR(A574="",O574="OK",J574=""),"",MAX(N(J574)-M574,0))</f>
        <v/>
      </c>
      <c r="Q574" s="39" t="str">
        <f>IF(A574="",IF(COUNTA(B574:J574)&gt;0,"Référence manquante",""),IF(COUNTIF($A$5:$A$1004,A574)&gt;1,"Référence en double",IF(B574="","Désignation manquante","OK")))</f>
        <v/>
      </c>
      <c r="R574" s="39" t="str">
        <f>IF(OR(O574="Rupture",O574="À commander"),COUNTIF($O$5:O574,"Rupture")+COUNTIF($O$5:O574,"À commander"),"")</f>
        <v/>
      </c>
    </row>
    <row r="575">
      <c r="A575" s="37" t="n"/>
      <c r="B575" s="37" t="n"/>
      <c r="C575" s="37" t="n"/>
      <c r="D575" s="37" t="n"/>
      <c r="E575" s="37" t="n"/>
      <c r="F575" s="37" t="n"/>
      <c r="G575" s="38" t="n"/>
      <c r="H575" s="37" t="n"/>
      <c r="I575" s="37" t="n"/>
      <c r="J575" s="37" t="n"/>
      <c r="K575" s="39" t="str">
        <f>IF(A575="","",SUMIFS(mv_qty,mv_ref,A575,mv_type,"Entrée"))</f>
        <v/>
      </c>
      <c r="L575" s="39" t="str">
        <f>IF(A575="","",SUMIFS(mv_qty,mv_ref,A575,mv_type,"Sortie"))</f>
        <v/>
      </c>
      <c r="M575" s="39" t="str">
        <f>IF(A575="","",ROUND(N(H575)+K575-L575,6))</f>
        <v/>
      </c>
      <c r="N575" s="40" t="str">
        <f>IF(A575="","",M575*N(G575))</f>
        <v/>
      </c>
      <c r="O575" s="39" t="str">
        <f>IF(A575="","",IF(M575&lt;=0,"Rupture",IF(AND(I575&lt;&gt;"",M575&lt;=N(I575)),"À commander","OK")))</f>
        <v/>
      </c>
      <c r="P575" s="39" t="str">
        <f>IF(OR(A575="",O575="OK",J575=""),"",MAX(N(J575)-M575,0))</f>
        <v/>
      </c>
      <c r="Q575" s="39" t="str">
        <f>IF(A575="",IF(COUNTA(B575:J575)&gt;0,"Référence manquante",""),IF(COUNTIF($A$5:$A$1004,A575)&gt;1,"Référence en double",IF(B575="","Désignation manquante","OK")))</f>
        <v/>
      </c>
      <c r="R575" s="39" t="str">
        <f>IF(OR(O575="Rupture",O575="À commander"),COUNTIF($O$5:O575,"Rupture")+COUNTIF($O$5:O575,"À commander"),"")</f>
        <v/>
      </c>
    </row>
    <row r="576">
      <c r="A576" s="37" t="n"/>
      <c r="B576" s="37" t="n"/>
      <c r="C576" s="37" t="n"/>
      <c r="D576" s="37" t="n"/>
      <c r="E576" s="37" t="n"/>
      <c r="F576" s="37" t="n"/>
      <c r="G576" s="38" t="n"/>
      <c r="H576" s="37" t="n"/>
      <c r="I576" s="37" t="n"/>
      <c r="J576" s="37" t="n"/>
      <c r="K576" s="39" t="str">
        <f>IF(A576="","",SUMIFS(mv_qty,mv_ref,A576,mv_type,"Entrée"))</f>
        <v/>
      </c>
      <c r="L576" s="39" t="str">
        <f>IF(A576="","",SUMIFS(mv_qty,mv_ref,A576,mv_type,"Sortie"))</f>
        <v/>
      </c>
      <c r="M576" s="39" t="str">
        <f>IF(A576="","",ROUND(N(H576)+K576-L576,6))</f>
        <v/>
      </c>
      <c r="N576" s="40" t="str">
        <f>IF(A576="","",M576*N(G576))</f>
        <v/>
      </c>
      <c r="O576" s="39" t="str">
        <f>IF(A576="","",IF(M576&lt;=0,"Rupture",IF(AND(I576&lt;&gt;"",M576&lt;=N(I576)),"À commander","OK")))</f>
        <v/>
      </c>
      <c r="P576" s="39" t="str">
        <f>IF(OR(A576="",O576="OK",J576=""),"",MAX(N(J576)-M576,0))</f>
        <v/>
      </c>
      <c r="Q576" s="39" t="str">
        <f>IF(A576="",IF(COUNTA(B576:J576)&gt;0,"Référence manquante",""),IF(COUNTIF($A$5:$A$1004,A576)&gt;1,"Référence en double",IF(B576="","Désignation manquante","OK")))</f>
        <v/>
      </c>
      <c r="R576" s="39" t="str">
        <f>IF(OR(O576="Rupture",O576="À commander"),COUNTIF($O$5:O576,"Rupture")+COUNTIF($O$5:O576,"À commander"),"")</f>
        <v/>
      </c>
    </row>
    <row r="577">
      <c r="A577" s="37" t="n"/>
      <c r="B577" s="37" t="n"/>
      <c r="C577" s="37" t="n"/>
      <c r="D577" s="37" t="n"/>
      <c r="E577" s="37" t="n"/>
      <c r="F577" s="37" t="n"/>
      <c r="G577" s="38" t="n"/>
      <c r="H577" s="37" t="n"/>
      <c r="I577" s="37" t="n"/>
      <c r="J577" s="37" t="n"/>
      <c r="K577" s="39" t="str">
        <f>IF(A577="","",SUMIFS(mv_qty,mv_ref,A577,mv_type,"Entrée"))</f>
        <v/>
      </c>
      <c r="L577" s="39" t="str">
        <f>IF(A577="","",SUMIFS(mv_qty,mv_ref,A577,mv_type,"Sortie"))</f>
        <v/>
      </c>
      <c r="M577" s="39" t="str">
        <f>IF(A577="","",ROUND(N(H577)+K577-L577,6))</f>
        <v/>
      </c>
      <c r="N577" s="40" t="str">
        <f>IF(A577="","",M577*N(G577))</f>
        <v/>
      </c>
      <c r="O577" s="39" t="str">
        <f>IF(A577="","",IF(M577&lt;=0,"Rupture",IF(AND(I577&lt;&gt;"",M577&lt;=N(I577)),"À commander","OK")))</f>
        <v/>
      </c>
      <c r="P577" s="39" t="str">
        <f>IF(OR(A577="",O577="OK",J577=""),"",MAX(N(J577)-M577,0))</f>
        <v/>
      </c>
      <c r="Q577" s="39" t="str">
        <f>IF(A577="",IF(COUNTA(B577:J577)&gt;0,"Référence manquante",""),IF(COUNTIF($A$5:$A$1004,A577)&gt;1,"Référence en double",IF(B577="","Désignation manquante","OK")))</f>
        <v/>
      </c>
      <c r="R577" s="39" t="str">
        <f>IF(OR(O577="Rupture",O577="À commander"),COUNTIF($O$5:O577,"Rupture")+COUNTIF($O$5:O577,"À commander"),"")</f>
        <v/>
      </c>
    </row>
    <row r="578">
      <c r="A578" s="37" t="n"/>
      <c r="B578" s="37" t="n"/>
      <c r="C578" s="37" t="n"/>
      <c r="D578" s="37" t="n"/>
      <c r="E578" s="37" t="n"/>
      <c r="F578" s="37" t="n"/>
      <c r="G578" s="38" t="n"/>
      <c r="H578" s="37" t="n"/>
      <c r="I578" s="37" t="n"/>
      <c r="J578" s="37" t="n"/>
      <c r="K578" s="39" t="str">
        <f>IF(A578="","",SUMIFS(mv_qty,mv_ref,A578,mv_type,"Entrée"))</f>
        <v/>
      </c>
      <c r="L578" s="39" t="str">
        <f>IF(A578="","",SUMIFS(mv_qty,mv_ref,A578,mv_type,"Sortie"))</f>
        <v/>
      </c>
      <c r="M578" s="39" t="str">
        <f>IF(A578="","",ROUND(N(H578)+K578-L578,6))</f>
        <v/>
      </c>
      <c r="N578" s="40" t="str">
        <f>IF(A578="","",M578*N(G578))</f>
        <v/>
      </c>
      <c r="O578" s="39" t="str">
        <f>IF(A578="","",IF(M578&lt;=0,"Rupture",IF(AND(I578&lt;&gt;"",M578&lt;=N(I578)),"À commander","OK")))</f>
        <v/>
      </c>
      <c r="P578" s="39" t="str">
        <f>IF(OR(A578="",O578="OK",J578=""),"",MAX(N(J578)-M578,0))</f>
        <v/>
      </c>
      <c r="Q578" s="39" t="str">
        <f>IF(A578="",IF(COUNTA(B578:J578)&gt;0,"Référence manquante",""),IF(COUNTIF($A$5:$A$1004,A578)&gt;1,"Référence en double",IF(B578="","Désignation manquante","OK")))</f>
        <v/>
      </c>
      <c r="R578" s="39" t="str">
        <f>IF(OR(O578="Rupture",O578="À commander"),COUNTIF($O$5:O578,"Rupture")+COUNTIF($O$5:O578,"À commander"),"")</f>
        <v/>
      </c>
    </row>
    <row r="579">
      <c r="A579" s="37" t="n"/>
      <c r="B579" s="37" t="n"/>
      <c r="C579" s="37" t="n"/>
      <c r="D579" s="37" t="n"/>
      <c r="E579" s="37" t="n"/>
      <c r="F579" s="37" t="n"/>
      <c r="G579" s="38" t="n"/>
      <c r="H579" s="37" t="n"/>
      <c r="I579" s="37" t="n"/>
      <c r="J579" s="37" t="n"/>
      <c r="K579" s="39" t="str">
        <f>IF(A579="","",SUMIFS(mv_qty,mv_ref,A579,mv_type,"Entrée"))</f>
        <v/>
      </c>
      <c r="L579" s="39" t="str">
        <f>IF(A579="","",SUMIFS(mv_qty,mv_ref,A579,mv_type,"Sortie"))</f>
        <v/>
      </c>
      <c r="M579" s="39" t="str">
        <f>IF(A579="","",ROUND(N(H579)+K579-L579,6))</f>
        <v/>
      </c>
      <c r="N579" s="40" t="str">
        <f>IF(A579="","",M579*N(G579))</f>
        <v/>
      </c>
      <c r="O579" s="39" t="str">
        <f>IF(A579="","",IF(M579&lt;=0,"Rupture",IF(AND(I579&lt;&gt;"",M579&lt;=N(I579)),"À commander","OK")))</f>
        <v/>
      </c>
      <c r="P579" s="39" t="str">
        <f>IF(OR(A579="",O579="OK",J579=""),"",MAX(N(J579)-M579,0))</f>
        <v/>
      </c>
      <c r="Q579" s="39" t="str">
        <f>IF(A579="",IF(COUNTA(B579:J579)&gt;0,"Référence manquante",""),IF(COUNTIF($A$5:$A$1004,A579)&gt;1,"Référence en double",IF(B579="","Désignation manquante","OK")))</f>
        <v/>
      </c>
      <c r="R579" s="39" t="str">
        <f>IF(OR(O579="Rupture",O579="À commander"),COUNTIF($O$5:O579,"Rupture")+COUNTIF($O$5:O579,"À commander"),"")</f>
        <v/>
      </c>
    </row>
    <row r="580">
      <c r="A580" s="37" t="n"/>
      <c r="B580" s="37" t="n"/>
      <c r="C580" s="37" t="n"/>
      <c r="D580" s="37" t="n"/>
      <c r="E580" s="37" t="n"/>
      <c r="F580" s="37" t="n"/>
      <c r="G580" s="38" t="n"/>
      <c r="H580" s="37" t="n"/>
      <c r="I580" s="37" t="n"/>
      <c r="J580" s="37" t="n"/>
      <c r="K580" s="39" t="str">
        <f>IF(A580="","",SUMIFS(mv_qty,mv_ref,A580,mv_type,"Entrée"))</f>
        <v/>
      </c>
      <c r="L580" s="39" t="str">
        <f>IF(A580="","",SUMIFS(mv_qty,mv_ref,A580,mv_type,"Sortie"))</f>
        <v/>
      </c>
      <c r="M580" s="39" t="str">
        <f>IF(A580="","",ROUND(N(H580)+K580-L580,6))</f>
        <v/>
      </c>
      <c r="N580" s="40" t="str">
        <f>IF(A580="","",M580*N(G580))</f>
        <v/>
      </c>
      <c r="O580" s="39" t="str">
        <f>IF(A580="","",IF(M580&lt;=0,"Rupture",IF(AND(I580&lt;&gt;"",M580&lt;=N(I580)),"À commander","OK")))</f>
        <v/>
      </c>
      <c r="P580" s="39" t="str">
        <f>IF(OR(A580="",O580="OK",J580=""),"",MAX(N(J580)-M580,0))</f>
        <v/>
      </c>
      <c r="Q580" s="39" t="str">
        <f>IF(A580="",IF(COUNTA(B580:J580)&gt;0,"Référence manquante",""),IF(COUNTIF($A$5:$A$1004,A580)&gt;1,"Référence en double",IF(B580="","Désignation manquante","OK")))</f>
        <v/>
      </c>
      <c r="R580" s="39" t="str">
        <f>IF(OR(O580="Rupture",O580="À commander"),COUNTIF($O$5:O580,"Rupture")+COUNTIF($O$5:O580,"À commander"),"")</f>
        <v/>
      </c>
    </row>
    <row r="581">
      <c r="A581" s="37" t="n"/>
      <c r="B581" s="37" t="n"/>
      <c r="C581" s="37" t="n"/>
      <c r="D581" s="37" t="n"/>
      <c r="E581" s="37" t="n"/>
      <c r="F581" s="37" t="n"/>
      <c r="G581" s="38" t="n"/>
      <c r="H581" s="37" t="n"/>
      <c r="I581" s="37" t="n"/>
      <c r="J581" s="37" t="n"/>
      <c r="K581" s="39" t="str">
        <f>IF(A581="","",SUMIFS(mv_qty,mv_ref,A581,mv_type,"Entrée"))</f>
        <v/>
      </c>
      <c r="L581" s="39" t="str">
        <f>IF(A581="","",SUMIFS(mv_qty,mv_ref,A581,mv_type,"Sortie"))</f>
        <v/>
      </c>
      <c r="M581" s="39" t="str">
        <f>IF(A581="","",ROUND(N(H581)+K581-L581,6))</f>
        <v/>
      </c>
      <c r="N581" s="40" t="str">
        <f>IF(A581="","",M581*N(G581))</f>
        <v/>
      </c>
      <c r="O581" s="39" t="str">
        <f>IF(A581="","",IF(M581&lt;=0,"Rupture",IF(AND(I581&lt;&gt;"",M581&lt;=N(I581)),"À commander","OK")))</f>
        <v/>
      </c>
      <c r="P581" s="39" t="str">
        <f>IF(OR(A581="",O581="OK",J581=""),"",MAX(N(J581)-M581,0))</f>
        <v/>
      </c>
      <c r="Q581" s="39" t="str">
        <f>IF(A581="",IF(COUNTA(B581:J581)&gt;0,"Référence manquante",""),IF(COUNTIF($A$5:$A$1004,A581)&gt;1,"Référence en double",IF(B581="","Désignation manquante","OK")))</f>
        <v/>
      </c>
      <c r="R581" s="39" t="str">
        <f>IF(OR(O581="Rupture",O581="À commander"),COUNTIF($O$5:O581,"Rupture")+COUNTIF($O$5:O581,"À commander"),"")</f>
        <v/>
      </c>
    </row>
    <row r="582">
      <c r="A582" s="37" t="n"/>
      <c r="B582" s="37" t="n"/>
      <c r="C582" s="37" t="n"/>
      <c r="D582" s="37" t="n"/>
      <c r="E582" s="37" t="n"/>
      <c r="F582" s="37" t="n"/>
      <c r="G582" s="38" t="n"/>
      <c r="H582" s="37" t="n"/>
      <c r="I582" s="37" t="n"/>
      <c r="J582" s="37" t="n"/>
      <c r="K582" s="39" t="str">
        <f>IF(A582="","",SUMIFS(mv_qty,mv_ref,A582,mv_type,"Entrée"))</f>
        <v/>
      </c>
      <c r="L582" s="39" t="str">
        <f>IF(A582="","",SUMIFS(mv_qty,mv_ref,A582,mv_type,"Sortie"))</f>
        <v/>
      </c>
      <c r="M582" s="39" t="str">
        <f>IF(A582="","",ROUND(N(H582)+K582-L582,6))</f>
        <v/>
      </c>
      <c r="N582" s="40" t="str">
        <f>IF(A582="","",M582*N(G582))</f>
        <v/>
      </c>
      <c r="O582" s="39" t="str">
        <f>IF(A582="","",IF(M582&lt;=0,"Rupture",IF(AND(I582&lt;&gt;"",M582&lt;=N(I582)),"À commander","OK")))</f>
        <v/>
      </c>
      <c r="P582" s="39" t="str">
        <f>IF(OR(A582="",O582="OK",J582=""),"",MAX(N(J582)-M582,0))</f>
        <v/>
      </c>
      <c r="Q582" s="39" t="str">
        <f>IF(A582="",IF(COUNTA(B582:J582)&gt;0,"Référence manquante",""),IF(COUNTIF($A$5:$A$1004,A582)&gt;1,"Référence en double",IF(B582="","Désignation manquante","OK")))</f>
        <v/>
      </c>
      <c r="R582" s="39" t="str">
        <f>IF(OR(O582="Rupture",O582="À commander"),COUNTIF($O$5:O582,"Rupture")+COUNTIF($O$5:O582,"À commander"),"")</f>
        <v/>
      </c>
    </row>
    <row r="583">
      <c r="A583" s="37" t="n"/>
      <c r="B583" s="37" t="n"/>
      <c r="C583" s="37" t="n"/>
      <c r="D583" s="37" t="n"/>
      <c r="E583" s="37" t="n"/>
      <c r="F583" s="37" t="n"/>
      <c r="G583" s="38" t="n"/>
      <c r="H583" s="37" t="n"/>
      <c r="I583" s="37" t="n"/>
      <c r="J583" s="37" t="n"/>
      <c r="K583" s="39" t="str">
        <f>IF(A583="","",SUMIFS(mv_qty,mv_ref,A583,mv_type,"Entrée"))</f>
        <v/>
      </c>
      <c r="L583" s="39" t="str">
        <f>IF(A583="","",SUMIFS(mv_qty,mv_ref,A583,mv_type,"Sortie"))</f>
        <v/>
      </c>
      <c r="M583" s="39" t="str">
        <f>IF(A583="","",ROUND(N(H583)+K583-L583,6))</f>
        <v/>
      </c>
      <c r="N583" s="40" t="str">
        <f>IF(A583="","",M583*N(G583))</f>
        <v/>
      </c>
      <c r="O583" s="39" t="str">
        <f>IF(A583="","",IF(M583&lt;=0,"Rupture",IF(AND(I583&lt;&gt;"",M583&lt;=N(I583)),"À commander","OK")))</f>
        <v/>
      </c>
      <c r="P583" s="39" t="str">
        <f>IF(OR(A583="",O583="OK",J583=""),"",MAX(N(J583)-M583,0))</f>
        <v/>
      </c>
      <c r="Q583" s="39" t="str">
        <f>IF(A583="",IF(COUNTA(B583:J583)&gt;0,"Référence manquante",""),IF(COUNTIF($A$5:$A$1004,A583)&gt;1,"Référence en double",IF(B583="","Désignation manquante","OK")))</f>
        <v/>
      </c>
      <c r="R583" s="39" t="str">
        <f>IF(OR(O583="Rupture",O583="À commander"),COUNTIF($O$5:O583,"Rupture")+COUNTIF($O$5:O583,"À commander"),"")</f>
        <v/>
      </c>
    </row>
    <row r="584">
      <c r="A584" s="37" t="n"/>
      <c r="B584" s="37" t="n"/>
      <c r="C584" s="37" t="n"/>
      <c r="D584" s="37" t="n"/>
      <c r="E584" s="37" t="n"/>
      <c r="F584" s="37" t="n"/>
      <c r="G584" s="38" t="n"/>
      <c r="H584" s="37" t="n"/>
      <c r="I584" s="37" t="n"/>
      <c r="J584" s="37" t="n"/>
      <c r="K584" s="39" t="str">
        <f>IF(A584="","",SUMIFS(mv_qty,mv_ref,A584,mv_type,"Entrée"))</f>
        <v/>
      </c>
      <c r="L584" s="39" t="str">
        <f>IF(A584="","",SUMIFS(mv_qty,mv_ref,A584,mv_type,"Sortie"))</f>
        <v/>
      </c>
      <c r="M584" s="39" t="str">
        <f>IF(A584="","",ROUND(N(H584)+K584-L584,6))</f>
        <v/>
      </c>
      <c r="N584" s="40" t="str">
        <f>IF(A584="","",M584*N(G584))</f>
        <v/>
      </c>
      <c r="O584" s="39" t="str">
        <f>IF(A584="","",IF(M584&lt;=0,"Rupture",IF(AND(I584&lt;&gt;"",M584&lt;=N(I584)),"À commander","OK")))</f>
        <v/>
      </c>
      <c r="P584" s="39" t="str">
        <f>IF(OR(A584="",O584="OK",J584=""),"",MAX(N(J584)-M584,0))</f>
        <v/>
      </c>
      <c r="Q584" s="39" t="str">
        <f>IF(A584="",IF(COUNTA(B584:J584)&gt;0,"Référence manquante",""),IF(COUNTIF($A$5:$A$1004,A584)&gt;1,"Référence en double",IF(B584="","Désignation manquante","OK")))</f>
        <v/>
      </c>
      <c r="R584" s="39" t="str">
        <f>IF(OR(O584="Rupture",O584="À commander"),COUNTIF($O$5:O584,"Rupture")+COUNTIF($O$5:O584,"À commander"),"")</f>
        <v/>
      </c>
    </row>
    <row r="585">
      <c r="A585" s="37" t="n"/>
      <c r="B585" s="37" t="n"/>
      <c r="C585" s="37" t="n"/>
      <c r="D585" s="37" t="n"/>
      <c r="E585" s="37" t="n"/>
      <c r="F585" s="37" t="n"/>
      <c r="G585" s="38" t="n"/>
      <c r="H585" s="37" t="n"/>
      <c r="I585" s="37" t="n"/>
      <c r="J585" s="37" t="n"/>
      <c r="K585" s="39" t="str">
        <f>IF(A585="","",SUMIFS(mv_qty,mv_ref,A585,mv_type,"Entrée"))</f>
        <v/>
      </c>
      <c r="L585" s="39" t="str">
        <f>IF(A585="","",SUMIFS(mv_qty,mv_ref,A585,mv_type,"Sortie"))</f>
        <v/>
      </c>
      <c r="M585" s="39" t="str">
        <f>IF(A585="","",ROUND(N(H585)+K585-L585,6))</f>
        <v/>
      </c>
      <c r="N585" s="40" t="str">
        <f>IF(A585="","",M585*N(G585))</f>
        <v/>
      </c>
      <c r="O585" s="39" t="str">
        <f>IF(A585="","",IF(M585&lt;=0,"Rupture",IF(AND(I585&lt;&gt;"",M585&lt;=N(I585)),"À commander","OK")))</f>
        <v/>
      </c>
      <c r="P585" s="39" t="str">
        <f>IF(OR(A585="",O585="OK",J585=""),"",MAX(N(J585)-M585,0))</f>
        <v/>
      </c>
      <c r="Q585" s="39" t="str">
        <f>IF(A585="",IF(COUNTA(B585:J585)&gt;0,"Référence manquante",""),IF(COUNTIF($A$5:$A$1004,A585)&gt;1,"Référence en double",IF(B585="","Désignation manquante","OK")))</f>
        <v/>
      </c>
      <c r="R585" s="39" t="str">
        <f>IF(OR(O585="Rupture",O585="À commander"),COUNTIF($O$5:O585,"Rupture")+COUNTIF($O$5:O585,"À commander"),"")</f>
        <v/>
      </c>
    </row>
    <row r="586">
      <c r="A586" s="37" t="n"/>
      <c r="B586" s="37" t="n"/>
      <c r="C586" s="37" t="n"/>
      <c r="D586" s="37" t="n"/>
      <c r="E586" s="37" t="n"/>
      <c r="F586" s="37" t="n"/>
      <c r="G586" s="38" t="n"/>
      <c r="H586" s="37" t="n"/>
      <c r="I586" s="37" t="n"/>
      <c r="J586" s="37" t="n"/>
      <c r="K586" s="39" t="str">
        <f>IF(A586="","",SUMIFS(mv_qty,mv_ref,A586,mv_type,"Entrée"))</f>
        <v/>
      </c>
      <c r="L586" s="39" t="str">
        <f>IF(A586="","",SUMIFS(mv_qty,mv_ref,A586,mv_type,"Sortie"))</f>
        <v/>
      </c>
      <c r="M586" s="39" t="str">
        <f>IF(A586="","",ROUND(N(H586)+K586-L586,6))</f>
        <v/>
      </c>
      <c r="N586" s="40" t="str">
        <f>IF(A586="","",M586*N(G586))</f>
        <v/>
      </c>
      <c r="O586" s="39" t="str">
        <f>IF(A586="","",IF(M586&lt;=0,"Rupture",IF(AND(I586&lt;&gt;"",M586&lt;=N(I586)),"À commander","OK")))</f>
        <v/>
      </c>
      <c r="P586" s="39" t="str">
        <f>IF(OR(A586="",O586="OK",J586=""),"",MAX(N(J586)-M586,0))</f>
        <v/>
      </c>
      <c r="Q586" s="39" t="str">
        <f>IF(A586="",IF(COUNTA(B586:J586)&gt;0,"Référence manquante",""),IF(COUNTIF($A$5:$A$1004,A586)&gt;1,"Référence en double",IF(B586="","Désignation manquante","OK")))</f>
        <v/>
      </c>
      <c r="R586" s="39" t="str">
        <f>IF(OR(O586="Rupture",O586="À commander"),COUNTIF($O$5:O586,"Rupture")+COUNTIF($O$5:O586,"À commander"),"")</f>
        <v/>
      </c>
    </row>
    <row r="587">
      <c r="A587" s="37" t="n"/>
      <c r="B587" s="37" t="n"/>
      <c r="C587" s="37" t="n"/>
      <c r="D587" s="37" t="n"/>
      <c r="E587" s="37" t="n"/>
      <c r="F587" s="37" t="n"/>
      <c r="G587" s="38" t="n"/>
      <c r="H587" s="37" t="n"/>
      <c r="I587" s="37" t="n"/>
      <c r="J587" s="37" t="n"/>
      <c r="K587" s="39" t="str">
        <f>IF(A587="","",SUMIFS(mv_qty,mv_ref,A587,mv_type,"Entrée"))</f>
        <v/>
      </c>
      <c r="L587" s="39" t="str">
        <f>IF(A587="","",SUMIFS(mv_qty,mv_ref,A587,mv_type,"Sortie"))</f>
        <v/>
      </c>
      <c r="M587" s="39" t="str">
        <f>IF(A587="","",ROUND(N(H587)+K587-L587,6))</f>
        <v/>
      </c>
      <c r="N587" s="40" t="str">
        <f>IF(A587="","",M587*N(G587))</f>
        <v/>
      </c>
      <c r="O587" s="39" t="str">
        <f>IF(A587="","",IF(M587&lt;=0,"Rupture",IF(AND(I587&lt;&gt;"",M587&lt;=N(I587)),"À commander","OK")))</f>
        <v/>
      </c>
      <c r="P587" s="39" t="str">
        <f>IF(OR(A587="",O587="OK",J587=""),"",MAX(N(J587)-M587,0))</f>
        <v/>
      </c>
      <c r="Q587" s="39" t="str">
        <f>IF(A587="",IF(COUNTA(B587:J587)&gt;0,"Référence manquante",""),IF(COUNTIF($A$5:$A$1004,A587)&gt;1,"Référence en double",IF(B587="","Désignation manquante","OK")))</f>
        <v/>
      </c>
      <c r="R587" s="39" t="str">
        <f>IF(OR(O587="Rupture",O587="À commander"),COUNTIF($O$5:O587,"Rupture")+COUNTIF($O$5:O587,"À commander"),"")</f>
        <v/>
      </c>
    </row>
    <row r="588">
      <c r="A588" s="37" t="n"/>
      <c r="B588" s="37" t="n"/>
      <c r="C588" s="37" t="n"/>
      <c r="D588" s="37" t="n"/>
      <c r="E588" s="37" t="n"/>
      <c r="F588" s="37" t="n"/>
      <c r="G588" s="38" t="n"/>
      <c r="H588" s="37" t="n"/>
      <c r="I588" s="37" t="n"/>
      <c r="J588" s="37" t="n"/>
      <c r="K588" s="39" t="str">
        <f>IF(A588="","",SUMIFS(mv_qty,mv_ref,A588,mv_type,"Entrée"))</f>
        <v/>
      </c>
      <c r="L588" s="39" t="str">
        <f>IF(A588="","",SUMIFS(mv_qty,mv_ref,A588,mv_type,"Sortie"))</f>
        <v/>
      </c>
      <c r="M588" s="39" t="str">
        <f>IF(A588="","",ROUND(N(H588)+K588-L588,6))</f>
        <v/>
      </c>
      <c r="N588" s="40" t="str">
        <f>IF(A588="","",M588*N(G588))</f>
        <v/>
      </c>
      <c r="O588" s="39" t="str">
        <f>IF(A588="","",IF(M588&lt;=0,"Rupture",IF(AND(I588&lt;&gt;"",M588&lt;=N(I588)),"À commander","OK")))</f>
        <v/>
      </c>
      <c r="P588" s="39" t="str">
        <f>IF(OR(A588="",O588="OK",J588=""),"",MAX(N(J588)-M588,0))</f>
        <v/>
      </c>
      <c r="Q588" s="39" t="str">
        <f>IF(A588="",IF(COUNTA(B588:J588)&gt;0,"Référence manquante",""),IF(COUNTIF($A$5:$A$1004,A588)&gt;1,"Référence en double",IF(B588="","Désignation manquante","OK")))</f>
        <v/>
      </c>
      <c r="R588" s="39" t="str">
        <f>IF(OR(O588="Rupture",O588="À commander"),COUNTIF($O$5:O588,"Rupture")+COUNTIF($O$5:O588,"À commander"),"")</f>
        <v/>
      </c>
    </row>
    <row r="589">
      <c r="A589" s="37" t="n"/>
      <c r="B589" s="37" t="n"/>
      <c r="C589" s="37" t="n"/>
      <c r="D589" s="37" t="n"/>
      <c r="E589" s="37" t="n"/>
      <c r="F589" s="37" t="n"/>
      <c r="G589" s="38" t="n"/>
      <c r="H589" s="37" t="n"/>
      <c r="I589" s="37" t="n"/>
      <c r="J589" s="37" t="n"/>
      <c r="K589" s="39" t="str">
        <f>IF(A589="","",SUMIFS(mv_qty,mv_ref,A589,mv_type,"Entrée"))</f>
        <v/>
      </c>
      <c r="L589" s="39" t="str">
        <f>IF(A589="","",SUMIFS(mv_qty,mv_ref,A589,mv_type,"Sortie"))</f>
        <v/>
      </c>
      <c r="M589" s="39" t="str">
        <f>IF(A589="","",ROUND(N(H589)+K589-L589,6))</f>
        <v/>
      </c>
      <c r="N589" s="40" t="str">
        <f>IF(A589="","",M589*N(G589))</f>
        <v/>
      </c>
      <c r="O589" s="39" t="str">
        <f>IF(A589="","",IF(M589&lt;=0,"Rupture",IF(AND(I589&lt;&gt;"",M589&lt;=N(I589)),"À commander","OK")))</f>
        <v/>
      </c>
      <c r="P589" s="39" t="str">
        <f>IF(OR(A589="",O589="OK",J589=""),"",MAX(N(J589)-M589,0))</f>
        <v/>
      </c>
      <c r="Q589" s="39" t="str">
        <f>IF(A589="",IF(COUNTA(B589:J589)&gt;0,"Référence manquante",""),IF(COUNTIF($A$5:$A$1004,A589)&gt;1,"Référence en double",IF(B589="","Désignation manquante","OK")))</f>
        <v/>
      </c>
      <c r="R589" s="39" t="str">
        <f>IF(OR(O589="Rupture",O589="À commander"),COUNTIF($O$5:O589,"Rupture")+COUNTIF($O$5:O589,"À commander"),"")</f>
        <v/>
      </c>
    </row>
    <row r="590">
      <c r="A590" s="37" t="n"/>
      <c r="B590" s="37" t="n"/>
      <c r="C590" s="37" t="n"/>
      <c r="D590" s="37" t="n"/>
      <c r="E590" s="37" t="n"/>
      <c r="F590" s="37" t="n"/>
      <c r="G590" s="38" t="n"/>
      <c r="H590" s="37" t="n"/>
      <c r="I590" s="37" t="n"/>
      <c r="J590" s="37" t="n"/>
      <c r="K590" s="39" t="str">
        <f>IF(A590="","",SUMIFS(mv_qty,mv_ref,A590,mv_type,"Entrée"))</f>
        <v/>
      </c>
      <c r="L590" s="39" t="str">
        <f>IF(A590="","",SUMIFS(mv_qty,mv_ref,A590,mv_type,"Sortie"))</f>
        <v/>
      </c>
      <c r="M590" s="39" t="str">
        <f>IF(A590="","",ROUND(N(H590)+K590-L590,6))</f>
        <v/>
      </c>
      <c r="N590" s="40" t="str">
        <f>IF(A590="","",M590*N(G590))</f>
        <v/>
      </c>
      <c r="O590" s="39" t="str">
        <f>IF(A590="","",IF(M590&lt;=0,"Rupture",IF(AND(I590&lt;&gt;"",M590&lt;=N(I590)),"À commander","OK")))</f>
        <v/>
      </c>
      <c r="P590" s="39" t="str">
        <f>IF(OR(A590="",O590="OK",J590=""),"",MAX(N(J590)-M590,0))</f>
        <v/>
      </c>
      <c r="Q590" s="39" t="str">
        <f>IF(A590="",IF(COUNTA(B590:J590)&gt;0,"Référence manquante",""),IF(COUNTIF($A$5:$A$1004,A590)&gt;1,"Référence en double",IF(B590="","Désignation manquante","OK")))</f>
        <v/>
      </c>
      <c r="R590" s="39" t="str">
        <f>IF(OR(O590="Rupture",O590="À commander"),COUNTIF($O$5:O590,"Rupture")+COUNTIF($O$5:O590,"À commander"),"")</f>
        <v/>
      </c>
    </row>
    <row r="591">
      <c r="A591" s="37" t="n"/>
      <c r="B591" s="37" t="n"/>
      <c r="C591" s="37" t="n"/>
      <c r="D591" s="37" t="n"/>
      <c r="E591" s="37" t="n"/>
      <c r="F591" s="37" t="n"/>
      <c r="G591" s="38" t="n"/>
      <c r="H591" s="37" t="n"/>
      <c r="I591" s="37" t="n"/>
      <c r="J591" s="37" t="n"/>
      <c r="K591" s="39" t="str">
        <f>IF(A591="","",SUMIFS(mv_qty,mv_ref,A591,mv_type,"Entrée"))</f>
        <v/>
      </c>
      <c r="L591" s="39" t="str">
        <f>IF(A591="","",SUMIFS(mv_qty,mv_ref,A591,mv_type,"Sortie"))</f>
        <v/>
      </c>
      <c r="M591" s="39" t="str">
        <f>IF(A591="","",ROUND(N(H591)+K591-L591,6))</f>
        <v/>
      </c>
      <c r="N591" s="40" t="str">
        <f>IF(A591="","",M591*N(G591))</f>
        <v/>
      </c>
      <c r="O591" s="39" t="str">
        <f>IF(A591="","",IF(M591&lt;=0,"Rupture",IF(AND(I591&lt;&gt;"",M591&lt;=N(I591)),"À commander","OK")))</f>
        <v/>
      </c>
      <c r="P591" s="39" t="str">
        <f>IF(OR(A591="",O591="OK",J591=""),"",MAX(N(J591)-M591,0))</f>
        <v/>
      </c>
      <c r="Q591" s="39" t="str">
        <f>IF(A591="",IF(COUNTA(B591:J591)&gt;0,"Référence manquante",""),IF(COUNTIF($A$5:$A$1004,A591)&gt;1,"Référence en double",IF(B591="","Désignation manquante","OK")))</f>
        <v/>
      </c>
      <c r="R591" s="39" t="str">
        <f>IF(OR(O591="Rupture",O591="À commander"),COUNTIF($O$5:O591,"Rupture")+COUNTIF($O$5:O591,"À commander"),"")</f>
        <v/>
      </c>
    </row>
    <row r="592">
      <c r="A592" s="37" t="n"/>
      <c r="B592" s="37" t="n"/>
      <c r="C592" s="37" t="n"/>
      <c r="D592" s="37" t="n"/>
      <c r="E592" s="37" t="n"/>
      <c r="F592" s="37" t="n"/>
      <c r="G592" s="38" t="n"/>
      <c r="H592" s="37" t="n"/>
      <c r="I592" s="37" t="n"/>
      <c r="J592" s="37" t="n"/>
      <c r="K592" s="39" t="str">
        <f>IF(A592="","",SUMIFS(mv_qty,mv_ref,A592,mv_type,"Entrée"))</f>
        <v/>
      </c>
      <c r="L592" s="39" t="str">
        <f>IF(A592="","",SUMIFS(mv_qty,mv_ref,A592,mv_type,"Sortie"))</f>
        <v/>
      </c>
      <c r="M592" s="39" t="str">
        <f>IF(A592="","",ROUND(N(H592)+K592-L592,6))</f>
        <v/>
      </c>
      <c r="N592" s="40" t="str">
        <f>IF(A592="","",M592*N(G592))</f>
        <v/>
      </c>
      <c r="O592" s="39" t="str">
        <f>IF(A592="","",IF(M592&lt;=0,"Rupture",IF(AND(I592&lt;&gt;"",M592&lt;=N(I592)),"À commander","OK")))</f>
        <v/>
      </c>
      <c r="P592" s="39" t="str">
        <f>IF(OR(A592="",O592="OK",J592=""),"",MAX(N(J592)-M592,0))</f>
        <v/>
      </c>
      <c r="Q592" s="39" t="str">
        <f>IF(A592="",IF(COUNTA(B592:J592)&gt;0,"Référence manquante",""),IF(COUNTIF($A$5:$A$1004,A592)&gt;1,"Référence en double",IF(B592="","Désignation manquante","OK")))</f>
        <v/>
      </c>
      <c r="R592" s="39" t="str">
        <f>IF(OR(O592="Rupture",O592="À commander"),COUNTIF($O$5:O592,"Rupture")+COUNTIF($O$5:O592,"À commander"),"")</f>
        <v/>
      </c>
    </row>
    <row r="593">
      <c r="A593" s="37" t="n"/>
      <c r="B593" s="37" t="n"/>
      <c r="C593" s="37" t="n"/>
      <c r="D593" s="37" t="n"/>
      <c r="E593" s="37" t="n"/>
      <c r="F593" s="37" t="n"/>
      <c r="G593" s="38" t="n"/>
      <c r="H593" s="37" t="n"/>
      <c r="I593" s="37" t="n"/>
      <c r="J593" s="37" t="n"/>
      <c r="K593" s="39" t="str">
        <f>IF(A593="","",SUMIFS(mv_qty,mv_ref,A593,mv_type,"Entrée"))</f>
        <v/>
      </c>
      <c r="L593" s="39" t="str">
        <f>IF(A593="","",SUMIFS(mv_qty,mv_ref,A593,mv_type,"Sortie"))</f>
        <v/>
      </c>
      <c r="M593" s="39" t="str">
        <f>IF(A593="","",ROUND(N(H593)+K593-L593,6))</f>
        <v/>
      </c>
      <c r="N593" s="40" t="str">
        <f>IF(A593="","",M593*N(G593))</f>
        <v/>
      </c>
      <c r="O593" s="39" t="str">
        <f>IF(A593="","",IF(M593&lt;=0,"Rupture",IF(AND(I593&lt;&gt;"",M593&lt;=N(I593)),"À commander","OK")))</f>
        <v/>
      </c>
      <c r="P593" s="39" t="str">
        <f>IF(OR(A593="",O593="OK",J593=""),"",MAX(N(J593)-M593,0))</f>
        <v/>
      </c>
      <c r="Q593" s="39" t="str">
        <f>IF(A593="",IF(COUNTA(B593:J593)&gt;0,"Référence manquante",""),IF(COUNTIF($A$5:$A$1004,A593)&gt;1,"Référence en double",IF(B593="","Désignation manquante","OK")))</f>
        <v/>
      </c>
      <c r="R593" s="39" t="str">
        <f>IF(OR(O593="Rupture",O593="À commander"),COUNTIF($O$5:O593,"Rupture")+COUNTIF($O$5:O593,"À commander"),"")</f>
        <v/>
      </c>
    </row>
    <row r="594">
      <c r="A594" s="37" t="n"/>
      <c r="B594" s="37" t="n"/>
      <c r="C594" s="37" t="n"/>
      <c r="D594" s="37" t="n"/>
      <c r="E594" s="37" t="n"/>
      <c r="F594" s="37" t="n"/>
      <c r="G594" s="38" t="n"/>
      <c r="H594" s="37" t="n"/>
      <c r="I594" s="37" t="n"/>
      <c r="J594" s="37" t="n"/>
      <c r="K594" s="39" t="str">
        <f>IF(A594="","",SUMIFS(mv_qty,mv_ref,A594,mv_type,"Entrée"))</f>
        <v/>
      </c>
      <c r="L594" s="39" t="str">
        <f>IF(A594="","",SUMIFS(mv_qty,mv_ref,A594,mv_type,"Sortie"))</f>
        <v/>
      </c>
      <c r="M594" s="39" t="str">
        <f>IF(A594="","",ROUND(N(H594)+K594-L594,6))</f>
        <v/>
      </c>
      <c r="N594" s="40" t="str">
        <f>IF(A594="","",M594*N(G594))</f>
        <v/>
      </c>
      <c r="O594" s="39" t="str">
        <f>IF(A594="","",IF(M594&lt;=0,"Rupture",IF(AND(I594&lt;&gt;"",M594&lt;=N(I594)),"À commander","OK")))</f>
        <v/>
      </c>
      <c r="P594" s="39" t="str">
        <f>IF(OR(A594="",O594="OK",J594=""),"",MAX(N(J594)-M594,0))</f>
        <v/>
      </c>
      <c r="Q594" s="39" t="str">
        <f>IF(A594="",IF(COUNTA(B594:J594)&gt;0,"Référence manquante",""),IF(COUNTIF($A$5:$A$1004,A594)&gt;1,"Référence en double",IF(B594="","Désignation manquante","OK")))</f>
        <v/>
      </c>
      <c r="R594" s="39" t="str">
        <f>IF(OR(O594="Rupture",O594="À commander"),COUNTIF($O$5:O594,"Rupture")+COUNTIF($O$5:O594,"À commander"),"")</f>
        <v/>
      </c>
    </row>
    <row r="595">
      <c r="A595" s="37" t="n"/>
      <c r="B595" s="37" t="n"/>
      <c r="C595" s="37" t="n"/>
      <c r="D595" s="37" t="n"/>
      <c r="E595" s="37" t="n"/>
      <c r="F595" s="37" t="n"/>
      <c r="G595" s="38" t="n"/>
      <c r="H595" s="37" t="n"/>
      <c r="I595" s="37" t="n"/>
      <c r="J595" s="37" t="n"/>
      <c r="K595" s="39" t="str">
        <f>IF(A595="","",SUMIFS(mv_qty,mv_ref,A595,mv_type,"Entrée"))</f>
        <v/>
      </c>
      <c r="L595" s="39" t="str">
        <f>IF(A595="","",SUMIFS(mv_qty,mv_ref,A595,mv_type,"Sortie"))</f>
        <v/>
      </c>
      <c r="M595" s="39" t="str">
        <f>IF(A595="","",ROUND(N(H595)+K595-L595,6))</f>
        <v/>
      </c>
      <c r="N595" s="40" t="str">
        <f>IF(A595="","",M595*N(G595))</f>
        <v/>
      </c>
      <c r="O595" s="39" t="str">
        <f>IF(A595="","",IF(M595&lt;=0,"Rupture",IF(AND(I595&lt;&gt;"",M595&lt;=N(I595)),"À commander","OK")))</f>
        <v/>
      </c>
      <c r="P595" s="39" t="str">
        <f>IF(OR(A595="",O595="OK",J595=""),"",MAX(N(J595)-M595,0))</f>
        <v/>
      </c>
      <c r="Q595" s="39" t="str">
        <f>IF(A595="",IF(COUNTA(B595:J595)&gt;0,"Référence manquante",""),IF(COUNTIF($A$5:$A$1004,A595)&gt;1,"Référence en double",IF(B595="","Désignation manquante","OK")))</f>
        <v/>
      </c>
      <c r="R595" s="39" t="str">
        <f>IF(OR(O595="Rupture",O595="À commander"),COUNTIF($O$5:O595,"Rupture")+COUNTIF($O$5:O595,"À commander"),"")</f>
        <v/>
      </c>
    </row>
    <row r="596">
      <c r="A596" s="37" t="n"/>
      <c r="B596" s="37" t="n"/>
      <c r="C596" s="37" t="n"/>
      <c r="D596" s="37" t="n"/>
      <c r="E596" s="37" t="n"/>
      <c r="F596" s="37" t="n"/>
      <c r="G596" s="38" t="n"/>
      <c r="H596" s="37" t="n"/>
      <c r="I596" s="37" t="n"/>
      <c r="J596" s="37" t="n"/>
      <c r="K596" s="39" t="str">
        <f>IF(A596="","",SUMIFS(mv_qty,mv_ref,A596,mv_type,"Entrée"))</f>
        <v/>
      </c>
      <c r="L596" s="39" t="str">
        <f>IF(A596="","",SUMIFS(mv_qty,mv_ref,A596,mv_type,"Sortie"))</f>
        <v/>
      </c>
      <c r="M596" s="39" t="str">
        <f>IF(A596="","",ROUND(N(H596)+K596-L596,6))</f>
        <v/>
      </c>
      <c r="N596" s="40" t="str">
        <f>IF(A596="","",M596*N(G596))</f>
        <v/>
      </c>
      <c r="O596" s="39" t="str">
        <f>IF(A596="","",IF(M596&lt;=0,"Rupture",IF(AND(I596&lt;&gt;"",M596&lt;=N(I596)),"À commander","OK")))</f>
        <v/>
      </c>
      <c r="P596" s="39" t="str">
        <f>IF(OR(A596="",O596="OK",J596=""),"",MAX(N(J596)-M596,0))</f>
        <v/>
      </c>
      <c r="Q596" s="39" t="str">
        <f>IF(A596="",IF(COUNTA(B596:J596)&gt;0,"Référence manquante",""),IF(COUNTIF($A$5:$A$1004,A596)&gt;1,"Référence en double",IF(B596="","Désignation manquante","OK")))</f>
        <v/>
      </c>
      <c r="R596" s="39" t="str">
        <f>IF(OR(O596="Rupture",O596="À commander"),COUNTIF($O$5:O596,"Rupture")+COUNTIF($O$5:O596,"À commander"),"")</f>
        <v/>
      </c>
    </row>
    <row r="597">
      <c r="A597" s="37" t="n"/>
      <c r="B597" s="37" t="n"/>
      <c r="C597" s="37" t="n"/>
      <c r="D597" s="37" t="n"/>
      <c r="E597" s="37" t="n"/>
      <c r="F597" s="37" t="n"/>
      <c r="G597" s="38" t="n"/>
      <c r="H597" s="37" t="n"/>
      <c r="I597" s="37" t="n"/>
      <c r="J597" s="37" t="n"/>
      <c r="K597" s="39" t="str">
        <f>IF(A597="","",SUMIFS(mv_qty,mv_ref,A597,mv_type,"Entrée"))</f>
        <v/>
      </c>
      <c r="L597" s="39" t="str">
        <f>IF(A597="","",SUMIFS(mv_qty,mv_ref,A597,mv_type,"Sortie"))</f>
        <v/>
      </c>
      <c r="M597" s="39" t="str">
        <f>IF(A597="","",ROUND(N(H597)+K597-L597,6))</f>
        <v/>
      </c>
      <c r="N597" s="40" t="str">
        <f>IF(A597="","",M597*N(G597))</f>
        <v/>
      </c>
      <c r="O597" s="39" t="str">
        <f>IF(A597="","",IF(M597&lt;=0,"Rupture",IF(AND(I597&lt;&gt;"",M597&lt;=N(I597)),"À commander","OK")))</f>
        <v/>
      </c>
      <c r="P597" s="39" t="str">
        <f>IF(OR(A597="",O597="OK",J597=""),"",MAX(N(J597)-M597,0))</f>
        <v/>
      </c>
      <c r="Q597" s="39" t="str">
        <f>IF(A597="",IF(COUNTA(B597:J597)&gt;0,"Référence manquante",""),IF(COUNTIF($A$5:$A$1004,A597)&gt;1,"Référence en double",IF(B597="","Désignation manquante","OK")))</f>
        <v/>
      </c>
      <c r="R597" s="39" t="str">
        <f>IF(OR(O597="Rupture",O597="À commander"),COUNTIF($O$5:O597,"Rupture")+COUNTIF($O$5:O597,"À commander"),"")</f>
        <v/>
      </c>
    </row>
    <row r="598">
      <c r="A598" s="37" t="n"/>
      <c r="B598" s="37" t="n"/>
      <c r="C598" s="37" t="n"/>
      <c r="D598" s="37" t="n"/>
      <c r="E598" s="37" t="n"/>
      <c r="F598" s="37" t="n"/>
      <c r="G598" s="38" t="n"/>
      <c r="H598" s="37" t="n"/>
      <c r="I598" s="37" t="n"/>
      <c r="J598" s="37" t="n"/>
      <c r="K598" s="39" t="str">
        <f>IF(A598="","",SUMIFS(mv_qty,mv_ref,A598,mv_type,"Entrée"))</f>
        <v/>
      </c>
      <c r="L598" s="39" t="str">
        <f>IF(A598="","",SUMIFS(mv_qty,mv_ref,A598,mv_type,"Sortie"))</f>
        <v/>
      </c>
      <c r="M598" s="39" t="str">
        <f>IF(A598="","",ROUND(N(H598)+K598-L598,6))</f>
        <v/>
      </c>
      <c r="N598" s="40" t="str">
        <f>IF(A598="","",M598*N(G598))</f>
        <v/>
      </c>
      <c r="O598" s="39" t="str">
        <f>IF(A598="","",IF(M598&lt;=0,"Rupture",IF(AND(I598&lt;&gt;"",M598&lt;=N(I598)),"À commander","OK")))</f>
        <v/>
      </c>
      <c r="P598" s="39" t="str">
        <f>IF(OR(A598="",O598="OK",J598=""),"",MAX(N(J598)-M598,0))</f>
        <v/>
      </c>
      <c r="Q598" s="39" t="str">
        <f>IF(A598="",IF(COUNTA(B598:J598)&gt;0,"Référence manquante",""),IF(COUNTIF($A$5:$A$1004,A598)&gt;1,"Référence en double",IF(B598="","Désignation manquante","OK")))</f>
        <v/>
      </c>
      <c r="R598" s="39" t="str">
        <f>IF(OR(O598="Rupture",O598="À commander"),COUNTIF($O$5:O598,"Rupture")+COUNTIF($O$5:O598,"À commander"),"")</f>
        <v/>
      </c>
    </row>
    <row r="599">
      <c r="A599" s="37" t="n"/>
      <c r="B599" s="37" t="n"/>
      <c r="C599" s="37" t="n"/>
      <c r="D599" s="37" t="n"/>
      <c r="E599" s="37" t="n"/>
      <c r="F599" s="37" t="n"/>
      <c r="G599" s="38" t="n"/>
      <c r="H599" s="37" t="n"/>
      <c r="I599" s="37" t="n"/>
      <c r="J599" s="37" t="n"/>
      <c r="K599" s="39" t="str">
        <f>IF(A599="","",SUMIFS(mv_qty,mv_ref,A599,mv_type,"Entrée"))</f>
        <v/>
      </c>
      <c r="L599" s="39" t="str">
        <f>IF(A599="","",SUMIFS(mv_qty,mv_ref,A599,mv_type,"Sortie"))</f>
        <v/>
      </c>
      <c r="M599" s="39" t="str">
        <f>IF(A599="","",ROUND(N(H599)+K599-L599,6))</f>
        <v/>
      </c>
      <c r="N599" s="40" t="str">
        <f>IF(A599="","",M599*N(G599))</f>
        <v/>
      </c>
      <c r="O599" s="39" t="str">
        <f>IF(A599="","",IF(M599&lt;=0,"Rupture",IF(AND(I599&lt;&gt;"",M599&lt;=N(I599)),"À commander","OK")))</f>
        <v/>
      </c>
      <c r="P599" s="39" t="str">
        <f>IF(OR(A599="",O599="OK",J599=""),"",MAX(N(J599)-M599,0))</f>
        <v/>
      </c>
      <c r="Q599" s="39" t="str">
        <f>IF(A599="",IF(COUNTA(B599:J599)&gt;0,"Référence manquante",""),IF(COUNTIF($A$5:$A$1004,A599)&gt;1,"Référence en double",IF(B599="","Désignation manquante","OK")))</f>
        <v/>
      </c>
      <c r="R599" s="39" t="str">
        <f>IF(OR(O599="Rupture",O599="À commander"),COUNTIF($O$5:O599,"Rupture")+COUNTIF($O$5:O599,"À commander"),"")</f>
        <v/>
      </c>
    </row>
    <row r="600">
      <c r="A600" s="37" t="n"/>
      <c r="B600" s="37" t="n"/>
      <c r="C600" s="37" t="n"/>
      <c r="D600" s="37" t="n"/>
      <c r="E600" s="37" t="n"/>
      <c r="F600" s="37" t="n"/>
      <c r="G600" s="38" t="n"/>
      <c r="H600" s="37" t="n"/>
      <c r="I600" s="37" t="n"/>
      <c r="J600" s="37" t="n"/>
      <c r="K600" s="39" t="str">
        <f>IF(A600="","",SUMIFS(mv_qty,mv_ref,A600,mv_type,"Entrée"))</f>
        <v/>
      </c>
      <c r="L600" s="39" t="str">
        <f>IF(A600="","",SUMIFS(mv_qty,mv_ref,A600,mv_type,"Sortie"))</f>
        <v/>
      </c>
      <c r="M600" s="39" t="str">
        <f>IF(A600="","",ROUND(N(H600)+K600-L600,6))</f>
        <v/>
      </c>
      <c r="N600" s="40" t="str">
        <f>IF(A600="","",M600*N(G600))</f>
        <v/>
      </c>
      <c r="O600" s="39" t="str">
        <f>IF(A600="","",IF(M600&lt;=0,"Rupture",IF(AND(I600&lt;&gt;"",M600&lt;=N(I600)),"À commander","OK")))</f>
        <v/>
      </c>
      <c r="P600" s="39" t="str">
        <f>IF(OR(A600="",O600="OK",J600=""),"",MAX(N(J600)-M600,0))</f>
        <v/>
      </c>
      <c r="Q600" s="39" t="str">
        <f>IF(A600="",IF(COUNTA(B600:J600)&gt;0,"Référence manquante",""),IF(COUNTIF($A$5:$A$1004,A600)&gt;1,"Référence en double",IF(B600="","Désignation manquante","OK")))</f>
        <v/>
      </c>
      <c r="R600" s="39" t="str">
        <f>IF(OR(O600="Rupture",O600="À commander"),COUNTIF($O$5:O600,"Rupture")+COUNTIF($O$5:O600,"À commander"),"")</f>
        <v/>
      </c>
    </row>
    <row r="601">
      <c r="A601" s="37" t="n"/>
      <c r="B601" s="37" t="n"/>
      <c r="C601" s="37" t="n"/>
      <c r="D601" s="37" t="n"/>
      <c r="E601" s="37" t="n"/>
      <c r="F601" s="37" t="n"/>
      <c r="G601" s="38" t="n"/>
      <c r="H601" s="37" t="n"/>
      <c r="I601" s="37" t="n"/>
      <c r="J601" s="37" t="n"/>
      <c r="K601" s="39" t="str">
        <f>IF(A601="","",SUMIFS(mv_qty,mv_ref,A601,mv_type,"Entrée"))</f>
        <v/>
      </c>
      <c r="L601" s="39" t="str">
        <f>IF(A601="","",SUMIFS(mv_qty,mv_ref,A601,mv_type,"Sortie"))</f>
        <v/>
      </c>
      <c r="M601" s="39" t="str">
        <f>IF(A601="","",ROUND(N(H601)+K601-L601,6))</f>
        <v/>
      </c>
      <c r="N601" s="40" t="str">
        <f>IF(A601="","",M601*N(G601))</f>
        <v/>
      </c>
      <c r="O601" s="39" t="str">
        <f>IF(A601="","",IF(M601&lt;=0,"Rupture",IF(AND(I601&lt;&gt;"",M601&lt;=N(I601)),"À commander","OK")))</f>
        <v/>
      </c>
      <c r="P601" s="39" t="str">
        <f>IF(OR(A601="",O601="OK",J601=""),"",MAX(N(J601)-M601,0))</f>
        <v/>
      </c>
      <c r="Q601" s="39" t="str">
        <f>IF(A601="",IF(COUNTA(B601:J601)&gt;0,"Référence manquante",""),IF(COUNTIF($A$5:$A$1004,A601)&gt;1,"Référence en double",IF(B601="","Désignation manquante","OK")))</f>
        <v/>
      </c>
      <c r="R601" s="39" t="str">
        <f>IF(OR(O601="Rupture",O601="À commander"),COUNTIF($O$5:O601,"Rupture")+COUNTIF($O$5:O601,"À commander"),"")</f>
        <v/>
      </c>
    </row>
    <row r="602">
      <c r="A602" s="37" t="n"/>
      <c r="B602" s="37" t="n"/>
      <c r="C602" s="37" t="n"/>
      <c r="D602" s="37" t="n"/>
      <c r="E602" s="37" t="n"/>
      <c r="F602" s="37" t="n"/>
      <c r="G602" s="38" t="n"/>
      <c r="H602" s="37" t="n"/>
      <c r="I602" s="37" t="n"/>
      <c r="J602" s="37" t="n"/>
      <c r="K602" s="39" t="str">
        <f>IF(A602="","",SUMIFS(mv_qty,mv_ref,A602,mv_type,"Entrée"))</f>
        <v/>
      </c>
      <c r="L602" s="39" t="str">
        <f>IF(A602="","",SUMIFS(mv_qty,mv_ref,A602,mv_type,"Sortie"))</f>
        <v/>
      </c>
      <c r="M602" s="39" t="str">
        <f>IF(A602="","",ROUND(N(H602)+K602-L602,6))</f>
        <v/>
      </c>
      <c r="N602" s="40" t="str">
        <f>IF(A602="","",M602*N(G602))</f>
        <v/>
      </c>
      <c r="O602" s="39" t="str">
        <f>IF(A602="","",IF(M602&lt;=0,"Rupture",IF(AND(I602&lt;&gt;"",M602&lt;=N(I602)),"À commander","OK")))</f>
        <v/>
      </c>
      <c r="P602" s="39" t="str">
        <f>IF(OR(A602="",O602="OK",J602=""),"",MAX(N(J602)-M602,0))</f>
        <v/>
      </c>
      <c r="Q602" s="39" t="str">
        <f>IF(A602="",IF(COUNTA(B602:J602)&gt;0,"Référence manquante",""),IF(COUNTIF($A$5:$A$1004,A602)&gt;1,"Référence en double",IF(B602="","Désignation manquante","OK")))</f>
        <v/>
      </c>
      <c r="R602" s="39" t="str">
        <f>IF(OR(O602="Rupture",O602="À commander"),COUNTIF($O$5:O602,"Rupture")+COUNTIF($O$5:O602,"À commander"),"")</f>
        <v/>
      </c>
    </row>
    <row r="603">
      <c r="A603" s="37" t="n"/>
      <c r="B603" s="37" t="n"/>
      <c r="C603" s="37" t="n"/>
      <c r="D603" s="37" t="n"/>
      <c r="E603" s="37" t="n"/>
      <c r="F603" s="37" t="n"/>
      <c r="G603" s="38" t="n"/>
      <c r="H603" s="37" t="n"/>
      <c r="I603" s="37" t="n"/>
      <c r="J603" s="37" t="n"/>
      <c r="K603" s="39" t="str">
        <f>IF(A603="","",SUMIFS(mv_qty,mv_ref,A603,mv_type,"Entrée"))</f>
        <v/>
      </c>
      <c r="L603" s="39" t="str">
        <f>IF(A603="","",SUMIFS(mv_qty,mv_ref,A603,mv_type,"Sortie"))</f>
        <v/>
      </c>
      <c r="M603" s="39" t="str">
        <f>IF(A603="","",ROUND(N(H603)+K603-L603,6))</f>
        <v/>
      </c>
      <c r="N603" s="40" t="str">
        <f>IF(A603="","",M603*N(G603))</f>
        <v/>
      </c>
      <c r="O603" s="39" t="str">
        <f>IF(A603="","",IF(M603&lt;=0,"Rupture",IF(AND(I603&lt;&gt;"",M603&lt;=N(I603)),"À commander","OK")))</f>
        <v/>
      </c>
      <c r="P603" s="39" t="str">
        <f>IF(OR(A603="",O603="OK",J603=""),"",MAX(N(J603)-M603,0))</f>
        <v/>
      </c>
      <c r="Q603" s="39" t="str">
        <f>IF(A603="",IF(COUNTA(B603:J603)&gt;0,"Référence manquante",""),IF(COUNTIF($A$5:$A$1004,A603)&gt;1,"Référence en double",IF(B603="","Désignation manquante","OK")))</f>
        <v/>
      </c>
      <c r="R603" s="39" t="str">
        <f>IF(OR(O603="Rupture",O603="À commander"),COUNTIF($O$5:O603,"Rupture")+COUNTIF($O$5:O603,"À commander"),"")</f>
        <v/>
      </c>
    </row>
    <row r="604">
      <c r="A604" s="37" t="n"/>
      <c r="B604" s="37" t="n"/>
      <c r="C604" s="37" t="n"/>
      <c r="D604" s="37" t="n"/>
      <c r="E604" s="37" t="n"/>
      <c r="F604" s="37" t="n"/>
      <c r="G604" s="38" t="n"/>
      <c r="H604" s="37" t="n"/>
      <c r="I604" s="37" t="n"/>
      <c r="J604" s="37" t="n"/>
      <c r="K604" s="39" t="str">
        <f>IF(A604="","",SUMIFS(mv_qty,mv_ref,A604,mv_type,"Entrée"))</f>
        <v/>
      </c>
      <c r="L604" s="39" t="str">
        <f>IF(A604="","",SUMIFS(mv_qty,mv_ref,A604,mv_type,"Sortie"))</f>
        <v/>
      </c>
      <c r="M604" s="39" t="str">
        <f>IF(A604="","",ROUND(N(H604)+K604-L604,6))</f>
        <v/>
      </c>
      <c r="N604" s="40" t="str">
        <f>IF(A604="","",M604*N(G604))</f>
        <v/>
      </c>
      <c r="O604" s="39" t="str">
        <f>IF(A604="","",IF(M604&lt;=0,"Rupture",IF(AND(I604&lt;&gt;"",M604&lt;=N(I604)),"À commander","OK")))</f>
        <v/>
      </c>
      <c r="P604" s="39" t="str">
        <f>IF(OR(A604="",O604="OK",J604=""),"",MAX(N(J604)-M604,0))</f>
        <v/>
      </c>
      <c r="Q604" s="39" t="str">
        <f>IF(A604="",IF(COUNTA(B604:J604)&gt;0,"Référence manquante",""),IF(COUNTIF($A$5:$A$1004,A604)&gt;1,"Référence en double",IF(B604="","Désignation manquante","OK")))</f>
        <v/>
      </c>
      <c r="R604" s="39" t="str">
        <f>IF(OR(O604="Rupture",O604="À commander"),COUNTIF($O$5:O604,"Rupture")+COUNTIF($O$5:O604,"À commander"),"")</f>
        <v/>
      </c>
    </row>
    <row r="605">
      <c r="A605" s="37" t="n"/>
      <c r="B605" s="37" t="n"/>
      <c r="C605" s="37" t="n"/>
      <c r="D605" s="37" t="n"/>
      <c r="E605" s="37" t="n"/>
      <c r="F605" s="37" t="n"/>
      <c r="G605" s="38" t="n"/>
      <c r="H605" s="37" t="n"/>
      <c r="I605" s="37" t="n"/>
      <c r="J605" s="37" t="n"/>
      <c r="K605" s="39" t="str">
        <f>IF(A605="","",SUMIFS(mv_qty,mv_ref,A605,mv_type,"Entrée"))</f>
        <v/>
      </c>
      <c r="L605" s="39" t="str">
        <f>IF(A605="","",SUMIFS(mv_qty,mv_ref,A605,mv_type,"Sortie"))</f>
        <v/>
      </c>
      <c r="M605" s="39" t="str">
        <f>IF(A605="","",ROUND(N(H605)+K605-L605,6))</f>
        <v/>
      </c>
      <c r="N605" s="40" t="str">
        <f>IF(A605="","",M605*N(G605))</f>
        <v/>
      </c>
      <c r="O605" s="39" t="str">
        <f>IF(A605="","",IF(M605&lt;=0,"Rupture",IF(AND(I605&lt;&gt;"",M605&lt;=N(I605)),"À commander","OK")))</f>
        <v/>
      </c>
      <c r="P605" s="39" t="str">
        <f>IF(OR(A605="",O605="OK",J605=""),"",MAX(N(J605)-M605,0))</f>
        <v/>
      </c>
      <c r="Q605" s="39" t="str">
        <f>IF(A605="",IF(COUNTA(B605:J605)&gt;0,"Référence manquante",""),IF(COUNTIF($A$5:$A$1004,A605)&gt;1,"Référence en double",IF(B605="","Désignation manquante","OK")))</f>
        <v/>
      </c>
      <c r="R605" s="39" t="str">
        <f>IF(OR(O605="Rupture",O605="À commander"),COUNTIF($O$5:O605,"Rupture")+COUNTIF($O$5:O605,"À commander"),"")</f>
        <v/>
      </c>
    </row>
    <row r="606">
      <c r="A606" s="37" t="n"/>
      <c r="B606" s="37" t="n"/>
      <c r="C606" s="37" t="n"/>
      <c r="D606" s="37" t="n"/>
      <c r="E606" s="37" t="n"/>
      <c r="F606" s="37" t="n"/>
      <c r="G606" s="38" t="n"/>
      <c r="H606" s="37" t="n"/>
      <c r="I606" s="37" t="n"/>
      <c r="J606" s="37" t="n"/>
      <c r="K606" s="39" t="str">
        <f>IF(A606="","",SUMIFS(mv_qty,mv_ref,A606,mv_type,"Entrée"))</f>
        <v/>
      </c>
      <c r="L606" s="39" t="str">
        <f>IF(A606="","",SUMIFS(mv_qty,mv_ref,A606,mv_type,"Sortie"))</f>
        <v/>
      </c>
      <c r="M606" s="39" t="str">
        <f>IF(A606="","",ROUND(N(H606)+K606-L606,6))</f>
        <v/>
      </c>
      <c r="N606" s="40" t="str">
        <f>IF(A606="","",M606*N(G606))</f>
        <v/>
      </c>
      <c r="O606" s="39" t="str">
        <f>IF(A606="","",IF(M606&lt;=0,"Rupture",IF(AND(I606&lt;&gt;"",M606&lt;=N(I606)),"À commander","OK")))</f>
        <v/>
      </c>
      <c r="P606" s="39" t="str">
        <f>IF(OR(A606="",O606="OK",J606=""),"",MAX(N(J606)-M606,0))</f>
        <v/>
      </c>
      <c r="Q606" s="39" t="str">
        <f>IF(A606="",IF(COUNTA(B606:J606)&gt;0,"Référence manquante",""),IF(COUNTIF($A$5:$A$1004,A606)&gt;1,"Référence en double",IF(B606="","Désignation manquante","OK")))</f>
        <v/>
      </c>
      <c r="R606" s="39" t="str">
        <f>IF(OR(O606="Rupture",O606="À commander"),COUNTIF($O$5:O606,"Rupture")+COUNTIF($O$5:O606,"À commander"),"")</f>
        <v/>
      </c>
    </row>
    <row r="607">
      <c r="A607" s="37" t="n"/>
      <c r="B607" s="37" t="n"/>
      <c r="C607" s="37" t="n"/>
      <c r="D607" s="37" t="n"/>
      <c r="E607" s="37" t="n"/>
      <c r="F607" s="37" t="n"/>
      <c r="G607" s="38" t="n"/>
      <c r="H607" s="37" t="n"/>
      <c r="I607" s="37" t="n"/>
      <c r="J607" s="37" t="n"/>
      <c r="K607" s="39" t="str">
        <f>IF(A607="","",SUMIFS(mv_qty,mv_ref,A607,mv_type,"Entrée"))</f>
        <v/>
      </c>
      <c r="L607" s="39" t="str">
        <f>IF(A607="","",SUMIFS(mv_qty,mv_ref,A607,mv_type,"Sortie"))</f>
        <v/>
      </c>
      <c r="M607" s="39" t="str">
        <f>IF(A607="","",ROUND(N(H607)+K607-L607,6))</f>
        <v/>
      </c>
      <c r="N607" s="40" t="str">
        <f>IF(A607="","",M607*N(G607))</f>
        <v/>
      </c>
      <c r="O607" s="39" t="str">
        <f>IF(A607="","",IF(M607&lt;=0,"Rupture",IF(AND(I607&lt;&gt;"",M607&lt;=N(I607)),"À commander","OK")))</f>
        <v/>
      </c>
      <c r="P607" s="39" t="str">
        <f>IF(OR(A607="",O607="OK",J607=""),"",MAX(N(J607)-M607,0))</f>
        <v/>
      </c>
      <c r="Q607" s="39" t="str">
        <f>IF(A607="",IF(COUNTA(B607:J607)&gt;0,"Référence manquante",""),IF(COUNTIF($A$5:$A$1004,A607)&gt;1,"Référence en double",IF(B607="","Désignation manquante","OK")))</f>
        <v/>
      </c>
      <c r="R607" s="39" t="str">
        <f>IF(OR(O607="Rupture",O607="À commander"),COUNTIF($O$5:O607,"Rupture")+COUNTIF($O$5:O607,"À commander"),"")</f>
        <v/>
      </c>
    </row>
    <row r="608">
      <c r="A608" s="37" t="n"/>
      <c r="B608" s="37" t="n"/>
      <c r="C608" s="37" t="n"/>
      <c r="D608" s="37" t="n"/>
      <c r="E608" s="37" t="n"/>
      <c r="F608" s="37" t="n"/>
      <c r="G608" s="38" t="n"/>
      <c r="H608" s="37" t="n"/>
      <c r="I608" s="37" t="n"/>
      <c r="J608" s="37" t="n"/>
      <c r="K608" s="39" t="str">
        <f>IF(A608="","",SUMIFS(mv_qty,mv_ref,A608,mv_type,"Entrée"))</f>
        <v/>
      </c>
      <c r="L608" s="39" t="str">
        <f>IF(A608="","",SUMIFS(mv_qty,mv_ref,A608,mv_type,"Sortie"))</f>
        <v/>
      </c>
      <c r="M608" s="39" t="str">
        <f>IF(A608="","",ROUND(N(H608)+K608-L608,6))</f>
        <v/>
      </c>
      <c r="N608" s="40" t="str">
        <f>IF(A608="","",M608*N(G608))</f>
        <v/>
      </c>
      <c r="O608" s="39" t="str">
        <f>IF(A608="","",IF(M608&lt;=0,"Rupture",IF(AND(I608&lt;&gt;"",M608&lt;=N(I608)),"À commander","OK")))</f>
        <v/>
      </c>
      <c r="P608" s="39" t="str">
        <f>IF(OR(A608="",O608="OK",J608=""),"",MAX(N(J608)-M608,0))</f>
        <v/>
      </c>
      <c r="Q608" s="39" t="str">
        <f>IF(A608="",IF(COUNTA(B608:J608)&gt;0,"Référence manquante",""),IF(COUNTIF($A$5:$A$1004,A608)&gt;1,"Référence en double",IF(B608="","Désignation manquante","OK")))</f>
        <v/>
      </c>
      <c r="R608" s="39" t="str">
        <f>IF(OR(O608="Rupture",O608="À commander"),COUNTIF($O$5:O608,"Rupture")+COUNTIF($O$5:O608,"À commander"),"")</f>
        <v/>
      </c>
    </row>
    <row r="609">
      <c r="A609" s="37" t="n"/>
      <c r="B609" s="37" t="n"/>
      <c r="C609" s="37" t="n"/>
      <c r="D609" s="37" t="n"/>
      <c r="E609" s="37" t="n"/>
      <c r="F609" s="37" t="n"/>
      <c r="G609" s="38" t="n"/>
      <c r="H609" s="37" t="n"/>
      <c r="I609" s="37" t="n"/>
      <c r="J609" s="37" t="n"/>
      <c r="K609" s="39" t="str">
        <f>IF(A609="","",SUMIFS(mv_qty,mv_ref,A609,mv_type,"Entrée"))</f>
        <v/>
      </c>
      <c r="L609" s="39" t="str">
        <f>IF(A609="","",SUMIFS(mv_qty,mv_ref,A609,mv_type,"Sortie"))</f>
        <v/>
      </c>
      <c r="M609" s="39" t="str">
        <f>IF(A609="","",ROUND(N(H609)+K609-L609,6))</f>
        <v/>
      </c>
      <c r="N609" s="40" t="str">
        <f>IF(A609="","",M609*N(G609))</f>
        <v/>
      </c>
      <c r="O609" s="39" t="str">
        <f>IF(A609="","",IF(M609&lt;=0,"Rupture",IF(AND(I609&lt;&gt;"",M609&lt;=N(I609)),"À commander","OK")))</f>
        <v/>
      </c>
      <c r="P609" s="39" t="str">
        <f>IF(OR(A609="",O609="OK",J609=""),"",MAX(N(J609)-M609,0))</f>
        <v/>
      </c>
      <c r="Q609" s="39" t="str">
        <f>IF(A609="",IF(COUNTA(B609:J609)&gt;0,"Référence manquante",""),IF(COUNTIF($A$5:$A$1004,A609)&gt;1,"Référence en double",IF(B609="","Désignation manquante","OK")))</f>
        <v/>
      </c>
      <c r="R609" s="39" t="str">
        <f>IF(OR(O609="Rupture",O609="À commander"),COUNTIF($O$5:O609,"Rupture")+COUNTIF($O$5:O609,"À commander"),"")</f>
        <v/>
      </c>
    </row>
    <row r="610">
      <c r="A610" s="37" t="n"/>
      <c r="B610" s="37" t="n"/>
      <c r="C610" s="37" t="n"/>
      <c r="D610" s="37" t="n"/>
      <c r="E610" s="37" t="n"/>
      <c r="F610" s="37" t="n"/>
      <c r="G610" s="38" t="n"/>
      <c r="H610" s="37" t="n"/>
      <c r="I610" s="37" t="n"/>
      <c r="J610" s="37" t="n"/>
      <c r="K610" s="39" t="str">
        <f>IF(A610="","",SUMIFS(mv_qty,mv_ref,A610,mv_type,"Entrée"))</f>
        <v/>
      </c>
      <c r="L610" s="39" t="str">
        <f>IF(A610="","",SUMIFS(mv_qty,mv_ref,A610,mv_type,"Sortie"))</f>
        <v/>
      </c>
      <c r="M610" s="39" t="str">
        <f>IF(A610="","",ROUND(N(H610)+K610-L610,6))</f>
        <v/>
      </c>
      <c r="N610" s="40" t="str">
        <f>IF(A610="","",M610*N(G610))</f>
        <v/>
      </c>
      <c r="O610" s="39" t="str">
        <f>IF(A610="","",IF(M610&lt;=0,"Rupture",IF(AND(I610&lt;&gt;"",M610&lt;=N(I610)),"À commander","OK")))</f>
        <v/>
      </c>
      <c r="P610" s="39" t="str">
        <f>IF(OR(A610="",O610="OK",J610=""),"",MAX(N(J610)-M610,0))</f>
        <v/>
      </c>
      <c r="Q610" s="39" t="str">
        <f>IF(A610="",IF(COUNTA(B610:J610)&gt;0,"Référence manquante",""),IF(COUNTIF($A$5:$A$1004,A610)&gt;1,"Référence en double",IF(B610="","Désignation manquante","OK")))</f>
        <v/>
      </c>
      <c r="R610" s="39" t="str">
        <f>IF(OR(O610="Rupture",O610="À commander"),COUNTIF($O$5:O610,"Rupture")+COUNTIF($O$5:O610,"À commander"),"")</f>
        <v/>
      </c>
    </row>
    <row r="611">
      <c r="A611" s="37" t="n"/>
      <c r="B611" s="37" t="n"/>
      <c r="C611" s="37" t="n"/>
      <c r="D611" s="37" t="n"/>
      <c r="E611" s="37" t="n"/>
      <c r="F611" s="37" t="n"/>
      <c r="G611" s="38" t="n"/>
      <c r="H611" s="37" t="n"/>
      <c r="I611" s="37" t="n"/>
      <c r="J611" s="37" t="n"/>
      <c r="K611" s="39" t="str">
        <f>IF(A611="","",SUMIFS(mv_qty,mv_ref,A611,mv_type,"Entrée"))</f>
        <v/>
      </c>
      <c r="L611" s="39" t="str">
        <f>IF(A611="","",SUMIFS(mv_qty,mv_ref,A611,mv_type,"Sortie"))</f>
        <v/>
      </c>
      <c r="M611" s="39" t="str">
        <f>IF(A611="","",ROUND(N(H611)+K611-L611,6))</f>
        <v/>
      </c>
      <c r="N611" s="40" t="str">
        <f>IF(A611="","",M611*N(G611))</f>
        <v/>
      </c>
      <c r="O611" s="39" t="str">
        <f>IF(A611="","",IF(M611&lt;=0,"Rupture",IF(AND(I611&lt;&gt;"",M611&lt;=N(I611)),"À commander","OK")))</f>
        <v/>
      </c>
      <c r="P611" s="39" t="str">
        <f>IF(OR(A611="",O611="OK",J611=""),"",MAX(N(J611)-M611,0))</f>
        <v/>
      </c>
      <c r="Q611" s="39" t="str">
        <f>IF(A611="",IF(COUNTA(B611:J611)&gt;0,"Référence manquante",""),IF(COUNTIF($A$5:$A$1004,A611)&gt;1,"Référence en double",IF(B611="","Désignation manquante","OK")))</f>
        <v/>
      </c>
      <c r="R611" s="39" t="str">
        <f>IF(OR(O611="Rupture",O611="À commander"),COUNTIF($O$5:O611,"Rupture")+COUNTIF($O$5:O611,"À commander"),"")</f>
        <v/>
      </c>
    </row>
    <row r="612">
      <c r="A612" s="37" t="n"/>
      <c r="B612" s="37" t="n"/>
      <c r="C612" s="37" t="n"/>
      <c r="D612" s="37" t="n"/>
      <c r="E612" s="37" t="n"/>
      <c r="F612" s="37" t="n"/>
      <c r="G612" s="38" t="n"/>
      <c r="H612" s="37" t="n"/>
      <c r="I612" s="37" t="n"/>
      <c r="J612" s="37" t="n"/>
      <c r="K612" s="39" t="str">
        <f>IF(A612="","",SUMIFS(mv_qty,mv_ref,A612,mv_type,"Entrée"))</f>
        <v/>
      </c>
      <c r="L612" s="39" t="str">
        <f>IF(A612="","",SUMIFS(mv_qty,mv_ref,A612,mv_type,"Sortie"))</f>
        <v/>
      </c>
      <c r="M612" s="39" t="str">
        <f>IF(A612="","",ROUND(N(H612)+K612-L612,6))</f>
        <v/>
      </c>
      <c r="N612" s="40" t="str">
        <f>IF(A612="","",M612*N(G612))</f>
        <v/>
      </c>
      <c r="O612" s="39" t="str">
        <f>IF(A612="","",IF(M612&lt;=0,"Rupture",IF(AND(I612&lt;&gt;"",M612&lt;=N(I612)),"À commander","OK")))</f>
        <v/>
      </c>
      <c r="P612" s="39" t="str">
        <f>IF(OR(A612="",O612="OK",J612=""),"",MAX(N(J612)-M612,0))</f>
        <v/>
      </c>
      <c r="Q612" s="39" t="str">
        <f>IF(A612="",IF(COUNTA(B612:J612)&gt;0,"Référence manquante",""),IF(COUNTIF($A$5:$A$1004,A612)&gt;1,"Référence en double",IF(B612="","Désignation manquante","OK")))</f>
        <v/>
      </c>
      <c r="R612" s="39" t="str">
        <f>IF(OR(O612="Rupture",O612="À commander"),COUNTIF($O$5:O612,"Rupture")+COUNTIF($O$5:O612,"À commander"),"")</f>
        <v/>
      </c>
    </row>
    <row r="613">
      <c r="A613" s="37" t="n"/>
      <c r="B613" s="37" t="n"/>
      <c r="C613" s="37" t="n"/>
      <c r="D613" s="37" t="n"/>
      <c r="E613" s="37" t="n"/>
      <c r="F613" s="37" t="n"/>
      <c r="G613" s="38" t="n"/>
      <c r="H613" s="37" t="n"/>
      <c r="I613" s="37" t="n"/>
      <c r="J613" s="37" t="n"/>
      <c r="K613" s="39" t="str">
        <f>IF(A613="","",SUMIFS(mv_qty,mv_ref,A613,mv_type,"Entrée"))</f>
        <v/>
      </c>
      <c r="L613" s="39" t="str">
        <f>IF(A613="","",SUMIFS(mv_qty,mv_ref,A613,mv_type,"Sortie"))</f>
        <v/>
      </c>
      <c r="M613" s="39" t="str">
        <f>IF(A613="","",ROUND(N(H613)+K613-L613,6))</f>
        <v/>
      </c>
      <c r="N613" s="40" t="str">
        <f>IF(A613="","",M613*N(G613))</f>
        <v/>
      </c>
      <c r="O613" s="39" t="str">
        <f>IF(A613="","",IF(M613&lt;=0,"Rupture",IF(AND(I613&lt;&gt;"",M613&lt;=N(I613)),"À commander","OK")))</f>
        <v/>
      </c>
      <c r="P613" s="39" t="str">
        <f>IF(OR(A613="",O613="OK",J613=""),"",MAX(N(J613)-M613,0))</f>
        <v/>
      </c>
      <c r="Q613" s="39" t="str">
        <f>IF(A613="",IF(COUNTA(B613:J613)&gt;0,"Référence manquante",""),IF(COUNTIF($A$5:$A$1004,A613)&gt;1,"Référence en double",IF(B613="","Désignation manquante","OK")))</f>
        <v/>
      </c>
      <c r="R613" s="39" t="str">
        <f>IF(OR(O613="Rupture",O613="À commander"),COUNTIF($O$5:O613,"Rupture")+COUNTIF($O$5:O613,"À commander"),"")</f>
        <v/>
      </c>
    </row>
    <row r="614">
      <c r="A614" s="37" t="n"/>
      <c r="B614" s="37" t="n"/>
      <c r="C614" s="37" t="n"/>
      <c r="D614" s="37" t="n"/>
      <c r="E614" s="37" t="n"/>
      <c r="F614" s="37" t="n"/>
      <c r="G614" s="38" t="n"/>
      <c r="H614" s="37" t="n"/>
      <c r="I614" s="37" t="n"/>
      <c r="J614" s="37" t="n"/>
      <c r="K614" s="39" t="str">
        <f>IF(A614="","",SUMIFS(mv_qty,mv_ref,A614,mv_type,"Entrée"))</f>
        <v/>
      </c>
      <c r="L614" s="39" t="str">
        <f>IF(A614="","",SUMIFS(mv_qty,mv_ref,A614,mv_type,"Sortie"))</f>
        <v/>
      </c>
      <c r="M614" s="39" t="str">
        <f>IF(A614="","",ROUND(N(H614)+K614-L614,6))</f>
        <v/>
      </c>
      <c r="N614" s="40" t="str">
        <f>IF(A614="","",M614*N(G614))</f>
        <v/>
      </c>
      <c r="O614" s="39" t="str">
        <f>IF(A614="","",IF(M614&lt;=0,"Rupture",IF(AND(I614&lt;&gt;"",M614&lt;=N(I614)),"À commander","OK")))</f>
        <v/>
      </c>
      <c r="P614" s="39" t="str">
        <f>IF(OR(A614="",O614="OK",J614=""),"",MAX(N(J614)-M614,0))</f>
        <v/>
      </c>
      <c r="Q614" s="39" t="str">
        <f>IF(A614="",IF(COUNTA(B614:J614)&gt;0,"Référence manquante",""),IF(COUNTIF($A$5:$A$1004,A614)&gt;1,"Référence en double",IF(B614="","Désignation manquante","OK")))</f>
        <v/>
      </c>
      <c r="R614" s="39" t="str">
        <f>IF(OR(O614="Rupture",O614="À commander"),COUNTIF($O$5:O614,"Rupture")+COUNTIF($O$5:O614,"À commander"),"")</f>
        <v/>
      </c>
    </row>
    <row r="615">
      <c r="A615" s="37" t="n"/>
      <c r="B615" s="37" t="n"/>
      <c r="C615" s="37" t="n"/>
      <c r="D615" s="37" t="n"/>
      <c r="E615" s="37" t="n"/>
      <c r="F615" s="37" t="n"/>
      <c r="G615" s="38" t="n"/>
      <c r="H615" s="37" t="n"/>
      <c r="I615" s="37" t="n"/>
      <c r="J615" s="37" t="n"/>
      <c r="K615" s="39" t="str">
        <f>IF(A615="","",SUMIFS(mv_qty,mv_ref,A615,mv_type,"Entrée"))</f>
        <v/>
      </c>
      <c r="L615" s="39" t="str">
        <f>IF(A615="","",SUMIFS(mv_qty,mv_ref,A615,mv_type,"Sortie"))</f>
        <v/>
      </c>
      <c r="M615" s="39" t="str">
        <f>IF(A615="","",ROUND(N(H615)+K615-L615,6))</f>
        <v/>
      </c>
      <c r="N615" s="40" t="str">
        <f>IF(A615="","",M615*N(G615))</f>
        <v/>
      </c>
      <c r="O615" s="39" t="str">
        <f>IF(A615="","",IF(M615&lt;=0,"Rupture",IF(AND(I615&lt;&gt;"",M615&lt;=N(I615)),"À commander","OK")))</f>
        <v/>
      </c>
      <c r="P615" s="39" t="str">
        <f>IF(OR(A615="",O615="OK",J615=""),"",MAX(N(J615)-M615,0))</f>
        <v/>
      </c>
      <c r="Q615" s="39" t="str">
        <f>IF(A615="",IF(COUNTA(B615:J615)&gt;0,"Référence manquante",""),IF(COUNTIF($A$5:$A$1004,A615)&gt;1,"Référence en double",IF(B615="","Désignation manquante","OK")))</f>
        <v/>
      </c>
      <c r="R615" s="39" t="str">
        <f>IF(OR(O615="Rupture",O615="À commander"),COUNTIF($O$5:O615,"Rupture")+COUNTIF($O$5:O615,"À commander"),"")</f>
        <v/>
      </c>
    </row>
    <row r="616">
      <c r="A616" s="37" t="n"/>
      <c r="B616" s="37" t="n"/>
      <c r="C616" s="37" t="n"/>
      <c r="D616" s="37" t="n"/>
      <c r="E616" s="37" t="n"/>
      <c r="F616" s="37" t="n"/>
      <c r="G616" s="38" t="n"/>
      <c r="H616" s="37" t="n"/>
      <c r="I616" s="37" t="n"/>
      <c r="J616" s="37" t="n"/>
      <c r="K616" s="39" t="str">
        <f>IF(A616="","",SUMIFS(mv_qty,mv_ref,A616,mv_type,"Entrée"))</f>
        <v/>
      </c>
      <c r="L616" s="39" t="str">
        <f>IF(A616="","",SUMIFS(mv_qty,mv_ref,A616,mv_type,"Sortie"))</f>
        <v/>
      </c>
      <c r="M616" s="39" t="str">
        <f>IF(A616="","",ROUND(N(H616)+K616-L616,6))</f>
        <v/>
      </c>
      <c r="N616" s="40" t="str">
        <f>IF(A616="","",M616*N(G616))</f>
        <v/>
      </c>
      <c r="O616" s="39" t="str">
        <f>IF(A616="","",IF(M616&lt;=0,"Rupture",IF(AND(I616&lt;&gt;"",M616&lt;=N(I616)),"À commander","OK")))</f>
        <v/>
      </c>
      <c r="P616" s="39" t="str">
        <f>IF(OR(A616="",O616="OK",J616=""),"",MAX(N(J616)-M616,0))</f>
        <v/>
      </c>
      <c r="Q616" s="39" t="str">
        <f>IF(A616="",IF(COUNTA(B616:J616)&gt;0,"Référence manquante",""),IF(COUNTIF($A$5:$A$1004,A616)&gt;1,"Référence en double",IF(B616="","Désignation manquante","OK")))</f>
        <v/>
      </c>
      <c r="R616" s="39" t="str">
        <f>IF(OR(O616="Rupture",O616="À commander"),COUNTIF($O$5:O616,"Rupture")+COUNTIF($O$5:O616,"À commander"),"")</f>
        <v/>
      </c>
    </row>
    <row r="617">
      <c r="A617" s="37" t="n"/>
      <c r="B617" s="37" t="n"/>
      <c r="C617" s="37" t="n"/>
      <c r="D617" s="37" t="n"/>
      <c r="E617" s="37" t="n"/>
      <c r="F617" s="37" t="n"/>
      <c r="G617" s="38" t="n"/>
      <c r="H617" s="37" t="n"/>
      <c r="I617" s="37" t="n"/>
      <c r="J617" s="37" t="n"/>
      <c r="K617" s="39" t="str">
        <f>IF(A617="","",SUMIFS(mv_qty,mv_ref,A617,mv_type,"Entrée"))</f>
        <v/>
      </c>
      <c r="L617" s="39" t="str">
        <f>IF(A617="","",SUMIFS(mv_qty,mv_ref,A617,mv_type,"Sortie"))</f>
        <v/>
      </c>
      <c r="M617" s="39" t="str">
        <f>IF(A617="","",ROUND(N(H617)+K617-L617,6))</f>
        <v/>
      </c>
      <c r="N617" s="40" t="str">
        <f>IF(A617="","",M617*N(G617))</f>
        <v/>
      </c>
      <c r="O617" s="39" t="str">
        <f>IF(A617="","",IF(M617&lt;=0,"Rupture",IF(AND(I617&lt;&gt;"",M617&lt;=N(I617)),"À commander","OK")))</f>
        <v/>
      </c>
      <c r="P617" s="39" t="str">
        <f>IF(OR(A617="",O617="OK",J617=""),"",MAX(N(J617)-M617,0))</f>
        <v/>
      </c>
      <c r="Q617" s="39" t="str">
        <f>IF(A617="",IF(COUNTA(B617:J617)&gt;0,"Référence manquante",""),IF(COUNTIF($A$5:$A$1004,A617)&gt;1,"Référence en double",IF(B617="","Désignation manquante","OK")))</f>
        <v/>
      </c>
      <c r="R617" s="39" t="str">
        <f>IF(OR(O617="Rupture",O617="À commander"),COUNTIF($O$5:O617,"Rupture")+COUNTIF($O$5:O617,"À commander"),"")</f>
        <v/>
      </c>
    </row>
    <row r="618">
      <c r="A618" s="37" t="n"/>
      <c r="B618" s="37" t="n"/>
      <c r="C618" s="37" t="n"/>
      <c r="D618" s="37" t="n"/>
      <c r="E618" s="37" t="n"/>
      <c r="F618" s="37" t="n"/>
      <c r="G618" s="38" t="n"/>
      <c r="H618" s="37" t="n"/>
      <c r="I618" s="37" t="n"/>
      <c r="J618" s="37" t="n"/>
      <c r="K618" s="39" t="str">
        <f>IF(A618="","",SUMIFS(mv_qty,mv_ref,A618,mv_type,"Entrée"))</f>
        <v/>
      </c>
      <c r="L618" s="39" t="str">
        <f>IF(A618="","",SUMIFS(mv_qty,mv_ref,A618,mv_type,"Sortie"))</f>
        <v/>
      </c>
      <c r="M618" s="39" t="str">
        <f>IF(A618="","",ROUND(N(H618)+K618-L618,6))</f>
        <v/>
      </c>
      <c r="N618" s="40" t="str">
        <f>IF(A618="","",M618*N(G618))</f>
        <v/>
      </c>
      <c r="O618" s="39" t="str">
        <f>IF(A618="","",IF(M618&lt;=0,"Rupture",IF(AND(I618&lt;&gt;"",M618&lt;=N(I618)),"À commander","OK")))</f>
        <v/>
      </c>
      <c r="P618" s="39" t="str">
        <f>IF(OR(A618="",O618="OK",J618=""),"",MAX(N(J618)-M618,0))</f>
        <v/>
      </c>
      <c r="Q618" s="39" t="str">
        <f>IF(A618="",IF(COUNTA(B618:J618)&gt;0,"Référence manquante",""),IF(COUNTIF($A$5:$A$1004,A618)&gt;1,"Référence en double",IF(B618="","Désignation manquante","OK")))</f>
        <v/>
      </c>
      <c r="R618" s="39" t="str">
        <f>IF(OR(O618="Rupture",O618="À commander"),COUNTIF($O$5:O618,"Rupture")+COUNTIF($O$5:O618,"À commander"),"")</f>
        <v/>
      </c>
    </row>
    <row r="619">
      <c r="A619" s="37" t="n"/>
      <c r="B619" s="37" t="n"/>
      <c r="C619" s="37" t="n"/>
      <c r="D619" s="37" t="n"/>
      <c r="E619" s="37" t="n"/>
      <c r="F619" s="37" t="n"/>
      <c r="G619" s="38" t="n"/>
      <c r="H619" s="37" t="n"/>
      <c r="I619" s="37" t="n"/>
      <c r="J619" s="37" t="n"/>
      <c r="K619" s="39" t="str">
        <f>IF(A619="","",SUMIFS(mv_qty,mv_ref,A619,mv_type,"Entrée"))</f>
        <v/>
      </c>
      <c r="L619" s="39" t="str">
        <f>IF(A619="","",SUMIFS(mv_qty,mv_ref,A619,mv_type,"Sortie"))</f>
        <v/>
      </c>
      <c r="M619" s="39" t="str">
        <f>IF(A619="","",ROUND(N(H619)+K619-L619,6))</f>
        <v/>
      </c>
      <c r="N619" s="40" t="str">
        <f>IF(A619="","",M619*N(G619))</f>
        <v/>
      </c>
      <c r="O619" s="39" t="str">
        <f>IF(A619="","",IF(M619&lt;=0,"Rupture",IF(AND(I619&lt;&gt;"",M619&lt;=N(I619)),"À commander","OK")))</f>
        <v/>
      </c>
      <c r="P619" s="39" t="str">
        <f>IF(OR(A619="",O619="OK",J619=""),"",MAX(N(J619)-M619,0))</f>
        <v/>
      </c>
      <c r="Q619" s="39" t="str">
        <f>IF(A619="",IF(COUNTA(B619:J619)&gt;0,"Référence manquante",""),IF(COUNTIF($A$5:$A$1004,A619)&gt;1,"Référence en double",IF(B619="","Désignation manquante","OK")))</f>
        <v/>
      </c>
      <c r="R619" s="39" t="str">
        <f>IF(OR(O619="Rupture",O619="À commander"),COUNTIF($O$5:O619,"Rupture")+COUNTIF($O$5:O619,"À commander"),"")</f>
        <v/>
      </c>
    </row>
    <row r="620">
      <c r="A620" s="37" t="n"/>
      <c r="B620" s="37" t="n"/>
      <c r="C620" s="37" t="n"/>
      <c r="D620" s="37" t="n"/>
      <c r="E620" s="37" t="n"/>
      <c r="F620" s="37" t="n"/>
      <c r="G620" s="38" t="n"/>
      <c r="H620" s="37" t="n"/>
      <c r="I620" s="37" t="n"/>
      <c r="J620" s="37" t="n"/>
      <c r="K620" s="39" t="str">
        <f>IF(A620="","",SUMIFS(mv_qty,mv_ref,A620,mv_type,"Entrée"))</f>
        <v/>
      </c>
      <c r="L620" s="39" t="str">
        <f>IF(A620="","",SUMIFS(mv_qty,mv_ref,A620,mv_type,"Sortie"))</f>
        <v/>
      </c>
      <c r="M620" s="39" t="str">
        <f>IF(A620="","",ROUND(N(H620)+K620-L620,6))</f>
        <v/>
      </c>
      <c r="N620" s="40" t="str">
        <f>IF(A620="","",M620*N(G620))</f>
        <v/>
      </c>
      <c r="O620" s="39" t="str">
        <f>IF(A620="","",IF(M620&lt;=0,"Rupture",IF(AND(I620&lt;&gt;"",M620&lt;=N(I620)),"À commander","OK")))</f>
        <v/>
      </c>
      <c r="P620" s="39" t="str">
        <f>IF(OR(A620="",O620="OK",J620=""),"",MAX(N(J620)-M620,0))</f>
        <v/>
      </c>
      <c r="Q620" s="39" t="str">
        <f>IF(A620="",IF(COUNTA(B620:J620)&gt;0,"Référence manquante",""),IF(COUNTIF($A$5:$A$1004,A620)&gt;1,"Référence en double",IF(B620="","Désignation manquante","OK")))</f>
        <v/>
      </c>
      <c r="R620" s="39" t="str">
        <f>IF(OR(O620="Rupture",O620="À commander"),COUNTIF($O$5:O620,"Rupture")+COUNTIF($O$5:O620,"À commander"),"")</f>
        <v/>
      </c>
    </row>
    <row r="621">
      <c r="A621" s="37" t="n"/>
      <c r="B621" s="37" t="n"/>
      <c r="C621" s="37" t="n"/>
      <c r="D621" s="37" t="n"/>
      <c r="E621" s="37" t="n"/>
      <c r="F621" s="37" t="n"/>
      <c r="G621" s="38" t="n"/>
      <c r="H621" s="37" t="n"/>
      <c r="I621" s="37" t="n"/>
      <c r="J621" s="37" t="n"/>
      <c r="K621" s="39" t="str">
        <f>IF(A621="","",SUMIFS(mv_qty,mv_ref,A621,mv_type,"Entrée"))</f>
        <v/>
      </c>
      <c r="L621" s="39" t="str">
        <f>IF(A621="","",SUMIFS(mv_qty,mv_ref,A621,mv_type,"Sortie"))</f>
        <v/>
      </c>
      <c r="M621" s="39" t="str">
        <f>IF(A621="","",ROUND(N(H621)+K621-L621,6))</f>
        <v/>
      </c>
      <c r="N621" s="40" t="str">
        <f>IF(A621="","",M621*N(G621))</f>
        <v/>
      </c>
      <c r="O621" s="39" t="str">
        <f>IF(A621="","",IF(M621&lt;=0,"Rupture",IF(AND(I621&lt;&gt;"",M621&lt;=N(I621)),"À commander","OK")))</f>
        <v/>
      </c>
      <c r="P621" s="39" t="str">
        <f>IF(OR(A621="",O621="OK",J621=""),"",MAX(N(J621)-M621,0))</f>
        <v/>
      </c>
      <c r="Q621" s="39" t="str">
        <f>IF(A621="",IF(COUNTA(B621:J621)&gt;0,"Référence manquante",""),IF(COUNTIF($A$5:$A$1004,A621)&gt;1,"Référence en double",IF(B621="","Désignation manquante","OK")))</f>
        <v/>
      </c>
      <c r="R621" s="39" t="str">
        <f>IF(OR(O621="Rupture",O621="À commander"),COUNTIF($O$5:O621,"Rupture")+COUNTIF($O$5:O621,"À commander"),"")</f>
        <v/>
      </c>
    </row>
    <row r="622">
      <c r="A622" s="37" t="n"/>
      <c r="B622" s="37" t="n"/>
      <c r="C622" s="37" t="n"/>
      <c r="D622" s="37" t="n"/>
      <c r="E622" s="37" t="n"/>
      <c r="F622" s="37" t="n"/>
      <c r="G622" s="38" t="n"/>
      <c r="H622" s="37" t="n"/>
      <c r="I622" s="37" t="n"/>
      <c r="J622" s="37" t="n"/>
      <c r="K622" s="39" t="str">
        <f>IF(A622="","",SUMIFS(mv_qty,mv_ref,A622,mv_type,"Entrée"))</f>
        <v/>
      </c>
      <c r="L622" s="39" t="str">
        <f>IF(A622="","",SUMIFS(mv_qty,mv_ref,A622,mv_type,"Sortie"))</f>
        <v/>
      </c>
      <c r="M622" s="39" t="str">
        <f>IF(A622="","",ROUND(N(H622)+K622-L622,6))</f>
        <v/>
      </c>
      <c r="N622" s="40" t="str">
        <f>IF(A622="","",M622*N(G622))</f>
        <v/>
      </c>
      <c r="O622" s="39" t="str">
        <f>IF(A622="","",IF(M622&lt;=0,"Rupture",IF(AND(I622&lt;&gt;"",M622&lt;=N(I622)),"À commander","OK")))</f>
        <v/>
      </c>
      <c r="P622" s="39" t="str">
        <f>IF(OR(A622="",O622="OK",J622=""),"",MAX(N(J622)-M622,0))</f>
        <v/>
      </c>
      <c r="Q622" s="39" t="str">
        <f>IF(A622="",IF(COUNTA(B622:J622)&gt;0,"Référence manquante",""),IF(COUNTIF($A$5:$A$1004,A622)&gt;1,"Référence en double",IF(B622="","Désignation manquante","OK")))</f>
        <v/>
      </c>
      <c r="R622" s="39" t="str">
        <f>IF(OR(O622="Rupture",O622="À commander"),COUNTIF($O$5:O622,"Rupture")+COUNTIF($O$5:O622,"À commander"),"")</f>
        <v/>
      </c>
    </row>
    <row r="623">
      <c r="A623" s="37" t="n"/>
      <c r="B623" s="37" t="n"/>
      <c r="C623" s="37" t="n"/>
      <c r="D623" s="37" t="n"/>
      <c r="E623" s="37" t="n"/>
      <c r="F623" s="37" t="n"/>
      <c r="G623" s="38" t="n"/>
      <c r="H623" s="37" t="n"/>
      <c r="I623" s="37" t="n"/>
      <c r="J623" s="37" t="n"/>
      <c r="K623" s="39" t="str">
        <f>IF(A623="","",SUMIFS(mv_qty,mv_ref,A623,mv_type,"Entrée"))</f>
        <v/>
      </c>
      <c r="L623" s="39" t="str">
        <f>IF(A623="","",SUMIFS(mv_qty,mv_ref,A623,mv_type,"Sortie"))</f>
        <v/>
      </c>
      <c r="M623" s="39" t="str">
        <f>IF(A623="","",ROUND(N(H623)+K623-L623,6))</f>
        <v/>
      </c>
      <c r="N623" s="40" t="str">
        <f>IF(A623="","",M623*N(G623))</f>
        <v/>
      </c>
      <c r="O623" s="39" t="str">
        <f>IF(A623="","",IF(M623&lt;=0,"Rupture",IF(AND(I623&lt;&gt;"",M623&lt;=N(I623)),"À commander","OK")))</f>
        <v/>
      </c>
      <c r="P623" s="39" t="str">
        <f>IF(OR(A623="",O623="OK",J623=""),"",MAX(N(J623)-M623,0))</f>
        <v/>
      </c>
      <c r="Q623" s="39" t="str">
        <f>IF(A623="",IF(COUNTA(B623:J623)&gt;0,"Référence manquante",""),IF(COUNTIF($A$5:$A$1004,A623)&gt;1,"Référence en double",IF(B623="","Désignation manquante","OK")))</f>
        <v/>
      </c>
      <c r="R623" s="39" t="str">
        <f>IF(OR(O623="Rupture",O623="À commander"),COUNTIF($O$5:O623,"Rupture")+COUNTIF($O$5:O623,"À commander"),"")</f>
        <v/>
      </c>
    </row>
    <row r="624">
      <c r="A624" s="37" t="n"/>
      <c r="B624" s="37" t="n"/>
      <c r="C624" s="37" t="n"/>
      <c r="D624" s="37" t="n"/>
      <c r="E624" s="37" t="n"/>
      <c r="F624" s="37" t="n"/>
      <c r="G624" s="38" t="n"/>
      <c r="H624" s="37" t="n"/>
      <c r="I624" s="37" t="n"/>
      <c r="J624" s="37" t="n"/>
      <c r="K624" s="39" t="str">
        <f>IF(A624="","",SUMIFS(mv_qty,mv_ref,A624,mv_type,"Entrée"))</f>
        <v/>
      </c>
      <c r="L624" s="39" t="str">
        <f>IF(A624="","",SUMIFS(mv_qty,mv_ref,A624,mv_type,"Sortie"))</f>
        <v/>
      </c>
      <c r="M624" s="39" t="str">
        <f>IF(A624="","",ROUND(N(H624)+K624-L624,6))</f>
        <v/>
      </c>
      <c r="N624" s="40" t="str">
        <f>IF(A624="","",M624*N(G624))</f>
        <v/>
      </c>
      <c r="O624" s="39" t="str">
        <f>IF(A624="","",IF(M624&lt;=0,"Rupture",IF(AND(I624&lt;&gt;"",M624&lt;=N(I624)),"À commander","OK")))</f>
        <v/>
      </c>
      <c r="P624" s="39" t="str">
        <f>IF(OR(A624="",O624="OK",J624=""),"",MAX(N(J624)-M624,0))</f>
        <v/>
      </c>
      <c r="Q624" s="39" t="str">
        <f>IF(A624="",IF(COUNTA(B624:J624)&gt;0,"Référence manquante",""),IF(COUNTIF($A$5:$A$1004,A624)&gt;1,"Référence en double",IF(B624="","Désignation manquante","OK")))</f>
        <v/>
      </c>
      <c r="R624" s="39" t="str">
        <f>IF(OR(O624="Rupture",O624="À commander"),COUNTIF($O$5:O624,"Rupture")+COUNTIF($O$5:O624,"À commander"),"")</f>
        <v/>
      </c>
    </row>
    <row r="625">
      <c r="A625" s="37" t="n"/>
      <c r="B625" s="37" t="n"/>
      <c r="C625" s="37" t="n"/>
      <c r="D625" s="37" t="n"/>
      <c r="E625" s="37" t="n"/>
      <c r="F625" s="37" t="n"/>
      <c r="G625" s="38" t="n"/>
      <c r="H625" s="37" t="n"/>
      <c r="I625" s="37" t="n"/>
      <c r="J625" s="37" t="n"/>
      <c r="K625" s="39" t="str">
        <f>IF(A625="","",SUMIFS(mv_qty,mv_ref,A625,mv_type,"Entrée"))</f>
        <v/>
      </c>
      <c r="L625" s="39" t="str">
        <f>IF(A625="","",SUMIFS(mv_qty,mv_ref,A625,mv_type,"Sortie"))</f>
        <v/>
      </c>
      <c r="M625" s="39" t="str">
        <f>IF(A625="","",ROUND(N(H625)+K625-L625,6))</f>
        <v/>
      </c>
      <c r="N625" s="40" t="str">
        <f>IF(A625="","",M625*N(G625))</f>
        <v/>
      </c>
      <c r="O625" s="39" t="str">
        <f>IF(A625="","",IF(M625&lt;=0,"Rupture",IF(AND(I625&lt;&gt;"",M625&lt;=N(I625)),"À commander","OK")))</f>
        <v/>
      </c>
      <c r="P625" s="39" t="str">
        <f>IF(OR(A625="",O625="OK",J625=""),"",MAX(N(J625)-M625,0))</f>
        <v/>
      </c>
      <c r="Q625" s="39" t="str">
        <f>IF(A625="",IF(COUNTA(B625:J625)&gt;0,"Référence manquante",""),IF(COUNTIF($A$5:$A$1004,A625)&gt;1,"Référence en double",IF(B625="","Désignation manquante","OK")))</f>
        <v/>
      </c>
      <c r="R625" s="39" t="str">
        <f>IF(OR(O625="Rupture",O625="À commander"),COUNTIF($O$5:O625,"Rupture")+COUNTIF($O$5:O625,"À commander"),"")</f>
        <v/>
      </c>
    </row>
    <row r="626">
      <c r="A626" s="37" t="n"/>
      <c r="B626" s="37" t="n"/>
      <c r="C626" s="37" t="n"/>
      <c r="D626" s="37" t="n"/>
      <c r="E626" s="37" t="n"/>
      <c r="F626" s="37" t="n"/>
      <c r="G626" s="38" t="n"/>
      <c r="H626" s="37" t="n"/>
      <c r="I626" s="37" t="n"/>
      <c r="J626" s="37" t="n"/>
      <c r="K626" s="39" t="str">
        <f>IF(A626="","",SUMIFS(mv_qty,mv_ref,A626,mv_type,"Entrée"))</f>
        <v/>
      </c>
      <c r="L626" s="39" t="str">
        <f>IF(A626="","",SUMIFS(mv_qty,mv_ref,A626,mv_type,"Sortie"))</f>
        <v/>
      </c>
      <c r="M626" s="39" t="str">
        <f>IF(A626="","",ROUND(N(H626)+K626-L626,6))</f>
        <v/>
      </c>
      <c r="N626" s="40" t="str">
        <f>IF(A626="","",M626*N(G626))</f>
        <v/>
      </c>
      <c r="O626" s="39" t="str">
        <f>IF(A626="","",IF(M626&lt;=0,"Rupture",IF(AND(I626&lt;&gt;"",M626&lt;=N(I626)),"À commander","OK")))</f>
        <v/>
      </c>
      <c r="P626" s="39" t="str">
        <f>IF(OR(A626="",O626="OK",J626=""),"",MAX(N(J626)-M626,0))</f>
        <v/>
      </c>
      <c r="Q626" s="39" t="str">
        <f>IF(A626="",IF(COUNTA(B626:J626)&gt;0,"Référence manquante",""),IF(COUNTIF($A$5:$A$1004,A626)&gt;1,"Référence en double",IF(B626="","Désignation manquante","OK")))</f>
        <v/>
      </c>
      <c r="R626" s="39" t="str">
        <f>IF(OR(O626="Rupture",O626="À commander"),COUNTIF($O$5:O626,"Rupture")+COUNTIF($O$5:O626,"À commander"),"")</f>
        <v/>
      </c>
    </row>
    <row r="627">
      <c r="A627" s="37" t="n"/>
      <c r="B627" s="37" t="n"/>
      <c r="C627" s="37" t="n"/>
      <c r="D627" s="37" t="n"/>
      <c r="E627" s="37" t="n"/>
      <c r="F627" s="37" t="n"/>
      <c r="G627" s="38" t="n"/>
      <c r="H627" s="37" t="n"/>
      <c r="I627" s="37" t="n"/>
      <c r="J627" s="37" t="n"/>
      <c r="K627" s="39" t="str">
        <f>IF(A627="","",SUMIFS(mv_qty,mv_ref,A627,mv_type,"Entrée"))</f>
        <v/>
      </c>
      <c r="L627" s="39" t="str">
        <f>IF(A627="","",SUMIFS(mv_qty,mv_ref,A627,mv_type,"Sortie"))</f>
        <v/>
      </c>
      <c r="M627" s="39" t="str">
        <f>IF(A627="","",ROUND(N(H627)+K627-L627,6))</f>
        <v/>
      </c>
      <c r="N627" s="40" t="str">
        <f>IF(A627="","",M627*N(G627))</f>
        <v/>
      </c>
      <c r="O627" s="39" t="str">
        <f>IF(A627="","",IF(M627&lt;=0,"Rupture",IF(AND(I627&lt;&gt;"",M627&lt;=N(I627)),"À commander","OK")))</f>
        <v/>
      </c>
      <c r="P627" s="39" t="str">
        <f>IF(OR(A627="",O627="OK",J627=""),"",MAX(N(J627)-M627,0))</f>
        <v/>
      </c>
      <c r="Q627" s="39" t="str">
        <f>IF(A627="",IF(COUNTA(B627:J627)&gt;0,"Référence manquante",""),IF(COUNTIF($A$5:$A$1004,A627)&gt;1,"Référence en double",IF(B627="","Désignation manquante","OK")))</f>
        <v/>
      </c>
      <c r="R627" s="39" t="str">
        <f>IF(OR(O627="Rupture",O627="À commander"),COUNTIF($O$5:O627,"Rupture")+COUNTIF($O$5:O627,"À commander"),"")</f>
        <v/>
      </c>
    </row>
    <row r="628">
      <c r="A628" s="37" t="n"/>
      <c r="B628" s="37" t="n"/>
      <c r="C628" s="37" t="n"/>
      <c r="D628" s="37" t="n"/>
      <c r="E628" s="37" t="n"/>
      <c r="F628" s="37" t="n"/>
      <c r="G628" s="38" t="n"/>
      <c r="H628" s="37" t="n"/>
      <c r="I628" s="37" t="n"/>
      <c r="J628" s="37" t="n"/>
      <c r="K628" s="39" t="str">
        <f>IF(A628="","",SUMIFS(mv_qty,mv_ref,A628,mv_type,"Entrée"))</f>
        <v/>
      </c>
      <c r="L628" s="39" t="str">
        <f>IF(A628="","",SUMIFS(mv_qty,mv_ref,A628,mv_type,"Sortie"))</f>
        <v/>
      </c>
      <c r="M628" s="39" t="str">
        <f>IF(A628="","",ROUND(N(H628)+K628-L628,6))</f>
        <v/>
      </c>
      <c r="N628" s="40" t="str">
        <f>IF(A628="","",M628*N(G628))</f>
        <v/>
      </c>
      <c r="O628" s="39" t="str">
        <f>IF(A628="","",IF(M628&lt;=0,"Rupture",IF(AND(I628&lt;&gt;"",M628&lt;=N(I628)),"À commander","OK")))</f>
        <v/>
      </c>
      <c r="P628" s="39" t="str">
        <f>IF(OR(A628="",O628="OK",J628=""),"",MAX(N(J628)-M628,0))</f>
        <v/>
      </c>
      <c r="Q628" s="39" t="str">
        <f>IF(A628="",IF(COUNTA(B628:J628)&gt;0,"Référence manquante",""),IF(COUNTIF($A$5:$A$1004,A628)&gt;1,"Référence en double",IF(B628="","Désignation manquante","OK")))</f>
        <v/>
      </c>
      <c r="R628" s="39" t="str">
        <f>IF(OR(O628="Rupture",O628="À commander"),COUNTIF($O$5:O628,"Rupture")+COUNTIF($O$5:O628,"À commander"),"")</f>
        <v/>
      </c>
    </row>
    <row r="629">
      <c r="A629" s="37" t="n"/>
      <c r="B629" s="37" t="n"/>
      <c r="C629" s="37" t="n"/>
      <c r="D629" s="37" t="n"/>
      <c r="E629" s="37" t="n"/>
      <c r="F629" s="37" t="n"/>
      <c r="G629" s="38" t="n"/>
      <c r="H629" s="37" t="n"/>
      <c r="I629" s="37" t="n"/>
      <c r="J629" s="37" t="n"/>
      <c r="K629" s="39" t="str">
        <f>IF(A629="","",SUMIFS(mv_qty,mv_ref,A629,mv_type,"Entrée"))</f>
        <v/>
      </c>
      <c r="L629" s="39" t="str">
        <f>IF(A629="","",SUMIFS(mv_qty,mv_ref,A629,mv_type,"Sortie"))</f>
        <v/>
      </c>
      <c r="M629" s="39" t="str">
        <f>IF(A629="","",ROUND(N(H629)+K629-L629,6))</f>
        <v/>
      </c>
      <c r="N629" s="40" t="str">
        <f>IF(A629="","",M629*N(G629))</f>
        <v/>
      </c>
      <c r="O629" s="39" t="str">
        <f>IF(A629="","",IF(M629&lt;=0,"Rupture",IF(AND(I629&lt;&gt;"",M629&lt;=N(I629)),"À commander","OK")))</f>
        <v/>
      </c>
      <c r="P629" s="39" t="str">
        <f>IF(OR(A629="",O629="OK",J629=""),"",MAX(N(J629)-M629,0))</f>
        <v/>
      </c>
      <c r="Q629" s="39" t="str">
        <f>IF(A629="",IF(COUNTA(B629:J629)&gt;0,"Référence manquante",""),IF(COUNTIF($A$5:$A$1004,A629)&gt;1,"Référence en double",IF(B629="","Désignation manquante","OK")))</f>
        <v/>
      </c>
      <c r="R629" s="39" t="str">
        <f>IF(OR(O629="Rupture",O629="À commander"),COUNTIF($O$5:O629,"Rupture")+COUNTIF($O$5:O629,"À commander"),"")</f>
        <v/>
      </c>
    </row>
    <row r="630">
      <c r="A630" s="37" t="n"/>
      <c r="B630" s="37" t="n"/>
      <c r="C630" s="37" t="n"/>
      <c r="D630" s="37" t="n"/>
      <c r="E630" s="37" t="n"/>
      <c r="F630" s="37" t="n"/>
      <c r="G630" s="38" t="n"/>
      <c r="H630" s="37" t="n"/>
      <c r="I630" s="37" t="n"/>
      <c r="J630" s="37" t="n"/>
      <c r="K630" s="39" t="str">
        <f>IF(A630="","",SUMIFS(mv_qty,mv_ref,A630,mv_type,"Entrée"))</f>
        <v/>
      </c>
      <c r="L630" s="39" t="str">
        <f>IF(A630="","",SUMIFS(mv_qty,mv_ref,A630,mv_type,"Sortie"))</f>
        <v/>
      </c>
      <c r="M630" s="39" t="str">
        <f>IF(A630="","",ROUND(N(H630)+K630-L630,6))</f>
        <v/>
      </c>
      <c r="N630" s="40" t="str">
        <f>IF(A630="","",M630*N(G630))</f>
        <v/>
      </c>
      <c r="O630" s="39" t="str">
        <f>IF(A630="","",IF(M630&lt;=0,"Rupture",IF(AND(I630&lt;&gt;"",M630&lt;=N(I630)),"À commander","OK")))</f>
        <v/>
      </c>
      <c r="P630" s="39" t="str">
        <f>IF(OR(A630="",O630="OK",J630=""),"",MAX(N(J630)-M630,0))</f>
        <v/>
      </c>
      <c r="Q630" s="39" t="str">
        <f>IF(A630="",IF(COUNTA(B630:J630)&gt;0,"Référence manquante",""),IF(COUNTIF($A$5:$A$1004,A630)&gt;1,"Référence en double",IF(B630="","Désignation manquante","OK")))</f>
        <v/>
      </c>
      <c r="R630" s="39" t="str">
        <f>IF(OR(O630="Rupture",O630="À commander"),COUNTIF($O$5:O630,"Rupture")+COUNTIF($O$5:O630,"À commander"),"")</f>
        <v/>
      </c>
    </row>
    <row r="631">
      <c r="A631" s="37" t="n"/>
      <c r="B631" s="37" t="n"/>
      <c r="C631" s="37" t="n"/>
      <c r="D631" s="37" t="n"/>
      <c r="E631" s="37" t="n"/>
      <c r="F631" s="37" t="n"/>
      <c r="G631" s="38" t="n"/>
      <c r="H631" s="37" t="n"/>
      <c r="I631" s="37" t="n"/>
      <c r="J631" s="37" t="n"/>
      <c r="K631" s="39" t="str">
        <f>IF(A631="","",SUMIFS(mv_qty,mv_ref,A631,mv_type,"Entrée"))</f>
        <v/>
      </c>
      <c r="L631" s="39" t="str">
        <f>IF(A631="","",SUMIFS(mv_qty,mv_ref,A631,mv_type,"Sortie"))</f>
        <v/>
      </c>
      <c r="M631" s="39" t="str">
        <f>IF(A631="","",ROUND(N(H631)+K631-L631,6))</f>
        <v/>
      </c>
      <c r="N631" s="40" t="str">
        <f>IF(A631="","",M631*N(G631))</f>
        <v/>
      </c>
      <c r="O631" s="39" t="str">
        <f>IF(A631="","",IF(M631&lt;=0,"Rupture",IF(AND(I631&lt;&gt;"",M631&lt;=N(I631)),"À commander","OK")))</f>
        <v/>
      </c>
      <c r="P631" s="39" t="str">
        <f>IF(OR(A631="",O631="OK",J631=""),"",MAX(N(J631)-M631,0))</f>
        <v/>
      </c>
      <c r="Q631" s="39" t="str">
        <f>IF(A631="",IF(COUNTA(B631:J631)&gt;0,"Référence manquante",""),IF(COUNTIF($A$5:$A$1004,A631)&gt;1,"Référence en double",IF(B631="","Désignation manquante","OK")))</f>
        <v/>
      </c>
      <c r="R631" s="39" t="str">
        <f>IF(OR(O631="Rupture",O631="À commander"),COUNTIF($O$5:O631,"Rupture")+COUNTIF($O$5:O631,"À commander"),"")</f>
        <v/>
      </c>
    </row>
    <row r="632">
      <c r="A632" s="37" t="n"/>
      <c r="B632" s="37" t="n"/>
      <c r="C632" s="37" t="n"/>
      <c r="D632" s="37" t="n"/>
      <c r="E632" s="37" t="n"/>
      <c r="F632" s="37" t="n"/>
      <c r="G632" s="38" t="n"/>
      <c r="H632" s="37" t="n"/>
      <c r="I632" s="37" t="n"/>
      <c r="J632" s="37" t="n"/>
      <c r="K632" s="39" t="str">
        <f>IF(A632="","",SUMIFS(mv_qty,mv_ref,A632,mv_type,"Entrée"))</f>
        <v/>
      </c>
      <c r="L632" s="39" t="str">
        <f>IF(A632="","",SUMIFS(mv_qty,mv_ref,A632,mv_type,"Sortie"))</f>
        <v/>
      </c>
      <c r="M632" s="39" t="str">
        <f>IF(A632="","",ROUND(N(H632)+K632-L632,6))</f>
        <v/>
      </c>
      <c r="N632" s="40" t="str">
        <f>IF(A632="","",M632*N(G632))</f>
        <v/>
      </c>
      <c r="O632" s="39" t="str">
        <f>IF(A632="","",IF(M632&lt;=0,"Rupture",IF(AND(I632&lt;&gt;"",M632&lt;=N(I632)),"À commander","OK")))</f>
        <v/>
      </c>
      <c r="P632" s="39" t="str">
        <f>IF(OR(A632="",O632="OK",J632=""),"",MAX(N(J632)-M632,0))</f>
        <v/>
      </c>
      <c r="Q632" s="39" t="str">
        <f>IF(A632="",IF(COUNTA(B632:J632)&gt;0,"Référence manquante",""),IF(COUNTIF($A$5:$A$1004,A632)&gt;1,"Référence en double",IF(B632="","Désignation manquante","OK")))</f>
        <v/>
      </c>
      <c r="R632" s="39" t="str">
        <f>IF(OR(O632="Rupture",O632="À commander"),COUNTIF($O$5:O632,"Rupture")+COUNTIF($O$5:O632,"À commander"),"")</f>
        <v/>
      </c>
    </row>
    <row r="633">
      <c r="A633" s="37" t="n"/>
      <c r="B633" s="37" t="n"/>
      <c r="C633" s="37" t="n"/>
      <c r="D633" s="37" t="n"/>
      <c r="E633" s="37" t="n"/>
      <c r="F633" s="37" t="n"/>
      <c r="G633" s="38" t="n"/>
      <c r="H633" s="37" t="n"/>
      <c r="I633" s="37" t="n"/>
      <c r="J633" s="37" t="n"/>
      <c r="K633" s="39" t="str">
        <f>IF(A633="","",SUMIFS(mv_qty,mv_ref,A633,mv_type,"Entrée"))</f>
        <v/>
      </c>
      <c r="L633" s="39" t="str">
        <f>IF(A633="","",SUMIFS(mv_qty,mv_ref,A633,mv_type,"Sortie"))</f>
        <v/>
      </c>
      <c r="M633" s="39" t="str">
        <f>IF(A633="","",ROUND(N(H633)+K633-L633,6))</f>
        <v/>
      </c>
      <c r="N633" s="40" t="str">
        <f>IF(A633="","",M633*N(G633))</f>
        <v/>
      </c>
      <c r="O633" s="39" t="str">
        <f>IF(A633="","",IF(M633&lt;=0,"Rupture",IF(AND(I633&lt;&gt;"",M633&lt;=N(I633)),"À commander","OK")))</f>
        <v/>
      </c>
      <c r="P633" s="39" t="str">
        <f>IF(OR(A633="",O633="OK",J633=""),"",MAX(N(J633)-M633,0))</f>
        <v/>
      </c>
      <c r="Q633" s="39" t="str">
        <f>IF(A633="",IF(COUNTA(B633:J633)&gt;0,"Référence manquante",""),IF(COUNTIF($A$5:$A$1004,A633)&gt;1,"Référence en double",IF(B633="","Désignation manquante","OK")))</f>
        <v/>
      </c>
      <c r="R633" s="39" t="str">
        <f>IF(OR(O633="Rupture",O633="À commander"),COUNTIF($O$5:O633,"Rupture")+COUNTIF($O$5:O633,"À commander"),"")</f>
        <v/>
      </c>
    </row>
    <row r="634">
      <c r="A634" s="37" t="n"/>
      <c r="B634" s="37" t="n"/>
      <c r="C634" s="37" t="n"/>
      <c r="D634" s="37" t="n"/>
      <c r="E634" s="37" t="n"/>
      <c r="F634" s="37" t="n"/>
      <c r="G634" s="38" t="n"/>
      <c r="H634" s="37" t="n"/>
      <c r="I634" s="37" t="n"/>
      <c r="J634" s="37" t="n"/>
      <c r="K634" s="39" t="str">
        <f>IF(A634="","",SUMIFS(mv_qty,mv_ref,A634,mv_type,"Entrée"))</f>
        <v/>
      </c>
      <c r="L634" s="39" t="str">
        <f>IF(A634="","",SUMIFS(mv_qty,mv_ref,A634,mv_type,"Sortie"))</f>
        <v/>
      </c>
      <c r="M634" s="39" t="str">
        <f>IF(A634="","",ROUND(N(H634)+K634-L634,6))</f>
        <v/>
      </c>
      <c r="N634" s="40" t="str">
        <f>IF(A634="","",M634*N(G634))</f>
        <v/>
      </c>
      <c r="O634" s="39" t="str">
        <f>IF(A634="","",IF(M634&lt;=0,"Rupture",IF(AND(I634&lt;&gt;"",M634&lt;=N(I634)),"À commander","OK")))</f>
        <v/>
      </c>
      <c r="P634" s="39" t="str">
        <f>IF(OR(A634="",O634="OK",J634=""),"",MAX(N(J634)-M634,0))</f>
        <v/>
      </c>
      <c r="Q634" s="39" t="str">
        <f>IF(A634="",IF(COUNTA(B634:J634)&gt;0,"Référence manquante",""),IF(COUNTIF($A$5:$A$1004,A634)&gt;1,"Référence en double",IF(B634="","Désignation manquante","OK")))</f>
        <v/>
      </c>
      <c r="R634" s="39" t="str">
        <f>IF(OR(O634="Rupture",O634="À commander"),COUNTIF($O$5:O634,"Rupture")+COUNTIF($O$5:O634,"À commander"),"")</f>
        <v/>
      </c>
    </row>
    <row r="635">
      <c r="A635" s="37" t="n"/>
      <c r="B635" s="37" t="n"/>
      <c r="C635" s="37" t="n"/>
      <c r="D635" s="37" t="n"/>
      <c r="E635" s="37" t="n"/>
      <c r="F635" s="37" t="n"/>
      <c r="G635" s="38" t="n"/>
      <c r="H635" s="37" t="n"/>
      <c r="I635" s="37" t="n"/>
      <c r="J635" s="37" t="n"/>
      <c r="K635" s="39" t="str">
        <f>IF(A635="","",SUMIFS(mv_qty,mv_ref,A635,mv_type,"Entrée"))</f>
        <v/>
      </c>
      <c r="L635" s="39" t="str">
        <f>IF(A635="","",SUMIFS(mv_qty,mv_ref,A635,mv_type,"Sortie"))</f>
        <v/>
      </c>
      <c r="M635" s="39" t="str">
        <f>IF(A635="","",ROUND(N(H635)+K635-L635,6))</f>
        <v/>
      </c>
      <c r="N635" s="40" t="str">
        <f>IF(A635="","",M635*N(G635))</f>
        <v/>
      </c>
      <c r="O635" s="39" t="str">
        <f>IF(A635="","",IF(M635&lt;=0,"Rupture",IF(AND(I635&lt;&gt;"",M635&lt;=N(I635)),"À commander","OK")))</f>
        <v/>
      </c>
      <c r="P635" s="39" t="str">
        <f>IF(OR(A635="",O635="OK",J635=""),"",MAX(N(J635)-M635,0))</f>
        <v/>
      </c>
      <c r="Q635" s="39" t="str">
        <f>IF(A635="",IF(COUNTA(B635:J635)&gt;0,"Référence manquante",""),IF(COUNTIF($A$5:$A$1004,A635)&gt;1,"Référence en double",IF(B635="","Désignation manquante","OK")))</f>
        <v/>
      </c>
      <c r="R635" s="39" t="str">
        <f>IF(OR(O635="Rupture",O635="À commander"),COUNTIF($O$5:O635,"Rupture")+COUNTIF($O$5:O635,"À commander"),"")</f>
        <v/>
      </c>
    </row>
    <row r="636">
      <c r="A636" s="37" t="n"/>
      <c r="B636" s="37" t="n"/>
      <c r="C636" s="37" t="n"/>
      <c r="D636" s="37" t="n"/>
      <c r="E636" s="37" t="n"/>
      <c r="F636" s="37" t="n"/>
      <c r="G636" s="38" t="n"/>
      <c r="H636" s="37" t="n"/>
      <c r="I636" s="37" t="n"/>
      <c r="J636" s="37" t="n"/>
      <c r="K636" s="39" t="str">
        <f>IF(A636="","",SUMIFS(mv_qty,mv_ref,A636,mv_type,"Entrée"))</f>
        <v/>
      </c>
      <c r="L636" s="39" t="str">
        <f>IF(A636="","",SUMIFS(mv_qty,mv_ref,A636,mv_type,"Sortie"))</f>
        <v/>
      </c>
      <c r="M636" s="39" t="str">
        <f>IF(A636="","",ROUND(N(H636)+K636-L636,6))</f>
        <v/>
      </c>
      <c r="N636" s="40" t="str">
        <f>IF(A636="","",M636*N(G636))</f>
        <v/>
      </c>
      <c r="O636" s="39" t="str">
        <f>IF(A636="","",IF(M636&lt;=0,"Rupture",IF(AND(I636&lt;&gt;"",M636&lt;=N(I636)),"À commander","OK")))</f>
        <v/>
      </c>
      <c r="P636" s="39" t="str">
        <f>IF(OR(A636="",O636="OK",J636=""),"",MAX(N(J636)-M636,0))</f>
        <v/>
      </c>
      <c r="Q636" s="39" t="str">
        <f>IF(A636="",IF(COUNTA(B636:J636)&gt;0,"Référence manquante",""),IF(COUNTIF($A$5:$A$1004,A636)&gt;1,"Référence en double",IF(B636="","Désignation manquante","OK")))</f>
        <v/>
      </c>
      <c r="R636" s="39" t="str">
        <f>IF(OR(O636="Rupture",O636="À commander"),COUNTIF($O$5:O636,"Rupture")+COUNTIF($O$5:O636,"À commander"),"")</f>
        <v/>
      </c>
    </row>
    <row r="637">
      <c r="A637" s="37" t="n"/>
      <c r="B637" s="37" t="n"/>
      <c r="C637" s="37" t="n"/>
      <c r="D637" s="37" t="n"/>
      <c r="E637" s="37" t="n"/>
      <c r="F637" s="37" t="n"/>
      <c r="G637" s="38" t="n"/>
      <c r="H637" s="37" t="n"/>
      <c r="I637" s="37" t="n"/>
      <c r="J637" s="37" t="n"/>
      <c r="K637" s="39" t="str">
        <f>IF(A637="","",SUMIFS(mv_qty,mv_ref,A637,mv_type,"Entrée"))</f>
        <v/>
      </c>
      <c r="L637" s="39" t="str">
        <f>IF(A637="","",SUMIFS(mv_qty,mv_ref,A637,mv_type,"Sortie"))</f>
        <v/>
      </c>
      <c r="M637" s="39" t="str">
        <f>IF(A637="","",ROUND(N(H637)+K637-L637,6))</f>
        <v/>
      </c>
      <c r="N637" s="40" t="str">
        <f>IF(A637="","",M637*N(G637))</f>
        <v/>
      </c>
      <c r="O637" s="39" t="str">
        <f>IF(A637="","",IF(M637&lt;=0,"Rupture",IF(AND(I637&lt;&gt;"",M637&lt;=N(I637)),"À commander","OK")))</f>
        <v/>
      </c>
      <c r="P637" s="39" t="str">
        <f>IF(OR(A637="",O637="OK",J637=""),"",MAX(N(J637)-M637,0))</f>
        <v/>
      </c>
      <c r="Q637" s="39" t="str">
        <f>IF(A637="",IF(COUNTA(B637:J637)&gt;0,"Référence manquante",""),IF(COUNTIF($A$5:$A$1004,A637)&gt;1,"Référence en double",IF(B637="","Désignation manquante","OK")))</f>
        <v/>
      </c>
      <c r="R637" s="39" t="str">
        <f>IF(OR(O637="Rupture",O637="À commander"),COUNTIF($O$5:O637,"Rupture")+COUNTIF($O$5:O637,"À commander"),"")</f>
        <v/>
      </c>
    </row>
    <row r="638">
      <c r="A638" s="37" t="n"/>
      <c r="B638" s="37" t="n"/>
      <c r="C638" s="37" t="n"/>
      <c r="D638" s="37" t="n"/>
      <c r="E638" s="37" t="n"/>
      <c r="F638" s="37" t="n"/>
      <c r="G638" s="38" t="n"/>
      <c r="H638" s="37" t="n"/>
      <c r="I638" s="37" t="n"/>
      <c r="J638" s="37" t="n"/>
      <c r="K638" s="39" t="str">
        <f>IF(A638="","",SUMIFS(mv_qty,mv_ref,A638,mv_type,"Entrée"))</f>
        <v/>
      </c>
      <c r="L638" s="39" t="str">
        <f>IF(A638="","",SUMIFS(mv_qty,mv_ref,A638,mv_type,"Sortie"))</f>
        <v/>
      </c>
      <c r="M638" s="39" t="str">
        <f>IF(A638="","",ROUND(N(H638)+K638-L638,6))</f>
        <v/>
      </c>
      <c r="N638" s="40" t="str">
        <f>IF(A638="","",M638*N(G638))</f>
        <v/>
      </c>
      <c r="O638" s="39" t="str">
        <f>IF(A638="","",IF(M638&lt;=0,"Rupture",IF(AND(I638&lt;&gt;"",M638&lt;=N(I638)),"À commander","OK")))</f>
        <v/>
      </c>
      <c r="P638" s="39" t="str">
        <f>IF(OR(A638="",O638="OK",J638=""),"",MAX(N(J638)-M638,0))</f>
        <v/>
      </c>
      <c r="Q638" s="39" t="str">
        <f>IF(A638="",IF(COUNTA(B638:J638)&gt;0,"Référence manquante",""),IF(COUNTIF($A$5:$A$1004,A638)&gt;1,"Référence en double",IF(B638="","Désignation manquante","OK")))</f>
        <v/>
      </c>
      <c r="R638" s="39" t="str">
        <f>IF(OR(O638="Rupture",O638="À commander"),COUNTIF($O$5:O638,"Rupture")+COUNTIF($O$5:O638,"À commander"),"")</f>
        <v/>
      </c>
    </row>
    <row r="639">
      <c r="A639" s="37" t="n"/>
      <c r="B639" s="37" t="n"/>
      <c r="C639" s="37" t="n"/>
      <c r="D639" s="37" t="n"/>
      <c r="E639" s="37" t="n"/>
      <c r="F639" s="37" t="n"/>
      <c r="G639" s="38" t="n"/>
      <c r="H639" s="37" t="n"/>
      <c r="I639" s="37" t="n"/>
      <c r="J639" s="37" t="n"/>
      <c r="K639" s="39" t="str">
        <f>IF(A639="","",SUMIFS(mv_qty,mv_ref,A639,mv_type,"Entrée"))</f>
        <v/>
      </c>
      <c r="L639" s="39" t="str">
        <f>IF(A639="","",SUMIFS(mv_qty,mv_ref,A639,mv_type,"Sortie"))</f>
        <v/>
      </c>
      <c r="M639" s="39" t="str">
        <f>IF(A639="","",ROUND(N(H639)+K639-L639,6))</f>
        <v/>
      </c>
      <c r="N639" s="40" t="str">
        <f>IF(A639="","",M639*N(G639))</f>
        <v/>
      </c>
      <c r="O639" s="39" t="str">
        <f>IF(A639="","",IF(M639&lt;=0,"Rupture",IF(AND(I639&lt;&gt;"",M639&lt;=N(I639)),"À commander","OK")))</f>
        <v/>
      </c>
      <c r="P639" s="39" t="str">
        <f>IF(OR(A639="",O639="OK",J639=""),"",MAX(N(J639)-M639,0))</f>
        <v/>
      </c>
      <c r="Q639" s="39" t="str">
        <f>IF(A639="",IF(COUNTA(B639:J639)&gt;0,"Référence manquante",""),IF(COUNTIF($A$5:$A$1004,A639)&gt;1,"Référence en double",IF(B639="","Désignation manquante","OK")))</f>
        <v/>
      </c>
      <c r="R639" s="39" t="str">
        <f>IF(OR(O639="Rupture",O639="À commander"),COUNTIF($O$5:O639,"Rupture")+COUNTIF($O$5:O639,"À commander"),"")</f>
        <v/>
      </c>
    </row>
    <row r="640">
      <c r="A640" s="37" t="n"/>
      <c r="B640" s="37" t="n"/>
      <c r="C640" s="37" t="n"/>
      <c r="D640" s="37" t="n"/>
      <c r="E640" s="37" t="n"/>
      <c r="F640" s="37" t="n"/>
      <c r="G640" s="38" t="n"/>
      <c r="H640" s="37" t="n"/>
      <c r="I640" s="37" t="n"/>
      <c r="J640" s="37" t="n"/>
      <c r="K640" s="39" t="str">
        <f>IF(A640="","",SUMIFS(mv_qty,mv_ref,A640,mv_type,"Entrée"))</f>
        <v/>
      </c>
      <c r="L640" s="39" t="str">
        <f>IF(A640="","",SUMIFS(mv_qty,mv_ref,A640,mv_type,"Sortie"))</f>
        <v/>
      </c>
      <c r="M640" s="39" t="str">
        <f>IF(A640="","",ROUND(N(H640)+K640-L640,6))</f>
        <v/>
      </c>
      <c r="N640" s="40" t="str">
        <f>IF(A640="","",M640*N(G640))</f>
        <v/>
      </c>
      <c r="O640" s="39" t="str">
        <f>IF(A640="","",IF(M640&lt;=0,"Rupture",IF(AND(I640&lt;&gt;"",M640&lt;=N(I640)),"À commander","OK")))</f>
        <v/>
      </c>
      <c r="P640" s="39" t="str">
        <f>IF(OR(A640="",O640="OK",J640=""),"",MAX(N(J640)-M640,0))</f>
        <v/>
      </c>
      <c r="Q640" s="39" t="str">
        <f>IF(A640="",IF(COUNTA(B640:J640)&gt;0,"Référence manquante",""),IF(COUNTIF($A$5:$A$1004,A640)&gt;1,"Référence en double",IF(B640="","Désignation manquante","OK")))</f>
        <v/>
      </c>
      <c r="R640" s="39" t="str">
        <f>IF(OR(O640="Rupture",O640="À commander"),COUNTIF($O$5:O640,"Rupture")+COUNTIF($O$5:O640,"À commander"),"")</f>
        <v/>
      </c>
    </row>
    <row r="641">
      <c r="A641" s="37" t="n"/>
      <c r="B641" s="37" t="n"/>
      <c r="C641" s="37" t="n"/>
      <c r="D641" s="37" t="n"/>
      <c r="E641" s="37" t="n"/>
      <c r="F641" s="37" t="n"/>
      <c r="G641" s="38" t="n"/>
      <c r="H641" s="37" t="n"/>
      <c r="I641" s="37" t="n"/>
      <c r="J641" s="37" t="n"/>
      <c r="K641" s="39" t="str">
        <f>IF(A641="","",SUMIFS(mv_qty,mv_ref,A641,mv_type,"Entrée"))</f>
        <v/>
      </c>
      <c r="L641" s="39" t="str">
        <f>IF(A641="","",SUMIFS(mv_qty,mv_ref,A641,mv_type,"Sortie"))</f>
        <v/>
      </c>
      <c r="M641" s="39" t="str">
        <f>IF(A641="","",ROUND(N(H641)+K641-L641,6))</f>
        <v/>
      </c>
      <c r="N641" s="40" t="str">
        <f>IF(A641="","",M641*N(G641))</f>
        <v/>
      </c>
      <c r="O641" s="39" t="str">
        <f>IF(A641="","",IF(M641&lt;=0,"Rupture",IF(AND(I641&lt;&gt;"",M641&lt;=N(I641)),"À commander","OK")))</f>
        <v/>
      </c>
      <c r="P641" s="39" t="str">
        <f>IF(OR(A641="",O641="OK",J641=""),"",MAX(N(J641)-M641,0))</f>
        <v/>
      </c>
      <c r="Q641" s="39" t="str">
        <f>IF(A641="",IF(COUNTA(B641:J641)&gt;0,"Référence manquante",""),IF(COUNTIF($A$5:$A$1004,A641)&gt;1,"Référence en double",IF(B641="","Désignation manquante","OK")))</f>
        <v/>
      </c>
      <c r="R641" s="39" t="str">
        <f>IF(OR(O641="Rupture",O641="À commander"),COUNTIF($O$5:O641,"Rupture")+COUNTIF($O$5:O641,"À commander"),"")</f>
        <v/>
      </c>
    </row>
    <row r="642">
      <c r="A642" s="37" t="n"/>
      <c r="B642" s="37" t="n"/>
      <c r="C642" s="37" t="n"/>
      <c r="D642" s="37" t="n"/>
      <c r="E642" s="37" t="n"/>
      <c r="F642" s="37" t="n"/>
      <c r="G642" s="38" t="n"/>
      <c r="H642" s="37" t="n"/>
      <c r="I642" s="37" t="n"/>
      <c r="J642" s="37" t="n"/>
      <c r="K642" s="39" t="str">
        <f>IF(A642="","",SUMIFS(mv_qty,mv_ref,A642,mv_type,"Entrée"))</f>
        <v/>
      </c>
      <c r="L642" s="39" t="str">
        <f>IF(A642="","",SUMIFS(mv_qty,mv_ref,A642,mv_type,"Sortie"))</f>
        <v/>
      </c>
      <c r="M642" s="39" t="str">
        <f>IF(A642="","",ROUND(N(H642)+K642-L642,6))</f>
        <v/>
      </c>
      <c r="N642" s="40" t="str">
        <f>IF(A642="","",M642*N(G642))</f>
        <v/>
      </c>
      <c r="O642" s="39" t="str">
        <f>IF(A642="","",IF(M642&lt;=0,"Rupture",IF(AND(I642&lt;&gt;"",M642&lt;=N(I642)),"À commander","OK")))</f>
        <v/>
      </c>
      <c r="P642" s="39" t="str">
        <f>IF(OR(A642="",O642="OK",J642=""),"",MAX(N(J642)-M642,0))</f>
        <v/>
      </c>
      <c r="Q642" s="39" t="str">
        <f>IF(A642="",IF(COUNTA(B642:J642)&gt;0,"Référence manquante",""),IF(COUNTIF($A$5:$A$1004,A642)&gt;1,"Référence en double",IF(B642="","Désignation manquante","OK")))</f>
        <v/>
      </c>
      <c r="R642" s="39" t="str">
        <f>IF(OR(O642="Rupture",O642="À commander"),COUNTIF($O$5:O642,"Rupture")+COUNTIF($O$5:O642,"À commander"),"")</f>
        <v/>
      </c>
    </row>
    <row r="643">
      <c r="A643" s="37" t="n"/>
      <c r="B643" s="37" t="n"/>
      <c r="C643" s="37" t="n"/>
      <c r="D643" s="37" t="n"/>
      <c r="E643" s="37" t="n"/>
      <c r="F643" s="37" t="n"/>
      <c r="G643" s="38" t="n"/>
      <c r="H643" s="37" t="n"/>
      <c r="I643" s="37" t="n"/>
      <c r="J643" s="37" t="n"/>
      <c r="K643" s="39" t="str">
        <f>IF(A643="","",SUMIFS(mv_qty,mv_ref,A643,mv_type,"Entrée"))</f>
        <v/>
      </c>
      <c r="L643" s="39" t="str">
        <f>IF(A643="","",SUMIFS(mv_qty,mv_ref,A643,mv_type,"Sortie"))</f>
        <v/>
      </c>
      <c r="M643" s="39" t="str">
        <f>IF(A643="","",ROUND(N(H643)+K643-L643,6))</f>
        <v/>
      </c>
      <c r="N643" s="40" t="str">
        <f>IF(A643="","",M643*N(G643))</f>
        <v/>
      </c>
      <c r="O643" s="39" t="str">
        <f>IF(A643="","",IF(M643&lt;=0,"Rupture",IF(AND(I643&lt;&gt;"",M643&lt;=N(I643)),"À commander","OK")))</f>
        <v/>
      </c>
      <c r="P643" s="39" t="str">
        <f>IF(OR(A643="",O643="OK",J643=""),"",MAX(N(J643)-M643,0))</f>
        <v/>
      </c>
      <c r="Q643" s="39" t="str">
        <f>IF(A643="",IF(COUNTA(B643:J643)&gt;0,"Référence manquante",""),IF(COUNTIF($A$5:$A$1004,A643)&gt;1,"Référence en double",IF(B643="","Désignation manquante","OK")))</f>
        <v/>
      </c>
      <c r="R643" s="39" t="str">
        <f>IF(OR(O643="Rupture",O643="À commander"),COUNTIF($O$5:O643,"Rupture")+COUNTIF($O$5:O643,"À commander"),"")</f>
        <v/>
      </c>
    </row>
    <row r="644">
      <c r="A644" s="37" t="n"/>
      <c r="B644" s="37" t="n"/>
      <c r="C644" s="37" t="n"/>
      <c r="D644" s="37" t="n"/>
      <c r="E644" s="37" t="n"/>
      <c r="F644" s="37" t="n"/>
      <c r="G644" s="38" t="n"/>
      <c r="H644" s="37" t="n"/>
      <c r="I644" s="37" t="n"/>
      <c r="J644" s="37" t="n"/>
      <c r="K644" s="39" t="str">
        <f>IF(A644="","",SUMIFS(mv_qty,mv_ref,A644,mv_type,"Entrée"))</f>
        <v/>
      </c>
      <c r="L644" s="39" t="str">
        <f>IF(A644="","",SUMIFS(mv_qty,mv_ref,A644,mv_type,"Sortie"))</f>
        <v/>
      </c>
      <c r="M644" s="39" t="str">
        <f>IF(A644="","",ROUND(N(H644)+K644-L644,6))</f>
        <v/>
      </c>
      <c r="N644" s="40" t="str">
        <f>IF(A644="","",M644*N(G644))</f>
        <v/>
      </c>
      <c r="O644" s="39" t="str">
        <f>IF(A644="","",IF(M644&lt;=0,"Rupture",IF(AND(I644&lt;&gt;"",M644&lt;=N(I644)),"À commander","OK")))</f>
        <v/>
      </c>
      <c r="P644" s="39" t="str">
        <f>IF(OR(A644="",O644="OK",J644=""),"",MAX(N(J644)-M644,0))</f>
        <v/>
      </c>
      <c r="Q644" s="39" t="str">
        <f>IF(A644="",IF(COUNTA(B644:J644)&gt;0,"Référence manquante",""),IF(COUNTIF($A$5:$A$1004,A644)&gt;1,"Référence en double",IF(B644="","Désignation manquante","OK")))</f>
        <v/>
      </c>
      <c r="R644" s="39" t="str">
        <f>IF(OR(O644="Rupture",O644="À commander"),COUNTIF($O$5:O644,"Rupture")+COUNTIF($O$5:O644,"À commander"),"")</f>
        <v/>
      </c>
    </row>
    <row r="645">
      <c r="A645" s="37" t="n"/>
      <c r="B645" s="37" t="n"/>
      <c r="C645" s="37" t="n"/>
      <c r="D645" s="37" t="n"/>
      <c r="E645" s="37" t="n"/>
      <c r="F645" s="37" t="n"/>
      <c r="G645" s="38" t="n"/>
      <c r="H645" s="37" t="n"/>
      <c r="I645" s="37" t="n"/>
      <c r="J645" s="37" t="n"/>
      <c r="K645" s="39" t="str">
        <f>IF(A645="","",SUMIFS(mv_qty,mv_ref,A645,mv_type,"Entrée"))</f>
        <v/>
      </c>
      <c r="L645" s="39" t="str">
        <f>IF(A645="","",SUMIFS(mv_qty,mv_ref,A645,mv_type,"Sortie"))</f>
        <v/>
      </c>
      <c r="M645" s="39" t="str">
        <f>IF(A645="","",ROUND(N(H645)+K645-L645,6))</f>
        <v/>
      </c>
      <c r="N645" s="40" t="str">
        <f>IF(A645="","",M645*N(G645))</f>
        <v/>
      </c>
      <c r="O645" s="39" t="str">
        <f>IF(A645="","",IF(M645&lt;=0,"Rupture",IF(AND(I645&lt;&gt;"",M645&lt;=N(I645)),"À commander","OK")))</f>
        <v/>
      </c>
      <c r="P645" s="39" t="str">
        <f>IF(OR(A645="",O645="OK",J645=""),"",MAX(N(J645)-M645,0))</f>
        <v/>
      </c>
      <c r="Q645" s="39" t="str">
        <f>IF(A645="",IF(COUNTA(B645:J645)&gt;0,"Référence manquante",""),IF(COUNTIF($A$5:$A$1004,A645)&gt;1,"Référence en double",IF(B645="","Désignation manquante","OK")))</f>
        <v/>
      </c>
      <c r="R645" s="39" t="str">
        <f>IF(OR(O645="Rupture",O645="À commander"),COUNTIF($O$5:O645,"Rupture")+COUNTIF($O$5:O645,"À commander"),"")</f>
        <v/>
      </c>
    </row>
    <row r="646">
      <c r="A646" s="37" t="n"/>
      <c r="B646" s="37" t="n"/>
      <c r="C646" s="37" t="n"/>
      <c r="D646" s="37" t="n"/>
      <c r="E646" s="37" t="n"/>
      <c r="F646" s="37" t="n"/>
      <c r="G646" s="38" t="n"/>
      <c r="H646" s="37" t="n"/>
      <c r="I646" s="37" t="n"/>
      <c r="J646" s="37" t="n"/>
      <c r="K646" s="39" t="str">
        <f>IF(A646="","",SUMIFS(mv_qty,mv_ref,A646,mv_type,"Entrée"))</f>
        <v/>
      </c>
      <c r="L646" s="39" t="str">
        <f>IF(A646="","",SUMIFS(mv_qty,mv_ref,A646,mv_type,"Sortie"))</f>
        <v/>
      </c>
      <c r="M646" s="39" t="str">
        <f>IF(A646="","",ROUND(N(H646)+K646-L646,6))</f>
        <v/>
      </c>
      <c r="N646" s="40" t="str">
        <f>IF(A646="","",M646*N(G646))</f>
        <v/>
      </c>
      <c r="O646" s="39" t="str">
        <f>IF(A646="","",IF(M646&lt;=0,"Rupture",IF(AND(I646&lt;&gt;"",M646&lt;=N(I646)),"À commander","OK")))</f>
        <v/>
      </c>
      <c r="P646" s="39" t="str">
        <f>IF(OR(A646="",O646="OK",J646=""),"",MAX(N(J646)-M646,0))</f>
        <v/>
      </c>
      <c r="Q646" s="39" t="str">
        <f>IF(A646="",IF(COUNTA(B646:J646)&gt;0,"Référence manquante",""),IF(COUNTIF($A$5:$A$1004,A646)&gt;1,"Référence en double",IF(B646="","Désignation manquante","OK")))</f>
        <v/>
      </c>
      <c r="R646" s="39" t="str">
        <f>IF(OR(O646="Rupture",O646="À commander"),COUNTIF($O$5:O646,"Rupture")+COUNTIF($O$5:O646,"À commander"),"")</f>
        <v/>
      </c>
    </row>
    <row r="647">
      <c r="A647" s="37" t="n"/>
      <c r="B647" s="37" t="n"/>
      <c r="C647" s="37" t="n"/>
      <c r="D647" s="37" t="n"/>
      <c r="E647" s="37" t="n"/>
      <c r="F647" s="37" t="n"/>
      <c r="G647" s="38" t="n"/>
      <c r="H647" s="37" t="n"/>
      <c r="I647" s="37" t="n"/>
      <c r="J647" s="37" t="n"/>
      <c r="K647" s="39" t="str">
        <f>IF(A647="","",SUMIFS(mv_qty,mv_ref,A647,mv_type,"Entrée"))</f>
        <v/>
      </c>
      <c r="L647" s="39" t="str">
        <f>IF(A647="","",SUMIFS(mv_qty,mv_ref,A647,mv_type,"Sortie"))</f>
        <v/>
      </c>
      <c r="M647" s="39" t="str">
        <f>IF(A647="","",ROUND(N(H647)+K647-L647,6))</f>
        <v/>
      </c>
      <c r="N647" s="40" t="str">
        <f>IF(A647="","",M647*N(G647))</f>
        <v/>
      </c>
      <c r="O647" s="39" t="str">
        <f>IF(A647="","",IF(M647&lt;=0,"Rupture",IF(AND(I647&lt;&gt;"",M647&lt;=N(I647)),"À commander","OK")))</f>
        <v/>
      </c>
      <c r="P647" s="39" t="str">
        <f>IF(OR(A647="",O647="OK",J647=""),"",MAX(N(J647)-M647,0))</f>
        <v/>
      </c>
      <c r="Q647" s="39" t="str">
        <f>IF(A647="",IF(COUNTA(B647:J647)&gt;0,"Référence manquante",""),IF(COUNTIF($A$5:$A$1004,A647)&gt;1,"Référence en double",IF(B647="","Désignation manquante","OK")))</f>
        <v/>
      </c>
      <c r="R647" s="39" t="str">
        <f>IF(OR(O647="Rupture",O647="À commander"),COUNTIF($O$5:O647,"Rupture")+COUNTIF($O$5:O647,"À commander"),"")</f>
        <v/>
      </c>
    </row>
    <row r="648">
      <c r="A648" s="37" t="n"/>
      <c r="B648" s="37" t="n"/>
      <c r="C648" s="37" t="n"/>
      <c r="D648" s="37" t="n"/>
      <c r="E648" s="37" t="n"/>
      <c r="F648" s="37" t="n"/>
      <c r="G648" s="38" t="n"/>
      <c r="H648" s="37" t="n"/>
      <c r="I648" s="37" t="n"/>
      <c r="J648" s="37" t="n"/>
      <c r="K648" s="39" t="str">
        <f>IF(A648="","",SUMIFS(mv_qty,mv_ref,A648,mv_type,"Entrée"))</f>
        <v/>
      </c>
      <c r="L648" s="39" t="str">
        <f>IF(A648="","",SUMIFS(mv_qty,mv_ref,A648,mv_type,"Sortie"))</f>
        <v/>
      </c>
      <c r="M648" s="39" t="str">
        <f>IF(A648="","",ROUND(N(H648)+K648-L648,6))</f>
        <v/>
      </c>
      <c r="N648" s="40" t="str">
        <f>IF(A648="","",M648*N(G648))</f>
        <v/>
      </c>
      <c r="O648" s="39" t="str">
        <f>IF(A648="","",IF(M648&lt;=0,"Rupture",IF(AND(I648&lt;&gt;"",M648&lt;=N(I648)),"À commander","OK")))</f>
        <v/>
      </c>
      <c r="P648" s="39" t="str">
        <f>IF(OR(A648="",O648="OK",J648=""),"",MAX(N(J648)-M648,0))</f>
        <v/>
      </c>
      <c r="Q648" s="39" t="str">
        <f>IF(A648="",IF(COUNTA(B648:J648)&gt;0,"Référence manquante",""),IF(COUNTIF($A$5:$A$1004,A648)&gt;1,"Référence en double",IF(B648="","Désignation manquante","OK")))</f>
        <v/>
      </c>
      <c r="R648" s="39" t="str">
        <f>IF(OR(O648="Rupture",O648="À commander"),COUNTIF($O$5:O648,"Rupture")+COUNTIF($O$5:O648,"À commander"),"")</f>
        <v/>
      </c>
    </row>
    <row r="649">
      <c r="A649" s="37" t="n"/>
      <c r="B649" s="37" t="n"/>
      <c r="C649" s="37" t="n"/>
      <c r="D649" s="37" t="n"/>
      <c r="E649" s="37" t="n"/>
      <c r="F649" s="37" t="n"/>
      <c r="G649" s="38" t="n"/>
      <c r="H649" s="37" t="n"/>
      <c r="I649" s="37" t="n"/>
      <c r="J649" s="37" t="n"/>
      <c r="K649" s="39" t="str">
        <f>IF(A649="","",SUMIFS(mv_qty,mv_ref,A649,mv_type,"Entrée"))</f>
        <v/>
      </c>
      <c r="L649" s="39" t="str">
        <f>IF(A649="","",SUMIFS(mv_qty,mv_ref,A649,mv_type,"Sortie"))</f>
        <v/>
      </c>
      <c r="M649" s="39" t="str">
        <f>IF(A649="","",ROUND(N(H649)+K649-L649,6))</f>
        <v/>
      </c>
      <c r="N649" s="40" t="str">
        <f>IF(A649="","",M649*N(G649))</f>
        <v/>
      </c>
      <c r="O649" s="39" t="str">
        <f>IF(A649="","",IF(M649&lt;=0,"Rupture",IF(AND(I649&lt;&gt;"",M649&lt;=N(I649)),"À commander","OK")))</f>
        <v/>
      </c>
      <c r="P649" s="39" t="str">
        <f>IF(OR(A649="",O649="OK",J649=""),"",MAX(N(J649)-M649,0))</f>
        <v/>
      </c>
      <c r="Q649" s="39" t="str">
        <f>IF(A649="",IF(COUNTA(B649:J649)&gt;0,"Référence manquante",""),IF(COUNTIF($A$5:$A$1004,A649)&gt;1,"Référence en double",IF(B649="","Désignation manquante","OK")))</f>
        <v/>
      </c>
      <c r="R649" s="39" t="str">
        <f>IF(OR(O649="Rupture",O649="À commander"),COUNTIF($O$5:O649,"Rupture")+COUNTIF($O$5:O649,"À commander"),"")</f>
        <v/>
      </c>
    </row>
    <row r="650">
      <c r="A650" s="37" t="n"/>
      <c r="B650" s="37" t="n"/>
      <c r="C650" s="37" t="n"/>
      <c r="D650" s="37" t="n"/>
      <c r="E650" s="37" t="n"/>
      <c r="F650" s="37" t="n"/>
      <c r="G650" s="38" t="n"/>
      <c r="H650" s="37" t="n"/>
      <c r="I650" s="37" t="n"/>
      <c r="J650" s="37" t="n"/>
      <c r="K650" s="39" t="str">
        <f>IF(A650="","",SUMIFS(mv_qty,mv_ref,A650,mv_type,"Entrée"))</f>
        <v/>
      </c>
      <c r="L650" s="39" t="str">
        <f>IF(A650="","",SUMIFS(mv_qty,mv_ref,A650,mv_type,"Sortie"))</f>
        <v/>
      </c>
      <c r="M650" s="39" t="str">
        <f>IF(A650="","",ROUND(N(H650)+K650-L650,6))</f>
        <v/>
      </c>
      <c r="N650" s="40" t="str">
        <f>IF(A650="","",M650*N(G650))</f>
        <v/>
      </c>
      <c r="O650" s="39" t="str">
        <f>IF(A650="","",IF(M650&lt;=0,"Rupture",IF(AND(I650&lt;&gt;"",M650&lt;=N(I650)),"À commander","OK")))</f>
        <v/>
      </c>
      <c r="P650" s="39" t="str">
        <f>IF(OR(A650="",O650="OK",J650=""),"",MAX(N(J650)-M650,0))</f>
        <v/>
      </c>
      <c r="Q650" s="39" t="str">
        <f>IF(A650="",IF(COUNTA(B650:J650)&gt;0,"Référence manquante",""),IF(COUNTIF($A$5:$A$1004,A650)&gt;1,"Référence en double",IF(B650="","Désignation manquante","OK")))</f>
        <v/>
      </c>
      <c r="R650" s="39" t="str">
        <f>IF(OR(O650="Rupture",O650="À commander"),COUNTIF($O$5:O650,"Rupture")+COUNTIF($O$5:O650,"À commander"),"")</f>
        <v/>
      </c>
    </row>
    <row r="651">
      <c r="A651" s="37" t="n"/>
      <c r="B651" s="37" t="n"/>
      <c r="C651" s="37" t="n"/>
      <c r="D651" s="37" t="n"/>
      <c r="E651" s="37" t="n"/>
      <c r="F651" s="37" t="n"/>
      <c r="G651" s="38" t="n"/>
      <c r="H651" s="37" t="n"/>
      <c r="I651" s="37" t="n"/>
      <c r="J651" s="37" t="n"/>
      <c r="K651" s="39" t="str">
        <f>IF(A651="","",SUMIFS(mv_qty,mv_ref,A651,mv_type,"Entrée"))</f>
        <v/>
      </c>
      <c r="L651" s="39" t="str">
        <f>IF(A651="","",SUMIFS(mv_qty,mv_ref,A651,mv_type,"Sortie"))</f>
        <v/>
      </c>
      <c r="M651" s="39" t="str">
        <f>IF(A651="","",ROUND(N(H651)+K651-L651,6))</f>
        <v/>
      </c>
      <c r="N651" s="40" t="str">
        <f>IF(A651="","",M651*N(G651))</f>
        <v/>
      </c>
      <c r="O651" s="39" t="str">
        <f>IF(A651="","",IF(M651&lt;=0,"Rupture",IF(AND(I651&lt;&gt;"",M651&lt;=N(I651)),"À commander","OK")))</f>
        <v/>
      </c>
      <c r="P651" s="39" t="str">
        <f>IF(OR(A651="",O651="OK",J651=""),"",MAX(N(J651)-M651,0))</f>
        <v/>
      </c>
      <c r="Q651" s="39" t="str">
        <f>IF(A651="",IF(COUNTA(B651:J651)&gt;0,"Référence manquante",""),IF(COUNTIF($A$5:$A$1004,A651)&gt;1,"Référence en double",IF(B651="","Désignation manquante","OK")))</f>
        <v/>
      </c>
      <c r="R651" s="39" t="str">
        <f>IF(OR(O651="Rupture",O651="À commander"),COUNTIF($O$5:O651,"Rupture")+COUNTIF($O$5:O651,"À commander"),"")</f>
        <v/>
      </c>
    </row>
    <row r="652">
      <c r="A652" s="37" t="n"/>
      <c r="B652" s="37" t="n"/>
      <c r="C652" s="37" t="n"/>
      <c r="D652" s="37" t="n"/>
      <c r="E652" s="37" t="n"/>
      <c r="F652" s="37" t="n"/>
      <c r="G652" s="38" t="n"/>
      <c r="H652" s="37" t="n"/>
      <c r="I652" s="37" t="n"/>
      <c r="J652" s="37" t="n"/>
      <c r="K652" s="39" t="str">
        <f>IF(A652="","",SUMIFS(mv_qty,mv_ref,A652,mv_type,"Entrée"))</f>
        <v/>
      </c>
      <c r="L652" s="39" t="str">
        <f>IF(A652="","",SUMIFS(mv_qty,mv_ref,A652,mv_type,"Sortie"))</f>
        <v/>
      </c>
      <c r="M652" s="39" t="str">
        <f>IF(A652="","",ROUND(N(H652)+K652-L652,6))</f>
        <v/>
      </c>
      <c r="N652" s="40" t="str">
        <f>IF(A652="","",M652*N(G652))</f>
        <v/>
      </c>
      <c r="O652" s="39" t="str">
        <f>IF(A652="","",IF(M652&lt;=0,"Rupture",IF(AND(I652&lt;&gt;"",M652&lt;=N(I652)),"À commander","OK")))</f>
        <v/>
      </c>
      <c r="P652" s="39" t="str">
        <f>IF(OR(A652="",O652="OK",J652=""),"",MAX(N(J652)-M652,0))</f>
        <v/>
      </c>
      <c r="Q652" s="39" t="str">
        <f>IF(A652="",IF(COUNTA(B652:J652)&gt;0,"Référence manquante",""),IF(COUNTIF($A$5:$A$1004,A652)&gt;1,"Référence en double",IF(B652="","Désignation manquante","OK")))</f>
        <v/>
      </c>
      <c r="R652" s="39" t="str">
        <f>IF(OR(O652="Rupture",O652="À commander"),COUNTIF($O$5:O652,"Rupture")+COUNTIF($O$5:O652,"À commander"),"")</f>
        <v/>
      </c>
    </row>
    <row r="653">
      <c r="A653" s="37" t="n"/>
      <c r="B653" s="37" t="n"/>
      <c r="C653" s="37" t="n"/>
      <c r="D653" s="37" t="n"/>
      <c r="E653" s="37" t="n"/>
      <c r="F653" s="37" t="n"/>
      <c r="G653" s="38" t="n"/>
      <c r="H653" s="37" t="n"/>
      <c r="I653" s="37" t="n"/>
      <c r="J653" s="37" t="n"/>
      <c r="K653" s="39" t="str">
        <f>IF(A653="","",SUMIFS(mv_qty,mv_ref,A653,mv_type,"Entrée"))</f>
        <v/>
      </c>
      <c r="L653" s="39" t="str">
        <f>IF(A653="","",SUMIFS(mv_qty,mv_ref,A653,mv_type,"Sortie"))</f>
        <v/>
      </c>
      <c r="M653" s="39" t="str">
        <f>IF(A653="","",ROUND(N(H653)+K653-L653,6))</f>
        <v/>
      </c>
      <c r="N653" s="40" t="str">
        <f>IF(A653="","",M653*N(G653))</f>
        <v/>
      </c>
      <c r="O653" s="39" t="str">
        <f>IF(A653="","",IF(M653&lt;=0,"Rupture",IF(AND(I653&lt;&gt;"",M653&lt;=N(I653)),"À commander","OK")))</f>
        <v/>
      </c>
      <c r="P653" s="39" t="str">
        <f>IF(OR(A653="",O653="OK",J653=""),"",MAX(N(J653)-M653,0))</f>
        <v/>
      </c>
      <c r="Q653" s="39" t="str">
        <f>IF(A653="",IF(COUNTA(B653:J653)&gt;0,"Référence manquante",""),IF(COUNTIF($A$5:$A$1004,A653)&gt;1,"Référence en double",IF(B653="","Désignation manquante","OK")))</f>
        <v/>
      </c>
      <c r="R653" s="39" t="str">
        <f>IF(OR(O653="Rupture",O653="À commander"),COUNTIF($O$5:O653,"Rupture")+COUNTIF($O$5:O653,"À commander"),"")</f>
        <v/>
      </c>
    </row>
    <row r="654">
      <c r="A654" s="37" t="n"/>
      <c r="B654" s="37" t="n"/>
      <c r="C654" s="37" t="n"/>
      <c r="D654" s="37" t="n"/>
      <c r="E654" s="37" t="n"/>
      <c r="F654" s="37" t="n"/>
      <c r="G654" s="38" t="n"/>
      <c r="H654" s="37" t="n"/>
      <c r="I654" s="37" t="n"/>
      <c r="J654" s="37" t="n"/>
      <c r="K654" s="39" t="str">
        <f>IF(A654="","",SUMIFS(mv_qty,mv_ref,A654,mv_type,"Entrée"))</f>
        <v/>
      </c>
      <c r="L654" s="39" t="str">
        <f>IF(A654="","",SUMIFS(mv_qty,mv_ref,A654,mv_type,"Sortie"))</f>
        <v/>
      </c>
      <c r="M654" s="39" t="str">
        <f>IF(A654="","",ROUND(N(H654)+K654-L654,6))</f>
        <v/>
      </c>
      <c r="N654" s="40" t="str">
        <f>IF(A654="","",M654*N(G654))</f>
        <v/>
      </c>
      <c r="O654" s="39" t="str">
        <f>IF(A654="","",IF(M654&lt;=0,"Rupture",IF(AND(I654&lt;&gt;"",M654&lt;=N(I654)),"À commander","OK")))</f>
        <v/>
      </c>
      <c r="P654" s="39" t="str">
        <f>IF(OR(A654="",O654="OK",J654=""),"",MAX(N(J654)-M654,0))</f>
        <v/>
      </c>
      <c r="Q654" s="39" t="str">
        <f>IF(A654="",IF(COUNTA(B654:J654)&gt;0,"Référence manquante",""),IF(COUNTIF($A$5:$A$1004,A654)&gt;1,"Référence en double",IF(B654="","Désignation manquante","OK")))</f>
        <v/>
      </c>
      <c r="R654" s="39" t="str">
        <f>IF(OR(O654="Rupture",O654="À commander"),COUNTIF($O$5:O654,"Rupture")+COUNTIF($O$5:O654,"À commander"),"")</f>
        <v/>
      </c>
    </row>
    <row r="655">
      <c r="A655" s="37" t="n"/>
      <c r="B655" s="37" t="n"/>
      <c r="C655" s="37" t="n"/>
      <c r="D655" s="37" t="n"/>
      <c r="E655" s="37" t="n"/>
      <c r="F655" s="37" t="n"/>
      <c r="G655" s="38" t="n"/>
      <c r="H655" s="37" t="n"/>
      <c r="I655" s="37" t="n"/>
      <c r="J655" s="37" t="n"/>
      <c r="K655" s="39" t="str">
        <f>IF(A655="","",SUMIFS(mv_qty,mv_ref,A655,mv_type,"Entrée"))</f>
        <v/>
      </c>
      <c r="L655" s="39" t="str">
        <f>IF(A655="","",SUMIFS(mv_qty,mv_ref,A655,mv_type,"Sortie"))</f>
        <v/>
      </c>
      <c r="M655" s="39" t="str">
        <f>IF(A655="","",ROUND(N(H655)+K655-L655,6))</f>
        <v/>
      </c>
      <c r="N655" s="40" t="str">
        <f>IF(A655="","",M655*N(G655))</f>
        <v/>
      </c>
      <c r="O655" s="39" t="str">
        <f>IF(A655="","",IF(M655&lt;=0,"Rupture",IF(AND(I655&lt;&gt;"",M655&lt;=N(I655)),"À commander","OK")))</f>
        <v/>
      </c>
      <c r="P655" s="39" t="str">
        <f>IF(OR(A655="",O655="OK",J655=""),"",MAX(N(J655)-M655,0))</f>
        <v/>
      </c>
      <c r="Q655" s="39" t="str">
        <f>IF(A655="",IF(COUNTA(B655:J655)&gt;0,"Référence manquante",""),IF(COUNTIF($A$5:$A$1004,A655)&gt;1,"Référence en double",IF(B655="","Désignation manquante","OK")))</f>
        <v/>
      </c>
      <c r="R655" s="39" t="str">
        <f>IF(OR(O655="Rupture",O655="À commander"),COUNTIF($O$5:O655,"Rupture")+COUNTIF($O$5:O655,"À commander"),"")</f>
        <v/>
      </c>
    </row>
    <row r="656">
      <c r="A656" s="37" t="n"/>
      <c r="B656" s="37" t="n"/>
      <c r="C656" s="37" t="n"/>
      <c r="D656" s="37" t="n"/>
      <c r="E656" s="37" t="n"/>
      <c r="F656" s="37" t="n"/>
      <c r="G656" s="38" t="n"/>
      <c r="H656" s="37" t="n"/>
      <c r="I656" s="37" t="n"/>
      <c r="J656" s="37" t="n"/>
      <c r="K656" s="39" t="str">
        <f>IF(A656="","",SUMIFS(mv_qty,mv_ref,A656,mv_type,"Entrée"))</f>
        <v/>
      </c>
      <c r="L656" s="39" t="str">
        <f>IF(A656="","",SUMIFS(mv_qty,mv_ref,A656,mv_type,"Sortie"))</f>
        <v/>
      </c>
      <c r="M656" s="39" t="str">
        <f>IF(A656="","",ROUND(N(H656)+K656-L656,6))</f>
        <v/>
      </c>
      <c r="N656" s="40" t="str">
        <f>IF(A656="","",M656*N(G656))</f>
        <v/>
      </c>
      <c r="O656" s="39" t="str">
        <f>IF(A656="","",IF(M656&lt;=0,"Rupture",IF(AND(I656&lt;&gt;"",M656&lt;=N(I656)),"À commander","OK")))</f>
        <v/>
      </c>
      <c r="P656" s="39" t="str">
        <f>IF(OR(A656="",O656="OK",J656=""),"",MAX(N(J656)-M656,0))</f>
        <v/>
      </c>
      <c r="Q656" s="39" t="str">
        <f>IF(A656="",IF(COUNTA(B656:J656)&gt;0,"Référence manquante",""),IF(COUNTIF($A$5:$A$1004,A656)&gt;1,"Référence en double",IF(B656="","Désignation manquante","OK")))</f>
        <v/>
      </c>
      <c r="R656" s="39" t="str">
        <f>IF(OR(O656="Rupture",O656="À commander"),COUNTIF($O$5:O656,"Rupture")+COUNTIF($O$5:O656,"À commander"),"")</f>
        <v/>
      </c>
    </row>
    <row r="657">
      <c r="A657" s="37" t="n"/>
      <c r="B657" s="37" t="n"/>
      <c r="C657" s="37" t="n"/>
      <c r="D657" s="37" t="n"/>
      <c r="E657" s="37" t="n"/>
      <c r="F657" s="37" t="n"/>
      <c r="G657" s="38" t="n"/>
      <c r="H657" s="37" t="n"/>
      <c r="I657" s="37" t="n"/>
      <c r="J657" s="37" t="n"/>
      <c r="K657" s="39" t="str">
        <f>IF(A657="","",SUMIFS(mv_qty,mv_ref,A657,mv_type,"Entrée"))</f>
        <v/>
      </c>
      <c r="L657" s="39" t="str">
        <f>IF(A657="","",SUMIFS(mv_qty,mv_ref,A657,mv_type,"Sortie"))</f>
        <v/>
      </c>
      <c r="M657" s="39" t="str">
        <f>IF(A657="","",ROUND(N(H657)+K657-L657,6))</f>
        <v/>
      </c>
      <c r="N657" s="40" t="str">
        <f>IF(A657="","",M657*N(G657))</f>
        <v/>
      </c>
      <c r="O657" s="39" t="str">
        <f>IF(A657="","",IF(M657&lt;=0,"Rupture",IF(AND(I657&lt;&gt;"",M657&lt;=N(I657)),"À commander","OK")))</f>
        <v/>
      </c>
      <c r="P657" s="39" t="str">
        <f>IF(OR(A657="",O657="OK",J657=""),"",MAX(N(J657)-M657,0))</f>
        <v/>
      </c>
      <c r="Q657" s="39" t="str">
        <f>IF(A657="",IF(COUNTA(B657:J657)&gt;0,"Référence manquante",""),IF(COUNTIF($A$5:$A$1004,A657)&gt;1,"Référence en double",IF(B657="","Désignation manquante","OK")))</f>
        <v/>
      </c>
      <c r="R657" s="39" t="str">
        <f>IF(OR(O657="Rupture",O657="À commander"),COUNTIF($O$5:O657,"Rupture")+COUNTIF($O$5:O657,"À commander"),"")</f>
        <v/>
      </c>
    </row>
    <row r="658">
      <c r="A658" s="37" t="n"/>
      <c r="B658" s="37" t="n"/>
      <c r="C658" s="37" t="n"/>
      <c r="D658" s="37" t="n"/>
      <c r="E658" s="37" t="n"/>
      <c r="F658" s="37" t="n"/>
      <c r="G658" s="38" t="n"/>
      <c r="H658" s="37" t="n"/>
      <c r="I658" s="37" t="n"/>
      <c r="J658" s="37" t="n"/>
      <c r="K658" s="39" t="str">
        <f>IF(A658="","",SUMIFS(mv_qty,mv_ref,A658,mv_type,"Entrée"))</f>
        <v/>
      </c>
      <c r="L658" s="39" t="str">
        <f>IF(A658="","",SUMIFS(mv_qty,mv_ref,A658,mv_type,"Sortie"))</f>
        <v/>
      </c>
      <c r="M658" s="39" t="str">
        <f>IF(A658="","",ROUND(N(H658)+K658-L658,6))</f>
        <v/>
      </c>
      <c r="N658" s="40" t="str">
        <f>IF(A658="","",M658*N(G658))</f>
        <v/>
      </c>
      <c r="O658" s="39" t="str">
        <f>IF(A658="","",IF(M658&lt;=0,"Rupture",IF(AND(I658&lt;&gt;"",M658&lt;=N(I658)),"À commander","OK")))</f>
        <v/>
      </c>
      <c r="P658" s="39" t="str">
        <f>IF(OR(A658="",O658="OK",J658=""),"",MAX(N(J658)-M658,0))</f>
        <v/>
      </c>
      <c r="Q658" s="39" t="str">
        <f>IF(A658="",IF(COUNTA(B658:J658)&gt;0,"Référence manquante",""),IF(COUNTIF($A$5:$A$1004,A658)&gt;1,"Référence en double",IF(B658="","Désignation manquante","OK")))</f>
        <v/>
      </c>
      <c r="R658" s="39" t="str">
        <f>IF(OR(O658="Rupture",O658="À commander"),COUNTIF($O$5:O658,"Rupture")+COUNTIF($O$5:O658,"À commander"),"")</f>
        <v/>
      </c>
    </row>
    <row r="659">
      <c r="A659" s="37" t="n"/>
      <c r="B659" s="37" t="n"/>
      <c r="C659" s="37" t="n"/>
      <c r="D659" s="37" t="n"/>
      <c r="E659" s="37" t="n"/>
      <c r="F659" s="37" t="n"/>
      <c r="G659" s="38" t="n"/>
      <c r="H659" s="37" t="n"/>
      <c r="I659" s="37" t="n"/>
      <c r="J659" s="37" t="n"/>
      <c r="K659" s="39" t="str">
        <f>IF(A659="","",SUMIFS(mv_qty,mv_ref,A659,mv_type,"Entrée"))</f>
        <v/>
      </c>
      <c r="L659" s="39" t="str">
        <f>IF(A659="","",SUMIFS(mv_qty,mv_ref,A659,mv_type,"Sortie"))</f>
        <v/>
      </c>
      <c r="M659" s="39" t="str">
        <f>IF(A659="","",ROUND(N(H659)+K659-L659,6))</f>
        <v/>
      </c>
      <c r="N659" s="40" t="str">
        <f>IF(A659="","",M659*N(G659))</f>
        <v/>
      </c>
      <c r="O659" s="39" t="str">
        <f>IF(A659="","",IF(M659&lt;=0,"Rupture",IF(AND(I659&lt;&gt;"",M659&lt;=N(I659)),"À commander","OK")))</f>
        <v/>
      </c>
      <c r="P659" s="39" t="str">
        <f>IF(OR(A659="",O659="OK",J659=""),"",MAX(N(J659)-M659,0))</f>
        <v/>
      </c>
      <c r="Q659" s="39" t="str">
        <f>IF(A659="",IF(COUNTA(B659:J659)&gt;0,"Référence manquante",""),IF(COUNTIF($A$5:$A$1004,A659)&gt;1,"Référence en double",IF(B659="","Désignation manquante","OK")))</f>
        <v/>
      </c>
      <c r="R659" s="39" t="str">
        <f>IF(OR(O659="Rupture",O659="À commander"),COUNTIF($O$5:O659,"Rupture")+COUNTIF($O$5:O659,"À commander"),"")</f>
        <v/>
      </c>
    </row>
    <row r="660">
      <c r="A660" s="37" t="n"/>
      <c r="B660" s="37" t="n"/>
      <c r="C660" s="37" t="n"/>
      <c r="D660" s="37" t="n"/>
      <c r="E660" s="37" t="n"/>
      <c r="F660" s="37" t="n"/>
      <c r="G660" s="38" t="n"/>
      <c r="H660" s="37" t="n"/>
      <c r="I660" s="37" t="n"/>
      <c r="J660" s="37" t="n"/>
      <c r="K660" s="39" t="str">
        <f>IF(A660="","",SUMIFS(mv_qty,mv_ref,A660,mv_type,"Entrée"))</f>
        <v/>
      </c>
      <c r="L660" s="39" t="str">
        <f>IF(A660="","",SUMIFS(mv_qty,mv_ref,A660,mv_type,"Sortie"))</f>
        <v/>
      </c>
      <c r="M660" s="39" t="str">
        <f>IF(A660="","",ROUND(N(H660)+K660-L660,6))</f>
        <v/>
      </c>
      <c r="N660" s="40" t="str">
        <f>IF(A660="","",M660*N(G660))</f>
        <v/>
      </c>
      <c r="O660" s="39" t="str">
        <f>IF(A660="","",IF(M660&lt;=0,"Rupture",IF(AND(I660&lt;&gt;"",M660&lt;=N(I660)),"À commander","OK")))</f>
        <v/>
      </c>
      <c r="P660" s="39" t="str">
        <f>IF(OR(A660="",O660="OK",J660=""),"",MAX(N(J660)-M660,0))</f>
        <v/>
      </c>
      <c r="Q660" s="39" t="str">
        <f>IF(A660="",IF(COUNTA(B660:J660)&gt;0,"Référence manquante",""),IF(COUNTIF($A$5:$A$1004,A660)&gt;1,"Référence en double",IF(B660="","Désignation manquante","OK")))</f>
        <v/>
      </c>
      <c r="R660" s="39" t="str">
        <f>IF(OR(O660="Rupture",O660="À commander"),COUNTIF($O$5:O660,"Rupture")+COUNTIF($O$5:O660,"À commander"),"")</f>
        <v/>
      </c>
    </row>
    <row r="661">
      <c r="A661" s="37" t="n"/>
      <c r="B661" s="37" t="n"/>
      <c r="C661" s="37" t="n"/>
      <c r="D661" s="37" t="n"/>
      <c r="E661" s="37" t="n"/>
      <c r="F661" s="37" t="n"/>
      <c r="G661" s="38" t="n"/>
      <c r="H661" s="37" t="n"/>
      <c r="I661" s="37" t="n"/>
      <c r="J661" s="37" t="n"/>
      <c r="K661" s="39" t="str">
        <f>IF(A661="","",SUMIFS(mv_qty,mv_ref,A661,mv_type,"Entrée"))</f>
        <v/>
      </c>
      <c r="L661" s="39" t="str">
        <f>IF(A661="","",SUMIFS(mv_qty,mv_ref,A661,mv_type,"Sortie"))</f>
        <v/>
      </c>
      <c r="M661" s="39" t="str">
        <f>IF(A661="","",ROUND(N(H661)+K661-L661,6))</f>
        <v/>
      </c>
      <c r="N661" s="40" t="str">
        <f>IF(A661="","",M661*N(G661))</f>
        <v/>
      </c>
      <c r="O661" s="39" t="str">
        <f>IF(A661="","",IF(M661&lt;=0,"Rupture",IF(AND(I661&lt;&gt;"",M661&lt;=N(I661)),"À commander","OK")))</f>
        <v/>
      </c>
      <c r="P661" s="39" t="str">
        <f>IF(OR(A661="",O661="OK",J661=""),"",MAX(N(J661)-M661,0))</f>
        <v/>
      </c>
      <c r="Q661" s="39" t="str">
        <f>IF(A661="",IF(COUNTA(B661:J661)&gt;0,"Référence manquante",""),IF(COUNTIF($A$5:$A$1004,A661)&gt;1,"Référence en double",IF(B661="","Désignation manquante","OK")))</f>
        <v/>
      </c>
      <c r="R661" s="39" t="str">
        <f>IF(OR(O661="Rupture",O661="À commander"),COUNTIF($O$5:O661,"Rupture")+COUNTIF($O$5:O661,"À commander"),"")</f>
        <v/>
      </c>
    </row>
    <row r="662">
      <c r="A662" s="37" t="n"/>
      <c r="B662" s="37" t="n"/>
      <c r="C662" s="37" t="n"/>
      <c r="D662" s="37" t="n"/>
      <c r="E662" s="37" t="n"/>
      <c r="F662" s="37" t="n"/>
      <c r="G662" s="38" t="n"/>
      <c r="H662" s="37" t="n"/>
      <c r="I662" s="37" t="n"/>
      <c r="J662" s="37" t="n"/>
      <c r="K662" s="39" t="str">
        <f>IF(A662="","",SUMIFS(mv_qty,mv_ref,A662,mv_type,"Entrée"))</f>
        <v/>
      </c>
      <c r="L662" s="39" t="str">
        <f>IF(A662="","",SUMIFS(mv_qty,mv_ref,A662,mv_type,"Sortie"))</f>
        <v/>
      </c>
      <c r="M662" s="39" t="str">
        <f>IF(A662="","",ROUND(N(H662)+K662-L662,6))</f>
        <v/>
      </c>
      <c r="N662" s="40" t="str">
        <f>IF(A662="","",M662*N(G662))</f>
        <v/>
      </c>
      <c r="O662" s="39" t="str">
        <f>IF(A662="","",IF(M662&lt;=0,"Rupture",IF(AND(I662&lt;&gt;"",M662&lt;=N(I662)),"À commander","OK")))</f>
        <v/>
      </c>
      <c r="P662" s="39" t="str">
        <f>IF(OR(A662="",O662="OK",J662=""),"",MAX(N(J662)-M662,0))</f>
        <v/>
      </c>
      <c r="Q662" s="39" t="str">
        <f>IF(A662="",IF(COUNTA(B662:J662)&gt;0,"Référence manquante",""),IF(COUNTIF($A$5:$A$1004,A662)&gt;1,"Référence en double",IF(B662="","Désignation manquante","OK")))</f>
        <v/>
      </c>
      <c r="R662" s="39" t="str">
        <f>IF(OR(O662="Rupture",O662="À commander"),COUNTIF($O$5:O662,"Rupture")+COUNTIF($O$5:O662,"À commander"),"")</f>
        <v/>
      </c>
    </row>
    <row r="663">
      <c r="A663" s="37" t="n"/>
      <c r="B663" s="37" t="n"/>
      <c r="C663" s="37" t="n"/>
      <c r="D663" s="37" t="n"/>
      <c r="E663" s="37" t="n"/>
      <c r="F663" s="37" t="n"/>
      <c r="G663" s="38" t="n"/>
      <c r="H663" s="37" t="n"/>
      <c r="I663" s="37" t="n"/>
      <c r="J663" s="37" t="n"/>
      <c r="K663" s="39" t="str">
        <f>IF(A663="","",SUMIFS(mv_qty,mv_ref,A663,mv_type,"Entrée"))</f>
        <v/>
      </c>
      <c r="L663" s="39" t="str">
        <f>IF(A663="","",SUMIFS(mv_qty,mv_ref,A663,mv_type,"Sortie"))</f>
        <v/>
      </c>
      <c r="M663" s="39" t="str">
        <f>IF(A663="","",ROUND(N(H663)+K663-L663,6))</f>
        <v/>
      </c>
      <c r="N663" s="40" t="str">
        <f>IF(A663="","",M663*N(G663))</f>
        <v/>
      </c>
      <c r="O663" s="39" t="str">
        <f>IF(A663="","",IF(M663&lt;=0,"Rupture",IF(AND(I663&lt;&gt;"",M663&lt;=N(I663)),"À commander","OK")))</f>
        <v/>
      </c>
      <c r="P663" s="39" t="str">
        <f>IF(OR(A663="",O663="OK",J663=""),"",MAX(N(J663)-M663,0))</f>
        <v/>
      </c>
      <c r="Q663" s="39" t="str">
        <f>IF(A663="",IF(COUNTA(B663:J663)&gt;0,"Référence manquante",""),IF(COUNTIF($A$5:$A$1004,A663)&gt;1,"Référence en double",IF(B663="","Désignation manquante","OK")))</f>
        <v/>
      </c>
      <c r="R663" s="39" t="str">
        <f>IF(OR(O663="Rupture",O663="À commander"),COUNTIF($O$5:O663,"Rupture")+COUNTIF($O$5:O663,"À commander"),"")</f>
        <v/>
      </c>
    </row>
    <row r="664">
      <c r="A664" s="37" t="n"/>
      <c r="B664" s="37" t="n"/>
      <c r="C664" s="37" t="n"/>
      <c r="D664" s="37" t="n"/>
      <c r="E664" s="37" t="n"/>
      <c r="F664" s="37" t="n"/>
      <c r="G664" s="38" t="n"/>
      <c r="H664" s="37" t="n"/>
      <c r="I664" s="37" t="n"/>
      <c r="J664" s="37" t="n"/>
      <c r="K664" s="39" t="str">
        <f>IF(A664="","",SUMIFS(mv_qty,mv_ref,A664,mv_type,"Entrée"))</f>
        <v/>
      </c>
      <c r="L664" s="39" t="str">
        <f>IF(A664="","",SUMIFS(mv_qty,mv_ref,A664,mv_type,"Sortie"))</f>
        <v/>
      </c>
      <c r="M664" s="39" t="str">
        <f>IF(A664="","",ROUND(N(H664)+K664-L664,6))</f>
        <v/>
      </c>
      <c r="N664" s="40" t="str">
        <f>IF(A664="","",M664*N(G664))</f>
        <v/>
      </c>
      <c r="O664" s="39" t="str">
        <f>IF(A664="","",IF(M664&lt;=0,"Rupture",IF(AND(I664&lt;&gt;"",M664&lt;=N(I664)),"À commander","OK")))</f>
        <v/>
      </c>
      <c r="P664" s="39" t="str">
        <f>IF(OR(A664="",O664="OK",J664=""),"",MAX(N(J664)-M664,0))</f>
        <v/>
      </c>
      <c r="Q664" s="39" t="str">
        <f>IF(A664="",IF(COUNTA(B664:J664)&gt;0,"Référence manquante",""),IF(COUNTIF($A$5:$A$1004,A664)&gt;1,"Référence en double",IF(B664="","Désignation manquante","OK")))</f>
        <v/>
      </c>
      <c r="R664" s="39" t="str">
        <f>IF(OR(O664="Rupture",O664="À commander"),COUNTIF($O$5:O664,"Rupture")+COUNTIF($O$5:O664,"À commander"),"")</f>
        <v/>
      </c>
    </row>
    <row r="665">
      <c r="A665" s="37" t="n"/>
      <c r="B665" s="37" t="n"/>
      <c r="C665" s="37" t="n"/>
      <c r="D665" s="37" t="n"/>
      <c r="E665" s="37" t="n"/>
      <c r="F665" s="37" t="n"/>
      <c r="G665" s="38" t="n"/>
      <c r="H665" s="37" t="n"/>
      <c r="I665" s="37" t="n"/>
      <c r="J665" s="37" t="n"/>
      <c r="K665" s="39" t="str">
        <f>IF(A665="","",SUMIFS(mv_qty,mv_ref,A665,mv_type,"Entrée"))</f>
        <v/>
      </c>
      <c r="L665" s="39" t="str">
        <f>IF(A665="","",SUMIFS(mv_qty,mv_ref,A665,mv_type,"Sortie"))</f>
        <v/>
      </c>
      <c r="M665" s="39" t="str">
        <f>IF(A665="","",ROUND(N(H665)+K665-L665,6))</f>
        <v/>
      </c>
      <c r="N665" s="40" t="str">
        <f>IF(A665="","",M665*N(G665))</f>
        <v/>
      </c>
      <c r="O665" s="39" t="str">
        <f>IF(A665="","",IF(M665&lt;=0,"Rupture",IF(AND(I665&lt;&gt;"",M665&lt;=N(I665)),"À commander","OK")))</f>
        <v/>
      </c>
      <c r="P665" s="39" t="str">
        <f>IF(OR(A665="",O665="OK",J665=""),"",MAX(N(J665)-M665,0))</f>
        <v/>
      </c>
      <c r="Q665" s="39" t="str">
        <f>IF(A665="",IF(COUNTA(B665:J665)&gt;0,"Référence manquante",""),IF(COUNTIF($A$5:$A$1004,A665)&gt;1,"Référence en double",IF(B665="","Désignation manquante","OK")))</f>
        <v/>
      </c>
      <c r="R665" s="39" t="str">
        <f>IF(OR(O665="Rupture",O665="À commander"),COUNTIF($O$5:O665,"Rupture")+COUNTIF($O$5:O665,"À commander"),"")</f>
        <v/>
      </c>
    </row>
    <row r="666">
      <c r="A666" s="37" t="n"/>
      <c r="B666" s="37" t="n"/>
      <c r="C666" s="37" t="n"/>
      <c r="D666" s="37" t="n"/>
      <c r="E666" s="37" t="n"/>
      <c r="F666" s="37" t="n"/>
      <c r="G666" s="38" t="n"/>
      <c r="H666" s="37" t="n"/>
      <c r="I666" s="37" t="n"/>
      <c r="J666" s="37" t="n"/>
      <c r="K666" s="39" t="str">
        <f>IF(A666="","",SUMIFS(mv_qty,mv_ref,A666,mv_type,"Entrée"))</f>
        <v/>
      </c>
      <c r="L666" s="39" t="str">
        <f>IF(A666="","",SUMIFS(mv_qty,mv_ref,A666,mv_type,"Sortie"))</f>
        <v/>
      </c>
      <c r="M666" s="39" t="str">
        <f>IF(A666="","",ROUND(N(H666)+K666-L666,6))</f>
        <v/>
      </c>
      <c r="N666" s="40" t="str">
        <f>IF(A666="","",M666*N(G666))</f>
        <v/>
      </c>
      <c r="O666" s="39" t="str">
        <f>IF(A666="","",IF(M666&lt;=0,"Rupture",IF(AND(I666&lt;&gt;"",M666&lt;=N(I666)),"À commander","OK")))</f>
        <v/>
      </c>
      <c r="P666" s="39" t="str">
        <f>IF(OR(A666="",O666="OK",J666=""),"",MAX(N(J666)-M666,0))</f>
        <v/>
      </c>
      <c r="Q666" s="39" t="str">
        <f>IF(A666="",IF(COUNTA(B666:J666)&gt;0,"Référence manquante",""),IF(COUNTIF($A$5:$A$1004,A666)&gt;1,"Référence en double",IF(B666="","Désignation manquante","OK")))</f>
        <v/>
      </c>
      <c r="R666" s="39" t="str">
        <f>IF(OR(O666="Rupture",O666="À commander"),COUNTIF($O$5:O666,"Rupture")+COUNTIF($O$5:O666,"À commander"),"")</f>
        <v/>
      </c>
    </row>
    <row r="667">
      <c r="A667" s="37" t="n"/>
      <c r="B667" s="37" t="n"/>
      <c r="C667" s="37" t="n"/>
      <c r="D667" s="37" t="n"/>
      <c r="E667" s="37" t="n"/>
      <c r="F667" s="37" t="n"/>
      <c r="G667" s="38" t="n"/>
      <c r="H667" s="37" t="n"/>
      <c r="I667" s="37" t="n"/>
      <c r="J667" s="37" t="n"/>
      <c r="K667" s="39" t="str">
        <f>IF(A667="","",SUMIFS(mv_qty,mv_ref,A667,mv_type,"Entrée"))</f>
        <v/>
      </c>
      <c r="L667" s="39" t="str">
        <f>IF(A667="","",SUMIFS(mv_qty,mv_ref,A667,mv_type,"Sortie"))</f>
        <v/>
      </c>
      <c r="M667" s="39" t="str">
        <f>IF(A667="","",ROUND(N(H667)+K667-L667,6))</f>
        <v/>
      </c>
      <c r="N667" s="40" t="str">
        <f>IF(A667="","",M667*N(G667))</f>
        <v/>
      </c>
      <c r="O667" s="39" t="str">
        <f>IF(A667="","",IF(M667&lt;=0,"Rupture",IF(AND(I667&lt;&gt;"",M667&lt;=N(I667)),"À commander","OK")))</f>
        <v/>
      </c>
      <c r="P667" s="39" t="str">
        <f>IF(OR(A667="",O667="OK",J667=""),"",MAX(N(J667)-M667,0))</f>
        <v/>
      </c>
      <c r="Q667" s="39" t="str">
        <f>IF(A667="",IF(COUNTA(B667:J667)&gt;0,"Référence manquante",""),IF(COUNTIF($A$5:$A$1004,A667)&gt;1,"Référence en double",IF(B667="","Désignation manquante","OK")))</f>
        <v/>
      </c>
      <c r="R667" s="39" t="str">
        <f>IF(OR(O667="Rupture",O667="À commander"),COUNTIF($O$5:O667,"Rupture")+COUNTIF($O$5:O667,"À commander"),"")</f>
        <v/>
      </c>
    </row>
    <row r="668">
      <c r="A668" s="37" t="n"/>
      <c r="B668" s="37" t="n"/>
      <c r="C668" s="37" t="n"/>
      <c r="D668" s="37" t="n"/>
      <c r="E668" s="37" t="n"/>
      <c r="F668" s="37" t="n"/>
      <c r="G668" s="38" t="n"/>
      <c r="H668" s="37" t="n"/>
      <c r="I668" s="37" t="n"/>
      <c r="J668" s="37" t="n"/>
      <c r="K668" s="39" t="str">
        <f>IF(A668="","",SUMIFS(mv_qty,mv_ref,A668,mv_type,"Entrée"))</f>
        <v/>
      </c>
      <c r="L668" s="39" t="str">
        <f>IF(A668="","",SUMIFS(mv_qty,mv_ref,A668,mv_type,"Sortie"))</f>
        <v/>
      </c>
      <c r="M668" s="39" t="str">
        <f>IF(A668="","",ROUND(N(H668)+K668-L668,6))</f>
        <v/>
      </c>
      <c r="N668" s="40" t="str">
        <f>IF(A668="","",M668*N(G668))</f>
        <v/>
      </c>
      <c r="O668" s="39" t="str">
        <f>IF(A668="","",IF(M668&lt;=0,"Rupture",IF(AND(I668&lt;&gt;"",M668&lt;=N(I668)),"À commander","OK")))</f>
        <v/>
      </c>
      <c r="P668" s="39" t="str">
        <f>IF(OR(A668="",O668="OK",J668=""),"",MAX(N(J668)-M668,0))</f>
        <v/>
      </c>
      <c r="Q668" s="39" t="str">
        <f>IF(A668="",IF(COUNTA(B668:J668)&gt;0,"Référence manquante",""),IF(COUNTIF($A$5:$A$1004,A668)&gt;1,"Référence en double",IF(B668="","Désignation manquante","OK")))</f>
        <v/>
      </c>
      <c r="R668" s="39" t="str">
        <f>IF(OR(O668="Rupture",O668="À commander"),COUNTIF($O$5:O668,"Rupture")+COUNTIF($O$5:O668,"À commander"),"")</f>
        <v/>
      </c>
    </row>
    <row r="669">
      <c r="A669" s="37" t="n"/>
      <c r="B669" s="37" t="n"/>
      <c r="C669" s="37" t="n"/>
      <c r="D669" s="37" t="n"/>
      <c r="E669" s="37" t="n"/>
      <c r="F669" s="37" t="n"/>
      <c r="G669" s="38" t="n"/>
      <c r="H669" s="37" t="n"/>
      <c r="I669" s="37" t="n"/>
      <c r="J669" s="37" t="n"/>
      <c r="K669" s="39" t="str">
        <f>IF(A669="","",SUMIFS(mv_qty,mv_ref,A669,mv_type,"Entrée"))</f>
        <v/>
      </c>
      <c r="L669" s="39" t="str">
        <f>IF(A669="","",SUMIFS(mv_qty,mv_ref,A669,mv_type,"Sortie"))</f>
        <v/>
      </c>
      <c r="M669" s="39" t="str">
        <f>IF(A669="","",ROUND(N(H669)+K669-L669,6))</f>
        <v/>
      </c>
      <c r="N669" s="40" t="str">
        <f>IF(A669="","",M669*N(G669))</f>
        <v/>
      </c>
      <c r="O669" s="39" t="str">
        <f>IF(A669="","",IF(M669&lt;=0,"Rupture",IF(AND(I669&lt;&gt;"",M669&lt;=N(I669)),"À commander","OK")))</f>
        <v/>
      </c>
      <c r="P669" s="39" t="str">
        <f>IF(OR(A669="",O669="OK",J669=""),"",MAX(N(J669)-M669,0))</f>
        <v/>
      </c>
      <c r="Q669" s="39" t="str">
        <f>IF(A669="",IF(COUNTA(B669:J669)&gt;0,"Référence manquante",""),IF(COUNTIF($A$5:$A$1004,A669)&gt;1,"Référence en double",IF(B669="","Désignation manquante","OK")))</f>
        <v/>
      </c>
      <c r="R669" s="39" t="str">
        <f>IF(OR(O669="Rupture",O669="À commander"),COUNTIF($O$5:O669,"Rupture")+COUNTIF($O$5:O669,"À commander"),"")</f>
        <v/>
      </c>
    </row>
    <row r="670">
      <c r="A670" s="37" t="n"/>
      <c r="B670" s="37" t="n"/>
      <c r="C670" s="37" t="n"/>
      <c r="D670" s="37" t="n"/>
      <c r="E670" s="37" t="n"/>
      <c r="F670" s="37" t="n"/>
      <c r="G670" s="38" t="n"/>
      <c r="H670" s="37" t="n"/>
      <c r="I670" s="37" t="n"/>
      <c r="J670" s="37" t="n"/>
      <c r="K670" s="39" t="str">
        <f>IF(A670="","",SUMIFS(mv_qty,mv_ref,A670,mv_type,"Entrée"))</f>
        <v/>
      </c>
      <c r="L670" s="39" t="str">
        <f>IF(A670="","",SUMIFS(mv_qty,mv_ref,A670,mv_type,"Sortie"))</f>
        <v/>
      </c>
      <c r="M670" s="39" t="str">
        <f>IF(A670="","",ROUND(N(H670)+K670-L670,6))</f>
        <v/>
      </c>
      <c r="N670" s="40" t="str">
        <f>IF(A670="","",M670*N(G670))</f>
        <v/>
      </c>
      <c r="O670" s="39" t="str">
        <f>IF(A670="","",IF(M670&lt;=0,"Rupture",IF(AND(I670&lt;&gt;"",M670&lt;=N(I670)),"À commander","OK")))</f>
        <v/>
      </c>
      <c r="P670" s="39" t="str">
        <f>IF(OR(A670="",O670="OK",J670=""),"",MAX(N(J670)-M670,0))</f>
        <v/>
      </c>
      <c r="Q670" s="39" t="str">
        <f>IF(A670="",IF(COUNTA(B670:J670)&gt;0,"Référence manquante",""),IF(COUNTIF($A$5:$A$1004,A670)&gt;1,"Référence en double",IF(B670="","Désignation manquante","OK")))</f>
        <v/>
      </c>
      <c r="R670" s="39" t="str">
        <f>IF(OR(O670="Rupture",O670="À commander"),COUNTIF($O$5:O670,"Rupture")+COUNTIF($O$5:O670,"À commander"),"")</f>
        <v/>
      </c>
    </row>
    <row r="671">
      <c r="A671" s="37" t="n"/>
      <c r="B671" s="37" t="n"/>
      <c r="C671" s="37" t="n"/>
      <c r="D671" s="37" t="n"/>
      <c r="E671" s="37" t="n"/>
      <c r="F671" s="37" t="n"/>
      <c r="G671" s="38" t="n"/>
      <c r="H671" s="37" t="n"/>
      <c r="I671" s="37" t="n"/>
      <c r="J671" s="37" t="n"/>
      <c r="K671" s="39" t="str">
        <f>IF(A671="","",SUMIFS(mv_qty,mv_ref,A671,mv_type,"Entrée"))</f>
        <v/>
      </c>
      <c r="L671" s="39" t="str">
        <f>IF(A671="","",SUMIFS(mv_qty,mv_ref,A671,mv_type,"Sortie"))</f>
        <v/>
      </c>
      <c r="M671" s="39" t="str">
        <f>IF(A671="","",ROUND(N(H671)+K671-L671,6))</f>
        <v/>
      </c>
      <c r="N671" s="40" t="str">
        <f>IF(A671="","",M671*N(G671))</f>
        <v/>
      </c>
      <c r="O671" s="39" t="str">
        <f>IF(A671="","",IF(M671&lt;=0,"Rupture",IF(AND(I671&lt;&gt;"",M671&lt;=N(I671)),"À commander","OK")))</f>
        <v/>
      </c>
      <c r="P671" s="39" t="str">
        <f>IF(OR(A671="",O671="OK",J671=""),"",MAX(N(J671)-M671,0))</f>
        <v/>
      </c>
      <c r="Q671" s="39" t="str">
        <f>IF(A671="",IF(COUNTA(B671:J671)&gt;0,"Référence manquante",""),IF(COUNTIF($A$5:$A$1004,A671)&gt;1,"Référence en double",IF(B671="","Désignation manquante","OK")))</f>
        <v/>
      </c>
      <c r="R671" s="39" t="str">
        <f>IF(OR(O671="Rupture",O671="À commander"),COUNTIF($O$5:O671,"Rupture")+COUNTIF($O$5:O671,"À commander"),"")</f>
        <v/>
      </c>
    </row>
    <row r="672">
      <c r="A672" s="37" t="n"/>
      <c r="B672" s="37" t="n"/>
      <c r="C672" s="37" t="n"/>
      <c r="D672" s="37" t="n"/>
      <c r="E672" s="37" t="n"/>
      <c r="F672" s="37" t="n"/>
      <c r="G672" s="38" t="n"/>
      <c r="H672" s="37" t="n"/>
      <c r="I672" s="37" t="n"/>
      <c r="J672" s="37" t="n"/>
      <c r="K672" s="39" t="str">
        <f>IF(A672="","",SUMIFS(mv_qty,mv_ref,A672,mv_type,"Entrée"))</f>
        <v/>
      </c>
      <c r="L672" s="39" t="str">
        <f>IF(A672="","",SUMIFS(mv_qty,mv_ref,A672,mv_type,"Sortie"))</f>
        <v/>
      </c>
      <c r="M672" s="39" t="str">
        <f>IF(A672="","",ROUND(N(H672)+K672-L672,6))</f>
        <v/>
      </c>
      <c r="N672" s="40" t="str">
        <f>IF(A672="","",M672*N(G672))</f>
        <v/>
      </c>
      <c r="O672" s="39" t="str">
        <f>IF(A672="","",IF(M672&lt;=0,"Rupture",IF(AND(I672&lt;&gt;"",M672&lt;=N(I672)),"À commander","OK")))</f>
        <v/>
      </c>
      <c r="P672" s="39" t="str">
        <f>IF(OR(A672="",O672="OK",J672=""),"",MAX(N(J672)-M672,0))</f>
        <v/>
      </c>
      <c r="Q672" s="39" t="str">
        <f>IF(A672="",IF(COUNTA(B672:J672)&gt;0,"Référence manquante",""),IF(COUNTIF($A$5:$A$1004,A672)&gt;1,"Référence en double",IF(B672="","Désignation manquante","OK")))</f>
        <v/>
      </c>
      <c r="R672" s="39" t="str">
        <f>IF(OR(O672="Rupture",O672="À commander"),COUNTIF($O$5:O672,"Rupture")+COUNTIF($O$5:O672,"À commander"),"")</f>
        <v/>
      </c>
    </row>
    <row r="673">
      <c r="A673" s="37" t="n"/>
      <c r="B673" s="37" t="n"/>
      <c r="C673" s="37" t="n"/>
      <c r="D673" s="37" t="n"/>
      <c r="E673" s="37" t="n"/>
      <c r="F673" s="37" t="n"/>
      <c r="G673" s="38" t="n"/>
      <c r="H673" s="37" t="n"/>
      <c r="I673" s="37" t="n"/>
      <c r="J673" s="37" t="n"/>
      <c r="K673" s="39" t="str">
        <f>IF(A673="","",SUMIFS(mv_qty,mv_ref,A673,mv_type,"Entrée"))</f>
        <v/>
      </c>
      <c r="L673" s="39" t="str">
        <f>IF(A673="","",SUMIFS(mv_qty,mv_ref,A673,mv_type,"Sortie"))</f>
        <v/>
      </c>
      <c r="M673" s="39" t="str">
        <f>IF(A673="","",ROUND(N(H673)+K673-L673,6))</f>
        <v/>
      </c>
      <c r="N673" s="40" t="str">
        <f>IF(A673="","",M673*N(G673))</f>
        <v/>
      </c>
      <c r="O673" s="39" t="str">
        <f>IF(A673="","",IF(M673&lt;=0,"Rupture",IF(AND(I673&lt;&gt;"",M673&lt;=N(I673)),"À commander","OK")))</f>
        <v/>
      </c>
      <c r="P673" s="39" t="str">
        <f>IF(OR(A673="",O673="OK",J673=""),"",MAX(N(J673)-M673,0))</f>
        <v/>
      </c>
      <c r="Q673" s="39" t="str">
        <f>IF(A673="",IF(COUNTA(B673:J673)&gt;0,"Référence manquante",""),IF(COUNTIF($A$5:$A$1004,A673)&gt;1,"Référence en double",IF(B673="","Désignation manquante","OK")))</f>
        <v/>
      </c>
      <c r="R673" s="39" t="str">
        <f>IF(OR(O673="Rupture",O673="À commander"),COUNTIF($O$5:O673,"Rupture")+COUNTIF($O$5:O673,"À commander"),"")</f>
        <v/>
      </c>
    </row>
    <row r="674">
      <c r="A674" s="37" t="n"/>
      <c r="B674" s="37" t="n"/>
      <c r="C674" s="37" t="n"/>
      <c r="D674" s="37" t="n"/>
      <c r="E674" s="37" t="n"/>
      <c r="F674" s="37" t="n"/>
      <c r="G674" s="38" t="n"/>
      <c r="H674" s="37" t="n"/>
      <c r="I674" s="37" t="n"/>
      <c r="J674" s="37" t="n"/>
      <c r="K674" s="39" t="str">
        <f>IF(A674="","",SUMIFS(mv_qty,mv_ref,A674,mv_type,"Entrée"))</f>
        <v/>
      </c>
      <c r="L674" s="39" t="str">
        <f>IF(A674="","",SUMIFS(mv_qty,mv_ref,A674,mv_type,"Sortie"))</f>
        <v/>
      </c>
      <c r="M674" s="39" t="str">
        <f>IF(A674="","",ROUND(N(H674)+K674-L674,6))</f>
        <v/>
      </c>
      <c r="N674" s="40" t="str">
        <f>IF(A674="","",M674*N(G674))</f>
        <v/>
      </c>
      <c r="O674" s="39" t="str">
        <f>IF(A674="","",IF(M674&lt;=0,"Rupture",IF(AND(I674&lt;&gt;"",M674&lt;=N(I674)),"À commander","OK")))</f>
        <v/>
      </c>
      <c r="P674" s="39" t="str">
        <f>IF(OR(A674="",O674="OK",J674=""),"",MAX(N(J674)-M674,0))</f>
        <v/>
      </c>
      <c r="Q674" s="39" t="str">
        <f>IF(A674="",IF(COUNTA(B674:J674)&gt;0,"Référence manquante",""),IF(COUNTIF($A$5:$A$1004,A674)&gt;1,"Référence en double",IF(B674="","Désignation manquante","OK")))</f>
        <v/>
      </c>
      <c r="R674" s="39" t="str">
        <f>IF(OR(O674="Rupture",O674="À commander"),COUNTIF($O$5:O674,"Rupture")+COUNTIF($O$5:O674,"À commander"),"")</f>
        <v/>
      </c>
    </row>
    <row r="675">
      <c r="A675" s="37" t="n"/>
      <c r="B675" s="37" t="n"/>
      <c r="C675" s="37" t="n"/>
      <c r="D675" s="37" t="n"/>
      <c r="E675" s="37" t="n"/>
      <c r="F675" s="37" t="n"/>
      <c r="G675" s="38" t="n"/>
      <c r="H675" s="37" t="n"/>
      <c r="I675" s="37" t="n"/>
      <c r="J675" s="37" t="n"/>
      <c r="K675" s="39" t="str">
        <f>IF(A675="","",SUMIFS(mv_qty,mv_ref,A675,mv_type,"Entrée"))</f>
        <v/>
      </c>
      <c r="L675" s="39" t="str">
        <f>IF(A675="","",SUMIFS(mv_qty,mv_ref,A675,mv_type,"Sortie"))</f>
        <v/>
      </c>
      <c r="M675" s="39" t="str">
        <f>IF(A675="","",ROUND(N(H675)+K675-L675,6))</f>
        <v/>
      </c>
      <c r="N675" s="40" t="str">
        <f>IF(A675="","",M675*N(G675))</f>
        <v/>
      </c>
      <c r="O675" s="39" t="str">
        <f>IF(A675="","",IF(M675&lt;=0,"Rupture",IF(AND(I675&lt;&gt;"",M675&lt;=N(I675)),"À commander","OK")))</f>
        <v/>
      </c>
      <c r="P675" s="39" t="str">
        <f>IF(OR(A675="",O675="OK",J675=""),"",MAX(N(J675)-M675,0))</f>
        <v/>
      </c>
      <c r="Q675" s="39" t="str">
        <f>IF(A675="",IF(COUNTA(B675:J675)&gt;0,"Référence manquante",""),IF(COUNTIF($A$5:$A$1004,A675)&gt;1,"Référence en double",IF(B675="","Désignation manquante","OK")))</f>
        <v/>
      </c>
      <c r="R675" s="39" t="str">
        <f>IF(OR(O675="Rupture",O675="À commander"),COUNTIF($O$5:O675,"Rupture")+COUNTIF($O$5:O675,"À commander"),"")</f>
        <v/>
      </c>
    </row>
    <row r="676">
      <c r="A676" s="37" t="n"/>
      <c r="B676" s="37" t="n"/>
      <c r="C676" s="37" t="n"/>
      <c r="D676" s="37" t="n"/>
      <c r="E676" s="37" t="n"/>
      <c r="F676" s="37" t="n"/>
      <c r="G676" s="38" t="n"/>
      <c r="H676" s="37" t="n"/>
      <c r="I676" s="37" t="n"/>
      <c r="J676" s="37" t="n"/>
      <c r="K676" s="39" t="str">
        <f>IF(A676="","",SUMIFS(mv_qty,mv_ref,A676,mv_type,"Entrée"))</f>
        <v/>
      </c>
      <c r="L676" s="39" t="str">
        <f>IF(A676="","",SUMIFS(mv_qty,mv_ref,A676,mv_type,"Sortie"))</f>
        <v/>
      </c>
      <c r="M676" s="39" t="str">
        <f>IF(A676="","",ROUND(N(H676)+K676-L676,6))</f>
        <v/>
      </c>
      <c r="N676" s="40" t="str">
        <f>IF(A676="","",M676*N(G676))</f>
        <v/>
      </c>
      <c r="O676" s="39" t="str">
        <f>IF(A676="","",IF(M676&lt;=0,"Rupture",IF(AND(I676&lt;&gt;"",M676&lt;=N(I676)),"À commander","OK")))</f>
        <v/>
      </c>
      <c r="P676" s="39" t="str">
        <f>IF(OR(A676="",O676="OK",J676=""),"",MAX(N(J676)-M676,0))</f>
        <v/>
      </c>
      <c r="Q676" s="39" t="str">
        <f>IF(A676="",IF(COUNTA(B676:J676)&gt;0,"Référence manquante",""),IF(COUNTIF($A$5:$A$1004,A676)&gt;1,"Référence en double",IF(B676="","Désignation manquante","OK")))</f>
        <v/>
      </c>
      <c r="R676" s="39" t="str">
        <f>IF(OR(O676="Rupture",O676="À commander"),COUNTIF($O$5:O676,"Rupture")+COUNTIF($O$5:O676,"À commander"),"")</f>
        <v/>
      </c>
    </row>
    <row r="677">
      <c r="A677" s="37" t="n"/>
      <c r="B677" s="37" t="n"/>
      <c r="C677" s="37" t="n"/>
      <c r="D677" s="37" t="n"/>
      <c r="E677" s="37" t="n"/>
      <c r="F677" s="37" t="n"/>
      <c r="G677" s="38" t="n"/>
      <c r="H677" s="37" t="n"/>
      <c r="I677" s="37" t="n"/>
      <c r="J677" s="37" t="n"/>
      <c r="K677" s="39" t="str">
        <f>IF(A677="","",SUMIFS(mv_qty,mv_ref,A677,mv_type,"Entrée"))</f>
        <v/>
      </c>
      <c r="L677" s="39" t="str">
        <f>IF(A677="","",SUMIFS(mv_qty,mv_ref,A677,mv_type,"Sortie"))</f>
        <v/>
      </c>
      <c r="M677" s="39" t="str">
        <f>IF(A677="","",ROUND(N(H677)+K677-L677,6))</f>
        <v/>
      </c>
      <c r="N677" s="40" t="str">
        <f>IF(A677="","",M677*N(G677))</f>
        <v/>
      </c>
      <c r="O677" s="39" t="str">
        <f>IF(A677="","",IF(M677&lt;=0,"Rupture",IF(AND(I677&lt;&gt;"",M677&lt;=N(I677)),"À commander","OK")))</f>
        <v/>
      </c>
      <c r="P677" s="39" t="str">
        <f>IF(OR(A677="",O677="OK",J677=""),"",MAX(N(J677)-M677,0))</f>
        <v/>
      </c>
      <c r="Q677" s="39" t="str">
        <f>IF(A677="",IF(COUNTA(B677:J677)&gt;0,"Référence manquante",""),IF(COUNTIF($A$5:$A$1004,A677)&gt;1,"Référence en double",IF(B677="","Désignation manquante","OK")))</f>
        <v/>
      </c>
      <c r="R677" s="39" t="str">
        <f>IF(OR(O677="Rupture",O677="À commander"),COUNTIF($O$5:O677,"Rupture")+COUNTIF($O$5:O677,"À commander"),"")</f>
        <v/>
      </c>
    </row>
    <row r="678">
      <c r="A678" s="37" t="n"/>
      <c r="B678" s="37" t="n"/>
      <c r="C678" s="37" t="n"/>
      <c r="D678" s="37" t="n"/>
      <c r="E678" s="37" t="n"/>
      <c r="F678" s="37" t="n"/>
      <c r="G678" s="38" t="n"/>
      <c r="H678" s="37" t="n"/>
      <c r="I678" s="37" t="n"/>
      <c r="J678" s="37" t="n"/>
      <c r="K678" s="39" t="str">
        <f>IF(A678="","",SUMIFS(mv_qty,mv_ref,A678,mv_type,"Entrée"))</f>
        <v/>
      </c>
      <c r="L678" s="39" t="str">
        <f>IF(A678="","",SUMIFS(mv_qty,mv_ref,A678,mv_type,"Sortie"))</f>
        <v/>
      </c>
      <c r="M678" s="39" t="str">
        <f>IF(A678="","",ROUND(N(H678)+K678-L678,6))</f>
        <v/>
      </c>
      <c r="N678" s="40" t="str">
        <f>IF(A678="","",M678*N(G678))</f>
        <v/>
      </c>
      <c r="O678" s="39" t="str">
        <f>IF(A678="","",IF(M678&lt;=0,"Rupture",IF(AND(I678&lt;&gt;"",M678&lt;=N(I678)),"À commander","OK")))</f>
        <v/>
      </c>
      <c r="P678" s="39" t="str">
        <f>IF(OR(A678="",O678="OK",J678=""),"",MAX(N(J678)-M678,0))</f>
        <v/>
      </c>
      <c r="Q678" s="39" t="str">
        <f>IF(A678="",IF(COUNTA(B678:J678)&gt;0,"Référence manquante",""),IF(COUNTIF($A$5:$A$1004,A678)&gt;1,"Référence en double",IF(B678="","Désignation manquante","OK")))</f>
        <v/>
      </c>
      <c r="R678" s="39" t="str">
        <f>IF(OR(O678="Rupture",O678="À commander"),COUNTIF($O$5:O678,"Rupture")+COUNTIF($O$5:O678,"À commander"),"")</f>
        <v/>
      </c>
    </row>
    <row r="679">
      <c r="A679" s="37" t="n"/>
      <c r="B679" s="37" t="n"/>
      <c r="C679" s="37" t="n"/>
      <c r="D679" s="37" t="n"/>
      <c r="E679" s="37" t="n"/>
      <c r="F679" s="37" t="n"/>
      <c r="G679" s="38" t="n"/>
      <c r="H679" s="37" t="n"/>
      <c r="I679" s="37" t="n"/>
      <c r="J679" s="37" t="n"/>
      <c r="K679" s="39" t="str">
        <f>IF(A679="","",SUMIFS(mv_qty,mv_ref,A679,mv_type,"Entrée"))</f>
        <v/>
      </c>
      <c r="L679" s="39" t="str">
        <f>IF(A679="","",SUMIFS(mv_qty,mv_ref,A679,mv_type,"Sortie"))</f>
        <v/>
      </c>
      <c r="M679" s="39" t="str">
        <f>IF(A679="","",ROUND(N(H679)+K679-L679,6))</f>
        <v/>
      </c>
      <c r="N679" s="40" t="str">
        <f>IF(A679="","",M679*N(G679))</f>
        <v/>
      </c>
      <c r="O679" s="39" t="str">
        <f>IF(A679="","",IF(M679&lt;=0,"Rupture",IF(AND(I679&lt;&gt;"",M679&lt;=N(I679)),"À commander","OK")))</f>
        <v/>
      </c>
      <c r="P679" s="39" t="str">
        <f>IF(OR(A679="",O679="OK",J679=""),"",MAX(N(J679)-M679,0))</f>
        <v/>
      </c>
      <c r="Q679" s="39" t="str">
        <f>IF(A679="",IF(COUNTA(B679:J679)&gt;0,"Référence manquante",""),IF(COUNTIF($A$5:$A$1004,A679)&gt;1,"Référence en double",IF(B679="","Désignation manquante","OK")))</f>
        <v/>
      </c>
      <c r="R679" s="39" t="str">
        <f>IF(OR(O679="Rupture",O679="À commander"),COUNTIF($O$5:O679,"Rupture")+COUNTIF($O$5:O679,"À commander"),"")</f>
        <v/>
      </c>
    </row>
    <row r="680">
      <c r="A680" s="37" t="n"/>
      <c r="B680" s="37" t="n"/>
      <c r="C680" s="37" t="n"/>
      <c r="D680" s="37" t="n"/>
      <c r="E680" s="37" t="n"/>
      <c r="F680" s="37" t="n"/>
      <c r="G680" s="38" t="n"/>
      <c r="H680" s="37" t="n"/>
      <c r="I680" s="37" t="n"/>
      <c r="J680" s="37" t="n"/>
      <c r="K680" s="39" t="str">
        <f>IF(A680="","",SUMIFS(mv_qty,mv_ref,A680,mv_type,"Entrée"))</f>
        <v/>
      </c>
      <c r="L680" s="39" t="str">
        <f>IF(A680="","",SUMIFS(mv_qty,mv_ref,A680,mv_type,"Sortie"))</f>
        <v/>
      </c>
      <c r="M680" s="39" t="str">
        <f>IF(A680="","",ROUND(N(H680)+K680-L680,6))</f>
        <v/>
      </c>
      <c r="N680" s="40" t="str">
        <f>IF(A680="","",M680*N(G680))</f>
        <v/>
      </c>
      <c r="O680" s="39" t="str">
        <f>IF(A680="","",IF(M680&lt;=0,"Rupture",IF(AND(I680&lt;&gt;"",M680&lt;=N(I680)),"À commander","OK")))</f>
        <v/>
      </c>
      <c r="P680" s="39" t="str">
        <f>IF(OR(A680="",O680="OK",J680=""),"",MAX(N(J680)-M680,0))</f>
        <v/>
      </c>
      <c r="Q680" s="39" t="str">
        <f>IF(A680="",IF(COUNTA(B680:J680)&gt;0,"Référence manquante",""),IF(COUNTIF($A$5:$A$1004,A680)&gt;1,"Référence en double",IF(B680="","Désignation manquante","OK")))</f>
        <v/>
      </c>
      <c r="R680" s="39" t="str">
        <f>IF(OR(O680="Rupture",O680="À commander"),COUNTIF($O$5:O680,"Rupture")+COUNTIF($O$5:O680,"À commander"),"")</f>
        <v/>
      </c>
    </row>
    <row r="681">
      <c r="A681" s="37" t="n"/>
      <c r="B681" s="37" t="n"/>
      <c r="C681" s="37" t="n"/>
      <c r="D681" s="37" t="n"/>
      <c r="E681" s="37" t="n"/>
      <c r="F681" s="37" t="n"/>
      <c r="G681" s="38" t="n"/>
      <c r="H681" s="37" t="n"/>
      <c r="I681" s="37" t="n"/>
      <c r="J681" s="37" t="n"/>
      <c r="K681" s="39" t="str">
        <f>IF(A681="","",SUMIFS(mv_qty,mv_ref,A681,mv_type,"Entrée"))</f>
        <v/>
      </c>
      <c r="L681" s="39" t="str">
        <f>IF(A681="","",SUMIFS(mv_qty,mv_ref,A681,mv_type,"Sortie"))</f>
        <v/>
      </c>
      <c r="M681" s="39" t="str">
        <f>IF(A681="","",ROUND(N(H681)+K681-L681,6))</f>
        <v/>
      </c>
      <c r="N681" s="40" t="str">
        <f>IF(A681="","",M681*N(G681))</f>
        <v/>
      </c>
      <c r="O681" s="39" t="str">
        <f>IF(A681="","",IF(M681&lt;=0,"Rupture",IF(AND(I681&lt;&gt;"",M681&lt;=N(I681)),"À commander","OK")))</f>
        <v/>
      </c>
      <c r="P681" s="39" t="str">
        <f>IF(OR(A681="",O681="OK",J681=""),"",MAX(N(J681)-M681,0))</f>
        <v/>
      </c>
      <c r="Q681" s="39" t="str">
        <f>IF(A681="",IF(COUNTA(B681:J681)&gt;0,"Référence manquante",""),IF(COUNTIF($A$5:$A$1004,A681)&gt;1,"Référence en double",IF(B681="","Désignation manquante","OK")))</f>
        <v/>
      </c>
      <c r="R681" s="39" t="str">
        <f>IF(OR(O681="Rupture",O681="À commander"),COUNTIF($O$5:O681,"Rupture")+COUNTIF($O$5:O681,"À commander"),"")</f>
        <v/>
      </c>
    </row>
    <row r="682">
      <c r="A682" s="37" t="n"/>
      <c r="B682" s="37" t="n"/>
      <c r="C682" s="37" t="n"/>
      <c r="D682" s="37" t="n"/>
      <c r="E682" s="37" t="n"/>
      <c r="F682" s="37" t="n"/>
      <c r="G682" s="38" t="n"/>
      <c r="H682" s="37" t="n"/>
      <c r="I682" s="37" t="n"/>
      <c r="J682" s="37" t="n"/>
      <c r="K682" s="39" t="str">
        <f>IF(A682="","",SUMIFS(mv_qty,mv_ref,A682,mv_type,"Entrée"))</f>
        <v/>
      </c>
      <c r="L682" s="39" t="str">
        <f>IF(A682="","",SUMIFS(mv_qty,mv_ref,A682,mv_type,"Sortie"))</f>
        <v/>
      </c>
      <c r="M682" s="39" t="str">
        <f>IF(A682="","",ROUND(N(H682)+K682-L682,6))</f>
        <v/>
      </c>
      <c r="N682" s="40" t="str">
        <f>IF(A682="","",M682*N(G682))</f>
        <v/>
      </c>
      <c r="O682" s="39" t="str">
        <f>IF(A682="","",IF(M682&lt;=0,"Rupture",IF(AND(I682&lt;&gt;"",M682&lt;=N(I682)),"À commander","OK")))</f>
        <v/>
      </c>
      <c r="P682" s="39" t="str">
        <f>IF(OR(A682="",O682="OK",J682=""),"",MAX(N(J682)-M682,0))</f>
        <v/>
      </c>
      <c r="Q682" s="39" t="str">
        <f>IF(A682="",IF(COUNTA(B682:J682)&gt;0,"Référence manquante",""),IF(COUNTIF($A$5:$A$1004,A682)&gt;1,"Référence en double",IF(B682="","Désignation manquante","OK")))</f>
        <v/>
      </c>
      <c r="R682" s="39" t="str">
        <f>IF(OR(O682="Rupture",O682="À commander"),COUNTIF($O$5:O682,"Rupture")+COUNTIF($O$5:O682,"À commander"),"")</f>
        <v/>
      </c>
    </row>
    <row r="683">
      <c r="A683" s="37" t="n"/>
      <c r="B683" s="37" t="n"/>
      <c r="C683" s="37" t="n"/>
      <c r="D683" s="37" t="n"/>
      <c r="E683" s="37" t="n"/>
      <c r="F683" s="37" t="n"/>
      <c r="G683" s="38" t="n"/>
      <c r="H683" s="37" t="n"/>
      <c r="I683" s="37" t="n"/>
      <c r="J683" s="37" t="n"/>
      <c r="K683" s="39" t="str">
        <f>IF(A683="","",SUMIFS(mv_qty,mv_ref,A683,mv_type,"Entrée"))</f>
        <v/>
      </c>
      <c r="L683" s="39" t="str">
        <f>IF(A683="","",SUMIFS(mv_qty,mv_ref,A683,mv_type,"Sortie"))</f>
        <v/>
      </c>
      <c r="M683" s="39" t="str">
        <f>IF(A683="","",ROUND(N(H683)+K683-L683,6))</f>
        <v/>
      </c>
      <c r="N683" s="40" t="str">
        <f>IF(A683="","",M683*N(G683))</f>
        <v/>
      </c>
      <c r="O683" s="39" t="str">
        <f>IF(A683="","",IF(M683&lt;=0,"Rupture",IF(AND(I683&lt;&gt;"",M683&lt;=N(I683)),"À commander","OK")))</f>
        <v/>
      </c>
      <c r="P683" s="39" t="str">
        <f>IF(OR(A683="",O683="OK",J683=""),"",MAX(N(J683)-M683,0))</f>
        <v/>
      </c>
      <c r="Q683" s="39" t="str">
        <f>IF(A683="",IF(COUNTA(B683:J683)&gt;0,"Référence manquante",""),IF(COUNTIF($A$5:$A$1004,A683)&gt;1,"Référence en double",IF(B683="","Désignation manquante","OK")))</f>
        <v/>
      </c>
      <c r="R683" s="39" t="str">
        <f>IF(OR(O683="Rupture",O683="À commander"),COUNTIF($O$5:O683,"Rupture")+COUNTIF($O$5:O683,"À commander"),"")</f>
        <v/>
      </c>
    </row>
    <row r="684">
      <c r="A684" s="37" t="n"/>
      <c r="B684" s="37" t="n"/>
      <c r="C684" s="37" t="n"/>
      <c r="D684" s="37" t="n"/>
      <c r="E684" s="37" t="n"/>
      <c r="F684" s="37" t="n"/>
      <c r="G684" s="38" t="n"/>
      <c r="H684" s="37" t="n"/>
      <c r="I684" s="37" t="n"/>
      <c r="J684" s="37" t="n"/>
      <c r="K684" s="39" t="str">
        <f>IF(A684="","",SUMIFS(mv_qty,mv_ref,A684,mv_type,"Entrée"))</f>
        <v/>
      </c>
      <c r="L684" s="39" t="str">
        <f>IF(A684="","",SUMIFS(mv_qty,mv_ref,A684,mv_type,"Sortie"))</f>
        <v/>
      </c>
      <c r="M684" s="39" t="str">
        <f>IF(A684="","",ROUND(N(H684)+K684-L684,6))</f>
        <v/>
      </c>
      <c r="N684" s="40" t="str">
        <f>IF(A684="","",M684*N(G684))</f>
        <v/>
      </c>
      <c r="O684" s="39" t="str">
        <f>IF(A684="","",IF(M684&lt;=0,"Rupture",IF(AND(I684&lt;&gt;"",M684&lt;=N(I684)),"À commander","OK")))</f>
        <v/>
      </c>
      <c r="P684" s="39" t="str">
        <f>IF(OR(A684="",O684="OK",J684=""),"",MAX(N(J684)-M684,0))</f>
        <v/>
      </c>
      <c r="Q684" s="39" t="str">
        <f>IF(A684="",IF(COUNTA(B684:J684)&gt;0,"Référence manquante",""),IF(COUNTIF($A$5:$A$1004,A684)&gt;1,"Référence en double",IF(B684="","Désignation manquante","OK")))</f>
        <v/>
      </c>
      <c r="R684" s="39" t="str">
        <f>IF(OR(O684="Rupture",O684="À commander"),COUNTIF($O$5:O684,"Rupture")+COUNTIF($O$5:O684,"À commander"),"")</f>
        <v/>
      </c>
    </row>
    <row r="685">
      <c r="A685" s="37" t="n"/>
      <c r="B685" s="37" t="n"/>
      <c r="C685" s="37" t="n"/>
      <c r="D685" s="37" t="n"/>
      <c r="E685" s="37" t="n"/>
      <c r="F685" s="37" t="n"/>
      <c r="G685" s="38" t="n"/>
      <c r="H685" s="37" t="n"/>
      <c r="I685" s="37" t="n"/>
      <c r="J685" s="37" t="n"/>
      <c r="K685" s="39" t="str">
        <f>IF(A685="","",SUMIFS(mv_qty,mv_ref,A685,mv_type,"Entrée"))</f>
        <v/>
      </c>
      <c r="L685" s="39" t="str">
        <f>IF(A685="","",SUMIFS(mv_qty,mv_ref,A685,mv_type,"Sortie"))</f>
        <v/>
      </c>
      <c r="M685" s="39" t="str">
        <f>IF(A685="","",ROUND(N(H685)+K685-L685,6))</f>
        <v/>
      </c>
      <c r="N685" s="40" t="str">
        <f>IF(A685="","",M685*N(G685))</f>
        <v/>
      </c>
      <c r="O685" s="39" t="str">
        <f>IF(A685="","",IF(M685&lt;=0,"Rupture",IF(AND(I685&lt;&gt;"",M685&lt;=N(I685)),"À commander","OK")))</f>
        <v/>
      </c>
      <c r="P685" s="39" t="str">
        <f>IF(OR(A685="",O685="OK",J685=""),"",MAX(N(J685)-M685,0))</f>
        <v/>
      </c>
      <c r="Q685" s="39" t="str">
        <f>IF(A685="",IF(COUNTA(B685:J685)&gt;0,"Référence manquante",""),IF(COUNTIF($A$5:$A$1004,A685)&gt;1,"Référence en double",IF(B685="","Désignation manquante","OK")))</f>
        <v/>
      </c>
      <c r="R685" s="39" t="str">
        <f>IF(OR(O685="Rupture",O685="À commander"),COUNTIF($O$5:O685,"Rupture")+COUNTIF($O$5:O685,"À commander"),"")</f>
        <v/>
      </c>
    </row>
    <row r="686">
      <c r="A686" s="37" t="n"/>
      <c r="B686" s="37" t="n"/>
      <c r="C686" s="37" t="n"/>
      <c r="D686" s="37" t="n"/>
      <c r="E686" s="37" t="n"/>
      <c r="F686" s="37" t="n"/>
      <c r="G686" s="38" t="n"/>
      <c r="H686" s="37" t="n"/>
      <c r="I686" s="37" t="n"/>
      <c r="J686" s="37" t="n"/>
      <c r="K686" s="39" t="str">
        <f>IF(A686="","",SUMIFS(mv_qty,mv_ref,A686,mv_type,"Entrée"))</f>
        <v/>
      </c>
      <c r="L686" s="39" t="str">
        <f>IF(A686="","",SUMIFS(mv_qty,mv_ref,A686,mv_type,"Sortie"))</f>
        <v/>
      </c>
      <c r="M686" s="39" t="str">
        <f>IF(A686="","",ROUND(N(H686)+K686-L686,6))</f>
        <v/>
      </c>
      <c r="N686" s="40" t="str">
        <f>IF(A686="","",M686*N(G686))</f>
        <v/>
      </c>
      <c r="O686" s="39" t="str">
        <f>IF(A686="","",IF(M686&lt;=0,"Rupture",IF(AND(I686&lt;&gt;"",M686&lt;=N(I686)),"À commander","OK")))</f>
        <v/>
      </c>
      <c r="P686" s="39" t="str">
        <f>IF(OR(A686="",O686="OK",J686=""),"",MAX(N(J686)-M686,0))</f>
        <v/>
      </c>
      <c r="Q686" s="39" t="str">
        <f>IF(A686="",IF(COUNTA(B686:J686)&gt;0,"Référence manquante",""),IF(COUNTIF($A$5:$A$1004,A686)&gt;1,"Référence en double",IF(B686="","Désignation manquante","OK")))</f>
        <v/>
      </c>
      <c r="R686" s="39" t="str">
        <f>IF(OR(O686="Rupture",O686="À commander"),COUNTIF($O$5:O686,"Rupture")+COUNTIF($O$5:O686,"À commander"),"")</f>
        <v/>
      </c>
    </row>
    <row r="687">
      <c r="A687" s="37" t="n"/>
      <c r="B687" s="37" t="n"/>
      <c r="C687" s="37" t="n"/>
      <c r="D687" s="37" t="n"/>
      <c r="E687" s="37" t="n"/>
      <c r="F687" s="37" t="n"/>
      <c r="G687" s="38" t="n"/>
      <c r="H687" s="37" t="n"/>
      <c r="I687" s="37" t="n"/>
      <c r="J687" s="37" t="n"/>
      <c r="K687" s="39" t="str">
        <f>IF(A687="","",SUMIFS(mv_qty,mv_ref,A687,mv_type,"Entrée"))</f>
        <v/>
      </c>
      <c r="L687" s="39" t="str">
        <f>IF(A687="","",SUMIFS(mv_qty,mv_ref,A687,mv_type,"Sortie"))</f>
        <v/>
      </c>
      <c r="M687" s="39" t="str">
        <f>IF(A687="","",ROUND(N(H687)+K687-L687,6))</f>
        <v/>
      </c>
      <c r="N687" s="40" t="str">
        <f>IF(A687="","",M687*N(G687))</f>
        <v/>
      </c>
      <c r="O687" s="39" t="str">
        <f>IF(A687="","",IF(M687&lt;=0,"Rupture",IF(AND(I687&lt;&gt;"",M687&lt;=N(I687)),"À commander","OK")))</f>
        <v/>
      </c>
      <c r="P687" s="39" t="str">
        <f>IF(OR(A687="",O687="OK",J687=""),"",MAX(N(J687)-M687,0))</f>
        <v/>
      </c>
      <c r="Q687" s="39" t="str">
        <f>IF(A687="",IF(COUNTA(B687:J687)&gt;0,"Référence manquante",""),IF(COUNTIF($A$5:$A$1004,A687)&gt;1,"Référence en double",IF(B687="","Désignation manquante","OK")))</f>
        <v/>
      </c>
      <c r="R687" s="39" t="str">
        <f>IF(OR(O687="Rupture",O687="À commander"),COUNTIF($O$5:O687,"Rupture")+COUNTIF($O$5:O687,"À commander"),"")</f>
        <v/>
      </c>
    </row>
    <row r="688">
      <c r="A688" s="37" t="n"/>
      <c r="B688" s="37" t="n"/>
      <c r="C688" s="37" t="n"/>
      <c r="D688" s="37" t="n"/>
      <c r="E688" s="37" t="n"/>
      <c r="F688" s="37" t="n"/>
      <c r="G688" s="38" t="n"/>
      <c r="H688" s="37" t="n"/>
      <c r="I688" s="37" t="n"/>
      <c r="J688" s="37" t="n"/>
      <c r="K688" s="39" t="str">
        <f>IF(A688="","",SUMIFS(mv_qty,mv_ref,A688,mv_type,"Entrée"))</f>
        <v/>
      </c>
      <c r="L688" s="39" t="str">
        <f>IF(A688="","",SUMIFS(mv_qty,mv_ref,A688,mv_type,"Sortie"))</f>
        <v/>
      </c>
      <c r="M688" s="39" t="str">
        <f>IF(A688="","",ROUND(N(H688)+K688-L688,6))</f>
        <v/>
      </c>
      <c r="N688" s="40" t="str">
        <f>IF(A688="","",M688*N(G688))</f>
        <v/>
      </c>
      <c r="O688" s="39" t="str">
        <f>IF(A688="","",IF(M688&lt;=0,"Rupture",IF(AND(I688&lt;&gt;"",M688&lt;=N(I688)),"À commander","OK")))</f>
        <v/>
      </c>
      <c r="P688" s="39" t="str">
        <f>IF(OR(A688="",O688="OK",J688=""),"",MAX(N(J688)-M688,0))</f>
        <v/>
      </c>
      <c r="Q688" s="39" t="str">
        <f>IF(A688="",IF(COUNTA(B688:J688)&gt;0,"Référence manquante",""),IF(COUNTIF($A$5:$A$1004,A688)&gt;1,"Référence en double",IF(B688="","Désignation manquante","OK")))</f>
        <v/>
      </c>
      <c r="R688" s="39" t="str">
        <f>IF(OR(O688="Rupture",O688="À commander"),COUNTIF($O$5:O688,"Rupture")+COUNTIF($O$5:O688,"À commander"),"")</f>
        <v/>
      </c>
    </row>
    <row r="689">
      <c r="A689" s="37" t="n"/>
      <c r="B689" s="37" t="n"/>
      <c r="C689" s="37" t="n"/>
      <c r="D689" s="37" t="n"/>
      <c r="E689" s="37" t="n"/>
      <c r="F689" s="37" t="n"/>
      <c r="G689" s="38" t="n"/>
      <c r="H689" s="37" t="n"/>
      <c r="I689" s="37" t="n"/>
      <c r="J689" s="37" t="n"/>
      <c r="K689" s="39" t="str">
        <f>IF(A689="","",SUMIFS(mv_qty,mv_ref,A689,mv_type,"Entrée"))</f>
        <v/>
      </c>
      <c r="L689" s="39" t="str">
        <f>IF(A689="","",SUMIFS(mv_qty,mv_ref,A689,mv_type,"Sortie"))</f>
        <v/>
      </c>
      <c r="M689" s="39" t="str">
        <f>IF(A689="","",ROUND(N(H689)+K689-L689,6))</f>
        <v/>
      </c>
      <c r="N689" s="40" t="str">
        <f>IF(A689="","",M689*N(G689))</f>
        <v/>
      </c>
      <c r="O689" s="39" t="str">
        <f>IF(A689="","",IF(M689&lt;=0,"Rupture",IF(AND(I689&lt;&gt;"",M689&lt;=N(I689)),"À commander","OK")))</f>
        <v/>
      </c>
      <c r="P689" s="39" t="str">
        <f>IF(OR(A689="",O689="OK",J689=""),"",MAX(N(J689)-M689,0))</f>
        <v/>
      </c>
      <c r="Q689" s="39" t="str">
        <f>IF(A689="",IF(COUNTA(B689:J689)&gt;0,"Référence manquante",""),IF(COUNTIF($A$5:$A$1004,A689)&gt;1,"Référence en double",IF(B689="","Désignation manquante","OK")))</f>
        <v/>
      </c>
      <c r="R689" s="39" t="str">
        <f>IF(OR(O689="Rupture",O689="À commander"),COUNTIF($O$5:O689,"Rupture")+COUNTIF($O$5:O689,"À commander"),"")</f>
        <v/>
      </c>
    </row>
    <row r="690">
      <c r="A690" s="37" t="n"/>
      <c r="B690" s="37" t="n"/>
      <c r="C690" s="37" t="n"/>
      <c r="D690" s="37" t="n"/>
      <c r="E690" s="37" t="n"/>
      <c r="F690" s="37" t="n"/>
      <c r="G690" s="38" t="n"/>
      <c r="H690" s="37" t="n"/>
      <c r="I690" s="37" t="n"/>
      <c r="J690" s="37" t="n"/>
      <c r="K690" s="39" t="str">
        <f>IF(A690="","",SUMIFS(mv_qty,mv_ref,A690,mv_type,"Entrée"))</f>
        <v/>
      </c>
      <c r="L690" s="39" t="str">
        <f>IF(A690="","",SUMIFS(mv_qty,mv_ref,A690,mv_type,"Sortie"))</f>
        <v/>
      </c>
      <c r="M690" s="39" t="str">
        <f>IF(A690="","",ROUND(N(H690)+K690-L690,6))</f>
        <v/>
      </c>
      <c r="N690" s="40" t="str">
        <f>IF(A690="","",M690*N(G690))</f>
        <v/>
      </c>
      <c r="O690" s="39" t="str">
        <f>IF(A690="","",IF(M690&lt;=0,"Rupture",IF(AND(I690&lt;&gt;"",M690&lt;=N(I690)),"À commander","OK")))</f>
        <v/>
      </c>
      <c r="P690" s="39" t="str">
        <f>IF(OR(A690="",O690="OK",J690=""),"",MAX(N(J690)-M690,0))</f>
        <v/>
      </c>
      <c r="Q690" s="39" t="str">
        <f>IF(A690="",IF(COUNTA(B690:J690)&gt;0,"Référence manquante",""),IF(COUNTIF($A$5:$A$1004,A690)&gt;1,"Référence en double",IF(B690="","Désignation manquante","OK")))</f>
        <v/>
      </c>
      <c r="R690" s="39" t="str">
        <f>IF(OR(O690="Rupture",O690="À commander"),COUNTIF($O$5:O690,"Rupture")+COUNTIF($O$5:O690,"À commander"),"")</f>
        <v/>
      </c>
    </row>
    <row r="691">
      <c r="A691" s="37" t="n"/>
      <c r="B691" s="37" t="n"/>
      <c r="C691" s="37" t="n"/>
      <c r="D691" s="37" t="n"/>
      <c r="E691" s="37" t="n"/>
      <c r="F691" s="37" t="n"/>
      <c r="G691" s="38" t="n"/>
      <c r="H691" s="37" t="n"/>
      <c r="I691" s="37" t="n"/>
      <c r="J691" s="37" t="n"/>
      <c r="K691" s="39" t="str">
        <f>IF(A691="","",SUMIFS(mv_qty,mv_ref,A691,mv_type,"Entrée"))</f>
        <v/>
      </c>
      <c r="L691" s="39" t="str">
        <f>IF(A691="","",SUMIFS(mv_qty,mv_ref,A691,mv_type,"Sortie"))</f>
        <v/>
      </c>
      <c r="M691" s="39" t="str">
        <f>IF(A691="","",ROUND(N(H691)+K691-L691,6))</f>
        <v/>
      </c>
      <c r="N691" s="40" t="str">
        <f>IF(A691="","",M691*N(G691))</f>
        <v/>
      </c>
      <c r="O691" s="39" t="str">
        <f>IF(A691="","",IF(M691&lt;=0,"Rupture",IF(AND(I691&lt;&gt;"",M691&lt;=N(I691)),"À commander","OK")))</f>
        <v/>
      </c>
      <c r="P691" s="39" t="str">
        <f>IF(OR(A691="",O691="OK",J691=""),"",MAX(N(J691)-M691,0))</f>
        <v/>
      </c>
      <c r="Q691" s="39" t="str">
        <f>IF(A691="",IF(COUNTA(B691:J691)&gt;0,"Référence manquante",""),IF(COUNTIF($A$5:$A$1004,A691)&gt;1,"Référence en double",IF(B691="","Désignation manquante","OK")))</f>
        <v/>
      </c>
      <c r="R691" s="39" t="str">
        <f>IF(OR(O691="Rupture",O691="À commander"),COUNTIF($O$5:O691,"Rupture")+COUNTIF($O$5:O691,"À commander"),"")</f>
        <v/>
      </c>
    </row>
    <row r="692">
      <c r="A692" s="37" t="n"/>
      <c r="B692" s="37" t="n"/>
      <c r="C692" s="37" t="n"/>
      <c r="D692" s="37" t="n"/>
      <c r="E692" s="37" t="n"/>
      <c r="F692" s="37" t="n"/>
      <c r="G692" s="38" t="n"/>
      <c r="H692" s="37" t="n"/>
      <c r="I692" s="37" t="n"/>
      <c r="J692" s="37" t="n"/>
      <c r="K692" s="39" t="str">
        <f>IF(A692="","",SUMIFS(mv_qty,mv_ref,A692,mv_type,"Entrée"))</f>
        <v/>
      </c>
      <c r="L692" s="39" t="str">
        <f>IF(A692="","",SUMIFS(mv_qty,mv_ref,A692,mv_type,"Sortie"))</f>
        <v/>
      </c>
      <c r="M692" s="39" t="str">
        <f>IF(A692="","",ROUND(N(H692)+K692-L692,6))</f>
        <v/>
      </c>
      <c r="N692" s="40" t="str">
        <f>IF(A692="","",M692*N(G692))</f>
        <v/>
      </c>
      <c r="O692" s="39" t="str">
        <f>IF(A692="","",IF(M692&lt;=0,"Rupture",IF(AND(I692&lt;&gt;"",M692&lt;=N(I692)),"À commander","OK")))</f>
        <v/>
      </c>
      <c r="P692" s="39" t="str">
        <f>IF(OR(A692="",O692="OK",J692=""),"",MAX(N(J692)-M692,0))</f>
        <v/>
      </c>
      <c r="Q692" s="39" t="str">
        <f>IF(A692="",IF(COUNTA(B692:J692)&gt;0,"Référence manquante",""),IF(COUNTIF($A$5:$A$1004,A692)&gt;1,"Référence en double",IF(B692="","Désignation manquante","OK")))</f>
        <v/>
      </c>
      <c r="R692" s="39" t="str">
        <f>IF(OR(O692="Rupture",O692="À commander"),COUNTIF($O$5:O692,"Rupture")+COUNTIF($O$5:O692,"À commander"),"")</f>
        <v/>
      </c>
    </row>
    <row r="693">
      <c r="A693" s="37" t="n"/>
      <c r="B693" s="37" t="n"/>
      <c r="C693" s="37" t="n"/>
      <c r="D693" s="37" t="n"/>
      <c r="E693" s="37" t="n"/>
      <c r="F693" s="37" t="n"/>
      <c r="G693" s="38" t="n"/>
      <c r="H693" s="37" t="n"/>
      <c r="I693" s="37" t="n"/>
      <c r="J693" s="37" t="n"/>
      <c r="K693" s="39" t="str">
        <f>IF(A693="","",SUMIFS(mv_qty,mv_ref,A693,mv_type,"Entrée"))</f>
        <v/>
      </c>
      <c r="L693" s="39" t="str">
        <f>IF(A693="","",SUMIFS(mv_qty,mv_ref,A693,mv_type,"Sortie"))</f>
        <v/>
      </c>
      <c r="M693" s="39" t="str">
        <f>IF(A693="","",ROUND(N(H693)+K693-L693,6))</f>
        <v/>
      </c>
      <c r="N693" s="40" t="str">
        <f>IF(A693="","",M693*N(G693))</f>
        <v/>
      </c>
      <c r="O693" s="39" t="str">
        <f>IF(A693="","",IF(M693&lt;=0,"Rupture",IF(AND(I693&lt;&gt;"",M693&lt;=N(I693)),"À commander","OK")))</f>
        <v/>
      </c>
      <c r="P693" s="39" t="str">
        <f>IF(OR(A693="",O693="OK",J693=""),"",MAX(N(J693)-M693,0))</f>
        <v/>
      </c>
      <c r="Q693" s="39" t="str">
        <f>IF(A693="",IF(COUNTA(B693:J693)&gt;0,"Référence manquante",""),IF(COUNTIF($A$5:$A$1004,A693)&gt;1,"Référence en double",IF(B693="","Désignation manquante","OK")))</f>
        <v/>
      </c>
      <c r="R693" s="39" t="str">
        <f>IF(OR(O693="Rupture",O693="À commander"),COUNTIF($O$5:O693,"Rupture")+COUNTIF($O$5:O693,"À commander"),"")</f>
        <v/>
      </c>
    </row>
    <row r="694">
      <c r="A694" s="37" t="n"/>
      <c r="B694" s="37" t="n"/>
      <c r="C694" s="37" t="n"/>
      <c r="D694" s="37" t="n"/>
      <c r="E694" s="37" t="n"/>
      <c r="F694" s="37" t="n"/>
      <c r="G694" s="38" t="n"/>
      <c r="H694" s="37" t="n"/>
      <c r="I694" s="37" t="n"/>
      <c r="J694" s="37" t="n"/>
      <c r="K694" s="39" t="str">
        <f>IF(A694="","",SUMIFS(mv_qty,mv_ref,A694,mv_type,"Entrée"))</f>
        <v/>
      </c>
      <c r="L694" s="39" t="str">
        <f>IF(A694="","",SUMIFS(mv_qty,mv_ref,A694,mv_type,"Sortie"))</f>
        <v/>
      </c>
      <c r="M694" s="39" t="str">
        <f>IF(A694="","",ROUND(N(H694)+K694-L694,6))</f>
        <v/>
      </c>
      <c r="N694" s="40" t="str">
        <f>IF(A694="","",M694*N(G694))</f>
        <v/>
      </c>
      <c r="O694" s="39" t="str">
        <f>IF(A694="","",IF(M694&lt;=0,"Rupture",IF(AND(I694&lt;&gt;"",M694&lt;=N(I694)),"À commander","OK")))</f>
        <v/>
      </c>
      <c r="P694" s="39" t="str">
        <f>IF(OR(A694="",O694="OK",J694=""),"",MAX(N(J694)-M694,0))</f>
        <v/>
      </c>
      <c r="Q694" s="39" t="str">
        <f>IF(A694="",IF(COUNTA(B694:J694)&gt;0,"Référence manquante",""),IF(COUNTIF($A$5:$A$1004,A694)&gt;1,"Référence en double",IF(B694="","Désignation manquante","OK")))</f>
        <v/>
      </c>
      <c r="R694" s="39" t="str">
        <f>IF(OR(O694="Rupture",O694="À commander"),COUNTIF($O$5:O694,"Rupture")+COUNTIF($O$5:O694,"À commander"),"")</f>
        <v/>
      </c>
    </row>
    <row r="695">
      <c r="A695" s="37" t="n"/>
      <c r="B695" s="37" t="n"/>
      <c r="C695" s="37" t="n"/>
      <c r="D695" s="37" t="n"/>
      <c r="E695" s="37" t="n"/>
      <c r="F695" s="37" t="n"/>
      <c r="G695" s="38" t="n"/>
      <c r="H695" s="37" t="n"/>
      <c r="I695" s="37" t="n"/>
      <c r="J695" s="37" t="n"/>
      <c r="K695" s="39" t="str">
        <f>IF(A695="","",SUMIFS(mv_qty,mv_ref,A695,mv_type,"Entrée"))</f>
        <v/>
      </c>
      <c r="L695" s="39" t="str">
        <f>IF(A695="","",SUMIFS(mv_qty,mv_ref,A695,mv_type,"Sortie"))</f>
        <v/>
      </c>
      <c r="M695" s="39" t="str">
        <f>IF(A695="","",ROUND(N(H695)+K695-L695,6))</f>
        <v/>
      </c>
      <c r="N695" s="40" t="str">
        <f>IF(A695="","",M695*N(G695))</f>
        <v/>
      </c>
      <c r="O695" s="39" t="str">
        <f>IF(A695="","",IF(M695&lt;=0,"Rupture",IF(AND(I695&lt;&gt;"",M695&lt;=N(I695)),"À commander","OK")))</f>
        <v/>
      </c>
      <c r="P695" s="39" t="str">
        <f>IF(OR(A695="",O695="OK",J695=""),"",MAX(N(J695)-M695,0))</f>
        <v/>
      </c>
      <c r="Q695" s="39" t="str">
        <f>IF(A695="",IF(COUNTA(B695:J695)&gt;0,"Référence manquante",""),IF(COUNTIF($A$5:$A$1004,A695)&gt;1,"Référence en double",IF(B695="","Désignation manquante","OK")))</f>
        <v/>
      </c>
      <c r="R695" s="39" t="str">
        <f>IF(OR(O695="Rupture",O695="À commander"),COUNTIF($O$5:O695,"Rupture")+COUNTIF($O$5:O695,"À commander"),"")</f>
        <v/>
      </c>
    </row>
    <row r="696">
      <c r="A696" s="37" t="n"/>
      <c r="B696" s="37" t="n"/>
      <c r="C696" s="37" t="n"/>
      <c r="D696" s="37" t="n"/>
      <c r="E696" s="37" t="n"/>
      <c r="F696" s="37" t="n"/>
      <c r="G696" s="38" t="n"/>
      <c r="H696" s="37" t="n"/>
      <c r="I696" s="37" t="n"/>
      <c r="J696" s="37" t="n"/>
      <c r="K696" s="39" t="str">
        <f>IF(A696="","",SUMIFS(mv_qty,mv_ref,A696,mv_type,"Entrée"))</f>
        <v/>
      </c>
      <c r="L696" s="39" t="str">
        <f>IF(A696="","",SUMIFS(mv_qty,mv_ref,A696,mv_type,"Sortie"))</f>
        <v/>
      </c>
      <c r="M696" s="39" t="str">
        <f>IF(A696="","",ROUND(N(H696)+K696-L696,6))</f>
        <v/>
      </c>
      <c r="N696" s="40" t="str">
        <f>IF(A696="","",M696*N(G696))</f>
        <v/>
      </c>
      <c r="O696" s="39" t="str">
        <f>IF(A696="","",IF(M696&lt;=0,"Rupture",IF(AND(I696&lt;&gt;"",M696&lt;=N(I696)),"À commander","OK")))</f>
        <v/>
      </c>
      <c r="P696" s="39" t="str">
        <f>IF(OR(A696="",O696="OK",J696=""),"",MAX(N(J696)-M696,0))</f>
        <v/>
      </c>
      <c r="Q696" s="39" t="str">
        <f>IF(A696="",IF(COUNTA(B696:J696)&gt;0,"Référence manquante",""),IF(COUNTIF($A$5:$A$1004,A696)&gt;1,"Référence en double",IF(B696="","Désignation manquante","OK")))</f>
        <v/>
      </c>
      <c r="R696" s="39" t="str">
        <f>IF(OR(O696="Rupture",O696="À commander"),COUNTIF($O$5:O696,"Rupture")+COUNTIF($O$5:O696,"À commander"),"")</f>
        <v/>
      </c>
    </row>
    <row r="697">
      <c r="A697" s="37" t="n"/>
      <c r="B697" s="37" t="n"/>
      <c r="C697" s="37" t="n"/>
      <c r="D697" s="37" t="n"/>
      <c r="E697" s="37" t="n"/>
      <c r="F697" s="37" t="n"/>
      <c r="G697" s="38" t="n"/>
      <c r="H697" s="37" t="n"/>
      <c r="I697" s="37" t="n"/>
      <c r="J697" s="37" t="n"/>
      <c r="K697" s="39" t="str">
        <f>IF(A697="","",SUMIFS(mv_qty,mv_ref,A697,mv_type,"Entrée"))</f>
        <v/>
      </c>
      <c r="L697" s="39" t="str">
        <f>IF(A697="","",SUMIFS(mv_qty,mv_ref,A697,mv_type,"Sortie"))</f>
        <v/>
      </c>
      <c r="M697" s="39" t="str">
        <f>IF(A697="","",ROUND(N(H697)+K697-L697,6))</f>
        <v/>
      </c>
      <c r="N697" s="40" t="str">
        <f>IF(A697="","",M697*N(G697))</f>
        <v/>
      </c>
      <c r="O697" s="39" t="str">
        <f>IF(A697="","",IF(M697&lt;=0,"Rupture",IF(AND(I697&lt;&gt;"",M697&lt;=N(I697)),"À commander","OK")))</f>
        <v/>
      </c>
      <c r="P697" s="39" t="str">
        <f>IF(OR(A697="",O697="OK",J697=""),"",MAX(N(J697)-M697,0))</f>
        <v/>
      </c>
      <c r="Q697" s="39" t="str">
        <f>IF(A697="",IF(COUNTA(B697:J697)&gt;0,"Référence manquante",""),IF(COUNTIF($A$5:$A$1004,A697)&gt;1,"Référence en double",IF(B697="","Désignation manquante","OK")))</f>
        <v/>
      </c>
      <c r="R697" s="39" t="str">
        <f>IF(OR(O697="Rupture",O697="À commander"),COUNTIF($O$5:O697,"Rupture")+COUNTIF($O$5:O697,"À commander"),"")</f>
        <v/>
      </c>
    </row>
    <row r="698">
      <c r="A698" s="37" t="n"/>
      <c r="B698" s="37" t="n"/>
      <c r="C698" s="37" t="n"/>
      <c r="D698" s="37" t="n"/>
      <c r="E698" s="37" t="n"/>
      <c r="F698" s="37" t="n"/>
      <c r="G698" s="38" t="n"/>
      <c r="H698" s="37" t="n"/>
      <c r="I698" s="37" t="n"/>
      <c r="J698" s="37" t="n"/>
      <c r="K698" s="39" t="str">
        <f>IF(A698="","",SUMIFS(mv_qty,mv_ref,A698,mv_type,"Entrée"))</f>
        <v/>
      </c>
      <c r="L698" s="39" t="str">
        <f>IF(A698="","",SUMIFS(mv_qty,mv_ref,A698,mv_type,"Sortie"))</f>
        <v/>
      </c>
      <c r="M698" s="39" t="str">
        <f>IF(A698="","",ROUND(N(H698)+K698-L698,6))</f>
        <v/>
      </c>
      <c r="N698" s="40" t="str">
        <f>IF(A698="","",M698*N(G698))</f>
        <v/>
      </c>
      <c r="O698" s="39" t="str">
        <f>IF(A698="","",IF(M698&lt;=0,"Rupture",IF(AND(I698&lt;&gt;"",M698&lt;=N(I698)),"À commander","OK")))</f>
        <v/>
      </c>
      <c r="P698" s="39" t="str">
        <f>IF(OR(A698="",O698="OK",J698=""),"",MAX(N(J698)-M698,0))</f>
        <v/>
      </c>
      <c r="Q698" s="39" t="str">
        <f>IF(A698="",IF(COUNTA(B698:J698)&gt;0,"Référence manquante",""),IF(COUNTIF($A$5:$A$1004,A698)&gt;1,"Référence en double",IF(B698="","Désignation manquante","OK")))</f>
        <v/>
      </c>
      <c r="R698" s="39" t="str">
        <f>IF(OR(O698="Rupture",O698="À commander"),COUNTIF($O$5:O698,"Rupture")+COUNTIF($O$5:O698,"À commander"),"")</f>
        <v/>
      </c>
    </row>
    <row r="699">
      <c r="A699" s="37" t="n"/>
      <c r="B699" s="37" t="n"/>
      <c r="C699" s="37" t="n"/>
      <c r="D699" s="37" t="n"/>
      <c r="E699" s="37" t="n"/>
      <c r="F699" s="37" t="n"/>
      <c r="G699" s="38" t="n"/>
      <c r="H699" s="37" t="n"/>
      <c r="I699" s="37" t="n"/>
      <c r="J699" s="37" t="n"/>
      <c r="K699" s="39" t="str">
        <f>IF(A699="","",SUMIFS(mv_qty,mv_ref,A699,mv_type,"Entrée"))</f>
        <v/>
      </c>
      <c r="L699" s="39" t="str">
        <f>IF(A699="","",SUMIFS(mv_qty,mv_ref,A699,mv_type,"Sortie"))</f>
        <v/>
      </c>
      <c r="M699" s="39" t="str">
        <f>IF(A699="","",ROUND(N(H699)+K699-L699,6))</f>
        <v/>
      </c>
      <c r="N699" s="40" t="str">
        <f>IF(A699="","",M699*N(G699))</f>
        <v/>
      </c>
      <c r="O699" s="39" t="str">
        <f>IF(A699="","",IF(M699&lt;=0,"Rupture",IF(AND(I699&lt;&gt;"",M699&lt;=N(I699)),"À commander","OK")))</f>
        <v/>
      </c>
      <c r="P699" s="39" t="str">
        <f>IF(OR(A699="",O699="OK",J699=""),"",MAX(N(J699)-M699,0))</f>
        <v/>
      </c>
      <c r="Q699" s="39" t="str">
        <f>IF(A699="",IF(COUNTA(B699:J699)&gt;0,"Référence manquante",""),IF(COUNTIF($A$5:$A$1004,A699)&gt;1,"Référence en double",IF(B699="","Désignation manquante","OK")))</f>
        <v/>
      </c>
      <c r="R699" s="39" t="str">
        <f>IF(OR(O699="Rupture",O699="À commander"),COUNTIF($O$5:O699,"Rupture")+COUNTIF($O$5:O699,"À commander"),"")</f>
        <v/>
      </c>
    </row>
    <row r="700">
      <c r="A700" s="37" t="n"/>
      <c r="B700" s="37" t="n"/>
      <c r="C700" s="37" t="n"/>
      <c r="D700" s="37" t="n"/>
      <c r="E700" s="37" t="n"/>
      <c r="F700" s="37" t="n"/>
      <c r="G700" s="38" t="n"/>
      <c r="H700" s="37" t="n"/>
      <c r="I700" s="37" t="n"/>
      <c r="J700" s="37" t="n"/>
      <c r="K700" s="39" t="str">
        <f>IF(A700="","",SUMIFS(mv_qty,mv_ref,A700,mv_type,"Entrée"))</f>
        <v/>
      </c>
      <c r="L700" s="39" t="str">
        <f>IF(A700="","",SUMIFS(mv_qty,mv_ref,A700,mv_type,"Sortie"))</f>
        <v/>
      </c>
      <c r="M700" s="39" t="str">
        <f>IF(A700="","",ROUND(N(H700)+K700-L700,6))</f>
        <v/>
      </c>
      <c r="N700" s="40" t="str">
        <f>IF(A700="","",M700*N(G700))</f>
        <v/>
      </c>
      <c r="O700" s="39" t="str">
        <f>IF(A700="","",IF(M700&lt;=0,"Rupture",IF(AND(I700&lt;&gt;"",M700&lt;=N(I700)),"À commander","OK")))</f>
        <v/>
      </c>
      <c r="P700" s="39" t="str">
        <f>IF(OR(A700="",O700="OK",J700=""),"",MAX(N(J700)-M700,0))</f>
        <v/>
      </c>
      <c r="Q700" s="39" t="str">
        <f>IF(A700="",IF(COUNTA(B700:J700)&gt;0,"Référence manquante",""),IF(COUNTIF($A$5:$A$1004,A700)&gt;1,"Référence en double",IF(B700="","Désignation manquante","OK")))</f>
        <v/>
      </c>
      <c r="R700" s="39" t="str">
        <f>IF(OR(O700="Rupture",O700="À commander"),COUNTIF($O$5:O700,"Rupture")+COUNTIF($O$5:O700,"À commander"),"")</f>
        <v/>
      </c>
    </row>
    <row r="701">
      <c r="A701" s="37" t="n"/>
      <c r="B701" s="37" t="n"/>
      <c r="C701" s="37" t="n"/>
      <c r="D701" s="37" t="n"/>
      <c r="E701" s="37" t="n"/>
      <c r="F701" s="37" t="n"/>
      <c r="G701" s="38" t="n"/>
      <c r="H701" s="37" t="n"/>
      <c r="I701" s="37" t="n"/>
      <c r="J701" s="37" t="n"/>
      <c r="K701" s="39" t="str">
        <f>IF(A701="","",SUMIFS(mv_qty,mv_ref,A701,mv_type,"Entrée"))</f>
        <v/>
      </c>
      <c r="L701" s="39" t="str">
        <f>IF(A701="","",SUMIFS(mv_qty,mv_ref,A701,mv_type,"Sortie"))</f>
        <v/>
      </c>
      <c r="M701" s="39" t="str">
        <f>IF(A701="","",ROUND(N(H701)+K701-L701,6))</f>
        <v/>
      </c>
      <c r="N701" s="40" t="str">
        <f>IF(A701="","",M701*N(G701))</f>
        <v/>
      </c>
      <c r="O701" s="39" t="str">
        <f>IF(A701="","",IF(M701&lt;=0,"Rupture",IF(AND(I701&lt;&gt;"",M701&lt;=N(I701)),"À commander","OK")))</f>
        <v/>
      </c>
      <c r="P701" s="39" t="str">
        <f>IF(OR(A701="",O701="OK",J701=""),"",MAX(N(J701)-M701,0))</f>
        <v/>
      </c>
      <c r="Q701" s="39" t="str">
        <f>IF(A701="",IF(COUNTA(B701:J701)&gt;0,"Référence manquante",""),IF(COUNTIF($A$5:$A$1004,A701)&gt;1,"Référence en double",IF(B701="","Désignation manquante","OK")))</f>
        <v/>
      </c>
      <c r="R701" s="39" t="str">
        <f>IF(OR(O701="Rupture",O701="À commander"),COUNTIF($O$5:O701,"Rupture")+COUNTIF($O$5:O701,"À commander"),"")</f>
        <v/>
      </c>
    </row>
    <row r="702">
      <c r="A702" s="37" t="n"/>
      <c r="B702" s="37" t="n"/>
      <c r="C702" s="37" t="n"/>
      <c r="D702" s="37" t="n"/>
      <c r="E702" s="37" t="n"/>
      <c r="F702" s="37" t="n"/>
      <c r="G702" s="38" t="n"/>
      <c r="H702" s="37" t="n"/>
      <c r="I702" s="37" t="n"/>
      <c r="J702" s="37" t="n"/>
      <c r="K702" s="39" t="str">
        <f>IF(A702="","",SUMIFS(mv_qty,mv_ref,A702,mv_type,"Entrée"))</f>
        <v/>
      </c>
      <c r="L702" s="39" t="str">
        <f>IF(A702="","",SUMIFS(mv_qty,mv_ref,A702,mv_type,"Sortie"))</f>
        <v/>
      </c>
      <c r="M702" s="39" t="str">
        <f>IF(A702="","",ROUND(N(H702)+K702-L702,6))</f>
        <v/>
      </c>
      <c r="N702" s="40" t="str">
        <f>IF(A702="","",M702*N(G702))</f>
        <v/>
      </c>
      <c r="O702" s="39" t="str">
        <f>IF(A702="","",IF(M702&lt;=0,"Rupture",IF(AND(I702&lt;&gt;"",M702&lt;=N(I702)),"À commander","OK")))</f>
        <v/>
      </c>
      <c r="P702" s="39" t="str">
        <f>IF(OR(A702="",O702="OK",J702=""),"",MAX(N(J702)-M702,0))</f>
        <v/>
      </c>
      <c r="Q702" s="39" t="str">
        <f>IF(A702="",IF(COUNTA(B702:J702)&gt;0,"Référence manquante",""),IF(COUNTIF($A$5:$A$1004,A702)&gt;1,"Référence en double",IF(B702="","Désignation manquante","OK")))</f>
        <v/>
      </c>
      <c r="R702" s="39" t="str">
        <f>IF(OR(O702="Rupture",O702="À commander"),COUNTIF($O$5:O702,"Rupture")+COUNTIF($O$5:O702,"À commander"),"")</f>
        <v/>
      </c>
    </row>
    <row r="703">
      <c r="A703" s="37" t="n"/>
      <c r="B703" s="37" t="n"/>
      <c r="C703" s="37" t="n"/>
      <c r="D703" s="37" t="n"/>
      <c r="E703" s="37" t="n"/>
      <c r="F703" s="37" t="n"/>
      <c r="G703" s="38" t="n"/>
      <c r="H703" s="37" t="n"/>
      <c r="I703" s="37" t="n"/>
      <c r="J703" s="37" t="n"/>
      <c r="K703" s="39" t="str">
        <f>IF(A703="","",SUMIFS(mv_qty,mv_ref,A703,mv_type,"Entrée"))</f>
        <v/>
      </c>
      <c r="L703" s="39" t="str">
        <f>IF(A703="","",SUMIFS(mv_qty,mv_ref,A703,mv_type,"Sortie"))</f>
        <v/>
      </c>
      <c r="M703" s="39" t="str">
        <f>IF(A703="","",ROUND(N(H703)+K703-L703,6))</f>
        <v/>
      </c>
      <c r="N703" s="40" t="str">
        <f>IF(A703="","",M703*N(G703))</f>
        <v/>
      </c>
      <c r="O703" s="39" t="str">
        <f>IF(A703="","",IF(M703&lt;=0,"Rupture",IF(AND(I703&lt;&gt;"",M703&lt;=N(I703)),"À commander","OK")))</f>
        <v/>
      </c>
      <c r="P703" s="39" t="str">
        <f>IF(OR(A703="",O703="OK",J703=""),"",MAX(N(J703)-M703,0))</f>
        <v/>
      </c>
      <c r="Q703" s="39" t="str">
        <f>IF(A703="",IF(COUNTA(B703:J703)&gt;0,"Référence manquante",""),IF(COUNTIF($A$5:$A$1004,A703)&gt;1,"Référence en double",IF(B703="","Désignation manquante","OK")))</f>
        <v/>
      </c>
      <c r="R703" s="39" t="str">
        <f>IF(OR(O703="Rupture",O703="À commander"),COUNTIF($O$5:O703,"Rupture")+COUNTIF($O$5:O703,"À commander"),"")</f>
        <v/>
      </c>
    </row>
    <row r="704">
      <c r="A704" s="37" t="n"/>
      <c r="B704" s="37" t="n"/>
      <c r="C704" s="37" t="n"/>
      <c r="D704" s="37" t="n"/>
      <c r="E704" s="37" t="n"/>
      <c r="F704" s="37" t="n"/>
      <c r="G704" s="38" t="n"/>
      <c r="H704" s="37" t="n"/>
      <c r="I704" s="37" t="n"/>
      <c r="J704" s="37" t="n"/>
      <c r="K704" s="39" t="str">
        <f>IF(A704="","",SUMIFS(mv_qty,mv_ref,A704,mv_type,"Entrée"))</f>
        <v/>
      </c>
      <c r="L704" s="39" t="str">
        <f>IF(A704="","",SUMIFS(mv_qty,mv_ref,A704,mv_type,"Sortie"))</f>
        <v/>
      </c>
      <c r="M704" s="39" t="str">
        <f>IF(A704="","",ROUND(N(H704)+K704-L704,6))</f>
        <v/>
      </c>
      <c r="N704" s="40" t="str">
        <f>IF(A704="","",M704*N(G704))</f>
        <v/>
      </c>
      <c r="O704" s="39" t="str">
        <f>IF(A704="","",IF(M704&lt;=0,"Rupture",IF(AND(I704&lt;&gt;"",M704&lt;=N(I704)),"À commander","OK")))</f>
        <v/>
      </c>
      <c r="P704" s="39" t="str">
        <f>IF(OR(A704="",O704="OK",J704=""),"",MAX(N(J704)-M704,0))</f>
        <v/>
      </c>
      <c r="Q704" s="39" t="str">
        <f>IF(A704="",IF(COUNTA(B704:J704)&gt;0,"Référence manquante",""),IF(COUNTIF($A$5:$A$1004,A704)&gt;1,"Référence en double",IF(B704="","Désignation manquante","OK")))</f>
        <v/>
      </c>
      <c r="R704" s="39" t="str">
        <f>IF(OR(O704="Rupture",O704="À commander"),COUNTIF($O$5:O704,"Rupture")+COUNTIF($O$5:O704,"À commander"),"")</f>
        <v/>
      </c>
    </row>
    <row r="705">
      <c r="A705" s="37" t="n"/>
      <c r="B705" s="37" t="n"/>
      <c r="C705" s="37" t="n"/>
      <c r="D705" s="37" t="n"/>
      <c r="E705" s="37" t="n"/>
      <c r="F705" s="37" t="n"/>
      <c r="G705" s="38" t="n"/>
      <c r="H705" s="37" t="n"/>
      <c r="I705" s="37" t="n"/>
      <c r="J705" s="37" t="n"/>
      <c r="K705" s="39" t="str">
        <f>IF(A705="","",SUMIFS(mv_qty,mv_ref,A705,mv_type,"Entrée"))</f>
        <v/>
      </c>
      <c r="L705" s="39" t="str">
        <f>IF(A705="","",SUMIFS(mv_qty,mv_ref,A705,mv_type,"Sortie"))</f>
        <v/>
      </c>
      <c r="M705" s="39" t="str">
        <f>IF(A705="","",ROUND(N(H705)+K705-L705,6))</f>
        <v/>
      </c>
      <c r="N705" s="40" t="str">
        <f>IF(A705="","",M705*N(G705))</f>
        <v/>
      </c>
      <c r="O705" s="39" t="str">
        <f>IF(A705="","",IF(M705&lt;=0,"Rupture",IF(AND(I705&lt;&gt;"",M705&lt;=N(I705)),"À commander","OK")))</f>
        <v/>
      </c>
      <c r="P705" s="39" t="str">
        <f>IF(OR(A705="",O705="OK",J705=""),"",MAX(N(J705)-M705,0))</f>
        <v/>
      </c>
      <c r="Q705" s="39" t="str">
        <f>IF(A705="",IF(COUNTA(B705:J705)&gt;0,"Référence manquante",""),IF(COUNTIF($A$5:$A$1004,A705)&gt;1,"Référence en double",IF(B705="","Désignation manquante","OK")))</f>
        <v/>
      </c>
      <c r="R705" s="39" t="str">
        <f>IF(OR(O705="Rupture",O705="À commander"),COUNTIF($O$5:O705,"Rupture")+COUNTIF($O$5:O705,"À commander"),"")</f>
        <v/>
      </c>
    </row>
    <row r="706">
      <c r="A706" s="37" t="n"/>
      <c r="B706" s="37" t="n"/>
      <c r="C706" s="37" t="n"/>
      <c r="D706" s="37" t="n"/>
      <c r="E706" s="37" t="n"/>
      <c r="F706" s="37" t="n"/>
      <c r="G706" s="38" t="n"/>
      <c r="H706" s="37" t="n"/>
      <c r="I706" s="37" t="n"/>
      <c r="J706" s="37" t="n"/>
      <c r="K706" s="39" t="str">
        <f>IF(A706="","",SUMIFS(mv_qty,mv_ref,A706,mv_type,"Entrée"))</f>
        <v/>
      </c>
      <c r="L706" s="39" t="str">
        <f>IF(A706="","",SUMIFS(mv_qty,mv_ref,A706,mv_type,"Sortie"))</f>
        <v/>
      </c>
      <c r="M706" s="39" t="str">
        <f>IF(A706="","",ROUND(N(H706)+K706-L706,6))</f>
        <v/>
      </c>
      <c r="N706" s="40" t="str">
        <f>IF(A706="","",M706*N(G706))</f>
        <v/>
      </c>
      <c r="O706" s="39" t="str">
        <f>IF(A706="","",IF(M706&lt;=0,"Rupture",IF(AND(I706&lt;&gt;"",M706&lt;=N(I706)),"À commander","OK")))</f>
        <v/>
      </c>
      <c r="P706" s="39" t="str">
        <f>IF(OR(A706="",O706="OK",J706=""),"",MAX(N(J706)-M706,0))</f>
        <v/>
      </c>
      <c r="Q706" s="39" t="str">
        <f>IF(A706="",IF(COUNTA(B706:J706)&gt;0,"Référence manquante",""),IF(COUNTIF($A$5:$A$1004,A706)&gt;1,"Référence en double",IF(B706="","Désignation manquante","OK")))</f>
        <v/>
      </c>
      <c r="R706" s="39" t="str">
        <f>IF(OR(O706="Rupture",O706="À commander"),COUNTIF($O$5:O706,"Rupture")+COUNTIF($O$5:O706,"À commander"),"")</f>
        <v/>
      </c>
    </row>
    <row r="707">
      <c r="A707" s="37" t="n"/>
      <c r="B707" s="37" t="n"/>
      <c r="C707" s="37" t="n"/>
      <c r="D707" s="37" t="n"/>
      <c r="E707" s="37" t="n"/>
      <c r="F707" s="37" t="n"/>
      <c r="G707" s="38" t="n"/>
      <c r="H707" s="37" t="n"/>
      <c r="I707" s="37" t="n"/>
      <c r="J707" s="37" t="n"/>
      <c r="K707" s="39" t="str">
        <f>IF(A707="","",SUMIFS(mv_qty,mv_ref,A707,mv_type,"Entrée"))</f>
        <v/>
      </c>
      <c r="L707" s="39" t="str">
        <f>IF(A707="","",SUMIFS(mv_qty,mv_ref,A707,mv_type,"Sortie"))</f>
        <v/>
      </c>
      <c r="M707" s="39" t="str">
        <f>IF(A707="","",ROUND(N(H707)+K707-L707,6))</f>
        <v/>
      </c>
      <c r="N707" s="40" t="str">
        <f>IF(A707="","",M707*N(G707))</f>
        <v/>
      </c>
      <c r="O707" s="39" t="str">
        <f>IF(A707="","",IF(M707&lt;=0,"Rupture",IF(AND(I707&lt;&gt;"",M707&lt;=N(I707)),"À commander","OK")))</f>
        <v/>
      </c>
      <c r="P707" s="39" t="str">
        <f>IF(OR(A707="",O707="OK",J707=""),"",MAX(N(J707)-M707,0))</f>
        <v/>
      </c>
      <c r="Q707" s="39" t="str">
        <f>IF(A707="",IF(COUNTA(B707:J707)&gt;0,"Référence manquante",""),IF(COUNTIF($A$5:$A$1004,A707)&gt;1,"Référence en double",IF(B707="","Désignation manquante","OK")))</f>
        <v/>
      </c>
      <c r="R707" s="39" t="str">
        <f>IF(OR(O707="Rupture",O707="À commander"),COUNTIF($O$5:O707,"Rupture")+COUNTIF($O$5:O707,"À commander"),"")</f>
        <v/>
      </c>
    </row>
    <row r="708">
      <c r="A708" s="37" t="n"/>
      <c r="B708" s="37" t="n"/>
      <c r="C708" s="37" t="n"/>
      <c r="D708" s="37" t="n"/>
      <c r="E708" s="37" t="n"/>
      <c r="F708" s="37" t="n"/>
      <c r="G708" s="38" t="n"/>
      <c r="H708" s="37" t="n"/>
      <c r="I708" s="37" t="n"/>
      <c r="J708" s="37" t="n"/>
      <c r="K708" s="39" t="str">
        <f>IF(A708="","",SUMIFS(mv_qty,mv_ref,A708,mv_type,"Entrée"))</f>
        <v/>
      </c>
      <c r="L708" s="39" t="str">
        <f>IF(A708="","",SUMIFS(mv_qty,mv_ref,A708,mv_type,"Sortie"))</f>
        <v/>
      </c>
      <c r="M708" s="39" t="str">
        <f>IF(A708="","",ROUND(N(H708)+K708-L708,6))</f>
        <v/>
      </c>
      <c r="N708" s="40" t="str">
        <f>IF(A708="","",M708*N(G708))</f>
        <v/>
      </c>
      <c r="O708" s="39" t="str">
        <f>IF(A708="","",IF(M708&lt;=0,"Rupture",IF(AND(I708&lt;&gt;"",M708&lt;=N(I708)),"À commander","OK")))</f>
        <v/>
      </c>
      <c r="P708" s="39" t="str">
        <f>IF(OR(A708="",O708="OK",J708=""),"",MAX(N(J708)-M708,0))</f>
        <v/>
      </c>
      <c r="Q708" s="39" t="str">
        <f>IF(A708="",IF(COUNTA(B708:J708)&gt;0,"Référence manquante",""),IF(COUNTIF($A$5:$A$1004,A708)&gt;1,"Référence en double",IF(B708="","Désignation manquante","OK")))</f>
        <v/>
      </c>
      <c r="R708" s="39" t="str">
        <f>IF(OR(O708="Rupture",O708="À commander"),COUNTIF($O$5:O708,"Rupture")+COUNTIF($O$5:O708,"À commander"),"")</f>
        <v/>
      </c>
    </row>
    <row r="709">
      <c r="A709" s="37" t="n"/>
      <c r="B709" s="37" t="n"/>
      <c r="C709" s="37" t="n"/>
      <c r="D709" s="37" t="n"/>
      <c r="E709" s="37" t="n"/>
      <c r="F709" s="37" t="n"/>
      <c r="G709" s="38" t="n"/>
      <c r="H709" s="37" t="n"/>
      <c r="I709" s="37" t="n"/>
      <c r="J709" s="37" t="n"/>
      <c r="K709" s="39" t="str">
        <f>IF(A709="","",SUMIFS(mv_qty,mv_ref,A709,mv_type,"Entrée"))</f>
        <v/>
      </c>
      <c r="L709" s="39" t="str">
        <f>IF(A709="","",SUMIFS(mv_qty,mv_ref,A709,mv_type,"Sortie"))</f>
        <v/>
      </c>
      <c r="M709" s="39" t="str">
        <f>IF(A709="","",ROUND(N(H709)+K709-L709,6))</f>
        <v/>
      </c>
      <c r="N709" s="40" t="str">
        <f>IF(A709="","",M709*N(G709))</f>
        <v/>
      </c>
      <c r="O709" s="39" t="str">
        <f>IF(A709="","",IF(M709&lt;=0,"Rupture",IF(AND(I709&lt;&gt;"",M709&lt;=N(I709)),"À commander","OK")))</f>
        <v/>
      </c>
      <c r="P709" s="39" t="str">
        <f>IF(OR(A709="",O709="OK",J709=""),"",MAX(N(J709)-M709,0))</f>
        <v/>
      </c>
      <c r="Q709" s="39" t="str">
        <f>IF(A709="",IF(COUNTA(B709:J709)&gt;0,"Référence manquante",""),IF(COUNTIF($A$5:$A$1004,A709)&gt;1,"Référence en double",IF(B709="","Désignation manquante","OK")))</f>
        <v/>
      </c>
      <c r="R709" s="39" t="str">
        <f>IF(OR(O709="Rupture",O709="À commander"),COUNTIF($O$5:O709,"Rupture")+COUNTIF($O$5:O709,"À commander"),"")</f>
        <v/>
      </c>
    </row>
    <row r="710">
      <c r="A710" s="37" t="n"/>
      <c r="B710" s="37" t="n"/>
      <c r="C710" s="37" t="n"/>
      <c r="D710" s="37" t="n"/>
      <c r="E710" s="37" t="n"/>
      <c r="F710" s="37" t="n"/>
      <c r="G710" s="38" t="n"/>
      <c r="H710" s="37" t="n"/>
      <c r="I710" s="37" t="n"/>
      <c r="J710" s="37" t="n"/>
      <c r="K710" s="39" t="str">
        <f>IF(A710="","",SUMIFS(mv_qty,mv_ref,A710,mv_type,"Entrée"))</f>
        <v/>
      </c>
      <c r="L710" s="39" t="str">
        <f>IF(A710="","",SUMIFS(mv_qty,mv_ref,A710,mv_type,"Sortie"))</f>
        <v/>
      </c>
      <c r="M710" s="39" t="str">
        <f>IF(A710="","",ROUND(N(H710)+K710-L710,6))</f>
        <v/>
      </c>
      <c r="N710" s="40" t="str">
        <f>IF(A710="","",M710*N(G710))</f>
        <v/>
      </c>
      <c r="O710" s="39" t="str">
        <f>IF(A710="","",IF(M710&lt;=0,"Rupture",IF(AND(I710&lt;&gt;"",M710&lt;=N(I710)),"À commander","OK")))</f>
        <v/>
      </c>
      <c r="P710" s="39" t="str">
        <f>IF(OR(A710="",O710="OK",J710=""),"",MAX(N(J710)-M710,0))</f>
        <v/>
      </c>
      <c r="Q710" s="39" t="str">
        <f>IF(A710="",IF(COUNTA(B710:J710)&gt;0,"Référence manquante",""),IF(COUNTIF($A$5:$A$1004,A710)&gt;1,"Référence en double",IF(B710="","Désignation manquante","OK")))</f>
        <v/>
      </c>
      <c r="R710" s="39" t="str">
        <f>IF(OR(O710="Rupture",O710="À commander"),COUNTIF($O$5:O710,"Rupture")+COUNTIF($O$5:O710,"À commander"),"")</f>
        <v/>
      </c>
    </row>
    <row r="711">
      <c r="A711" s="37" t="n"/>
      <c r="B711" s="37" t="n"/>
      <c r="C711" s="37" t="n"/>
      <c r="D711" s="37" t="n"/>
      <c r="E711" s="37" t="n"/>
      <c r="F711" s="37" t="n"/>
      <c r="G711" s="38" t="n"/>
      <c r="H711" s="37" t="n"/>
      <c r="I711" s="37" t="n"/>
      <c r="J711" s="37" t="n"/>
      <c r="K711" s="39" t="str">
        <f>IF(A711="","",SUMIFS(mv_qty,mv_ref,A711,mv_type,"Entrée"))</f>
        <v/>
      </c>
      <c r="L711" s="39" t="str">
        <f>IF(A711="","",SUMIFS(mv_qty,mv_ref,A711,mv_type,"Sortie"))</f>
        <v/>
      </c>
      <c r="M711" s="39" t="str">
        <f>IF(A711="","",ROUND(N(H711)+K711-L711,6))</f>
        <v/>
      </c>
      <c r="N711" s="40" t="str">
        <f>IF(A711="","",M711*N(G711))</f>
        <v/>
      </c>
      <c r="O711" s="39" t="str">
        <f>IF(A711="","",IF(M711&lt;=0,"Rupture",IF(AND(I711&lt;&gt;"",M711&lt;=N(I711)),"À commander","OK")))</f>
        <v/>
      </c>
      <c r="P711" s="39" t="str">
        <f>IF(OR(A711="",O711="OK",J711=""),"",MAX(N(J711)-M711,0))</f>
        <v/>
      </c>
      <c r="Q711" s="39" t="str">
        <f>IF(A711="",IF(COUNTA(B711:J711)&gt;0,"Référence manquante",""),IF(COUNTIF($A$5:$A$1004,A711)&gt;1,"Référence en double",IF(B711="","Désignation manquante","OK")))</f>
        <v/>
      </c>
      <c r="R711" s="39" t="str">
        <f>IF(OR(O711="Rupture",O711="À commander"),COUNTIF($O$5:O711,"Rupture")+COUNTIF($O$5:O711,"À commander"),"")</f>
        <v/>
      </c>
    </row>
    <row r="712">
      <c r="A712" s="37" t="n"/>
      <c r="B712" s="37" t="n"/>
      <c r="C712" s="37" t="n"/>
      <c r="D712" s="37" t="n"/>
      <c r="E712" s="37" t="n"/>
      <c r="F712" s="37" t="n"/>
      <c r="G712" s="38" t="n"/>
      <c r="H712" s="37" t="n"/>
      <c r="I712" s="37" t="n"/>
      <c r="J712" s="37" t="n"/>
      <c r="K712" s="39" t="str">
        <f>IF(A712="","",SUMIFS(mv_qty,mv_ref,A712,mv_type,"Entrée"))</f>
        <v/>
      </c>
      <c r="L712" s="39" t="str">
        <f>IF(A712="","",SUMIFS(mv_qty,mv_ref,A712,mv_type,"Sortie"))</f>
        <v/>
      </c>
      <c r="M712" s="39" t="str">
        <f>IF(A712="","",ROUND(N(H712)+K712-L712,6))</f>
        <v/>
      </c>
      <c r="N712" s="40" t="str">
        <f>IF(A712="","",M712*N(G712))</f>
        <v/>
      </c>
      <c r="O712" s="39" t="str">
        <f>IF(A712="","",IF(M712&lt;=0,"Rupture",IF(AND(I712&lt;&gt;"",M712&lt;=N(I712)),"À commander","OK")))</f>
        <v/>
      </c>
      <c r="P712" s="39" t="str">
        <f>IF(OR(A712="",O712="OK",J712=""),"",MAX(N(J712)-M712,0))</f>
        <v/>
      </c>
      <c r="Q712" s="39" t="str">
        <f>IF(A712="",IF(COUNTA(B712:J712)&gt;0,"Référence manquante",""),IF(COUNTIF($A$5:$A$1004,A712)&gt;1,"Référence en double",IF(B712="","Désignation manquante","OK")))</f>
        <v/>
      </c>
      <c r="R712" s="39" t="str">
        <f>IF(OR(O712="Rupture",O712="À commander"),COUNTIF($O$5:O712,"Rupture")+COUNTIF($O$5:O712,"À commander"),"")</f>
        <v/>
      </c>
    </row>
    <row r="713">
      <c r="A713" s="37" t="n"/>
      <c r="B713" s="37" t="n"/>
      <c r="C713" s="37" t="n"/>
      <c r="D713" s="37" t="n"/>
      <c r="E713" s="37" t="n"/>
      <c r="F713" s="37" t="n"/>
      <c r="G713" s="38" t="n"/>
      <c r="H713" s="37" t="n"/>
      <c r="I713" s="37" t="n"/>
      <c r="J713" s="37" t="n"/>
      <c r="K713" s="39" t="str">
        <f>IF(A713="","",SUMIFS(mv_qty,mv_ref,A713,mv_type,"Entrée"))</f>
        <v/>
      </c>
      <c r="L713" s="39" t="str">
        <f>IF(A713="","",SUMIFS(mv_qty,mv_ref,A713,mv_type,"Sortie"))</f>
        <v/>
      </c>
      <c r="M713" s="39" t="str">
        <f>IF(A713="","",ROUND(N(H713)+K713-L713,6))</f>
        <v/>
      </c>
      <c r="N713" s="40" t="str">
        <f>IF(A713="","",M713*N(G713))</f>
        <v/>
      </c>
      <c r="O713" s="39" t="str">
        <f>IF(A713="","",IF(M713&lt;=0,"Rupture",IF(AND(I713&lt;&gt;"",M713&lt;=N(I713)),"À commander","OK")))</f>
        <v/>
      </c>
      <c r="P713" s="39" t="str">
        <f>IF(OR(A713="",O713="OK",J713=""),"",MAX(N(J713)-M713,0))</f>
        <v/>
      </c>
      <c r="Q713" s="39" t="str">
        <f>IF(A713="",IF(COUNTA(B713:J713)&gt;0,"Référence manquante",""),IF(COUNTIF($A$5:$A$1004,A713)&gt;1,"Référence en double",IF(B713="","Désignation manquante","OK")))</f>
        <v/>
      </c>
      <c r="R713" s="39" t="str">
        <f>IF(OR(O713="Rupture",O713="À commander"),COUNTIF($O$5:O713,"Rupture")+COUNTIF($O$5:O713,"À commander"),"")</f>
        <v/>
      </c>
    </row>
    <row r="714">
      <c r="A714" s="37" t="n"/>
      <c r="B714" s="37" t="n"/>
      <c r="C714" s="37" t="n"/>
      <c r="D714" s="37" t="n"/>
      <c r="E714" s="37" t="n"/>
      <c r="F714" s="37" t="n"/>
      <c r="G714" s="38" t="n"/>
      <c r="H714" s="37" t="n"/>
      <c r="I714" s="37" t="n"/>
      <c r="J714" s="37" t="n"/>
      <c r="K714" s="39" t="str">
        <f>IF(A714="","",SUMIFS(mv_qty,mv_ref,A714,mv_type,"Entrée"))</f>
        <v/>
      </c>
      <c r="L714" s="39" t="str">
        <f>IF(A714="","",SUMIFS(mv_qty,mv_ref,A714,mv_type,"Sortie"))</f>
        <v/>
      </c>
      <c r="M714" s="39" t="str">
        <f>IF(A714="","",ROUND(N(H714)+K714-L714,6))</f>
        <v/>
      </c>
      <c r="N714" s="40" t="str">
        <f>IF(A714="","",M714*N(G714))</f>
        <v/>
      </c>
      <c r="O714" s="39" t="str">
        <f>IF(A714="","",IF(M714&lt;=0,"Rupture",IF(AND(I714&lt;&gt;"",M714&lt;=N(I714)),"À commander","OK")))</f>
        <v/>
      </c>
      <c r="P714" s="39" t="str">
        <f>IF(OR(A714="",O714="OK",J714=""),"",MAX(N(J714)-M714,0))</f>
        <v/>
      </c>
      <c r="Q714" s="39" t="str">
        <f>IF(A714="",IF(COUNTA(B714:J714)&gt;0,"Référence manquante",""),IF(COUNTIF($A$5:$A$1004,A714)&gt;1,"Référence en double",IF(B714="","Désignation manquante","OK")))</f>
        <v/>
      </c>
      <c r="R714" s="39" t="str">
        <f>IF(OR(O714="Rupture",O714="À commander"),COUNTIF($O$5:O714,"Rupture")+COUNTIF($O$5:O714,"À commander"),"")</f>
        <v/>
      </c>
    </row>
    <row r="715">
      <c r="A715" s="37" t="n"/>
      <c r="B715" s="37" t="n"/>
      <c r="C715" s="37" t="n"/>
      <c r="D715" s="37" t="n"/>
      <c r="E715" s="37" t="n"/>
      <c r="F715" s="37" t="n"/>
      <c r="G715" s="38" t="n"/>
      <c r="H715" s="37" t="n"/>
      <c r="I715" s="37" t="n"/>
      <c r="J715" s="37" t="n"/>
      <c r="K715" s="39" t="str">
        <f>IF(A715="","",SUMIFS(mv_qty,mv_ref,A715,mv_type,"Entrée"))</f>
        <v/>
      </c>
      <c r="L715" s="39" t="str">
        <f>IF(A715="","",SUMIFS(mv_qty,mv_ref,A715,mv_type,"Sortie"))</f>
        <v/>
      </c>
      <c r="M715" s="39" t="str">
        <f>IF(A715="","",ROUND(N(H715)+K715-L715,6))</f>
        <v/>
      </c>
      <c r="N715" s="40" t="str">
        <f>IF(A715="","",M715*N(G715))</f>
        <v/>
      </c>
      <c r="O715" s="39" t="str">
        <f>IF(A715="","",IF(M715&lt;=0,"Rupture",IF(AND(I715&lt;&gt;"",M715&lt;=N(I715)),"À commander","OK")))</f>
        <v/>
      </c>
      <c r="P715" s="39" t="str">
        <f>IF(OR(A715="",O715="OK",J715=""),"",MAX(N(J715)-M715,0))</f>
        <v/>
      </c>
      <c r="Q715" s="39" t="str">
        <f>IF(A715="",IF(COUNTA(B715:J715)&gt;0,"Référence manquante",""),IF(COUNTIF($A$5:$A$1004,A715)&gt;1,"Référence en double",IF(B715="","Désignation manquante","OK")))</f>
        <v/>
      </c>
      <c r="R715" s="39" t="str">
        <f>IF(OR(O715="Rupture",O715="À commander"),COUNTIF($O$5:O715,"Rupture")+COUNTIF($O$5:O715,"À commander"),"")</f>
        <v/>
      </c>
    </row>
    <row r="716">
      <c r="A716" s="37" t="n"/>
      <c r="B716" s="37" t="n"/>
      <c r="C716" s="37" t="n"/>
      <c r="D716" s="37" t="n"/>
      <c r="E716" s="37" t="n"/>
      <c r="F716" s="37" t="n"/>
      <c r="G716" s="38" t="n"/>
      <c r="H716" s="37" t="n"/>
      <c r="I716" s="37" t="n"/>
      <c r="J716" s="37" t="n"/>
      <c r="K716" s="39" t="str">
        <f>IF(A716="","",SUMIFS(mv_qty,mv_ref,A716,mv_type,"Entrée"))</f>
        <v/>
      </c>
      <c r="L716" s="39" t="str">
        <f>IF(A716="","",SUMIFS(mv_qty,mv_ref,A716,mv_type,"Sortie"))</f>
        <v/>
      </c>
      <c r="M716" s="39" t="str">
        <f>IF(A716="","",ROUND(N(H716)+K716-L716,6))</f>
        <v/>
      </c>
      <c r="N716" s="40" t="str">
        <f>IF(A716="","",M716*N(G716))</f>
        <v/>
      </c>
      <c r="O716" s="39" t="str">
        <f>IF(A716="","",IF(M716&lt;=0,"Rupture",IF(AND(I716&lt;&gt;"",M716&lt;=N(I716)),"À commander","OK")))</f>
        <v/>
      </c>
      <c r="P716" s="39" t="str">
        <f>IF(OR(A716="",O716="OK",J716=""),"",MAX(N(J716)-M716,0))</f>
        <v/>
      </c>
      <c r="Q716" s="39" t="str">
        <f>IF(A716="",IF(COUNTA(B716:J716)&gt;0,"Référence manquante",""),IF(COUNTIF($A$5:$A$1004,A716)&gt;1,"Référence en double",IF(B716="","Désignation manquante","OK")))</f>
        <v/>
      </c>
      <c r="R716" s="39" t="str">
        <f>IF(OR(O716="Rupture",O716="À commander"),COUNTIF($O$5:O716,"Rupture")+COUNTIF($O$5:O716,"À commander"),"")</f>
        <v/>
      </c>
    </row>
    <row r="717">
      <c r="A717" s="37" t="n"/>
      <c r="B717" s="37" t="n"/>
      <c r="C717" s="37" t="n"/>
      <c r="D717" s="37" t="n"/>
      <c r="E717" s="37" t="n"/>
      <c r="F717" s="37" t="n"/>
      <c r="G717" s="38" t="n"/>
      <c r="H717" s="37" t="n"/>
      <c r="I717" s="37" t="n"/>
      <c r="J717" s="37" t="n"/>
      <c r="K717" s="39" t="str">
        <f>IF(A717="","",SUMIFS(mv_qty,mv_ref,A717,mv_type,"Entrée"))</f>
        <v/>
      </c>
      <c r="L717" s="39" t="str">
        <f>IF(A717="","",SUMIFS(mv_qty,mv_ref,A717,mv_type,"Sortie"))</f>
        <v/>
      </c>
      <c r="M717" s="39" t="str">
        <f>IF(A717="","",ROUND(N(H717)+K717-L717,6))</f>
        <v/>
      </c>
      <c r="N717" s="40" t="str">
        <f>IF(A717="","",M717*N(G717))</f>
        <v/>
      </c>
      <c r="O717" s="39" t="str">
        <f>IF(A717="","",IF(M717&lt;=0,"Rupture",IF(AND(I717&lt;&gt;"",M717&lt;=N(I717)),"À commander","OK")))</f>
        <v/>
      </c>
      <c r="P717" s="39" t="str">
        <f>IF(OR(A717="",O717="OK",J717=""),"",MAX(N(J717)-M717,0))</f>
        <v/>
      </c>
      <c r="Q717" s="39" t="str">
        <f>IF(A717="",IF(COUNTA(B717:J717)&gt;0,"Référence manquante",""),IF(COUNTIF($A$5:$A$1004,A717)&gt;1,"Référence en double",IF(B717="","Désignation manquante","OK")))</f>
        <v/>
      </c>
      <c r="R717" s="39" t="str">
        <f>IF(OR(O717="Rupture",O717="À commander"),COUNTIF($O$5:O717,"Rupture")+COUNTIF($O$5:O717,"À commander"),"")</f>
        <v/>
      </c>
    </row>
    <row r="718">
      <c r="A718" s="37" t="n"/>
      <c r="B718" s="37" t="n"/>
      <c r="C718" s="37" t="n"/>
      <c r="D718" s="37" t="n"/>
      <c r="E718" s="37" t="n"/>
      <c r="F718" s="37" t="n"/>
      <c r="G718" s="38" t="n"/>
      <c r="H718" s="37" t="n"/>
      <c r="I718" s="37" t="n"/>
      <c r="J718" s="37" t="n"/>
      <c r="K718" s="39" t="str">
        <f>IF(A718="","",SUMIFS(mv_qty,mv_ref,A718,mv_type,"Entrée"))</f>
        <v/>
      </c>
      <c r="L718" s="39" t="str">
        <f>IF(A718="","",SUMIFS(mv_qty,mv_ref,A718,mv_type,"Sortie"))</f>
        <v/>
      </c>
      <c r="M718" s="39" t="str">
        <f>IF(A718="","",ROUND(N(H718)+K718-L718,6))</f>
        <v/>
      </c>
      <c r="N718" s="40" t="str">
        <f>IF(A718="","",M718*N(G718))</f>
        <v/>
      </c>
      <c r="O718" s="39" t="str">
        <f>IF(A718="","",IF(M718&lt;=0,"Rupture",IF(AND(I718&lt;&gt;"",M718&lt;=N(I718)),"À commander","OK")))</f>
        <v/>
      </c>
      <c r="P718" s="39" t="str">
        <f>IF(OR(A718="",O718="OK",J718=""),"",MAX(N(J718)-M718,0))</f>
        <v/>
      </c>
      <c r="Q718" s="39" t="str">
        <f>IF(A718="",IF(COUNTA(B718:J718)&gt;0,"Référence manquante",""),IF(COUNTIF($A$5:$A$1004,A718)&gt;1,"Référence en double",IF(B718="","Désignation manquante","OK")))</f>
        <v/>
      </c>
      <c r="R718" s="39" t="str">
        <f>IF(OR(O718="Rupture",O718="À commander"),COUNTIF($O$5:O718,"Rupture")+COUNTIF($O$5:O718,"À commander"),"")</f>
        <v/>
      </c>
    </row>
    <row r="719">
      <c r="A719" s="37" t="n"/>
      <c r="B719" s="37" t="n"/>
      <c r="C719" s="37" t="n"/>
      <c r="D719" s="37" t="n"/>
      <c r="E719" s="37" t="n"/>
      <c r="F719" s="37" t="n"/>
      <c r="G719" s="38" t="n"/>
      <c r="H719" s="37" t="n"/>
      <c r="I719" s="37" t="n"/>
      <c r="J719" s="37" t="n"/>
      <c r="K719" s="39" t="str">
        <f>IF(A719="","",SUMIFS(mv_qty,mv_ref,A719,mv_type,"Entrée"))</f>
        <v/>
      </c>
      <c r="L719" s="39" t="str">
        <f>IF(A719="","",SUMIFS(mv_qty,mv_ref,A719,mv_type,"Sortie"))</f>
        <v/>
      </c>
      <c r="M719" s="39" t="str">
        <f>IF(A719="","",ROUND(N(H719)+K719-L719,6))</f>
        <v/>
      </c>
      <c r="N719" s="40" t="str">
        <f>IF(A719="","",M719*N(G719))</f>
        <v/>
      </c>
      <c r="O719" s="39" t="str">
        <f>IF(A719="","",IF(M719&lt;=0,"Rupture",IF(AND(I719&lt;&gt;"",M719&lt;=N(I719)),"À commander","OK")))</f>
        <v/>
      </c>
      <c r="P719" s="39" t="str">
        <f>IF(OR(A719="",O719="OK",J719=""),"",MAX(N(J719)-M719,0))</f>
        <v/>
      </c>
      <c r="Q719" s="39" t="str">
        <f>IF(A719="",IF(COUNTA(B719:J719)&gt;0,"Référence manquante",""),IF(COUNTIF($A$5:$A$1004,A719)&gt;1,"Référence en double",IF(B719="","Désignation manquante","OK")))</f>
        <v/>
      </c>
      <c r="R719" s="39" t="str">
        <f>IF(OR(O719="Rupture",O719="À commander"),COUNTIF($O$5:O719,"Rupture")+COUNTIF($O$5:O719,"À commander"),"")</f>
        <v/>
      </c>
    </row>
    <row r="720">
      <c r="A720" s="37" t="n"/>
      <c r="B720" s="37" t="n"/>
      <c r="C720" s="37" t="n"/>
      <c r="D720" s="37" t="n"/>
      <c r="E720" s="37" t="n"/>
      <c r="F720" s="37" t="n"/>
      <c r="G720" s="38" t="n"/>
      <c r="H720" s="37" t="n"/>
      <c r="I720" s="37" t="n"/>
      <c r="J720" s="37" t="n"/>
      <c r="K720" s="39" t="str">
        <f>IF(A720="","",SUMIFS(mv_qty,mv_ref,A720,mv_type,"Entrée"))</f>
        <v/>
      </c>
      <c r="L720" s="39" t="str">
        <f>IF(A720="","",SUMIFS(mv_qty,mv_ref,A720,mv_type,"Sortie"))</f>
        <v/>
      </c>
      <c r="M720" s="39" t="str">
        <f>IF(A720="","",ROUND(N(H720)+K720-L720,6))</f>
        <v/>
      </c>
      <c r="N720" s="40" t="str">
        <f>IF(A720="","",M720*N(G720))</f>
        <v/>
      </c>
      <c r="O720" s="39" t="str">
        <f>IF(A720="","",IF(M720&lt;=0,"Rupture",IF(AND(I720&lt;&gt;"",M720&lt;=N(I720)),"À commander","OK")))</f>
        <v/>
      </c>
      <c r="P720" s="39" t="str">
        <f>IF(OR(A720="",O720="OK",J720=""),"",MAX(N(J720)-M720,0))</f>
        <v/>
      </c>
      <c r="Q720" s="39" t="str">
        <f>IF(A720="",IF(COUNTA(B720:J720)&gt;0,"Référence manquante",""),IF(COUNTIF($A$5:$A$1004,A720)&gt;1,"Référence en double",IF(B720="","Désignation manquante","OK")))</f>
        <v/>
      </c>
      <c r="R720" s="39" t="str">
        <f>IF(OR(O720="Rupture",O720="À commander"),COUNTIF($O$5:O720,"Rupture")+COUNTIF($O$5:O720,"À commander"),"")</f>
        <v/>
      </c>
    </row>
    <row r="721">
      <c r="A721" s="37" t="n"/>
      <c r="B721" s="37" t="n"/>
      <c r="C721" s="37" t="n"/>
      <c r="D721" s="37" t="n"/>
      <c r="E721" s="37" t="n"/>
      <c r="F721" s="37" t="n"/>
      <c r="G721" s="38" t="n"/>
      <c r="H721" s="37" t="n"/>
      <c r="I721" s="37" t="n"/>
      <c r="J721" s="37" t="n"/>
      <c r="K721" s="39" t="str">
        <f>IF(A721="","",SUMIFS(mv_qty,mv_ref,A721,mv_type,"Entrée"))</f>
        <v/>
      </c>
      <c r="L721" s="39" t="str">
        <f>IF(A721="","",SUMIFS(mv_qty,mv_ref,A721,mv_type,"Sortie"))</f>
        <v/>
      </c>
      <c r="M721" s="39" t="str">
        <f>IF(A721="","",ROUND(N(H721)+K721-L721,6))</f>
        <v/>
      </c>
      <c r="N721" s="40" t="str">
        <f>IF(A721="","",M721*N(G721))</f>
        <v/>
      </c>
      <c r="O721" s="39" t="str">
        <f>IF(A721="","",IF(M721&lt;=0,"Rupture",IF(AND(I721&lt;&gt;"",M721&lt;=N(I721)),"À commander","OK")))</f>
        <v/>
      </c>
      <c r="P721" s="39" t="str">
        <f>IF(OR(A721="",O721="OK",J721=""),"",MAX(N(J721)-M721,0))</f>
        <v/>
      </c>
      <c r="Q721" s="39" t="str">
        <f>IF(A721="",IF(COUNTA(B721:J721)&gt;0,"Référence manquante",""),IF(COUNTIF($A$5:$A$1004,A721)&gt;1,"Référence en double",IF(B721="","Désignation manquante","OK")))</f>
        <v/>
      </c>
      <c r="R721" s="39" t="str">
        <f>IF(OR(O721="Rupture",O721="À commander"),COUNTIF($O$5:O721,"Rupture")+COUNTIF($O$5:O721,"À commander"),"")</f>
        <v/>
      </c>
    </row>
    <row r="722">
      <c r="A722" s="37" t="n"/>
      <c r="B722" s="37" t="n"/>
      <c r="C722" s="37" t="n"/>
      <c r="D722" s="37" t="n"/>
      <c r="E722" s="37" t="n"/>
      <c r="F722" s="37" t="n"/>
      <c r="G722" s="38" t="n"/>
      <c r="H722" s="37" t="n"/>
      <c r="I722" s="37" t="n"/>
      <c r="J722" s="37" t="n"/>
      <c r="K722" s="39" t="str">
        <f>IF(A722="","",SUMIFS(mv_qty,mv_ref,A722,mv_type,"Entrée"))</f>
        <v/>
      </c>
      <c r="L722" s="39" t="str">
        <f>IF(A722="","",SUMIFS(mv_qty,mv_ref,A722,mv_type,"Sortie"))</f>
        <v/>
      </c>
      <c r="M722" s="39" t="str">
        <f>IF(A722="","",ROUND(N(H722)+K722-L722,6))</f>
        <v/>
      </c>
      <c r="N722" s="40" t="str">
        <f>IF(A722="","",M722*N(G722))</f>
        <v/>
      </c>
      <c r="O722" s="39" t="str">
        <f>IF(A722="","",IF(M722&lt;=0,"Rupture",IF(AND(I722&lt;&gt;"",M722&lt;=N(I722)),"À commander","OK")))</f>
        <v/>
      </c>
      <c r="P722" s="39" t="str">
        <f>IF(OR(A722="",O722="OK",J722=""),"",MAX(N(J722)-M722,0))</f>
        <v/>
      </c>
      <c r="Q722" s="39" t="str">
        <f>IF(A722="",IF(COUNTA(B722:J722)&gt;0,"Référence manquante",""),IF(COUNTIF($A$5:$A$1004,A722)&gt;1,"Référence en double",IF(B722="","Désignation manquante","OK")))</f>
        <v/>
      </c>
      <c r="R722" s="39" t="str">
        <f>IF(OR(O722="Rupture",O722="À commander"),COUNTIF($O$5:O722,"Rupture")+COUNTIF($O$5:O722,"À commander"),"")</f>
        <v/>
      </c>
    </row>
    <row r="723">
      <c r="A723" s="37" t="n"/>
      <c r="B723" s="37" t="n"/>
      <c r="C723" s="37" t="n"/>
      <c r="D723" s="37" t="n"/>
      <c r="E723" s="37" t="n"/>
      <c r="F723" s="37" t="n"/>
      <c r="G723" s="38" t="n"/>
      <c r="H723" s="37" t="n"/>
      <c r="I723" s="37" t="n"/>
      <c r="J723" s="37" t="n"/>
      <c r="K723" s="39" t="str">
        <f>IF(A723="","",SUMIFS(mv_qty,mv_ref,A723,mv_type,"Entrée"))</f>
        <v/>
      </c>
      <c r="L723" s="39" t="str">
        <f>IF(A723="","",SUMIFS(mv_qty,mv_ref,A723,mv_type,"Sortie"))</f>
        <v/>
      </c>
      <c r="M723" s="39" t="str">
        <f>IF(A723="","",ROUND(N(H723)+K723-L723,6))</f>
        <v/>
      </c>
      <c r="N723" s="40" t="str">
        <f>IF(A723="","",M723*N(G723))</f>
        <v/>
      </c>
      <c r="O723" s="39" t="str">
        <f>IF(A723="","",IF(M723&lt;=0,"Rupture",IF(AND(I723&lt;&gt;"",M723&lt;=N(I723)),"À commander","OK")))</f>
        <v/>
      </c>
      <c r="P723" s="39" t="str">
        <f>IF(OR(A723="",O723="OK",J723=""),"",MAX(N(J723)-M723,0))</f>
        <v/>
      </c>
      <c r="Q723" s="39" t="str">
        <f>IF(A723="",IF(COUNTA(B723:J723)&gt;0,"Référence manquante",""),IF(COUNTIF($A$5:$A$1004,A723)&gt;1,"Référence en double",IF(B723="","Désignation manquante","OK")))</f>
        <v/>
      </c>
      <c r="R723" s="39" t="str">
        <f>IF(OR(O723="Rupture",O723="À commander"),COUNTIF($O$5:O723,"Rupture")+COUNTIF($O$5:O723,"À commander"),"")</f>
        <v/>
      </c>
    </row>
    <row r="724">
      <c r="A724" s="37" t="n"/>
      <c r="B724" s="37" t="n"/>
      <c r="C724" s="37" t="n"/>
      <c r="D724" s="37" t="n"/>
      <c r="E724" s="37" t="n"/>
      <c r="F724" s="37" t="n"/>
      <c r="G724" s="38" t="n"/>
      <c r="H724" s="37" t="n"/>
      <c r="I724" s="37" t="n"/>
      <c r="J724" s="37" t="n"/>
      <c r="K724" s="39" t="str">
        <f>IF(A724="","",SUMIFS(mv_qty,mv_ref,A724,mv_type,"Entrée"))</f>
        <v/>
      </c>
      <c r="L724" s="39" t="str">
        <f>IF(A724="","",SUMIFS(mv_qty,mv_ref,A724,mv_type,"Sortie"))</f>
        <v/>
      </c>
      <c r="M724" s="39" t="str">
        <f>IF(A724="","",ROUND(N(H724)+K724-L724,6))</f>
        <v/>
      </c>
      <c r="N724" s="40" t="str">
        <f>IF(A724="","",M724*N(G724))</f>
        <v/>
      </c>
      <c r="O724" s="39" t="str">
        <f>IF(A724="","",IF(M724&lt;=0,"Rupture",IF(AND(I724&lt;&gt;"",M724&lt;=N(I724)),"À commander","OK")))</f>
        <v/>
      </c>
      <c r="P724" s="39" t="str">
        <f>IF(OR(A724="",O724="OK",J724=""),"",MAX(N(J724)-M724,0))</f>
        <v/>
      </c>
      <c r="Q724" s="39" t="str">
        <f>IF(A724="",IF(COUNTA(B724:J724)&gt;0,"Référence manquante",""),IF(COUNTIF($A$5:$A$1004,A724)&gt;1,"Référence en double",IF(B724="","Désignation manquante","OK")))</f>
        <v/>
      </c>
      <c r="R724" s="39" t="str">
        <f>IF(OR(O724="Rupture",O724="À commander"),COUNTIF($O$5:O724,"Rupture")+COUNTIF($O$5:O724,"À commander"),"")</f>
        <v/>
      </c>
    </row>
    <row r="725">
      <c r="A725" s="37" t="n"/>
      <c r="B725" s="37" t="n"/>
      <c r="C725" s="37" t="n"/>
      <c r="D725" s="37" t="n"/>
      <c r="E725" s="37" t="n"/>
      <c r="F725" s="37" t="n"/>
      <c r="G725" s="38" t="n"/>
      <c r="H725" s="37" t="n"/>
      <c r="I725" s="37" t="n"/>
      <c r="J725" s="37" t="n"/>
      <c r="K725" s="39" t="str">
        <f>IF(A725="","",SUMIFS(mv_qty,mv_ref,A725,mv_type,"Entrée"))</f>
        <v/>
      </c>
      <c r="L725" s="39" t="str">
        <f>IF(A725="","",SUMIFS(mv_qty,mv_ref,A725,mv_type,"Sortie"))</f>
        <v/>
      </c>
      <c r="M725" s="39" t="str">
        <f>IF(A725="","",ROUND(N(H725)+K725-L725,6))</f>
        <v/>
      </c>
      <c r="N725" s="40" t="str">
        <f>IF(A725="","",M725*N(G725))</f>
        <v/>
      </c>
      <c r="O725" s="39" t="str">
        <f>IF(A725="","",IF(M725&lt;=0,"Rupture",IF(AND(I725&lt;&gt;"",M725&lt;=N(I725)),"À commander","OK")))</f>
        <v/>
      </c>
      <c r="P725" s="39" t="str">
        <f>IF(OR(A725="",O725="OK",J725=""),"",MAX(N(J725)-M725,0))</f>
        <v/>
      </c>
      <c r="Q725" s="39" t="str">
        <f>IF(A725="",IF(COUNTA(B725:J725)&gt;0,"Référence manquante",""),IF(COUNTIF($A$5:$A$1004,A725)&gt;1,"Référence en double",IF(B725="","Désignation manquante","OK")))</f>
        <v/>
      </c>
      <c r="R725" s="39" t="str">
        <f>IF(OR(O725="Rupture",O725="À commander"),COUNTIF($O$5:O725,"Rupture")+COUNTIF($O$5:O725,"À commander"),"")</f>
        <v/>
      </c>
    </row>
    <row r="726">
      <c r="A726" s="37" t="n"/>
      <c r="B726" s="37" t="n"/>
      <c r="C726" s="37" t="n"/>
      <c r="D726" s="37" t="n"/>
      <c r="E726" s="37" t="n"/>
      <c r="F726" s="37" t="n"/>
      <c r="G726" s="38" t="n"/>
      <c r="H726" s="37" t="n"/>
      <c r="I726" s="37" t="n"/>
      <c r="J726" s="37" t="n"/>
      <c r="K726" s="39" t="str">
        <f>IF(A726="","",SUMIFS(mv_qty,mv_ref,A726,mv_type,"Entrée"))</f>
        <v/>
      </c>
      <c r="L726" s="39" t="str">
        <f>IF(A726="","",SUMIFS(mv_qty,mv_ref,A726,mv_type,"Sortie"))</f>
        <v/>
      </c>
      <c r="M726" s="39" t="str">
        <f>IF(A726="","",ROUND(N(H726)+K726-L726,6))</f>
        <v/>
      </c>
      <c r="N726" s="40" t="str">
        <f>IF(A726="","",M726*N(G726))</f>
        <v/>
      </c>
      <c r="O726" s="39" t="str">
        <f>IF(A726="","",IF(M726&lt;=0,"Rupture",IF(AND(I726&lt;&gt;"",M726&lt;=N(I726)),"À commander","OK")))</f>
        <v/>
      </c>
      <c r="P726" s="39" t="str">
        <f>IF(OR(A726="",O726="OK",J726=""),"",MAX(N(J726)-M726,0))</f>
        <v/>
      </c>
      <c r="Q726" s="39" t="str">
        <f>IF(A726="",IF(COUNTA(B726:J726)&gt;0,"Référence manquante",""),IF(COUNTIF($A$5:$A$1004,A726)&gt;1,"Référence en double",IF(B726="","Désignation manquante","OK")))</f>
        <v/>
      </c>
      <c r="R726" s="39" t="str">
        <f>IF(OR(O726="Rupture",O726="À commander"),COUNTIF($O$5:O726,"Rupture")+COUNTIF($O$5:O726,"À commander"),"")</f>
        <v/>
      </c>
    </row>
    <row r="727">
      <c r="A727" s="37" t="n"/>
      <c r="B727" s="37" t="n"/>
      <c r="C727" s="37" t="n"/>
      <c r="D727" s="37" t="n"/>
      <c r="E727" s="37" t="n"/>
      <c r="F727" s="37" t="n"/>
      <c r="G727" s="38" t="n"/>
      <c r="H727" s="37" t="n"/>
      <c r="I727" s="37" t="n"/>
      <c r="J727" s="37" t="n"/>
      <c r="K727" s="39" t="str">
        <f>IF(A727="","",SUMIFS(mv_qty,mv_ref,A727,mv_type,"Entrée"))</f>
        <v/>
      </c>
      <c r="L727" s="39" t="str">
        <f>IF(A727="","",SUMIFS(mv_qty,mv_ref,A727,mv_type,"Sortie"))</f>
        <v/>
      </c>
      <c r="M727" s="39" t="str">
        <f>IF(A727="","",ROUND(N(H727)+K727-L727,6))</f>
        <v/>
      </c>
      <c r="N727" s="40" t="str">
        <f>IF(A727="","",M727*N(G727))</f>
        <v/>
      </c>
      <c r="O727" s="39" t="str">
        <f>IF(A727="","",IF(M727&lt;=0,"Rupture",IF(AND(I727&lt;&gt;"",M727&lt;=N(I727)),"À commander","OK")))</f>
        <v/>
      </c>
      <c r="P727" s="39" t="str">
        <f>IF(OR(A727="",O727="OK",J727=""),"",MAX(N(J727)-M727,0))</f>
        <v/>
      </c>
      <c r="Q727" s="39" t="str">
        <f>IF(A727="",IF(COUNTA(B727:J727)&gt;0,"Référence manquante",""),IF(COUNTIF($A$5:$A$1004,A727)&gt;1,"Référence en double",IF(B727="","Désignation manquante","OK")))</f>
        <v/>
      </c>
      <c r="R727" s="39" t="str">
        <f>IF(OR(O727="Rupture",O727="À commander"),COUNTIF($O$5:O727,"Rupture")+COUNTIF($O$5:O727,"À commander"),"")</f>
        <v/>
      </c>
    </row>
    <row r="728">
      <c r="A728" s="37" t="n"/>
      <c r="B728" s="37" t="n"/>
      <c r="C728" s="37" t="n"/>
      <c r="D728" s="37" t="n"/>
      <c r="E728" s="37" t="n"/>
      <c r="F728" s="37" t="n"/>
      <c r="G728" s="38" t="n"/>
      <c r="H728" s="37" t="n"/>
      <c r="I728" s="37" t="n"/>
      <c r="J728" s="37" t="n"/>
      <c r="K728" s="39" t="str">
        <f>IF(A728="","",SUMIFS(mv_qty,mv_ref,A728,mv_type,"Entrée"))</f>
        <v/>
      </c>
      <c r="L728" s="39" t="str">
        <f>IF(A728="","",SUMIFS(mv_qty,mv_ref,A728,mv_type,"Sortie"))</f>
        <v/>
      </c>
      <c r="M728" s="39" t="str">
        <f>IF(A728="","",ROUND(N(H728)+K728-L728,6))</f>
        <v/>
      </c>
      <c r="N728" s="40" t="str">
        <f>IF(A728="","",M728*N(G728))</f>
        <v/>
      </c>
      <c r="O728" s="39" t="str">
        <f>IF(A728="","",IF(M728&lt;=0,"Rupture",IF(AND(I728&lt;&gt;"",M728&lt;=N(I728)),"À commander","OK")))</f>
        <v/>
      </c>
      <c r="P728" s="39" t="str">
        <f>IF(OR(A728="",O728="OK",J728=""),"",MAX(N(J728)-M728,0))</f>
        <v/>
      </c>
      <c r="Q728" s="39" t="str">
        <f>IF(A728="",IF(COUNTA(B728:J728)&gt;0,"Référence manquante",""),IF(COUNTIF($A$5:$A$1004,A728)&gt;1,"Référence en double",IF(B728="","Désignation manquante","OK")))</f>
        <v/>
      </c>
      <c r="R728" s="39" t="str">
        <f>IF(OR(O728="Rupture",O728="À commander"),COUNTIF($O$5:O728,"Rupture")+COUNTIF($O$5:O728,"À commander"),"")</f>
        <v/>
      </c>
    </row>
    <row r="729">
      <c r="A729" s="37" t="n"/>
      <c r="B729" s="37" t="n"/>
      <c r="C729" s="37" t="n"/>
      <c r="D729" s="37" t="n"/>
      <c r="E729" s="37" t="n"/>
      <c r="F729" s="37" t="n"/>
      <c r="G729" s="38" t="n"/>
      <c r="H729" s="37" t="n"/>
      <c r="I729" s="37" t="n"/>
      <c r="J729" s="37" t="n"/>
      <c r="K729" s="39" t="str">
        <f>IF(A729="","",SUMIFS(mv_qty,mv_ref,A729,mv_type,"Entrée"))</f>
        <v/>
      </c>
      <c r="L729" s="39" t="str">
        <f>IF(A729="","",SUMIFS(mv_qty,mv_ref,A729,mv_type,"Sortie"))</f>
        <v/>
      </c>
      <c r="M729" s="39" t="str">
        <f>IF(A729="","",ROUND(N(H729)+K729-L729,6))</f>
        <v/>
      </c>
      <c r="N729" s="40" t="str">
        <f>IF(A729="","",M729*N(G729))</f>
        <v/>
      </c>
      <c r="O729" s="39" t="str">
        <f>IF(A729="","",IF(M729&lt;=0,"Rupture",IF(AND(I729&lt;&gt;"",M729&lt;=N(I729)),"À commander","OK")))</f>
        <v/>
      </c>
      <c r="P729" s="39" t="str">
        <f>IF(OR(A729="",O729="OK",J729=""),"",MAX(N(J729)-M729,0))</f>
        <v/>
      </c>
      <c r="Q729" s="39" t="str">
        <f>IF(A729="",IF(COUNTA(B729:J729)&gt;0,"Référence manquante",""),IF(COUNTIF($A$5:$A$1004,A729)&gt;1,"Référence en double",IF(B729="","Désignation manquante","OK")))</f>
        <v/>
      </c>
      <c r="R729" s="39" t="str">
        <f>IF(OR(O729="Rupture",O729="À commander"),COUNTIF($O$5:O729,"Rupture")+COUNTIF($O$5:O729,"À commander"),"")</f>
        <v/>
      </c>
    </row>
    <row r="730">
      <c r="A730" s="37" t="n"/>
      <c r="B730" s="37" t="n"/>
      <c r="C730" s="37" t="n"/>
      <c r="D730" s="37" t="n"/>
      <c r="E730" s="37" t="n"/>
      <c r="F730" s="37" t="n"/>
      <c r="G730" s="38" t="n"/>
      <c r="H730" s="37" t="n"/>
      <c r="I730" s="37" t="n"/>
      <c r="J730" s="37" t="n"/>
      <c r="K730" s="39" t="str">
        <f>IF(A730="","",SUMIFS(mv_qty,mv_ref,A730,mv_type,"Entrée"))</f>
        <v/>
      </c>
      <c r="L730" s="39" t="str">
        <f>IF(A730="","",SUMIFS(mv_qty,mv_ref,A730,mv_type,"Sortie"))</f>
        <v/>
      </c>
      <c r="M730" s="39" t="str">
        <f>IF(A730="","",ROUND(N(H730)+K730-L730,6))</f>
        <v/>
      </c>
      <c r="N730" s="40" t="str">
        <f>IF(A730="","",M730*N(G730))</f>
        <v/>
      </c>
      <c r="O730" s="39" t="str">
        <f>IF(A730="","",IF(M730&lt;=0,"Rupture",IF(AND(I730&lt;&gt;"",M730&lt;=N(I730)),"À commander","OK")))</f>
        <v/>
      </c>
      <c r="P730" s="39" t="str">
        <f>IF(OR(A730="",O730="OK",J730=""),"",MAX(N(J730)-M730,0))</f>
        <v/>
      </c>
      <c r="Q730" s="39" t="str">
        <f>IF(A730="",IF(COUNTA(B730:J730)&gt;0,"Référence manquante",""),IF(COUNTIF($A$5:$A$1004,A730)&gt;1,"Référence en double",IF(B730="","Désignation manquante","OK")))</f>
        <v/>
      </c>
      <c r="R730" s="39" t="str">
        <f>IF(OR(O730="Rupture",O730="À commander"),COUNTIF($O$5:O730,"Rupture")+COUNTIF($O$5:O730,"À commander"),"")</f>
        <v/>
      </c>
    </row>
    <row r="731">
      <c r="A731" s="37" t="n"/>
      <c r="B731" s="37" t="n"/>
      <c r="C731" s="37" t="n"/>
      <c r="D731" s="37" t="n"/>
      <c r="E731" s="37" t="n"/>
      <c r="F731" s="37" t="n"/>
      <c r="G731" s="38" t="n"/>
      <c r="H731" s="37" t="n"/>
      <c r="I731" s="37" t="n"/>
      <c r="J731" s="37" t="n"/>
      <c r="K731" s="39" t="str">
        <f>IF(A731="","",SUMIFS(mv_qty,mv_ref,A731,mv_type,"Entrée"))</f>
        <v/>
      </c>
      <c r="L731" s="39" t="str">
        <f>IF(A731="","",SUMIFS(mv_qty,mv_ref,A731,mv_type,"Sortie"))</f>
        <v/>
      </c>
      <c r="M731" s="39" t="str">
        <f>IF(A731="","",ROUND(N(H731)+K731-L731,6))</f>
        <v/>
      </c>
      <c r="N731" s="40" t="str">
        <f>IF(A731="","",M731*N(G731))</f>
        <v/>
      </c>
      <c r="O731" s="39" t="str">
        <f>IF(A731="","",IF(M731&lt;=0,"Rupture",IF(AND(I731&lt;&gt;"",M731&lt;=N(I731)),"À commander","OK")))</f>
        <v/>
      </c>
      <c r="P731" s="39" t="str">
        <f>IF(OR(A731="",O731="OK",J731=""),"",MAX(N(J731)-M731,0))</f>
        <v/>
      </c>
      <c r="Q731" s="39" t="str">
        <f>IF(A731="",IF(COUNTA(B731:J731)&gt;0,"Référence manquante",""),IF(COUNTIF($A$5:$A$1004,A731)&gt;1,"Référence en double",IF(B731="","Désignation manquante","OK")))</f>
        <v/>
      </c>
      <c r="R731" s="39" t="str">
        <f>IF(OR(O731="Rupture",O731="À commander"),COUNTIF($O$5:O731,"Rupture")+COUNTIF($O$5:O731,"À commander"),"")</f>
        <v/>
      </c>
    </row>
    <row r="732">
      <c r="A732" s="37" t="n"/>
      <c r="B732" s="37" t="n"/>
      <c r="C732" s="37" t="n"/>
      <c r="D732" s="37" t="n"/>
      <c r="E732" s="37" t="n"/>
      <c r="F732" s="37" t="n"/>
      <c r="G732" s="38" t="n"/>
      <c r="H732" s="37" t="n"/>
      <c r="I732" s="37" t="n"/>
      <c r="J732" s="37" t="n"/>
      <c r="K732" s="39" t="str">
        <f>IF(A732="","",SUMIFS(mv_qty,mv_ref,A732,mv_type,"Entrée"))</f>
        <v/>
      </c>
      <c r="L732" s="39" t="str">
        <f>IF(A732="","",SUMIFS(mv_qty,mv_ref,A732,mv_type,"Sortie"))</f>
        <v/>
      </c>
      <c r="M732" s="39" t="str">
        <f>IF(A732="","",ROUND(N(H732)+K732-L732,6))</f>
        <v/>
      </c>
      <c r="N732" s="40" t="str">
        <f>IF(A732="","",M732*N(G732))</f>
        <v/>
      </c>
      <c r="O732" s="39" t="str">
        <f>IF(A732="","",IF(M732&lt;=0,"Rupture",IF(AND(I732&lt;&gt;"",M732&lt;=N(I732)),"À commander","OK")))</f>
        <v/>
      </c>
      <c r="P732" s="39" t="str">
        <f>IF(OR(A732="",O732="OK",J732=""),"",MAX(N(J732)-M732,0))</f>
        <v/>
      </c>
      <c r="Q732" s="39" t="str">
        <f>IF(A732="",IF(COUNTA(B732:J732)&gt;0,"Référence manquante",""),IF(COUNTIF($A$5:$A$1004,A732)&gt;1,"Référence en double",IF(B732="","Désignation manquante","OK")))</f>
        <v/>
      </c>
      <c r="R732" s="39" t="str">
        <f>IF(OR(O732="Rupture",O732="À commander"),COUNTIF($O$5:O732,"Rupture")+COUNTIF($O$5:O732,"À commander"),"")</f>
        <v/>
      </c>
    </row>
    <row r="733">
      <c r="A733" s="37" t="n"/>
      <c r="B733" s="37" t="n"/>
      <c r="C733" s="37" t="n"/>
      <c r="D733" s="37" t="n"/>
      <c r="E733" s="37" t="n"/>
      <c r="F733" s="37" t="n"/>
      <c r="G733" s="38" t="n"/>
      <c r="H733" s="37" t="n"/>
      <c r="I733" s="37" t="n"/>
      <c r="J733" s="37" t="n"/>
      <c r="K733" s="39" t="str">
        <f>IF(A733="","",SUMIFS(mv_qty,mv_ref,A733,mv_type,"Entrée"))</f>
        <v/>
      </c>
      <c r="L733" s="39" t="str">
        <f>IF(A733="","",SUMIFS(mv_qty,mv_ref,A733,mv_type,"Sortie"))</f>
        <v/>
      </c>
      <c r="M733" s="39" t="str">
        <f>IF(A733="","",ROUND(N(H733)+K733-L733,6))</f>
        <v/>
      </c>
      <c r="N733" s="40" t="str">
        <f>IF(A733="","",M733*N(G733))</f>
        <v/>
      </c>
      <c r="O733" s="39" t="str">
        <f>IF(A733="","",IF(M733&lt;=0,"Rupture",IF(AND(I733&lt;&gt;"",M733&lt;=N(I733)),"À commander","OK")))</f>
        <v/>
      </c>
      <c r="P733" s="39" t="str">
        <f>IF(OR(A733="",O733="OK",J733=""),"",MAX(N(J733)-M733,0))</f>
        <v/>
      </c>
      <c r="Q733" s="39" t="str">
        <f>IF(A733="",IF(COUNTA(B733:J733)&gt;0,"Référence manquante",""),IF(COUNTIF($A$5:$A$1004,A733)&gt;1,"Référence en double",IF(B733="","Désignation manquante","OK")))</f>
        <v/>
      </c>
      <c r="R733" s="39" t="str">
        <f>IF(OR(O733="Rupture",O733="À commander"),COUNTIF($O$5:O733,"Rupture")+COUNTIF($O$5:O733,"À commander"),"")</f>
        <v/>
      </c>
    </row>
    <row r="734">
      <c r="A734" s="37" t="n"/>
      <c r="B734" s="37" t="n"/>
      <c r="C734" s="37" t="n"/>
      <c r="D734" s="37" t="n"/>
      <c r="E734" s="37" t="n"/>
      <c r="F734" s="37" t="n"/>
      <c r="G734" s="38" t="n"/>
      <c r="H734" s="37" t="n"/>
      <c r="I734" s="37" t="n"/>
      <c r="J734" s="37" t="n"/>
      <c r="K734" s="39" t="str">
        <f>IF(A734="","",SUMIFS(mv_qty,mv_ref,A734,mv_type,"Entrée"))</f>
        <v/>
      </c>
      <c r="L734" s="39" t="str">
        <f>IF(A734="","",SUMIFS(mv_qty,mv_ref,A734,mv_type,"Sortie"))</f>
        <v/>
      </c>
      <c r="M734" s="39" t="str">
        <f>IF(A734="","",ROUND(N(H734)+K734-L734,6))</f>
        <v/>
      </c>
      <c r="N734" s="40" t="str">
        <f>IF(A734="","",M734*N(G734))</f>
        <v/>
      </c>
      <c r="O734" s="39" t="str">
        <f>IF(A734="","",IF(M734&lt;=0,"Rupture",IF(AND(I734&lt;&gt;"",M734&lt;=N(I734)),"À commander","OK")))</f>
        <v/>
      </c>
      <c r="P734" s="39" t="str">
        <f>IF(OR(A734="",O734="OK",J734=""),"",MAX(N(J734)-M734,0))</f>
        <v/>
      </c>
      <c r="Q734" s="39" t="str">
        <f>IF(A734="",IF(COUNTA(B734:J734)&gt;0,"Référence manquante",""),IF(COUNTIF($A$5:$A$1004,A734)&gt;1,"Référence en double",IF(B734="","Désignation manquante","OK")))</f>
        <v/>
      </c>
      <c r="R734" s="39" t="str">
        <f>IF(OR(O734="Rupture",O734="À commander"),COUNTIF($O$5:O734,"Rupture")+COUNTIF($O$5:O734,"À commander"),"")</f>
        <v/>
      </c>
    </row>
    <row r="735">
      <c r="A735" s="37" t="n"/>
      <c r="B735" s="37" t="n"/>
      <c r="C735" s="37" t="n"/>
      <c r="D735" s="37" t="n"/>
      <c r="E735" s="37" t="n"/>
      <c r="F735" s="37" t="n"/>
      <c r="G735" s="38" t="n"/>
      <c r="H735" s="37" t="n"/>
      <c r="I735" s="37" t="n"/>
      <c r="J735" s="37" t="n"/>
      <c r="K735" s="39" t="str">
        <f>IF(A735="","",SUMIFS(mv_qty,mv_ref,A735,mv_type,"Entrée"))</f>
        <v/>
      </c>
      <c r="L735" s="39" t="str">
        <f>IF(A735="","",SUMIFS(mv_qty,mv_ref,A735,mv_type,"Sortie"))</f>
        <v/>
      </c>
      <c r="M735" s="39" t="str">
        <f>IF(A735="","",ROUND(N(H735)+K735-L735,6))</f>
        <v/>
      </c>
      <c r="N735" s="40" t="str">
        <f>IF(A735="","",M735*N(G735))</f>
        <v/>
      </c>
      <c r="O735" s="39" t="str">
        <f>IF(A735="","",IF(M735&lt;=0,"Rupture",IF(AND(I735&lt;&gt;"",M735&lt;=N(I735)),"À commander","OK")))</f>
        <v/>
      </c>
      <c r="P735" s="39" t="str">
        <f>IF(OR(A735="",O735="OK",J735=""),"",MAX(N(J735)-M735,0))</f>
        <v/>
      </c>
      <c r="Q735" s="39" t="str">
        <f>IF(A735="",IF(COUNTA(B735:J735)&gt;0,"Référence manquante",""),IF(COUNTIF($A$5:$A$1004,A735)&gt;1,"Référence en double",IF(B735="","Désignation manquante","OK")))</f>
        <v/>
      </c>
      <c r="R735" s="39" t="str">
        <f>IF(OR(O735="Rupture",O735="À commander"),COUNTIF($O$5:O735,"Rupture")+COUNTIF($O$5:O735,"À commander"),"")</f>
        <v/>
      </c>
    </row>
    <row r="736">
      <c r="A736" s="37" t="n"/>
      <c r="B736" s="37" t="n"/>
      <c r="C736" s="37" t="n"/>
      <c r="D736" s="37" t="n"/>
      <c r="E736" s="37" t="n"/>
      <c r="F736" s="37" t="n"/>
      <c r="G736" s="38" t="n"/>
      <c r="H736" s="37" t="n"/>
      <c r="I736" s="37" t="n"/>
      <c r="J736" s="37" t="n"/>
      <c r="K736" s="39" t="str">
        <f>IF(A736="","",SUMIFS(mv_qty,mv_ref,A736,mv_type,"Entrée"))</f>
        <v/>
      </c>
      <c r="L736" s="39" t="str">
        <f>IF(A736="","",SUMIFS(mv_qty,mv_ref,A736,mv_type,"Sortie"))</f>
        <v/>
      </c>
      <c r="M736" s="39" t="str">
        <f>IF(A736="","",ROUND(N(H736)+K736-L736,6))</f>
        <v/>
      </c>
      <c r="N736" s="40" t="str">
        <f>IF(A736="","",M736*N(G736))</f>
        <v/>
      </c>
      <c r="O736" s="39" t="str">
        <f>IF(A736="","",IF(M736&lt;=0,"Rupture",IF(AND(I736&lt;&gt;"",M736&lt;=N(I736)),"À commander","OK")))</f>
        <v/>
      </c>
      <c r="P736" s="39" t="str">
        <f>IF(OR(A736="",O736="OK",J736=""),"",MAX(N(J736)-M736,0))</f>
        <v/>
      </c>
      <c r="Q736" s="39" t="str">
        <f>IF(A736="",IF(COUNTA(B736:J736)&gt;0,"Référence manquante",""),IF(COUNTIF($A$5:$A$1004,A736)&gt;1,"Référence en double",IF(B736="","Désignation manquante","OK")))</f>
        <v/>
      </c>
      <c r="R736" s="39" t="str">
        <f>IF(OR(O736="Rupture",O736="À commander"),COUNTIF($O$5:O736,"Rupture")+COUNTIF($O$5:O736,"À commander"),"")</f>
        <v/>
      </c>
    </row>
    <row r="737">
      <c r="A737" s="37" t="n"/>
      <c r="B737" s="37" t="n"/>
      <c r="C737" s="37" t="n"/>
      <c r="D737" s="37" t="n"/>
      <c r="E737" s="37" t="n"/>
      <c r="F737" s="37" t="n"/>
      <c r="G737" s="38" t="n"/>
      <c r="H737" s="37" t="n"/>
      <c r="I737" s="37" t="n"/>
      <c r="J737" s="37" t="n"/>
      <c r="K737" s="39" t="str">
        <f>IF(A737="","",SUMIFS(mv_qty,mv_ref,A737,mv_type,"Entrée"))</f>
        <v/>
      </c>
      <c r="L737" s="39" t="str">
        <f>IF(A737="","",SUMIFS(mv_qty,mv_ref,A737,mv_type,"Sortie"))</f>
        <v/>
      </c>
      <c r="M737" s="39" t="str">
        <f>IF(A737="","",ROUND(N(H737)+K737-L737,6))</f>
        <v/>
      </c>
      <c r="N737" s="40" t="str">
        <f>IF(A737="","",M737*N(G737))</f>
        <v/>
      </c>
      <c r="O737" s="39" t="str">
        <f>IF(A737="","",IF(M737&lt;=0,"Rupture",IF(AND(I737&lt;&gt;"",M737&lt;=N(I737)),"À commander","OK")))</f>
        <v/>
      </c>
      <c r="P737" s="39" t="str">
        <f>IF(OR(A737="",O737="OK",J737=""),"",MAX(N(J737)-M737,0))</f>
        <v/>
      </c>
      <c r="Q737" s="39" t="str">
        <f>IF(A737="",IF(COUNTA(B737:J737)&gt;0,"Référence manquante",""),IF(COUNTIF($A$5:$A$1004,A737)&gt;1,"Référence en double",IF(B737="","Désignation manquante","OK")))</f>
        <v/>
      </c>
      <c r="R737" s="39" t="str">
        <f>IF(OR(O737="Rupture",O737="À commander"),COUNTIF($O$5:O737,"Rupture")+COUNTIF($O$5:O737,"À commander"),"")</f>
        <v/>
      </c>
    </row>
    <row r="738">
      <c r="A738" s="37" t="n"/>
      <c r="B738" s="37" t="n"/>
      <c r="C738" s="37" t="n"/>
      <c r="D738" s="37" t="n"/>
      <c r="E738" s="37" t="n"/>
      <c r="F738" s="37" t="n"/>
      <c r="G738" s="38" t="n"/>
      <c r="H738" s="37" t="n"/>
      <c r="I738" s="37" t="n"/>
      <c r="J738" s="37" t="n"/>
      <c r="K738" s="39" t="str">
        <f>IF(A738="","",SUMIFS(mv_qty,mv_ref,A738,mv_type,"Entrée"))</f>
        <v/>
      </c>
      <c r="L738" s="39" t="str">
        <f>IF(A738="","",SUMIFS(mv_qty,mv_ref,A738,mv_type,"Sortie"))</f>
        <v/>
      </c>
      <c r="M738" s="39" t="str">
        <f>IF(A738="","",ROUND(N(H738)+K738-L738,6))</f>
        <v/>
      </c>
      <c r="N738" s="40" t="str">
        <f>IF(A738="","",M738*N(G738))</f>
        <v/>
      </c>
      <c r="O738" s="39" t="str">
        <f>IF(A738="","",IF(M738&lt;=0,"Rupture",IF(AND(I738&lt;&gt;"",M738&lt;=N(I738)),"À commander","OK")))</f>
        <v/>
      </c>
      <c r="P738" s="39" t="str">
        <f>IF(OR(A738="",O738="OK",J738=""),"",MAX(N(J738)-M738,0))</f>
        <v/>
      </c>
      <c r="Q738" s="39" t="str">
        <f>IF(A738="",IF(COUNTA(B738:J738)&gt;0,"Référence manquante",""),IF(COUNTIF($A$5:$A$1004,A738)&gt;1,"Référence en double",IF(B738="","Désignation manquante","OK")))</f>
        <v/>
      </c>
      <c r="R738" s="39" t="str">
        <f>IF(OR(O738="Rupture",O738="À commander"),COUNTIF($O$5:O738,"Rupture")+COUNTIF($O$5:O738,"À commander"),"")</f>
        <v/>
      </c>
    </row>
    <row r="739">
      <c r="A739" s="37" t="n"/>
      <c r="B739" s="37" t="n"/>
      <c r="C739" s="37" t="n"/>
      <c r="D739" s="37" t="n"/>
      <c r="E739" s="37" t="n"/>
      <c r="F739" s="37" t="n"/>
      <c r="G739" s="38" t="n"/>
      <c r="H739" s="37" t="n"/>
      <c r="I739" s="37" t="n"/>
      <c r="J739" s="37" t="n"/>
      <c r="K739" s="39" t="str">
        <f>IF(A739="","",SUMIFS(mv_qty,mv_ref,A739,mv_type,"Entrée"))</f>
        <v/>
      </c>
      <c r="L739" s="39" t="str">
        <f>IF(A739="","",SUMIFS(mv_qty,mv_ref,A739,mv_type,"Sortie"))</f>
        <v/>
      </c>
      <c r="M739" s="39" t="str">
        <f>IF(A739="","",ROUND(N(H739)+K739-L739,6))</f>
        <v/>
      </c>
      <c r="N739" s="40" t="str">
        <f>IF(A739="","",M739*N(G739))</f>
        <v/>
      </c>
      <c r="O739" s="39" t="str">
        <f>IF(A739="","",IF(M739&lt;=0,"Rupture",IF(AND(I739&lt;&gt;"",M739&lt;=N(I739)),"À commander","OK")))</f>
        <v/>
      </c>
      <c r="P739" s="39" t="str">
        <f>IF(OR(A739="",O739="OK",J739=""),"",MAX(N(J739)-M739,0))</f>
        <v/>
      </c>
      <c r="Q739" s="39" t="str">
        <f>IF(A739="",IF(COUNTA(B739:J739)&gt;0,"Référence manquante",""),IF(COUNTIF($A$5:$A$1004,A739)&gt;1,"Référence en double",IF(B739="","Désignation manquante","OK")))</f>
        <v/>
      </c>
      <c r="R739" s="39" t="str">
        <f>IF(OR(O739="Rupture",O739="À commander"),COUNTIF($O$5:O739,"Rupture")+COUNTIF($O$5:O739,"À commander"),"")</f>
        <v/>
      </c>
    </row>
    <row r="740">
      <c r="A740" s="37" t="n"/>
      <c r="B740" s="37" t="n"/>
      <c r="C740" s="37" t="n"/>
      <c r="D740" s="37" t="n"/>
      <c r="E740" s="37" t="n"/>
      <c r="F740" s="37" t="n"/>
      <c r="G740" s="38" t="n"/>
      <c r="H740" s="37" t="n"/>
      <c r="I740" s="37" t="n"/>
      <c r="J740" s="37" t="n"/>
      <c r="K740" s="39" t="str">
        <f>IF(A740="","",SUMIFS(mv_qty,mv_ref,A740,mv_type,"Entrée"))</f>
        <v/>
      </c>
      <c r="L740" s="39" t="str">
        <f>IF(A740="","",SUMIFS(mv_qty,mv_ref,A740,mv_type,"Sortie"))</f>
        <v/>
      </c>
      <c r="M740" s="39" t="str">
        <f>IF(A740="","",ROUND(N(H740)+K740-L740,6))</f>
        <v/>
      </c>
      <c r="N740" s="40" t="str">
        <f>IF(A740="","",M740*N(G740))</f>
        <v/>
      </c>
      <c r="O740" s="39" t="str">
        <f>IF(A740="","",IF(M740&lt;=0,"Rupture",IF(AND(I740&lt;&gt;"",M740&lt;=N(I740)),"À commander","OK")))</f>
        <v/>
      </c>
      <c r="P740" s="39" t="str">
        <f>IF(OR(A740="",O740="OK",J740=""),"",MAX(N(J740)-M740,0))</f>
        <v/>
      </c>
      <c r="Q740" s="39" t="str">
        <f>IF(A740="",IF(COUNTA(B740:J740)&gt;0,"Référence manquante",""),IF(COUNTIF($A$5:$A$1004,A740)&gt;1,"Référence en double",IF(B740="","Désignation manquante","OK")))</f>
        <v/>
      </c>
      <c r="R740" s="39" t="str">
        <f>IF(OR(O740="Rupture",O740="À commander"),COUNTIF($O$5:O740,"Rupture")+COUNTIF($O$5:O740,"À commander"),"")</f>
        <v/>
      </c>
    </row>
    <row r="741">
      <c r="A741" s="37" t="n"/>
      <c r="B741" s="37" t="n"/>
      <c r="C741" s="37" t="n"/>
      <c r="D741" s="37" t="n"/>
      <c r="E741" s="37" t="n"/>
      <c r="F741" s="37" t="n"/>
      <c r="G741" s="38" t="n"/>
      <c r="H741" s="37" t="n"/>
      <c r="I741" s="37" t="n"/>
      <c r="J741" s="37" t="n"/>
      <c r="K741" s="39" t="str">
        <f>IF(A741="","",SUMIFS(mv_qty,mv_ref,A741,mv_type,"Entrée"))</f>
        <v/>
      </c>
      <c r="L741" s="39" t="str">
        <f>IF(A741="","",SUMIFS(mv_qty,mv_ref,A741,mv_type,"Sortie"))</f>
        <v/>
      </c>
      <c r="M741" s="39" t="str">
        <f>IF(A741="","",ROUND(N(H741)+K741-L741,6))</f>
        <v/>
      </c>
      <c r="N741" s="40" t="str">
        <f>IF(A741="","",M741*N(G741))</f>
        <v/>
      </c>
      <c r="O741" s="39" t="str">
        <f>IF(A741="","",IF(M741&lt;=0,"Rupture",IF(AND(I741&lt;&gt;"",M741&lt;=N(I741)),"À commander","OK")))</f>
        <v/>
      </c>
      <c r="P741" s="39" t="str">
        <f>IF(OR(A741="",O741="OK",J741=""),"",MAX(N(J741)-M741,0))</f>
        <v/>
      </c>
      <c r="Q741" s="39" t="str">
        <f>IF(A741="",IF(COUNTA(B741:J741)&gt;0,"Référence manquante",""),IF(COUNTIF($A$5:$A$1004,A741)&gt;1,"Référence en double",IF(B741="","Désignation manquante","OK")))</f>
        <v/>
      </c>
      <c r="R741" s="39" t="str">
        <f>IF(OR(O741="Rupture",O741="À commander"),COUNTIF($O$5:O741,"Rupture")+COUNTIF($O$5:O741,"À commander"),"")</f>
        <v/>
      </c>
    </row>
    <row r="742">
      <c r="A742" s="37" t="n"/>
      <c r="B742" s="37" t="n"/>
      <c r="C742" s="37" t="n"/>
      <c r="D742" s="37" t="n"/>
      <c r="E742" s="37" t="n"/>
      <c r="F742" s="37" t="n"/>
      <c r="G742" s="38" t="n"/>
      <c r="H742" s="37" t="n"/>
      <c r="I742" s="37" t="n"/>
      <c r="J742" s="37" t="n"/>
      <c r="K742" s="39" t="str">
        <f>IF(A742="","",SUMIFS(mv_qty,mv_ref,A742,mv_type,"Entrée"))</f>
        <v/>
      </c>
      <c r="L742" s="39" t="str">
        <f>IF(A742="","",SUMIFS(mv_qty,mv_ref,A742,mv_type,"Sortie"))</f>
        <v/>
      </c>
      <c r="M742" s="39" t="str">
        <f>IF(A742="","",ROUND(N(H742)+K742-L742,6))</f>
        <v/>
      </c>
      <c r="N742" s="40" t="str">
        <f>IF(A742="","",M742*N(G742))</f>
        <v/>
      </c>
      <c r="O742" s="39" t="str">
        <f>IF(A742="","",IF(M742&lt;=0,"Rupture",IF(AND(I742&lt;&gt;"",M742&lt;=N(I742)),"À commander","OK")))</f>
        <v/>
      </c>
      <c r="P742" s="39" t="str">
        <f>IF(OR(A742="",O742="OK",J742=""),"",MAX(N(J742)-M742,0))</f>
        <v/>
      </c>
      <c r="Q742" s="39" t="str">
        <f>IF(A742="",IF(COUNTA(B742:J742)&gt;0,"Référence manquante",""),IF(COUNTIF($A$5:$A$1004,A742)&gt;1,"Référence en double",IF(B742="","Désignation manquante","OK")))</f>
        <v/>
      </c>
      <c r="R742" s="39" t="str">
        <f>IF(OR(O742="Rupture",O742="À commander"),COUNTIF($O$5:O742,"Rupture")+COUNTIF($O$5:O742,"À commander"),"")</f>
        <v/>
      </c>
    </row>
    <row r="743">
      <c r="A743" s="37" t="n"/>
      <c r="B743" s="37" t="n"/>
      <c r="C743" s="37" t="n"/>
      <c r="D743" s="37" t="n"/>
      <c r="E743" s="37" t="n"/>
      <c r="F743" s="37" t="n"/>
      <c r="G743" s="38" t="n"/>
      <c r="H743" s="37" t="n"/>
      <c r="I743" s="37" t="n"/>
      <c r="J743" s="37" t="n"/>
      <c r="K743" s="39" t="str">
        <f>IF(A743="","",SUMIFS(mv_qty,mv_ref,A743,mv_type,"Entrée"))</f>
        <v/>
      </c>
      <c r="L743" s="39" t="str">
        <f>IF(A743="","",SUMIFS(mv_qty,mv_ref,A743,mv_type,"Sortie"))</f>
        <v/>
      </c>
      <c r="M743" s="39" t="str">
        <f>IF(A743="","",ROUND(N(H743)+K743-L743,6))</f>
        <v/>
      </c>
      <c r="N743" s="40" t="str">
        <f>IF(A743="","",M743*N(G743))</f>
        <v/>
      </c>
      <c r="O743" s="39" t="str">
        <f>IF(A743="","",IF(M743&lt;=0,"Rupture",IF(AND(I743&lt;&gt;"",M743&lt;=N(I743)),"À commander","OK")))</f>
        <v/>
      </c>
      <c r="P743" s="39" t="str">
        <f>IF(OR(A743="",O743="OK",J743=""),"",MAX(N(J743)-M743,0))</f>
        <v/>
      </c>
      <c r="Q743" s="39" t="str">
        <f>IF(A743="",IF(COUNTA(B743:J743)&gt;0,"Référence manquante",""),IF(COUNTIF($A$5:$A$1004,A743)&gt;1,"Référence en double",IF(B743="","Désignation manquante","OK")))</f>
        <v/>
      </c>
      <c r="R743" s="39" t="str">
        <f>IF(OR(O743="Rupture",O743="À commander"),COUNTIF($O$5:O743,"Rupture")+COUNTIF($O$5:O743,"À commander"),"")</f>
        <v/>
      </c>
    </row>
    <row r="744">
      <c r="A744" s="37" t="n"/>
      <c r="B744" s="37" t="n"/>
      <c r="C744" s="37" t="n"/>
      <c r="D744" s="37" t="n"/>
      <c r="E744" s="37" t="n"/>
      <c r="F744" s="37" t="n"/>
      <c r="G744" s="38" t="n"/>
      <c r="H744" s="37" t="n"/>
      <c r="I744" s="37" t="n"/>
      <c r="J744" s="37" t="n"/>
      <c r="K744" s="39" t="str">
        <f>IF(A744="","",SUMIFS(mv_qty,mv_ref,A744,mv_type,"Entrée"))</f>
        <v/>
      </c>
      <c r="L744" s="39" t="str">
        <f>IF(A744="","",SUMIFS(mv_qty,mv_ref,A744,mv_type,"Sortie"))</f>
        <v/>
      </c>
      <c r="M744" s="39" t="str">
        <f>IF(A744="","",ROUND(N(H744)+K744-L744,6))</f>
        <v/>
      </c>
      <c r="N744" s="40" t="str">
        <f>IF(A744="","",M744*N(G744))</f>
        <v/>
      </c>
      <c r="O744" s="39" t="str">
        <f>IF(A744="","",IF(M744&lt;=0,"Rupture",IF(AND(I744&lt;&gt;"",M744&lt;=N(I744)),"À commander","OK")))</f>
        <v/>
      </c>
      <c r="P744" s="39" t="str">
        <f>IF(OR(A744="",O744="OK",J744=""),"",MAX(N(J744)-M744,0))</f>
        <v/>
      </c>
      <c r="Q744" s="39" t="str">
        <f>IF(A744="",IF(COUNTA(B744:J744)&gt;0,"Référence manquante",""),IF(COUNTIF($A$5:$A$1004,A744)&gt;1,"Référence en double",IF(B744="","Désignation manquante","OK")))</f>
        <v/>
      </c>
      <c r="R744" s="39" t="str">
        <f>IF(OR(O744="Rupture",O744="À commander"),COUNTIF($O$5:O744,"Rupture")+COUNTIF($O$5:O744,"À commander"),"")</f>
        <v/>
      </c>
    </row>
    <row r="745">
      <c r="A745" s="37" t="n"/>
      <c r="B745" s="37" t="n"/>
      <c r="C745" s="37" t="n"/>
      <c r="D745" s="37" t="n"/>
      <c r="E745" s="37" t="n"/>
      <c r="F745" s="37" t="n"/>
      <c r="G745" s="38" t="n"/>
      <c r="H745" s="37" t="n"/>
      <c r="I745" s="37" t="n"/>
      <c r="J745" s="37" t="n"/>
      <c r="K745" s="39" t="str">
        <f>IF(A745="","",SUMIFS(mv_qty,mv_ref,A745,mv_type,"Entrée"))</f>
        <v/>
      </c>
      <c r="L745" s="39" t="str">
        <f>IF(A745="","",SUMIFS(mv_qty,mv_ref,A745,mv_type,"Sortie"))</f>
        <v/>
      </c>
      <c r="M745" s="39" t="str">
        <f>IF(A745="","",ROUND(N(H745)+K745-L745,6))</f>
        <v/>
      </c>
      <c r="N745" s="40" t="str">
        <f>IF(A745="","",M745*N(G745))</f>
        <v/>
      </c>
      <c r="O745" s="39" t="str">
        <f>IF(A745="","",IF(M745&lt;=0,"Rupture",IF(AND(I745&lt;&gt;"",M745&lt;=N(I745)),"À commander","OK")))</f>
        <v/>
      </c>
      <c r="P745" s="39" t="str">
        <f>IF(OR(A745="",O745="OK",J745=""),"",MAX(N(J745)-M745,0))</f>
        <v/>
      </c>
      <c r="Q745" s="39" t="str">
        <f>IF(A745="",IF(COUNTA(B745:J745)&gt;0,"Référence manquante",""),IF(COUNTIF($A$5:$A$1004,A745)&gt;1,"Référence en double",IF(B745="","Désignation manquante","OK")))</f>
        <v/>
      </c>
      <c r="R745" s="39" t="str">
        <f>IF(OR(O745="Rupture",O745="À commander"),COUNTIF($O$5:O745,"Rupture")+COUNTIF($O$5:O745,"À commander"),"")</f>
        <v/>
      </c>
    </row>
    <row r="746">
      <c r="A746" s="37" t="n"/>
      <c r="B746" s="37" t="n"/>
      <c r="C746" s="37" t="n"/>
      <c r="D746" s="37" t="n"/>
      <c r="E746" s="37" t="n"/>
      <c r="F746" s="37" t="n"/>
      <c r="G746" s="38" t="n"/>
      <c r="H746" s="37" t="n"/>
      <c r="I746" s="37" t="n"/>
      <c r="J746" s="37" t="n"/>
      <c r="K746" s="39" t="str">
        <f>IF(A746="","",SUMIFS(mv_qty,mv_ref,A746,mv_type,"Entrée"))</f>
        <v/>
      </c>
      <c r="L746" s="39" t="str">
        <f>IF(A746="","",SUMIFS(mv_qty,mv_ref,A746,mv_type,"Sortie"))</f>
        <v/>
      </c>
      <c r="M746" s="39" t="str">
        <f>IF(A746="","",ROUND(N(H746)+K746-L746,6))</f>
        <v/>
      </c>
      <c r="N746" s="40" t="str">
        <f>IF(A746="","",M746*N(G746))</f>
        <v/>
      </c>
      <c r="O746" s="39" t="str">
        <f>IF(A746="","",IF(M746&lt;=0,"Rupture",IF(AND(I746&lt;&gt;"",M746&lt;=N(I746)),"À commander","OK")))</f>
        <v/>
      </c>
      <c r="P746" s="39" t="str">
        <f>IF(OR(A746="",O746="OK",J746=""),"",MAX(N(J746)-M746,0))</f>
        <v/>
      </c>
      <c r="Q746" s="39" t="str">
        <f>IF(A746="",IF(COUNTA(B746:J746)&gt;0,"Référence manquante",""),IF(COUNTIF($A$5:$A$1004,A746)&gt;1,"Référence en double",IF(B746="","Désignation manquante","OK")))</f>
        <v/>
      </c>
      <c r="R746" s="39" t="str">
        <f>IF(OR(O746="Rupture",O746="À commander"),COUNTIF($O$5:O746,"Rupture")+COUNTIF($O$5:O746,"À commander"),"")</f>
        <v/>
      </c>
    </row>
    <row r="747">
      <c r="A747" s="37" t="n"/>
      <c r="B747" s="37" t="n"/>
      <c r="C747" s="37" t="n"/>
      <c r="D747" s="37" t="n"/>
      <c r="E747" s="37" t="n"/>
      <c r="F747" s="37" t="n"/>
      <c r="G747" s="38" t="n"/>
      <c r="H747" s="37" t="n"/>
      <c r="I747" s="37" t="n"/>
      <c r="J747" s="37" t="n"/>
      <c r="K747" s="39" t="str">
        <f>IF(A747="","",SUMIFS(mv_qty,mv_ref,A747,mv_type,"Entrée"))</f>
        <v/>
      </c>
      <c r="L747" s="39" t="str">
        <f>IF(A747="","",SUMIFS(mv_qty,mv_ref,A747,mv_type,"Sortie"))</f>
        <v/>
      </c>
      <c r="M747" s="39" t="str">
        <f>IF(A747="","",ROUND(N(H747)+K747-L747,6))</f>
        <v/>
      </c>
      <c r="N747" s="40" t="str">
        <f>IF(A747="","",M747*N(G747))</f>
        <v/>
      </c>
      <c r="O747" s="39" t="str">
        <f>IF(A747="","",IF(M747&lt;=0,"Rupture",IF(AND(I747&lt;&gt;"",M747&lt;=N(I747)),"À commander","OK")))</f>
        <v/>
      </c>
      <c r="P747" s="39" t="str">
        <f>IF(OR(A747="",O747="OK",J747=""),"",MAX(N(J747)-M747,0))</f>
        <v/>
      </c>
      <c r="Q747" s="39" t="str">
        <f>IF(A747="",IF(COUNTA(B747:J747)&gt;0,"Référence manquante",""),IF(COUNTIF($A$5:$A$1004,A747)&gt;1,"Référence en double",IF(B747="","Désignation manquante","OK")))</f>
        <v/>
      </c>
      <c r="R747" s="39" t="str">
        <f>IF(OR(O747="Rupture",O747="À commander"),COUNTIF($O$5:O747,"Rupture")+COUNTIF($O$5:O747,"À commander"),"")</f>
        <v/>
      </c>
    </row>
    <row r="748">
      <c r="A748" s="37" t="n"/>
      <c r="B748" s="37" t="n"/>
      <c r="C748" s="37" t="n"/>
      <c r="D748" s="37" t="n"/>
      <c r="E748" s="37" t="n"/>
      <c r="F748" s="37" t="n"/>
      <c r="G748" s="38" t="n"/>
      <c r="H748" s="37" t="n"/>
      <c r="I748" s="37" t="n"/>
      <c r="J748" s="37" t="n"/>
      <c r="K748" s="39" t="str">
        <f>IF(A748="","",SUMIFS(mv_qty,mv_ref,A748,mv_type,"Entrée"))</f>
        <v/>
      </c>
      <c r="L748" s="39" t="str">
        <f>IF(A748="","",SUMIFS(mv_qty,mv_ref,A748,mv_type,"Sortie"))</f>
        <v/>
      </c>
      <c r="M748" s="39" t="str">
        <f>IF(A748="","",ROUND(N(H748)+K748-L748,6))</f>
        <v/>
      </c>
      <c r="N748" s="40" t="str">
        <f>IF(A748="","",M748*N(G748))</f>
        <v/>
      </c>
      <c r="O748" s="39" t="str">
        <f>IF(A748="","",IF(M748&lt;=0,"Rupture",IF(AND(I748&lt;&gt;"",M748&lt;=N(I748)),"À commander","OK")))</f>
        <v/>
      </c>
      <c r="P748" s="39" t="str">
        <f>IF(OR(A748="",O748="OK",J748=""),"",MAX(N(J748)-M748,0))</f>
        <v/>
      </c>
      <c r="Q748" s="39" t="str">
        <f>IF(A748="",IF(COUNTA(B748:J748)&gt;0,"Référence manquante",""),IF(COUNTIF($A$5:$A$1004,A748)&gt;1,"Référence en double",IF(B748="","Désignation manquante","OK")))</f>
        <v/>
      </c>
      <c r="R748" s="39" t="str">
        <f>IF(OR(O748="Rupture",O748="À commander"),COUNTIF($O$5:O748,"Rupture")+COUNTIF($O$5:O748,"À commander"),"")</f>
        <v/>
      </c>
    </row>
    <row r="749">
      <c r="A749" s="37" t="n"/>
      <c r="B749" s="37" t="n"/>
      <c r="C749" s="37" t="n"/>
      <c r="D749" s="37" t="n"/>
      <c r="E749" s="37" t="n"/>
      <c r="F749" s="37" t="n"/>
      <c r="G749" s="38" t="n"/>
      <c r="H749" s="37" t="n"/>
      <c r="I749" s="37" t="n"/>
      <c r="J749" s="37" t="n"/>
      <c r="K749" s="39" t="str">
        <f>IF(A749="","",SUMIFS(mv_qty,mv_ref,A749,mv_type,"Entrée"))</f>
        <v/>
      </c>
      <c r="L749" s="39" t="str">
        <f>IF(A749="","",SUMIFS(mv_qty,mv_ref,A749,mv_type,"Sortie"))</f>
        <v/>
      </c>
      <c r="M749" s="39" t="str">
        <f>IF(A749="","",ROUND(N(H749)+K749-L749,6))</f>
        <v/>
      </c>
      <c r="N749" s="40" t="str">
        <f>IF(A749="","",M749*N(G749))</f>
        <v/>
      </c>
      <c r="O749" s="39" t="str">
        <f>IF(A749="","",IF(M749&lt;=0,"Rupture",IF(AND(I749&lt;&gt;"",M749&lt;=N(I749)),"À commander","OK")))</f>
        <v/>
      </c>
      <c r="P749" s="39" t="str">
        <f>IF(OR(A749="",O749="OK",J749=""),"",MAX(N(J749)-M749,0))</f>
        <v/>
      </c>
      <c r="Q749" s="39" t="str">
        <f>IF(A749="",IF(COUNTA(B749:J749)&gt;0,"Référence manquante",""),IF(COUNTIF($A$5:$A$1004,A749)&gt;1,"Référence en double",IF(B749="","Désignation manquante","OK")))</f>
        <v/>
      </c>
      <c r="R749" s="39" t="str">
        <f>IF(OR(O749="Rupture",O749="À commander"),COUNTIF($O$5:O749,"Rupture")+COUNTIF($O$5:O749,"À commander"),"")</f>
        <v/>
      </c>
    </row>
    <row r="750">
      <c r="A750" s="37" t="n"/>
      <c r="B750" s="37" t="n"/>
      <c r="C750" s="37" t="n"/>
      <c r="D750" s="37" t="n"/>
      <c r="E750" s="37" t="n"/>
      <c r="F750" s="37" t="n"/>
      <c r="G750" s="38" t="n"/>
      <c r="H750" s="37" t="n"/>
      <c r="I750" s="37" t="n"/>
      <c r="J750" s="37" t="n"/>
      <c r="K750" s="39" t="str">
        <f>IF(A750="","",SUMIFS(mv_qty,mv_ref,A750,mv_type,"Entrée"))</f>
        <v/>
      </c>
      <c r="L750" s="39" t="str">
        <f>IF(A750="","",SUMIFS(mv_qty,mv_ref,A750,mv_type,"Sortie"))</f>
        <v/>
      </c>
      <c r="M750" s="39" t="str">
        <f>IF(A750="","",ROUND(N(H750)+K750-L750,6))</f>
        <v/>
      </c>
      <c r="N750" s="40" t="str">
        <f>IF(A750="","",M750*N(G750))</f>
        <v/>
      </c>
      <c r="O750" s="39" t="str">
        <f>IF(A750="","",IF(M750&lt;=0,"Rupture",IF(AND(I750&lt;&gt;"",M750&lt;=N(I750)),"À commander","OK")))</f>
        <v/>
      </c>
      <c r="P750" s="39" t="str">
        <f>IF(OR(A750="",O750="OK",J750=""),"",MAX(N(J750)-M750,0))</f>
        <v/>
      </c>
      <c r="Q750" s="39" t="str">
        <f>IF(A750="",IF(COUNTA(B750:J750)&gt;0,"Référence manquante",""),IF(COUNTIF($A$5:$A$1004,A750)&gt;1,"Référence en double",IF(B750="","Désignation manquante","OK")))</f>
        <v/>
      </c>
      <c r="R750" s="39" t="str">
        <f>IF(OR(O750="Rupture",O750="À commander"),COUNTIF($O$5:O750,"Rupture")+COUNTIF($O$5:O750,"À commander"),"")</f>
        <v/>
      </c>
    </row>
    <row r="751">
      <c r="A751" s="37" t="n"/>
      <c r="B751" s="37" t="n"/>
      <c r="C751" s="37" t="n"/>
      <c r="D751" s="37" t="n"/>
      <c r="E751" s="37" t="n"/>
      <c r="F751" s="37" t="n"/>
      <c r="G751" s="38" t="n"/>
      <c r="H751" s="37" t="n"/>
      <c r="I751" s="37" t="n"/>
      <c r="J751" s="37" t="n"/>
      <c r="K751" s="39" t="str">
        <f>IF(A751="","",SUMIFS(mv_qty,mv_ref,A751,mv_type,"Entrée"))</f>
        <v/>
      </c>
      <c r="L751" s="39" t="str">
        <f>IF(A751="","",SUMIFS(mv_qty,mv_ref,A751,mv_type,"Sortie"))</f>
        <v/>
      </c>
      <c r="M751" s="39" t="str">
        <f>IF(A751="","",ROUND(N(H751)+K751-L751,6))</f>
        <v/>
      </c>
      <c r="N751" s="40" t="str">
        <f>IF(A751="","",M751*N(G751))</f>
        <v/>
      </c>
      <c r="O751" s="39" t="str">
        <f>IF(A751="","",IF(M751&lt;=0,"Rupture",IF(AND(I751&lt;&gt;"",M751&lt;=N(I751)),"À commander","OK")))</f>
        <v/>
      </c>
      <c r="P751" s="39" t="str">
        <f>IF(OR(A751="",O751="OK",J751=""),"",MAX(N(J751)-M751,0))</f>
        <v/>
      </c>
      <c r="Q751" s="39" t="str">
        <f>IF(A751="",IF(COUNTA(B751:J751)&gt;0,"Référence manquante",""),IF(COUNTIF($A$5:$A$1004,A751)&gt;1,"Référence en double",IF(B751="","Désignation manquante","OK")))</f>
        <v/>
      </c>
      <c r="R751" s="39" t="str">
        <f>IF(OR(O751="Rupture",O751="À commander"),COUNTIF($O$5:O751,"Rupture")+COUNTIF($O$5:O751,"À commander"),"")</f>
        <v/>
      </c>
    </row>
    <row r="752">
      <c r="A752" s="37" t="n"/>
      <c r="B752" s="37" t="n"/>
      <c r="C752" s="37" t="n"/>
      <c r="D752" s="37" t="n"/>
      <c r="E752" s="37" t="n"/>
      <c r="F752" s="37" t="n"/>
      <c r="G752" s="38" t="n"/>
      <c r="H752" s="37" t="n"/>
      <c r="I752" s="37" t="n"/>
      <c r="J752" s="37" t="n"/>
      <c r="K752" s="39" t="str">
        <f>IF(A752="","",SUMIFS(mv_qty,mv_ref,A752,mv_type,"Entrée"))</f>
        <v/>
      </c>
      <c r="L752" s="39" t="str">
        <f>IF(A752="","",SUMIFS(mv_qty,mv_ref,A752,mv_type,"Sortie"))</f>
        <v/>
      </c>
      <c r="M752" s="39" t="str">
        <f>IF(A752="","",ROUND(N(H752)+K752-L752,6))</f>
        <v/>
      </c>
      <c r="N752" s="40" t="str">
        <f>IF(A752="","",M752*N(G752))</f>
        <v/>
      </c>
      <c r="O752" s="39" t="str">
        <f>IF(A752="","",IF(M752&lt;=0,"Rupture",IF(AND(I752&lt;&gt;"",M752&lt;=N(I752)),"À commander","OK")))</f>
        <v/>
      </c>
      <c r="P752" s="39" t="str">
        <f>IF(OR(A752="",O752="OK",J752=""),"",MAX(N(J752)-M752,0))</f>
        <v/>
      </c>
      <c r="Q752" s="39" t="str">
        <f>IF(A752="",IF(COUNTA(B752:J752)&gt;0,"Référence manquante",""),IF(COUNTIF($A$5:$A$1004,A752)&gt;1,"Référence en double",IF(B752="","Désignation manquante","OK")))</f>
        <v/>
      </c>
      <c r="R752" s="39" t="str">
        <f>IF(OR(O752="Rupture",O752="À commander"),COUNTIF($O$5:O752,"Rupture")+COUNTIF($O$5:O752,"À commander"),"")</f>
        <v/>
      </c>
    </row>
    <row r="753">
      <c r="A753" s="37" t="n"/>
      <c r="B753" s="37" t="n"/>
      <c r="C753" s="37" t="n"/>
      <c r="D753" s="37" t="n"/>
      <c r="E753" s="37" t="n"/>
      <c r="F753" s="37" t="n"/>
      <c r="G753" s="38" t="n"/>
      <c r="H753" s="37" t="n"/>
      <c r="I753" s="37" t="n"/>
      <c r="J753" s="37" t="n"/>
      <c r="K753" s="39" t="str">
        <f>IF(A753="","",SUMIFS(mv_qty,mv_ref,A753,mv_type,"Entrée"))</f>
        <v/>
      </c>
      <c r="L753" s="39" t="str">
        <f>IF(A753="","",SUMIFS(mv_qty,mv_ref,A753,mv_type,"Sortie"))</f>
        <v/>
      </c>
      <c r="M753" s="39" t="str">
        <f>IF(A753="","",ROUND(N(H753)+K753-L753,6))</f>
        <v/>
      </c>
      <c r="N753" s="40" t="str">
        <f>IF(A753="","",M753*N(G753))</f>
        <v/>
      </c>
      <c r="O753" s="39" t="str">
        <f>IF(A753="","",IF(M753&lt;=0,"Rupture",IF(AND(I753&lt;&gt;"",M753&lt;=N(I753)),"À commander","OK")))</f>
        <v/>
      </c>
      <c r="P753" s="39" t="str">
        <f>IF(OR(A753="",O753="OK",J753=""),"",MAX(N(J753)-M753,0))</f>
        <v/>
      </c>
      <c r="Q753" s="39" t="str">
        <f>IF(A753="",IF(COUNTA(B753:J753)&gt;0,"Référence manquante",""),IF(COUNTIF($A$5:$A$1004,A753)&gt;1,"Référence en double",IF(B753="","Désignation manquante","OK")))</f>
        <v/>
      </c>
      <c r="R753" s="39" t="str">
        <f>IF(OR(O753="Rupture",O753="À commander"),COUNTIF($O$5:O753,"Rupture")+COUNTIF($O$5:O753,"À commander"),"")</f>
        <v/>
      </c>
    </row>
    <row r="754">
      <c r="A754" s="37" t="n"/>
      <c r="B754" s="37" t="n"/>
      <c r="C754" s="37" t="n"/>
      <c r="D754" s="37" t="n"/>
      <c r="E754" s="37" t="n"/>
      <c r="F754" s="37" t="n"/>
      <c r="G754" s="38" t="n"/>
      <c r="H754" s="37" t="n"/>
      <c r="I754" s="37" t="n"/>
      <c r="J754" s="37" t="n"/>
      <c r="K754" s="39" t="str">
        <f>IF(A754="","",SUMIFS(mv_qty,mv_ref,A754,mv_type,"Entrée"))</f>
        <v/>
      </c>
      <c r="L754" s="39" t="str">
        <f>IF(A754="","",SUMIFS(mv_qty,mv_ref,A754,mv_type,"Sortie"))</f>
        <v/>
      </c>
      <c r="M754" s="39" t="str">
        <f>IF(A754="","",ROUND(N(H754)+K754-L754,6))</f>
        <v/>
      </c>
      <c r="N754" s="40" t="str">
        <f>IF(A754="","",M754*N(G754))</f>
        <v/>
      </c>
      <c r="O754" s="39" t="str">
        <f>IF(A754="","",IF(M754&lt;=0,"Rupture",IF(AND(I754&lt;&gt;"",M754&lt;=N(I754)),"À commander","OK")))</f>
        <v/>
      </c>
      <c r="P754" s="39" t="str">
        <f>IF(OR(A754="",O754="OK",J754=""),"",MAX(N(J754)-M754,0))</f>
        <v/>
      </c>
      <c r="Q754" s="39" t="str">
        <f>IF(A754="",IF(COUNTA(B754:J754)&gt;0,"Référence manquante",""),IF(COUNTIF($A$5:$A$1004,A754)&gt;1,"Référence en double",IF(B754="","Désignation manquante","OK")))</f>
        <v/>
      </c>
      <c r="R754" s="39" t="str">
        <f>IF(OR(O754="Rupture",O754="À commander"),COUNTIF($O$5:O754,"Rupture")+COUNTIF($O$5:O754,"À commander"),"")</f>
        <v/>
      </c>
    </row>
    <row r="755">
      <c r="A755" s="37" t="n"/>
      <c r="B755" s="37" t="n"/>
      <c r="C755" s="37" t="n"/>
      <c r="D755" s="37" t="n"/>
      <c r="E755" s="37" t="n"/>
      <c r="F755" s="37" t="n"/>
      <c r="G755" s="38" t="n"/>
      <c r="H755" s="37" t="n"/>
      <c r="I755" s="37" t="n"/>
      <c r="J755" s="37" t="n"/>
      <c r="K755" s="39" t="str">
        <f>IF(A755="","",SUMIFS(mv_qty,mv_ref,A755,mv_type,"Entrée"))</f>
        <v/>
      </c>
      <c r="L755" s="39" t="str">
        <f>IF(A755="","",SUMIFS(mv_qty,mv_ref,A755,mv_type,"Sortie"))</f>
        <v/>
      </c>
      <c r="M755" s="39" t="str">
        <f>IF(A755="","",ROUND(N(H755)+K755-L755,6))</f>
        <v/>
      </c>
      <c r="N755" s="40" t="str">
        <f>IF(A755="","",M755*N(G755))</f>
        <v/>
      </c>
      <c r="O755" s="39" t="str">
        <f>IF(A755="","",IF(M755&lt;=0,"Rupture",IF(AND(I755&lt;&gt;"",M755&lt;=N(I755)),"À commander","OK")))</f>
        <v/>
      </c>
      <c r="P755" s="39" t="str">
        <f>IF(OR(A755="",O755="OK",J755=""),"",MAX(N(J755)-M755,0))</f>
        <v/>
      </c>
      <c r="Q755" s="39" t="str">
        <f>IF(A755="",IF(COUNTA(B755:J755)&gt;0,"Référence manquante",""),IF(COUNTIF($A$5:$A$1004,A755)&gt;1,"Référence en double",IF(B755="","Désignation manquante","OK")))</f>
        <v/>
      </c>
      <c r="R755" s="39" t="str">
        <f>IF(OR(O755="Rupture",O755="À commander"),COUNTIF($O$5:O755,"Rupture")+COUNTIF($O$5:O755,"À commander"),"")</f>
        <v/>
      </c>
    </row>
    <row r="756">
      <c r="A756" s="37" t="n"/>
      <c r="B756" s="37" t="n"/>
      <c r="C756" s="37" t="n"/>
      <c r="D756" s="37" t="n"/>
      <c r="E756" s="37" t="n"/>
      <c r="F756" s="37" t="n"/>
      <c r="G756" s="38" t="n"/>
      <c r="H756" s="37" t="n"/>
      <c r="I756" s="37" t="n"/>
      <c r="J756" s="37" t="n"/>
      <c r="K756" s="39" t="str">
        <f>IF(A756="","",SUMIFS(mv_qty,mv_ref,A756,mv_type,"Entrée"))</f>
        <v/>
      </c>
      <c r="L756" s="39" t="str">
        <f>IF(A756="","",SUMIFS(mv_qty,mv_ref,A756,mv_type,"Sortie"))</f>
        <v/>
      </c>
      <c r="M756" s="39" t="str">
        <f>IF(A756="","",ROUND(N(H756)+K756-L756,6))</f>
        <v/>
      </c>
      <c r="N756" s="40" t="str">
        <f>IF(A756="","",M756*N(G756))</f>
        <v/>
      </c>
      <c r="O756" s="39" t="str">
        <f>IF(A756="","",IF(M756&lt;=0,"Rupture",IF(AND(I756&lt;&gt;"",M756&lt;=N(I756)),"À commander","OK")))</f>
        <v/>
      </c>
      <c r="P756" s="39" t="str">
        <f>IF(OR(A756="",O756="OK",J756=""),"",MAX(N(J756)-M756,0))</f>
        <v/>
      </c>
      <c r="Q756" s="39" t="str">
        <f>IF(A756="",IF(COUNTA(B756:J756)&gt;0,"Référence manquante",""),IF(COUNTIF($A$5:$A$1004,A756)&gt;1,"Référence en double",IF(B756="","Désignation manquante","OK")))</f>
        <v/>
      </c>
      <c r="R756" s="39" t="str">
        <f>IF(OR(O756="Rupture",O756="À commander"),COUNTIF($O$5:O756,"Rupture")+COUNTIF($O$5:O756,"À commander"),"")</f>
        <v/>
      </c>
    </row>
    <row r="757">
      <c r="A757" s="37" t="n"/>
      <c r="B757" s="37" t="n"/>
      <c r="C757" s="37" t="n"/>
      <c r="D757" s="37" t="n"/>
      <c r="E757" s="37" t="n"/>
      <c r="F757" s="37" t="n"/>
      <c r="G757" s="38" t="n"/>
      <c r="H757" s="37" t="n"/>
      <c r="I757" s="37" t="n"/>
      <c r="J757" s="37" t="n"/>
      <c r="K757" s="39" t="str">
        <f>IF(A757="","",SUMIFS(mv_qty,mv_ref,A757,mv_type,"Entrée"))</f>
        <v/>
      </c>
      <c r="L757" s="39" t="str">
        <f>IF(A757="","",SUMIFS(mv_qty,mv_ref,A757,mv_type,"Sortie"))</f>
        <v/>
      </c>
      <c r="M757" s="39" t="str">
        <f>IF(A757="","",ROUND(N(H757)+K757-L757,6))</f>
        <v/>
      </c>
      <c r="N757" s="40" t="str">
        <f>IF(A757="","",M757*N(G757))</f>
        <v/>
      </c>
      <c r="O757" s="39" t="str">
        <f>IF(A757="","",IF(M757&lt;=0,"Rupture",IF(AND(I757&lt;&gt;"",M757&lt;=N(I757)),"À commander","OK")))</f>
        <v/>
      </c>
      <c r="P757" s="39" t="str">
        <f>IF(OR(A757="",O757="OK",J757=""),"",MAX(N(J757)-M757,0))</f>
        <v/>
      </c>
      <c r="Q757" s="39" t="str">
        <f>IF(A757="",IF(COUNTA(B757:J757)&gt;0,"Référence manquante",""),IF(COUNTIF($A$5:$A$1004,A757)&gt;1,"Référence en double",IF(B757="","Désignation manquante","OK")))</f>
        <v/>
      </c>
      <c r="R757" s="39" t="str">
        <f>IF(OR(O757="Rupture",O757="À commander"),COUNTIF($O$5:O757,"Rupture")+COUNTIF($O$5:O757,"À commander"),"")</f>
        <v/>
      </c>
    </row>
    <row r="758">
      <c r="A758" s="37" t="n"/>
      <c r="B758" s="37" t="n"/>
      <c r="C758" s="37" t="n"/>
      <c r="D758" s="37" t="n"/>
      <c r="E758" s="37" t="n"/>
      <c r="F758" s="37" t="n"/>
      <c r="G758" s="38" t="n"/>
      <c r="H758" s="37" t="n"/>
      <c r="I758" s="37" t="n"/>
      <c r="J758" s="37" t="n"/>
      <c r="K758" s="39" t="str">
        <f>IF(A758="","",SUMIFS(mv_qty,mv_ref,A758,mv_type,"Entrée"))</f>
        <v/>
      </c>
      <c r="L758" s="39" t="str">
        <f>IF(A758="","",SUMIFS(mv_qty,mv_ref,A758,mv_type,"Sortie"))</f>
        <v/>
      </c>
      <c r="M758" s="39" t="str">
        <f>IF(A758="","",ROUND(N(H758)+K758-L758,6))</f>
        <v/>
      </c>
      <c r="N758" s="40" t="str">
        <f>IF(A758="","",M758*N(G758))</f>
        <v/>
      </c>
      <c r="O758" s="39" t="str">
        <f>IF(A758="","",IF(M758&lt;=0,"Rupture",IF(AND(I758&lt;&gt;"",M758&lt;=N(I758)),"À commander","OK")))</f>
        <v/>
      </c>
      <c r="P758" s="39" t="str">
        <f>IF(OR(A758="",O758="OK",J758=""),"",MAX(N(J758)-M758,0))</f>
        <v/>
      </c>
      <c r="Q758" s="39" t="str">
        <f>IF(A758="",IF(COUNTA(B758:J758)&gt;0,"Référence manquante",""),IF(COUNTIF($A$5:$A$1004,A758)&gt;1,"Référence en double",IF(B758="","Désignation manquante","OK")))</f>
        <v/>
      </c>
      <c r="R758" s="39" t="str">
        <f>IF(OR(O758="Rupture",O758="À commander"),COUNTIF($O$5:O758,"Rupture")+COUNTIF($O$5:O758,"À commander"),"")</f>
        <v/>
      </c>
    </row>
    <row r="759">
      <c r="A759" s="37" t="n"/>
      <c r="B759" s="37" t="n"/>
      <c r="C759" s="37" t="n"/>
      <c r="D759" s="37" t="n"/>
      <c r="E759" s="37" t="n"/>
      <c r="F759" s="37" t="n"/>
      <c r="G759" s="38" t="n"/>
      <c r="H759" s="37" t="n"/>
      <c r="I759" s="37" t="n"/>
      <c r="J759" s="37" t="n"/>
      <c r="K759" s="39" t="str">
        <f>IF(A759="","",SUMIFS(mv_qty,mv_ref,A759,mv_type,"Entrée"))</f>
        <v/>
      </c>
      <c r="L759" s="39" t="str">
        <f>IF(A759="","",SUMIFS(mv_qty,mv_ref,A759,mv_type,"Sortie"))</f>
        <v/>
      </c>
      <c r="M759" s="39" t="str">
        <f>IF(A759="","",ROUND(N(H759)+K759-L759,6))</f>
        <v/>
      </c>
      <c r="N759" s="40" t="str">
        <f>IF(A759="","",M759*N(G759))</f>
        <v/>
      </c>
      <c r="O759" s="39" t="str">
        <f>IF(A759="","",IF(M759&lt;=0,"Rupture",IF(AND(I759&lt;&gt;"",M759&lt;=N(I759)),"À commander","OK")))</f>
        <v/>
      </c>
      <c r="P759" s="39" t="str">
        <f>IF(OR(A759="",O759="OK",J759=""),"",MAX(N(J759)-M759,0))</f>
        <v/>
      </c>
      <c r="Q759" s="39" t="str">
        <f>IF(A759="",IF(COUNTA(B759:J759)&gt;0,"Référence manquante",""),IF(COUNTIF($A$5:$A$1004,A759)&gt;1,"Référence en double",IF(B759="","Désignation manquante","OK")))</f>
        <v/>
      </c>
      <c r="R759" s="39" t="str">
        <f>IF(OR(O759="Rupture",O759="À commander"),COUNTIF($O$5:O759,"Rupture")+COUNTIF($O$5:O759,"À commander"),"")</f>
        <v/>
      </c>
    </row>
    <row r="760">
      <c r="A760" s="37" t="n"/>
      <c r="B760" s="37" t="n"/>
      <c r="C760" s="37" t="n"/>
      <c r="D760" s="37" t="n"/>
      <c r="E760" s="37" t="n"/>
      <c r="F760" s="37" t="n"/>
      <c r="G760" s="38" t="n"/>
      <c r="H760" s="37" t="n"/>
      <c r="I760" s="37" t="n"/>
      <c r="J760" s="37" t="n"/>
      <c r="K760" s="39" t="str">
        <f>IF(A760="","",SUMIFS(mv_qty,mv_ref,A760,mv_type,"Entrée"))</f>
        <v/>
      </c>
      <c r="L760" s="39" t="str">
        <f>IF(A760="","",SUMIFS(mv_qty,mv_ref,A760,mv_type,"Sortie"))</f>
        <v/>
      </c>
      <c r="M760" s="39" t="str">
        <f>IF(A760="","",ROUND(N(H760)+K760-L760,6))</f>
        <v/>
      </c>
      <c r="N760" s="40" t="str">
        <f>IF(A760="","",M760*N(G760))</f>
        <v/>
      </c>
      <c r="O760" s="39" t="str">
        <f>IF(A760="","",IF(M760&lt;=0,"Rupture",IF(AND(I760&lt;&gt;"",M760&lt;=N(I760)),"À commander","OK")))</f>
        <v/>
      </c>
      <c r="P760" s="39" t="str">
        <f>IF(OR(A760="",O760="OK",J760=""),"",MAX(N(J760)-M760,0))</f>
        <v/>
      </c>
      <c r="Q760" s="39" t="str">
        <f>IF(A760="",IF(COUNTA(B760:J760)&gt;0,"Référence manquante",""),IF(COUNTIF($A$5:$A$1004,A760)&gt;1,"Référence en double",IF(B760="","Désignation manquante","OK")))</f>
        <v/>
      </c>
      <c r="R760" s="39" t="str">
        <f>IF(OR(O760="Rupture",O760="À commander"),COUNTIF($O$5:O760,"Rupture")+COUNTIF($O$5:O760,"À commander"),"")</f>
        <v/>
      </c>
    </row>
    <row r="761">
      <c r="A761" s="37" t="n"/>
      <c r="B761" s="37" t="n"/>
      <c r="C761" s="37" t="n"/>
      <c r="D761" s="37" t="n"/>
      <c r="E761" s="37" t="n"/>
      <c r="F761" s="37" t="n"/>
      <c r="G761" s="38" t="n"/>
      <c r="H761" s="37" t="n"/>
      <c r="I761" s="37" t="n"/>
      <c r="J761" s="37" t="n"/>
      <c r="K761" s="39" t="str">
        <f>IF(A761="","",SUMIFS(mv_qty,mv_ref,A761,mv_type,"Entrée"))</f>
        <v/>
      </c>
      <c r="L761" s="39" t="str">
        <f>IF(A761="","",SUMIFS(mv_qty,mv_ref,A761,mv_type,"Sortie"))</f>
        <v/>
      </c>
      <c r="M761" s="39" t="str">
        <f>IF(A761="","",ROUND(N(H761)+K761-L761,6))</f>
        <v/>
      </c>
      <c r="N761" s="40" t="str">
        <f>IF(A761="","",M761*N(G761))</f>
        <v/>
      </c>
      <c r="O761" s="39" t="str">
        <f>IF(A761="","",IF(M761&lt;=0,"Rupture",IF(AND(I761&lt;&gt;"",M761&lt;=N(I761)),"À commander","OK")))</f>
        <v/>
      </c>
      <c r="P761" s="39" t="str">
        <f>IF(OR(A761="",O761="OK",J761=""),"",MAX(N(J761)-M761,0))</f>
        <v/>
      </c>
      <c r="Q761" s="39" t="str">
        <f>IF(A761="",IF(COUNTA(B761:J761)&gt;0,"Référence manquante",""),IF(COUNTIF($A$5:$A$1004,A761)&gt;1,"Référence en double",IF(B761="","Désignation manquante","OK")))</f>
        <v/>
      </c>
      <c r="R761" s="39" t="str">
        <f>IF(OR(O761="Rupture",O761="À commander"),COUNTIF($O$5:O761,"Rupture")+COUNTIF($O$5:O761,"À commander"),"")</f>
        <v/>
      </c>
    </row>
    <row r="762">
      <c r="A762" s="37" t="n"/>
      <c r="B762" s="37" t="n"/>
      <c r="C762" s="37" t="n"/>
      <c r="D762" s="37" t="n"/>
      <c r="E762" s="37" t="n"/>
      <c r="F762" s="37" t="n"/>
      <c r="G762" s="38" t="n"/>
      <c r="H762" s="37" t="n"/>
      <c r="I762" s="37" t="n"/>
      <c r="J762" s="37" t="n"/>
      <c r="K762" s="39" t="str">
        <f>IF(A762="","",SUMIFS(mv_qty,mv_ref,A762,mv_type,"Entrée"))</f>
        <v/>
      </c>
      <c r="L762" s="39" t="str">
        <f>IF(A762="","",SUMIFS(mv_qty,mv_ref,A762,mv_type,"Sortie"))</f>
        <v/>
      </c>
      <c r="M762" s="39" t="str">
        <f>IF(A762="","",ROUND(N(H762)+K762-L762,6))</f>
        <v/>
      </c>
      <c r="N762" s="40" t="str">
        <f>IF(A762="","",M762*N(G762))</f>
        <v/>
      </c>
      <c r="O762" s="39" t="str">
        <f>IF(A762="","",IF(M762&lt;=0,"Rupture",IF(AND(I762&lt;&gt;"",M762&lt;=N(I762)),"À commander","OK")))</f>
        <v/>
      </c>
      <c r="P762" s="39" t="str">
        <f>IF(OR(A762="",O762="OK",J762=""),"",MAX(N(J762)-M762,0))</f>
        <v/>
      </c>
      <c r="Q762" s="39" t="str">
        <f>IF(A762="",IF(COUNTA(B762:J762)&gt;0,"Référence manquante",""),IF(COUNTIF($A$5:$A$1004,A762)&gt;1,"Référence en double",IF(B762="","Désignation manquante","OK")))</f>
        <v/>
      </c>
      <c r="R762" s="39" t="str">
        <f>IF(OR(O762="Rupture",O762="À commander"),COUNTIF($O$5:O762,"Rupture")+COUNTIF($O$5:O762,"À commander"),"")</f>
        <v/>
      </c>
    </row>
    <row r="763">
      <c r="A763" s="37" t="n"/>
      <c r="B763" s="37" t="n"/>
      <c r="C763" s="37" t="n"/>
      <c r="D763" s="37" t="n"/>
      <c r="E763" s="37" t="n"/>
      <c r="F763" s="37" t="n"/>
      <c r="G763" s="38" t="n"/>
      <c r="H763" s="37" t="n"/>
      <c r="I763" s="37" t="n"/>
      <c r="J763" s="37" t="n"/>
      <c r="K763" s="39" t="str">
        <f>IF(A763="","",SUMIFS(mv_qty,mv_ref,A763,mv_type,"Entrée"))</f>
        <v/>
      </c>
      <c r="L763" s="39" t="str">
        <f>IF(A763="","",SUMIFS(mv_qty,mv_ref,A763,mv_type,"Sortie"))</f>
        <v/>
      </c>
      <c r="M763" s="39" t="str">
        <f>IF(A763="","",ROUND(N(H763)+K763-L763,6))</f>
        <v/>
      </c>
      <c r="N763" s="40" t="str">
        <f>IF(A763="","",M763*N(G763))</f>
        <v/>
      </c>
      <c r="O763" s="39" t="str">
        <f>IF(A763="","",IF(M763&lt;=0,"Rupture",IF(AND(I763&lt;&gt;"",M763&lt;=N(I763)),"À commander","OK")))</f>
        <v/>
      </c>
      <c r="P763" s="39" t="str">
        <f>IF(OR(A763="",O763="OK",J763=""),"",MAX(N(J763)-M763,0))</f>
        <v/>
      </c>
      <c r="Q763" s="39" t="str">
        <f>IF(A763="",IF(COUNTA(B763:J763)&gt;0,"Référence manquante",""),IF(COUNTIF($A$5:$A$1004,A763)&gt;1,"Référence en double",IF(B763="","Désignation manquante","OK")))</f>
        <v/>
      </c>
      <c r="R763" s="39" t="str">
        <f>IF(OR(O763="Rupture",O763="À commander"),COUNTIF($O$5:O763,"Rupture")+COUNTIF($O$5:O763,"À commander"),"")</f>
        <v/>
      </c>
    </row>
    <row r="764">
      <c r="A764" s="37" t="n"/>
      <c r="B764" s="37" t="n"/>
      <c r="C764" s="37" t="n"/>
      <c r="D764" s="37" t="n"/>
      <c r="E764" s="37" t="n"/>
      <c r="F764" s="37" t="n"/>
      <c r="G764" s="38" t="n"/>
      <c r="H764" s="37" t="n"/>
      <c r="I764" s="37" t="n"/>
      <c r="J764" s="37" t="n"/>
      <c r="K764" s="39" t="str">
        <f>IF(A764="","",SUMIFS(mv_qty,mv_ref,A764,mv_type,"Entrée"))</f>
        <v/>
      </c>
      <c r="L764" s="39" t="str">
        <f>IF(A764="","",SUMIFS(mv_qty,mv_ref,A764,mv_type,"Sortie"))</f>
        <v/>
      </c>
      <c r="M764" s="39" t="str">
        <f>IF(A764="","",ROUND(N(H764)+K764-L764,6))</f>
        <v/>
      </c>
      <c r="N764" s="40" t="str">
        <f>IF(A764="","",M764*N(G764))</f>
        <v/>
      </c>
      <c r="O764" s="39" t="str">
        <f>IF(A764="","",IF(M764&lt;=0,"Rupture",IF(AND(I764&lt;&gt;"",M764&lt;=N(I764)),"À commander","OK")))</f>
        <v/>
      </c>
      <c r="P764" s="39" t="str">
        <f>IF(OR(A764="",O764="OK",J764=""),"",MAX(N(J764)-M764,0))</f>
        <v/>
      </c>
      <c r="Q764" s="39" t="str">
        <f>IF(A764="",IF(COUNTA(B764:J764)&gt;0,"Référence manquante",""),IF(COUNTIF($A$5:$A$1004,A764)&gt;1,"Référence en double",IF(B764="","Désignation manquante","OK")))</f>
        <v/>
      </c>
      <c r="R764" s="39" t="str">
        <f>IF(OR(O764="Rupture",O764="À commander"),COUNTIF($O$5:O764,"Rupture")+COUNTIF($O$5:O764,"À commander"),"")</f>
        <v/>
      </c>
    </row>
    <row r="765">
      <c r="A765" s="37" t="n"/>
      <c r="B765" s="37" t="n"/>
      <c r="C765" s="37" t="n"/>
      <c r="D765" s="37" t="n"/>
      <c r="E765" s="37" t="n"/>
      <c r="F765" s="37" t="n"/>
      <c r="G765" s="38" t="n"/>
      <c r="H765" s="37" t="n"/>
      <c r="I765" s="37" t="n"/>
      <c r="J765" s="37" t="n"/>
      <c r="K765" s="39" t="str">
        <f>IF(A765="","",SUMIFS(mv_qty,mv_ref,A765,mv_type,"Entrée"))</f>
        <v/>
      </c>
      <c r="L765" s="39" t="str">
        <f>IF(A765="","",SUMIFS(mv_qty,mv_ref,A765,mv_type,"Sortie"))</f>
        <v/>
      </c>
      <c r="M765" s="39" t="str">
        <f>IF(A765="","",ROUND(N(H765)+K765-L765,6))</f>
        <v/>
      </c>
      <c r="N765" s="40" t="str">
        <f>IF(A765="","",M765*N(G765))</f>
        <v/>
      </c>
      <c r="O765" s="39" t="str">
        <f>IF(A765="","",IF(M765&lt;=0,"Rupture",IF(AND(I765&lt;&gt;"",M765&lt;=N(I765)),"À commander","OK")))</f>
        <v/>
      </c>
      <c r="P765" s="39" t="str">
        <f>IF(OR(A765="",O765="OK",J765=""),"",MAX(N(J765)-M765,0))</f>
        <v/>
      </c>
      <c r="Q765" s="39" t="str">
        <f>IF(A765="",IF(COUNTA(B765:J765)&gt;0,"Référence manquante",""),IF(COUNTIF($A$5:$A$1004,A765)&gt;1,"Référence en double",IF(B765="","Désignation manquante","OK")))</f>
        <v/>
      </c>
      <c r="R765" s="39" t="str">
        <f>IF(OR(O765="Rupture",O765="À commander"),COUNTIF($O$5:O765,"Rupture")+COUNTIF($O$5:O765,"À commander"),"")</f>
        <v/>
      </c>
    </row>
    <row r="766">
      <c r="A766" s="37" t="n"/>
      <c r="B766" s="37" t="n"/>
      <c r="C766" s="37" t="n"/>
      <c r="D766" s="37" t="n"/>
      <c r="E766" s="37" t="n"/>
      <c r="F766" s="37" t="n"/>
      <c r="G766" s="38" t="n"/>
      <c r="H766" s="37" t="n"/>
      <c r="I766" s="37" t="n"/>
      <c r="J766" s="37" t="n"/>
      <c r="K766" s="39" t="str">
        <f>IF(A766="","",SUMIFS(mv_qty,mv_ref,A766,mv_type,"Entrée"))</f>
        <v/>
      </c>
      <c r="L766" s="39" t="str">
        <f>IF(A766="","",SUMIFS(mv_qty,mv_ref,A766,mv_type,"Sortie"))</f>
        <v/>
      </c>
      <c r="M766" s="39" t="str">
        <f>IF(A766="","",ROUND(N(H766)+K766-L766,6))</f>
        <v/>
      </c>
      <c r="N766" s="40" t="str">
        <f>IF(A766="","",M766*N(G766))</f>
        <v/>
      </c>
      <c r="O766" s="39" t="str">
        <f>IF(A766="","",IF(M766&lt;=0,"Rupture",IF(AND(I766&lt;&gt;"",M766&lt;=N(I766)),"À commander","OK")))</f>
        <v/>
      </c>
      <c r="P766" s="39" t="str">
        <f>IF(OR(A766="",O766="OK",J766=""),"",MAX(N(J766)-M766,0))</f>
        <v/>
      </c>
      <c r="Q766" s="39" t="str">
        <f>IF(A766="",IF(COUNTA(B766:J766)&gt;0,"Référence manquante",""),IF(COUNTIF($A$5:$A$1004,A766)&gt;1,"Référence en double",IF(B766="","Désignation manquante","OK")))</f>
        <v/>
      </c>
      <c r="R766" s="39" t="str">
        <f>IF(OR(O766="Rupture",O766="À commander"),COUNTIF($O$5:O766,"Rupture")+COUNTIF($O$5:O766,"À commander"),"")</f>
        <v/>
      </c>
    </row>
    <row r="767">
      <c r="A767" s="37" t="n"/>
      <c r="B767" s="37" t="n"/>
      <c r="C767" s="37" t="n"/>
      <c r="D767" s="37" t="n"/>
      <c r="E767" s="37" t="n"/>
      <c r="F767" s="37" t="n"/>
      <c r="G767" s="38" t="n"/>
      <c r="H767" s="37" t="n"/>
      <c r="I767" s="37" t="n"/>
      <c r="J767" s="37" t="n"/>
      <c r="K767" s="39" t="str">
        <f>IF(A767="","",SUMIFS(mv_qty,mv_ref,A767,mv_type,"Entrée"))</f>
        <v/>
      </c>
      <c r="L767" s="39" t="str">
        <f>IF(A767="","",SUMIFS(mv_qty,mv_ref,A767,mv_type,"Sortie"))</f>
        <v/>
      </c>
      <c r="M767" s="39" t="str">
        <f>IF(A767="","",ROUND(N(H767)+K767-L767,6))</f>
        <v/>
      </c>
      <c r="N767" s="40" t="str">
        <f>IF(A767="","",M767*N(G767))</f>
        <v/>
      </c>
      <c r="O767" s="39" t="str">
        <f>IF(A767="","",IF(M767&lt;=0,"Rupture",IF(AND(I767&lt;&gt;"",M767&lt;=N(I767)),"À commander","OK")))</f>
        <v/>
      </c>
      <c r="P767" s="39" t="str">
        <f>IF(OR(A767="",O767="OK",J767=""),"",MAX(N(J767)-M767,0))</f>
        <v/>
      </c>
      <c r="Q767" s="39" t="str">
        <f>IF(A767="",IF(COUNTA(B767:J767)&gt;0,"Référence manquante",""),IF(COUNTIF($A$5:$A$1004,A767)&gt;1,"Référence en double",IF(B767="","Désignation manquante","OK")))</f>
        <v/>
      </c>
      <c r="R767" s="39" t="str">
        <f>IF(OR(O767="Rupture",O767="À commander"),COUNTIF($O$5:O767,"Rupture")+COUNTIF($O$5:O767,"À commander"),"")</f>
        <v/>
      </c>
    </row>
    <row r="768">
      <c r="A768" s="37" t="n"/>
      <c r="B768" s="37" t="n"/>
      <c r="C768" s="37" t="n"/>
      <c r="D768" s="37" t="n"/>
      <c r="E768" s="37" t="n"/>
      <c r="F768" s="37" t="n"/>
      <c r="G768" s="38" t="n"/>
      <c r="H768" s="37" t="n"/>
      <c r="I768" s="37" t="n"/>
      <c r="J768" s="37" t="n"/>
      <c r="K768" s="39" t="str">
        <f>IF(A768="","",SUMIFS(mv_qty,mv_ref,A768,mv_type,"Entrée"))</f>
        <v/>
      </c>
      <c r="L768" s="39" t="str">
        <f>IF(A768="","",SUMIFS(mv_qty,mv_ref,A768,mv_type,"Sortie"))</f>
        <v/>
      </c>
      <c r="M768" s="39" t="str">
        <f>IF(A768="","",ROUND(N(H768)+K768-L768,6))</f>
        <v/>
      </c>
      <c r="N768" s="40" t="str">
        <f>IF(A768="","",M768*N(G768))</f>
        <v/>
      </c>
      <c r="O768" s="39" t="str">
        <f>IF(A768="","",IF(M768&lt;=0,"Rupture",IF(AND(I768&lt;&gt;"",M768&lt;=N(I768)),"À commander","OK")))</f>
        <v/>
      </c>
      <c r="P768" s="39" t="str">
        <f>IF(OR(A768="",O768="OK",J768=""),"",MAX(N(J768)-M768,0))</f>
        <v/>
      </c>
      <c r="Q768" s="39" t="str">
        <f>IF(A768="",IF(COUNTA(B768:J768)&gt;0,"Référence manquante",""),IF(COUNTIF($A$5:$A$1004,A768)&gt;1,"Référence en double",IF(B768="","Désignation manquante","OK")))</f>
        <v/>
      </c>
      <c r="R768" s="39" t="str">
        <f>IF(OR(O768="Rupture",O768="À commander"),COUNTIF($O$5:O768,"Rupture")+COUNTIF($O$5:O768,"À commander"),"")</f>
        <v/>
      </c>
    </row>
    <row r="769">
      <c r="A769" s="37" t="n"/>
      <c r="B769" s="37" t="n"/>
      <c r="C769" s="37" t="n"/>
      <c r="D769" s="37" t="n"/>
      <c r="E769" s="37" t="n"/>
      <c r="F769" s="37" t="n"/>
      <c r="G769" s="38" t="n"/>
      <c r="H769" s="37" t="n"/>
      <c r="I769" s="37" t="n"/>
      <c r="J769" s="37" t="n"/>
      <c r="K769" s="39" t="str">
        <f>IF(A769="","",SUMIFS(mv_qty,mv_ref,A769,mv_type,"Entrée"))</f>
        <v/>
      </c>
      <c r="L769" s="39" t="str">
        <f>IF(A769="","",SUMIFS(mv_qty,mv_ref,A769,mv_type,"Sortie"))</f>
        <v/>
      </c>
      <c r="M769" s="39" t="str">
        <f>IF(A769="","",ROUND(N(H769)+K769-L769,6))</f>
        <v/>
      </c>
      <c r="N769" s="40" t="str">
        <f>IF(A769="","",M769*N(G769))</f>
        <v/>
      </c>
      <c r="O769" s="39" t="str">
        <f>IF(A769="","",IF(M769&lt;=0,"Rupture",IF(AND(I769&lt;&gt;"",M769&lt;=N(I769)),"À commander","OK")))</f>
        <v/>
      </c>
      <c r="P769" s="39" t="str">
        <f>IF(OR(A769="",O769="OK",J769=""),"",MAX(N(J769)-M769,0))</f>
        <v/>
      </c>
      <c r="Q769" s="39" t="str">
        <f>IF(A769="",IF(COUNTA(B769:J769)&gt;0,"Référence manquante",""),IF(COUNTIF($A$5:$A$1004,A769)&gt;1,"Référence en double",IF(B769="","Désignation manquante","OK")))</f>
        <v/>
      </c>
      <c r="R769" s="39" t="str">
        <f>IF(OR(O769="Rupture",O769="À commander"),COUNTIF($O$5:O769,"Rupture")+COUNTIF($O$5:O769,"À commander"),"")</f>
        <v/>
      </c>
    </row>
    <row r="770">
      <c r="A770" s="37" t="n"/>
      <c r="B770" s="37" t="n"/>
      <c r="C770" s="37" t="n"/>
      <c r="D770" s="37" t="n"/>
      <c r="E770" s="37" t="n"/>
      <c r="F770" s="37" t="n"/>
      <c r="G770" s="38" t="n"/>
      <c r="H770" s="37" t="n"/>
      <c r="I770" s="37" t="n"/>
      <c r="J770" s="37" t="n"/>
      <c r="K770" s="39" t="str">
        <f>IF(A770="","",SUMIFS(mv_qty,mv_ref,A770,mv_type,"Entrée"))</f>
        <v/>
      </c>
      <c r="L770" s="39" t="str">
        <f>IF(A770="","",SUMIFS(mv_qty,mv_ref,A770,mv_type,"Sortie"))</f>
        <v/>
      </c>
      <c r="M770" s="39" t="str">
        <f>IF(A770="","",ROUND(N(H770)+K770-L770,6))</f>
        <v/>
      </c>
      <c r="N770" s="40" t="str">
        <f>IF(A770="","",M770*N(G770))</f>
        <v/>
      </c>
      <c r="O770" s="39" t="str">
        <f>IF(A770="","",IF(M770&lt;=0,"Rupture",IF(AND(I770&lt;&gt;"",M770&lt;=N(I770)),"À commander","OK")))</f>
        <v/>
      </c>
      <c r="P770" s="39" t="str">
        <f>IF(OR(A770="",O770="OK",J770=""),"",MAX(N(J770)-M770,0))</f>
        <v/>
      </c>
      <c r="Q770" s="39" t="str">
        <f>IF(A770="",IF(COUNTA(B770:J770)&gt;0,"Référence manquante",""),IF(COUNTIF($A$5:$A$1004,A770)&gt;1,"Référence en double",IF(B770="","Désignation manquante","OK")))</f>
        <v/>
      </c>
      <c r="R770" s="39" t="str">
        <f>IF(OR(O770="Rupture",O770="À commander"),COUNTIF($O$5:O770,"Rupture")+COUNTIF($O$5:O770,"À commander"),"")</f>
        <v/>
      </c>
    </row>
    <row r="771">
      <c r="A771" s="37" t="n"/>
      <c r="B771" s="37" t="n"/>
      <c r="C771" s="37" t="n"/>
      <c r="D771" s="37" t="n"/>
      <c r="E771" s="37" t="n"/>
      <c r="F771" s="37" t="n"/>
      <c r="G771" s="38" t="n"/>
      <c r="H771" s="37" t="n"/>
      <c r="I771" s="37" t="n"/>
      <c r="J771" s="37" t="n"/>
      <c r="K771" s="39" t="str">
        <f>IF(A771="","",SUMIFS(mv_qty,mv_ref,A771,mv_type,"Entrée"))</f>
        <v/>
      </c>
      <c r="L771" s="39" t="str">
        <f>IF(A771="","",SUMIFS(mv_qty,mv_ref,A771,mv_type,"Sortie"))</f>
        <v/>
      </c>
      <c r="M771" s="39" t="str">
        <f>IF(A771="","",ROUND(N(H771)+K771-L771,6))</f>
        <v/>
      </c>
      <c r="N771" s="40" t="str">
        <f>IF(A771="","",M771*N(G771))</f>
        <v/>
      </c>
      <c r="O771" s="39" t="str">
        <f>IF(A771="","",IF(M771&lt;=0,"Rupture",IF(AND(I771&lt;&gt;"",M771&lt;=N(I771)),"À commander","OK")))</f>
        <v/>
      </c>
      <c r="P771" s="39" t="str">
        <f>IF(OR(A771="",O771="OK",J771=""),"",MAX(N(J771)-M771,0))</f>
        <v/>
      </c>
      <c r="Q771" s="39" t="str">
        <f>IF(A771="",IF(COUNTA(B771:J771)&gt;0,"Référence manquante",""),IF(COUNTIF($A$5:$A$1004,A771)&gt;1,"Référence en double",IF(B771="","Désignation manquante","OK")))</f>
        <v/>
      </c>
      <c r="R771" s="39" t="str">
        <f>IF(OR(O771="Rupture",O771="À commander"),COUNTIF($O$5:O771,"Rupture")+COUNTIF($O$5:O771,"À commander"),"")</f>
        <v/>
      </c>
    </row>
    <row r="772">
      <c r="A772" s="37" t="n"/>
      <c r="B772" s="37" t="n"/>
      <c r="C772" s="37" t="n"/>
      <c r="D772" s="37" t="n"/>
      <c r="E772" s="37" t="n"/>
      <c r="F772" s="37" t="n"/>
      <c r="G772" s="38" t="n"/>
      <c r="H772" s="37" t="n"/>
      <c r="I772" s="37" t="n"/>
      <c r="J772" s="37" t="n"/>
      <c r="K772" s="39" t="str">
        <f>IF(A772="","",SUMIFS(mv_qty,mv_ref,A772,mv_type,"Entrée"))</f>
        <v/>
      </c>
      <c r="L772" s="39" t="str">
        <f>IF(A772="","",SUMIFS(mv_qty,mv_ref,A772,mv_type,"Sortie"))</f>
        <v/>
      </c>
      <c r="M772" s="39" t="str">
        <f>IF(A772="","",ROUND(N(H772)+K772-L772,6))</f>
        <v/>
      </c>
      <c r="N772" s="40" t="str">
        <f>IF(A772="","",M772*N(G772))</f>
        <v/>
      </c>
      <c r="O772" s="39" t="str">
        <f>IF(A772="","",IF(M772&lt;=0,"Rupture",IF(AND(I772&lt;&gt;"",M772&lt;=N(I772)),"À commander","OK")))</f>
        <v/>
      </c>
      <c r="P772" s="39" t="str">
        <f>IF(OR(A772="",O772="OK",J772=""),"",MAX(N(J772)-M772,0))</f>
        <v/>
      </c>
      <c r="Q772" s="39" t="str">
        <f>IF(A772="",IF(COUNTA(B772:J772)&gt;0,"Référence manquante",""),IF(COUNTIF($A$5:$A$1004,A772)&gt;1,"Référence en double",IF(B772="","Désignation manquante","OK")))</f>
        <v/>
      </c>
      <c r="R772" s="39" t="str">
        <f>IF(OR(O772="Rupture",O772="À commander"),COUNTIF($O$5:O772,"Rupture")+COUNTIF($O$5:O772,"À commander"),"")</f>
        <v/>
      </c>
    </row>
    <row r="773">
      <c r="A773" s="37" t="n"/>
      <c r="B773" s="37" t="n"/>
      <c r="C773" s="37" t="n"/>
      <c r="D773" s="37" t="n"/>
      <c r="E773" s="37" t="n"/>
      <c r="F773" s="37" t="n"/>
      <c r="G773" s="38" t="n"/>
      <c r="H773" s="37" t="n"/>
      <c r="I773" s="37" t="n"/>
      <c r="J773" s="37" t="n"/>
      <c r="K773" s="39" t="str">
        <f>IF(A773="","",SUMIFS(mv_qty,mv_ref,A773,mv_type,"Entrée"))</f>
        <v/>
      </c>
      <c r="L773" s="39" t="str">
        <f>IF(A773="","",SUMIFS(mv_qty,mv_ref,A773,mv_type,"Sortie"))</f>
        <v/>
      </c>
      <c r="M773" s="39" t="str">
        <f>IF(A773="","",ROUND(N(H773)+K773-L773,6))</f>
        <v/>
      </c>
      <c r="N773" s="40" t="str">
        <f>IF(A773="","",M773*N(G773))</f>
        <v/>
      </c>
      <c r="O773" s="39" t="str">
        <f>IF(A773="","",IF(M773&lt;=0,"Rupture",IF(AND(I773&lt;&gt;"",M773&lt;=N(I773)),"À commander","OK")))</f>
        <v/>
      </c>
      <c r="P773" s="39" t="str">
        <f>IF(OR(A773="",O773="OK",J773=""),"",MAX(N(J773)-M773,0))</f>
        <v/>
      </c>
      <c r="Q773" s="39" t="str">
        <f>IF(A773="",IF(COUNTA(B773:J773)&gt;0,"Référence manquante",""),IF(COUNTIF($A$5:$A$1004,A773)&gt;1,"Référence en double",IF(B773="","Désignation manquante","OK")))</f>
        <v/>
      </c>
      <c r="R773" s="39" t="str">
        <f>IF(OR(O773="Rupture",O773="À commander"),COUNTIF($O$5:O773,"Rupture")+COUNTIF($O$5:O773,"À commander"),"")</f>
        <v/>
      </c>
    </row>
    <row r="774">
      <c r="A774" s="37" t="n"/>
      <c r="B774" s="37" t="n"/>
      <c r="C774" s="37" t="n"/>
      <c r="D774" s="37" t="n"/>
      <c r="E774" s="37" t="n"/>
      <c r="F774" s="37" t="n"/>
      <c r="G774" s="38" t="n"/>
      <c r="H774" s="37" t="n"/>
      <c r="I774" s="37" t="n"/>
      <c r="J774" s="37" t="n"/>
      <c r="K774" s="39" t="str">
        <f>IF(A774="","",SUMIFS(mv_qty,mv_ref,A774,mv_type,"Entrée"))</f>
        <v/>
      </c>
      <c r="L774" s="39" t="str">
        <f>IF(A774="","",SUMIFS(mv_qty,mv_ref,A774,mv_type,"Sortie"))</f>
        <v/>
      </c>
      <c r="M774" s="39" t="str">
        <f>IF(A774="","",ROUND(N(H774)+K774-L774,6))</f>
        <v/>
      </c>
      <c r="N774" s="40" t="str">
        <f>IF(A774="","",M774*N(G774))</f>
        <v/>
      </c>
      <c r="O774" s="39" t="str">
        <f>IF(A774="","",IF(M774&lt;=0,"Rupture",IF(AND(I774&lt;&gt;"",M774&lt;=N(I774)),"À commander","OK")))</f>
        <v/>
      </c>
      <c r="P774" s="39" t="str">
        <f>IF(OR(A774="",O774="OK",J774=""),"",MAX(N(J774)-M774,0))</f>
        <v/>
      </c>
      <c r="Q774" s="39" t="str">
        <f>IF(A774="",IF(COUNTA(B774:J774)&gt;0,"Référence manquante",""),IF(COUNTIF($A$5:$A$1004,A774)&gt;1,"Référence en double",IF(B774="","Désignation manquante","OK")))</f>
        <v/>
      </c>
      <c r="R774" s="39" t="str">
        <f>IF(OR(O774="Rupture",O774="À commander"),COUNTIF($O$5:O774,"Rupture")+COUNTIF($O$5:O774,"À commander"),"")</f>
        <v/>
      </c>
    </row>
    <row r="775">
      <c r="A775" s="37" t="n"/>
      <c r="B775" s="37" t="n"/>
      <c r="C775" s="37" t="n"/>
      <c r="D775" s="37" t="n"/>
      <c r="E775" s="37" t="n"/>
      <c r="F775" s="37" t="n"/>
      <c r="G775" s="38" t="n"/>
      <c r="H775" s="37" t="n"/>
      <c r="I775" s="37" t="n"/>
      <c r="J775" s="37" t="n"/>
      <c r="K775" s="39" t="str">
        <f>IF(A775="","",SUMIFS(mv_qty,mv_ref,A775,mv_type,"Entrée"))</f>
        <v/>
      </c>
      <c r="L775" s="39" t="str">
        <f>IF(A775="","",SUMIFS(mv_qty,mv_ref,A775,mv_type,"Sortie"))</f>
        <v/>
      </c>
      <c r="M775" s="39" t="str">
        <f>IF(A775="","",ROUND(N(H775)+K775-L775,6))</f>
        <v/>
      </c>
      <c r="N775" s="40" t="str">
        <f>IF(A775="","",M775*N(G775))</f>
        <v/>
      </c>
      <c r="O775" s="39" t="str">
        <f>IF(A775="","",IF(M775&lt;=0,"Rupture",IF(AND(I775&lt;&gt;"",M775&lt;=N(I775)),"À commander","OK")))</f>
        <v/>
      </c>
      <c r="P775" s="39" t="str">
        <f>IF(OR(A775="",O775="OK",J775=""),"",MAX(N(J775)-M775,0))</f>
        <v/>
      </c>
      <c r="Q775" s="39" t="str">
        <f>IF(A775="",IF(COUNTA(B775:J775)&gt;0,"Référence manquante",""),IF(COUNTIF($A$5:$A$1004,A775)&gt;1,"Référence en double",IF(B775="","Désignation manquante","OK")))</f>
        <v/>
      </c>
      <c r="R775" s="39" t="str">
        <f>IF(OR(O775="Rupture",O775="À commander"),COUNTIF($O$5:O775,"Rupture")+COUNTIF($O$5:O775,"À commander"),"")</f>
        <v/>
      </c>
    </row>
    <row r="776">
      <c r="A776" s="37" t="n"/>
      <c r="B776" s="37" t="n"/>
      <c r="C776" s="37" t="n"/>
      <c r="D776" s="37" t="n"/>
      <c r="E776" s="37" t="n"/>
      <c r="F776" s="37" t="n"/>
      <c r="G776" s="38" t="n"/>
      <c r="H776" s="37" t="n"/>
      <c r="I776" s="37" t="n"/>
      <c r="J776" s="37" t="n"/>
      <c r="K776" s="39" t="str">
        <f>IF(A776="","",SUMIFS(mv_qty,mv_ref,A776,mv_type,"Entrée"))</f>
        <v/>
      </c>
      <c r="L776" s="39" t="str">
        <f>IF(A776="","",SUMIFS(mv_qty,mv_ref,A776,mv_type,"Sortie"))</f>
        <v/>
      </c>
      <c r="M776" s="39" t="str">
        <f>IF(A776="","",ROUND(N(H776)+K776-L776,6))</f>
        <v/>
      </c>
      <c r="N776" s="40" t="str">
        <f>IF(A776="","",M776*N(G776))</f>
        <v/>
      </c>
      <c r="O776" s="39" t="str">
        <f>IF(A776="","",IF(M776&lt;=0,"Rupture",IF(AND(I776&lt;&gt;"",M776&lt;=N(I776)),"À commander","OK")))</f>
        <v/>
      </c>
      <c r="P776" s="39" t="str">
        <f>IF(OR(A776="",O776="OK",J776=""),"",MAX(N(J776)-M776,0))</f>
        <v/>
      </c>
      <c r="Q776" s="39" t="str">
        <f>IF(A776="",IF(COUNTA(B776:J776)&gt;0,"Référence manquante",""),IF(COUNTIF($A$5:$A$1004,A776)&gt;1,"Référence en double",IF(B776="","Désignation manquante","OK")))</f>
        <v/>
      </c>
      <c r="R776" s="39" t="str">
        <f>IF(OR(O776="Rupture",O776="À commander"),COUNTIF($O$5:O776,"Rupture")+COUNTIF($O$5:O776,"À commander"),"")</f>
        <v/>
      </c>
    </row>
    <row r="777">
      <c r="A777" s="37" t="n"/>
      <c r="B777" s="37" t="n"/>
      <c r="C777" s="37" t="n"/>
      <c r="D777" s="37" t="n"/>
      <c r="E777" s="37" t="n"/>
      <c r="F777" s="37" t="n"/>
      <c r="G777" s="38" t="n"/>
      <c r="H777" s="37" t="n"/>
      <c r="I777" s="37" t="n"/>
      <c r="J777" s="37" t="n"/>
      <c r="K777" s="39" t="str">
        <f>IF(A777="","",SUMIFS(mv_qty,mv_ref,A777,mv_type,"Entrée"))</f>
        <v/>
      </c>
      <c r="L777" s="39" t="str">
        <f>IF(A777="","",SUMIFS(mv_qty,mv_ref,A777,mv_type,"Sortie"))</f>
        <v/>
      </c>
      <c r="M777" s="39" t="str">
        <f>IF(A777="","",ROUND(N(H777)+K777-L777,6))</f>
        <v/>
      </c>
      <c r="N777" s="40" t="str">
        <f>IF(A777="","",M777*N(G777))</f>
        <v/>
      </c>
      <c r="O777" s="39" t="str">
        <f>IF(A777="","",IF(M777&lt;=0,"Rupture",IF(AND(I777&lt;&gt;"",M777&lt;=N(I777)),"À commander","OK")))</f>
        <v/>
      </c>
      <c r="P777" s="39" t="str">
        <f>IF(OR(A777="",O777="OK",J777=""),"",MAX(N(J777)-M777,0))</f>
        <v/>
      </c>
      <c r="Q777" s="39" t="str">
        <f>IF(A777="",IF(COUNTA(B777:J777)&gt;0,"Référence manquante",""),IF(COUNTIF($A$5:$A$1004,A777)&gt;1,"Référence en double",IF(B777="","Désignation manquante","OK")))</f>
        <v/>
      </c>
      <c r="R777" s="39" t="str">
        <f>IF(OR(O777="Rupture",O777="À commander"),COUNTIF($O$5:O777,"Rupture")+COUNTIF($O$5:O777,"À commander"),"")</f>
        <v/>
      </c>
    </row>
    <row r="778">
      <c r="A778" s="37" t="n"/>
      <c r="B778" s="37" t="n"/>
      <c r="C778" s="37" t="n"/>
      <c r="D778" s="37" t="n"/>
      <c r="E778" s="37" t="n"/>
      <c r="F778" s="37" t="n"/>
      <c r="G778" s="38" t="n"/>
      <c r="H778" s="37" t="n"/>
      <c r="I778" s="37" t="n"/>
      <c r="J778" s="37" t="n"/>
      <c r="K778" s="39" t="str">
        <f>IF(A778="","",SUMIFS(mv_qty,mv_ref,A778,mv_type,"Entrée"))</f>
        <v/>
      </c>
      <c r="L778" s="39" t="str">
        <f>IF(A778="","",SUMIFS(mv_qty,mv_ref,A778,mv_type,"Sortie"))</f>
        <v/>
      </c>
      <c r="M778" s="39" t="str">
        <f>IF(A778="","",ROUND(N(H778)+K778-L778,6))</f>
        <v/>
      </c>
      <c r="N778" s="40" t="str">
        <f>IF(A778="","",M778*N(G778))</f>
        <v/>
      </c>
      <c r="O778" s="39" t="str">
        <f>IF(A778="","",IF(M778&lt;=0,"Rupture",IF(AND(I778&lt;&gt;"",M778&lt;=N(I778)),"À commander","OK")))</f>
        <v/>
      </c>
      <c r="P778" s="39" t="str">
        <f>IF(OR(A778="",O778="OK",J778=""),"",MAX(N(J778)-M778,0))</f>
        <v/>
      </c>
      <c r="Q778" s="39" t="str">
        <f>IF(A778="",IF(COUNTA(B778:J778)&gt;0,"Référence manquante",""),IF(COUNTIF($A$5:$A$1004,A778)&gt;1,"Référence en double",IF(B778="","Désignation manquante","OK")))</f>
        <v/>
      </c>
      <c r="R778" s="39" t="str">
        <f>IF(OR(O778="Rupture",O778="À commander"),COUNTIF($O$5:O778,"Rupture")+COUNTIF($O$5:O778,"À commander"),"")</f>
        <v/>
      </c>
    </row>
    <row r="779">
      <c r="A779" s="37" t="n"/>
      <c r="B779" s="37" t="n"/>
      <c r="C779" s="37" t="n"/>
      <c r="D779" s="37" t="n"/>
      <c r="E779" s="37" t="n"/>
      <c r="F779" s="37" t="n"/>
      <c r="G779" s="38" t="n"/>
      <c r="H779" s="37" t="n"/>
      <c r="I779" s="37" t="n"/>
      <c r="J779" s="37" t="n"/>
      <c r="K779" s="39" t="str">
        <f>IF(A779="","",SUMIFS(mv_qty,mv_ref,A779,mv_type,"Entrée"))</f>
        <v/>
      </c>
      <c r="L779" s="39" t="str">
        <f>IF(A779="","",SUMIFS(mv_qty,mv_ref,A779,mv_type,"Sortie"))</f>
        <v/>
      </c>
      <c r="M779" s="39" t="str">
        <f>IF(A779="","",ROUND(N(H779)+K779-L779,6))</f>
        <v/>
      </c>
      <c r="N779" s="40" t="str">
        <f>IF(A779="","",M779*N(G779))</f>
        <v/>
      </c>
      <c r="O779" s="39" t="str">
        <f>IF(A779="","",IF(M779&lt;=0,"Rupture",IF(AND(I779&lt;&gt;"",M779&lt;=N(I779)),"À commander","OK")))</f>
        <v/>
      </c>
      <c r="P779" s="39" t="str">
        <f>IF(OR(A779="",O779="OK",J779=""),"",MAX(N(J779)-M779,0))</f>
        <v/>
      </c>
      <c r="Q779" s="39" t="str">
        <f>IF(A779="",IF(COUNTA(B779:J779)&gt;0,"Référence manquante",""),IF(COUNTIF($A$5:$A$1004,A779)&gt;1,"Référence en double",IF(B779="","Désignation manquante","OK")))</f>
        <v/>
      </c>
      <c r="R779" s="39" t="str">
        <f>IF(OR(O779="Rupture",O779="À commander"),COUNTIF($O$5:O779,"Rupture")+COUNTIF($O$5:O779,"À commander"),"")</f>
        <v/>
      </c>
    </row>
    <row r="780">
      <c r="A780" s="37" t="n"/>
      <c r="B780" s="37" t="n"/>
      <c r="C780" s="37" t="n"/>
      <c r="D780" s="37" t="n"/>
      <c r="E780" s="37" t="n"/>
      <c r="F780" s="37" t="n"/>
      <c r="G780" s="38" t="n"/>
      <c r="H780" s="37" t="n"/>
      <c r="I780" s="37" t="n"/>
      <c r="J780" s="37" t="n"/>
      <c r="K780" s="39" t="str">
        <f>IF(A780="","",SUMIFS(mv_qty,mv_ref,A780,mv_type,"Entrée"))</f>
        <v/>
      </c>
      <c r="L780" s="39" t="str">
        <f>IF(A780="","",SUMIFS(mv_qty,mv_ref,A780,mv_type,"Sortie"))</f>
        <v/>
      </c>
      <c r="M780" s="39" t="str">
        <f>IF(A780="","",ROUND(N(H780)+K780-L780,6))</f>
        <v/>
      </c>
      <c r="N780" s="40" t="str">
        <f>IF(A780="","",M780*N(G780))</f>
        <v/>
      </c>
      <c r="O780" s="39" t="str">
        <f>IF(A780="","",IF(M780&lt;=0,"Rupture",IF(AND(I780&lt;&gt;"",M780&lt;=N(I780)),"À commander","OK")))</f>
        <v/>
      </c>
      <c r="P780" s="39" t="str">
        <f>IF(OR(A780="",O780="OK",J780=""),"",MAX(N(J780)-M780,0))</f>
        <v/>
      </c>
      <c r="Q780" s="39" t="str">
        <f>IF(A780="",IF(COUNTA(B780:J780)&gt;0,"Référence manquante",""),IF(COUNTIF($A$5:$A$1004,A780)&gt;1,"Référence en double",IF(B780="","Désignation manquante","OK")))</f>
        <v/>
      </c>
      <c r="R780" s="39" t="str">
        <f>IF(OR(O780="Rupture",O780="À commander"),COUNTIF($O$5:O780,"Rupture")+COUNTIF($O$5:O780,"À commander"),"")</f>
        <v/>
      </c>
    </row>
    <row r="781">
      <c r="A781" s="37" t="n"/>
      <c r="B781" s="37" t="n"/>
      <c r="C781" s="37" t="n"/>
      <c r="D781" s="37" t="n"/>
      <c r="E781" s="37" t="n"/>
      <c r="F781" s="37" t="n"/>
      <c r="G781" s="38" t="n"/>
      <c r="H781" s="37" t="n"/>
      <c r="I781" s="37" t="n"/>
      <c r="J781" s="37" t="n"/>
      <c r="K781" s="39" t="str">
        <f>IF(A781="","",SUMIFS(mv_qty,mv_ref,A781,mv_type,"Entrée"))</f>
        <v/>
      </c>
      <c r="L781" s="39" t="str">
        <f>IF(A781="","",SUMIFS(mv_qty,mv_ref,A781,mv_type,"Sortie"))</f>
        <v/>
      </c>
      <c r="M781" s="39" t="str">
        <f>IF(A781="","",ROUND(N(H781)+K781-L781,6))</f>
        <v/>
      </c>
      <c r="N781" s="40" t="str">
        <f>IF(A781="","",M781*N(G781))</f>
        <v/>
      </c>
      <c r="O781" s="39" t="str">
        <f>IF(A781="","",IF(M781&lt;=0,"Rupture",IF(AND(I781&lt;&gt;"",M781&lt;=N(I781)),"À commander","OK")))</f>
        <v/>
      </c>
      <c r="P781" s="39" t="str">
        <f>IF(OR(A781="",O781="OK",J781=""),"",MAX(N(J781)-M781,0))</f>
        <v/>
      </c>
      <c r="Q781" s="39" t="str">
        <f>IF(A781="",IF(COUNTA(B781:J781)&gt;0,"Référence manquante",""),IF(COUNTIF($A$5:$A$1004,A781)&gt;1,"Référence en double",IF(B781="","Désignation manquante","OK")))</f>
        <v/>
      </c>
      <c r="R781" s="39" t="str">
        <f>IF(OR(O781="Rupture",O781="À commander"),COUNTIF($O$5:O781,"Rupture")+COUNTIF($O$5:O781,"À commander"),"")</f>
        <v/>
      </c>
    </row>
    <row r="782">
      <c r="A782" s="37" t="n"/>
      <c r="B782" s="37" t="n"/>
      <c r="C782" s="37" t="n"/>
      <c r="D782" s="37" t="n"/>
      <c r="E782" s="37" t="n"/>
      <c r="F782" s="37" t="n"/>
      <c r="G782" s="38" t="n"/>
      <c r="H782" s="37" t="n"/>
      <c r="I782" s="37" t="n"/>
      <c r="J782" s="37" t="n"/>
      <c r="K782" s="39" t="str">
        <f>IF(A782="","",SUMIFS(mv_qty,mv_ref,A782,mv_type,"Entrée"))</f>
        <v/>
      </c>
      <c r="L782" s="39" t="str">
        <f>IF(A782="","",SUMIFS(mv_qty,mv_ref,A782,mv_type,"Sortie"))</f>
        <v/>
      </c>
      <c r="M782" s="39" t="str">
        <f>IF(A782="","",ROUND(N(H782)+K782-L782,6))</f>
        <v/>
      </c>
      <c r="N782" s="40" t="str">
        <f>IF(A782="","",M782*N(G782))</f>
        <v/>
      </c>
      <c r="O782" s="39" t="str">
        <f>IF(A782="","",IF(M782&lt;=0,"Rupture",IF(AND(I782&lt;&gt;"",M782&lt;=N(I782)),"À commander","OK")))</f>
        <v/>
      </c>
      <c r="P782" s="39" t="str">
        <f>IF(OR(A782="",O782="OK",J782=""),"",MAX(N(J782)-M782,0))</f>
        <v/>
      </c>
      <c r="Q782" s="39" t="str">
        <f>IF(A782="",IF(COUNTA(B782:J782)&gt;0,"Référence manquante",""),IF(COUNTIF($A$5:$A$1004,A782)&gt;1,"Référence en double",IF(B782="","Désignation manquante","OK")))</f>
        <v/>
      </c>
      <c r="R782" s="39" t="str">
        <f>IF(OR(O782="Rupture",O782="À commander"),COUNTIF($O$5:O782,"Rupture")+COUNTIF($O$5:O782,"À commander"),"")</f>
        <v/>
      </c>
    </row>
    <row r="783">
      <c r="A783" s="37" t="n"/>
      <c r="B783" s="37" t="n"/>
      <c r="C783" s="37" t="n"/>
      <c r="D783" s="37" t="n"/>
      <c r="E783" s="37" t="n"/>
      <c r="F783" s="37" t="n"/>
      <c r="G783" s="38" t="n"/>
      <c r="H783" s="37" t="n"/>
      <c r="I783" s="37" t="n"/>
      <c r="J783" s="37" t="n"/>
      <c r="K783" s="39" t="str">
        <f>IF(A783="","",SUMIFS(mv_qty,mv_ref,A783,mv_type,"Entrée"))</f>
        <v/>
      </c>
      <c r="L783" s="39" t="str">
        <f>IF(A783="","",SUMIFS(mv_qty,mv_ref,A783,mv_type,"Sortie"))</f>
        <v/>
      </c>
      <c r="M783" s="39" t="str">
        <f>IF(A783="","",ROUND(N(H783)+K783-L783,6))</f>
        <v/>
      </c>
      <c r="N783" s="40" t="str">
        <f>IF(A783="","",M783*N(G783))</f>
        <v/>
      </c>
      <c r="O783" s="39" t="str">
        <f>IF(A783="","",IF(M783&lt;=0,"Rupture",IF(AND(I783&lt;&gt;"",M783&lt;=N(I783)),"À commander","OK")))</f>
        <v/>
      </c>
      <c r="P783" s="39" t="str">
        <f>IF(OR(A783="",O783="OK",J783=""),"",MAX(N(J783)-M783,0))</f>
        <v/>
      </c>
      <c r="Q783" s="39" t="str">
        <f>IF(A783="",IF(COUNTA(B783:J783)&gt;0,"Référence manquante",""),IF(COUNTIF($A$5:$A$1004,A783)&gt;1,"Référence en double",IF(B783="","Désignation manquante","OK")))</f>
        <v/>
      </c>
      <c r="R783" s="39" t="str">
        <f>IF(OR(O783="Rupture",O783="À commander"),COUNTIF($O$5:O783,"Rupture")+COUNTIF($O$5:O783,"À commander"),"")</f>
        <v/>
      </c>
    </row>
    <row r="784">
      <c r="A784" s="37" t="n"/>
      <c r="B784" s="37" t="n"/>
      <c r="C784" s="37" t="n"/>
      <c r="D784" s="37" t="n"/>
      <c r="E784" s="37" t="n"/>
      <c r="F784" s="37" t="n"/>
      <c r="G784" s="38" t="n"/>
      <c r="H784" s="37" t="n"/>
      <c r="I784" s="37" t="n"/>
      <c r="J784" s="37" t="n"/>
      <c r="K784" s="39" t="str">
        <f>IF(A784="","",SUMIFS(mv_qty,mv_ref,A784,mv_type,"Entrée"))</f>
        <v/>
      </c>
      <c r="L784" s="39" t="str">
        <f>IF(A784="","",SUMIFS(mv_qty,mv_ref,A784,mv_type,"Sortie"))</f>
        <v/>
      </c>
      <c r="M784" s="39" t="str">
        <f>IF(A784="","",ROUND(N(H784)+K784-L784,6))</f>
        <v/>
      </c>
      <c r="N784" s="40" t="str">
        <f>IF(A784="","",M784*N(G784))</f>
        <v/>
      </c>
      <c r="O784" s="39" t="str">
        <f>IF(A784="","",IF(M784&lt;=0,"Rupture",IF(AND(I784&lt;&gt;"",M784&lt;=N(I784)),"À commander","OK")))</f>
        <v/>
      </c>
      <c r="P784" s="39" t="str">
        <f>IF(OR(A784="",O784="OK",J784=""),"",MAX(N(J784)-M784,0))</f>
        <v/>
      </c>
      <c r="Q784" s="39" t="str">
        <f>IF(A784="",IF(COUNTA(B784:J784)&gt;0,"Référence manquante",""),IF(COUNTIF($A$5:$A$1004,A784)&gt;1,"Référence en double",IF(B784="","Désignation manquante","OK")))</f>
        <v/>
      </c>
      <c r="R784" s="39" t="str">
        <f>IF(OR(O784="Rupture",O784="À commander"),COUNTIF($O$5:O784,"Rupture")+COUNTIF($O$5:O784,"À commander"),"")</f>
        <v/>
      </c>
    </row>
    <row r="785">
      <c r="A785" s="37" t="n"/>
      <c r="B785" s="37" t="n"/>
      <c r="C785" s="37" t="n"/>
      <c r="D785" s="37" t="n"/>
      <c r="E785" s="37" t="n"/>
      <c r="F785" s="37" t="n"/>
      <c r="G785" s="38" t="n"/>
      <c r="H785" s="37" t="n"/>
      <c r="I785" s="37" t="n"/>
      <c r="J785" s="37" t="n"/>
      <c r="K785" s="39" t="str">
        <f>IF(A785="","",SUMIFS(mv_qty,mv_ref,A785,mv_type,"Entrée"))</f>
        <v/>
      </c>
      <c r="L785" s="39" t="str">
        <f>IF(A785="","",SUMIFS(mv_qty,mv_ref,A785,mv_type,"Sortie"))</f>
        <v/>
      </c>
      <c r="M785" s="39" t="str">
        <f>IF(A785="","",ROUND(N(H785)+K785-L785,6))</f>
        <v/>
      </c>
      <c r="N785" s="40" t="str">
        <f>IF(A785="","",M785*N(G785))</f>
        <v/>
      </c>
      <c r="O785" s="39" t="str">
        <f>IF(A785="","",IF(M785&lt;=0,"Rupture",IF(AND(I785&lt;&gt;"",M785&lt;=N(I785)),"À commander","OK")))</f>
        <v/>
      </c>
      <c r="P785" s="39" t="str">
        <f>IF(OR(A785="",O785="OK",J785=""),"",MAX(N(J785)-M785,0))</f>
        <v/>
      </c>
      <c r="Q785" s="39" t="str">
        <f>IF(A785="",IF(COUNTA(B785:J785)&gt;0,"Référence manquante",""),IF(COUNTIF($A$5:$A$1004,A785)&gt;1,"Référence en double",IF(B785="","Désignation manquante","OK")))</f>
        <v/>
      </c>
      <c r="R785" s="39" t="str">
        <f>IF(OR(O785="Rupture",O785="À commander"),COUNTIF($O$5:O785,"Rupture")+COUNTIF($O$5:O785,"À commander"),"")</f>
        <v/>
      </c>
    </row>
    <row r="786">
      <c r="A786" s="37" t="n"/>
      <c r="B786" s="37" t="n"/>
      <c r="C786" s="37" t="n"/>
      <c r="D786" s="37" t="n"/>
      <c r="E786" s="37" t="n"/>
      <c r="F786" s="37" t="n"/>
      <c r="G786" s="38" t="n"/>
      <c r="H786" s="37" t="n"/>
      <c r="I786" s="37" t="n"/>
      <c r="J786" s="37" t="n"/>
      <c r="K786" s="39" t="str">
        <f>IF(A786="","",SUMIFS(mv_qty,mv_ref,A786,mv_type,"Entrée"))</f>
        <v/>
      </c>
      <c r="L786" s="39" t="str">
        <f>IF(A786="","",SUMIFS(mv_qty,mv_ref,A786,mv_type,"Sortie"))</f>
        <v/>
      </c>
      <c r="M786" s="39" t="str">
        <f>IF(A786="","",ROUND(N(H786)+K786-L786,6))</f>
        <v/>
      </c>
      <c r="N786" s="40" t="str">
        <f>IF(A786="","",M786*N(G786))</f>
        <v/>
      </c>
      <c r="O786" s="39" t="str">
        <f>IF(A786="","",IF(M786&lt;=0,"Rupture",IF(AND(I786&lt;&gt;"",M786&lt;=N(I786)),"À commander","OK")))</f>
        <v/>
      </c>
      <c r="P786" s="39" t="str">
        <f>IF(OR(A786="",O786="OK",J786=""),"",MAX(N(J786)-M786,0))</f>
        <v/>
      </c>
      <c r="Q786" s="39" t="str">
        <f>IF(A786="",IF(COUNTA(B786:J786)&gt;0,"Référence manquante",""),IF(COUNTIF($A$5:$A$1004,A786)&gt;1,"Référence en double",IF(B786="","Désignation manquante","OK")))</f>
        <v/>
      </c>
      <c r="R786" s="39" t="str">
        <f>IF(OR(O786="Rupture",O786="À commander"),COUNTIF($O$5:O786,"Rupture")+COUNTIF($O$5:O786,"À commander"),"")</f>
        <v/>
      </c>
    </row>
    <row r="787">
      <c r="A787" s="37" t="n"/>
      <c r="B787" s="37" t="n"/>
      <c r="C787" s="37" t="n"/>
      <c r="D787" s="37" t="n"/>
      <c r="E787" s="37" t="n"/>
      <c r="F787" s="37" t="n"/>
      <c r="G787" s="38" t="n"/>
      <c r="H787" s="37" t="n"/>
      <c r="I787" s="37" t="n"/>
      <c r="J787" s="37" t="n"/>
      <c r="K787" s="39" t="str">
        <f>IF(A787="","",SUMIFS(mv_qty,mv_ref,A787,mv_type,"Entrée"))</f>
        <v/>
      </c>
      <c r="L787" s="39" t="str">
        <f>IF(A787="","",SUMIFS(mv_qty,mv_ref,A787,mv_type,"Sortie"))</f>
        <v/>
      </c>
      <c r="M787" s="39" t="str">
        <f>IF(A787="","",ROUND(N(H787)+K787-L787,6))</f>
        <v/>
      </c>
      <c r="N787" s="40" t="str">
        <f>IF(A787="","",M787*N(G787))</f>
        <v/>
      </c>
      <c r="O787" s="39" t="str">
        <f>IF(A787="","",IF(M787&lt;=0,"Rupture",IF(AND(I787&lt;&gt;"",M787&lt;=N(I787)),"À commander","OK")))</f>
        <v/>
      </c>
      <c r="P787" s="39" t="str">
        <f>IF(OR(A787="",O787="OK",J787=""),"",MAX(N(J787)-M787,0))</f>
        <v/>
      </c>
      <c r="Q787" s="39" t="str">
        <f>IF(A787="",IF(COUNTA(B787:J787)&gt;0,"Référence manquante",""),IF(COUNTIF($A$5:$A$1004,A787)&gt;1,"Référence en double",IF(B787="","Désignation manquante","OK")))</f>
        <v/>
      </c>
      <c r="R787" s="39" t="str">
        <f>IF(OR(O787="Rupture",O787="À commander"),COUNTIF($O$5:O787,"Rupture")+COUNTIF($O$5:O787,"À commander"),"")</f>
        <v/>
      </c>
    </row>
    <row r="788">
      <c r="A788" s="37" t="n"/>
      <c r="B788" s="37" t="n"/>
      <c r="C788" s="37" t="n"/>
      <c r="D788" s="37" t="n"/>
      <c r="E788" s="37" t="n"/>
      <c r="F788" s="37" t="n"/>
      <c r="G788" s="38" t="n"/>
      <c r="H788" s="37" t="n"/>
      <c r="I788" s="37" t="n"/>
      <c r="J788" s="37" t="n"/>
      <c r="K788" s="39" t="str">
        <f>IF(A788="","",SUMIFS(mv_qty,mv_ref,A788,mv_type,"Entrée"))</f>
        <v/>
      </c>
      <c r="L788" s="39" t="str">
        <f>IF(A788="","",SUMIFS(mv_qty,mv_ref,A788,mv_type,"Sortie"))</f>
        <v/>
      </c>
      <c r="M788" s="39" t="str">
        <f>IF(A788="","",ROUND(N(H788)+K788-L788,6))</f>
        <v/>
      </c>
      <c r="N788" s="40" t="str">
        <f>IF(A788="","",M788*N(G788))</f>
        <v/>
      </c>
      <c r="O788" s="39" t="str">
        <f>IF(A788="","",IF(M788&lt;=0,"Rupture",IF(AND(I788&lt;&gt;"",M788&lt;=N(I788)),"À commander","OK")))</f>
        <v/>
      </c>
      <c r="P788" s="39" t="str">
        <f>IF(OR(A788="",O788="OK",J788=""),"",MAX(N(J788)-M788,0))</f>
        <v/>
      </c>
      <c r="Q788" s="39" t="str">
        <f>IF(A788="",IF(COUNTA(B788:J788)&gt;0,"Référence manquante",""),IF(COUNTIF($A$5:$A$1004,A788)&gt;1,"Référence en double",IF(B788="","Désignation manquante","OK")))</f>
        <v/>
      </c>
      <c r="R788" s="39" t="str">
        <f>IF(OR(O788="Rupture",O788="À commander"),COUNTIF($O$5:O788,"Rupture")+COUNTIF($O$5:O788,"À commander"),"")</f>
        <v/>
      </c>
    </row>
    <row r="789">
      <c r="A789" s="37" t="n"/>
      <c r="B789" s="37" t="n"/>
      <c r="C789" s="37" t="n"/>
      <c r="D789" s="37" t="n"/>
      <c r="E789" s="37" t="n"/>
      <c r="F789" s="37" t="n"/>
      <c r="G789" s="38" t="n"/>
      <c r="H789" s="37" t="n"/>
      <c r="I789" s="37" t="n"/>
      <c r="J789" s="37" t="n"/>
      <c r="K789" s="39" t="str">
        <f>IF(A789="","",SUMIFS(mv_qty,mv_ref,A789,mv_type,"Entrée"))</f>
        <v/>
      </c>
      <c r="L789" s="39" t="str">
        <f>IF(A789="","",SUMIFS(mv_qty,mv_ref,A789,mv_type,"Sortie"))</f>
        <v/>
      </c>
      <c r="M789" s="39" t="str">
        <f>IF(A789="","",ROUND(N(H789)+K789-L789,6))</f>
        <v/>
      </c>
      <c r="N789" s="40" t="str">
        <f>IF(A789="","",M789*N(G789))</f>
        <v/>
      </c>
      <c r="O789" s="39" t="str">
        <f>IF(A789="","",IF(M789&lt;=0,"Rupture",IF(AND(I789&lt;&gt;"",M789&lt;=N(I789)),"À commander","OK")))</f>
        <v/>
      </c>
      <c r="P789" s="39" t="str">
        <f>IF(OR(A789="",O789="OK",J789=""),"",MAX(N(J789)-M789,0))</f>
        <v/>
      </c>
      <c r="Q789" s="39" t="str">
        <f>IF(A789="",IF(COUNTA(B789:J789)&gt;0,"Référence manquante",""),IF(COUNTIF($A$5:$A$1004,A789)&gt;1,"Référence en double",IF(B789="","Désignation manquante","OK")))</f>
        <v/>
      </c>
      <c r="R789" s="39" t="str">
        <f>IF(OR(O789="Rupture",O789="À commander"),COUNTIF($O$5:O789,"Rupture")+COUNTIF($O$5:O789,"À commander"),"")</f>
        <v/>
      </c>
    </row>
    <row r="790">
      <c r="A790" s="37" t="n"/>
      <c r="B790" s="37" t="n"/>
      <c r="C790" s="37" t="n"/>
      <c r="D790" s="37" t="n"/>
      <c r="E790" s="37" t="n"/>
      <c r="F790" s="37" t="n"/>
      <c r="G790" s="38" t="n"/>
      <c r="H790" s="37" t="n"/>
      <c r="I790" s="37" t="n"/>
      <c r="J790" s="37" t="n"/>
      <c r="K790" s="39" t="str">
        <f>IF(A790="","",SUMIFS(mv_qty,mv_ref,A790,mv_type,"Entrée"))</f>
        <v/>
      </c>
      <c r="L790" s="39" t="str">
        <f>IF(A790="","",SUMIFS(mv_qty,mv_ref,A790,mv_type,"Sortie"))</f>
        <v/>
      </c>
      <c r="M790" s="39" t="str">
        <f>IF(A790="","",ROUND(N(H790)+K790-L790,6))</f>
        <v/>
      </c>
      <c r="N790" s="40" t="str">
        <f>IF(A790="","",M790*N(G790))</f>
        <v/>
      </c>
      <c r="O790" s="39" t="str">
        <f>IF(A790="","",IF(M790&lt;=0,"Rupture",IF(AND(I790&lt;&gt;"",M790&lt;=N(I790)),"À commander","OK")))</f>
        <v/>
      </c>
      <c r="P790" s="39" t="str">
        <f>IF(OR(A790="",O790="OK",J790=""),"",MAX(N(J790)-M790,0))</f>
        <v/>
      </c>
      <c r="Q790" s="39" t="str">
        <f>IF(A790="",IF(COUNTA(B790:J790)&gt;0,"Référence manquante",""),IF(COUNTIF($A$5:$A$1004,A790)&gt;1,"Référence en double",IF(B790="","Désignation manquante","OK")))</f>
        <v/>
      </c>
      <c r="R790" s="39" t="str">
        <f>IF(OR(O790="Rupture",O790="À commander"),COUNTIF($O$5:O790,"Rupture")+COUNTIF($O$5:O790,"À commander"),"")</f>
        <v/>
      </c>
    </row>
    <row r="791">
      <c r="A791" s="37" t="n"/>
      <c r="B791" s="37" t="n"/>
      <c r="C791" s="37" t="n"/>
      <c r="D791" s="37" t="n"/>
      <c r="E791" s="37" t="n"/>
      <c r="F791" s="37" t="n"/>
      <c r="G791" s="38" t="n"/>
      <c r="H791" s="37" t="n"/>
      <c r="I791" s="37" t="n"/>
      <c r="J791" s="37" t="n"/>
      <c r="K791" s="39" t="str">
        <f>IF(A791="","",SUMIFS(mv_qty,mv_ref,A791,mv_type,"Entrée"))</f>
        <v/>
      </c>
      <c r="L791" s="39" t="str">
        <f>IF(A791="","",SUMIFS(mv_qty,mv_ref,A791,mv_type,"Sortie"))</f>
        <v/>
      </c>
      <c r="M791" s="39" t="str">
        <f>IF(A791="","",ROUND(N(H791)+K791-L791,6))</f>
        <v/>
      </c>
      <c r="N791" s="40" t="str">
        <f>IF(A791="","",M791*N(G791))</f>
        <v/>
      </c>
      <c r="O791" s="39" t="str">
        <f>IF(A791="","",IF(M791&lt;=0,"Rupture",IF(AND(I791&lt;&gt;"",M791&lt;=N(I791)),"À commander","OK")))</f>
        <v/>
      </c>
      <c r="P791" s="39" t="str">
        <f>IF(OR(A791="",O791="OK",J791=""),"",MAX(N(J791)-M791,0))</f>
        <v/>
      </c>
      <c r="Q791" s="39" t="str">
        <f>IF(A791="",IF(COUNTA(B791:J791)&gt;0,"Référence manquante",""),IF(COUNTIF($A$5:$A$1004,A791)&gt;1,"Référence en double",IF(B791="","Désignation manquante","OK")))</f>
        <v/>
      </c>
      <c r="R791" s="39" t="str">
        <f>IF(OR(O791="Rupture",O791="À commander"),COUNTIF($O$5:O791,"Rupture")+COUNTIF($O$5:O791,"À commander"),"")</f>
        <v/>
      </c>
    </row>
    <row r="792">
      <c r="A792" s="37" t="n"/>
      <c r="B792" s="37" t="n"/>
      <c r="C792" s="37" t="n"/>
      <c r="D792" s="37" t="n"/>
      <c r="E792" s="37" t="n"/>
      <c r="F792" s="37" t="n"/>
      <c r="G792" s="38" t="n"/>
      <c r="H792" s="37" t="n"/>
      <c r="I792" s="37" t="n"/>
      <c r="J792" s="37" t="n"/>
      <c r="K792" s="39" t="str">
        <f>IF(A792="","",SUMIFS(mv_qty,mv_ref,A792,mv_type,"Entrée"))</f>
        <v/>
      </c>
      <c r="L792" s="39" t="str">
        <f>IF(A792="","",SUMIFS(mv_qty,mv_ref,A792,mv_type,"Sortie"))</f>
        <v/>
      </c>
      <c r="M792" s="39" t="str">
        <f>IF(A792="","",ROUND(N(H792)+K792-L792,6))</f>
        <v/>
      </c>
      <c r="N792" s="40" t="str">
        <f>IF(A792="","",M792*N(G792))</f>
        <v/>
      </c>
      <c r="O792" s="39" t="str">
        <f>IF(A792="","",IF(M792&lt;=0,"Rupture",IF(AND(I792&lt;&gt;"",M792&lt;=N(I792)),"À commander","OK")))</f>
        <v/>
      </c>
      <c r="P792" s="39" t="str">
        <f>IF(OR(A792="",O792="OK",J792=""),"",MAX(N(J792)-M792,0))</f>
        <v/>
      </c>
      <c r="Q792" s="39" t="str">
        <f>IF(A792="",IF(COUNTA(B792:J792)&gt;0,"Référence manquante",""),IF(COUNTIF($A$5:$A$1004,A792)&gt;1,"Référence en double",IF(B792="","Désignation manquante","OK")))</f>
        <v/>
      </c>
      <c r="R792" s="39" t="str">
        <f>IF(OR(O792="Rupture",O792="À commander"),COUNTIF($O$5:O792,"Rupture")+COUNTIF($O$5:O792,"À commander"),"")</f>
        <v/>
      </c>
    </row>
    <row r="793">
      <c r="A793" s="37" t="n"/>
      <c r="B793" s="37" t="n"/>
      <c r="C793" s="37" t="n"/>
      <c r="D793" s="37" t="n"/>
      <c r="E793" s="37" t="n"/>
      <c r="F793" s="37" t="n"/>
      <c r="G793" s="38" t="n"/>
      <c r="H793" s="37" t="n"/>
      <c r="I793" s="37" t="n"/>
      <c r="J793" s="37" t="n"/>
      <c r="K793" s="39" t="str">
        <f>IF(A793="","",SUMIFS(mv_qty,mv_ref,A793,mv_type,"Entrée"))</f>
        <v/>
      </c>
      <c r="L793" s="39" t="str">
        <f>IF(A793="","",SUMIFS(mv_qty,mv_ref,A793,mv_type,"Sortie"))</f>
        <v/>
      </c>
      <c r="M793" s="39" t="str">
        <f>IF(A793="","",ROUND(N(H793)+K793-L793,6))</f>
        <v/>
      </c>
      <c r="N793" s="40" t="str">
        <f>IF(A793="","",M793*N(G793))</f>
        <v/>
      </c>
      <c r="O793" s="39" t="str">
        <f>IF(A793="","",IF(M793&lt;=0,"Rupture",IF(AND(I793&lt;&gt;"",M793&lt;=N(I793)),"À commander","OK")))</f>
        <v/>
      </c>
      <c r="P793" s="39" t="str">
        <f>IF(OR(A793="",O793="OK",J793=""),"",MAX(N(J793)-M793,0))</f>
        <v/>
      </c>
      <c r="Q793" s="39" t="str">
        <f>IF(A793="",IF(COUNTA(B793:J793)&gt;0,"Référence manquante",""),IF(COUNTIF($A$5:$A$1004,A793)&gt;1,"Référence en double",IF(B793="","Désignation manquante","OK")))</f>
        <v/>
      </c>
      <c r="R793" s="39" t="str">
        <f>IF(OR(O793="Rupture",O793="À commander"),COUNTIF($O$5:O793,"Rupture")+COUNTIF($O$5:O793,"À commander"),"")</f>
        <v/>
      </c>
    </row>
    <row r="794">
      <c r="A794" s="37" t="n"/>
      <c r="B794" s="37" t="n"/>
      <c r="C794" s="37" t="n"/>
      <c r="D794" s="37" t="n"/>
      <c r="E794" s="37" t="n"/>
      <c r="F794" s="37" t="n"/>
      <c r="G794" s="38" t="n"/>
      <c r="H794" s="37" t="n"/>
      <c r="I794" s="37" t="n"/>
      <c r="J794" s="37" t="n"/>
      <c r="K794" s="39" t="str">
        <f>IF(A794="","",SUMIFS(mv_qty,mv_ref,A794,mv_type,"Entrée"))</f>
        <v/>
      </c>
      <c r="L794" s="39" t="str">
        <f>IF(A794="","",SUMIFS(mv_qty,mv_ref,A794,mv_type,"Sortie"))</f>
        <v/>
      </c>
      <c r="M794" s="39" t="str">
        <f>IF(A794="","",ROUND(N(H794)+K794-L794,6))</f>
        <v/>
      </c>
      <c r="N794" s="40" t="str">
        <f>IF(A794="","",M794*N(G794))</f>
        <v/>
      </c>
      <c r="O794" s="39" t="str">
        <f>IF(A794="","",IF(M794&lt;=0,"Rupture",IF(AND(I794&lt;&gt;"",M794&lt;=N(I794)),"À commander","OK")))</f>
        <v/>
      </c>
      <c r="P794" s="39" t="str">
        <f>IF(OR(A794="",O794="OK",J794=""),"",MAX(N(J794)-M794,0))</f>
        <v/>
      </c>
      <c r="Q794" s="39" t="str">
        <f>IF(A794="",IF(COUNTA(B794:J794)&gt;0,"Référence manquante",""),IF(COUNTIF($A$5:$A$1004,A794)&gt;1,"Référence en double",IF(B794="","Désignation manquante","OK")))</f>
        <v/>
      </c>
      <c r="R794" s="39" t="str">
        <f>IF(OR(O794="Rupture",O794="À commander"),COUNTIF($O$5:O794,"Rupture")+COUNTIF($O$5:O794,"À commander"),"")</f>
        <v/>
      </c>
    </row>
    <row r="795">
      <c r="A795" s="37" t="n"/>
      <c r="B795" s="37" t="n"/>
      <c r="C795" s="37" t="n"/>
      <c r="D795" s="37" t="n"/>
      <c r="E795" s="37" t="n"/>
      <c r="F795" s="37" t="n"/>
      <c r="G795" s="38" t="n"/>
      <c r="H795" s="37" t="n"/>
      <c r="I795" s="37" t="n"/>
      <c r="J795" s="37" t="n"/>
      <c r="K795" s="39" t="str">
        <f>IF(A795="","",SUMIFS(mv_qty,mv_ref,A795,mv_type,"Entrée"))</f>
        <v/>
      </c>
      <c r="L795" s="39" t="str">
        <f>IF(A795="","",SUMIFS(mv_qty,mv_ref,A795,mv_type,"Sortie"))</f>
        <v/>
      </c>
      <c r="M795" s="39" t="str">
        <f>IF(A795="","",ROUND(N(H795)+K795-L795,6))</f>
        <v/>
      </c>
      <c r="N795" s="40" t="str">
        <f>IF(A795="","",M795*N(G795))</f>
        <v/>
      </c>
      <c r="O795" s="39" t="str">
        <f>IF(A795="","",IF(M795&lt;=0,"Rupture",IF(AND(I795&lt;&gt;"",M795&lt;=N(I795)),"À commander","OK")))</f>
        <v/>
      </c>
      <c r="P795" s="39" t="str">
        <f>IF(OR(A795="",O795="OK",J795=""),"",MAX(N(J795)-M795,0))</f>
        <v/>
      </c>
      <c r="Q795" s="39" t="str">
        <f>IF(A795="",IF(COUNTA(B795:J795)&gt;0,"Référence manquante",""),IF(COUNTIF($A$5:$A$1004,A795)&gt;1,"Référence en double",IF(B795="","Désignation manquante","OK")))</f>
        <v/>
      </c>
      <c r="R795" s="39" t="str">
        <f>IF(OR(O795="Rupture",O795="À commander"),COUNTIF($O$5:O795,"Rupture")+COUNTIF($O$5:O795,"À commander"),"")</f>
        <v/>
      </c>
    </row>
    <row r="796">
      <c r="A796" s="37" t="n"/>
      <c r="B796" s="37" t="n"/>
      <c r="C796" s="37" t="n"/>
      <c r="D796" s="37" t="n"/>
      <c r="E796" s="37" t="n"/>
      <c r="F796" s="37" t="n"/>
      <c r="G796" s="38" t="n"/>
      <c r="H796" s="37" t="n"/>
      <c r="I796" s="37" t="n"/>
      <c r="J796" s="37" t="n"/>
      <c r="K796" s="39" t="str">
        <f>IF(A796="","",SUMIFS(mv_qty,mv_ref,A796,mv_type,"Entrée"))</f>
        <v/>
      </c>
      <c r="L796" s="39" t="str">
        <f>IF(A796="","",SUMIFS(mv_qty,mv_ref,A796,mv_type,"Sortie"))</f>
        <v/>
      </c>
      <c r="M796" s="39" t="str">
        <f>IF(A796="","",ROUND(N(H796)+K796-L796,6))</f>
        <v/>
      </c>
      <c r="N796" s="40" t="str">
        <f>IF(A796="","",M796*N(G796))</f>
        <v/>
      </c>
      <c r="O796" s="39" t="str">
        <f>IF(A796="","",IF(M796&lt;=0,"Rupture",IF(AND(I796&lt;&gt;"",M796&lt;=N(I796)),"À commander","OK")))</f>
        <v/>
      </c>
      <c r="P796" s="39" t="str">
        <f>IF(OR(A796="",O796="OK",J796=""),"",MAX(N(J796)-M796,0))</f>
        <v/>
      </c>
      <c r="Q796" s="39" t="str">
        <f>IF(A796="",IF(COUNTA(B796:J796)&gt;0,"Référence manquante",""),IF(COUNTIF($A$5:$A$1004,A796)&gt;1,"Référence en double",IF(B796="","Désignation manquante","OK")))</f>
        <v/>
      </c>
      <c r="R796" s="39" t="str">
        <f>IF(OR(O796="Rupture",O796="À commander"),COUNTIF($O$5:O796,"Rupture")+COUNTIF($O$5:O796,"À commander"),"")</f>
        <v/>
      </c>
    </row>
    <row r="797">
      <c r="A797" s="37" t="n"/>
      <c r="B797" s="37" t="n"/>
      <c r="C797" s="37" t="n"/>
      <c r="D797" s="37" t="n"/>
      <c r="E797" s="37" t="n"/>
      <c r="F797" s="37" t="n"/>
      <c r="G797" s="38" t="n"/>
      <c r="H797" s="37" t="n"/>
      <c r="I797" s="37" t="n"/>
      <c r="J797" s="37" t="n"/>
      <c r="K797" s="39" t="str">
        <f>IF(A797="","",SUMIFS(mv_qty,mv_ref,A797,mv_type,"Entrée"))</f>
        <v/>
      </c>
      <c r="L797" s="39" t="str">
        <f>IF(A797="","",SUMIFS(mv_qty,mv_ref,A797,mv_type,"Sortie"))</f>
        <v/>
      </c>
      <c r="M797" s="39" t="str">
        <f>IF(A797="","",ROUND(N(H797)+K797-L797,6))</f>
        <v/>
      </c>
      <c r="N797" s="40" t="str">
        <f>IF(A797="","",M797*N(G797))</f>
        <v/>
      </c>
      <c r="O797" s="39" t="str">
        <f>IF(A797="","",IF(M797&lt;=0,"Rupture",IF(AND(I797&lt;&gt;"",M797&lt;=N(I797)),"À commander","OK")))</f>
        <v/>
      </c>
      <c r="P797" s="39" t="str">
        <f>IF(OR(A797="",O797="OK",J797=""),"",MAX(N(J797)-M797,0))</f>
        <v/>
      </c>
      <c r="Q797" s="39" t="str">
        <f>IF(A797="",IF(COUNTA(B797:J797)&gt;0,"Référence manquante",""),IF(COUNTIF($A$5:$A$1004,A797)&gt;1,"Référence en double",IF(B797="","Désignation manquante","OK")))</f>
        <v/>
      </c>
      <c r="R797" s="39" t="str">
        <f>IF(OR(O797="Rupture",O797="À commander"),COUNTIF($O$5:O797,"Rupture")+COUNTIF($O$5:O797,"À commander"),"")</f>
        <v/>
      </c>
    </row>
    <row r="798">
      <c r="A798" s="37" t="n"/>
      <c r="B798" s="37" t="n"/>
      <c r="C798" s="37" t="n"/>
      <c r="D798" s="37" t="n"/>
      <c r="E798" s="37" t="n"/>
      <c r="F798" s="37" t="n"/>
      <c r="G798" s="38" t="n"/>
      <c r="H798" s="37" t="n"/>
      <c r="I798" s="37" t="n"/>
      <c r="J798" s="37" t="n"/>
      <c r="K798" s="39" t="str">
        <f>IF(A798="","",SUMIFS(mv_qty,mv_ref,A798,mv_type,"Entrée"))</f>
        <v/>
      </c>
      <c r="L798" s="39" t="str">
        <f>IF(A798="","",SUMIFS(mv_qty,mv_ref,A798,mv_type,"Sortie"))</f>
        <v/>
      </c>
      <c r="M798" s="39" t="str">
        <f>IF(A798="","",ROUND(N(H798)+K798-L798,6))</f>
        <v/>
      </c>
      <c r="N798" s="40" t="str">
        <f>IF(A798="","",M798*N(G798))</f>
        <v/>
      </c>
      <c r="O798" s="39" t="str">
        <f>IF(A798="","",IF(M798&lt;=0,"Rupture",IF(AND(I798&lt;&gt;"",M798&lt;=N(I798)),"À commander","OK")))</f>
        <v/>
      </c>
      <c r="P798" s="39" t="str">
        <f>IF(OR(A798="",O798="OK",J798=""),"",MAX(N(J798)-M798,0))</f>
        <v/>
      </c>
      <c r="Q798" s="39" t="str">
        <f>IF(A798="",IF(COUNTA(B798:J798)&gt;0,"Référence manquante",""),IF(COUNTIF($A$5:$A$1004,A798)&gt;1,"Référence en double",IF(B798="","Désignation manquante","OK")))</f>
        <v/>
      </c>
      <c r="R798" s="39" t="str">
        <f>IF(OR(O798="Rupture",O798="À commander"),COUNTIF($O$5:O798,"Rupture")+COUNTIF($O$5:O798,"À commander"),"")</f>
        <v/>
      </c>
    </row>
    <row r="799">
      <c r="A799" s="37" t="n"/>
      <c r="B799" s="37" t="n"/>
      <c r="C799" s="37" t="n"/>
      <c r="D799" s="37" t="n"/>
      <c r="E799" s="37" t="n"/>
      <c r="F799" s="37" t="n"/>
      <c r="G799" s="38" t="n"/>
      <c r="H799" s="37" t="n"/>
      <c r="I799" s="37" t="n"/>
      <c r="J799" s="37" t="n"/>
      <c r="K799" s="39" t="str">
        <f>IF(A799="","",SUMIFS(mv_qty,mv_ref,A799,mv_type,"Entrée"))</f>
        <v/>
      </c>
      <c r="L799" s="39" t="str">
        <f>IF(A799="","",SUMIFS(mv_qty,mv_ref,A799,mv_type,"Sortie"))</f>
        <v/>
      </c>
      <c r="M799" s="39" t="str">
        <f>IF(A799="","",ROUND(N(H799)+K799-L799,6))</f>
        <v/>
      </c>
      <c r="N799" s="40" t="str">
        <f>IF(A799="","",M799*N(G799))</f>
        <v/>
      </c>
      <c r="O799" s="39" t="str">
        <f>IF(A799="","",IF(M799&lt;=0,"Rupture",IF(AND(I799&lt;&gt;"",M799&lt;=N(I799)),"À commander","OK")))</f>
        <v/>
      </c>
      <c r="P799" s="39" t="str">
        <f>IF(OR(A799="",O799="OK",J799=""),"",MAX(N(J799)-M799,0))</f>
        <v/>
      </c>
      <c r="Q799" s="39" t="str">
        <f>IF(A799="",IF(COUNTA(B799:J799)&gt;0,"Référence manquante",""),IF(COUNTIF($A$5:$A$1004,A799)&gt;1,"Référence en double",IF(B799="","Désignation manquante","OK")))</f>
        <v/>
      </c>
      <c r="R799" s="39" t="str">
        <f>IF(OR(O799="Rupture",O799="À commander"),COUNTIF($O$5:O799,"Rupture")+COUNTIF($O$5:O799,"À commander"),"")</f>
        <v/>
      </c>
    </row>
    <row r="800">
      <c r="A800" s="37" t="n"/>
      <c r="B800" s="37" t="n"/>
      <c r="C800" s="37" t="n"/>
      <c r="D800" s="37" t="n"/>
      <c r="E800" s="37" t="n"/>
      <c r="F800" s="37" t="n"/>
      <c r="G800" s="38" t="n"/>
      <c r="H800" s="37" t="n"/>
      <c r="I800" s="37" t="n"/>
      <c r="J800" s="37" t="n"/>
      <c r="K800" s="39" t="str">
        <f>IF(A800="","",SUMIFS(mv_qty,mv_ref,A800,mv_type,"Entrée"))</f>
        <v/>
      </c>
      <c r="L800" s="39" t="str">
        <f>IF(A800="","",SUMIFS(mv_qty,mv_ref,A800,mv_type,"Sortie"))</f>
        <v/>
      </c>
      <c r="M800" s="39" t="str">
        <f>IF(A800="","",ROUND(N(H800)+K800-L800,6))</f>
        <v/>
      </c>
      <c r="N800" s="40" t="str">
        <f>IF(A800="","",M800*N(G800))</f>
        <v/>
      </c>
      <c r="O800" s="39" t="str">
        <f>IF(A800="","",IF(M800&lt;=0,"Rupture",IF(AND(I800&lt;&gt;"",M800&lt;=N(I800)),"À commander","OK")))</f>
        <v/>
      </c>
      <c r="P800" s="39" t="str">
        <f>IF(OR(A800="",O800="OK",J800=""),"",MAX(N(J800)-M800,0))</f>
        <v/>
      </c>
      <c r="Q800" s="39" t="str">
        <f>IF(A800="",IF(COUNTA(B800:J800)&gt;0,"Référence manquante",""),IF(COUNTIF($A$5:$A$1004,A800)&gt;1,"Référence en double",IF(B800="","Désignation manquante","OK")))</f>
        <v/>
      </c>
      <c r="R800" s="39" t="str">
        <f>IF(OR(O800="Rupture",O800="À commander"),COUNTIF($O$5:O800,"Rupture")+COUNTIF($O$5:O800,"À commander"),"")</f>
        <v/>
      </c>
    </row>
    <row r="801">
      <c r="A801" s="37" t="n"/>
      <c r="B801" s="37" t="n"/>
      <c r="C801" s="37" t="n"/>
      <c r="D801" s="37" t="n"/>
      <c r="E801" s="37" t="n"/>
      <c r="F801" s="37" t="n"/>
      <c r="G801" s="38" t="n"/>
      <c r="H801" s="37" t="n"/>
      <c r="I801" s="37" t="n"/>
      <c r="J801" s="37" t="n"/>
      <c r="K801" s="39" t="str">
        <f>IF(A801="","",SUMIFS(mv_qty,mv_ref,A801,mv_type,"Entrée"))</f>
        <v/>
      </c>
      <c r="L801" s="39" t="str">
        <f>IF(A801="","",SUMIFS(mv_qty,mv_ref,A801,mv_type,"Sortie"))</f>
        <v/>
      </c>
      <c r="M801" s="39" t="str">
        <f>IF(A801="","",ROUND(N(H801)+K801-L801,6))</f>
        <v/>
      </c>
      <c r="N801" s="40" t="str">
        <f>IF(A801="","",M801*N(G801))</f>
        <v/>
      </c>
      <c r="O801" s="39" t="str">
        <f>IF(A801="","",IF(M801&lt;=0,"Rupture",IF(AND(I801&lt;&gt;"",M801&lt;=N(I801)),"À commander","OK")))</f>
        <v/>
      </c>
      <c r="P801" s="39" t="str">
        <f>IF(OR(A801="",O801="OK",J801=""),"",MAX(N(J801)-M801,0))</f>
        <v/>
      </c>
      <c r="Q801" s="39" t="str">
        <f>IF(A801="",IF(COUNTA(B801:J801)&gt;0,"Référence manquante",""),IF(COUNTIF($A$5:$A$1004,A801)&gt;1,"Référence en double",IF(B801="","Désignation manquante","OK")))</f>
        <v/>
      </c>
      <c r="R801" s="39" t="str">
        <f>IF(OR(O801="Rupture",O801="À commander"),COUNTIF($O$5:O801,"Rupture")+COUNTIF($O$5:O801,"À commander"),"")</f>
        <v/>
      </c>
    </row>
    <row r="802">
      <c r="A802" s="37" t="n"/>
      <c r="B802" s="37" t="n"/>
      <c r="C802" s="37" t="n"/>
      <c r="D802" s="37" t="n"/>
      <c r="E802" s="37" t="n"/>
      <c r="F802" s="37" t="n"/>
      <c r="G802" s="38" t="n"/>
      <c r="H802" s="37" t="n"/>
      <c r="I802" s="37" t="n"/>
      <c r="J802" s="37" t="n"/>
      <c r="K802" s="39" t="str">
        <f>IF(A802="","",SUMIFS(mv_qty,mv_ref,A802,mv_type,"Entrée"))</f>
        <v/>
      </c>
      <c r="L802" s="39" t="str">
        <f>IF(A802="","",SUMIFS(mv_qty,mv_ref,A802,mv_type,"Sortie"))</f>
        <v/>
      </c>
      <c r="M802" s="39" t="str">
        <f>IF(A802="","",ROUND(N(H802)+K802-L802,6))</f>
        <v/>
      </c>
      <c r="N802" s="40" t="str">
        <f>IF(A802="","",M802*N(G802))</f>
        <v/>
      </c>
      <c r="O802" s="39" t="str">
        <f>IF(A802="","",IF(M802&lt;=0,"Rupture",IF(AND(I802&lt;&gt;"",M802&lt;=N(I802)),"À commander","OK")))</f>
        <v/>
      </c>
      <c r="P802" s="39" t="str">
        <f>IF(OR(A802="",O802="OK",J802=""),"",MAX(N(J802)-M802,0))</f>
        <v/>
      </c>
      <c r="Q802" s="39" t="str">
        <f>IF(A802="",IF(COUNTA(B802:J802)&gt;0,"Référence manquante",""),IF(COUNTIF($A$5:$A$1004,A802)&gt;1,"Référence en double",IF(B802="","Désignation manquante","OK")))</f>
        <v/>
      </c>
      <c r="R802" s="39" t="str">
        <f>IF(OR(O802="Rupture",O802="À commander"),COUNTIF($O$5:O802,"Rupture")+COUNTIF($O$5:O802,"À commander"),"")</f>
        <v/>
      </c>
    </row>
    <row r="803">
      <c r="A803" s="37" t="n"/>
      <c r="B803" s="37" t="n"/>
      <c r="C803" s="37" t="n"/>
      <c r="D803" s="37" t="n"/>
      <c r="E803" s="37" t="n"/>
      <c r="F803" s="37" t="n"/>
      <c r="G803" s="38" t="n"/>
      <c r="H803" s="37" t="n"/>
      <c r="I803" s="37" t="n"/>
      <c r="J803" s="37" t="n"/>
      <c r="K803" s="39" t="str">
        <f>IF(A803="","",SUMIFS(mv_qty,mv_ref,A803,mv_type,"Entrée"))</f>
        <v/>
      </c>
      <c r="L803" s="39" t="str">
        <f>IF(A803="","",SUMIFS(mv_qty,mv_ref,A803,mv_type,"Sortie"))</f>
        <v/>
      </c>
      <c r="M803" s="39" t="str">
        <f>IF(A803="","",ROUND(N(H803)+K803-L803,6))</f>
        <v/>
      </c>
      <c r="N803" s="40" t="str">
        <f>IF(A803="","",M803*N(G803))</f>
        <v/>
      </c>
      <c r="O803" s="39" t="str">
        <f>IF(A803="","",IF(M803&lt;=0,"Rupture",IF(AND(I803&lt;&gt;"",M803&lt;=N(I803)),"À commander","OK")))</f>
        <v/>
      </c>
      <c r="P803" s="39" t="str">
        <f>IF(OR(A803="",O803="OK",J803=""),"",MAX(N(J803)-M803,0))</f>
        <v/>
      </c>
      <c r="Q803" s="39" t="str">
        <f>IF(A803="",IF(COUNTA(B803:J803)&gt;0,"Référence manquante",""),IF(COUNTIF($A$5:$A$1004,A803)&gt;1,"Référence en double",IF(B803="","Désignation manquante","OK")))</f>
        <v/>
      </c>
      <c r="R803" s="39" t="str">
        <f>IF(OR(O803="Rupture",O803="À commander"),COUNTIF($O$5:O803,"Rupture")+COUNTIF($O$5:O803,"À commander"),"")</f>
        <v/>
      </c>
    </row>
    <row r="804">
      <c r="A804" s="37" t="n"/>
      <c r="B804" s="37" t="n"/>
      <c r="C804" s="37" t="n"/>
      <c r="D804" s="37" t="n"/>
      <c r="E804" s="37" t="n"/>
      <c r="F804" s="37" t="n"/>
      <c r="G804" s="38" t="n"/>
      <c r="H804" s="37" t="n"/>
      <c r="I804" s="37" t="n"/>
      <c r="J804" s="37" t="n"/>
      <c r="K804" s="39" t="str">
        <f>IF(A804="","",SUMIFS(mv_qty,mv_ref,A804,mv_type,"Entrée"))</f>
        <v/>
      </c>
      <c r="L804" s="39" t="str">
        <f>IF(A804="","",SUMIFS(mv_qty,mv_ref,A804,mv_type,"Sortie"))</f>
        <v/>
      </c>
      <c r="M804" s="39" t="str">
        <f>IF(A804="","",ROUND(N(H804)+K804-L804,6))</f>
        <v/>
      </c>
      <c r="N804" s="40" t="str">
        <f>IF(A804="","",M804*N(G804))</f>
        <v/>
      </c>
      <c r="O804" s="39" t="str">
        <f>IF(A804="","",IF(M804&lt;=0,"Rupture",IF(AND(I804&lt;&gt;"",M804&lt;=N(I804)),"À commander","OK")))</f>
        <v/>
      </c>
      <c r="P804" s="39" t="str">
        <f>IF(OR(A804="",O804="OK",J804=""),"",MAX(N(J804)-M804,0))</f>
        <v/>
      </c>
      <c r="Q804" s="39" t="str">
        <f>IF(A804="",IF(COUNTA(B804:J804)&gt;0,"Référence manquante",""),IF(COUNTIF($A$5:$A$1004,A804)&gt;1,"Référence en double",IF(B804="","Désignation manquante","OK")))</f>
        <v/>
      </c>
      <c r="R804" s="39" t="str">
        <f>IF(OR(O804="Rupture",O804="À commander"),COUNTIF($O$5:O804,"Rupture")+COUNTIF($O$5:O804,"À commander"),"")</f>
        <v/>
      </c>
    </row>
    <row r="805">
      <c r="A805" s="37" t="n"/>
      <c r="B805" s="37" t="n"/>
      <c r="C805" s="37" t="n"/>
      <c r="D805" s="37" t="n"/>
      <c r="E805" s="37" t="n"/>
      <c r="F805" s="37" t="n"/>
      <c r="G805" s="38" t="n"/>
      <c r="H805" s="37" t="n"/>
      <c r="I805" s="37" t="n"/>
      <c r="J805" s="37" t="n"/>
      <c r="K805" s="39" t="str">
        <f>IF(A805="","",SUMIFS(mv_qty,mv_ref,A805,mv_type,"Entrée"))</f>
        <v/>
      </c>
      <c r="L805" s="39" t="str">
        <f>IF(A805="","",SUMIFS(mv_qty,mv_ref,A805,mv_type,"Sortie"))</f>
        <v/>
      </c>
      <c r="M805" s="39" t="str">
        <f>IF(A805="","",ROUND(N(H805)+K805-L805,6))</f>
        <v/>
      </c>
      <c r="N805" s="40" t="str">
        <f>IF(A805="","",M805*N(G805))</f>
        <v/>
      </c>
      <c r="O805" s="39" t="str">
        <f>IF(A805="","",IF(M805&lt;=0,"Rupture",IF(AND(I805&lt;&gt;"",M805&lt;=N(I805)),"À commander","OK")))</f>
        <v/>
      </c>
      <c r="P805" s="39" t="str">
        <f>IF(OR(A805="",O805="OK",J805=""),"",MAX(N(J805)-M805,0))</f>
        <v/>
      </c>
      <c r="Q805" s="39" t="str">
        <f>IF(A805="",IF(COUNTA(B805:J805)&gt;0,"Référence manquante",""),IF(COUNTIF($A$5:$A$1004,A805)&gt;1,"Référence en double",IF(B805="","Désignation manquante","OK")))</f>
        <v/>
      </c>
      <c r="R805" s="39" t="str">
        <f>IF(OR(O805="Rupture",O805="À commander"),COUNTIF($O$5:O805,"Rupture")+COUNTIF($O$5:O805,"À commander"),"")</f>
        <v/>
      </c>
    </row>
    <row r="806">
      <c r="A806" s="37" t="n"/>
      <c r="B806" s="37" t="n"/>
      <c r="C806" s="37" t="n"/>
      <c r="D806" s="37" t="n"/>
      <c r="E806" s="37" t="n"/>
      <c r="F806" s="37" t="n"/>
      <c r="G806" s="38" t="n"/>
      <c r="H806" s="37" t="n"/>
      <c r="I806" s="37" t="n"/>
      <c r="J806" s="37" t="n"/>
      <c r="K806" s="39" t="str">
        <f>IF(A806="","",SUMIFS(mv_qty,mv_ref,A806,mv_type,"Entrée"))</f>
        <v/>
      </c>
      <c r="L806" s="39" t="str">
        <f>IF(A806="","",SUMIFS(mv_qty,mv_ref,A806,mv_type,"Sortie"))</f>
        <v/>
      </c>
      <c r="M806" s="39" t="str">
        <f>IF(A806="","",ROUND(N(H806)+K806-L806,6))</f>
        <v/>
      </c>
      <c r="N806" s="40" t="str">
        <f>IF(A806="","",M806*N(G806))</f>
        <v/>
      </c>
      <c r="O806" s="39" t="str">
        <f>IF(A806="","",IF(M806&lt;=0,"Rupture",IF(AND(I806&lt;&gt;"",M806&lt;=N(I806)),"À commander","OK")))</f>
        <v/>
      </c>
      <c r="P806" s="39" t="str">
        <f>IF(OR(A806="",O806="OK",J806=""),"",MAX(N(J806)-M806,0))</f>
        <v/>
      </c>
      <c r="Q806" s="39" t="str">
        <f>IF(A806="",IF(COUNTA(B806:J806)&gt;0,"Référence manquante",""),IF(COUNTIF($A$5:$A$1004,A806)&gt;1,"Référence en double",IF(B806="","Désignation manquante","OK")))</f>
        <v/>
      </c>
      <c r="R806" s="39" t="str">
        <f>IF(OR(O806="Rupture",O806="À commander"),COUNTIF($O$5:O806,"Rupture")+COUNTIF($O$5:O806,"À commander"),"")</f>
        <v/>
      </c>
    </row>
    <row r="807">
      <c r="A807" s="37" t="n"/>
      <c r="B807" s="37" t="n"/>
      <c r="C807" s="37" t="n"/>
      <c r="D807" s="37" t="n"/>
      <c r="E807" s="37" t="n"/>
      <c r="F807" s="37" t="n"/>
      <c r="G807" s="38" t="n"/>
      <c r="H807" s="37" t="n"/>
      <c r="I807" s="37" t="n"/>
      <c r="J807" s="37" t="n"/>
      <c r="K807" s="39" t="str">
        <f>IF(A807="","",SUMIFS(mv_qty,mv_ref,A807,mv_type,"Entrée"))</f>
        <v/>
      </c>
      <c r="L807" s="39" t="str">
        <f>IF(A807="","",SUMIFS(mv_qty,mv_ref,A807,mv_type,"Sortie"))</f>
        <v/>
      </c>
      <c r="M807" s="39" t="str">
        <f>IF(A807="","",ROUND(N(H807)+K807-L807,6))</f>
        <v/>
      </c>
      <c r="N807" s="40" t="str">
        <f>IF(A807="","",M807*N(G807))</f>
        <v/>
      </c>
      <c r="O807" s="39" t="str">
        <f>IF(A807="","",IF(M807&lt;=0,"Rupture",IF(AND(I807&lt;&gt;"",M807&lt;=N(I807)),"À commander","OK")))</f>
        <v/>
      </c>
      <c r="P807" s="39" t="str">
        <f>IF(OR(A807="",O807="OK",J807=""),"",MAX(N(J807)-M807,0))</f>
        <v/>
      </c>
      <c r="Q807" s="39" t="str">
        <f>IF(A807="",IF(COUNTA(B807:J807)&gt;0,"Référence manquante",""),IF(COUNTIF($A$5:$A$1004,A807)&gt;1,"Référence en double",IF(B807="","Désignation manquante","OK")))</f>
        <v/>
      </c>
      <c r="R807" s="39" t="str">
        <f>IF(OR(O807="Rupture",O807="À commander"),COUNTIF($O$5:O807,"Rupture")+COUNTIF($O$5:O807,"À commander"),"")</f>
        <v/>
      </c>
    </row>
    <row r="808">
      <c r="A808" s="37" t="n"/>
      <c r="B808" s="37" t="n"/>
      <c r="C808" s="37" t="n"/>
      <c r="D808" s="37" t="n"/>
      <c r="E808" s="37" t="n"/>
      <c r="F808" s="37" t="n"/>
      <c r="G808" s="38" t="n"/>
      <c r="H808" s="37" t="n"/>
      <c r="I808" s="37" t="n"/>
      <c r="J808" s="37" t="n"/>
      <c r="K808" s="39" t="str">
        <f>IF(A808="","",SUMIFS(mv_qty,mv_ref,A808,mv_type,"Entrée"))</f>
        <v/>
      </c>
      <c r="L808" s="39" t="str">
        <f>IF(A808="","",SUMIFS(mv_qty,mv_ref,A808,mv_type,"Sortie"))</f>
        <v/>
      </c>
      <c r="M808" s="39" t="str">
        <f>IF(A808="","",ROUND(N(H808)+K808-L808,6))</f>
        <v/>
      </c>
      <c r="N808" s="40" t="str">
        <f>IF(A808="","",M808*N(G808))</f>
        <v/>
      </c>
      <c r="O808" s="39" t="str">
        <f>IF(A808="","",IF(M808&lt;=0,"Rupture",IF(AND(I808&lt;&gt;"",M808&lt;=N(I808)),"À commander","OK")))</f>
        <v/>
      </c>
      <c r="P808" s="39" t="str">
        <f>IF(OR(A808="",O808="OK",J808=""),"",MAX(N(J808)-M808,0))</f>
        <v/>
      </c>
      <c r="Q808" s="39" t="str">
        <f>IF(A808="",IF(COUNTA(B808:J808)&gt;0,"Référence manquante",""),IF(COUNTIF($A$5:$A$1004,A808)&gt;1,"Référence en double",IF(B808="","Désignation manquante","OK")))</f>
        <v/>
      </c>
      <c r="R808" s="39" t="str">
        <f>IF(OR(O808="Rupture",O808="À commander"),COUNTIF($O$5:O808,"Rupture")+COUNTIF($O$5:O808,"À commander"),"")</f>
        <v/>
      </c>
    </row>
    <row r="809">
      <c r="A809" s="37" t="n"/>
      <c r="B809" s="37" t="n"/>
      <c r="C809" s="37" t="n"/>
      <c r="D809" s="37" t="n"/>
      <c r="E809" s="37" t="n"/>
      <c r="F809" s="37" t="n"/>
      <c r="G809" s="38" t="n"/>
      <c r="H809" s="37" t="n"/>
      <c r="I809" s="37" t="n"/>
      <c r="J809" s="37" t="n"/>
      <c r="K809" s="39" t="str">
        <f>IF(A809="","",SUMIFS(mv_qty,mv_ref,A809,mv_type,"Entrée"))</f>
        <v/>
      </c>
      <c r="L809" s="39" t="str">
        <f>IF(A809="","",SUMIFS(mv_qty,mv_ref,A809,mv_type,"Sortie"))</f>
        <v/>
      </c>
      <c r="M809" s="39" t="str">
        <f>IF(A809="","",ROUND(N(H809)+K809-L809,6))</f>
        <v/>
      </c>
      <c r="N809" s="40" t="str">
        <f>IF(A809="","",M809*N(G809))</f>
        <v/>
      </c>
      <c r="O809" s="39" t="str">
        <f>IF(A809="","",IF(M809&lt;=0,"Rupture",IF(AND(I809&lt;&gt;"",M809&lt;=N(I809)),"À commander","OK")))</f>
        <v/>
      </c>
      <c r="P809" s="39" t="str">
        <f>IF(OR(A809="",O809="OK",J809=""),"",MAX(N(J809)-M809,0))</f>
        <v/>
      </c>
      <c r="Q809" s="39" t="str">
        <f>IF(A809="",IF(COUNTA(B809:J809)&gt;0,"Référence manquante",""),IF(COUNTIF($A$5:$A$1004,A809)&gt;1,"Référence en double",IF(B809="","Désignation manquante","OK")))</f>
        <v/>
      </c>
      <c r="R809" s="39" t="str">
        <f>IF(OR(O809="Rupture",O809="À commander"),COUNTIF($O$5:O809,"Rupture")+COUNTIF($O$5:O809,"À commander"),"")</f>
        <v/>
      </c>
    </row>
    <row r="810">
      <c r="A810" s="37" t="n"/>
      <c r="B810" s="37" t="n"/>
      <c r="C810" s="37" t="n"/>
      <c r="D810" s="37" t="n"/>
      <c r="E810" s="37" t="n"/>
      <c r="F810" s="37" t="n"/>
      <c r="G810" s="38" t="n"/>
      <c r="H810" s="37" t="n"/>
      <c r="I810" s="37" t="n"/>
      <c r="J810" s="37" t="n"/>
      <c r="K810" s="39" t="str">
        <f>IF(A810="","",SUMIFS(mv_qty,mv_ref,A810,mv_type,"Entrée"))</f>
        <v/>
      </c>
      <c r="L810" s="39" t="str">
        <f>IF(A810="","",SUMIFS(mv_qty,mv_ref,A810,mv_type,"Sortie"))</f>
        <v/>
      </c>
      <c r="M810" s="39" t="str">
        <f>IF(A810="","",ROUND(N(H810)+K810-L810,6))</f>
        <v/>
      </c>
      <c r="N810" s="40" t="str">
        <f>IF(A810="","",M810*N(G810))</f>
        <v/>
      </c>
      <c r="O810" s="39" t="str">
        <f>IF(A810="","",IF(M810&lt;=0,"Rupture",IF(AND(I810&lt;&gt;"",M810&lt;=N(I810)),"À commander","OK")))</f>
        <v/>
      </c>
      <c r="P810" s="39" t="str">
        <f>IF(OR(A810="",O810="OK",J810=""),"",MAX(N(J810)-M810,0))</f>
        <v/>
      </c>
      <c r="Q810" s="39" t="str">
        <f>IF(A810="",IF(COUNTA(B810:J810)&gt;0,"Référence manquante",""),IF(COUNTIF($A$5:$A$1004,A810)&gt;1,"Référence en double",IF(B810="","Désignation manquante","OK")))</f>
        <v/>
      </c>
      <c r="R810" s="39" t="str">
        <f>IF(OR(O810="Rupture",O810="À commander"),COUNTIF($O$5:O810,"Rupture")+COUNTIF($O$5:O810,"À commander"),"")</f>
        <v/>
      </c>
    </row>
    <row r="811">
      <c r="A811" s="37" t="n"/>
      <c r="B811" s="37" t="n"/>
      <c r="C811" s="37" t="n"/>
      <c r="D811" s="37" t="n"/>
      <c r="E811" s="37" t="n"/>
      <c r="F811" s="37" t="n"/>
      <c r="G811" s="38" t="n"/>
      <c r="H811" s="37" t="n"/>
      <c r="I811" s="37" t="n"/>
      <c r="J811" s="37" t="n"/>
      <c r="K811" s="39" t="str">
        <f>IF(A811="","",SUMIFS(mv_qty,mv_ref,A811,mv_type,"Entrée"))</f>
        <v/>
      </c>
      <c r="L811" s="39" t="str">
        <f>IF(A811="","",SUMIFS(mv_qty,mv_ref,A811,mv_type,"Sortie"))</f>
        <v/>
      </c>
      <c r="M811" s="39" t="str">
        <f>IF(A811="","",ROUND(N(H811)+K811-L811,6))</f>
        <v/>
      </c>
      <c r="N811" s="40" t="str">
        <f>IF(A811="","",M811*N(G811))</f>
        <v/>
      </c>
      <c r="O811" s="39" t="str">
        <f>IF(A811="","",IF(M811&lt;=0,"Rupture",IF(AND(I811&lt;&gt;"",M811&lt;=N(I811)),"À commander","OK")))</f>
        <v/>
      </c>
      <c r="P811" s="39" t="str">
        <f>IF(OR(A811="",O811="OK",J811=""),"",MAX(N(J811)-M811,0))</f>
        <v/>
      </c>
      <c r="Q811" s="39" t="str">
        <f>IF(A811="",IF(COUNTA(B811:J811)&gt;0,"Référence manquante",""),IF(COUNTIF($A$5:$A$1004,A811)&gt;1,"Référence en double",IF(B811="","Désignation manquante","OK")))</f>
        <v/>
      </c>
      <c r="R811" s="39" t="str">
        <f>IF(OR(O811="Rupture",O811="À commander"),COUNTIF($O$5:O811,"Rupture")+COUNTIF($O$5:O811,"À commander"),"")</f>
        <v/>
      </c>
    </row>
    <row r="812">
      <c r="A812" s="37" t="n"/>
      <c r="B812" s="37" t="n"/>
      <c r="C812" s="37" t="n"/>
      <c r="D812" s="37" t="n"/>
      <c r="E812" s="37" t="n"/>
      <c r="F812" s="37" t="n"/>
      <c r="G812" s="38" t="n"/>
      <c r="H812" s="37" t="n"/>
      <c r="I812" s="37" t="n"/>
      <c r="J812" s="37" t="n"/>
      <c r="K812" s="39" t="str">
        <f>IF(A812="","",SUMIFS(mv_qty,mv_ref,A812,mv_type,"Entrée"))</f>
        <v/>
      </c>
      <c r="L812" s="39" t="str">
        <f>IF(A812="","",SUMIFS(mv_qty,mv_ref,A812,mv_type,"Sortie"))</f>
        <v/>
      </c>
      <c r="M812" s="39" t="str">
        <f>IF(A812="","",ROUND(N(H812)+K812-L812,6))</f>
        <v/>
      </c>
      <c r="N812" s="40" t="str">
        <f>IF(A812="","",M812*N(G812))</f>
        <v/>
      </c>
      <c r="O812" s="39" t="str">
        <f>IF(A812="","",IF(M812&lt;=0,"Rupture",IF(AND(I812&lt;&gt;"",M812&lt;=N(I812)),"À commander","OK")))</f>
        <v/>
      </c>
      <c r="P812" s="39" t="str">
        <f>IF(OR(A812="",O812="OK",J812=""),"",MAX(N(J812)-M812,0))</f>
        <v/>
      </c>
      <c r="Q812" s="39" t="str">
        <f>IF(A812="",IF(COUNTA(B812:J812)&gt;0,"Référence manquante",""),IF(COUNTIF($A$5:$A$1004,A812)&gt;1,"Référence en double",IF(B812="","Désignation manquante","OK")))</f>
        <v/>
      </c>
      <c r="R812" s="39" t="str">
        <f>IF(OR(O812="Rupture",O812="À commander"),COUNTIF($O$5:O812,"Rupture")+COUNTIF($O$5:O812,"À commander"),"")</f>
        <v/>
      </c>
    </row>
    <row r="813">
      <c r="A813" s="37" t="n"/>
      <c r="B813" s="37" t="n"/>
      <c r="C813" s="37" t="n"/>
      <c r="D813" s="37" t="n"/>
      <c r="E813" s="37" t="n"/>
      <c r="F813" s="37" t="n"/>
      <c r="G813" s="38" t="n"/>
      <c r="H813" s="37" t="n"/>
      <c r="I813" s="37" t="n"/>
      <c r="J813" s="37" t="n"/>
      <c r="K813" s="39" t="str">
        <f>IF(A813="","",SUMIFS(mv_qty,mv_ref,A813,mv_type,"Entrée"))</f>
        <v/>
      </c>
      <c r="L813" s="39" t="str">
        <f>IF(A813="","",SUMIFS(mv_qty,mv_ref,A813,mv_type,"Sortie"))</f>
        <v/>
      </c>
      <c r="M813" s="39" t="str">
        <f>IF(A813="","",ROUND(N(H813)+K813-L813,6))</f>
        <v/>
      </c>
      <c r="N813" s="40" t="str">
        <f>IF(A813="","",M813*N(G813))</f>
        <v/>
      </c>
      <c r="O813" s="39" t="str">
        <f>IF(A813="","",IF(M813&lt;=0,"Rupture",IF(AND(I813&lt;&gt;"",M813&lt;=N(I813)),"À commander","OK")))</f>
        <v/>
      </c>
      <c r="P813" s="39" t="str">
        <f>IF(OR(A813="",O813="OK",J813=""),"",MAX(N(J813)-M813,0))</f>
        <v/>
      </c>
      <c r="Q813" s="39" t="str">
        <f>IF(A813="",IF(COUNTA(B813:J813)&gt;0,"Référence manquante",""),IF(COUNTIF($A$5:$A$1004,A813)&gt;1,"Référence en double",IF(B813="","Désignation manquante","OK")))</f>
        <v/>
      </c>
      <c r="R813" s="39" t="str">
        <f>IF(OR(O813="Rupture",O813="À commander"),COUNTIF($O$5:O813,"Rupture")+COUNTIF($O$5:O813,"À commander"),"")</f>
        <v/>
      </c>
    </row>
    <row r="814">
      <c r="A814" s="37" t="n"/>
      <c r="B814" s="37" t="n"/>
      <c r="C814" s="37" t="n"/>
      <c r="D814" s="37" t="n"/>
      <c r="E814" s="37" t="n"/>
      <c r="F814" s="37" t="n"/>
      <c r="G814" s="38" t="n"/>
      <c r="H814" s="37" t="n"/>
      <c r="I814" s="37" t="n"/>
      <c r="J814" s="37" t="n"/>
      <c r="K814" s="39" t="str">
        <f>IF(A814="","",SUMIFS(mv_qty,mv_ref,A814,mv_type,"Entrée"))</f>
        <v/>
      </c>
      <c r="L814" s="39" t="str">
        <f>IF(A814="","",SUMIFS(mv_qty,mv_ref,A814,mv_type,"Sortie"))</f>
        <v/>
      </c>
      <c r="M814" s="39" t="str">
        <f>IF(A814="","",ROUND(N(H814)+K814-L814,6))</f>
        <v/>
      </c>
      <c r="N814" s="40" t="str">
        <f>IF(A814="","",M814*N(G814))</f>
        <v/>
      </c>
      <c r="O814" s="39" t="str">
        <f>IF(A814="","",IF(M814&lt;=0,"Rupture",IF(AND(I814&lt;&gt;"",M814&lt;=N(I814)),"À commander","OK")))</f>
        <v/>
      </c>
      <c r="P814" s="39" t="str">
        <f>IF(OR(A814="",O814="OK",J814=""),"",MAX(N(J814)-M814,0))</f>
        <v/>
      </c>
      <c r="Q814" s="39" t="str">
        <f>IF(A814="",IF(COUNTA(B814:J814)&gt;0,"Référence manquante",""),IF(COUNTIF($A$5:$A$1004,A814)&gt;1,"Référence en double",IF(B814="","Désignation manquante","OK")))</f>
        <v/>
      </c>
      <c r="R814" s="39" t="str">
        <f>IF(OR(O814="Rupture",O814="À commander"),COUNTIF($O$5:O814,"Rupture")+COUNTIF($O$5:O814,"À commander"),"")</f>
        <v/>
      </c>
    </row>
    <row r="815">
      <c r="A815" s="37" t="n"/>
      <c r="B815" s="37" t="n"/>
      <c r="C815" s="37" t="n"/>
      <c r="D815" s="37" t="n"/>
      <c r="E815" s="37" t="n"/>
      <c r="F815" s="37" t="n"/>
      <c r="G815" s="38" t="n"/>
      <c r="H815" s="37" t="n"/>
      <c r="I815" s="37" t="n"/>
      <c r="J815" s="37" t="n"/>
      <c r="K815" s="39" t="str">
        <f>IF(A815="","",SUMIFS(mv_qty,mv_ref,A815,mv_type,"Entrée"))</f>
        <v/>
      </c>
      <c r="L815" s="39" t="str">
        <f>IF(A815="","",SUMIFS(mv_qty,mv_ref,A815,mv_type,"Sortie"))</f>
        <v/>
      </c>
      <c r="M815" s="39" t="str">
        <f>IF(A815="","",ROUND(N(H815)+K815-L815,6))</f>
        <v/>
      </c>
      <c r="N815" s="40" t="str">
        <f>IF(A815="","",M815*N(G815))</f>
        <v/>
      </c>
      <c r="O815" s="39" t="str">
        <f>IF(A815="","",IF(M815&lt;=0,"Rupture",IF(AND(I815&lt;&gt;"",M815&lt;=N(I815)),"À commander","OK")))</f>
        <v/>
      </c>
      <c r="P815" s="39" t="str">
        <f>IF(OR(A815="",O815="OK",J815=""),"",MAX(N(J815)-M815,0))</f>
        <v/>
      </c>
      <c r="Q815" s="39" t="str">
        <f>IF(A815="",IF(COUNTA(B815:J815)&gt;0,"Référence manquante",""),IF(COUNTIF($A$5:$A$1004,A815)&gt;1,"Référence en double",IF(B815="","Désignation manquante","OK")))</f>
        <v/>
      </c>
      <c r="R815" s="39" t="str">
        <f>IF(OR(O815="Rupture",O815="À commander"),COUNTIF($O$5:O815,"Rupture")+COUNTIF($O$5:O815,"À commander"),"")</f>
        <v/>
      </c>
    </row>
    <row r="816">
      <c r="A816" s="37" t="n"/>
      <c r="B816" s="37" t="n"/>
      <c r="C816" s="37" t="n"/>
      <c r="D816" s="37" t="n"/>
      <c r="E816" s="37" t="n"/>
      <c r="F816" s="37" t="n"/>
      <c r="G816" s="38" t="n"/>
      <c r="H816" s="37" t="n"/>
      <c r="I816" s="37" t="n"/>
      <c r="J816" s="37" t="n"/>
      <c r="K816" s="39" t="str">
        <f>IF(A816="","",SUMIFS(mv_qty,mv_ref,A816,mv_type,"Entrée"))</f>
        <v/>
      </c>
      <c r="L816" s="39" t="str">
        <f>IF(A816="","",SUMIFS(mv_qty,mv_ref,A816,mv_type,"Sortie"))</f>
        <v/>
      </c>
      <c r="M816" s="39" t="str">
        <f>IF(A816="","",ROUND(N(H816)+K816-L816,6))</f>
        <v/>
      </c>
      <c r="N816" s="40" t="str">
        <f>IF(A816="","",M816*N(G816))</f>
        <v/>
      </c>
      <c r="O816" s="39" t="str">
        <f>IF(A816="","",IF(M816&lt;=0,"Rupture",IF(AND(I816&lt;&gt;"",M816&lt;=N(I816)),"À commander","OK")))</f>
        <v/>
      </c>
      <c r="P816" s="39" t="str">
        <f>IF(OR(A816="",O816="OK",J816=""),"",MAX(N(J816)-M816,0))</f>
        <v/>
      </c>
      <c r="Q816" s="39" t="str">
        <f>IF(A816="",IF(COUNTA(B816:J816)&gt;0,"Référence manquante",""),IF(COUNTIF($A$5:$A$1004,A816)&gt;1,"Référence en double",IF(B816="","Désignation manquante","OK")))</f>
        <v/>
      </c>
      <c r="R816" s="39" t="str">
        <f>IF(OR(O816="Rupture",O816="À commander"),COUNTIF($O$5:O816,"Rupture")+COUNTIF($O$5:O816,"À commander"),"")</f>
        <v/>
      </c>
    </row>
    <row r="817">
      <c r="A817" s="37" t="n"/>
      <c r="B817" s="37" t="n"/>
      <c r="C817" s="37" t="n"/>
      <c r="D817" s="37" t="n"/>
      <c r="E817" s="37" t="n"/>
      <c r="F817" s="37" t="n"/>
      <c r="G817" s="38" t="n"/>
      <c r="H817" s="37" t="n"/>
      <c r="I817" s="37" t="n"/>
      <c r="J817" s="37" t="n"/>
      <c r="K817" s="39" t="str">
        <f>IF(A817="","",SUMIFS(mv_qty,mv_ref,A817,mv_type,"Entrée"))</f>
        <v/>
      </c>
      <c r="L817" s="39" t="str">
        <f>IF(A817="","",SUMIFS(mv_qty,mv_ref,A817,mv_type,"Sortie"))</f>
        <v/>
      </c>
      <c r="M817" s="39" t="str">
        <f>IF(A817="","",ROUND(N(H817)+K817-L817,6))</f>
        <v/>
      </c>
      <c r="N817" s="40" t="str">
        <f>IF(A817="","",M817*N(G817))</f>
        <v/>
      </c>
      <c r="O817" s="39" t="str">
        <f>IF(A817="","",IF(M817&lt;=0,"Rupture",IF(AND(I817&lt;&gt;"",M817&lt;=N(I817)),"À commander","OK")))</f>
        <v/>
      </c>
      <c r="P817" s="39" t="str">
        <f>IF(OR(A817="",O817="OK",J817=""),"",MAX(N(J817)-M817,0))</f>
        <v/>
      </c>
      <c r="Q817" s="39" t="str">
        <f>IF(A817="",IF(COUNTA(B817:J817)&gt;0,"Référence manquante",""),IF(COUNTIF($A$5:$A$1004,A817)&gt;1,"Référence en double",IF(B817="","Désignation manquante","OK")))</f>
        <v/>
      </c>
      <c r="R817" s="39" t="str">
        <f>IF(OR(O817="Rupture",O817="À commander"),COUNTIF($O$5:O817,"Rupture")+COUNTIF($O$5:O817,"À commander"),"")</f>
        <v/>
      </c>
    </row>
    <row r="818">
      <c r="A818" s="37" t="n"/>
      <c r="B818" s="37" t="n"/>
      <c r="C818" s="37" t="n"/>
      <c r="D818" s="37" t="n"/>
      <c r="E818" s="37" t="n"/>
      <c r="F818" s="37" t="n"/>
      <c r="G818" s="38" t="n"/>
      <c r="H818" s="37" t="n"/>
      <c r="I818" s="37" t="n"/>
      <c r="J818" s="37" t="n"/>
      <c r="K818" s="39" t="str">
        <f>IF(A818="","",SUMIFS(mv_qty,mv_ref,A818,mv_type,"Entrée"))</f>
        <v/>
      </c>
      <c r="L818" s="39" t="str">
        <f>IF(A818="","",SUMIFS(mv_qty,mv_ref,A818,mv_type,"Sortie"))</f>
        <v/>
      </c>
      <c r="M818" s="39" t="str">
        <f>IF(A818="","",ROUND(N(H818)+K818-L818,6))</f>
        <v/>
      </c>
      <c r="N818" s="40" t="str">
        <f>IF(A818="","",M818*N(G818))</f>
        <v/>
      </c>
      <c r="O818" s="39" t="str">
        <f>IF(A818="","",IF(M818&lt;=0,"Rupture",IF(AND(I818&lt;&gt;"",M818&lt;=N(I818)),"À commander","OK")))</f>
        <v/>
      </c>
      <c r="P818" s="39" t="str">
        <f>IF(OR(A818="",O818="OK",J818=""),"",MAX(N(J818)-M818,0))</f>
        <v/>
      </c>
      <c r="Q818" s="39" t="str">
        <f>IF(A818="",IF(COUNTA(B818:J818)&gt;0,"Référence manquante",""),IF(COUNTIF($A$5:$A$1004,A818)&gt;1,"Référence en double",IF(B818="","Désignation manquante","OK")))</f>
        <v/>
      </c>
      <c r="R818" s="39" t="str">
        <f>IF(OR(O818="Rupture",O818="À commander"),COUNTIF($O$5:O818,"Rupture")+COUNTIF($O$5:O818,"À commander"),"")</f>
        <v/>
      </c>
    </row>
    <row r="819">
      <c r="A819" s="37" t="n"/>
      <c r="B819" s="37" t="n"/>
      <c r="C819" s="37" t="n"/>
      <c r="D819" s="37" t="n"/>
      <c r="E819" s="37" t="n"/>
      <c r="F819" s="37" t="n"/>
      <c r="G819" s="38" t="n"/>
      <c r="H819" s="37" t="n"/>
      <c r="I819" s="37" t="n"/>
      <c r="J819" s="37" t="n"/>
      <c r="K819" s="39" t="str">
        <f>IF(A819="","",SUMIFS(mv_qty,mv_ref,A819,mv_type,"Entrée"))</f>
        <v/>
      </c>
      <c r="L819" s="39" t="str">
        <f>IF(A819="","",SUMIFS(mv_qty,mv_ref,A819,mv_type,"Sortie"))</f>
        <v/>
      </c>
      <c r="M819" s="39" t="str">
        <f>IF(A819="","",ROUND(N(H819)+K819-L819,6))</f>
        <v/>
      </c>
      <c r="N819" s="40" t="str">
        <f>IF(A819="","",M819*N(G819))</f>
        <v/>
      </c>
      <c r="O819" s="39" t="str">
        <f>IF(A819="","",IF(M819&lt;=0,"Rupture",IF(AND(I819&lt;&gt;"",M819&lt;=N(I819)),"À commander","OK")))</f>
        <v/>
      </c>
      <c r="P819" s="39" t="str">
        <f>IF(OR(A819="",O819="OK",J819=""),"",MAX(N(J819)-M819,0))</f>
        <v/>
      </c>
      <c r="Q819" s="39" t="str">
        <f>IF(A819="",IF(COUNTA(B819:J819)&gt;0,"Référence manquante",""),IF(COUNTIF($A$5:$A$1004,A819)&gt;1,"Référence en double",IF(B819="","Désignation manquante","OK")))</f>
        <v/>
      </c>
      <c r="R819" s="39" t="str">
        <f>IF(OR(O819="Rupture",O819="À commander"),COUNTIF($O$5:O819,"Rupture")+COUNTIF($O$5:O819,"À commander"),"")</f>
        <v/>
      </c>
    </row>
    <row r="820">
      <c r="A820" s="37" t="n"/>
      <c r="B820" s="37" t="n"/>
      <c r="C820" s="37" t="n"/>
      <c r="D820" s="37" t="n"/>
      <c r="E820" s="37" t="n"/>
      <c r="F820" s="37" t="n"/>
      <c r="G820" s="38" t="n"/>
      <c r="H820" s="37" t="n"/>
      <c r="I820" s="37" t="n"/>
      <c r="J820" s="37" t="n"/>
      <c r="K820" s="39" t="str">
        <f>IF(A820="","",SUMIFS(mv_qty,mv_ref,A820,mv_type,"Entrée"))</f>
        <v/>
      </c>
      <c r="L820" s="39" t="str">
        <f>IF(A820="","",SUMIFS(mv_qty,mv_ref,A820,mv_type,"Sortie"))</f>
        <v/>
      </c>
      <c r="M820" s="39" t="str">
        <f>IF(A820="","",ROUND(N(H820)+K820-L820,6))</f>
        <v/>
      </c>
      <c r="N820" s="40" t="str">
        <f>IF(A820="","",M820*N(G820))</f>
        <v/>
      </c>
      <c r="O820" s="39" t="str">
        <f>IF(A820="","",IF(M820&lt;=0,"Rupture",IF(AND(I820&lt;&gt;"",M820&lt;=N(I820)),"À commander","OK")))</f>
        <v/>
      </c>
      <c r="P820" s="39" t="str">
        <f>IF(OR(A820="",O820="OK",J820=""),"",MAX(N(J820)-M820,0))</f>
        <v/>
      </c>
      <c r="Q820" s="39" t="str">
        <f>IF(A820="",IF(COUNTA(B820:J820)&gt;0,"Référence manquante",""),IF(COUNTIF($A$5:$A$1004,A820)&gt;1,"Référence en double",IF(B820="","Désignation manquante","OK")))</f>
        <v/>
      </c>
      <c r="R820" s="39" t="str">
        <f>IF(OR(O820="Rupture",O820="À commander"),COUNTIF($O$5:O820,"Rupture")+COUNTIF($O$5:O820,"À commander"),"")</f>
        <v/>
      </c>
    </row>
    <row r="821">
      <c r="A821" s="37" t="n"/>
      <c r="B821" s="37" t="n"/>
      <c r="C821" s="37" t="n"/>
      <c r="D821" s="37" t="n"/>
      <c r="E821" s="37" t="n"/>
      <c r="F821" s="37" t="n"/>
      <c r="G821" s="38" t="n"/>
      <c r="H821" s="37" t="n"/>
      <c r="I821" s="37" t="n"/>
      <c r="J821" s="37" t="n"/>
      <c r="K821" s="39" t="str">
        <f>IF(A821="","",SUMIFS(mv_qty,mv_ref,A821,mv_type,"Entrée"))</f>
        <v/>
      </c>
      <c r="L821" s="39" t="str">
        <f>IF(A821="","",SUMIFS(mv_qty,mv_ref,A821,mv_type,"Sortie"))</f>
        <v/>
      </c>
      <c r="M821" s="39" t="str">
        <f>IF(A821="","",ROUND(N(H821)+K821-L821,6))</f>
        <v/>
      </c>
      <c r="N821" s="40" t="str">
        <f>IF(A821="","",M821*N(G821))</f>
        <v/>
      </c>
      <c r="O821" s="39" t="str">
        <f>IF(A821="","",IF(M821&lt;=0,"Rupture",IF(AND(I821&lt;&gt;"",M821&lt;=N(I821)),"À commander","OK")))</f>
        <v/>
      </c>
      <c r="P821" s="39" t="str">
        <f>IF(OR(A821="",O821="OK",J821=""),"",MAX(N(J821)-M821,0))</f>
        <v/>
      </c>
      <c r="Q821" s="39" t="str">
        <f>IF(A821="",IF(COUNTA(B821:J821)&gt;0,"Référence manquante",""),IF(COUNTIF($A$5:$A$1004,A821)&gt;1,"Référence en double",IF(B821="","Désignation manquante","OK")))</f>
        <v/>
      </c>
      <c r="R821" s="39" t="str">
        <f>IF(OR(O821="Rupture",O821="À commander"),COUNTIF($O$5:O821,"Rupture")+COUNTIF($O$5:O821,"À commander"),"")</f>
        <v/>
      </c>
    </row>
    <row r="822">
      <c r="A822" s="37" t="n"/>
      <c r="B822" s="37" t="n"/>
      <c r="C822" s="37" t="n"/>
      <c r="D822" s="37" t="n"/>
      <c r="E822" s="37" t="n"/>
      <c r="F822" s="37" t="n"/>
      <c r="G822" s="38" t="n"/>
      <c r="H822" s="37" t="n"/>
      <c r="I822" s="37" t="n"/>
      <c r="J822" s="37" t="n"/>
      <c r="K822" s="39" t="str">
        <f>IF(A822="","",SUMIFS(mv_qty,mv_ref,A822,mv_type,"Entrée"))</f>
        <v/>
      </c>
      <c r="L822" s="39" t="str">
        <f>IF(A822="","",SUMIFS(mv_qty,mv_ref,A822,mv_type,"Sortie"))</f>
        <v/>
      </c>
      <c r="M822" s="39" t="str">
        <f>IF(A822="","",ROUND(N(H822)+K822-L822,6))</f>
        <v/>
      </c>
      <c r="N822" s="40" t="str">
        <f>IF(A822="","",M822*N(G822))</f>
        <v/>
      </c>
      <c r="O822" s="39" t="str">
        <f>IF(A822="","",IF(M822&lt;=0,"Rupture",IF(AND(I822&lt;&gt;"",M822&lt;=N(I822)),"À commander","OK")))</f>
        <v/>
      </c>
      <c r="P822" s="39" t="str">
        <f>IF(OR(A822="",O822="OK",J822=""),"",MAX(N(J822)-M822,0))</f>
        <v/>
      </c>
      <c r="Q822" s="39" t="str">
        <f>IF(A822="",IF(COUNTA(B822:J822)&gt;0,"Référence manquante",""),IF(COUNTIF($A$5:$A$1004,A822)&gt;1,"Référence en double",IF(B822="","Désignation manquante","OK")))</f>
        <v/>
      </c>
      <c r="R822" s="39" t="str">
        <f>IF(OR(O822="Rupture",O822="À commander"),COUNTIF($O$5:O822,"Rupture")+COUNTIF($O$5:O822,"À commander"),"")</f>
        <v/>
      </c>
    </row>
    <row r="823">
      <c r="A823" s="37" t="n"/>
      <c r="B823" s="37" t="n"/>
      <c r="C823" s="37" t="n"/>
      <c r="D823" s="37" t="n"/>
      <c r="E823" s="37" t="n"/>
      <c r="F823" s="37" t="n"/>
      <c r="G823" s="38" t="n"/>
      <c r="H823" s="37" t="n"/>
      <c r="I823" s="37" t="n"/>
      <c r="J823" s="37" t="n"/>
      <c r="K823" s="39" t="str">
        <f>IF(A823="","",SUMIFS(mv_qty,mv_ref,A823,mv_type,"Entrée"))</f>
        <v/>
      </c>
      <c r="L823" s="39" t="str">
        <f>IF(A823="","",SUMIFS(mv_qty,mv_ref,A823,mv_type,"Sortie"))</f>
        <v/>
      </c>
      <c r="M823" s="39" t="str">
        <f>IF(A823="","",ROUND(N(H823)+K823-L823,6))</f>
        <v/>
      </c>
      <c r="N823" s="40" t="str">
        <f>IF(A823="","",M823*N(G823))</f>
        <v/>
      </c>
      <c r="O823" s="39" t="str">
        <f>IF(A823="","",IF(M823&lt;=0,"Rupture",IF(AND(I823&lt;&gt;"",M823&lt;=N(I823)),"À commander","OK")))</f>
        <v/>
      </c>
      <c r="P823" s="39" t="str">
        <f>IF(OR(A823="",O823="OK",J823=""),"",MAX(N(J823)-M823,0))</f>
        <v/>
      </c>
      <c r="Q823" s="39" t="str">
        <f>IF(A823="",IF(COUNTA(B823:J823)&gt;0,"Référence manquante",""),IF(COUNTIF($A$5:$A$1004,A823)&gt;1,"Référence en double",IF(B823="","Désignation manquante","OK")))</f>
        <v/>
      </c>
      <c r="R823" s="39" t="str">
        <f>IF(OR(O823="Rupture",O823="À commander"),COUNTIF($O$5:O823,"Rupture")+COUNTIF($O$5:O823,"À commander"),"")</f>
        <v/>
      </c>
    </row>
    <row r="824">
      <c r="A824" s="37" t="n"/>
      <c r="B824" s="37" t="n"/>
      <c r="C824" s="37" t="n"/>
      <c r="D824" s="37" t="n"/>
      <c r="E824" s="37" t="n"/>
      <c r="F824" s="37" t="n"/>
      <c r="G824" s="38" t="n"/>
      <c r="H824" s="37" t="n"/>
      <c r="I824" s="37" t="n"/>
      <c r="J824" s="37" t="n"/>
      <c r="K824" s="39" t="str">
        <f>IF(A824="","",SUMIFS(mv_qty,mv_ref,A824,mv_type,"Entrée"))</f>
        <v/>
      </c>
      <c r="L824" s="39" t="str">
        <f>IF(A824="","",SUMIFS(mv_qty,mv_ref,A824,mv_type,"Sortie"))</f>
        <v/>
      </c>
      <c r="M824" s="39" t="str">
        <f>IF(A824="","",ROUND(N(H824)+K824-L824,6))</f>
        <v/>
      </c>
      <c r="N824" s="40" t="str">
        <f>IF(A824="","",M824*N(G824))</f>
        <v/>
      </c>
      <c r="O824" s="39" t="str">
        <f>IF(A824="","",IF(M824&lt;=0,"Rupture",IF(AND(I824&lt;&gt;"",M824&lt;=N(I824)),"À commander","OK")))</f>
        <v/>
      </c>
      <c r="P824" s="39" t="str">
        <f>IF(OR(A824="",O824="OK",J824=""),"",MAX(N(J824)-M824,0))</f>
        <v/>
      </c>
      <c r="Q824" s="39" t="str">
        <f>IF(A824="",IF(COUNTA(B824:J824)&gt;0,"Référence manquante",""),IF(COUNTIF($A$5:$A$1004,A824)&gt;1,"Référence en double",IF(B824="","Désignation manquante","OK")))</f>
        <v/>
      </c>
      <c r="R824" s="39" t="str">
        <f>IF(OR(O824="Rupture",O824="À commander"),COUNTIF($O$5:O824,"Rupture")+COUNTIF($O$5:O824,"À commander"),"")</f>
        <v/>
      </c>
    </row>
    <row r="825">
      <c r="A825" s="37" t="n"/>
      <c r="B825" s="37" t="n"/>
      <c r="C825" s="37" t="n"/>
      <c r="D825" s="37" t="n"/>
      <c r="E825" s="37" t="n"/>
      <c r="F825" s="37" t="n"/>
      <c r="G825" s="38" t="n"/>
      <c r="H825" s="37" t="n"/>
      <c r="I825" s="37" t="n"/>
      <c r="J825" s="37" t="n"/>
      <c r="K825" s="39" t="str">
        <f>IF(A825="","",SUMIFS(mv_qty,mv_ref,A825,mv_type,"Entrée"))</f>
        <v/>
      </c>
      <c r="L825" s="39" t="str">
        <f>IF(A825="","",SUMIFS(mv_qty,mv_ref,A825,mv_type,"Sortie"))</f>
        <v/>
      </c>
      <c r="M825" s="39" t="str">
        <f>IF(A825="","",ROUND(N(H825)+K825-L825,6))</f>
        <v/>
      </c>
      <c r="N825" s="40" t="str">
        <f>IF(A825="","",M825*N(G825))</f>
        <v/>
      </c>
      <c r="O825" s="39" t="str">
        <f>IF(A825="","",IF(M825&lt;=0,"Rupture",IF(AND(I825&lt;&gt;"",M825&lt;=N(I825)),"À commander","OK")))</f>
        <v/>
      </c>
      <c r="P825" s="39" t="str">
        <f>IF(OR(A825="",O825="OK",J825=""),"",MAX(N(J825)-M825,0))</f>
        <v/>
      </c>
      <c r="Q825" s="39" t="str">
        <f>IF(A825="",IF(COUNTA(B825:J825)&gt;0,"Référence manquante",""),IF(COUNTIF($A$5:$A$1004,A825)&gt;1,"Référence en double",IF(B825="","Désignation manquante","OK")))</f>
        <v/>
      </c>
      <c r="R825" s="39" t="str">
        <f>IF(OR(O825="Rupture",O825="À commander"),COUNTIF($O$5:O825,"Rupture")+COUNTIF($O$5:O825,"À commander"),"")</f>
        <v/>
      </c>
    </row>
    <row r="826">
      <c r="A826" s="37" t="n"/>
      <c r="B826" s="37" t="n"/>
      <c r="C826" s="37" t="n"/>
      <c r="D826" s="37" t="n"/>
      <c r="E826" s="37" t="n"/>
      <c r="F826" s="37" t="n"/>
      <c r="G826" s="38" t="n"/>
      <c r="H826" s="37" t="n"/>
      <c r="I826" s="37" t="n"/>
      <c r="J826" s="37" t="n"/>
      <c r="K826" s="39" t="str">
        <f>IF(A826="","",SUMIFS(mv_qty,mv_ref,A826,mv_type,"Entrée"))</f>
        <v/>
      </c>
      <c r="L826" s="39" t="str">
        <f>IF(A826="","",SUMIFS(mv_qty,mv_ref,A826,mv_type,"Sortie"))</f>
        <v/>
      </c>
      <c r="M826" s="39" t="str">
        <f>IF(A826="","",ROUND(N(H826)+K826-L826,6))</f>
        <v/>
      </c>
      <c r="N826" s="40" t="str">
        <f>IF(A826="","",M826*N(G826))</f>
        <v/>
      </c>
      <c r="O826" s="39" t="str">
        <f>IF(A826="","",IF(M826&lt;=0,"Rupture",IF(AND(I826&lt;&gt;"",M826&lt;=N(I826)),"À commander","OK")))</f>
        <v/>
      </c>
      <c r="P826" s="39" t="str">
        <f>IF(OR(A826="",O826="OK",J826=""),"",MAX(N(J826)-M826,0))</f>
        <v/>
      </c>
      <c r="Q826" s="39" t="str">
        <f>IF(A826="",IF(COUNTA(B826:J826)&gt;0,"Référence manquante",""),IF(COUNTIF($A$5:$A$1004,A826)&gt;1,"Référence en double",IF(B826="","Désignation manquante","OK")))</f>
        <v/>
      </c>
      <c r="R826" s="39" t="str">
        <f>IF(OR(O826="Rupture",O826="À commander"),COUNTIF($O$5:O826,"Rupture")+COUNTIF($O$5:O826,"À commander"),"")</f>
        <v/>
      </c>
    </row>
    <row r="827">
      <c r="A827" s="37" t="n"/>
      <c r="B827" s="37" t="n"/>
      <c r="C827" s="37" t="n"/>
      <c r="D827" s="37" t="n"/>
      <c r="E827" s="37" t="n"/>
      <c r="F827" s="37" t="n"/>
      <c r="G827" s="38" t="n"/>
      <c r="H827" s="37" t="n"/>
      <c r="I827" s="37" t="n"/>
      <c r="J827" s="37" t="n"/>
      <c r="K827" s="39" t="str">
        <f>IF(A827="","",SUMIFS(mv_qty,mv_ref,A827,mv_type,"Entrée"))</f>
        <v/>
      </c>
      <c r="L827" s="39" t="str">
        <f>IF(A827="","",SUMIFS(mv_qty,mv_ref,A827,mv_type,"Sortie"))</f>
        <v/>
      </c>
      <c r="M827" s="39" t="str">
        <f>IF(A827="","",ROUND(N(H827)+K827-L827,6))</f>
        <v/>
      </c>
      <c r="N827" s="40" t="str">
        <f>IF(A827="","",M827*N(G827))</f>
        <v/>
      </c>
      <c r="O827" s="39" t="str">
        <f>IF(A827="","",IF(M827&lt;=0,"Rupture",IF(AND(I827&lt;&gt;"",M827&lt;=N(I827)),"À commander","OK")))</f>
        <v/>
      </c>
      <c r="P827" s="39" t="str">
        <f>IF(OR(A827="",O827="OK",J827=""),"",MAX(N(J827)-M827,0))</f>
        <v/>
      </c>
      <c r="Q827" s="39" t="str">
        <f>IF(A827="",IF(COUNTA(B827:J827)&gt;0,"Référence manquante",""),IF(COUNTIF($A$5:$A$1004,A827)&gt;1,"Référence en double",IF(B827="","Désignation manquante","OK")))</f>
        <v/>
      </c>
      <c r="R827" s="39" t="str">
        <f>IF(OR(O827="Rupture",O827="À commander"),COUNTIF($O$5:O827,"Rupture")+COUNTIF($O$5:O827,"À commander"),"")</f>
        <v/>
      </c>
    </row>
    <row r="828">
      <c r="A828" s="37" t="n"/>
      <c r="B828" s="37" t="n"/>
      <c r="C828" s="37" t="n"/>
      <c r="D828" s="37" t="n"/>
      <c r="E828" s="37" t="n"/>
      <c r="F828" s="37" t="n"/>
      <c r="G828" s="38" t="n"/>
      <c r="H828" s="37" t="n"/>
      <c r="I828" s="37" t="n"/>
      <c r="J828" s="37" t="n"/>
      <c r="K828" s="39" t="str">
        <f>IF(A828="","",SUMIFS(mv_qty,mv_ref,A828,mv_type,"Entrée"))</f>
        <v/>
      </c>
      <c r="L828" s="39" t="str">
        <f>IF(A828="","",SUMIFS(mv_qty,mv_ref,A828,mv_type,"Sortie"))</f>
        <v/>
      </c>
      <c r="M828" s="39" t="str">
        <f>IF(A828="","",ROUND(N(H828)+K828-L828,6))</f>
        <v/>
      </c>
      <c r="N828" s="40" t="str">
        <f>IF(A828="","",M828*N(G828))</f>
        <v/>
      </c>
      <c r="O828" s="39" t="str">
        <f>IF(A828="","",IF(M828&lt;=0,"Rupture",IF(AND(I828&lt;&gt;"",M828&lt;=N(I828)),"À commander","OK")))</f>
        <v/>
      </c>
      <c r="P828" s="39" t="str">
        <f>IF(OR(A828="",O828="OK",J828=""),"",MAX(N(J828)-M828,0))</f>
        <v/>
      </c>
      <c r="Q828" s="39" t="str">
        <f>IF(A828="",IF(COUNTA(B828:J828)&gt;0,"Référence manquante",""),IF(COUNTIF($A$5:$A$1004,A828)&gt;1,"Référence en double",IF(B828="","Désignation manquante","OK")))</f>
        <v/>
      </c>
      <c r="R828" s="39" t="str">
        <f>IF(OR(O828="Rupture",O828="À commander"),COUNTIF($O$5:O828,"Rupture")+COUNTIF($O$5:O828,"À commander"),"")</f>
        <v/>
      </c>
    </row>
    <row r="829">
      <c r="A829" s="37" t="n"/>
      <c r="B829" s="37" t="n"/>
      <c r="C829" s="37" t="n"/>
      <c r="D829" s="37" t="n"/>
      <c r="E829" s="37" t="n"/>
      <c r="F829" s="37" t="n"/>
      <c r="G829" s="38" t="n"/>
      <c r="H829" s="37" t="n"/>
      <c r="I829" s="37" t="n"/>
      <c r="J829" s="37" t="n"/>
      <c r="K829" s="39" t="str">
        <f>IF(A829="","",SUMIFS(mv_qty,mv_ref,A829,mv_type,"Entrée"))</f>
        <v/>
      </c>
      <c r="L829" s="39" t="str">
        <f>IF(A829="","",SUMIFS(mv_qty,mv_ref,A829,mv_type,"Sortie"))</f>
        <v/>
      </c>
      <c r="M829" s="39" t="str">
        <f>IF(A829="","",ROUND(N(H829)+K829-L829,6))</f>
        <v/>
      </c>
      <c r="N829" s="40" t="str">
        <f>IF(A829="","",M829*N(G829))</f>
        <v/>
      </c>
      <c r="O829" s="39" t="str">
        <f>IF(A829="","",IF(M829&lt;=0,"Rupture",IF(AND(I829&lt;&gt;"",M829&lt;=N(I829)),"À commander","OK")))</f>
        <v/>
      </c>
      <c r="P829" s="39" t="str">
        <f>IF(OR(A829="",O829="OK",J829=""),"",MAX(N(J829)-M829,0))</f>
        <v/>
      </c>
      <c r="Q829" s="39" t="str">
        <f>IF(A829="",IF(COUNTA(B829:J829)&gt;0,"Référence manquante",""),IF(COUNTIF($A$5:$A$1004,A829)&gt;1,"Référence en double",IF(B829="","Désignation manquante","OK")))</f>
        <v/>
      </c>
      <c r="R829" s="39" t="str">
        <f>IF(OR(O829="Rupture",O829="À commander"),COUNTIF($O$5:O829,"Rupture")+COUNTIF($O$5:O829,"À commander"),"")</f>
        <v/>
      </c>
    </row>
    <row r="830">
      <c r="A830" s="37" t="n"/>
      <c r="B830" s="37" t="n"/>
      <c r="C830" s="37" t="n"/>
      <c r="D830" s="37" t="n"/>
      <c r="E830" s="37" t="n"/>
      <c r="F830" s="37" t="n"/>
      <c r="G830" s="38" t="n"/>
      <c r="H830" s="37" t="n"/>
      <c r="I830" s="37" t="n"/>
      <c r="J830" s="37" t="n"/>
      <c r="K830" s="39" t="str">
        <f>IF(A830="","",SUMIFS(mv_qty,mv_ref,A830,mv_type,"Entrée"))</f>
        <v/>
      </c>
      <c r="L830" s="39" t="str">
        <f>IF(A830="","",SUMIFS(mv_qty,mv_ref,A830,mv_type,"Sortie"))</f>
        <v/>
      </c>
      <c r="M830" s="39" t="str">
        <f>IF(A830="","",ROUND(N(H830)+K830-L830,6))</f>
        <v/>
      </c>
      <c r="N830" s="40" t="str">
        <f>IF(A830="","",M830*N(G830))</f>
        <v/>
      </c>
      <c r="O830" s="39" t="str">
        <f>IF(A830="","",IF(M830&lt;=0,"Rupture",IF(AND(I830&lt;&gt;"",M830&lt;=N(I830)),"À commander","OK")))</f>
        <v/>
      </c>
      <c r="P830" s="39" t="str">
        <f>IF(OR(A830="",O830="OK",J830=""),"",MAX(N(J830)-M830,0))</f>
        <v/>
      </c>
      <c r="Q830" s="39" t="str">
        <f>IF(A830="",IF(COUNTA(B830:J830)&gt;0,"Référence manquante",""),IF(COUNTIF($A$5:$A$1004,A830)&gt;1,"Référence en double",IF(B830="","Désignation manquante","OK")))</f>
        <v/>
      </c>
      <c r="R830" s="39" t="str">
        <f>IF(OR(O830="Rupture",O830="À commander"),COUNTIF($O$5:O830,"Rupture")+COUNTIF($O$5:O830,"À commander"),"")</f>
        <v/>
      </c>
    </row>
    <row r="831">
      <c r="A831" s="37" t="n"/>
      <c r="B831" s="37" t="n"/>
      <c r="C831" s="37" t="n"/>
      <c r="D831" s="37" t="n"/>
      <c r="E831" s="37" t="n"/>
      <c r="F831" s="37" t="n"/>
      <c r="G831" s="38" t="n"/>
      <c r="H831" s="37" t="n"/>
      <c r="I831" s="37" t="n"/>
      <c r="J831" s="37" t="n"/>
      <c r="K831" s="39" t="str">
        <f>IF(A831="","",SUMIFS(mv_qty,mv_ref,A831,mv_type,"Entrée"))</f>
        <v/>
      </c>
      <c r="L831" s="39" t="str">
        <f>IF(A831="","",SUMIFS(mv_qty,mv_ref,A831,mv_type,"Sortie"))</f>
        <v/>
      </c>
      <c r="M831" s="39" t="str">
        <f>IF(A831="","",ROUND(N(H831)+K831-L831,6))</f>
        <v/>
      </c>
      <c r="N831" s="40" t="str">
        <f>IF(A831="","",M831*N(G831))</f>
        <v/>
      </c>
      <c r="O831" s="39" t="str">
        <f>IF(A831="","",IF(M831&lt;=0,"Rupture",IF(AND(I831&lt;&gt;"",M831&lt;=N(I831)),"À commander","OK")))</f>
        <v/>
      </c>
      <c r="P831" s="39" t="str">
        <f>IF(OR(A831="",O831="OK",J831=""),"",MAX(N(J831)-M831,0))</f>
        <v/>
      </c>
      <c r="Q831" s="39" t="str">
        <f>IF(A831="",IF(COUNTA(B831:J831)&gt;0,"Référence manquante",""),IF(COUNTIF($A$5:$A$1004,A831)&gt;1,"Référence en double",IF(B831="","Désignation manquante","OK")))</f>
        <v/>
      </c>
      <c r="R831" s="39" t="str">
        <f>IF(OR(O831="Rupture",O831="À commander"),COUNTIF($O$5:O831,"Rupture")+COUNTIF($O$5:O831,"À commander"),"")</f>
        <v/>
      </c>
    </row>
    <row r="832">
      <c r="A832" s="37" t="n"/>
      <c r="B832" s="37" t="n"/>
      <c r="C832" s="37" t="n"/>
      <c r="D832" s="37" t="n"/>
      <c r="E832" s="37" t="n"/>
      <c r="F832" s="37" t="n"/>
      <c r="G832" s="38" t="n"/>
      <c r="H832" s="37" t="n"/>
      <c r="I832" s="37" t="n"/>
      <c r="J832" s="37" t="n"/>
      <c r="K832" s="39" t="str">
        <f>IF(A832="","",SUMIFS(mv_qty,mv_ref,A832,mv_type,"Entrée"))</f>
        <v/>
      </c>
      <c r="L832" s="39" t="str">
        <f>IF(A832="","",SUMIFS(mv_qty,mv_ref,A832,mv_type,"Sortie"))</f>
        <v/>
      </c>
      <c r="M832" s="39" t="str">
        <f>IF(A832="","",ROUND(N(H832)+K832-L832,6))</f>
        <v/>
      </c>
      <c r="N832" s="40" t="str">
        <f>IF(A832="","",M832*N(G832))</f>
        <v/>
      </c>
      <c r="O832" s="39" t="str">
        <f>IF(A832="","",IF(M832&lt;=0,"Rupture",IF(AND(I832&lt;&gt;"",M832&lt;=N(I832)),"À commander","OK")))</f>
        <v/>
      </c>
      <c r="P832" s="39" t="str">
        <f>IF(OR(A832="",O832="OK",J832=""),"",MAX(N(J832)-M832,0))</f>
        <v/>
      </c>
      <c r="Q832" s="39" t="str">
        <f>IF(A832="",IF(COUNTA(B832:J832)&gt;0,"Référence manquante",""),IF(COUNTIF($A$5:$A$1004,A832)&gt;1,"Référence en double",IF(B832="","Désignation manquante","OK")))</f>
        <v/>
      </c>
      <c r="R832" s="39" t="str">
        <f>IF(OR(O832="Rupture",O832="À commander"),COUNTIF($O$5:O832,"Rupture")+COUNTIF($O$5:O832,"À commander"),"")</f>
        <v/>
      </c>
    </row>
    <row r="833">
      <c r="A833" s="37" t="n"/>
      <c r="B833" s="37" t="n"/>
      <c r="C833" s="37" t="n"/>
      <c r="D833" s="37" t="n"/>
      <c r="E833" s="37" t="n"/>
      <c r="F833" s="37" t="n"/>
      <c r="G833" s="38" t="n"/>
      <c r="H833" s="37" t="n"/>
      <c r="I833" s="37" t="n"/>
      <c r="J833" s="37" t="n"/>
      <c r="K833" s="39" t="str">
        <f>IF(A833="","",SUMIFS(mv_qty,mv_ref,A833,mv_type,"Entrée"))</f>
        <v/>
      </c>
      <c r="L833" s="39" t="str">
        <f>IF(A833="","",SUMIFS(mv_qty,mv_ref,A833,mv_type,"Sortie"))</f>
        <v/>
      </c>
      <c r="M833" s="39" t="str">
        <f>IF(A833="","",ROUND(N(H833)+K833-L833,6))</f>
        <v/>
      </c>
      <c r="N833" s="40" t="str">
        <f>IF(A833="","",M833*N(G833))</f>
        <v/>
      </c>
      <c r="O833" s="39" t="str">
        <f>IF(A833="","",IF(M833&lt;=0,"Rupture",IF(AND(I833&lt;&gt;"",M833&lt;=N(I833)),"À commander","OK")))</f>
        <v/>
      </c>
      <c r="P833" s="39" t="str">
        <f>IF(OR(A833="",O833="OK",J833=""),"",MAX(N(J833)-M833,0))</f>
        <v/>
      </c>
      <c r="Q833" s="39" t="str">
        <f>IF(A833="",IF(COUNTA(B833:J833)&gt;0,"Référence manquante",""),IF(COUNTIF($A$5:$A$1004,A833)&gt;1,"Référence en double",IF(B833="","Désignation manquante","OK")))</f>
        <v/>
      </c>
      <c r="R833" s="39" t="str">
        <f>IF(OR(O833="Rupture",O833="À commander"),COUNTIF($O$5:O833,"Rupture")+COUNTIF($O$5:O833,"À commander"),"")</f>
        <v/>
      </c>
    </row>
    <row r="834">
      <c r="A834" s="37" t="n"/>
      <c r="B834" s="37" t="n"/>
      <c r="C834" s="37" t="n"/>
      <c r="D834" s="37" t="n"/>
      <c r="E834" s="37" t="n"/>
      <c r="F834" s="37" t="n"/>
      <c r="G834" s="38" t="n"/>
      <c r="H834" s="37" t="n"/>
      <c r="I834" s="37" t="n"/>
      <c r="J834" s="37" t="n"/>
      <c r="K834" s="39" t="str">
        <f>IF(A834="","",SUMIFS(mv_qty,mv_ref,A834,mv_type,"Entrée"))</f>
        <v/>
      </c>
      <c r="L834" s="39" t="str">
        <f>IF(A834="","",SUMIFS(mv_qty,mv_ref,A834,mv_type,"Sortie"))</f>
        <v/>
      </c>
      <c r="M834" s="39" t="str">
        <f>IF(A834="","",ROUND(N(H834)+K834-L834,6))</f>
        <v/>
      </c>
      <c r="N834" s="40" t="str">
        <f>IF(A834="","",M834*N(G834))</f>
        <v/>
      </c>
      <c r="O834" s="39" t="str">
        <f>IF(A834="","",IF(M834&lt;=0,"Rupture",IF(AND(I834&lt;&gt;"",M834&lt;=N(I834)),"À commander","OK")))</f>
        <v/>
      </c>
      <c r="P834" s="39" t="str">
        <f>IF(OR(A834="",O834="OK",J834=""),"",MAX(N(J834)-M834,0))</f>
        <v/>
      </c>
      <c r="Q834" s="39" t="str">
        <f>IF(A834="",IF(COUNTA(B834:J834)&gt;0,"Référence manquante",""),IF(COUNTIF($A$5:$A$1004,A834)&gt;1,"Référence en double",IF(B834="","Désignation manquante","OK")))</f>
        <v/>
      </c>
      <c r="R834" s="39" t="str">
        <f>IF(OR(O834="Rupture",O834="À commander"),COUNTIF($O$5:O834,"Rupture")+COUNTIF($O$5:O834,"À commander"),"")</f>
        <v/>
      </c>
    </row>
    <row r="835">
      <c r="A835" s="37" t="n"/>
      <c r="B835" s="37" t="n"/>
      <c r="C835" s="37" t="n"/>
      <c r="D835" s="37" t="n"/>
      <c r="E835" s="37" t="n"/>
      <c r="F835" s="37" t="n"/>
      <c r="G835" s="38" t="n"/>
      <c r="H835" s="37" t="n"/>
      <c r="I835" s="37" t="n"/>
      <c r="J835" s="37" t="n"/>
      <c r="K835" s="39" t="str">
        <f>IF(A835="","",SUMIFS(mv_qty,mv_ref,A835,mv_type,"Entrée"))</f>
        <v/>
      </c>
      <c r="L835" s="39" t="str">
        <f>IF(A835="","",SUMIFS(mv_qty,mv_ref,A835,mv_type,"Sortie"))</f>
        <v/>
      </c>
      <c r="M835" s="39" t="str">
        <f>IF(A835="","",ROUND(N(H835)+K835-L835,6))</f>
        <v/>
      </c>
      <c r="N835" s="40" t="str">
        <f>IF(A835="","",M835*N(G835))</f>
        <v/>
      </c>
      <c r="O835" s="39" t="str">
        <f>IF(A835="","",IF(M835&lt;=0,"Rupture",IF(AND(I835&lt;&gt;"",M835&lt;=N(I835)),"À commander","OK")))</f>
        <v/>
      </c>
      <c r="P835" s="39" t="str">
        <f>IF(OR(A835="",O835="OK",J835=""),"",MAX(N(J835)-M835,0))</f>
        <v/>
      </c>
      <c r="Q835" s="39" t="str">
        <f>IF(A835="",IF(COUNTA(B835:J835)&gt;0,"Référence manquante",""),IF(COUNTIF($A$5:$A$1004,A835)&gt;1,"Référence en double",IF(B835="","Désignation manquante","OK")))</f>
        <v/>
      </c>
      <c r="R835" s="39" t="str">
        <f>IF(OR(O835="Rupture",O835="À commander"),COUNTIF($O$5:O835,"Rupture")+COUNTIF($O$5:O835,"À commander"),"")</f>
        <v/>
      </c>
    </row>
    <row r="836">
      <c r="A836" s="37" t="n"/>
      <c r="B836" s="37" t="n"/>
      <c r="C836" s="37" t="n"/>
      <c r="D836" s="37" t="n"/>
      <c r="E836" s="37" t="n"/>
      <c r="F836" s="37" t="n"/>
      <c r="G836" s="38" t="n"/>
      <c r="H836" s="37" t="n"/>
      <c r="I836" s="37" t="n"/>
      <c r="J836" s="37" t="n"/>
      <c r="K836" s="39" t="str">
        <f>IF(A836="","",SUMIFS(mv_qty,mv_ref,A836,mv_type,"Entrée"))</f>
        <v/>
      </c>
      <c r="L836" s="39" t="str">
        <f>IF(A836="","",SUMIFS(mv_qty,mv_ref,A836,mv_type,"Sortie"))</f>
        <v/>
      </c>
      <c r="M836" s="39" t="str">
        <f>IF(A836="","",ROUND(N(H836)+K836-L836,6))</f>
        <v/>
      </c>
      <c r="N836" s="40" t="str">
        <f>IF(A836="","",M836*N(G836))</f>
        <v/>
      </c>
      <c r="O836" s="39" t="str">
        <f>IF(A836="","",IF(M836&lt;=0,"Rupture",IF(AND(I836&lt;&gt;"",M836&lt;=N(I836)),"À commander","OK")))</f>
        <v/>
      </c>
      <c r="P836" s="39" t="str">
        <f>IF(OR(A836="",O836="OK",J836=""),"",MAX(N(J836)-M836,0))</f>
        <v/>
      </c>
      <c r="Q836" s="39" t="str">
        <f>IF(A836="",IF(COUNTA(B836:J836)&gt;0,"Référence manquante",""),IF(COUNTIF($A$5:$A$1004,A836)&gt;1,"Référence en double",IF(B836="","Désignation manquante","OK")))</f>
        <v/>
      </c>
      <c r="R836" s="39" t="str">
        <f>IF(OR(O836="Rupture",O836="À commander"),COUNTIF($O$5:O836,"Rupture")+COUNTIF($O$5:O836,"À commander"),"")</f>
        <v/>
      </c>
    </row>
    <row r="837">
      <c r="A837" s="37" t="n"/>
      <c r="B837" s="37" t="n"/>
      <c r="C837" s="37" t="n"/>
      <c r="D837" s="37" t="n"/>
      <c r="E837" s="37" t="n"/>
      <c r="F837" s="37" t="n"/>
      <c r="G837" s="38" t="n"/>
      <c r="H837" s="37" t="n"/>
      <c r="I837" s="37" t="n"/>
      <c r="J837" s="37" t="n"/>
      <c r="K837" s="39" t="str">
        <f>IF(A837="","",SUMIFS(mv_qty,mv_ref,A837,mv_type,"Entrée"))</f>
        <v/>
      </c>
      <c r="L837" s="39" t="str">
        <f>IF(A837="","",SUMIFS(mv_qty,mv_ref,A837,mv_type,"Sortie"))</f>
        <v/>
      </c>
      <c r="M837" s="39" t="str">
        <f>IF(A837="","",ROUND(N(H837)+K837-L837,6))</f>
        <v/>
      </c>
      <c r="N837" s="40" t="str">
        <f>IF(A837="","",M837*N(G837))</f>
        <v/>
      </c>
      <c r="O837" s="39" t="str">
        <f>IF(A837="","",IF(M837&lt;=0,"Rupture",IF(AND(I837&lt;&gt;"",M837&lt;=N(I837)),"À commander","OK")))</f>
        <v/>
      </c>
      <c r="P837" s="39" t="str">
        <f>IF(OR(A837="",O837="OK",J837=""),"",MAX(N(J837)-M837,0))</f>
        <v/>
      </c>
      <c r="Q837" s="39" t="str">
        <f>IF(A837="",IF(COUNTA(B837:J837)&gt;0,"Référence manquante",""),IF(COUNTIF($A$5:$A$1004,A837)&gt;1,"Référence en double",IF(B837="","Désignation manquante","OK")))</f>
        <v/>
      </c>
      <c r="R837" s="39" t="str">
        <f>IF(OR(O837="Rupture",O837="À commander"),COUNTIF($O$5:O837,"Rupture")+COUNTIF($O$5:O837,"À commander"),"")</f>
        <v/>
      </c>
    </row>
    <row r="838">
      <c r="A838" s="37" t="n"/>
      <c r="B838" s="37" t="n"/>
      <c r="C838" s="37" t="n"/>
      <c r="D838" s="37" t="n"/>
      <c r="E838" s="37" t="n"/>
      <c r="F838" s="37" t="n"/>
      <c r="G838" s="38" t="n"/>
      <c r="H838" s="37" t="n"/>
      <c r="I838" s="37" t="n"/>
      <c r="J838" s="37" t="n"/>
      <c r="K838" s="39" t="str">
        <f>IF(A838="","",SUMIFS(mv_qty,mv_ref,A838,mv_type,"Entrée"))</f>
        <v/>
      </c>
      <c r="L838" s="39" t="str">
        <f>IF(A838="","",SUMIFS(mv_qty,mv_ref,A838,mv_type,"Sortie"))</f>
        <v/>
      </c>
      <c r="M838" s="39" t="str">
        <f>IF(A838="","",ROUND(N(H838)+K838-L838,6))</f>
        <v/>
      </c>
      <c r="N838" s="40" t="str">
        <f>IF(A838="","",M838*N(G838))</f>
        <v/>
      </c>
      <c r="O838" s="39" t="str">
        <f>IF(A838="","",IF(M838&lt;=0,"Rupture",IF(AND(I838&lt;&gt;"",M838&lt;=N(I838)),"À commander","OK")))</f>
        <v/>
      </c>
      <c r="P838" s="39" t="str">
        <f>IF(OR(A838="",O838="OK",J838=""),"",MAX(N(J838)-M838,0))</f>
        <v/>
      </c>
      <c r="Q838" s="39" t="str">
        <f>IF(A838="",IF(COUNTA(B838:J838)&gt;0,"Référence manquante",""),IF(COUNTIF($A$5:$A$1004,A838)&gt;1,"Référence en double",IF(B838="","Désignation manquante","OK")))</f>
        <v/>
      </c>
      <c r="R838" s="39" t="str">
        <f>IF(OR(O838="Rupture",O838="À commander"),COUNTIF($O$5:O838,"Rupture")+COUNTIF($O$5:O838,"À commander"),"")</f>
        <v/>
      </c>
    </row>
    <row r="839">
      <c r="A839" s="37" t="n"/>
      <c r="B839" s="37" t="n"/>
      <c r="C839" s="37" t="n"/>
      <c r="D839" s="37" t="n"/>
      <c r="E839" s="37" t="n"/>
      <c r="F839" s="37" t="n"/>
      <c r="G839" s="38" t="n"/>
      <c r="H839" s="37" t="n"/>
      <c r="I839" s="37" t="n"/>
      <c r="J839" s="37" t="n"/>
      <c r="K839" s="39" t="str">
        <f>IF(A839="","",SUMIFS(mv_qty,mv_ref,A839,mv_type,"Entrée"))</f>
        <v/>
      </c>
      <c r="L839" s="39" t="str">
        <f>IF(A839="","",SUMIFS(mv_qty,mv_ref,A839,mv_type,"Sortie"))</f>
        <v/>
      </c>
      <c r="M839" s="39" t="str">
        <f>IF(A839="","",ROUND(N(H839)+K839-L839,6))</f>
        <v/>
      </c>
      <c r="N839" s="40" t="str">
        <f>IF(A839="","",M839*N(G839))</f>
        <v/>
      </c>
      <c r="O839" s="39" t="str">
        <f>IF(A839="","",IF(M839&lt;=0,"Rupture",IF(AND(I839&lt;&gt;"",M839&lt;=N(I839)),"À commander","OK")))</f>
        <v/>
      </c>
      <c r="P839" s="39" t="str">
        <f>IF(OR(A839="",O839="OK",J839=""),"",MAX(N(J839)-M839,0))</f>
        <v/>
      </c>
      <c r="Q839" s="39" t="str">
        <f>IF(A839="",IF(COUNTA(B839:J839)&gt;0,"Référence manquante",""),IF(COUNTIF($A$5:$A$1004,A839)&gt;1,"Référence en double",IF(B839="","Désignation manquante","OK")))</f>
        <v/>
      </c>
      <c r="R839" s="39" t="str">
        <f>IF(OR(O839="Rupture",O839="À commander"),COUNTIF($O$5:O839,"Rupture")+COUNTIF($O$5:O839,"À commander"),"")</f>
        <v/>
      </c>
    </row>
    <row r="840">
      <c r="A840" s="37" t="n"/>
      <c r="B840" s="37" t="n"/>
      <c r="C840" s="37" t="n"/>
      <c r="D840" s="37" t="n"/>
      <c r="E840" s="37" t="n"/>
      <c r="F840" s="37" t="n"/>
      <c r="G840" s="38" t="n"/>
      <c r="H840" s="37" t="n"/>
      <c r="I840" s="37" t="n"/>
      <c r="J840" s="37" t="n"/>
      <c r="K840" s="39" t="str">
        <f>IF(A840="","",SUMIFS(mv_qty,mv_ref,A840,mv_type,"Entrée"))</f>
        <v/>
      </c>
      <c r="L840" s="39" t="str">
        <f>IF(A840="","",SUMIFS(mv_qty,mv_ref,A840,mv_type,"Sortie"))</f>
        <v/>
      </c>
      <c r="M840" s="39" t="str">
        <f>IF(A840="","",ROUND(N(H840)+K840-L840,6))</f>
        <v/>
      </c>
      <c r="N840" s="40" t="str">
        <f>IF(A840="","",M840*N(G840))</f>
        <v/>
      </c>
      <c r="O840" s="39" t="str">
        <f>IF(A840="","",IF(M840&lt;=0,"Rupture",IF(AND(I840&lt;&gt;"",M840&lt;=N(I840)),"À commander","OK")))</f>
        <v/>
      </c>
      <c r="P840" s="39" t="str">
        <f>IF(OR(A840="",O840="OK",J840=""),"",MAX(N(J840)-M840,0))</f>
        <v/>
      </c>
      <c r="Q840" s="39" t="str">
        <f>IF(A840="",IF(COUNTA(B840:J840)&gt;0,"Référence manquante",""),IF(COUNTIF($A$5:$A$1004,A840)&gt;1,"Référence en double",IF(B840="","Désignation manquante","OK")))</f>
        <v/>
      </c>
      <c r="R840" s="39" t="str">
        <f>IF(OR(O840="Rupture",O840="À commander"),COUNTIF($O$5:O840,"Rupture")+COUNTIF($O$5:O840,"À commander"),"")</f>
        <v/>
      </c>
    </row>
    <row r="841">
      <c r="A841" s="37" t="n"/>
      <c r="B841" s="37" t="n"/>
      <c r="C841" s="37" t="n"/>
      <c r="D841" s="37" t="n"/>
      <c r="E841" s="37" t="n"/>
      <c r="F841" s="37" t="n"/>
      <c r="G841" s="38" t="n"/>
      <c r="H841" s="37" t="n"/>
      <c r="I841" s="37" t="n"/>
      <c r="J841" s="37" t="n"/>
      <c r="K841" s="39" t="str">
        <f>IF(A841="","",SUMIFS(mv_qty,mv_ref,A841,mv_type,"Entrée"))</f>
        <v/>
      </c>
      <c r="L841" s="39" t="str">
        <f>IF(A841="","",SUMIFS(mv_qty,mv_ref,A841,mv_type,"Sortie"))</f>
        <v/>
      </c>
      <c r="M841" s="39" t="str">
        <f>IF(A841="","",ROUND(N(H841)+K841-L841,6))</f>
        <v/>
      </c>
      <c r="N841" s="40" t="str">
        <f>IF(A841="","",M841*N(G841))</f>
        <v/>
      </c>
      <c r="O841" s="39" t="str">
        <f>IF(A841="","",IF(M841&lt;=0,"Rupture",IF(AND(I841&lt;&gt;"",M841&lt;=N(I841)),"À commander","OK")))</f>
        <v/>
      </c>
      <c r="P841" s="39" t="str">
        <f>IF(OR(A841="",O841="OK",J841=""),"",MAX(N(J841)-M841,0))</f>
        <v/>
      </c>
      <c r="Q841" s="39" t="str">
        <f>IF(A841="",IF(COUNTA(B841:J841)&gt;0,"Référence manquante",""),IF(COUNTIF($A$5:$A$1004,A841)&gt;1,"Référence en double",IF(B841="","Désignation manquante","OK")))</f>
        <v/>
      </c>
      <c r="R841" s="39" t="str">
        <f>IF(OR(O841="Rupture",O841="À commander"),COUNTIF($O$5:O841,"Rupture")+COUNTIF($O$5:O841,"À commander"),"")</f>
        <v/>
      </c>
    </row>
    <row r="842">
      <c r="A842" s="37" t="n"/>
      <c r="B842" s="37" t="n"/>
      <c r="C842" s="37" t="n"/>
      <c r="D842" s="37" t="n"/>
      <c r="E842" s="37" t="n"/>
      <c r="F842" s="37" t="n"/>
      <c r="G842" s="38" t="n"/>
      <c r="H842" s="37" t="n"/>
      <c r="I842" s="37" t="n"/>
      <c r="J842" s="37" t="n"/>
      <c r="K842" s="39" t="str">
        <f>IF(A842="","",SUMIFS(mv_qty,mv_ref,A842,mv_type,"Entrée"))</f>
        <v/>
      </c>
      <c r="L842" s="39" t="str">
        <f>IF(A842="","",SUMIFS(mv_qty,mv_ref,A842,mv_type,"Sortie"))</f>
        <v/>
      </c>
      <c r="M842" s="39" t="str">
        <f>IF(A842="","",ROUND(N(H842)+K842-L842,6))</f>
        <v/>
      </c>
      <c r="N842" s="40" t="str">
        <f>IF(A842="","",M842*N(G842))</f>
        <v/>
      </c>
      <c r="O842" s="39" t="str">
        <f>IF(A842="","",IF(M842&lt;=0,"Rupture",IF(AND(I842&lt;&gt;"",M842&lt;=N(I842)),"À commander","OK")))</f>
        <v/>
      </c>
      <c r="P842" s="39" t="str">
        <f>IF(OR(A842="",O842="OK",J842=""),"",MAX(N(J842)-M842,0))</f>
        <v/>
      </c>
      <c r="Q842" s="39" t="str">
        <f>IF(A842="",IF(COUNTA(B842:J842)&gt;0,"Référence manquante",""),IF(COUNTIF($A$5:$A$1004,A842)&gt;1,"Référence en double",IF(B842="","Désignation manquante","OK")))</f>
        <v/>
      </c>
      <c r="R842" s="39" t="str">
        <f>IF(OR(O842="Rupture",O842="À commander"),COUNTIF($O$5:O842,"Rupture")+COUNTIF($O$5:O842,"À commander"),"")</f>
        <v/>
      </c>
    </row>
    <row r="843">
      <c r="A843" s="37" t="n"/>
      <c r="B843" s="37" t="n"/>
      <c r="C843" s="37" t="n"/>
      <c r="D843" s="37" t="n"/>
      <c r="E843" s="37" t="n"/>
      <c r="F843" s="37" t="n"/>
      <c r="G843" s="38" t="n"/>
      <c r="H843" s="37" t="n"/>
      <c r="I843" s="37" t="n"/>
      <c r="J843" s="37" t="n"/>
      <c r="K843" s="39" t="str">
        <f>IF(A843="","",SUMIFS(mv_qty,mv_ref,A843,mv_type,"Entrée"))</f>
        <v/>
      </c>
      <c r="L843" s="39" t="str">
        <f>IF(A843="","",SUMIFS(mv_qty,mv_ref,A843,mv_type,"Sortie"))</f>
        <v/>
      </c>
      <c r="M843" s="39" t="str">
        <f>IF(A843="","",ROUND(N(H843)+K843-L843,6))</f>
        <v/>
      </c>
      <c r="N843" s="40" t="str">
        <f>IF(A843="","",M843*N(G843))</f>
        <v/>
      </c>
      <c r="O843" s="39" t="str">
        <f>IF(A843="","",IF(M843&lt;=0,"Rupture",IF(AND(I843&lt;&gt;"",M843&lt;=N(I843)),"À commander","OK")))</f>
        <v/>
      </c>
      <c r="P843" s="39" t="str">
        <f>IF(OR(A843="",O843="OK",J843=""),"",MAX(N(J843)-M843,0))</f>
        <v/>
      </c>
      <c r="Q843" s="39" t="str">
        <f>IF(A843="",IF(COUNTA(B843:J843)&gt;0,"Référence manquante",""),IF(COUNTIF($A$5:$A$1004,A843)&gt;1,"Référence en double",IF(B843="","Désignation manquante","OK")))</f>
        <v/>
      </c>
      <c r="R843" s="39" t="str">
        <f>IF(OR(O843="Rupture",O843="À commander"),COUNTIF($O$5:O843,"Rupture")+COUNTIF($O$5:O843,"À commander"),"")</f>
        <v/>
      </c>
    </row>
    <row r="844">
      <c r="A844" s="37" t="n"/>
      <c r="B844" s="37" t="n"/>
      <c r="C844" s="37" t="n"/>
      <c r="D844" s="37" t="n"/>
      <c r="E844" s="37" t="n"/>
      <c r="F844" s="37" t="n"/>
      <c r="G844" s="38" t="n"/>
      <c r="H844" s="37" t="n"/>
      <c r="I844" s="37" t="n"/>
      <c r="J844" s="37" t="n"/>
      <c r="K844" s="39" t="str">
        <f>IF(A844="","",SUMIFS(mv_qty,mv_ref,A844,mv_type,"Entrée"))</f>
        <v/>
      </c>
      <c r="L844" s="39" t="str">
        <f>IF(A844="","",SUMIFS(mv_qty,mv_ref,A844,mv_type,"Sortie"))</f>
        <v/>
      </c>
      <c r="M844" s="39" t="str">
        <f>IF(A844="","",ROUND(N(H844)+K844-L844,6))</f>
        <v/>
      </c>
      <c r="N844" s="40" t="str">
        <f>IF(A844="","",M844*N(G844))</f>
        <v/>
      </c>
      <c r="O844" s="39" t="str">
        <f>IF(A844="","",IF(M844&lt;=0,"Rupture",IF(AND(I844&lt;&gt;"",M844&lt;=N(I844)),"À commander","OK")))</f>
        <v/>
      </c>
      <c r="P844" s="39" t="str">
        <f>IF(OR(A844="",O844="OK",J844=""),"",MAX(N(J844)-M844,0))</f>
        <v/>
      </c>
      <c r="Q844" s="39" t="str">
        <f>IF(A844="",IF(COUNTA(B844:J844)&gt;0,"Référence manquante",""),IF(COUNTIF($A$5:$A$1004,A844)&gt;1,"Référence en double",IF(B844="","Désignation manquante","OK")))</f>
        <v/>
      </c>
      <c r="R844" s="39" t="str">
        <f>IF(OR(O844="Rupture",O844="À commander"),COUNTIF($O$5:O844,"Rupture")+COUNTIF($O$5:O844,"À commander"),"")</f>
        <v/>
      </c>
    </row>
    <row r="845">
      <c r="A845" s="37" t="n"/>
      <c r="B845" s="37" t="n"/>
      <c r="C845" s="37" t="n"/>
      <c r="D845" s="37" t="n"/>
      <c r="E845" s="37" t="n"/>
      <c r="F845" s="37" t="n"/>
      <c r="G845" s="38" t="n"/>
      <c r="H845" s="37" t="n"/>
      <c r="I845" s="37" t="n"/>
      <c r="J845" s="37" t="n"/>
      <c r="K845" s="39" t="str">
        <f>IF(A845="","",SUMIFS(mv_qty,mv_ref,A845,mv_type,"Entrée"))</f>
        <v/>
      </c>
      <c r="L845" s="39" t="str">
        <f>IF(A845="","",SUMIFS(mv_qty,mv_ref,A845,mv_type,"Sortie"))</f>
        <v/>
      </c>
      <c r="M845" s="39" t="str">
        <f>IF(A845="","",ROUND(N(H845)+K845-L845,6))</f>
        <v/>
      </c>
      <c r="N845" s="40" t="str">
        <f>IF(A845="","",M845*N(G845))</f>
        <v/>
      </c>
      <c r="O845" s="39" t="str">
        <f>IF(A845="","",IF(M845&lt;=0,"Rupture",IF(AND(I845&lt;&gt;"",M845&lt;=N(I845)),"À commander","OK")))</f>
        <v/>
      </c>
      <c r="P845" s="39" t="str">
        <f>IF(OR(A845="",O845="OK",J845=""),"",MAX(N(J845)-M845,0))</f>
        <v/>
      </c>
      <c r="Q845" s="39" t="str">
        <f>IF(A845="",IF(COUNTA(B845:J845)&gt;0,"Référence manquante",""),IF(COUNTIF($A$5:$A$1004,A845)&gt;1,"Référence en double",IF(B845="","Désignation manquante","OK")))</f>
        <v/>
      </c>
      <c r="R845" s="39" t="str">
        <f>IF(OR(O845="Rupture",O845="À commander"),COUNTIF($O$5:O845,"Rupture")+COUNTIF($O$5:O845,"À commander"),"")</f>
        <v/>
      </c>
    </row>
    <row r="846">
      <c r="A846" s="37" t="n"/>
      <c r="B846" s="37" t="n"/>
      <c r="C846" s="37" t="n"/>
      <c r="D846" s="37" t="n"/>
      <c r="E846" s="37" t="n"/>
      <c r="F846" s="37" t="n"/>
      <c r="G846" s="38" t="n"/>
      <c r="H846" s="37" t="n"/>
      <c r="I846" s="37" t="n"/>
      <c r="J846" s="37" t="n"/>
      <c r="K846" s="39" t="str">
        <f>IF(A846="","",SUMIFS(mv_qty,mv_ref,A846,mv_type,"Entrée"))</f>
        <v/>
      </c>
      <c r="L846" s="39" t="str">
        <f>IF(A846="","",SUMIFS(mv_qty,mv_ref,A846,mv_type,"Sortie"))</f>
        <v/>
      </c>
      <c r="M846" s="39" t="str">
        <f>IF(A846="","",ROUND(N(H846)+K846-L846,6))</f>
        <v/>
      </c>
      <c r="N846" s="40" t="str">
        <f>IF(A846="","",M846*N(G846))</f>
        <v/>
      </c>
      <c r="O846" s="39" t="str">
        <f>IF(A846="","",IF(M846&lt;=0,"Rupture",IF(AND(I846&lt;&gt;"",M846&lt;=N(I846)),"À commander","OK")))</f>
        <v/>
      </c>
      <c r="P846" s="39" t="str">
        <f>IF(OR(A846="",O846="OK",J846=""),"",MAX(N(J846)-M846,0))</f>
        <v/>
      </c>
      <c r="Q846" s="39" t="str">
        <f>IF(A846="",IF(COUNTA(B846:J846)&gt;0,"Référence manquante",""),IF(COUNTIF($A$5:$A$1004,A846)&gt;1,"Référence en double",IF(B846="","Désignation manquante","OK")))</f>
        <v/>
      </c>
      <c r="R846" s="39" t="str">
        <f>IF(OR(O846="Rupture",O846="À commander"),COUNTIF($O$5:O846,"Rupture")+COUNTIF($O$5:O846,"À commander"),"")</f>
        <v/>
      </c>
    </row>
    <row r="847">
      <c r="A847" s="37" t="n"/>
      <c r="B847" s="37" t="n"/>
      <c r="C847" s="37" t="n"/>
      <c r="D847" s="37" t="n"/>
      <c r="E847" s="37" t="n"/>
      <c r="F847" s="37" t="n"/>
      <c r="G847" s="38" t="n"/>
      <c r="H847" s="37" t="n"/>
      <c r="I847" s="37" t="n"/>
      <c r="J847" s="37" t="n"/>
      <c r="K847" s="39" t="str">
        <f>IF(A847="","",SUMIFS(mv_qty,mv_ref,A847,mv_type,"Entrée"))</f>
        <v/>
      </c>
      <c r="L847" s="39" t="str">
        <f>IF(A847="","",SUMIFS(mv_qty,mv_ref,A847,mv_type,"Sortie"))</f>
        <v/>
      </c>
      <c r="M847" s="39" t="str">
        <f>IF(A847="","",ROUND(N(H847)+K847-L847,6))</f>
        <v/>
      </c>
      <c r="N847" s="40" t="str">
        <f>IF(A847="","",M847*N(G847))</f>
        <v/>
      </c>
      <c r="O847" s="39" t="str">
        <f>IF(A847="","",IF(M847&lt;=0,"Rupture",IF(AND(I847&lt;&gt;"",M847&lt;=N(I847)),"À commander","OK")))</f>
        <v/>
      </c>
      <c r="P847" s="39" t="str">
        <f>IF(OR(A847="",O847="OK",J847=""),"",MAX(N(J847)-M847,0))</f>
        <v/>
      </c>
      <c r="Q847" s="39" t="str">
        <f>IF(A847="",IF(COUNTA(B847:J847)&gt;0,"Référence manquante",""),IF(COUNTIF($A$5:$A$1004,A847)&gt;1,"Référence en double",IF(B847="","Désignation manquante","OK")))</f>
        <v/>
      </c>
      <c r="R847" s="39" t="str">
        <f>IF(OR(O847="Rupture",O847="À commander"),COUNTIF($O$5:O847,"Rupture")+COUNTIF($O$5:O847,"À commander"),"")</f>
        <v/>
      </c>
    </row>
    <row r="848">
      <c r="A848" s="37" t="n"/>
      <c r="B848" s="37" t="n"/>
      <c r="C848" s="37" t="n"/>
      <c r="D848" s="37" t="n"/>
      <c r="E848" s="37" t="n"/>
      <c r="F848" s="37" t="n"/>
      <c r="G848" s="38" t="n"/>
      <c r="H848" s="37" t="n"/>
      <c r="I848" s="37" t="n"/>
      <c r="J848" s="37" t="n"/>
      <c r="K848" s="39" t="str">
        <f>IF(A848="","",SUMIFS(mv_qty,mv_ref,A848,mv_type,"Entrée"))</f>
        <v/>
      </c>
      <c r="L848" s="39" t="str">
        <f>IF(A848="","",SUMIFS(mv_qty,mv_ref,A848,mv_type,"Sortie"))</f>
        <v/>
      </c>
      <c r="M848" s="39" t="str">
        <f>IF(A848="","",ROUND(N(H848)+K848-L848,6))</f>
        <v/>
      </c>
      <c r="N848" s="40" t="str">
        <f>IF(A848="","",M848*N(G848))</f>
        <v/>
      </c>
      <c r="O848" s="39" t="str">
        <f>IF(A848="","",IF(M848&lt;=0,"Rupture",IF(AND(I848&lt;&gt;"",M848&lt;=N(I848)),"À commander","OK")))</f>
        <v/>
      </c>
      <c r="P848" s="39" t="str">
        <f>IF(OR(A848="",O848="OK",J848=""),"",MAX(N(J848)-M848,0))</f>
        <v/>
      </c>
      <c r="Q848" s="39" t="str">
        <f>IF(A848="",IF(COUNTA(B848:J848)&gt;0,"Référence manquante",""),IF(COUNTIF($A$5:$A$1004,A848)&gt;1,"Référence en double",IF(B848="","Désignation manquante","OK")))</f>
        <v/>
      </c>
      <c r="R848" s="39" t="str">
        <f>IF(OR(O848="Rupture",O848="À commander"),COUNTIF($O$5:O848,"Rupture")+COUNTIF($O$5:O848,"À commander"),"")</f>
        <v/>
      </c>
    </row>
    <row r="849">
      <c r="A849" s="37" t="n"/>
      <c r="B849" s="37" t="n"/>
      <c r="C849" s="37" t="n"/>
      <c r="D849" s="37" t="n"/>
      <c r="E849" s="37" t="n"/>
      <c r="F849" s="37" t="n"/>
      <c r="G849" s="38" t="n"/>
      <c r="H849" s="37" t="n"/>
      <c r="I849" s="37" t="n"/>
      <c r="J849" s="37" t="n"/>
      <c r="K849" s="39" t="str">
        <f>IF(A849="","",SUMIFS(mv_qty,mv_ref,A849,mv_type,"Entrée"))</f>
        <v/>
      </c>
      <c r="L849" s="39" t="str">
        <f>IF(A849="","",SUMIFS(mv_qty,mv_ref,A849,mv_type,"Sortie"))</f>
        <v/>
      </c>
      <c r="M849" s="39" t="str">
        <f>IF(A849="","",ROUND(N(H849)+K849-L849,6))</f>
        <v/>
      </c>
      <c r="N849" s="40" t="str">
        <f>IF(A849="","",M849*N(G849))</f>
        <v/>
      </c>
      <c r="O849" s="39" t="str">
        <f>IF(A849="","",IF(M849&lt;=0,"Rupture",IF(AND(I849&lt;&gt;"",M849&lt;=N(I849)),"À commander","OK")))</f>
        <v/>
      </c>
      <c r="P849" s="39" t="str">
        <f>IF(OR(A849="",O849="OK",J849=""),"",MAX(N(J849)-M849,0))</f>
        <v/>
      </c>
      <c r="Q849" s="39" t="str">
        <f>IF(A849="",IF(COUNTA(B849:J849)&gt;0,"Référence manquante",""),IF(COUNTIF($A$5:$A$1004,A849)&gt;1,"Référence en double",IF(B849="","Désignation manquante","OK")))</f>
        <v/>
      </c>
      <c r="R849" s="39" t="str">
        <f>IF(OR(O849="Rupture",O849="À commander"),COUNTIF($O$5:O849,"Rupture")+COUNTIF($O$5:O849,"À commander"),"")</f>
        <v/>
      </c>
    </row>
    <row r="850">
      <c r="A850" s="37" t="n"/>
      <c r="B850" s="37" t="n"/>
      <c r="C850" s="37" t="n"/>
      <c r="D850" s="37" t="n"/>
      <c r="E850" s="37" t="n"/>
      <c r="F850" s="37" t="n"/>
      <c r="G850" s="38" t="n"/>
      <c r="H850" s="37" t="n"/>
      <c r="I850" s="37" t="n"/>
      <c r="J850" s="37" t="n"/>
      <c r="K850" s="39" t="str">
        <f>IF(A850="","",SUMIFS(mv_qty,mv_ref,A850,mv_type,"Entrée"))</f>
        <v/>
      </c>
      <c r="L850" s="39" t="str">
        <f>IF(A850="","",SUMIFS(mv_qty,mv_ref,A850,mv_type,"Sortie"))</f>
        <v/>
      </c>
      <c r="M850" s="39" t="str">
        <f>IF(A850="","",ROUND(N(H850)+K850-L850,6))</f>
        <v/>
      </c>
      <c r="N850" s="40" t="str">
        <f>IF(A850="","",M850*N(G850))</f>
        <v/>
      </c>
      <c r="O850" s="39" t="str">
        <f>IF(A850="","",IF(M850&lt;=0,"Rupture",IF(AND(I850&lt;&gt;"",M850&lt;=N(I850)),"À commander","OK")))</f>
        <v/>
      </c>
      <c r="P850" s="39" t="str">
        <f>IF(OR(A850="",O850="OK",J850=""),"",MAX(N(J850)-M850,0))</f>
        <v/>
      </c>
      <c r="Q850" s="39" t="str">
        <f>IF(A850="",IF(COUNTA(B850:J850)&gt;0,"Référence manquante",""),IF(COUNTIF($A$5:$A$1004,A850)&gt;1,"Référence en double",IF(B850="","Désignation manquante","OK")))</f>
        <v/>
      </c>
      <c r="R850" s="39" t="str">
        <f>IF(OR(O850="Rupture",O850="À commander"),COUNTIF($O$5:O850,"Rupture")+COUNTIF($O$5:O850,"À commander"),"")</f>
        <v/>
      </c>
    </row>
    <row r="851">
      <c r="A851" s="37" t="n"/>
      <c r="B851" s="37" t="n"/>
      <c r="C851" s="37" t="n"/>
      <c r="D851" s="37" t="n"/>
      <c r="E851" s="37" t="n"/>
      <c r="F851" s="37" t="n"/>
      <c r="G851" s="38" t="n"/>
      <c r="H851" s="37" t="n"/>
      <c r="I851" s="37" t="n"/>
      <c r="J851" s="37" t="n"/>
      <c r="K851" s="39" t="str">
        <f>IF(A851="","",SUMIFS(mv_qty,mv_ref,A851,mv_type,"Entrée"))</f>
        <v/>
      </c>
      <c r="L851" s="39" t="str">
        <f>IF(A851="","",SUMIFS(mv_qty,mv_ref,A851,mv_type,"Sortie"))</f>
        <v/>
      </c>
      <c r="M851" s="39" t="str">
        <f>IF(A851="","",ROUND(N(H851)+K851-L851,6))</f>
        <v/>
      </c>
      <c r="N851" s="40" t="str">
        <f>IF(A851="","",M851*N(G851))</f>
        <v/>
      </c>
      <c r="O851" s="39" t="str">
        <f>IF(A851="","",IF(M851&lt;=0,"Rupture",IF(AND(I851&lt;&gt;"",M851&lt;=N(I851)),"À commander","OK")))</f>
        <v/>
      </c>
      <c r="P851" s="39" t="str">
        <f>IF(OR(A851="",O851="OK",J851=""),"",MAX(N(J851)-M851,0))</f>
        <v/>
      </c>
      <c r="Q851" s="39" t="str">
        <f>IF(A851="",IF(COUNTA(B851:J851)&gt;0,"Référence manquante",""),IF(COUNTIF($A$5:$A$1004,A851)&gt;1,"Référence en double",IF(B851="","Désignation manquante","OK")))</f>
        <v/>
      </c>
      <c r="R851" s="39" t="str">
        <f>IF(OR(O851="Rupture",O851="À commander"),COUNTIF($O$5:O851,"Rupture")+COUNTIF($O$5:O851,"À commander"),"")</f>
        <v/>
      </c>
    </row>
    <row r="852">
      <c r="A852" s="37" t="n"/>
      <c r="B852" s="37" t="n"/>
      <c r="C852" s="37" t="n"/>
      <c r="D852" s="37" t="n"/>
      <c r="E852" s="37" t="n"/>
      <c r="F852" s="37" t="n"/>
      <c r="G852" s="38" t="n"/>
      <c r="H852" s="37" t="n"/>
      <c r="I852" s="37" t="n"/>
      <c r="J852" s="37" t="n"/>
      <c r="K852" s="39" t="str">
        <f>IF(A852="","",SUMIFS(mv_qty,mv_ref,A852,mv_type,"Entrée"))</f>
        <v/>
      </c>
      <c r="L852" s="39" t="str">
        <f>IF(A852="","",SUMIFS(mv_qty,mv_ref,A852,mv_type,"Sortie"))</f>
        <v/>
      </c>
      <c r="M852" s="39" t="str">
        <f>IF(A852="","",ROUND(N(H852)+K852-L852,6))</f>
        <v/>
      </c>
      <c r="N852" s="40" t="str">
        <f>IF(A852="","",M852*N(G852))</f>
        <v/>
      </c>
      <c r="O852" s="39" t="str">
        <f>IF(A852="","",IF(M852&lt;=0,"Rupture",IF(AND(I852&lt;&gt;"",M852&lt;=N(I852)),"À commander","OK")))</f>
        <v/>
      </c>
      <c r="P852" s="39" t="str">
        <f>IF(OR(A852="",O852="OK",J852=""),"",MAX(N(J852)-M852,0))</f>
        <v/>
      </c>
      <c r="Q852" s="39" t="str">
        <f>IF(A852="",IF(COUNTA(B852:J852)&gt;0,"Référence manquante",""),IF(COUNTIF($A$5:$A$1004,A852)&gt;1,"Référence en double",IF(B852="","Désignation manquante","OK")))</f>
        <v/>
      </c>
      <c r="R852" s="39" t="str">
        <f>IF(OR(O852="Rupture",O852="À commander"),COUNTIF($O$5:O852,"Rupture")+COUNTIF($O$5:O852,"À commander"),"")</f>
        <v/>
      </c>
    </row>
    <row r="853">
      <c r="A853" s="37" t="n"/>
      <c r="B853" s="37" t="n"/>
      <c r="C853" s="37" t="n"/>
      <c r="D853" s="37" t="n"/>
      <c r="E853" s="37" t="n"/>
      <c r="F853" s="37" t="n"/>
      <c r="G853" s="38" t="n"/>
      <c r="H853" s="37" t="n"/>
      <c r="I853" s="37" t="n"/>
      <c r="J853" s="37" t="n"/>
      <c r="K853" s="39" t="str">
        <f>IF(A853="","",SUMIFS(mv_qty,mv_ref,A853,mv_type,"Entrée"))</f>
        <v/>
      </c>
      <c r="L853" s="39" t="str">
        <f>IF(A853="","",SUMIFS(mv_qty,mv_ref,A853,mv_type,"Sortie"))</f>
        <v/>
      </c>
      <c r="M853" s="39" t="str">
        <f>IF(A853="","",ROUND(N(H853)+K853-L853,6))</f>
        <v/>
      </c>
      <c r="N853" s="40" t="str">
        <f>IF(A853="","",M853*N(G853))</f>
        <v/>
      </c>
      <c r="O853" s="39" t="str">
        <f>IF(A853="","",IF(M853&lt;=0,"Rupture",IF(AND(I853&lt;&gt;"",M853&lt;=N(I853)),"À commander","OK")))</f>
        <v/>
      </c>
      <c r="P853" s="39" t="str">
        <f>IF(OR(A853="",O853="OK",J853=""),"",MAX(N(J853)-M853,0))</f>
        <v/>
      </c>
      <c r="Q853" s="39" t="str">
        <f>IF(A853="",IF(COUNTA(B853:J853)&gt;0,"Référence manquante",""),IF(COUNTIF($A$5:$A$1004,A853)&gt;1,"Référence en double",IF(B853="","Désignation manquante","OK")))</f>
        <v/>
      </c>
      <c r="R853" s="39" t="str">
        <f>IF(OR(O853="Rupture",O853="À commander"),COUNTIF($O$5:O853,"Rupture")+COUNTIF($O$5:O853,"À commander"),"")</f>
        <v/>
      </c>
    </row>
    <row r="854">
      <c r="A854" s="37" t="n"/>
      <c r="B854" s="37" t="n"/>
      <c r="C854" s="37" t="n"/>
      <c r="D854" s="37" t="n"/>
      <c r="E854" s="37" t="n"/>
      <c r="F854" s="37" t="n"/>
      <c r="G854" s="38" t="n"/>
      <c r="H854" s="37" t="n"/>
      <c r="I854" s="37" t="n"/>
      <c r="J854" s="37" t="n"/>
      <c r="K854" s="39" t="str">
        <f>IF(A854="","",SUMIFS(mv_qty,mv_ref,A854,mv_type,"Entrée"))</f>
        <v/>
      </c>
      <c r="L854" s="39" t="str">
        <f>IF(A854="","",SUMIFS(mv_qty,mv_ref,A854,mv_type,"Sortie"))</f>
        <v/>
      </c>
      <c r="M854" s="39" t="str">
        <f>IF(A854="","",ROUND(N(H854)+K854-L854,6))</f>
        <v/>
      </c>
      <c r="N854" s="40" t="str">
        <f>IF(A854="","",M854*N(G854))</f>
        <v/>
      </c>
      <c r="O854" s="39" t="str">
        <f>IF(A854="","",IF(M854&lt;=0,"Rupture",IF(AND(I854&lt;&gt;"",M854&lt;=N(I854)),"À commander","OK")))</f>
        <v/>
      </c>
      <c r="P854" s="39" t="str">
        <f>IF(OR(A854="",O854="OK",J854=""),"",MAX(N(J854)-M854,0))</f>
        <v/>
      </c>
      <c r="Q854" s="39" t="str">
        <f>IF(A854="",IF(COUNTA(B854:J854)&gt;0,"Référence manquante",""),IF(COUNTIF($A$5:$A$1004,A854)&gt;1,"Référence en double",IF(B854="","Désignation manquante","OK")))</f>
        <v/>
      </c>
      <c r="R854" s="39" t="str">
        <f>IF(OR(O854="Rupture",O854="À commander"),COUNTIF($O$5:O854,"Rupture")+COUNTIF($O$5:O854,"À commander"),"")</f>
        <v/>
      </c>
    </row>
    <row r="855">
      <c r="A855" s="37" t="n"/>
      <c r="B855" s="37" t="n"/>
      <c r="C855" s="37" t="n"/>
      <c r="D855" s="37" t="n"/>
      <c r="E855" s="37" t="n"/>
      <c r="F855" s="37" t="n"/>
      <c r="G855" s="38" t="n"/>
      <c r="H855" s="37" t="n"/>
      <c r="I855" s="37" t="n"/>
      <c r="J855" s="37" t="n"/>
      <c r="K855" s="39" t="str">
        <f>IF(A855="","",SUMIFS(mv_qty,mv_ref,A855,mv_type,"Entrée"))</f>
        <v/>
      </c>
      <c r="L855" s="39" t="str">
        <f>IF(A855="","",SUMIFS(mv_qty,mv_ref,A855,mv_type,"Sortie"))</f>
        <v/>
      </c>
      <c r="M855" s="39" t="str">
        <f>IF(A855="","",ROUND(N(H855)+K855-L855,6))</f>
        <v/>
      </c>
      <c r="N855" s="40" t="str">
        <f>IF(A855="","",M855*N(G855))</f>
        <v/>
      </c>
      <c r="O855" s="39" t="str">
        <f>IF(A855="","",IF(M855&lt;=0,"Rupture",IF(AND(I855&lt;&gt;"",M855&lt;=N(I855)),"À commander","OK")))</f>
        <v/>
      </c>
      <c r="P855" s="39" t="str">
        <f>IF(OR(A855="",O855="OK",J855=""),"",MAX(N(J855)-M855,0))</f>
        <v/>
      </c>
      <c r="Q855" s="39" t="str">
        <f>IF(A855="",IF(COUNTA(B855:J855)&gt;0,"Référence manquante",""),IF(COUNTIF($A$5:$A$1004,A855)&gt;1,"Référence en double",IF(B855="","Désignation manquante","OK")))</f>
        <v/>
      </c>
      <c r="R855" s="39" t="str">
        <f>IF(OR(O855="Rupture",O855="À commander"),COUNTIF($O$5:O855,"Rupture")+COUNTIF($O$5:O855,"À commander"),"")</f>
        <v/>
      </c>
    </row>
    <row r="856">
      <c r="A856" s="37" t="n"/>
      <c r="B856" s="37" t="n"/>
      <c r="C856" s="37" t="n"/>
      <c r="D856" s="37" t="n"/>
      <c r="E856" s="37" t="n"/>
      <c r="F856" s="37" t="n"/>
      <c r="G856" s="38" t="n"/>
      <c r="H856" s="37" t="n"/>
      <c r="I856" s="37" t="n"/>
      <c r="J856" s="37" t="n"/>
      <c r="K856" s="39" t="str">
        <f>IF(A856="","",SUMIFS(mv_qty,mv_ref,A856,mv_type,"Entrée"))</f>
        <v/>
      </c>
      <c r="L856" s="39" t="str">
        <f>IF(A856="","",SUMIFS(mv_qty,mv_ref,A856,mv_type,"Sortie"))</f>
        <v/>
      </c>
      <c r="M856" s="39" t="str">
        <f>IF(A856="","",ROUND(N(H856)+K856-L856,6))</f>
        <v/>
      </c>
      <c r="N856" s="40" t="str">
        <f>IF(A856="","",M856*N(G856))</f>
        <v/>
      </c>
      <c r="O856" s="39" t="str">
        <f>IF(A856="","",IF(M856&lt;=0,"Rupture",IF(AND(I856&lt;&gt;"",M856&lt;=N(I856)),"À commander","OK")))</f>
        <v/>
      </c>
      <c r="P856" s="39" t="str">
        <f>IF(OR(A856="",O856="OK",J856=""),"",MAX(N(J856)-M856,0))</f>
        <v/>
      </c>
      <c r="Q856" s="39" t="str">
        <f>IF(A856="",IF(COUNTA(B856:J856)&gt;0,"Référence manquante",""),IF(COUNTIF($A$5:$A$1004,A856)&gt;1,"Référence en double",IF(B856="","Désignation manquante","OK")))</f>
        <v/>
      </c>
      <c r="R856" s="39" t="str">
        <f>IF(OR(O856="Rupture",O856="À commander"),COUNTIF($O$5:O856,"Rupture")+COUNTIF($O$5:O856,"À commander"),"")</f>
        <v/>
      </c>
    </row>
    <row r="857">
      <c r="A857" s="37" t="n"/>
      <c r="B857" s="37" t="n"/>
      <c r="C857" s="37" t="n"/>
      <c r="D857" s="37" t="n"/>
      <c r="E857" s="37" t="n"/>
      <c r="F857" s="37" t="n"/>
      <c r="G857" s="38" t="n"/>
      <c r="H857" s="37" t="n"/>
      <c r="I857" s="37" t="n"/>
      <c r="J857" s="37" t="n"/>
      <c r="K857" s="39" t="str">
        <f>IF(A857="","",SUMIFS(mv_qty,mv_ref,A857,mv_type,"Entrée"))</f>
        <v/>
      </c>
      <c r="L857" s="39" t="str">
        <f>IF(A857="","",SUMIFS(mv_qty,mv_ref,A857,mv_type,"Sortie"))</f>
        <v/>
      </c>
      <c r="M857" s="39" t="str">
        <f>IF(A857="","",ROUND(N(H857)+K857-L857,6))</f>
        <v/>
      </c>
      <c r="N857" s="40" t="str">
        <f>IF(A857="","",M857*N(G857))</f>
        <v/>
      </c>
      <c r="O857" s="39" t="str">
        <f>IF(A857="","",IF(M857&lt;=0,"Rupture",IF(AND(I857&lt;&gt;"",M857&lt;=N(I857)),"À commander","OK")))</f>
        <v/>
      </c>
      <c r="P857" s="39" t="str">
        <f>IF(OR(A857="",O857="OK",J857=""),"",MAX(N(J857)-M857,0))</f>
        <v/>
      </c>
      <c r="Q857" s="39" t="str">
        <f>IF(A857="",IF(COUNTA(B857:J857)&gt;0,"Référence manquante",""),IF(COUNTIF($A$5:$A$1004,A857)&gt;1,"Référence en double",IF(B857="","Désignation manquante","OK")))</f>
        <v/>
      </c>
      <c r="R857" s="39" t="str">
        <f>IF(OR(O857="Rupture",O857="À commander"),COUNTIF($O$5:O857,"Rupture")+COUNTIF($O$5:O857,"À commander"),"")</f>
        <v/>
      </c>
    </row>
    <row r="858">
      <c r="A858" s="37" t="n"/>
      <c r="B858" s="37" t="n"/>
      <c r="C858" s="37" t="n"/>
      <c r="D858" s="37" t="n"/>
      <c r="E858" s="37" t="n"/>
      <c r="F858" s="37" t="n"/>
      <c r="G858" s="38" t="n"/>
      <c r="H858" s="37" t="n"/>
      <c r="I858" s="37" t="n"/>
      <c r="J858" s="37" t="n"/>
      <c r="K858" s="39" t="str">
        <f>IF(A858="","",SUMIFS(mv_qty,mv_ref,A858,mv_type,"Entrée"))</f>
        <v/>
      </c>
      <c r="L858" s="39" t="str">
        <f>IF(A858="","",SUMIFS(mv_qty,mv_ref,A858,mv_type,"Sortie"))</f>
        <v/>
      </c>
      <c r="M858" s="39" t="str">
        <f>IF(A858="","",ROUND(N(H858)+K858-L858,6))</f>
        <v/>
      </c>
      <c r="N858" s="40" t="str">
        <f>IF(A858="","",M858*N(G858))</f>
        <v/>
      </c>
      <c r="O858" s="39" t="str">
        <f>IF(A858="","",IF(M858&lt;=0,"Rupture",IF(AND(I858&lt;&gt;"",M858&lt;=N(I858)),"À commander","OK")))</f>
        <v/>
      </c>
      <c r="P858" s="39" t="str">
        <f>IF(OR(A858="",O858="OK",J858=""),"",MAX(N(J858)-M858,0))</f>
        <v/>
      </c>
      <c r="Q858" s="39" t="str">
        <f>IF(A858="",IF(COUNTA(B858:J858)&gt;0,"Référence manquante",""),IF(COUNTIF($A$5:$A$1004,A858)&gt;1,"Référence en double",IF(B858="","Désignation manquante","OK")))</f>
        <v/>
      </c>
      <c r="R858" s="39" t="str">
        <f>IF(OR(O858="Rupture",O858="À commander"),COUNTIF($O$5:O858,"Rupture")+COUNTIF($O$5:O858,"À commander"),"")</f>
        <v/>
      </c>
    </row>
    <row r="859">
      <c r="A859" s="37" t="n"/>
      <c r="B859" s="37" t="n"/>
      <c r="C859" s="37" t="n"/>
      <c r="D859" s="37" t="n"/>
      <c r="E859" s="37" t="n"/>
      <c r="F859" s="37" t="n"/>
      <c r="G859" s="38" t="n"/>
      <c r="H859" s="37" t="n"/>
      <c r="I859" s="37" t="n"/>
      <c r="J859" s="37" t="n"/>
      <c r="K859" s="39" t="str">
        <f>IF(A859="","",SUMIFS(mv_qty,mv_ref,A859,mv_type,"Entrée"))</f>
        <v/>
      </c>
      <c r="L859" s="39" t="str">
        <f>IF(A859="","",SUMIFS(mv_qty,mv_ref,A859,mv_type,"Sortie"))</f>
        <v/>
      </c>
      <c r="M859" s="39" t="str">
        <f>IF(A859="","",ROUND(N(H859)+K859-L859,6))</f>
        <v/>
      </c>
      <c r="N859" s="40" t="str">
        <f>IF(A859="","",M859*N(G859))</f>
        <v/>
      </c>
      <c r="O859" s="39" t="str">
        <f>IF(A859="","",IF(M859&lt;=0,"Rupture",IF(AND(I859&lt;&gt;"",M859&lt;=N(I859)),"À commander","OK")))</f>
        <v/>
      </c>
      <c r="P859" s="39" t="str">
        <f>IF(OR(A859="",O859="OK",J859=""),"",MAX(N(J859)-M859,0))</f>
        <v/>
      </c>
      <c r="Q859" s="39" t="str">
        <f>IF(A859="",IF(COUNTA(B859:J859)&gt;0,"Référence manquante",""),IF(COUNTIF($A$5:$A$1004,A859)&gt;1,"Référence en double",IF(B859="","Désignation manquante","OK")))</f>
        <v/>
      </c>
      <c r="R859" s="39" t="str">
        <f>IF(OR(O859="Rupture",O859="À commander"),COUNTIF($O$5:O859,"Rupture")+COUNTIF($O$5:O859,"À commander"),"")</f>
        <v/>
      </c>
    </row>
    <row r="860">
      <c r="A860" s="37" t="n"/>
      <c r="B860" s="37" t="n"/>
      <c r="C860" s="37" t="n"/>
      <c r="D860" s="37" t="n"/>
      <c r="E860" s="37" t="n"/>
      <c r="F860" s="37" t="n"/>
      <c r="G860" s="38" t="n"/>
      <c r="H860" s="37" t="n"/>
      <c r="I860" s="37" t="n"/>
      <c r="J860" s="37" t="n"/>
      <c r="K860" s="39" t="str">
        <f>IF(A860="","",SUMIFS(mv_qty,mv_ref,A860,mv_type,"Entrée"))</f>
        <v/>
      </c>
      <c r="L860" s="39" t="str">
        <f>IF(A860="","",SUMIFS(mv_qty,mv_ref,A860,mv_type,"Sortie"))</f>
        <v/>
      </c>
      <c r="M860" s="39" t="str">
        <f>IF(A860="","",ROUND(N(H860)+K860-L860,6))</f>
        <v/>
      </c>
      <c r="N860" s="40" t="str">
        <f>IF(A860="","",M860*N(G860))</f>
        <v/>
      </c>
      <c r="O860" s="39" t="str">
        <f>IF(A860="","",IF(M860&lt;=0,"Rupture",IF(AND(I860&lt;&gt;"",M860&lt;=N(I860)),"À commander","OK")))</f>
        <v/>
      </c>
      <c r="P860" s="39" t="str">
        <f>IF(OR(A860="",O860="OK",J860=""),"",MAX(N(J860)-M860,0))</f>
        <v/>
      </c>
      <c r="Q860" s="39" t="str">
        <f>IF(A860="",IF(COUNTA(B860:J860)&gt;0,"Référence manquante",""),IF(COUNTIF($A$5:$A$1004,A860)&gt;1,"Référence en double",IF(B860="","Désignation manquante","OK")))</f>
        <v/>
      </c>
      <c r="R860" s="39" t="str">
        <f>IF(OR(O860="Rupture",O860="À commander"),COUNTIF($O$5:O860,"Rupture")+COUNTIF($O$5:O860,"À commander"),"")</f>
        <v/>
      </c>
    </row>
    <row r="861">
      <c r="A861" s="37" t="n"/>
      <c r="B861" s="37" t="n"/>
      <c r="C861" s="37" t="n"/>
      <c r="D861" s="37" t="n"/>
      <c r="E861" s="37" t="n"/>
      <c r="F861" s="37" t="n"/>
      <c r="G861" s="38" t="n"/>
      <c r="H861" s="37" t="n"/>
      <c r="I861" s="37" t="n"/>
      <c r="J861" s="37" t="n"/>
      <c r="K861" s="39" t="str">
        <f>IF(A861="","",SUMIFS(mv_qty,mv_ref,A861,mv_type,"Entrée"))</f>
        <v/>
      </c>
      <c r="L861" s="39" t="str">
        <f>IF(A861="","",SUMIFS(mv_qty,mv_ref,A861,mv_type,"Sortie"))</f>
        <v/>
      </c>
      <c r="M861" s="39" t="str">
        <f>IF(A861="","",ROUND(N(H861)+K861-L861,6))</f>
        <v/>
      </c>
      <c r="N861" s="40" t="str">
        <f>IF(A861="","",M861*N(G861))</f>
        <v/>
      </c>
      <c r="O861" s="39" t="str">
        <f>IF(A861="","",IF(M861&lt;=0,"Rupture",IF(AND(I861&lt;&gt;"",M861&lt;=N(I861)),"À commander","OK")))</f>
        <v/>
      </c>
      <c r="P861" s="39" t="str">
        <f>IF(OR(A861="",O861="OK",J861=""),"",MAX(N(J861)-M861,0))</f>
        <v/>
      </c>
      <c r="Q861" s="39" t="str">
        <f>IF(A861="",IF(COUNTA(B861:J861)&gt;0,"Référence manquante",""),IF(COUNTIF($A$5:$A$1004,A861)&gt;1,"Référence en double",IF(B861="","Désignation manquante","OK")))</f>
        <v/>
      </c>
      <c r="R861" s="39" t="str">
        <f>IF(OR(O861="Rupture",O861="À commander"),COUNTIF($O$5:O861,"Rupture")+COUNTIF($O$5:O861,"À commander"),"")</f>
        <v/>
      </c>
    </row>
    <row r="862">
      <c r="A862" s="37" t="n"/>
      <c r="B862" s="37" t="n"/>
      <c r="C862" s="37" t="n"/>
      <c r="D862" s="37" t="n"/>
      <c r="E862" s="37" t="n"/>
      <c r="F862" s="37" t="n"/>
      <c r="G862" s="38" t="n"/>
      <c r="H862" s="37" t="n"/>
      <c r="I862" s="37" t="n"/>
      <c r="J862" s="37" t="n"/>
      <c r="K862" s="39" t="str">
        <f>IF(A862="","",SUMIFS(mv_qty,mv_ref,A862,mv_type,"Entrée"))</f>
        <v/>
      </c>
      <c r="L862" s="39" t="str">
        <f>IF(A862="","",SUMIFS(mv_qty,mv_ref,A862,mv_type,"Sortie"))</f>
        <v/>
      </c>
      <c r="M862" s="39" t="str">
        <f>IF(A862="","",ROUND(N(H862)+K862-L862,6))</f>
        <v/>
      </c>
      <c r="N862" s="40" t="str">
        <f>IF(A862="","",M862*N(G862))</f>
        <v/>
      </c>
      <c r="O862" s="39" t="str">
        <f>IF(A862="","",IF(M862&lt;=0,"Rupture",IF(AND(I862&lt;&gt;"",M862&lt;=N(I862)),"À commander","OK")))</f>
        <v/>
      </c>
      <c r="P862" s="39" t="str">
        <f>IF(OR(A862="",O862="OK",J862=""),"",MAX(N(J862)-M862,0))</f>
        <v/>
      </c>
      <c r="Q862" s="39" t="str">
        <f>IF(A862="",IF(COUNTA(B862:J862)&gt;0,"Référence manquante",""),IF(COUNTIF($A$5:$A$1004,A862)&gt;1,"Référence en double",IF(B862="","Désignation manquante","OK")))</f>
        <v/>
      </c>
      <c r="R862" s="39" t="str">
        <f>IF(OR(O862="Rupture",O862="À commander"),COUNTIF($O$5:O862,"Rupture")+COUNTIF($O$5:O862,"À commander"),"")</f>
        <v/>
      </c>
    </row>
    <row r="863">
      <c r="A863" s="37" t="n"/>
      <c r="B863" s="37" t="n"/>
      <c r="C863" s="37" t="n"/>
      <c r="D863" s="37" t="n"/>
      <c r="E863" s="37" t="n"/>
      <c r="F863" s="37" t="n"/>
      <c r="G863" s="38" t="n"/>
      <c r="H863" s="37" t="n"/>
      <c r="I863" s="37" t="n"/>
      <c r="J863" s="37" t="n"/>
      <c r="K863" s="39" t="str">
        <f>IF(A863="","",SUMIFS(mv_qty,mv_ref,A863,mv_type,"Entrée"))</f>
        <v/>
      </c>
      <c r="L863" s="39" t="str">
        <f>IF(A863="","",SUMIFS(mv_qty,mv_ref,A863,mv_type,"Sortie"))</f>
        <v/>
      </c>
      <c r="M863" s="39" t="str">
        <f>IF(A863="","",ROUND(N(H863)+K863-L863,6))</f>
        <v/>
      </c>
      <c r="N863" s="40" t="str">
        <f>IF(A863="","",M863*N(G863))</f>
        <v/>
      </c>
      <c r="O863" s="39" t="str">
        <f>IF(A863="","",IF(M863&lt;=0,"Rupture",IF(AND(I863&lt;&gt;"",M863&lt;=N(I863)),"À commander","OK")))</f>
        <v/>
      </c>
      <c r="P863" s="39" t="str">
        <f>IF(OR(A863="",O863="OK",J863=""),"",MAX(N(J863)-M863,0))</f>
        <v/>
      </c>
      <c r="Q863" s="39" t="str">
        <f>IF(A863="",IF(COUNTA(B863:J863)&gt;0,"Référence manquante",""),IF(COUNTIF($A$5:$A$1004,A863)&gt;1,"Référence en double",IF(B863="","Désignation manquante","OK")))</f>
        <v/>
      </c>
      <c r="R863" s="39" t="str">
        <f>IF(OR(O863="Rupture",O863="À commander"),COUNTIF($O$5:O863,"Rupture")+COUNTIF($O$5:O863,"À commander"),"")</f>
        <v/>
      </c>
    </row>
    <row r="864">
      <c r="A864" s="37" t="n"/>
      <c r="B864" s="37" t="n"/>
      <c r="C864" s="37" t="n"/>
      <c r="D864" s="37" t="n"/>
      <c r="E864" s="37" t="n"/>
      <c r="F864" s="37" t="n"/>
      <c r="G864" s="38" t="n"/>
      <c r="H864" s="37" t="n"/>
      <c r="I864" s="37" t="n"/>
      <c r="J864" s="37" t="n"/>
      <c r="K864" s="39" t="str">
        <f>IF(A864="","",SUMIFS(mv_qty,mv_ref,A864,mv_type,"Entrée"))</f>
        <v/>
      </c>
      <c r="L864" s="39" t="str">
        <f>IF(A864="","",SUMIFS(mv_qty,mv_ref,A864,mv_type,"Sortie"))</f>
        <v/>
      </c>
      <c r="M864" s="39" t="str">
        <f>IF(A864="","",ROUND(N(H864)+K864-L864,6))</f>
        <v/>
      </c>
      <c r="N864" s="40" t="str">
        <f>IF(A864="","",M864*N(G864))</f>
        <v/>
      </c>
      <c r="O864" s="39" t="str">
        <f>IF(A864="","",IF(M864&lt;=0,"Rupture",IF(AND(I864&lt;&gt;"",M864&lt;=N(I864)),"À commander","OK")))</f>
        <v/>
      </c>
      <c r="P864" s="39" t="str">
        <f>IF(OR(A864="",O864="OK",J864=""),"",MAX(N(J864)-M864,0))</f>
        <v/>
      </c>
      <c r="Q864" s="39" t="str">
        <f>IF(A864="",IF(COUNTA(B864:J864)&gt;0,"Référence manquante",""),IF(COUNTIF($A$5:$A$1004,A864)&gt;1,"Référence en double",IF(B864="","Désignation manquante","OK")))</f>
        <v/>
      </c>
      <c r="R864" s="39" t="str">
        <f>IF(OR(O864="Rupture",O864="À commander"),COUNTIF($O$5:O864,"Rupture")+COUNTIF($O$5:O864,"À commander"),"")</f>
        <v/>
      </c>
    </row>
    <row r="865">
      <c r="A865" s="37" t="n"/>
      <c r="B865" s="37" t="n"/>
      <c r="C865" s="37" t="n"/>
      <c r="D865" s="37" t="n"/>
      <c r="E865" s="37" t="n"/>
      <c r="F865" s="37" t="n"/>
      <c r="G865" s="38" t="n"/>
      <c r="H865" s="37" t="n"/>
      <c r="I865" s="37" t="n"/>
      <c r="J865" s="37" t="n"/>
      <c r="K865" s="39" t="str">
        <f>IF(A865="","",SUMIFS(mv_qty,mv_ref,A865,mv_type,"Entrée"))</f>
        <v/>
      </c>
      <c r="L865" s="39" t="str">
        <f>IF(A865="","",SUMIFS(mv_qty,mv_ref,A865,mv_type,"Sortie"))</f>
        <v/>
      </c>
      <c r="M865" s="39" t="str">
        <f>IF(A865="","",ROUND(N(H865)+K865-L865,6))</f>
        <v/>
      </c>
      <c r="N865" s="40" t="str">
        <f>IF(A865="","",M865*N(G865))</f>
        <v/>
      </c>
      <c r="O865" s="39" t="str">
        <f>IF(A865="","",IF(M865&lt;=0,"Rupture",IF(AND(I865&lt;&gt;"",M865&lt;=N(I865)),"À commander","OK")))</f>
        <v/>
      </c>
      <c r="P865" s="39" t="str">
        <f>IF(OR(A865="",O865="OK",J865=""),"",MAX(N(J865)-M865,0))</f>
        <v/>
      </c>
      <c r="Q865" s="39" t="str">
        <f>IF(A865="",IF(COUNTA(B865:J865)&gt;0,"Référence manquante",""),IF(COUNTIF($A$5:$A$1004,A865)&gt;1,"Référence en double",IF(B865="","Désignation manquante","OK")))</f>
        <v/>
      </c>
      <c r="R865" s="39" t="str">
        <f>IF(OR(O865="Rupture",O865="À commander"),COUNTIF($O$5:O865,"Rupture")+COUNTIF($O$5:O865,"À commander"),"")</f>
        <v/>
      </c>
    </row>
    <row r="866">
      <c r="A866" s="37" t="n"/>
      <c r="B866" s="37" t="n"/>
      <c r="C866" s="37" t="n"/>
      <c r="D866" s="37" t="n"/>
      <c r="E866" s="37" t="n"/>
      <c r="F866" s="37" t="n"/>
      <c r="G866" s="38" t="n"/>
      <c r="H866" s="37" t="n"/>
      <c r="I866" s="37" t="n"/>
      <c r="J866" s="37" t="n"/>
      <c r="K866" s="39" t="str">
        <f>IF(A866="","",SUMIFS(mv_qty,mv_ref,A866,mv_type,"Entrée"))</f>
        <v/>
      </c>
      <c r="L866" s="39" t="str">
        <f>IF(A866="","",SUMIFS(mv_qty,mv_ref,A866,mv_type,"Sortie"))</f>
        <v/>
      </c>
      <c r="M866" s="39" t="str">
        <f>IF(A866="","",ROUND(N(H866)+K866-L866,6))</f>
        <v/>
      </c>
      <c r="N866" s="40" t="str">
        <f>IF(A866="","",M866*N(G866))</f>
        <v/>
      </c>
      <c r="O866" s="39" t="str">
        <f>IF(A866="","",IF(M866&lt;=0,"Rupture",IF(AND(I866&lt;&gt;"",M866&lt;=N(I866)),"À commander","OK")))</f>
        <v/>
      </c>
      <c r="P866" s="39" t="str">
        <f>IF(OR(A866="",O866="OK",J866=""),"",MAX(N(J866)-M866,0))</f>
        <v/>
      </c>
      <c r="Q866" s="39" t="str">
        <f>IF(A866="",IF(COUNTA(B866:J866)&gt;0,"Référence manquante",""),IF(COUNTIF($A$5:$A$1004,A866)&gt;1,"Référence en double",IF(B866="","Désignation manquante","OK")))</f>
        <v/>
      </c>
      <c r="R866" s="39" t="str">
        <f>IF(OR(O866="Rupture",O866="À commander"),COUNTIF($O$5:O866,"Rupture")+COUNTIF($O$5:O866,"À commander"),"")</f>
        <v/>
      </c>
    </row>
    <row r="867">
      <c r="A867" s="37" t="n"/>
      <c r="B867" s="37" t="n"/>
      <c r="C867" s="37" t="n"/>
      <c r="D867" s="37" t="n"/>
      <c r="E867" s="37" t="n"/>
      <c r="F867" s="37" t="n"/>
      <c r="G867" s="38" t="n"/>
      <c r="H867" s="37" t="n"/>
      <c r="I867" s="37" t="n"/>
      <c r="J867" s="37" t="n"/>
      <c r="K867" s="39" t="str">
        <f>IF(A867="","",SUMIFS(mv_qty,mv_ref,A867,mv_type,"Entrée"))</f>
        <v/>
      </c>
      <c r="L867" s="39" t="str">
        <f>IF(A867="","",SUMIFS(mv_qty,mv_ref,A867,mv_type,"Sortie"))</f>
        <v/>
      </c>
      <c r="M867" s="39" t="str">
        <f>IF(A867="","",ROUND(N(H867)+K867-L867,6))</f>
        <v/>
      </c>
      <c r="N867" s="40" t="str">
        <f>IF(A867="","",M867*N(G867))</f>
        <v/>
      </c>
      <c r="O867" s="39" t="str">
        <f>IF(A867="","",IF(M867&lt;=0,"Rupture",IF(AND(I867&lt;&gt;"",M867&lt;=N(I867)),"À commander","OK")))</f>
        <v/>
      </c>
      <c r="P867" s="39" t="str">
        <f>IF(OR(A867="",O867="OK",J867=""),"",MAX(N(J867)-M867,0))</f>
        <v/>
      </c>
      <c r="Q867" s="39" t="str">
        <f>IF(A867="",IF(COUNTA(B867:J867)&gt;0,"Référence manquante",""),IF(COUNTIF($A$5:$A$1004,A867)&gt;1,"Référence en double",IF(B867="","Désignation manquante","OK")))</f>
        <v/>
      </c>
      <c r="R867" s="39" t="str">
        <f>IF(OR(O867="Rupture",O867="À commander"),COUNTIF($O$5:O867,"Rupture")+COUNTIF($O$5:O867,"À commander"),"")</f>
        <v/>
      </c>
    </row>
    <row r="868">
      <c r="A868" s="37" t="n"/>
      <c r="B868" s="37" t="n"/>
      <c r="C868" s="37" t="n"/>
      <c r="D868" s="37" t="n"/>
      <c r="E868" s="37" t="n"/>
      <c r="F868" s="37" t="n"/>
      <c r="G868" s="38" t="n"/>
      <c r="H868" s="37" t="n"/>
      <c r="I868" s="37" t="n"/>
      <c r="J868" s="37" t="n"/>
      <c r="K868" s="39" t="str">
        <f>IF(A868="","",SUMIFS(mv_qty,mv_ref,A868,mv_type,"Entrée"))</f>
        <v/>
      </c>
      <c r="L868" s="39" t="str">
        <f>IF(A868="","",SUMIFS(mv_qty,mv_ref,A868,mv_type,"Sortie"))</f>
        <v/>
      </c>
      <c r="M868" s="39" t="str">
        <f>IF(A868="","",ROUND(N(H868)+K868-L868,6))</f>
        <v/>
      </c>
      <c r="N868" s="40" t="str">
        <f>IF(A868="","",M868*N(G868))</f>
        <v/>
      </c>
      <c r="O868" s="39" t="str">
        <f>IF(A868="","",IF(M868&lt;=0,"Rupture",IF(AND(I868&lt;&gt;"",M868&lt;=N(I868)),"À commander","OK")))</f>
        <v/>
      </c>
      <c r="P868" s="39" t="str">
        <f>IF(OR(A868="",O868="OK",J868=""),"",MAX(N(J868)-M868,0))</f>
        <v/>
      </c>
      <c r="Q868" s="39" t="str">
        <f>IF(A868="",IF(COUNTA(B868:J868)&gt;0,"Référence manquante",""),IF(COUNTIF($A$5:$A$1004,A868)&gt;1,"Référence en double",IF(B868="","Désignation manquante","OK")))</f>
        <v/>
      </c>
      <c r="R868" s="39" t="str">
        <f>IF(OR(O868="Rupture",O868="À commander"),COUNTIF($O$5:O868,"Rupture")+COUNTIF($O$5:O868,"À commander"),"")</f>
        <v/>
      </c>
    </row>
    <row r="869">
      <c r="A869" s="37" t="n"/>
      <c r="B869" s="37" t="n"/>
      <c r="C869" s="37" t="n"/>
      <c r="D869" s="37" t="n"/>
      <c r="E869" s="37" t="n"/>
      <c r="F869" s="37" t="n"/>
      <c r="G869" s="38" t="n"/>
      <c r="H869" s="37" t="n"/>
      <c r="I869" s="37" t="n"/>
      <c r="J869" s="37" t="n"/>
      <c r="K869" s="39" t="str">
        <f>IF(A869="","",SUMIFS(mv_qty,mv_ref,A869,mv_type,"Entrée"))</f>
        <v/>
      </c>
      <c r="L869" s="39" t="str">
        <f>IF(A869="","",SUMIFS(mv_qty,mv_ref,A869,mv_type,"Sortie"))</f>
        <v/>
      </c>
      <c r="M869" s="39" t="str">
        <f>IF(A869="","",ROUND(N(H869)+K869-L869,6))</f>
        <v/>
      </c>
      <c r="N869" s="40" t="str">
        <f>IF(A869="","",M869*N(G869))</f>
        <v/>
      </c>
      <c r="O869" s="39" t="str">
        <f>IF(A869="","",IF(M869&lt;=0,"Rupture",IF(AND(I869&lt;&gt;"",M869&lt;=N(I869)),"À commander","OK")))</f>
        <v/>
      </c>
      <c r="P869" s="39" t="str">
        <f>IF(OR(A869="",O869="OK",J869=""),"",MAX(N(J869)-M869,0))</f>
        <v/>
      </c>
      <c r="Q869" s="39" t="str">
        <f>IF(A869="",IF(COUNTA(B869:J869)&gt;0,"Référence manquante",""),IF(COUNTIF($A$5:$A$1004,A869)&gt;1,"Référence en double",IF(B869="","Désignation manquante","OK")))</f>
        <v/>
      </c>
      <c r="R869" s="39" t="str">
        <f>IF(OR(O869="Rupture",O869="À commander"),COUNTIF($O$5:O869,"Rupture")+COUNTIF($O$5:O869,"À commander"),"")</f>
        <v/>
      </c>
    </row>
    <row r="870">
      <c r="A870" s="37" t="n"/>
      <c r="B870" s="37" t="n"/>
      <c r="C870" s="37" t="n"/>
      <c r="D870" s="37" t="n"/>
      <c r="E870" s="37" t="n"/>
      <c r="F870" s="37" t="n"/>
      <c r="G870" s="38" t="n"/>
      <c r="H870" s="37" t="n"/>
      <c r="I870" s="37" t="n"/>
      <c r="J870" s="37" t="n"/>
      <c r="K870" s="39" t="str">
        <f>IF(A870="","",SUMIFS(mv_qty,mv_ref,A870,mv_type,"Entrée"))</f>
        <v/>
      </c>
      <c r="L870" s="39" t="str">
        <f>IF(A870="","",SUMIFS(mv_qty,mv_ref,A870,mv_type,"Sortie"))</f>
        <v/>
      </c>
      <c r="M870" s="39" t="str">
        <f>IF(A870="","",ROUND(N(H870)+K870-L870,6))</f>
        <v/>
      </c>
      <c r="N870" s="40" t="str">
        <f>IF(A870="","",M870*N(G870))</f>
        <v/>
      </c>
      <c r="O870" s="39" t="str">
        <f>IF(A870="","",IF(M870&lt;=0,"Rupture",IF(AND(I870&lt;&gt;"",M870&lt;=N(I870)),"À commander","OK")))</f>
        <v/>
      </c>
      <c r="P870" s="39" t="str">
        <f>IF(OR(A870="",O870="OK",J870=""),"",MAX(N(J870)-M870,0))</f>
        <v/>
      </c>
      <c r="Q870" s="39" t="str">
        <f>IF(A870="",IF(COUNTA(B870:J870)&gt;0,"Référence manquante",""),IF(COUNTIF($A$5:$A$1004,A870)&gt;1,"Référence en double",IF(B870="","Désignation manquante","OK")))</f>
        <v/>
      </c>
      <c r="R870" s="39" t="str">
        <f>IF(OR(O870="Rupture",O870="À commander"),COUNTIF($O$5:O870,"Rupture")+COUNTIF($O$5:O870,"À commander"),"")</f>
        <v/>
      </c>
    </row>
    <row r="871">
      <c r="A871" s="37" t="n"/>
      <c r="B871" s="37" t="n"/>
      <c r="C871" s="37" t="n"/>
      <c r="D871" s="37" t="n"/>
      <c r="E871" s="37" t="n"/>
      <c r="F871" s="37" t="n"/>
      <c r="G871" s="38" t="n"/>
      <c r="H871" s="37" t="n"/>
      <c r="I871" s="37" t="n"/>
      <c r="J871" s="37" t="n"/>
      <c r="K871" s="39" t="str">
        <f>IF(A871="","",SUMIFS(mv_qty,mv_ref,A871,mv_type,"Entrée"))</f>
        <v/>
      </c>
      <c r="L871" s="39" t="str">
        <f>IF(A871="","",SUMIFS(mv_qty,mv_ref,A871,mv_type,"Sortie"))</f>
        <v/>
      </c>
      <c r="M871" s="39" t="str">
        <f>IF(A871="","",ROUND(N(H871)+K871-L871,6))</f>
        <v/>
      </c>
      <c r="N871" s="40" t="str">
        <f>IF(A871="","",M871*N(G871))</f>
        <v/>
      </c>
      <c r="O871" s="39" t="str">
        <f>IF(A871="","",IF(M871&lt;=0,"Rupture",IF(AND(I871&lt;&gt;"",M871&lt;=N(I871)),"À commander","OK")))</f>
        <v/>
      </c>
      <c r="P871" s="39" t="str">
        <f>IF(OR(A871="",O871="OK",J871=""),"",MAX(N(J871)-M871,0))</f>
        <v/>
      </c>
      <c r="Q871" s="39" t="str">
        <f>IF(A871="",IF(COUNTA(B871:J871)&gt;0,"Référence manquante",""),IF(COUNTIF($A$5:$A$1004,A871)&gt;1,"Référence en double",IF(B871="","Désignation manquante","OK")))</f>
        <v/>
      </c>
      <c r="R871" s="39" t="str">
        <f>IF(OR(O871="Rupture",O871="À commander"),COUNTIF($O$5:O871,"Rupture")+COUNTIF($O$5:O871,"À commander"),"")</f>
        <v/>
      </c>
    </row>
    <row r="872">
      <c r="A872" s="37" t="n"/>
      <c r="B872" s="37" t="n"/>
      <c r="C872" s="37" t="n"/>
      <c r="D872" s="37" t="n"/>
      <c r="E872" s="37" t="n"/>
      <c r="F872" s="37" t="n"/>
      <c r="G872" s="38" t="n"/>
      <c r="H872" s="37" t="n"/>
      <c r="I872" s="37" t="n"/>
      <c r="J872" s="37" t="n"/>
      <c r="K872" s="39" t="str">
        <f>IF(A872="","",SUMIFS(mv_qty,mv_ref,A872,mv_type,"Entrée"))</f>
        <v/>
      </c>
      <c r="L872" s="39" t="str">
        <f>IF(A872="","",SUMIFS(mv_qty,mv_ref,A872,mv_type,"Sortie"))</f>
        <v/>
      </c>
      <c r="M872" s="39" t="str">
        <f>IF(A872="","",ROUND(N(H872)+K872-L872,6))</f>
        <v/>
      </c>
      <c r="N872" s="40" t="str">
        <f>IF(A872="","",M872*N(G872))</f>
        <v/>
      </c>
      <c r="O872" s="39" t="str">
        <f>IF(A872="","",IF(M872&lt;=0,"Rupture",IF(AND(I872&lt;&gt;"",M872&lt;=N(I872)),"À commander","OK")))</f>
        <v/>
      </c>
      <c r="P872" s="39" t="str">
        <f>IF(OR(A872="",O872="OK",J872=""),"",MAX(N(J872)-M872,0))</f>
        <v/>
      </c>
      <c r="Q872" s="39" t="str">
        <f>IF(A872="",IF(COUNTA(B872:J872)&gt;0,"Référence manquante",""),IF(COUNTIF($A$5:$A$1004,A872)&gt;1,"Référence en double",IF(B872="","Désignation manquante","OK")))</f>
        <v/>
      </c>
      <c r="R872" s="39" t="str">
        <f>IF(OR(O872="Rupture",O872="À commander"),COUNTIF($O$5:O872,"Rupture")+COUNTIF($O$5:O872,"À commander"),"")</f>
        <v/>
      </c>
    </row>
    <row r="873">
      <c r="A873" s="37" t="n"/>
      <c r="B873" s="37" t="n"/>
      <c r="C873" s="37" t="n"/>
      <c r="D873" s="37" t="n"/>
      <c r="E873" s="37" t="n"/>
      <c r="F873" s="37" t="n"/>
      <c r="G873" s="38" t="n"/>
      <c r="H873" s="37" t="n"/>
      <c r="I873" s="37" t="n"/>
      <c r="J873" s="37" t="n"/>
      <c r="K873" s="39" t="str">
        <f>IF(A873="","",SUMIFS(mv_qty,mv_ref,A873,mv_type,"Entrée"))</f>
        <v/>
      </c>
      <c r="L873" s="39" t="str">
        <f>IF(A873="","",SUMIFS(mv_qty,mv_ref,A873,mv_type,"Sortie"))</f>
        <v/>
      </c>
      <c r="M873" s="39" t="str">
        <f>IF(A873="","",ROUND(N(H873)+K873-L873,6))</f>
        <v/>
      </c>
      <c r="N873" s="40" t="str">
        <f>IF(A873="","",M873*N(G873))</f>
        <v/>
      </c>
      <c r="O873" s="39" t="str">
        <f>IF(A873="","",IF(M873&lt;=0,"Rupture",IF(AND(I873&lt;&gt;"",M873&lt;=N(I873)),"À commander","OK")))</f>
        <v/>
      </c>
      <c r="P873" s="39" t="str">
        <f>IF(OR(A873="",O873="OK",J873=""),"",MAX(N(J873)-M873,0))</f>
        <v/>
      </c>
      <c r="Q873" s="39" t="str">
        <f>IF(A873="",IF(COUNTA(B873:J873)&gt;0,"Référence manquante",""),IF(COUNTIF($A$5:$A$1004,A873)&gt;1,"Référence en double",IF(B873="","Désignation manquante","OK")))</f>
        <v/>
      </c>
      <c r="R873" s="39" t="str">
        <f>IF(OR(O873="Rupture",O873="À commander"),COUNTIF($O$5:O873,"Rupture")+COUNTIF($O$5:O873,"À commander"),"")</f>
        <v/>
      </c>
    </row>
    <row r="874">
      <c r="A874" s="37" t="n"/>
      <c r="B874" s="37" t="n"/>
      <c r="C874" s="37" t="n"/>
      <c r="D874" s="37" t="n"/>
      <c r="E874" s="37" t="n"/>
      <c r="F874" s="37" t="n"/>
      <c r="G874" s="38" t="n"/>
      <c r="H874" s="37" t="n"/>
      <c r="I874" s="37" t="n"/>
      <c r="J874" s="37" t="n"/>
      <c r="K874" s="39" t="str">
        <f>IF(A874="","",SUMIFS(mv_qty,mv_ref,A874,mv_type,"Entrée"))</f>
        <v/>
      </c>
      <c r="L874" s="39" t="str">
        <f>IF(A874="","",SUMIFS(mv_qty,mv_ref,A874,mv_type,"Sortie"))</f>
        <v/>
      </c>
      <c r="M874" s="39" t="str">
        <f>IF(A874="","",ROUND(N(H874)+K874-L874,6))</f>
        <v/>
      </c>
      <c r="N874" s="40" t="str">
        <f>IF(A874="","",M874*N(G874))</f>
        <v/>
      </c>
      <c r="O874" s="39" t="str">
        <f>IF(A874="","",IF(M874&lt;=0,"Rupture",IF(AND(I874&lt;&gt;"",M874&lt;=N(I874)),"À commander","OK")))</f>
        <v/>
      </c>
      <c r="P874" s="39" t="str">
        <f>IF(OR(A874="",O874="OK",J874=""),"",MAX(N(J874)-M874,0))</f>
        <v/>
      </c>
      <c r="Q874" s="39" t="str">
        <f>IF(A874="",IF(COUNTA(B874:J874)&gt;0,"Référence manquante",""),IF(COUNTIF($A$5:$A$1004,A874)&gt;1,"Référence en double",IF(B874="","Désignation manquante","OK")))</f>
        <v/>
      </c>
      <c r="R874" s="39" t="str">
        <f>IF(OR(O874="Rupture",O874="À commander"),COUNTIF($O$5:O874,"Rupture")+COUNTIF($O$5:O874,"À commander"),"")</f>
        <v/>
      </c>
    </row>
    <row r="875">
      <c r="A875" s="37" t="n"/>
      <c r="B875" s="37" t="n"/>
      <c r="C875" s="37" t="n"/>
      <c r="D875" s="37" t="n"/>
      <c r="E875" s="37" t="n"/>
      <c r="F875" s="37" t="n"/>
      <c r="G875" s="38" t="n"/>
      <c r="H875" s="37" t="n"/>
      <c r="I875" s="37" t="n"/>
      <c r="J875" s="37" t="n"/>
      <c r="K875" s="39" t="str">
        <f>IF(A875="","",SUMIFS(mv_qty,mv_ref,A875,mv_type,"Entrée"))</f>
        <v/>
      </c>
      <c r="L875" s="39" t="str">
        <f>IF(A875="","",SUMIFS(mv_qty,mv_ref,A875,mv_type,"Sortie"))</f>
        <v/>
      </c>
      <c r="M875" s="39" t="str">
        <f>IF(A875="","",ROUND(N(H875)+K875-L875,6))</f>
        <v/>
      </c>
      <c r="N875" s="40" t="str">
        <f>IF(A875="","",M875*N(G875))</f>
        <v/>
      </c>
      <c r="O875" s="39" t="str">
        <f>IF(A875="","",IF(M875&lt;=0,"Rupture",IF(AND(I875&lt;&gt;"",M875&lt;=N(I875)),"À commander","OK")))</f>
        <v/>
      </c>
      <c r="P875" s="39" t="str">
        <f>IF(OR(A875="",O875="OK",J875=""),"",MAX(N(J875)-M875,0))</f>
        <v/>
      </c>
      <c r="Q875" s="39" t="str">
        <f>IF(A875="",IF(COUNTA(B875:J875)&gt;0,"Référence manquante",""),IF(COUNTIF($A$5:$A$1004,A875)&gt;1,"Référence en double",IF(B875="","Désignation manquante","OK")))</f>
        <v/>
      </c>
      <c r="R875" s="39" t="str">
        <f>IF(OR(O875="Rupture",O875="À commander"),COUNTIF($O$5:O875,"Rupture")+COUNTIF($O$5:O875,"À commander"),"")</f>
        <v/>
      </c>
    </row>
    <row r="876">
      <c r="A876" s="37" t="n"/>
      <c r="B876" s="37" t="n"/>
      <c r="C876" s="37" t="n"/>
      <c r="D876" s="37" t="n"/>
      <c r="E876" s="37" t="n"/>
      <c r="F876" s="37" t="n"/>
      <c r="G876" s="38" t="n"/>
      <c r="H876" s="37" t="n"/>
      <c r="I876" s="37" t="n"/>
      <c r="J876" s="37" t="n"/>
      <c r="K876" s="39" t="str">
        <f>IF(A876="","",SUMIFS(mv_qty,mv_ref,A876,mv_type,"Entrée"))</f>
        <v/>
      </c>
      <c r="L876" s="39" t="str">
        <f>IF(A876="","",SUMIFS(mv_qty,mv_ref,A876,mv_type,"Sortie"))</f>
        <v/>
      </c>
      <c r="M876" s="39" t="str">
        <f>IF(A876="","",ROUND(N(H876)+K876-L876,6))</f>
        <v/>
      </c>
      <c r="N876" s="40" t="str">
        <f>IF(A876="","",M876*N(G876))</f>
        <v/>
      </c>
      <c r="O876" s="39" t="str">
        <f>IF(A876="","",IF(M876&lt;=0,"Rupture",IF(AND(I876&lt;&gt;"",M876&lt;=N(I876)),"À commander","OK")))</f>
        <v/>
      </c>
      <c r="P876" s="39" t="str">
        <f>IF(OR(A876="",O876="OK",J876=""),"",MAX(N(J876)-M876,0))</f>
        <v/>
      </c>
      <c r="Q876" s="39" t="str">
        <f>IF(A876="",IF(COUNTA(B876:J876)&gt;0,"Référence manquante",""),IF(COUNTIF($A$5:$A$1004,A876)&gt;1,"Référence en double",IF(B876="","Désignation manquante","OK")))</f>
        <v/>
      </c>
      <c r="R876" s="39" t="str">
        <f>IF(OR(O876="Rupture",O876="À commander"),COUNTIF($O$5:O876,"Rupture")+COUNTIF($O$5:O876,"À commander"),"")</f>
        <v/>
      </c>
    </row>
    <row r="877">
      <c r="A877" s="37" t="n"/>
      <c r="B877" s="37" t="n"/>
      <c r="C877" s="37" t="n"/>
      <c r="D877" s="37" t="n"/>
      <c r="E877" s="37" t="n"/>
      <c r="F877" s="37" t="n"/>
      <c r="G877" s="38" t="n"/>
      <c r="H877" s="37" t="n"/>
      <c r="I877" s="37" t="n"/>
      <c r="J877" s="37" t="n"/>
      <c r="K877" s="39" t="str">
        <f>IF(A877="","",SUMIFS(mv_qty,mv_ref,A877,mv_type,"Entrée"))</f>
        <v/>
      </c>
      <c r="L877" s="39" t="str">
        <f>IF(A877="","",SUMIFS(mv_qty,mv_ref,A877,mv_type,"Sortie"))</f>
        <v/>
      </c>
      <c r="M877" s="39" t="str">
        <f>IF(A877="","",ROUND(N(H877)+K877-L877,6))</f>
        <v/>
      </c>
      <c r="N877" s="40" t="str">
        <f>IF(A877="","",M877*N(G877))</f>
        <v/>
      </c>
      <c r="O877" s="39" t="str">
        <f>IF(A877="","",IF(M877&lt;=0,"Rupture",IF(AND(I877&lt;&gt;"",M877&lt;=N(I877)),"À commander","OK")))</f>
        <v/>
      </c>
      <c r="P877" s="39" t="str">
        <f>IF(OR(A877="",O877="OK",J877=""),"",MAX(N(J877)-M877,0))</f>
        <v/>
      </c>
      <c r="Q877" s="39" t="str">
        <f>IF(A877="",IF(COUNTA(B877:J877)&gt;0,"Référence manquante",""),IF(COUNTIF($A$5:$A$1004,A877)&gt;1,"Référence en double",IF(B877="","Désignation manquante","OK")))</f>
        <v/>
      </c>
      <c r="R877" s="39" t="str">
        <f>IF(OR(O877="Rupture",O877="À commander"),COUNTIF($O$5:O877,"Rupture")+COUNTIF($O$5:O877,"À commander"),"")</f>
        <v/>
      </c>
    </row>
    <row r="878">
      <c r="A878" s="37" t="n"/>
      <c r="B878" s="37" t="n"/>
      <c r="C878" s="37" t="n"/>
      <c r="D878" s="37" t="n"/>
      <c r="E878" s="37" t="n"/>
      <c r="F878" s="37" t="n"/>
      <c r="G878" s="38" t="n"/>
      <c r="H878" s="37" t="n"/>
      <c r="I878" s="37" t="n"/>
      <c r="J878" s="37" t="n"/>
      <c r="K878" s="39" t="str">
        <f>IF(A878="","",SUMIFS(mv_qty,mv_ref,A878,mv_type,"Entrée"))</f>
        <v/>
      </c>
      <c r="L878" s="39" t="str">
        <f>IF(A878="","",SUMIFS(mv_qty,mv_ref,A878,mv_type,"Sortie"))</f>
        <v/>
      </c>
      <c r="M878" s="39" t="str">
        <f>IF(A878="","",ROUND(N(H878)+K878-L878,6))</f>
        <v/>
      </c>
      <c r="N878" s="40" t="str">
        <f>IF(A878="","",M878*N(G878))</f>
        <v/>
      </c>
      <c r="O878" s="39" t="str">
        <f>IF(A878="","",IF(M878&lt;=0,"Rupture",IF(AND(I878&lt;&gt;"",M878&lt;=N(I878)),"À commander","OK")))</f>
        <v/>
      </c>
      <c r="P878" s="39" t="str">
        <f>IF(OR(A878="",O878="OK",J878=""),"",MAX(N(J878)-M878,0))</f>
        <v/>
      </c>
      <c r="Q878" s="39" t="str">
        <f>IF(A878="",IF(COUNTA(B878:J878)&gt;0,"Référence manquante",""),IF(COUNTIF($A$5:$A$1004,A878)&gt;1,"Référence en double",IF(B878="","Désignation manquante","OK")))</f>
        <v/>
      </c>
      <c r="R878" s="39" t="str">
        <f>IF(OR(O878="Rupture",O878="À commander"),COUNTIF($O$5:O878,"Rupture")+COUNTIF($O$5:O878,"À commander"),"")</f>
        <v/>
      </c>
    </row>
    <row r="879">
      <c r="A879" s="37" t="n"/>
      <c r="B879" s="37" t="n"/>
      <c r="C879" s="37" t="n"/>
      <c r="D879" s="37" t="n"/>
      <c r="E879" s="37" t="n"/>
      <c r="F879" s="37" t="n"/>
      <c r="G879" s="38" t="n"/>
      <c r="H879" s="37" t="n"/>
      <c r="I879" s="37" t="n"/>
      <c r="J879" s="37" t="n"/>
      <c r="K879" s="39" t="str">
        <f>IF(A879="","",SUMIFS(mv_qty,mv_ref,A879,mv_type,"Entrée"))</f>
        <v/>
      </c>
      <c r="L879" s="39" t="str">
        <f>IF(A879="","",SUMIFS(mv_qty,mv_ref,A879,mv_type,"Sortie"))</f>
        <v/>
      </c>
      <c r="M879" s="39" t="str">
        <f>IF(A879="","",ROUND(N(H879)+K879-L879,6))</f>
        <v/>
      </c>
      <c r="N879" s="40" t="str">
        <f>IF(A879="","",M879*N(G879))</f>
        <v/>
      </c>
      <c r="O879" s="39" t="str">
        <f>IF(A879="","",IF(M879&lt;=0,"Rupture",IF(AND(I879&lt;&gt;"",M879&lt;=N(I879)),"À commander","OK")))</f>
        <v/>
      </c>
      <c r="P879" s="39" t="str">
        <f>IF(OR(A879="",O879="OK",J879=""),"",MAX(N(J879)-M879,0))</f>
        <v/>
      </c>
      <c r="Q879" s="39" t="str">
        <f>IF(A879="",IF(COUNTA(B879:J879)&gt;0,"Référence manquante",""),IF(COUNTIF($A$5:$A$1004,A879)&gt;1,"Référence en double",IF(B879="","Désignation manquante","OK")))</f>
        <v/>
      </c>
      <c r="R879" s="39" t="str">
        <f>IF(OR(O879="Rupture",O879="À commander"),COUNTIF($O$5:O879,"Rupture")+COUNTIF($O$5:O879,"À commander"),"")</f>
        <v/>
      </c>
    </row>
    <row r="880">
      <c r="A880" s="37" t="n"/>
      <c r="B880" s="37" t="n"/>
      <c r="C880" s="37" t="n"/>
      <c r="D880" s="37" t="n"/>
      <c r="E880" s="37" t="n"/>
      <c r="F880" s="37" t="n"/>
      <c r="G880" s="38" t="n"/>
      <c r="H880" s="37" t="n"/>
      <c r="I880" s="37" t="n"/>
      <c r="J880" s="37" t="n"/>
      <c r="K880" s="39" t="str">
        <f>IF(A880="","",SUMIFS(mv_qty,mv_ref,A880,mv_type,"Entrée"))</f>
        <v/>
      </c>
      <c r="L880" s="39" t="str">
        <f>IF(A880="","",SUMIFS(mv_qty,mv_ref,A880,mv_type,"Sortie"))</f>
        <v/>
      </c>
      <c r="M880" s="39" t="str">
        <f>IF(A880="","",ROUND(N(H880)+K880-L880,6))</f>
        <v/>
      </c>
      <c r="N880" s="40" t="str">
        <f>IF(A880="","",M880*N(G880))</f>
        <v/>
      </c>
      <c r="O880" s="39" t="str">
        <f>IF(A880="","",IF(M880&lt;=0,"Rupture",IF(AND(I880&lt;&gt;"",M880&lt;=N(I880)),"À commander","OK")))</f>
        <v/>
      </c>
      <c r="P880" s="39" t="str">
        <f>IF(OR(A880="",O880="OK",J880=""),"",MAX(N(J880)-M880,0))</f>
        <v/>
      </c>
      <c r="Q880" s="39" t="str">
        <f>IF(A880="",IF(COUNTA(B880:J880)&gt;0,"Référence manquante",""),IF(COUNTIF($A$5:$A$1004,A880)&gt;1,"Référence en double",IF(B880="","Désignation manquante","OK")))</f>
        <v/>
      </c>
      <c r="R880" s="39" t="str">
        <f>IF(OR(O880="Rupture",O880="À commander"),COUNTIF($O$5:O880,"Rupture")+COUNTIF($O$5:O880,"À commander"),"")</f>
        <v/>
      </c>
    </row>
    <row r="881">
      <c r="A881" s="37" t="n"/>
      <c r="B881" s="37" t="n"/>
      <c r="C881" s="37" t="n"/>
      <c r="D881" s="37" t="n"/>
      <c r="E881" s="37" t="n"/>
      <c r="F881" s="37" t="n"/>
      <c r="G881" s="38" t="n"/>
      <c r="H881" s="37" t="n"/>
      <c r="I881" s="37" t="n"/>
      <c r="J881" s="37" t="n"/>
      <c r="K881" s="39" t="str">
        <f>IF(A881="","",SUMIFS(mv_qty,mv_ref,A881,mv_type,"Entrée"))</f>
        <v/>
      </c>
      <c r="L881" s="39" t="str">
        <f>IF(A881="","",SUMIFS(mv_qty,mv_ref,A881,mv_type,"Sortie"))</f>
        <v/>
      </c>
      <c r="M881" s="39" t="str">
        <f>IF(A881="","",ROUND(N(H881)+K881-L881,6))</f>
        <v/>
      </c>
      <c r="N881" s="40" t="str">
        <f>IF(A881="","",M881*N(G881))</f>
        <v/>
      </c>
      <c r="O881" s="39" t="str">
        <f>IF(A881="","",IF(M881&lt;=0,"Rupture",IF(AND(I881&lt;&gt;"",M881&lt;=N(I881)),"À commander","OK")))</f>
        <v/>
      </c>
      <c r="P881" s="39" t="str">
        <f>IF(OR(A881="",O881="OK",J881=""),"",MAX(N(J881)-M881,0))</f>
        <v/>
      </c>
      <c r="Q881" s="39" t="str">
        <f>IF(A881="",IF(COUNTA(B881:J881)&gt;0,"Référence manquante",""),IF(COUNTIF($A$5:$A$1004,A881)&gt;1,"Référence en double",IF(B881="","Désignation manquante","OK")))</f>
        <v/>
      </c>
      <c r="R881" s="39" t="str">
        <f>IF(OR(O881="Rupture",O881="À commander"),COUNTIF($O$5:O881,"Rupture")+COUNTIF($O$5:O881,"À commander"),"")</f>
        <v/>
      </c>
    </row>
    <row r="882">
      <c r="A882" s="37" t="n"/>
      <c r="B882" s="37" t="n"/>
      <c r="C882" s="37" t="n"/>
      <c r="D882" s="37" t="n"/>
      <c r="E882" s="37" t="n"/>
      <c r="F882" s="37" t="n"/>
      <c r="G882" s="38" t="n"/>
      <c r="H882" s="37" t="n"/>
      <c r="I882" s="37" t="n"/>
      <c r="J882" s="37" t="n"/>
      <c r="K882" s="39" t="str">
        <f>IF(A882="","",SUMIFS(mv_qty,mv_ref,A882,mv_type,"Entrée"))</f>
        <v/>
      </c>
      <c r="L882" s="39" t="str">
        <f>IF(A882="","",SUMIFS(mv_qty,mv_ref,A882,mv_type,"Sortie"))</f>
        <v/>
      </c>
      <c r="M882" s="39" t="str">
        <f>IF(A882="","",ROUND(N(H882)+K882-L882,6))</f>
        <v/>
      </c>
      <c r="N882" s="40" t="str">
        <f>IF(A882="","",M882*N(G882))</f>
        <v/>
      </c>
      <c r="O882" s="39" t="str">
        <f>IF(A882="","",IF(M882&lt;=0,"Rupture",IF(AND(I882&lt;&gt;"",M882&lt;=N(I882)),"À commander","OK")))</f>
        <v/>
      </c>
      <c r="P882" s="39" t="str">
        <f>IF(OR(A882="",O882="OK",J882=""),"",MAX(N(J882)-M882,0))</f>
        <v/>
      </c>
      <c r="Q882" s="39" t="str">
        <f>IF(A882="",IF(COUNTA(B882:J882)&gt;0,"Référence manquante",""),IF(COUNTIF($A$5:$A$1004,A882)&gt;1,"Référence en double",IF(B882="","Désignation manquante","OK")))</f>
        <v/>
      </c>
      <c r="R882" s="39" t="str">
        <f>IF(OR(O882="Rupture",O882="À commander"),COUNTIF($O$5:O882,"Rupture")+COUNTIF($O$5:O882,"À commander"),"")</f>
        <v/>
      </c>
    </row>
    <row r="883">
      <c r="A883" s="37" t="n"/>
      <c r="B883" s="37" t="n"/>
      <c r="C883" s="37" t="n"/>
      <c r="D883" s="37" t="n"/>
      <c r="E883" s="37" t="n"/>
      <c r="F883" s="37" t="n"/>
      <c r="G883" s="38" t="n"/>
      <c r="H883" s="37" t="n"/>
      <c r="I883" s="37" t="n"/>
      <c r="J883" s="37" t="n"/>
      <c r="K883" s="39" t="str">
        <f>IF(A883="","",SUMIFS(mv_qty,mv_ref,A883,mv_type,"Entrée"))</f>
        <v/>
      </c>
      <c r="L883" s="39" t="str">
        <f>IF(A883="","",SUMIFS(mv_qty,mv_ref,A883,mv_type,"Sortie"))</f>
        <v/>
      </c>
      <c r="M883" s="39" t="str">
        <f>IF(A883="","",ROUND(N(H883)+K883-L883,6))</f>
        <v/>
      </c>
      <c r="N883" s="40" t="str">
        <f>IF(A883="","",M883*N(G883))</f>
        <v/>
      </c>
      <c r="O883" s="39" t="str">
        <f>IF(A883="","",IF(M883&lt;=0,"Rupture",IF(AND(I883&lt;&gt;"",M883&lt;=N(I883)),"À commander","OK")))</f>
        <v/>
      </c>
      <c r="P883" s="39" t="str">
        <f>IF(OR(A883="",O883="OK",J883=""),"",MAX(N(J883)-M883,0))</f>
        <v/>
      </c>
      <c r="Q883" s="39" t="str">
        <f>IF(A883="",IF(COUNTA(B883:J883)&gt;0,"Référence manquante",""),IF(COUNTIF($A$5:$A$1004,A883)&gt;1,"Référence en double",IF(B883="","Désignation manquante","OK")))</f>
        <v/>
      </c>
      <c r="R883" s="39" t="str">
        <f>IF(OR(O883="Rupture",O883="À commander"),COUNTIF($O$5:O883,"Rupture")+COUNTIF($O$5:O883,"À commander"),"")</f>
        <v/>
      </c>
    </row>
    <row r="884">
      <c r="A884" s="37" t="n"/>
      <c r="B884" s="37" t="n"/>
      <c r="C884" s="37" t="n"/>
      <c r="D884" s="37" t="n"/>
      <c r="E884" s="37" t="n"/>
      <c r="F884" s="37" t="n"/>
      <c r="G884" s="38" t="n"/>
      <c r="H884" s="37" t="n"/>
      <c r="I884" s="37" t="n"/>
      <c r="J884" s="37" t="n"/>
      <c r="K884" s="39" t="str">
        <f>IF(A884="","",SUMIFS(mv_qty,mv_ref,A884,mv_type,"Entrée"))</f>
        <v/>
      </c>
      <c r="L884" s="39" t="str">
        <f>IF(A884="","",SUMIFS(mv_qty,mv_ref,A884,mv_type,"Sortie"))</f>
        <v/>
      </c>
      <c r="M884" s="39" t="str">
        <f>IF(A884="","",ROUND(N(H884)+K884-L884,6))</f>
        <v/>
      </c>
      <c r="N884" s="40" t="str">
        <f>IF(A884="","",M884*N(G884))</f>
        <v/>
      </c>
      <c r="O884" s="39" t="str">
        <f>IF(A884="","",IF(M884&lt;=0,"Rupture",IF(AND(I884&lt;&gt;"",M884&lt;=N(I884)),"À commander","OK")))</f>
        <v/>
      </c>
      <c r="P884" s="39" t="str">
        <f>IF(OR(A884="",O884="OK",J884=""),"",MAX(N(J884)-M884,0))</f>
        <v/>
      </c>
      <c r="Q884" s="39" t="str">
        <f>IF(A884="",IF(COUNTA(B884:J884)&gt;0,"Référence manquante",""),IF(COUNTIF($A$5:$A$1004,A884)&gt;1,"Référence en double",IF(B884="","Désignation manquante","OK")))</f>
        <v/>
      </c>
      <c r="R884" s="39" t="str">
        <f>IF(OR(O884="Rupture",O884="À commander"),COUNTIF($O$5:O884,"Rupture")+COUNTIF($O$5:O884,"À commander"),"")</f>
        <v/>
      </c>
    </row>
    <row r="885">
      <c r="A885" s="37" t="n"/>
      <c r="B885" s="37" t="n"/>
      <c r="C885" s="37" t="n"/>
      <c r="D885" s="37" t="n"/>
      <c r="E885" s="37" t="n"/>
      <c r="F885" s="37" t="n"/>
      <c r="G885" s="38" t="n"/>
      <c r="H885" s="37" t="n"/>
      <c r="I885" s="37" t="n"/>
      <c r="J885" s="37" t="n"/>
      <c r="K885" s="39" t="str">
        <f>IF(A885="","",SUMIFS(mv_qty,mv_ref,A885,mv_type,"Entrée"))</f>
        <v/>
      </c>
      <c r="L885" s="39" t="str">
        <f>IF(A885="","",SUMIFS(mv_qty,mv_ref,A885,mv_type,"Sortie"))</f>
        <v/>
      </c>
      <c r="M885" s="39" t="str">
        <f>IF(A885="","",ROUND(N(H885)+K885-L885,6))</f>
        <v/>
      </c>
      <c r="N885" s="40" t="str">
        <f>IF(A885="","",M885*N(G885))</f>
        <v/>
      </c>
      <c r="O885" s="39" t="str">
        <f>IF(A885="","",IF(M885&lt;=0,"Rupture",IF(AND(I885&lt;&gt;"",M885&lt;=N(I885)),"À commander","OK")))</f>
        <v/>
      </c>
      <c r="P885" s="39" t="str">
        <f>IF(OR(A885="",O885="OK",J885=""),"",MAX(N(J885)-M885,0))</f>
        <v/>
      </c>
      <c r="Q885" s="39" t="str">
        <f>IF(A885="",IF(COUNTA(B885:J885)&gt;0,"Référence manquante",""),IF(COUNTIF($A$5:$A$1004,A885)&gt;1,"Référence en double",IF(B885="","Désignation manquante","OK")))</f>
        <v/>
      </c>
      <c r="R885" s="39" t="str">
        <f>IF(OR(O885="Rupture",O885="À commander"),COUNTIF($O$5:O885,"Rupture")+COUNTIF($O$5:O885,"À commander"),"")</f>
        <v/>
      </c>
    </row>
    <row r="886">
      <c r="A886" s="37" t="n"/>
      <c r="B886" s="37" t="n"/>
      <c r="C886" s="37" t="n"/>
      <c r="D886" s="37" t="n"/>
      <c r="E886" s="37" t="n"/>
      <c r="F886" s="37" t="n"/>
      <c r="G886" s="38" t="n"/>
      <c r="H886" s="37" t="n"/>
      <c r="I886" s="37" t="n"/>
      <c r="J886" s="37" t="n"/>
      <c r="K886" s="39" t="str">
        <f>IF(A886="","",SUMIFS(mv_qty,mv_ref,A886,mv_type,"Entrée"))</f>
        <v/>
      </c>
      <c r="L886" s="39" t="str">
        <f>IF(A886="","",SUMIFS(mv_qty,mv_ref,A886,mv_type,"Sortie"))</f>
        <v/>
      </c>
      <c r="M886" s="39" t="str">
        <f>IF(A886="","",ROUND(N(H886)+K886-L886,6))</f>
        <v/>
      </c>
      <c r="N886" s="40" t="str">
        <f>IF(A886="","",M886*N(G886))</f>
        <v/>
      </c>
      <c r="O886" s="39" t="str">
        <f>IF(A886="","",IF(M886&lt;=0,"Rupture",IF(AND(I886&lt;&gt;"",M886&lt;=N(I886)),"À commander","OK")))</f>
        <v/>
      </c>
      <c r="P886" s="39" t="str">
        <f>IF(OR(A886="",O886="OK",J886=""),"",MAX(N(J886)-M886,0))</f>
        <v/>
      </c>
      <c r="Q886" s="39" t="str">
        <f>IF(A886="",IF(COUNTA(B886:J886)&gt;0,"Référence manquante",""),IF(COUNTIF($A$5:$A$1004,A886)&gt;1,"Référence en double",IF(B886="","Désignation manquante","OK")))</f>
        <v/>
      </c>
      <c r="R886" s="39" t="str">
        <f>IF(OR(O886="Rupture",O886="À commander"),COUNTIF($O$5:O886,"Rupture")+COUNTIF($O$5:O886,"À commander"),"")</f>
        <v/>
      </c>
    </row>
    <row r="887">
      <c r="A887" s="37" t="n"/>
      <c r="B887" s="37" t="n"/>
      <c r="C887" s="37" t="n"/>
      <c r="D887" s="37" t="n"/>
      <c r="E887" s="37" t="n"/>
      <c r="F887" s="37" t="n"/>
      <c r="G887" s="38" t="n"/>
      <c r="H887" s="37" t="n"/>
      <c r="I887" s="37" t="n"/>
      <c r="J887" s="37" t="n"/>
      <c r="K887" s="39" t="str">
        <f>IF(A887="","",SUMIFS(mv_qty,mv_ref,A887,mv_type,"Entrée"))</f>
        <v/>
      </c>
      <c r="L887" s="39" t="str">
        <f>IF(A887="","",SUMIFS(mv_qty,mv_ref,A887,mv_type,"Sortie"))</f>
        <v/>
      </c>
      <c r="M887" s="39" t="str">
        <f>IF(A887="","",ROUND(N(H887)+K887-L887,6))</f>
        <v/>
      </c>
      <c r="N887" s="40" t="str">
        <f>IF(A887="","",M887*N(G887))</f>
        <v/>
      </c>
      <c r="O887" s="39" t="str">
        <f>IF(A887="","",IF(M887&lt;=0,"Rupture",IF(AND(I887&lt;&gt;"",M887&lt;=N(I887)),"À commander","OK")))</f>
        <v/>
      </c>
      <c r="P887" s="39" t="str">
        <f>IF(OR(A887="",O887="OK",J887=""),"",MAX(N(J887)-M887,0))</f>
        <v/>
      </c>
      <c r="Q887" s="39" t="str">
        <f>IF(A887="",IF(COUNTA(B887:J887)&gt;0,"Référence manquante",""),IF(COUNTIF($A$5:$A$1004,A887)&gt;1,"Référence en double",IF(B887="","Désignation manquante","OK")))</f>
        <v/>
      </c>
      <c r="R887" s="39" t="str">
        <f>IF(OR(O887="Rupture",O887="À commander"),COUNTIF($O$5:O887,"Rupture")+COUNTIF($O$5:O887,"À commander"),"")</f>
        <v/>
      </c>
    </row>
    <row r="888">
      <c r="A888" s="37" t="n"/>
      <c r="B888" s="37" t="n"/>
      <c r="C888" s="37" t="n"/>
      <c r="D888" s="37" t="n"/>
      <c r="E888" s="37" t="n"/>
      <c r="F888" s="37" t="n"/>
      <c r="G888" s="38" t="n"/>
      <c r="H888" s="37" t="n"/>
      <c r="I888" s="37" t="n"/>
      <c r="J888" s="37" t="n"/>
      <c r="K888" s="39" t="str">
        <f>IF(A888="","",SUMIFS(mv_qty,mv_ref,A888,mv_type,"Entrée"))</f>
        <v/>
      </c>
      <c r="L888" s="39" t="str">
        <f>IF(A888="","",SUMIFS(mv_qty,mv_ref,A888,mv_type,"Sortie"))</f>
        <v/>
      </c>
      <c r="M888" s="39" t="str">
        <f>IF(A888="","",ROUND(N(H888)+K888-L888,6))</f>
        <v/>
      </c>
      <c r="N888" s="40" t="str">
        <f>IF(A888="","",M888*N(G888))</f>
        <v/>
      </c>
      <c r="O888" s="39" t="str">
        <f>IF(A888="","",IF(M888&lt;=0,"Rupture",IF(AND(I888&lt;&gt;"",M888&lt;=N(I888)),"À commander","OK")))</f>
        <v/>
      </c>
      <c r="P888" s="39" t="str">
        <f>IF(OR(A888="",O888="OK",J888=""),"",MAX(N(J888)-M888,0))</f>
        <v/>
      </c>
      <c r="Q888" s="39" t="str">
        <f>IF(A888="",IF(COUNTA(B888:J888)&gt;0,"Référence manquante",""),IF(COUNTIF($A$5:$A$1004,A888)&gt;1,"Référence en double",IF(B888="","Désignation manquante","OK")))</f>
        <v/>
      </c>
      <c r="R888" s="39" t="str">
        <f>IF(OR(O888="Rupture",O888="À commander"),COUNTIF($O$5:O888,"Rupture")+COUNTIF($O$5:O888,"À commander"),"")</f>
        <v/>
      </c>
    </row>
    <row r="889">
      <c r="A889" s="37" t="n"/>
      <c r="B889" s="37" t="n"/>
      <c r="C889" s="37" t="n"/>
      <c r="D889" s="37" t="n"/>
      <c r="E889" s="37" t="n"/>
      <c r="F889" s="37" t="n"/>
      <c r="G889" s="38" t="n"/>
      <c r="H889" s="37" t="n"/>
      <c r="I889" s="37" t="n"/>
      <c r="J889" s="37" t="n"/>
      <c r="K889" s="39" t="str">
        <f>IF(A889="","",SUMIFS(mv_qty,mv_ref,A889,mv_type,"Entrée"))</f>
        <v/>
      </c>
      <c r="L889" s="39" t="str">
        <f>IF(A889="","",SUMIFS(mv_qty,mv_ref,A889,mv_type,"Sortie"))</f>
        <v/>
      </c>
      <c r="M889" s="39" t="str">
        <f>IF(A889="","",ROUND(N(H889)+K889-L889,6))</f>
        <v/>
      </c>
      <c r="N889" s="40" t="str">
        <f>IF(A889="","",M889*N(G889))</f>
        <v/>
      </c>
      <c r="O889" s="39" t="str">
        <f>IF(A889="","",IF(M889&lt;=0,"Rupture",IF(AND(I889&lt;&gt;"",M889&lt;=N(I889)),"À commander","OK")))</f>
        <v/>
      </c>
      <c r="P889" s="39" t="str">
        <f>IF(OR(A889="",O889="OK",J889=""),"",MAX(N(J889)-M889,0))</f>
        <v/>
      </c>
      <c r="Q889" s="39" t="str">
        <f>IF(A889="",IF(COUNTA(B889:J889)&gt;0,"Référence manquante",""),IF(COUNTIF($A$5:$A$1004,A889)&gt;1,"Référence en double",IF(B889="","Désignation manquante","OK")))</f>
        <v/>
      </c>
      <c r="R889" s="39" t="str">
        <f>IF(OR(O889="Rupture",O889="À commander"),COUNTIF($O$5:O889,"Rupture")+COUNTIF($O$5:O889,"À commander"),"")</f>
        <v/>
      </c>
    </row>
    <row r="890">
      <c r="A890" s="37" t="n"/>
      <c r="B890" s="37" t="n"/>
      <c r="C890" s="37" t="n"/>
      <c r="D890" s="37" t="n"/>
      <c r="E890" s="37" t="n"/>
      <c r="F890" s="37" t="n"/>
      <c r="G890" s="38" t="n"/>
      <c r="H890" s="37" t="n"/>
      <c r="I890" s="37" t="n"/>
      <c r="J890" s="37" t="n"/>
      <c r="K890" s="39" t="str">
        <f>IF(A890="","",SUMIFS(mv_qty,mv_ref,A890,mv_type,"Entrée"))</f>
        <v/>
      </c>
      <c r="L890" s="39" t="str">
        <f>IF(A890="","",SUMIFS(mv_qty,mv_ref,A890,mv_type,"Sortie"))</f>
        <v/>
      </c>
      <c r="M890" s="39" t="str">
        <f>IF(A890="","",ROUND(N(H890)+K890-L890,6))</f>
        <v/>
      </c>
      <c r="N890" s="40" t="str">
        <f>IF(A890="","",M890*N(G890))</f>
        <v/>
      </c>
      <c r="O890" s="39" t="str">
        <f>IF(A890="","",IF(M890&lt;=0,"Rupture",IF(AND(I890&lt;&gt;"",M890&lt;=N(I890)),"À commander","OK")))</f>
        <v/>
      </c>
      <c r="P890" s="39" t="str">
        <f>IF(OR(A890="",O890="OK",J890=""),"",MAX(N(J890)-M890,0))</f>
        <v/>
      </c>
      <c r="Q890" s="39" t="str">
        <f>IF(A890="",IF(COUNTA(B890:J890)&gt;0,"Référence manquante",""),IF(COUNTIF($A$5:$A$1004,A890)&gt;1,"Référence en double",IF(B890="","Désignation manquante","OK")))</f>
        <v/>
      </c>
      <c r="R890" s="39" t="str">
        <f>IF(OR(O890="Rupture",O890="À commander"),COUNTIF($O$5:O890,"Rupture")+COUNTIF($O$5:O890,"À commander"),"")</f>
        <v/>
      </c>
    </row>
    <row r="891">
      <c r="A891" s="37" t="n"/>
      <c r="B891" s="37" t="n"/>
      <c r="C891" s="37" t="n"/>
      <c r="D891" s="37" t="n"/>
      <c r="E891" s="37" t="n"/>
      <c r="F891" s="37" t="n"/>
      <c r="G891" s="38" t="n"/>
      <c r="H891" s="37" t="n"/>
      <c r="I891" s="37" t="n"/>
      <c r="J891" s="37" t="n"/>
      <c r="K891" s="39" t="str">
        <f>IF(A891="","",SUMIFS(mv_qty,mv_ref,A891,mv_type,"Entrée"))</f>
        <v/>
      </c>
      <c r="L891" s="39" t="str">
        <f>IF(A891="","",SUMIFS(mv_qty,mv_ref,A891,mv_type,"Sortie"))</f>
        <v/>
      </c>
      <c r="M891" s="39" t="str">
        <f>IF(A891="","",ROUND(N(H891)+K891-L891,6))</f>
        <v/>
      </c>
      <c r="N891" s="40" t="str">
        <f>IF(A891="","",M891*N(G891))</f>
        <v/>
      </c>
      <c r="O891" s="39" t="str">
        <f>IF(A891="","",IF(M891&lt;=0,"Rupture",IF(AND(I891&lt;&gt;"",M891&lt;=N(I891)),"À commander","OK")))</f>
        <v/>
      </c>
      <c r="P891" s="39" t="str">
        <f>IF(OR(A891="",O891="OK",J891=""),"",MAX(N(J891)-M891,0))</f>
        <v/>
      </c>
      <c r="Q891" s="39" t="str">
        <f>IF(A891="",IF(COUNTA(B891:J891)&gt;0,"Référence manquante",""),IF(COUNTIF($A$5:$A$1004,A891)&gt;1,"Référence en double",IF(B891="","Désignation manquante","OK")))</f>
        <v/>
      </c>
      <c r="R891" s="39" t="str">
        <f>IF(OR(O891="Rupture",O891="À commander"),COUNTIF($O$5:O891,"Rupture")+COUNTIF($O$5:O891,"À commander"),"")</f>
        <v/>
      </c>
    </row>
    <row r="892">
      <c r="A892" s="37" t="n"/>
      <c r="B892" s="37" t="n"/>
      <c r="C892" s="37" t="n"/>
      <c r="D892" s="37" t="n"/>
      <c r="E892" s="37" t="n"/>
      <c r="F892" s="37" t="n"/>
      <c r="G892" s="38" t="n"/>
      <c r="H892" s="37" t="n"/>
      <c r="I892" s="37" t="n"/>
      <c r="J892" s="37" t="n"/>
      <c r="K892" s="39" t="str">
        <f>IF(A892="","",SUMIFS(mv_qty,mv_ref,A892,mv_type,"Entrée"))</f>
        <v/>
      </c>
      <c r="L892" s="39" t="str">
        <f>IF(A892="","",SUMIFS(mv_qty,mv_ref,A892,mv_type,"Sortie"))</f>
        <v/>
      </c>
      <c r="M892" s="39" t="str">
        <f>IF(A892="","",ROUND(N(H892)+K892-L892,6))</f>
        <v/>
      </c>
      <c r="N892" s="40" t="str">
        <f>IF(A892="","",M892*N(G892))</f>
        <v/>
      </c>
      <c r="O892" s="39" t="str">
        <f>IF(A892="","",IF(M892&lt;=0,"Rupture",IF(AND(I892&lt;&gt;"",M892&lt;=N(I892)),"À commander","OK")))</f>
        <v/>
      </c>
      <c r="P892" s="39" t="str">
        <f>IF(OR(A892="",O892="OK",J892=""),"",MAX(N(J892)-M892,0))</f>
        <v/>
      </c>
      <c r="Q892" s="39" t="str">
        <f>IF(A892="",IF(COUNTA(B892:J892)&gt;0,"Référence manquante",""),IF(COUNTIF($A$5:$A$1004,A892)&gt;1,"Référence en double",IF(B892="","Désignation manquante","OK")))</f>
        <v/>
      </c>
      <c r="R892" s="39" t="str">
        <f>IF(OR(O892="Rupture",O892="À commander"),COUNTIF($O$5:O892,"Rupture")+COUNTIF($O$5:O892,"À commander"),"")</f>
        <v/>
      </c>
    </row>
    <row r="893">
      <c r="A893" s="37" t="n"/>
      <c r="B893" s="37" t="n"/>
      <c r="C893" s="37" t="n"/>
      <c r="D893" s="37" t="n"/>
      <c r="E893" s="37" t="n"/>
      <c r="F893" s="37" t="n"/>
      <c r="G893" s="38" t="n"/>
      <c r="H893" s="37" t="n"/>
      <c r="I893" s="37" t="n"/>
      <c r="J893" s="37" t="n"/>
      <c r="K893" s="39" t="str">
        <f>IF(A893="","",SUMIFS(mv_qty,mv_ref,A893,mv_type,"Entrée"))</f>
        <v/>
      </c>
      <c r="L893" s="39" t="str">
        <f>IF(A893="","",SUMIFS(mv_qty,mv_ref,A893,mv_type,"Sortie"))</f>
        <v/>
      </c>
      <c r="M893" s="39" t="str">
        <f>IF(A893="","",ROUND(N(H893)+K893-L893,6))</f>
        <v/>
      </c>
      <c r="N893" s="40" t="str">
        <f>IF(A893="","",M893*N(G893))</f>
        <v/>
      </c>
      <c r="O893" s="39" t="str">
        <f>IF(A893="","",IF(M893&lt;=0,"Rupture",IF(AND(I893&lt;&gt;"",M893&lt;=N(I893)),"À commander","OK")))</f>
        <v/>
      </c>
      <c r="P893" s="39" t="str">
        <f>IF(OR(A893="",O893="OK",J893=""),"",MAX(N(J893)-M893,0))</f>
        <v/>
      </c>
      <c r="Q893" s="39" t="str">
        <f>IF(A893="",IF(COUNTA(B893:J893)&gt;0,"Référence manquante",""),IF(COUNTIF($A$5:$A$1004,A893)&gt;1,"Référence en double",IF(B893="","Désignation manquante","OK")))</f>
        <v/>
      </c>
      <c r="R893" s="39" t="str">
        <f>IF(OR(O893="Rupture",O893="À commander"),COUNTIF($O$5:O893,"Rupture")+COUNTIF($O$5:O893,"À commander"),"")</f>
        <v/>
      </c>
    </row>
    <row r="894">
      <c r="A894" s="37" t="n"/>
      <c r="B894" s="37" t="n"/>
      <c r="C894" s="37" t="n"/>
      <c r="D894" s="37" t="n"/>
      <c r="E894" s="37" t="n"/>
      <c r="F894" s="37" t="n"/>
      <c r="G894" s="38" t="n"/>
      <c r="H894" s="37" t="n"/>
      <c r="I894" s="37" t="n"/>
      <c r="J894" s="37" t="n"/>
      <c r="K894" s="39" t="str">
        <f>IF(A894="","",SUMIFS(mv_qty,mv_ref,A894,mv_type,"Entrée"))</f>
        <v/>
      </c>
      <c r="L894" s="39" t="str">
        <f>IF(A894="","",SUMIFS(mv_qty,mv_ref,A894,mv_type,"Sortie"))</f>
        <v/>
      </c>
      <c r="M894" s="39" t="str">
        <f>IF(A894="","",ROUND(N(H894)+K894-L894,6))</f>
        <v/>
      </c>
      <c r="N894" s="40" t="str">
        <f>IF(A894="","",M894*N(G894))</f>
        <v/>
      </c>
      <c r="O894" s="39" t="str">
        <f>IF(A894="","",IF(M894&lt;=0,"Rupture",IF(AND(I894&lt;&gt;"",M894&lt;=N(I894)),"À commander","OK")))</f>
        <v/>
      </c>
      <c r="P894" s="39" t="str">
        <f>IF(OR(A894="",O894="OK",J894=""),"",MAX(N(J894)-M894,0))</f>
        <v/>
      </c>
      <c r="Q894" s="39" t="str">
        <f>IF(A894="",IF(COUNTA(B894:J894)&gt;0,"Référence manquante",""),IF(COUNTIF($A$5:$A$1004,A894)&gt;1,"Référence en double",IF(B894="","Désignation manquante","OK")))</f>
        <v/>
      </c>
      <c r="R894" s="39" t="str">
        <f>IF(OR(O894="Rupture",O894="À commander"),COUNTIF($O$5:O894,"Rupture")+COUNTIF($O$5:O894,"À commander"),"")</f>
        <v/>
      </c>
    </row>
    <row r="895">
      <c r="A895" s="37" t="n"/>
      <c r="B895" s="37" t="n"/>
      <c r="C895" s="37" t="n"/>
      <c r="D895" s="37" t="n"/>
      <c r="E895" s="37" t="n"/>
      <c r="F895" s="37" t="n"/>
      <c r="G895" s="38" t="n"/>
      <c r="H895" s="37" t="n"/>
      <c r="I895" s="37" t="n"/>
      <c r="J895" s="37" t="n"/>
      <c r="K895" s="39" t="str">
        <f>IF(A895="","",SUMIFS(mv_qty,mv_ref,A895,mv_type,"Entrée"))</f>
        <v/>
      </c>
      <c r="L895" s="39" t="str">
        <f>IF(A895="","",SUMIFS(mv_qty,mv_ref,A895,mv_type,"Sortie"))</f>
        <v/>
      </c>
      <c r="M895" s="39" t="str">
        <f>IF(A895="","",ROUND(N(H895)+K895-L895,6))</f>
        <v/>
      </c>
      <c r="N895" s="40" t="str">
        <f>IF(A895="","",M895*N(G895))</f>
        <v/>
      </c>
      <c r="O895" s="39" t="str">
        <f>IF(A895="","",IF(M895&lt;=0,"Rupture",IF(AND(I895&lt;&gt;"",M895&lt;=N(I895)),"À commander","OK")))</f>
        <v/>
      </c>
      <c r="P895" s="39" t="str">
        <f>IF(OR(A895="",O895="OK",J895=""),"",MAX(N(J895)-M895,0))</f>
        <v/>
      </c>
      <c r="Q895" s="39" t="str">
        <f>IF(A895="",IF(COUNTA(B895:J895)&gt;0,"Référence manquante",""),IF(COUNTIF($A$5:$A$1004,A895)&gt;1,"Référence en double",IF(B895="","Désignation manquante","OK")))</f>
        <v/>
      </c>
      <c r="R895" s="39" t="str">
        <f>IF(OR(O895="Rupture",O895="À commander"),COUNTIF($O$5:O895,"Rupture")+COUNTIF($O$5:O895,"À commander"),"")</f>
        <v/>
      </c>
    </row>
    <row r="896">
      <c r="A896" s="37" t="n"/>
      <c r="B896" s="37" t="n"/>
      <c r="C896" s="37" t="n"/>
      <c r="D896" s="37" t="n"/>
      <c r="E896" s="37" t="n"/>
      <c r="F896" s="37" t="n"/>
      <c r="G896" s="38" t="n"/>
      <c r="H896" s="37" t="n"/>
      <c r="I896" s="37" t="n"/>
      <c r="J896" s="37" t="n"/>
      <c r="K896" s="39" t="str">
        <f>IF(A896="","",SUMIFS(mv_qty,mv_ref,A896,mv_type,"Entrée"))</f>
        <v/>
      </c>
      <c r="L896" s="39" t="str">
        <f>IF(A896="","",SUMIFS(mv_qty,mv_ref,A896,mv_type,"Sortie"))</f>
        <v/>
      </c>
      <c r="M896" s="39" t="str">
        <f>IF(A896="","",ROUND(N(H896)+K896-L896,6))</f>
        <v/>
      </c>
      <c r="N896" s="40" t="str">
        <f>IF(A896="","",M896*N(G896))</f>
        <v/>
      </c>
      <c r="O896" s="39" t="str">
        <f>IF(A896="","",IF(M896&lt;=0,"Rupture",IF(AND(I896&lt;&gt;"",M896&lt;=N(I896)),"À commander","OK")))</f>
        <v/>
      </c>
      <c r="P896" s="39" t="str">
        <f>IF(OR(A896="",O896="OK",J896=""),"",MAX(N(J896)-M896,0))</f>
        <v/>
      </c>
      <c r="Q896" s="39" t="str">
        <f>IF(A896="",IF(COUNTA(B896:J896)&gt;0,"Référence manquante",""),IF(COUNTIF($A$5:$A$1004,A896)&gt;1,"Référence en double",IF(B896="","Désignation manquante","OK")))</f>
        <v/>
      </c>
      <c r="R896" s="39" t="str">
        <f>IF(OR(O896="Rupture",O896="À commander"),COUNTIF($O$5:O896,"Rupture")+COUNTIF($O$5:O896,"À commander"),"")</f>
        <v/>
      </c>
    </row>
    <row r="897">
      <c r="A897" s="37" t="n"/>
      <c r="B897" s="37" t="n"/>
      <c r="C897" s="37" t="n"/>
      <c r="D897" s="37" t="n"/>
      <c r="E897" s="37" t="n"/>
      <c r="F897" s="37" t="n"/>
      <c r="G897" s="38" t="n"/>
      <c r="H897" s="37" t="n"/>
      <c r="I897" s="37" t="n"/>
      <c r="J897" s="37" t="n"/>
      <c r="K897" s="39" t="str">
        <f>IF(A897="","",SUMIFS(mv_qty,mv_ref,A897,mv_type,"Entrée"))</f>
        <v/>
      </c>
      <c r="L897" s="39" t="str">
        <f>IF(A897="","",SUMIFS(mv_qty,mv_ref,A897,mv_type,"Sortie"))</f>
        <v/>
      </c>
      <c r="M897" s="39" t="str">
        <f>IF(A897="","",ROUND(N(H897)+K897-L897,6))</f>
        <v/>
      </c>
      <c r="N897" s="40" t="str">
        <f>IF(A897="","",M897*N(G897))</f>
        <v/>
      </c>
      <c r="O897" s="39" t="str">
        <f>IF(A897="","",IF(M897&lt;=0,"Rupture",IF(AND(I897&lt;&gt;"",M897&lt;=N(I897)),"À commander","OK")))</f>
        <v/>
      </c>
      <c r="P897" s="39" t="str">
        <f>IF(OR(A897="",O897="OK",J897=""),"",MAX(N(J897)-M897,0))</f>
        <v/>
      </c>
      <c r="Q897" s="39" t="str">
        <f>IF(A897="",IF(COUNTA(B897:J897)&gt;0,"Référence manquante",""),IF(COUNTIF($A$5:$A$1004,A897)&gt;1,"Référence en double",IF(B897="","Désignation manquante","OK")))</f>
        <v/>
      </c>
      <c r="R897" s="39" t="str">
        <f>IF(OR(O897="Rupture",O897="À commander"),COUNTIF($O$5:O897,"Rupture")+COUNTIF($O$5:O897,"À commander"),"")</f>
        <v/>
      </c>
    </row>
    <row r="898">
      <c r="A898" s="37" t="n"/>
      <c r="B898" s="37" t="n"/>
      <c r="C898" s="37" t="n"/>
      <c r="D898" s="37" t="n"/>
      <c r="E898" s="37" t="n"/>
      <c r="F898" s="37" t="n"/>
      <c r="G898" s="38" t="n"/>
      <c r="H898" s="37" t="n"/>
      <c r="I898" s="37" t="n"/>
      <c r="J898" s="37" t="n"/>
      <c r="K898" s="39" t="str">
        <f>IF(A898="","",SUMIFS(mv_qty,mv_ref,A898,mv_type,"Entrée"))</f>
        <v/>
      </c>
      <c r="L898" s="39" t="str">
        <f>IF(A898="","",SUMIFS(mv_qty,mv_ref,A898,mv_type,"Sortie"))</f>
        <v/>
      </c>
      <c r="M898" s="39" t="str">
        <f>IF(A898="","",ROUND(N(H898)+K898-L898,6))</f>
        <v/>
      </c>
      <c r="N898" s="40" t="str">
        <f>IF(A898="","",M898*N(G898))</f>
        <v/>
      </c>
      <c r="O898" s="39" t="str">
        <f>IF(A898="","",IF(M898&lt;=0,"Rupture",IF(AND(I898&lt;&gt;"",M898&lt;=N(I898)),"À commander","OK")))</f>
        <v/>
      </c>
      <c r="P898" s="39" t="str">
        <f>IF(OR(A898="",O898="OK",J898=""),"",MAX(N(J898)-M898,0))</f>
        <v/>
      </c>
      <c r="Q898" s="39" t="str">
        <f>IF(A898="",IF(COUNTA(B898:J898)&gt;0,"Référence manquante",""),IF(COUNTIF($A$5:$A$1004,A898)&gt;1,"Référence en double",IF(B898="","Désignation manquante","OK")))</f>
        <v/>
      </c>
      <c r="R898" s="39" t="str">
        <f>IF(OR(O898="Rupture",O898="À commander"),COUNTIF($O$5:O898,"Rupture")+COUNTIF($O$5:O898,"À commander"),"")</f>
        <v/>
      </c>
    </row>
    <row r="899">
      <c r="A899" s="37" t="n"/>
      <c r="B899" s="37" t="n"/>
      <c r="C899" s="37" t="n"/>
      <c r="D899" s="37" t="n"/>
      <c r="E899" s="37" t="n"/>
      <c r="F899" s="37" t="n"/>
      <c r="G899" s="38" t="n"/>
      <c r="H899" s="37" t="n"/>
      <c r="I899" s="37" t="n"/>
      <c r="J899" s="37" t="n"/>
      <c r="K899" s="39" t="str">
        <f>IF(A899="","",SUMIFS(mv_qty,mv_ref,A899,mv_type,"Entrée"))</f>
        <v/>
      </c>
      <c r="L899" s="39" t="str">
        <f>IF(A899="","",SUMIFS(mv_qty,mv_ref,A899,mv_type,"Sortie"))</f>
        <v/>
      </c>
      <c r="M899" s="39" t="str">
        <f>IF(A899="","",ROUND(N(H899)+K899-L899,6))</f>
        <v/>
      </c>
      <c r="N899" s="40" t="str">
        <f>IF(A899="","",M899*N(G899))</f>
        <v/>
      </c>
      <c r="O899" s="39" t="str">
        <f>IF(A899="","",IF(M899&lt;=0,"Rupture",IF(AND(I899&lt;&gt;"",M899&lt;=N(I899)),"À commander","OK")))</f>
        <v/>
      </c>
      <c r="P899" s="39" t="str">
        <f>IF(OR(A899="",O899="OK",J899=""),"",MAX(N(J899)-M899,0))</f>
        <v/>
      </c>
      <c r="Q899" s="39" t="str">
        <f>IF(A899="",IF(COUNTA(B899:J899)&gt;0,"Référence manquante",""),IF(COUNTIF($A$5:$A$1004,A899)&gt;1,"Référence en double",IF(B899="","Désignation manquante","OK")))</f>
        <v/>
      </c>
      <c r="R899" s="39" t="str">
        <f>IF(OR(O899="Rupture",O899="À commander"),COUNTIF($O$5:O899,"Rupture")+COUNTIF($O$5:O899,"À commander"),"")</f>
        <v/>
      </c>
    </row>
    <row r="900">
      <c r="A900" s="37" t="n"/>
      <c r="B900" s="37" t="n"/>
      <c r="C900" s="37" t="n"/>
      <c r="D900" s="37" t="n"/>
      <c r="E900" s="37" t="n"/>
      <c r="F900" s="37" t="n"/>
      <c r="G900" s="38" t="n"/>
      <c r="H900" s="37" t="n"/>
      <c r="I900" s="37" t="n"/>
      <c r="J900" s="37" t="n"/>
      <c r="K900" s="39" t="str">
        <f>IF(A900="","",SUMIFS(mv_qty,mv_ref,A900,mv_type,"Entrée"))</f>
        <v/>
      </c>
      <c r="L900" s="39" t="str">
        <f>IF(A900="","",SUMIFS(mv_qty,mv_ref,A900,mv_type,"Sortie"))</f>
        <v/>
      </c>
      <c r="M900" s="39" t="str">
        <f>IF(A900="","",ROUND(N(H900)+K900-L900,6))</f>
        <v/>
      </c>
      <c r="N900" s="40" t="str">
        <f>IF(A900="","",M900*N(G900))</f>
        <v/>
      </c>
      <c r="O900" s="39" t="str">
        <f>IF(A900="","",IF(M900&lt;=0,"Rupture",IF(AND(I900&lt;&gt;"",M900&lt;=N(I900)),"À commander","OK")))</f>
        <v/>
      </c>
      <c r="P900" s="39" t="str">
        <f>IF(OR(A900="",O900="OK",J900=""),"",MAX(N(J900)-M900,0))</f>
        <v/>
      </c>
      <c r="Q900" s="39" t="str">
        <f>IF(A900="",IF(COUNTA(B900:J900)&gt;0,"Référence manquante",""),IF(COUNTIF($A$5:$A$1004,A900)&gt;1,"Référence en double",IF(B900="","Désignation manquante","OK")))</f>
        <v/>
      </c>
      <c r="R900" s="39" t="str">
        <f>IF(OR(O900="Rupture",O900="À commander"),COUNTIF($O$5:O900,"Rupture")+COUNTIF($O$5:O900,"À commander"),"")</f>
        <v/>
      </c>
    </row>
    <row r="901">
      <c r="A901" s="37" t="n"/>
      <c r="B901" s="37" t="n"/>
      <c r="C901" s="37" t="n"/>
      <c r="D901" s="37" t="n"/>
      <c r="E901" s="37" t="n"/>
      <c r="F901" s="37" t="n"/>
      <c r="G901" s="38" t="n"/>
      <c r="H901" s="37" t="n"/>
      <c r="I901" s="37" t="n"/>
      <c r="J901" s="37" t="n"/>
      <c r="K901" s="39" t="str">
        <f>IF(A901="","",SUMIFS(mv_qty,mv_ref,A901,mv_type,"Entrée"))</f>
        <v/>
      </c>
      <c r="L901" s="39" t="str">
        <f>IF(A901="","",SUMIFS(mv_qty,mv_ref,A901,mv_type,"Sortie"))</f>
        <v/>
      </c>
      <c r="M901" s="39" t="str">
        <f>IF(A901="","",ROUND(N(H901)+K901-L901,6))</f>
        <v/>
      </c>
      <c r="N901" s="40" t="str">
        <f>IF(A901="","",M901*N(G901))</f>
        <v/>
      </c>
      <c r="O901" s="39" t="str">
        <f>IF(A901="","",IF(M901&lt;=0,"Rupture",IF(AND(I901&lt;&gt;"",M901&lt;=N(I901)),"À commander","OK")))</f>
        <v/>
      </c>
      <c r="P901" s="39" t="str">
        <f>IF(OR(A901="",O901="OK",J901=""),"",MAX(N(J901)-M901,0))</f>
        <v/>
      </c>
      <c r="Q901" s="39" t="str">
        <f>IF(A901="",IF(COUNTA(B901:J901)&gt;0,"Référence manquante",""),IF(COUNTIF($A$5:$A$1004,A901)&gt;1,"Référence en double",IF(B901="","Désignation manquante","OK")))</f>
        <v/>
      </c>
      <c r="R901" s="39" t="str">
        <f>IF(OR(O901="Rupture",O901="À commander"),COUNTIF($O$5:O901,"Rupture")+COUNTIF($O$5:O901,"À commander"),"")</f>
        <v/>
      </c>
    </row>
    <row r="902">
      <c r="A902" s="37" t="n"/>
      <c r="B902" s="37" t="n"/>
      <c r="C902" s="37" t="n"/>
      <c r="D902" s="37" t="n"/>
      <c r="E902" s="37" t="n"/>
      <c r="F902" s="37" t="n"/>
      <c r="G902" s="38" t="n"/>
      <c r="H902" s="37" t="n"/>
      <c r="I902" s="37" t="n"/>
      <c r="J902" s="37" t="n"/>
      <c r="K902" s="39" t="str">
        <f>IF(A902="","",SUMIFS(mv_qty,mv_ref,A902,mv_type,"Entrée"))</f>
        <v/>
      </c>
      <c r="L902" s="39" t="str">
        <f>IF(A902="","",SUMIFS(mv_qty,mv_ref,A902,mv_type,"Sortie"))</f>
        <v/>
      </c>
      <c r="M902" s="39" t="str">
        <f>IF(A902="","",ROUND(N(H902)+K902-L902,6))</f>
        <v/>
      </c>
      <c r="N902" s="40" t="str">
        <f>IF(A902="","",M902*N(G902))</f>
        <v/>
      </c>
      <c r="O902" s="39" t="str">
        <f>IF(A902="","",IF(M902&lt;=0,"Rupture",IF(AND(I902&lt;&gt;"",M902&lt;=N(I902)),"À commander","OK")))</f>
        <v/>
      </c>
      <c r="P902" s="39" t="str">
        <f>IF(OR(A902="",O902="OK",J902=""),"",MAX(N(J902)-M902,0))</f>
        <v/>
      </c>
      <c r="Q902" s="39" t="str">
        <f>IF(A902="",IF(COUNTA(B902:J902)&gt;0,"Référence manquante",""),IF(COUNTIF($A$5:$A$1004,A902)&gt;1,"Référence en double",IF(B902="","Désignation manquante","OK")))</f>
        <v/>
      </c>
      <c r="R902" s="39" t="str">
        <f>IF(OR(O902="Rupture",O902="À commander"),COUNTIF($O$5:O902,"Rupture")+COUNTIF($O$5:O902,"À commander"),"")</f>
        <v/>
      </c>
    </row>
    <row r="903">
      <c r="A903" s="37" t="n"/>
      <c r="B903" s="37" t="n"/>
      <c r="C903" s="37" t="n"/>
      <c r="D903" s="37" t="n"/>
      <c r="E903" s="37" t="n"/>
      <c r="F903" s="37" t="n"/>
      <c r="G903" s="38" t="n"/>
      <c r="H903" s="37" t="n"/>
      <c r="I903" s="37" t="n"/>
      <c r="J903" s="37" t="n"/>
      <c r="K903" s="39" t="str">
        <f>IF(A903="","",SUMIFS(mv_qty,mv_ref,A903,mv_type,"Entrée"))</f>
        <v/>
      </c>
      <c r="L903" s="39" t="str">
        <f>IF(A903="","",SUMIFS(mv_qty,mv_ref,A903,mv_type,"Sortie"))</f>
        <v/>
      </c>
      <c r="M903" s="39" t="str">
        <f>IF(A903="","",ROUND(N(H903)+K903-L903,6))</f>
        <v/>
      </c>
      <c r="N903" s="40" t="str">
        <f>IF(A903="","",M903*N(G903))</f>
        <v/>
      </c>
      <c r="O903" s="39" t="str">
        <f>IF(A903="","",IF(M903&lt;=0,"Rupture",IF(AND(I903&lt;&gt;"",M903&lt;=N(I903)),"À commander","OK")))</f>
        <v/>
      </c>
      <c r="P903" s="39" t="str">
        <f>IF(OR(A903="",O903="OK",J903=""),"",MAX(N(J903)-M903,0))</f>
        <v/>
      </c>
      <c r="Q903" s="39" t="str">
        <f>IF(A903="",IF(COUNTA(B903:J903)&gt;0,"Référence manquante",""),IF(COUNTIF($A$5:$A$1004,A903)&gt;1,"Référence en double",IF(B903="","Désignation manquante","OK")))</f>
        <v/>
      </c>
      <c r="R903" s="39" t="str">
        <f>IF(OR(O903="Rupture",O903="À commander"),COUNTIF($O$5:O903,"Rupture")+COUNTIF($O$5:O903,"À commander"),"")</f>
        <v/>
      </c>
    </row>
    <row r="904">
      <c r="A904" s="37" t="n"/>
      <c r="B904" s="37" t="n"/>
      <c r="C904" s="37" t="n"/>
      <c r="D904" s="37" t="n"/>
      <c r="E904" s="37" t="n"/>
      <c r="F904" s="37" t="n"/>
      <c r="G904" s="38" t="n"/>
      <c r="H904" s="37" t="n"/>
      <c r="I904" s="37" t="n"/>
      <c r="J904" s="37" t="n"/>
      <c r="K904" s="39" t="str">
        <f>IF(A904="","",SUMIFS(mv_qty,mv_ref,A904,mv_type,"Entrée"))</f>
        <v/>
      </c>
      <c r="L904" s="39" t="str">
        <f>IF(A904="","",SUMIFS(mv_qty,mv_ref,A904,mv_type,"Sortie"))</f>
        <v/>
      </c>
      <c r="M904" s="39" t="str">
        <f>IF(A904="","",ROUND(N(H904)+K904-L904,6))</f>
        <v/>
      </c>
      <c r="N904" s="40" t="str">
        <f>IF(A904="","",M904*N(G904))</f>
        <v/>
      </c>
      <c r="O904" s="39" t="str">
        <f>IF(A904="","",IF(M904&lt;=0,"Rupture",IF(AND(I904&lt;&gt;"",M904&lt;=N(I904)),"À commander","OK")))</f>
        <v/>
      </c>
      <c r="P904" s="39" t="str">
        <f>IF(OR(A904="",O904="OK",J904=""),"",MAX(N(J904)-M904,0))</f>
        <v/>
      </c>
      <c r="Q904" s="39" t="str">
        <f>IF(A904="",IF(COUNTA(B904:J904)&gt;0,"Référence manquante",""),IF(COUNTIF($A$5:$A$1004,A904)&gt;1,"Référence en double",IF(B904="","Désignation manquante","OK")))</f>
        <v/>
      </c>
      <c r="R904" s="39" t="str">
        <f>IF(OR(O904="Rupture",O904="À commander"),COUNTIF($O$5:O904,"Rupture")+COUNTIF($O$5:O904,"À commander"),"")</f>
        <v/>
      </c>
    </row>
    <row r="905">
      <c r="A905" s="37" t="n"/>
      <c r="B905" s="37" t="n"/>
      <c r="C905" s="37" t="n"/>
      <c r="D905" s="37" t="n"/>
      <c r="E905" s="37" t="n"/>
      <c r="F905" s="37" t="n"/>
      <c r="G905" s="38" t="n"/>
      <c r="H905" s="37" t="n"/>
      <c r="I905" s="37" t="n"/>
      <c r="J905" s="37" t="n"/>
      <c r="K905" s="39" t="str">
        <f>IF(A905="","",SUMIFS(mv_qty,mv_ref,A905,mv_type,"Entrée"))</f>
        <v/>
      </c>
      <c r="L905" s="39" t="str">
        <f>IF(A905="","",SUMIFS(mv_qty,mv_ref,A905,mv_type,"Sortie"))</f>
        <v/>
      </c>
      <c r="M905" s="39" t="str">
        <f>IF(A905="","",ROUND(N(H905)+K905-L905,6))</f>
        <v/>
      </c>
      <c r="N905" s="40" t="str">
        <f>IF(A905="","",M905*N(G905))</f>
        <v/>
      </c>
      <c r="O905" s="39" t="str">
        <f>IF(A905="","",IF(M905&lt;=0,"Rupture",IF(AND(I905&lt;&gt;"",M905&lt;=N(I905)),"À commander","OK")))</f>
        <v/>
      </c>
      <c r="P905" s="39" t="str">
        <f>IF(OR(A905="",O905="OK",J905=""),"",MAX(N(J905)-M905,0))</f>
        <v/>
      </c>
      <c r="Q905" s="39" t="str">
        <f>IF(A905="",IF(COUNTA(B905:J905)&gt;0,"Référence manquante",""),IF(COUNTIF($A$5:$A$1004,A905)&gt;1,"Référence en double",IF(B905="","Désignation manquante","OK")))</f>
        <v/>
      </c>
      <c r="R905" s="39" t="str">
        <f>IF(OR(O905="Rupture",O905="À commander"),COUNTIF($O$5:O905,"Rupture")+COUNTIF($O$5:O905,"À commander"),"")</f>
        <v/>
      </c>
    </row>
    <row r="906">
      <c r="A906" s="37" t="n"/>
      <c r="B906" s="37" t="n"/>
      <c r="C906" s="37" t="n"/>
      <c r="D906" s="37" t="n"/>
      <c r="E906" s="37" t="n"/>
      <c r="F906" s="37" t="n"/>
      <c r="G906" s="38" t="n"/>
      <c r="H906" s="37" t="n"/>
      <c r="I906" s="37" t="n"/>
      <c r="J906" s="37" t="n"/>
      <c r="K906" s="39" t="str">
        <f>IF(A906="","",SUMIFS(mv_qty,mv_ref,A906,mv_type,"Entrée"))</f>
        <v/>
      </c>
      <c r="L906" s="39" t="str">
        <f>IF(A906="","",SUMIFS(mv_qty,mv_ref,A906,mv_type,"Sortie"))</f>
        <v/>
      </c>
      <c r="M906" s="39" t="str">
        <f>IF(A906="","",ROUND(N(H906)+K906-L906,6))</f>
        <v/>
      </c>
      <c r="N906" s="40" t="str">
        <f>IF(A906="","",M906*N(G906))</f>
        <v/>
      </c>
      <c r="O906" s="39" t="str">
        <f>IF(A906="","",IF(M906&lt;=0,"Rupture",IF(AND(I906&lt;&gt;"",M906&lt;=N(I906)),"À commander","OK")))</f>
        <v/>
      </c>
      <c r="P906" s="39" t="str">
        <f>IF(OR(A906="",O906="OK",J906=""),"",MAX(N(J906)-M906,0))</f>
        <v/>
      </c>
      <c r="Q906" s="39" t="str">
        <f>IF(A906="",IF(COUNTA(B906:J906)&gt;0,"Référence manquante",""),IF(COUNTIF($A$5:$A$1004,A906)&gt;1,"Référence en double",IF(B906="","Désignation manquante","OK")))</f>
        <v/>
      </c>
      <c r="R906" s="39" t="str">
        <f>IF(OR(O906="Rupture",O906="À commander"),COUNTIF($O$5:O906,"Rupture")+COUNTIF($O$5:O906,"À commander"),"")</f>
        <v/>
      </c>
    </row>
    <row r="907">
      <c r="A907" s="37" t="n"/>
      <c r="B907" s="37" t="n"/>
      <c r="C907" s="37" t="n"/>
      <c r="D907" s="37" t="n"/>
      <c r="E907" s="37" t="n"/>
      <c r="F907" s="37" t="n"/>
      <c r="G907" s="38" t="n"/>
      <c r="H907" s="37" t="n"/>
      <c r="I907" s="37" t="n"/>
      <c r="J907" s="37" t="n"/>
      <c r="K907" s="39" t="str">
        <f>IF(A907="","",SUMIFS(mv_qty,mv_ref,A907,mv_type,"Entrée"))</f>
        <v/>
      </c>
      <c r="L907" s="39" t="str">
        <f>IF(A907="","",SUMIFS(mv_qty,mv_ref,A907,mv_type,"Sortie"))</f>
        <v/>
      </c>
      <c r="M907" s="39" t="str">
        <f>IF(A907="","",ROUND(N(H907)+K907-L907,6))</f>
        <v/>
      </c>
      <c r="N907" s="40" t="str">
        <f>IF(A907="","",M907*N(G907))</f>
        <v/>
      </c>
      <c r="O907" s="39" t="str">
        <f>IF(A907="","",IF(M907&lt;=0,"Rupture",IF(AND(I907&lt;&gt;"",M907&lt;=N(I907)),"À commander","OK")))</f>
        <v/>
      </c>
      <c r="P907" s="39" t="str">
        <f>IF(OR(A907="",O907="OK",J907=""),"",MAX(N(J907)-M907,0))</f>
        <v/>
      </c>
      <c r="Q907" s="39" t="str">
        <f>IF(A907="",IF(COUNTA(B907:J907)&gt;0,"Référence manquante",""),IF(COUNTIF($A$5:$A$1004,A907)&gt;1,"Référence en double",IF(B907="","Désignation manquante","OK")))</f>
        <v/>
      </c>
      <c r="R907" s="39" t="str">
        <f>IF(OR(O907="Rupture",O907="À commander"),COUNTIF($O$5:O907,"Rupture")+COUNTIF($O$5:O907,"À commander"),"")</f>
        <v/>
      </c>
    </row>
    <row r="908">
      <c r="A908" s="37" t="n"/>
      <c r="B908" s="37" t="n"/>
      <c r="C908" s="37" t="n"/>
      <c r="D908" s="37" t="n"/>
      <c r="E908" s="37" t="n"/>
      <c r="F908" s="37" t="n"/>
      <c r="G908" s="38" t="n"/>
      <c r="H908" s="37" t="n"/>
      <c r="I908" s="37" t="n"/>
      <c r="J908" s="37" t="n"/>
      <c r="K908" s="39" t="str">
        <f>IF(A908="","",SUMIFS(mv_qty,mv_ref,A908,mv_type,"Entrée"))</f>
        <v/>
      </c>
      <c r="L908" s="39" t="str">
        <f>IF(A908="","",SUMIFS(mv_qty,mv_ref,A908,mv_type,"Sortie"))</f>
        <v/>
      </c>
      <c r="M908" s="39" t="str">
        <f>IF(A908="","",ROUND(N(H908)+K908-L908,6))</f>
        <v/>
      </c>
      <c r="N908" s="40" t="str">
        <f>IF(A908="","",M908*N(G908))</f>
        <v/>
      </c>
      <c r="O908" s="39" t="str">
        <f>IF(A908="","",IF(M908&lt;=0,"Rupture",IF(AND(I908&lt;&gt;"",M908&lt;=N(I908)),"À commander","OK")))</f>
        <v/>
      </c>
      <c r="P908" s="39" t="str">
        <f>IF(OR(A908="",O908="OK",J908=""),"",MAX(N(J908)-M908,0))</f>
        <v/>
      </c>
      <c r="Q908" s="39" t="str">
        <f>IF(A908="",IF(COUNTA(B908:J908)&gt;0,"Référence manquante",""),IF(COUNTIF($A$5:$A$1004,A908)&gt;1,"Référence en double",IF(B908="","Désignation manquante","OK")))</f>
        <v/>
      </c>
      <c r="R908" s="39" t="str">
        <f>IF(OR(O908="Rupture",O908="À commander"),COUNTIF($O$5:O908,"Rupture")+COUNTIF($O$5:O908,"À commander"),"")</f>
        <v/>
      </c>
    </row>
    <row r="909">
      <c r="A909" s="37" t="n"/>
      <c r="B909" s="37" t="n"/>
      <c r="C909" s="37" t="n"/>
      <c r="D909" s="37" t="n"/>
      <c r="E909" s="37" t="n"/>
      <c r="F909" s="37" t="n"/>
      <c r="G909" s="38" t="n"/>
      <c r="H909" s="37" t="n"/>
      <c r="I909" s="37" t="n"/>
      <c r="J909" s="37" t="n"/>
      <c r="K909" s="39" t="str">
        <f>IF(A909="","",SUMIFS(mv_qty,mv_ref,A909,mv_type,"Entrée"))</f>
        <v/>
      </c>
      <c r="L909" s="39" t="str">
        <f>IF(A909="","",SUMIFS(mv_qty,mv_ref,A909,mv_type,"Sortie"))</f>
        <v/>
      </c>
      <c r="M909" s="39" t="str">
        <f>IF(A909="","",ROUND(N(H909)+K909-L909,6))</f>
        <v/>
      </c>
      <c r="N909" s="40" t="str">
        <f>IF(A909="","",M909*N(G909))</f>
        <v/>
      </c>
      <c r="O909" s="39" t="str">
        <f>IF(A909="","",IF(M909&lt;=0,"Rupture",IF(AND(I909&lt;&gt;"",M909&lt;=N(I909)),"À commander","OK")))</f>
        <v/>
      </c>
      <c r="P909" s="39" t="str">
        <f>IF(OR(A909="",O909="OK",J909=""),"",MAX(N(J909)-M909,0))</f>
        <v/>
      </c>
      <c r="Q909" s="39" t="str">
        <f>IF(A909="",IF(COUNTA(B909:J909)&gt;0,"Référence manquante",""),IF(COUNTIF($A$5:$A$1004,A909)&gt;1,"Référence en double",IF(B909="","Désignation manquante","OK")))</f>
        <v/>
      </c>
      <c r="R909" s="39" t="str">
        <f>IF(OR(O909="Rupture",O909="À commander"),COUNTIF($O$5:O909,"Rupture")+COUNTIF($O$5:O909,"À commander"),"")</f>
        <v/>
      </c>
    </row>
    <row r="910">
      <c r="A910" s="37" t="n"/>
      <c r="B910" s="37" t="n"/>
      <c r="C910" s="37" t="n"/>
      <c r="D910" s="37" t="n"/>
      <c r="E910" s="37" t="n"/>
      <c r="F910" s="37" t="n"/>
      <c r="G910" s="38" t="n"/>
      <c r="H910" s="37" t="n"/>
      <c r="I910" s="37" t="n"/>
      <c r="J910" s="37" t="n"/>
      <c r="K910" s="39" t="str">
        <f>IF(A910="","",SUMIFS(mv_qty,mv_ref,A910,mv_type,"Entrée"))</f>
        <v/>
      </c>
      <c r="L910" s="39" t="str">
        <f>IF(A910="","",SUMIFS(mv_qty,mv_ref,A910,mv_type,"Sortie"))</f>
        <v/>
      </c>
      <c r="M910" s="39" t="str">
        <f>IF(A910="","",ROUND(N(H910)+K910-L910,6))</f>
        <v/>
      </c>
      <c r="N910" s="40" t="str">
        <f>IF(A910="","",M910*N(G910))</f>
        <v/>
      </c>
      <c r="O910" s="39" t="str">
        <f>IF(A910="","",IF(M910&lt;=0,"Rupture",IF(AND(I910&lt;&gt;"",M910&lt;=N(I910)),"À commander","OK")))</f>
        <v/>
      </c>
      <c r="P910" s="39" t="str">
        <f>IF(OR(A910="",O910="OK",J910=""),"",MAX(N(J910)-M910,0))</f>
        <v/>
      </c>
      <c r="Q910" s="39" t="str">
        <f>IF(A910="",IF(COUNTA(B910:J910)&gt;0,"Référence manquante",""),IF(COUNTIF($A$5:$A$1004,A910)&gt;1,"Référence en double",IF(B910="","Désignation manquante","OK")))</f>
        <v/>
      </c>
      <c r="R910" s="39" t="str">
        <f>IF(OR(O910="Rupture",O910="À commander"),COUNTIF($O$5:O910,"Rupture")+COUNTIF($O$5:O910,"À commander"),"")</f>
        <v/>
      </c>
    </row>
    <row r="911">
      <c r="A911" s="37" t="n"/>
      <c r="B911" s="37" t="n"/>
      <c r="C911" s="37" t="n"/>
      <c r="D911" s="37" t="n"/>
      <c r="E911" s="37" t="n"/>
      <c r="F911" s="37" t="n"/>
      <c r="G911" s="38" t="n"/>
      <c r="H911" s="37" t="n"/>
      <c r="I911" s="37" t="n"/>
      <c r="J911" s="37" t="n"/>
      <c r="K911" s="39" t="str">
        <f>IF(A911="","",SUMIFS(mv_qty,mv_ref,A911,mv_type,"Entrée"))</f>
        <v/>
      </c>
      <c r="L911" s="39" t="str">
        <f>IF(A911="","",SUMIFS(mv_qty,mv_ref,A911,mv_type,"Sortie"))</f>
        <v/>
      </c>
      <c r="M911" s="39" t="str">
        <f>IF(A911="","",ROUND(N(H911)+K911-L911,6))</f>
        <v/>
      </c>
      <c r="N911" s="40" t="str">
        <f>IF(A911="","",M911*N(G911))</f>
        <v/>
      </c>
      <c r="O911" s="39" t="str">
        <f>IF(A911="","",IF(M911&lt;=0,"Rupture",IF(AND(I911&lt;&gt;"",M911&lt;=N(I911)),"À commander","OK")))</f>
        <v/>
      </c>
      <c r="P911" s="39" t="str">
        <f>IF(OR(A911="",O911="OK",J911=""),"",MAX(N(J911)-M911,0))</f>
        <v/>
      </c>
      <c r="Q911" s="39" t="str">
        <f>IF(A911="",IF(COUNTA(B911:J911)&gt;0,"Référence manquante",""),IF(COUNTIF($A$5:$A$1004,A911)&gt;1,"Référence en double",IF(B911="","Désignation manquante","OK")))</f>
        <v/>
      </c>
      <c r="R911" s="39" t="str">
        <f>IF(OR(O911="Rupture",O911="À commander"),COUNTIF($O$5:O911,"Rupture")+COUNTIF($O$5:O911,"À commander"),"")</f>
        <v/>
      </c>
    </row>
    <row r="912">
      <c r="A912" s="37" t="n"/>
      <c r="B912" s="37" t="n"/>
      <c r="C912" s="37" t="n"/>
      <c r="D912" s="37" t="n"/>
      <c r="E912" s="37" t="n"/>
      <c r="F912" s="37" t="n"/>
      <c r="G912" s="38" t="n"/>
      <c r="H912" s="37" t="n"/>
      <c r="I912" s="37" t="n"/>
      <c r="J912" s="37" t="n"/>
      <c r="K912" s="39" t="str">
        <f>IF(A912="","",SUMIFS(mv_qty,mv_ref,A912,mv_type,"Entrée"))</f>
        <v/>
      </c>
      <c r="L912" s="39" t="str">
        <f>IF(A912="","",SUMIFS(mv_qty,mv_ref,A912,mv_type,"Sortie"))</f>
        <v/>
      </c>
      <c r="M912" s="39" t="str">
        <f>IF(A912="","",ROUND(N(H912)+K912-L912,6))</f>
        <v/>
      </c>
      <c r="N912" s="40" t="str">
        <f>IF(A912="","",M912*N(G912))</f>
        <v/>
      </c>
      <c r="O912" s="39" t="str">
        <f>IF(A912="","",IF(M912&lt;=0,"Rupture",IF(AND(I912&lt;&gt;"",M912&lt;=N(I912)),"À commander","OK")))</f>
        <v/>
      </c>
      <c r="P912" s="39" t="str">
        <f>IF(OR(A912="",O912="OK",J912=""),"",MAX(N(J912)-M912,0))</f>
        <v/>
      </c>
      <c r="Q912" s="39" t="str">
        <f>IF(A912="",IF(COUNTA(B912:J912)&gt;0,"Référence manquante",""),IF(COUNTIF($A$5:$A$1004,A912)&gt;1,"Référence en double",IF(B912="","Désignation manquante","OK")))</f>
        <v/>
      </c>
      <c r="R912" s="39" t="str">
        <f>IF(OR(O912="Rupture",O912="À commander"),COUNTIF($O$5:O912,"Rupture")+COUNTIF($O$5:O912,"À commander"),"")</f>
        <v/>
      </c>
    </row>
    <row r="913">
      <c r="A913" s="37" t="n"/>
      <c r="B913" s="37" t="n"/>
      <c r="C913" s="37" t="n"/>
      <c r="D913" s="37" t="n"/>
      <c r="E913" s="37" t="n"/>
      <c r="F913" s="37" t="n"/>
      <c r="G913" s="38" t="n"/>
      <c r="H913" s="37" t="n"/>
      <c r="I913" s="37" t="n"/>
      <c r="J913" s="37" t="n"/>
      <c r="K913" s="39" t="str">
        <f>IF(A913="","",SUMIFS(mv_qty,mv_ref,A913,mv_type,"Entrée"))</f>
        <v/>
      </c>
      <c r="L913" s="39" t="str">
        <f>IF(A913="","",SUMIFS(mv_qty,mv_ref,A913,mv_type,"Sortie"))</f>
        <v/>
      </c>
      <c r="M913" s="39" t="str">
        <f>IF(A913="","",ROUND(N(H913)+K913-L913,6))</f>
        <v/>
      </c>
      <c r="N913" s="40" t="str">
        <f>IF(A913="","",M913*N(G913))</f>
        <v/>
      </c>
      <c r="O913" s="39" t="str">
        <f>IF(A913="","",IF(M913&lt;=0,"Rupture",IF(AND(I913&lt;&gt;"",M913&lt;=N(I913)),"À commander","OK")))</f>
        <v/>
      </c>
      <c r="P913" s="39" t="str">
        <f>IF(OR(A913="",O913="OK",J913=""),"",MAX(N(J913)-M913,0))</f>
        <v/>
      </c>
      <c r="Q913" s="39" t="str">
        <f>IF(A913="",IF(COUNTA(B913:J913)&gt;0,"Référence manquante",""),IF(COUNTIF($A$5:$A$1004,A913)&gt;1,"Référence en double",IF(B913="","Désignation manquante","OK")))</f>
        <v/>
      </c>
      <c r="R913" s="39" t="str">
        <f>IF(OR(O913="Rupture",O913="À commander"),COUNTIF($O$5:O913,"Rupture")+COUNTIF($O$5:O913,"À commander"),"")</f>
        <v/>
      </c>
    </row>
    <row r="914">
      <c r="A914" s="37" t="n"/>
      <c r="B914" s="37" t="n"/>
      <c r="C914" s="37" t="n"/>
      <c r="D914" s="37" t="n"/>
      <c r="E914" s="37" t="n"/>
      <c r="F914" s="37" t="n"/>
      <c r="G914" s="38" t="n"/>
      <c r="H914" s="37" t="n"/>
      <c r="I914" s="37" t="n"/>
      <c r="J914" s="37" t="n"/>
      <c r="K914" s="39" t="str">
        <f>IF(A914="","",SUMIFS(mv_qty,mv_ref,A914,mv_type,"Entrée"))</f>
        <v/>
      </c>
      <c r="L914" s="39" t="str">
        <f>IF(A914="","",SUMIFS(mv_qty,mv_ref,A914,mv_type,"Sortie"))</f>
        <v/>
      </c>
      <c r="M914" s="39" t="str">
        <f>IF(A914="","",ROUND(N(H914)+K914-L914,6))</f>
        <v/>
      </c>
      <c r="N914" s="40" t="str">
        <f>IF(A914="","",M914*N(G914))</f>
        <v/>
      </c>
      <c r="O914" s="39" t="str">
        <f>IF(A914="","",IF(M914&lt;=0,"Rupture",IF(AND(I914&lt;&gt;"",M914&lt;=N(I914)),"À commander","OK")))</f>
        <v/>
      </c>
      <c r="P914" s="39" t="str">
        <f>IF(OR(A914="",O914="OK",J914=""),"",MAX(N(J914)-M914,0))</f>
        <v/>
      </c>
      <c r="Q914" s="39" t="str">
        <f>IF(A914="",IF(COUNTA(B914:J914)&gt;0,"Référence manquante",""),IF(COUNTIF($A$5:$A$1004,A914)&gt;1,"Référence en double",IF(B914="","Désignation manquante","OK")))</f>
        <v/>
      </c>
      <c r="R914" s="39" t="str">
        <f>IF(OR(O914="Rupture",O914="À commander"),COUNTIF($O$5:O914,"Rupture")+COUNTIF($O$5:O914,"À commander"),"")</f>
        <v/>
      </c>
    </row>
    <row r="915">
      <c r="A915" s="37" t="n"/>
      <c r="B915" s="37" t="n"/>
      <c r="C915" s="37" t="n"/>
      <c r="D915" s="37" t="n"/>
      <c r="E915" s="37" t="n"/>
      <c r="F915" s="37" t="n"/>
      <c r="G915" s="38" t="n"/>
      <c r="H915" s="37" t="n"/>
      <c r="I915" s="37" t="n"/>
      <c r="J915" s="37" t="n"/>
      <c r="K915" s="39" t="str">
        <f>IF(A915="","",SUMIFS(mv_qty,mv_ref,A915,mv_type,"Entrée"))</f>
        <v/>
      </c>
      <c r="L915" s="39" t="str">
        <f>IF(A915="","",SUMIFS(mv_qty,mv_ref,A915,mv_type,"Sortie"))</f>
        <v/>
      </c>
      <c r="M915" s="39" t="str">
        <f>IF(A915="","",ROUND(N(H915)+K915-L915,6))</f>
        <v/>
      </c>
      <c r="N915" s="40" t="str">
        <f>IF(A915="","",M915*N(G915))</f>
        <v/>
      </c>
      <c r="O915" s="39" t="str">
        <f>IF(A915="","",IF(M915&lt;=0,"Rupture",IF(AND(I915&lt;&gt;"",M915&lt;=N(I915)),"À commander","OK")))</f>
        <v/>
      </c>
      <c r="P915" s="39" t="str">
        <f>IF(OR(A915="",O915="OK",J915=""),"",MAX(N(J915)-M915,0))</f>
        <v/>
      </c>
      <c r="Q915" s="39" t="str">
        <f>IF(A915="",IF(COUNTA(B915:J915)&gt;0,"Référence manquante",""),IF(COUNTIF($A$5:$A$1004,A915)&gt;1,"Référence en double",IF(B915="","Désignation manquante","OK")))</f>
        <v/>
      </c>
      <c r="R915" s="39" t="str">
        <f>IF(OR(O915="Rupture",O915="À commander"),COUNTIF($O$5:O915,"Rupture")+COUNTIF($O$5:O915,"À commander"),"")</f>
        <v/>
      </c>
    </row>
    <row r="916">
      <c r="A916" s="37" t="n"/>
      <c r="B916" s="37" t="n"/>
      <c r="C916" s="37" t="n"/>
      <c r="D916" s="37" t="n"/>
      <c r="E916" s="37" t="n"/>
      <c r="F916" s="37" t="n"/>
      <c r="G916" s="38" t="n"/>
      <c r="H916" s="37" t="n"/>
      <c r="I916" s="37" t="n"/>
      <c r="J916" s="37" t="n"/>
      <c r="K916" s="39" t="str">
        <f>IF(A916="","",SUMIFS(mv_qty,mv_ref,A916,mv_type,"Entrée"))</f>
        <v/>
      </c>
      <c r="L916" s="39" t="str">
        <f>IF(A916="","",SUMIFS(mv_qty,mv_ref,A916,mv_type,"Sortie"))</f>
        <v/>
      </c>
      <c r="M916" s="39" t="str">
        <f>IF(A916="","",ROUND(N(H916)+K916-L916,6))</f>
        <v/>
      </c>
      <c r="N916" s="40" t="str">
        <f>IF(A916="","",M916*N(G916))</f>
        <v/>
      </c>
      <c r="O916" s="39" t="str">
        <f>IF(A916="","",IF(M916&lt;=0,"Rupture",IF(AND(I916&lt;&gt;"",M916&lt;=N(I916)),"À commander","OK")))</f>
        <v/>
      </c>
      <c r="P916" s="39" t="str">
        <f>IF(OR(A916="",O916="OK",J916=""),"",MAX(N(J916)-M916,0))</f>
        <v/>
      </c>
      <c r="Q916" s="39" t="str">
        <f>IF(A916="",IF(COUNTA(B916:J916)&gt;0,"Référence manquante",""),IF(COUNTIF($A$5:$A$1004,A916)&gt;1,"Référence en double",IF(B916="","Désignation manquante","OK")))</f>
        <v/>
      </c>
      <c r="R916" s="39" t="str">
        <f>IF(OR(O916="Rupture",O916="À commander"),COUNTIF($O$5:O916,"Rupture")+COUNTIF($O$5:O916,"À commander"),"")</f>
        <v/>
      </c>
    </row>
    <row r="917">
      <c r="A917" s="37" t="n"/>
      <c r="B917" s="37" t="n"/>
      <c r="C917" s="37" t="n"/>
      <c r="D917" s="37" t="n"/>
      <c r="E917" s="37" t="n"/>
      <c r="F917" s="37" t="n"/>
      <c r="G917" s="38" t="n"/>
      <c r="H917" s="37" t="n"/>
      <c r="I917" s="37" t="n"/>
      <c r="J917" s="37" t="n"/>
      <c r="K917" s="39" t="str">
        <f>IF(A917="","",SUMIFS(mv_qty,mv_ref,A917,mv_type,"Entrée"))</f>
        <v/>
      </c>
      <c r="L917" s="39" t="str">
        <f>IF(A917="","",SUMIFS(mv_qty,mv_ref,A917,mv_type,"Sortie"))</f>
        <v/>
      </c>
      <c r="M917" s="39" t="str">
        <f>IF(A917="","",ROUND(N(H917)+K917-L917,6))</f>
        <v/>
      </c>
      <c r="N917" s="40" t="str">
        <f>IF(A917="","",M917*N(G917))</f>
        <v/>
      </c>
      <c r="O917" s="39" t="str">
        <f>IF(A917="","",IF(M917&lt;=0,"Rupture",IF(AND(I917&lt;&gt;"",M917&lt;=N(I917)),"À commander","OK")))</f>
        <v/>
      </c>
      <c r="P917" s="39" t="str">
        <f>IF(OR(A917="",O917="OK",J917=""),"",MAX(N(J917)-M917,0))</f>
        <v/>
      </c>
      <c r="Q917" s="39" t="str">
        <f>IF(A917="",IF(COUNTA(B917:J917)&gt;0,"Référence manquante",""),IF(COUNTIF($A$5:$A$1004,A917)&gt;1,"Référence en double",IF(B917="","Désignation manquante","OK")))</f>
        <v/>
      </c>
      <c r="R917" s="39" t="str">
        <f>IF(OR(O917="Rupture",O917="À commander"),COUNTIF($O$5:O917,"Rupture")+COUNTIF($O$5:O917,"À commander"),"")</f>
        <v/>
      </c>
    </row>
    <row r="918">
      <c r="A918" s="37" t="n"/>
      <c r="B918" s="37" t="n"/>
      <c r="C918" s="37" t="n"/>
      <c r="D918" s="37" t="n"/>
      <c r="E918" s="37" t="n"/>
      <c r="F918" s="37" t="n"/>
      <c r="G918" s="38" t="n"/>
      <c r="H918" s="37" t="n"/>
      <c r="I918" s="37" t="n"/>
      <c r="J918" s="37" t="n"/>
      <c r="K918" s="39" t="str">
        <f>IF(A918="","",SUMIFS(mv_qty,mv_ref,A918,mv_type,"Entrée"))</f>
        <v/>
      </c>
      <c r="L918" s="39" t="str">
        <f>IF(A918="","",SUMIFS(mv_qty,mv_ref,A918,mv_type,"Sortie"))</f>
        <v/>
      </c>
      <c r="M918" s="39" t="str">
        <f>IF(A918="","",ROUND(N(H918)+K918-L918,6))</f>
        <v/>
      </c>
      <c r="N918" s="40" t="str">
        <f>IF(A918="","",M918*N(G918))</f>
        <v/>
      </c>
      <c r="O918" s="39" t="str">
        <f>IF(A918="","",IF(M918&lt;=0,"Rupture",IF(AND(I918&lt;&gt;"",M918&lt;=N(I918)),"À commander","OK")))</f>
        <v/>
      </c>
      <c r="P918" s="39" t="str">
        <f>IF(OR(A918="",O918="OK",J918=""),"",MAX(N(J918)-M918,0))</f>
        <v/>
      </c>
      <c r="Q918" s="39" t="str">
        <f>IF(A918="",IF(COUNTA(B918:J918)&gt;0,"Référence manquante",""),IF(COUNTIF($A$5:$A$1004,A918)&gt;1,"Référence en double",IF(B918="","Désignation manquante","OK")))</f>
        <v/>
      </c>
      <c r="R918" s="39" t="str">
        <f>IF(OR(O918="Rupture",O918="À commander"),COUNTIF($O$5:O918,"Rupture")+COUNTIF($O$5:O918,"À commander"),"")</f>
        <v/>
      </c>
    </row>
    <row r="919">
      <c r="A919" s="37" t="n"/>
      <c r="B919" s="37" t="n"/>
      <c r="C919" s="37" t="n"/>
      <c r="D919" s="37" t="n"/>
      <c r="E919" s="37" t="n"/>
      <c r="F919" s="37" t="n"/>
      <c r="G919" s="38" t="n"/>
      <c r="H919" s="37" t="n"/>
      <c r="I919" s="37" t="n"/>
      <c r="J919" s="37" t="n"/>
      <c r="K919" s="39" t="str">
        <f>IF(A919="","",SUMIFS(mv_qty,mv_ref,A919,mv_type,"Entrée"))</f>
        <v/>
      </c>
      <c r="L919" s="39" t="str">
        <f>IF(A919="","",SUMIFS(mv_qty,mv_ref,A919,mv_type,"Sortie"))</f>
        <v/>
      </c>
      <c r="M919" s="39" t="str">
        <f>IF(A919="","",ROUND(N(H919)+K919-L919,6))</f>
        <v/>
      </c>
      <c r="N919" s="40" t="str">
        <f>IF(A919="","",M919*N(G919))</f>
        <v/>
      </c>
      <c r="O919" s="39" t="str">
        <f>IF(A919="","",IF(M919&lt;=0,"Rupture",IF(AND(I919&lt;&gt;"",M919&lt;=N(I919)),"À commander","OK")))</f>
        <v/>
      </c>
      <c r="P919" s="39" t="str">
        <f>IF(OR(A919="",O919="OK",J919=""),"",MAX(N(J919)-M919,0))</f>
        <v/>
      </c>
      <c r="Q919" s="39" t="str">
        <f>IF(A919="",IF(COUNTA(B919:J919)&gt;0,"Référence manquante",""),IF(COUNTIF($A$5:$A$1004,A919)&gt;1,"Référence en double",IF(B919="","Désignation manquante","OK")))</f>
        <v/>
      </c>
      <c r="R919" s="39" t="str">
        <f>IF(OR(O919="Rupture",O919="À commander"),COUNTIF($O$5:O919,"Rupture")+COUNTIF($O$5:O919,"À commander"),"")</f>
        <v/>
      </c>
    </row>
    <row r="920">
      <c r="A920" s="37" t="n"/>
      <c r="B920" s="37" t="n"/>
      <c r="C920" s="37" t="n"/>
      <c r="D920" s="37" t="n"/>
      <c r="E920" s="37" t="n"/>
      <c r="F920" s="37" t="n"/>
      <c r="G920" s="38" t="n"/>
      <c r="H920" s="37" t="n"/>
      <c r="I920" s="37" t="n"/>
      <c r="J920" s="37" t="n"/>
      <c r="K920" s="39" t="str">
        <f>IF(A920="","",SUMIFS(mv_qty,mv_ref,A920,mv_type,"Entrée"))</f>
        <v/>
      </c>
      <c r="L920" s="39" t="str">
        <f>IF(A920="","",SUMIFS(mv_qty,mv_ref,A920,mv_type,"Sortie"))</f>
        <v/>
      </c>
      <c r="M920" s="39" t="str">
        <f>IF(A920="","",ROUND(N(H920)+K920-L920,6))</f>
        <v/>
      </c>
      <c r="N920" s="40" t="str">
        <f>IF(A920="","",M920*N(G920))</f>
        <v/>
      </c>
      <c r="O920" s="39" t="str">
        <f>IF(A920="","",IF(M920&lt;=0,"Rupture",IF(AND(I920&lt;&gt;"",M920&lt;=N(I920)),"À commander","OK")))</f>
        <v/>
      </c>
      <c r="P920" s="39" t="str">
        <f>IF(OR(A920="",O920="OK",J920=""),"",MAX(N(J920)-M920,0))</f>
        <v/>
      </c>
      <c r="Q920" s="39" t="str">
        <f>IF(A920="",IF(COUNTA(B920:J920)&gt;0,"Référence manquante",""),IF(COUNTIF($A$5:$A$1004,A920)&gt;1,"Référence en double",IF(B920="","Désignation manquante","OK")))</f>
        <v/>
      </c>
      <c r="R920" s="39" t="str">
        <f>IF(OR(O920="Rupture",O920="À commander"),COUNTIF($O$5:O920,"Rupture")+COUNTIF($O$5:O920,"À commander"),"")</f>
        <v/>
      </c>
    </row>
    <row r="921">
      <c r="A921" s="37" t="n"/>
      <c r="B921" s="37" t="n"/>
      <c r="C921" s="37" t="n"/>
      <c r="D921" s="37" t="n"/>
      <c r="E921" s="37" t="n"/>
      <c r="F921" s="37" t="n"/>
      <c r="G921" s="38" t="n"/>
      <c r="H921" s="37" t="n"/>
      <c r="I921" s="37" t="n"/>
      <c r="J921" s="37" t="n"/>
      <c r="K921" s="39" t="str">
        <f>IF(A921="","",SUMIFS(mv_qty,mv_ref,A921,mv_type,"Entrée"))</f>
        <v/>
      </c>
      <c r="L921" s="39" t="str">
        <f>IF(A921="","",SUMIFS(mv_qty,mv_ref,A921,mv_type,"Sortie"))</f>
        <v/>
      </c>
      <c r="M921" s="39" t="str">
        <f>IF(A921="","",ROUND(N(H921)+K921-L921,6))</f>
        <v/>
      </c>
      <c r="N921" s="40" t="str">
        <f>IF(A921="","",M921*N(G921))</f>
        <v/>
      </c>
      <c r="O921" s="39" t="str">
        <f>IF(A921="","",IF(M921&lt;=0,"Rupture",IF(AND(I921&lt;&gt;"",M921&lt;=N(I921)),"À commander","OK")))</f>
        <v/>
      </c>
      <c r="P921" s="39" t="str">
        <f>IF(OR(A921="",O921="OK",J921=""),"",MAX(N(J921)-M921,0))</f>
        <v/>
      </c>
      <c r="Q921" s="39" t="str">
        <f>IF(A921="",IF(COUNTA(B921:J921)&gt;0,"Référence manquante",""),IF(COUNTIF($A$5:$A$1004,A921)&gt;1,"Référence en double",IF(B921="","Désignation manquante","OK")))</f>
        <v/>
      </c>
      <c r="R921" s="39" t="str">
        <f>IF(OR(O921="Rupture",O921="À commander"),COUNTIF($O$5:O921,"Rupture")+COUNTIF($O$5:O921,"À commander"),"")</f>
        <v/>
      </c>
    </row>
    <row r="922">
      <c r="A922" s="37" t="n"/>
      <c r="B922" s="37" t="n"/>
      <c r="C922" s="37" t="n"/>
      <c r="D922" s="37" t="n"/>
      <c r="E922" s="37" t="n"/>
      <c r="F922" s="37" t="n"/>
      <c r="G922" s="38" t="n"/>
      <c r="H922" s="37" t="n"/>
      <c r="I922" s="37" t="n"/>
      <c r="J922" s="37" t="n"/>
      <c r="K922" s="39" t="str">
        <f>IF(A922="","",SUMIFS(mv_qty,mv_ref,A922,mv_type,"Entrée"))</f>
        <v/>
      </c>
      <c r="L922" s="39" t="str">
        <f>IF(A922="","",SUMIFS(mv_qty,mv_ref,A922,mv_type,"Sortie"))</f>
        <v/>
      </c>
      <c r="M922" s="39" t="str">
        <f>IF(A922="","",ROUND(N(H922)+K922-L922,6))</f>
        <v/>
      </c>
      <c r="N922" s="40" t="str">
        <f>IF(A922="","",M922*N(G922))</f>
        <v/>
      </c>
      <c r="O922" s="39" t="str">
        <f>IF(A922="","",IF(M922&lt;=0,"Rupture",IF(AND(I922&lt;&gt;"",M922&lt;=N(I922)),"À commander","OK")))</f>
        <v/>
      </c>
      <c r="P922" s="39" t="str">
        <f>IF(OR(A922="",O922="OK",J922=""),"",MAX(N(J922)-M922,0))</f>
        <v/>
      </c>
      <c r="Q922" s="39" t="str">
        <f>IF(A922="",IF(COUNTA(B922:J922)&gt;0,"Référence manquante",""),IF(COUNTIF($A$5:$A$1004,A922)&gt;1,"Référence en double",IF(B922="","Désignation manquante","OK")))</f>
        <v/>
      </c>
      <c r="R922" s="39" t="str">
        <f>IF(OR(O922="Rupture",O922="À commander"),COUNTIF($O$5:O922,"Rupture")+COUNTIF($O$5:O922,"À commander"),"")</f>
        <v/>
      </c>
    </row>
    <row r="923">
      <c r="A923" s="37" t="n"/>
      <c r="B923" s="37" t="n"/>
      <c r="C923" s="37" t="n"/>
      <c r="D923" s="37" t="n"/>
      <c r="E923" s="37" t="n"/>
      <c r="F923" s="37" t="n"/>
      <c r="G923" s="38" t="n"/>
      <c r="H923" s="37" t="n"/>
      <c r="I923" s="37" t="n"/>
      <c r="J923" s="37" t="n"/>
      <c r="K923" s="39" t="str">
        <f>IF(A923="","",SUMIFS(mv_qty,mv_ref,A923,mv_type,"Entrée"))</f>
        <v/>
      </c>
      <c r="L923" s="39" t="str">
        <f>IF(A923="","",SUMIFS(mv_qty,mv_ref,A923,mv_type,"Sortie"))</f>
        <v/>
      </c>
      <c r="M923" s="39" t="str">
        <f>IF(A923="","",ROUND(N(H923)+K923-L923,6))</f>
        <v/>
      </c>
      <c r="N923" s="40" t="str">
        <f>IF(A923="","",M923*N(G923))</f>
        <v/>
      </c>
      <c r="O923" s="39" t="str">
        <f>IF(A923="","",IF(M923&lt;=0,"Rupture",IF(AND(I923&lt;&gt;"",M923&lt;=N(I923)),"À commander","OK")))</f>
        <v/>
      </c>
      <c r="P923" s="39" t="str">
        <f>IF(OR(A923="",O923="OK",J923=""),"",MAX(N(J923)-M923,0))</f>
        <v/>
      </c>
      <c r="Q923" s="39" t="str">
        <f>IF(A923="",IF(COUNTA(B923:J923)&gt;0,"Référence manquante",""),IF(COUNTIF($A$5:$A$1004,A923)&gt;1,"Référence en double",IF(B923="","Désignation manquante","OK")))</f>
        <v/>
      </c>
      <c r="R923" s="39" t="str">
        <f>IF(OR(O923="Rupture",O923="À commander"),COUNTIF($O$5:O923,"Rupture")+COUNTIF($O$5:O923,"À commander"),"")</f>
        <v/>
      </c>
    </row>
    <row r="924">
      <c r="A924" s="37" t="n"/>
      <c r="B924" s="37" t="n"/>
      <c r="C924" s="37" t="n"/>
      <c r="D924" s="37" t="n"/>
      <c r="E924" s="37" t="n"/>
      <c r="F924" s="37" t="n"/>
      <c r="G924" s="38" t="n"/>
      <c r="H924" s="37" t="n"/>
      <c r="I924" s="37" t="n"/>
      <c r="J924" s="37" t="n"/>
      <c r="K924" s="39" t="str">
        <f>IF(A924="","",SUMIFS(mv_qty,mv_ref,A924,mv_type,"Entrée"))</f>
        <v/>
      </c>
      <c r="L924" s="39" t="str">
        <f>IF(A924="","",SUMIFS(mv_qty,mv_ref,A924,mv_type,"Sortie"))</f>
        <v/>
      </c>
      <c r="M924" s="39" t="str">
        <f>IF(A924="","",ROUND(N(H924)+K924-L924,6))</f>
        <v/>
      </c>
      <c r="N924" s="40" t="str">
        <f>IF(A924="","",M924*N(G924))</f>
        <v/>
      </c>
      <c r="O924" s="39" t="str">
        <f>IF(A924="","",IF(M924&lt;=0,"Rupture",IF(AND(I924&lt;&gt;"",M924&lt;=N(I924)),"À commander","OK")))</f>
        <v/>
      </c>
      <c r="P924" s="39" t="str">
        <f>IF(OR(A924="",O924="OK",J924=""),"",MAX(N(J924)-M924,0))</f>
        <v/>
      </c>
      <c r="Q924" s="39" t="str">
        <f>IF(A924="",IF(COUNTA(B924:J924)&gt;0,"Référence manquante",""),IF(COUNTIF($A$5:$A$1004,A924)&gt;1,"Référence en double",IF(B924="","Désignation manquante","OK")))</f>
        <v/>
      </c>
      <c r="R924" s="39" t="str">
        <f>IF(OR(O924="Rupture",O924="À commander"),COUNTIF($O$5:O924,"Rupture")+COUNTIF($O$5:O924,"À commander"),"")</f>
        <v/>
      </c>
    </row>
    <row r="925">
      <c r="A925" s="37" t="n"/>
      <c r="B925" s="37" t="n"/>
      <c r="C925" s="37" t="n"/>
      <c r="D925" s="37" t="n"/>
      <c r="E925" s="37" t="n"/>
      <c r="F925" s="37" t="n"/>
      <c r="G925" s="38" t="n"/>
      <c r="H925" s="37" t="n"/>
      <c r="I925" s="37" t="n"/>
      <c r="J925" s="37" t="n"/>
      <c r="K925" s="39" t="str">
        <f>IF(A925="","",SUMIFS(mv_qty,mv_ref,A925,mv_type,"Entrée"))</f>
        <v/>
      </c>
      <c r="L925" s="39" t="str">
        <f>IF(A925="","",SUMIFS(mv_qty,mv_ref,A925,mv_type,"Sortie"))</f>
        <v/>
      </c>
      <c r="M925" s="39" t="str">
        <f>IF(A925="","",ROUND(N(H925)+K925-L925,6))</f>
        <v/>
      </c>
      <c r="N925" s="40" t="str">
        <f>IF(A925="","",M925*N(G925))</f>
        <v/>
      </c>
      <c r="O925" s="39" t="str">
        <f>IF(A925="","",IF(M925&lt;=0,"Rupture",IF(AND(I925&lt;&gt;"",M925&lt;=N(I925)),"À commander","OK")))</f>
        <v/>
      </c>
      <c r="P925" s="39" t="str">
        <f>IF(OR(A925="",O925="OK",J925=""),"",MAX(N(J925)-M925,0))</f>
        <v/>
      </c>
      <c r="Q925" s="39" t="str">
        <f>IF(A925="",IF(COUNTA(B925:J925)&gt;0,"Référence manquante",""),IF(COUNTIF($A$5:$A$1004,A925)&gt;1,"Référence en double",IF(B925="","Désignation manquante","OK")))</f>
        <v/>
      </c>
      <c r="R925" s="39" t="str">
        <f>IF(OR(O925="Rupture",O925="À commander"),COUNTIF($O$5:O925,"Rupture")+COUNTIF($O$5:O925,"À commander"),"")</f>
        <v/>
      </c>
    </row>
    <row r="926">
      <c r="A926" s="37" t="n"/>
      <c r="B926" s="37" t="n"/>
      <c r="C926" s="37" t="n"/>
      <c r="D926" s="37" t="n"/>
      <c r="E926" s="37" t="n"/>
      <c r="F926" s="37" t="n"/>
      <c r="G926" s="38" t="n"/>
      <c r="H926" s="37" t="n"/>
      <c r="I926" s="37" t="n"/>
      <c r="J926" s="37" t="n"/>
      <c r="K926" s="39" t="str">
        <f>IF(A926="","",SUMIFS(mv_qty,mv_ref,A926,mv_type,"Entrée"))</f>
        <v/>
      </c>
      <c r="L926" s="39" t="str">
        <f>IF(A926="","",SUMIFS(mv_qty,mv_ref,A926,mv_type,"Sortie"))</f>
        <v/>
      </c>
      <c r="M926" s="39" t="str">
        <f>IF(A926="","",ROUND(N(H926)+K926-L926,6))</f>
        <v/>
      </c>
      <c r="N926" s="40" t="str">
        <f>IF(A926="","",M926*N(G926))</f>
        <v/>
      </c>
      <c r="O926" s="39" t="str">
        <f>IF(A926="","",IF(M926&lt;=0,"Rupture",IF(AND(I926&lt;&gt;"",M926&lt;=N(I926)),"À commander","OK")))</f>
        <v/>
      </c>
      <c r="P926" s="39" t="str">
        <f>IF(OR(A926="",O926="OK",J926=""),"",MAX(N(J926)-M926,0))</f>
        <v/>
      </c>
      <c r="Q926" s="39" t="str">
        <f>IF(A926="",IF(COUNTA(B926:J926)&gt;0,"Référence manquante",""),IF(COUNTIF($A$5:$A$1004,A926)&gt;1,"Référence en double",IF(B926="","Désignation manquante","OK")))</f>
        <v/>
      </c>
      <c r="R926" s="39" t="str">
        <f>IF(OR(O926="Rupture",O926="À commander"),COUNTIF($O$5:O926,"Rupture")+COUNTIF($O$5:O926,"À commander"),"")</f>
        <v/>
      </c>
    </row>
    <row r="927">
      <c r="A927" s="37" t="n"/>
      <c r="B927" s="37" t="n"/>
      <c r="C927" s="37" t="n"/>
      <c r="D927" s="37" t="n"/>
      <c r="E927" s="37" t="n"/>
      <c r="F927" s="37" t="n"/>
      <c r="G927" s="38" t="n"/>
      <c r="H927" s="37" t="n"/>
      <c r="I927" s="37" t="n"/>
      <c r="J927" s="37" t="n"/>
      <c r="K927" s="39" t="str">
        <f>IF(A927="","",SUMIFS(mv_qty,mv_ref,A927,mv_type,"Entrée"))</f>
        <v/>
      </c>
      <c r="L927" s="39" t="str">
        <f>IF(A927="","",SUMIFS(mv_qty,mv_ref,A927,mv_type,"Sortie"))</f>
        <v/>
      </c>
      <c r="M927" s="39" t="str">
        <f>IF(A927="","",ROUND(N(H927)+K927-L927,6))</f>
        <v/>
      </c>
      <c r="N927" s="40" t="str">
        <f>IF(A927="","",M927*N(G927))</f>
        <v/>
      </c>
      <c r="O927" s="39" t="str">
        <f>IF(A927="","",IF(M927&lt;=0,"Rupture",IF(AND(I927&lt;&gt;"",M927&lt;=N(I927)),"À commander","OK")))</f>
        <v/>
      </c>
      <c r="P927" s="39" t="str">
        <f>IF(OR(A927="",O927="OK",J927=""),"",MAX(N(J927)-M927,0))</f>
        <v/>
      </c>
      <c r="Q927" s="39" t="str">
        <f>IF(A927="",IF(COUNTA(B927:J927)&gt;0,"Référence manquante",""),IF(COUNTIF($A$5:$A$1004,A927)&gt;1,"Référence en double",IF(B927="","Désignation manquante","OK")))</f>
        <v/>
      </c>
      <c r="R927" s="39" t="str">
        <f>IF(OR(O927="Rupture",O927="À commander"),COUNTIF($O$5:O927,"Rupture")+COUNTIF($O$5:O927,"À commander"),"")</f>
        <v/>
      </c>
    </row>
    <row r="928">
      <c r="A928" s="37" t="n"/>
      <c r="B928" s="37" t="n"/>
      <c r="C928" s="37" t="n"/>
      <c r="D928" s="37" t="n"/>
      <c r="E928" s="37" t="n"/>
      <c r="F928" s="37" t="n"/>
      <c r="G928" s="38" t="n"/>
      <c r="H928" s="37" t="n"/>
      <c r="I928" s="37" t="n"/>
      <c r="J928" s="37" t="n"/>
      <c r="K928" s="39" t="str">
        <f>IF(A928="","",SUMIFS(mv_qty,mv_ref,A928,mv_type,"Entrée"))</f>
        <v/>
      </c>
      <c r="L928" s="39" t="str">
        <f>IF(A928="","",SUMIFS(mv_qty,mv_ref,A928,mv_type,"Sortie"))</f>
        <v/>
      </c>
      <c r="M928" s="39" t="str">
        <f>IF(A928="","",ROUND(N(H928)+K928-L928,6))</f>
        <v/>
      </c>
      <c r="N928" s="40" t="str">
        <f>IF(A928="","",M928*N(G928))</f>
        <v/>
      </c>
      <c r="O928" s="39" t="str">
        <f>IF(A928="","",IF(M928&lt;=0,"Rupture",IF(AND(I928&lt;&gt;"",M928&lt;=N(I928)),"À commander","OK")))</f>
        <v/>
      </c>
      <c r="P928" s="39" t="str">
        <f>IF(OR(A928="",O928="OK",J928=""),"",MAX(N(J928)-M928,0))</f>
        <v/>
      </c>
      <c r="Q928" s="39" t="str">
        <f>IF(A928="",IF(COUNTA(B928:J928)&gt;0,"Référence manquante",""),IF(COUNTIF($A$5:$A$1004,A928)&gt;1,"Référence en double",IF(B928="","Désignation manquante","OK")))</f>
        <v/>
      </c>
      <c r="R928" s="39" t="str">
        <f>IF(OR(O928="Rupture",O928="À commander"),COUNTIF($O$5:O928,"Rupture")+COUNTIF($O$5:O928,"À commander"),"")</f>
        <v/>
      </c>
    </row>
    <row r="929">
      <c r="A929" s="37" t="n"/>
      <c r="B929" s="37" t="n"/>
      <c r="C929" s="37" t="n"/>
      <c r="D929" s="37" t="n"/>
      <c r="E929" s="37" t="n"/>
      <c r="F929" s="37" t="n"/>
      <c r="G929" s="38" t="n"/>
      <c r="H929" s="37" t="n"/>
      <c r="I929" s="37" t="n"/>
      <c r="J929" s="37" t="n"/>
      <c r="K929" s="39" t="str">
        <f>IF(A929="","",SUMIFS(mv_qty,mv_ref,A929,mv_type,"Entrée"))</f>
        <v/>
      </c>
      <c r="L929" s="39" t="str">
        <f>IF(A929="","",SUMIFS(mv_qty,mv_ref,A929,mv_type,"Sortie"))</f>
        <v/>
      </c>
      <c r="M929" s="39" t="str">
        <f>IF(A929="","",ROUND(N(H929)+K929-L929,6))</f>
        <v/>
      </c>
      <c r="N929" s="40" t="str">
        <f>IF(A929="","",M929*N(G929))</f>
        <v/>
      </c>
      <c r="O929" s="39" t="str">
        <f>IF(A929="","",IF(M929&lt;=0,"Rupture",IF(AND(I929&lt;&gt;"",M929&lt;=N(I929)),"À commander","OK")))</f>
        <v/>
      </c>
      <c r="P929" s="39" t="str">
        <f>IF(OR(A929="",O929="OK",J929=""),"",MAX(N(J929)-M929,0))</f>
        <v/>
      </c>
      <c r="Q929" s="39" t="str">
        <f>IF(A929="",IF(COUNTA(B929:J929)&gt;0,"Référence manquante",""),IF(COUNTIF($A$5:$A$1004,A929)&gt;1,"Référence en double",IF(B929="","Désignation manquante","OK")))</f>
        <v/>
      </c>
      <c r="R929" s="39" t="str">
        <f>IF(OR(O929="Rupture",O929="À commander"),COUNTIF($O$5:O929,"Rupture")+COUNTIF($O$5:O929,"À commander"),"")</f>
        <v/>
      </c>
    </row>
    <row r="930">
      <c r="A930" s="37" t="n"/>
      <c r="B930" s="37" t="n"/>
      <c r="C930" s="37" t="n"/>
      <c r="D930" s="37" t="n"/>
      <c r="E930" s="37" t="n"/>
      <c r="F930" s="37" t="n"/>
      <c r="G930" s="38" t="n"/>
      <c r="H930" s="37" t="n"/>
      <c r="I930" s="37" t="n"/>
      <c r="J930" s="37" t="n"/>
      <c r="K930" s="39" t="str">
        <f>IF(A930="","",SUMIFS(mv_qty,mv_ref,A930,mv_type,"Entrée"))</f>
        <v/>
      </c>
      <c r="L930" s="39" t="str">
        <f>IF(A930="","",SUMIFS(mv_qty,mv_ref,A930,mv_type,"Sortie"))</f>
        <v/>
      </c>
      <c r="M930" s="39" t="str">
        <f>IF(A930="","",ROUND(N(H930)+K930-L930,6))</f>
        <v/>
      </c>
      <c r="N930" s="40" t="str">
        <f>IF(A930="","",M930*N(G930))</f>
        <v/>
      </c>
      <c r="O930" s="39" t="str">
        <f>IF(A930="","",IF(M930&lt;=0,"Rupture",IF(AND(I930&lt;&gt;"",M930&lt;=N(I930)),"À commander","OK")))</f>
        <v/>
      </c>
      <c r="P930" s="39" t="str">
        <f>IF(OR(A930="",O930="OK",J930=""),"",MAX(N(J930)-M930,0))</f>
        <v/>
      </c>
      <c r="Q930" s="39" t="str">
        <f>IF(A930="",IF(COUNTA(B930:J930)&gt;0,"Référence manquante",""),IF(COUNTIF($A$5:$A$1004,A930)&gt;1,"Référence en double",IF(B930="","Désignation manquante","OK")))</f>
        <v/>
      </c>
      <c r="R930" s="39" t="str">
        <f>IF(OR(O930="Rupture",O930="À commander"),COUNTIF($O$5:O930,"Rupture")+COUNTIF($O$5:O930,"À commander"),"")</f>
        <v/>
      </c>
    </row>
    <row r="931">
      <c r="A931" s="37" t="n"/>
      <c r="B931" s="37" t="n"/>
      <c r="C931" s="37" t="n"/>
      <c r="D931" s="37" t="n"/>
      <c r="E931" s="37" t="n"/>
      <c r="F931" s="37" t="n"/>
      <c r="G931" s="38" t="n"/>
      <c r="H931" s="37" t="n"/>
      <c r="I931" s="37" t="n"/>
      <c r="J931" s="37" t="n"/>
      <c r="K931" s="39" t="str">
        <f>IF(A931="","",SUMIFS(mv_qty,mv_ref,A931,mv_type,"Entrée"))</f>
        <v/>
      </c>
      <c r="L931" s="39" t="str">
        <f>IF(A931="","",SUMIFS(mv_qty,mv_ref,A931,mv_type,"Sortie"))</f>
        <v/>
      </c>
      <c r="M931" s="39" t="str">
        <f>IF(A931="","",ROUND(N(H931)+K931-L931,6))</f>
        <v/>
      </c>
      <c r="N931" s="40" t="str">
        <f>IF(A931="","",M931*N(G931))</f>
        <v/>
      </c>
      <c r="O931" s="39" t="str">
        <f>IF(A931="","",IF(M931&lt;=0,"Rupture",IF(AND(I931&lt;&gt;"",M931&lt;=N(I931)),"À commander","OK")))</f>
        <v/>
      </c>
      <c r="P931" s="39" t="str">
        <f>IF(OR(A931="",O931="OK",J931=""),"",MAX(N(J931)-M931,0))</f>
        <v/>
      </c>
      <c r="Q931" s="39" t="str">
        <f>IF(A931="",IF(COUNTA(B931:J931)&gt;0,"Référence manquante",""),IF(COUNTIF($A$5:$A$1004,A931)&gt;1,"Référence en double",IF(B931="","Désignation manquante","OK")))</f>
        <v/>
      </c>
      <c r="R931" s="39" t="str">
        <f>IF(OR(O931="Rupture",O931="À commander"),COUNTIF($O$5:O931,"Rupture")+COUNTIF($O$5:O931,"À commander"),"")</f>
        <v/>
      </c>
    </row>
    <row r="932">
      <c r="A932" s="37" t="n"/>
      <c r="B932" s="37" t="n"/>
      <c r="C932" s="37" t="n"/>
      <c r="D932" s="37" t="n"/>
      <c r="E932" s="37" t="n"/>
      <c r="F932" s="37" t="n"/>
      <c r="G932" s="38" t="n"/>
      <c r="H932" s="37" t="n"/>
      <c r="I932" s="37" t="n"/>
      <c r="J932" s="37" t="n"/>
      <c r="K932" s="39" t="str">
        <f>IF(A932="","",SUMIFS(mv_qty,mv_ref,A932,mv_type,"Entrée"))</f>
        <v/>
      </c>
      <c r="L932" s="39" t="str">
        <f>IF(A932="","",SUMIFS(mv_qty,mv_ref,A932,mv_type,"Sortie"))</f>
        <v/>
      </c>
      <c r="M932" s="39" t="str">
        <f>IF(A932="","",ROUND(N(H932)+K932-L932,6))</f>
        <v/>
      </c>
      <c r="N932" s="40" t="str">
        <f>IF(A932="","",M932*N(G932))</f>
        <v/>
      </c>
      <c r="O932" s="39" t="str">
        <f>IF(A932="","",IF(M932&lt;=0,"Rupture",IF(AND(I932&lt;&gt;"",M932&lt;=N(I932)),"À commander","OK")))</f>
        <v/>
      </c>
      <c r="P932" s="39" t="str">
        <f>IF(OR(A932="",O932="OK",J932=""),"",MAX(N(J932)-M932,0))</f>
        <v/>
      </c>
      <c r="Q932" s="39" t="str">
        <f>IF(A932="",IF(COUNTA(B932:J932)&gt;0,"Référence manquante",""),IF(COUNTIF($A$5:$A$1004,A932)&gt;1,"Référence en double",IF(B932="","Désignation manquante","OK")))</f>
        <v/>
      </c>
      <c r="R932" s="39" t="str">
        <f>IF(OR(O932="Rupture",O932="À commander"),COUNTIF($O$5:O932,"Rupture")+COUNTIF($O$5:O932,"À commander"),"")</f>
        <v/>
      </c>
    </row>
    <row r="933">
      <c r="A933" s="37" t="n"/>
      <c r="B933" s="37" t="n"/>
      <c r="C933" s="37" t="n"/>
      <c r="D933" s="37" t="n"/>
      <c r="E933" s="37" t="n"/>
      <c r="F933" s="37" t="n"/>
      <c r="G933" s="38" t="n"/>
      <c r="H933" s="37" t="n"/>
      <c r="I933" s="37" t="n"/>
      <c r="J933" s="37" t="n"/>
      <c r="K933" s="39" t="str">
        <f>IF(A933="","",SUMIFS(mv_qty,mv_ref,A933,mv_type,"Entrée"))</f>
        <v/>
      </c>
      <c r="L933" s="39" t="str">
        <f>IF(A933="","",SUMIFS(mv_qty,mv_ref,A933,mv_type,"Sortie"))</f>
        <v/>
      </c>
      <c r="M933" s="39" t="str">
        <f>IF(A933="","",ROUND(N(H933)+K933-L933,6))</f>
        <v/>
      </c>
      <c r="N933" s="40" t="str">
        <f>IF(A933="","",M933*N(G933))</f>
        <v/>
      </c>
      <c r="O933" s="39" t="str">
        <f>IF(A933="","",IF(M933&lt;=0,"Rupture",IF(AND(I933&lt;&gt;"",M933&lt;=N(I933)),"À commander","OK")))</f>
        <v/>
      </c>
      <c r="P933" s="39" t="str">
        <f>IF(OR(A933="",O933="OK",J933=""),"",MAX(N(J933)-M933,0))</f>
        <v/>
      </c>
      <c r="Q933" s="39" t="str">
        <f>IF(A933="",IF(COUNTA(B933:J933)&gt;0,"Référence manquante",""),IF(COUNTIF($A$5:$A$1004,A933)&gt;1,"Référence en double",IF(B933="","Désignation manquante","OK")))</f>
        <v/>
      </c>
      <c r="R933" s="39" t="str">
        <f>IF(OR(O933="Rupture",O933="À commander"),COUNTIF($O$5:O933,"Rupture")+COUNTIF($O$5:O933,"À commander"),"")</f>
        <v/>
      </c>
    </row>
    <row r="934">
      <c r="A934" s="37" t="n"/>
      <c r="B934" s="37" t="n"/>
      <c r="C934" s="37" t="n"/>
      <c r="D934" s="37" t="n"/>
      <c r="E934" s="37" t="n"/>
      <c r="F934" s="37" t="n"/>
      <c r="G934" s="38" t="n"/>
      <c r="H934" s="37" t="n"/>
      <c r="I934" s="37" t="n"/>
      <c r="J934" s="37" t="n"/>
      <c r="K934" s="39" t="str">
        <f>IF(A934="","",SUMIFS(mv_qty,mv_ref,A934,mv_type,"Entrée"))</f>
        <v/>
      </c>
      <c r="L934" s="39" t="str">
        <f>IF(A934="","",SUMIFS(mv_qty,mv_ref,A934,mv_type,"Sortie"))</f>
        <v/>
      </c>
      <c r="M934" s="39" t="str">
        <f>IF(A934="","",ROUND(N(H934)+K934-L934,6))</f>
        <v/>
      </c>
      <c r="N934" s="40" t="str">
        <f>IF(A934="","",M934*N(G934))</f>
        <v/>
      </c>
      <c r="O934" s="39" t="str">
        <f>IF(A934="","",IF(M934&lt;=0,"Rupture",IF(AND(I934&lt;&gt;"",M934&lt;=N(I934)),"À commander","OK")))</f>
        <v/>
      </c>
      <c r="P934" s="39" t="str">
        <f>IF(OR(A934="",O934="OK",J934=""),"",MAX(N(J934)-M934,0))</f>
        <v/>
      </c>
      <c r="Q934" s="39" t="str">
        <f>IF(A934="",IF(COUNTA(B934:J934)&gt;0,"Référence manquante",""),IF(COUNTIF($A$5:$A$1004,A934)&gt;1,"Référence en double",IF(B934="","Désignation manquante","OK")))</f>
        <v/>
      </c>
      <c r="R934" s="39" t="str">
        <f>IF(OR(O934="Rupture",O934="À commander"),COUNTIF($O$5:O934,"Rupture")+COUNTIF($O$5:O934,"À commander"),"")</f>
        <v/>
      </c>
    </row>
    <row r="935">
      <c r="A935" s="37" t="n"/>
      <c r="B935" s="37" t="n"/>
      <c r="C935" s="37" t="n"/>
      <c r="D935" s="37" t="n"/>
      <c r="E935" s="37" t="n"/>
      <c r="F935" s="37" t="n"/>
      <c r="G935" s="38" t="n"/>
      <c r="H935" s="37" t="n"/>
      <c r="I935" s="37" t="n"/>
      <c r="J935" s="37" t="n"/>
      <c r="K935" s="39" t="str">
        <f>IF(A935="","",SUMIFS(mv_qty,mv_ref,A935,mv_type,"Entrée"))</f>
        <v/>
      </c>
      <c r="L935" s="39" t="str">
        <f>IF(A935="","",SUMIFS(mv_qty,mv_ref,A935,mv_type,"Sortie"))</f>
        <v/>
      </c>
      <c r="M935" s="39" t="str">
        <f>IF(A935="","",ROUND(N(H935)+K935-L935,6))</f>
        <v/>
      </c>
      <c r="N935" s="40" t="str">
        <f>IF(A935="","",M935*N(G935))</f>
        <v/>
      </c>
      <c r="O935" s="39" t="str">
        <f>IF(A935="","",IF(M935&lt;=0,"Rupture",IF(AND(I935&lt;&gt;"",M935&lt;=N(I935)),"À commander","OK")))</f>
        <v/>
      </c>
      <c r="P935" s="39" t="str">
        <f>IF(OR(A935="",O935="OK",J935=""),"",MAX(N(J935)-M935,0))</f>
        <v/>
      </c>
      <c r="Q935" s="39" t="str">
        <f>IF(A935="",IF(COUNTA(B935:J935)&gt;0,"Référence manquante",""),IF(COUNTIF($A$5:$A$1004,A935)&gt;1,"Référence en double",IF(B935="","Désignation manquante","OK")))</f>
        <v/>
      </c>
      <c r="R935" s="39" t="str">
        <f>IF(OR(O935="Rupture",O935="À commander"),COUNTIF($O$5:O935,"Rupture")+COUNTIF($O$5:O935,"À commander"),"")</f>
        <v/>
      </c>
    </row>
    <row r="936">
      <c r="A936" s="37" t="n"/>
      <c r="B936" s="37" t="n"/>
      <c r="C936" s="37" t="n"/>
      <c r="D936" s="37" t="n"/>
      <c r="E936" s="37" t="n"/>
      <c r="F936" s="37" t="n"/>
      <c r="G936" s="38" t="n"/>
      <c r="H936" s="37" t="n"/>
      <c r="I936" s="37" t="n"/>
      <c r="J936" s="37" t="n"/>
      <c r="K936" s="39" t="str">
        <f>IF(A936="","",SUMIFS(mv_qty,mv_ref,A936,mv_type,"Entrée"))</f>
        <v/>
      </c>
      <c r="L936" s="39" t="str">
        <f>IF(A936="","",SUMIFS(mv_qty,mv_ref,A936,mv_type,"Sortie"))</f>
        <v/>
      </c>
      <c r="M936" s="39" t="str">
        <f>IF(A936="","",ROUND(N(H936)+K936-L936,6))</f>
        <v/>
      </c>
      <c r="N936" s="40" t="str">
        <f>IF(A936="","",M936*N(G936))</f>
        <v/>
      </c>
      <c r="O936" s="39" t="str">
        <f>IF(A936="","",IF(M936&lt;=0,"Rupture",IF(AND(I936&lt;&gt;"",M936&lt;=N(I936)),"À commander","OK")))</f>
        <v/>
      </c>
      <c r="P936" s="39" t="str">
        <f>IF(OR(A936="",O936="OK",J936=""),"",MAX(N(J936)-M936,0))</f>
        <v/>
      </c>
      <c r="Q936" s="39" t="str">
        <f>IF(A936="",IF(COUNTA(B936:J936)&gt;0,"Référence manquante",""),IF(COUNTIF($A$5:$A$1004,A936)&gt;1,"Référence en double",IF(B936="","Désignation manquante","OK")))</f>
        <v/>
      </c>
      <c r="R936" s="39" t="str">
        <f>IF(OR(O936="Rupture",O936="À commander"),COUNTIF($O$5:O936,"Rupture")+COUNTIF($O$5:O936,"À commander"),"")</f>
        <v/>
      </c>
    </row>
    <row r="937">
      <c r="A937" s="37" t="n"/>
      <c r="B937" s="37" t="n"/>
      <c r="C937" s="37" t="n"/>
      <c r="D937" s="37" t="n"/>
      <c r="E937" s="37" t="n"/>
      <c r="F937" s="37" t="n"/>
      <c r="G937" s="38" t="n"/>
      <c r="H937" s="37" t="n"/>
      <c r="I937" s="37" t="n"/>
      <c r="J937" s="37" t="n"/>
      <c r="K937" s="39" t="str">
        <f>IF(A937="","",SUMIFS(mv_qty,mv_ref,A937,mv_type,"Entrée"))</f>
        <v/>
      </c>
      <c r="L937" s="39" t="str">
        <f>IF(A937="","",SUMIFS(mv_qty,mv_ref,A937,mv_type,"Sortie"))</f>
        <v/>
      </c>
      <c r="M937" s="39" t="str">
        <f>IF(A937="","",ROUND(N(H937)+K937-L937,6))</f>
        <v/>
      </c>
      <c r="N937" s="40" t="str">
        <f>IF(A937="","",M937*N(G937))</f>
        <v/>
      </c>
      <c r="O937" s="39" t="str">
        <f>IF(A937="","",IF(M937&lt;=0,"Rupture",IF(AND(I937&lt;&gt;"",M937&lt;=N(I937)),"À commander","OK")))</f>
        <v/>
      </c>
      <c r="P937" s="39" t="str">
        <f>IF(OR(A937="",O937="OK",J937=""),"",MAX(N(J937)-M937,0))</f>
        <v/>
      </c>
      <c r="Q937" s="39" t="str">
        <f>IF(A937="",IF(COUNTA(B937:J937)&gt;0,"Référence manquante",""),IF(COUNTIF($A$5:$A$1004,A937)&gt;1,"Référence en double",IF(B937="","Désignation manquante","OK")))</f>
        <v/>
      </c>
      <c r="R937" s="39" t="str">
        <f>IF(OR(O937="Rupture",O937="À commander"),COUNTIF($O$5:O937,"Rupture")+COUNTIF($O$5:O937,"À commander"),"")</f>
        <v/>
      </c>
    </row>
    <row r="938">
      <c r="A938" s="37" t="n"/>
      <c r="B938" s="37" t="n"/>
      <c r="C938" s="37" t="n"/>
      <c r="D938" s="37" t="n"/>
      <c r="E938" s="37" t="n"/>
      <c r="F938" s="37" t="n"/>
      <c r="G938" s="38" t="n"/>
      <c r="H938" s="37" t="n"/>
      <c r="I938" s="37" t="n"/>
      <c r="J938" s="37" t="n"/>
      <c r="K938" s="39" t="str">
        <f>IF(A938="","",SUMIFS(mv_qty,mv_ref,A938,mv_type,"Entrée"))</f>
        <v/>
      </c>
      <c r="L938" s="39" t="str">
        <f>IF(A938="","",SUMIFS(mv_qty,mv_ref,A938,mv_type,"Sortie"))</f>
        <v/>
      </c>
      <c r="M938" s="39" t="str">
        <f>IF(A938="","",ROUND(N(H938)+K938-L938,6))</f>
        <v/>
      </c>
      <c r="N938" s="40" t="str">
        <f>IF(A938="","",M938*N(G938))</f>
        <v/>
      </c>
      <c r="O938" s="39" t="str">
        <f>IF(A938="","",IF(M938&lt;=0,"Rupture",IF(AND(I938&lt;&gt;"",M938&lt;=N(I938)),"À commander","OK")))</f>
        <v/>
      </c>
      <c r="P938" s="39" t="str">
        <f>IF(OR(A938="",O938="OK",J938=""),"",MAX(N(J938)-M938,0))</f>
        <v/>
      </c>
      <c r="Q938" s="39" t="str">
        <f>IF(A938="",IF(COUNTA(B938:J938)&gt;0,"Référence manquante",""),IF(COUNTIF($A$5:$A$1004,A938)&gt;1,"Référence en double",IF(B938="","Désignation manquante","OK")))</f>
        <v/>
      </c>
      <c r="R938" s="39" t="str">
        <f>IF(OR(O938="Rupture",O938="À commander"),COUNTIF($O$5:O938,"Rupture")+COUNTIF($O$5:O938,"À commander"),"")</f>
        <v/>
      </c>
    </row>
    <row r="939">
      <c r="A939" s="37" t="n"/>
      <c r="B939" s="37" t="n"/>
      <c r="C939" s="37" t="n"/>
      <c r="D939" s="37" t="n"/>
      <c r="E939" s="37" t="n"/>
      <c r="F939" s="37" t="n"/>
      <c r="G939" s="38" t="n"/>
      <c r="H939" s="37" t="n"/>
      <c r="I939" s="37" t="n"/>
      <c r="J939" s="37" t="n"/>
      <c r="K939" s="39" t="str">
        <f>IF(A939="","",SUMIFS(mv_qty,mv_ref,A939,mv_type,"Entrée"))</f>
        <v/>
      </c>
      <c r="L939" s="39" t="str">
        <f>IF(A939="","",SUMIFS(mv_qty,mv_ref,A939,mv_type,"Sortie"))</f>
        <v/>
      </c>
      <c r="M939" s="39" t="str">
        <f>IF(A939="","",ROUND(N(H939)+K939-L939,6))</f>
        <v/>
      </c>
      <c r="N939" s="40" t="str">
        <f>IF(A939="","",M939*N(G939))</f>
        <v/>
      </c>
      <c r="O939" s="39" t="str">
        <f>IF(A939="","",IF(M939&lt;=0,"Rupture",IF(AND(I939&lt;&gt;"",M939&lt;=N(I939)),"À commander","OK")))</f>
        <v/>
      </c>
      <c r="P939" s="39" t="str">
        <f>IF(OR(A939="",O939="OK",J939=""),"",MAX(N(J939)-M939,0))</f>
        <v/>
      </c>
      <c r="Q939" s="39" t="str">
        <f>IF(A939="",IF(COUNTA(B939:J939)&gt;0,"Référence manquante",""),IF(COUNTIF($A$5:$A$1004,A939)&gt;1,"Référence en double",IF(B939="","Désignation manquante","OK")))</f>
        <v/>
      </c>
      <c r="R939" s="39" t="str">
        <f>IF(OR(O939="Rupture",O939="À commander"),COUNTIF($O$5:O939,"Rupture")+COUNTIF($O$5:O939,"À commander"),"")</f>
        <v/>
      </c>
    </row>
    <row r="940">
      <c r="A940" s="37" t="n"/>
      <c r="B940" s="37" t="n"/>
      <c r="C940" s="37" t="n"/>
      <c r="D940" s="37" t="n"/>
      <c r="E940" s="37" t="n"/>
      <c r="F940" s="37" t="n"/>
      <c r="G940" s="38" t="n"/>
      <c r="H940" s="37" t="n"/>
      <c r="I940" s="37" t="n"/>
      <c r="J940" s="37" t="n"/>
      <c r="K940" s="39" t="str">
        <f>IF(A940="","",SUMIFS(mv_qty,mv_ref,A940,mv_type,"Entrée"))</f>
        <v/>
      </c>
      <c r="L940" s="39" t="str">
        <f>IF(A940="","",SUMIFS(mv_qty,mv_ref,A940,mv_type,"Sortie"))</f>
        <v/>
      </c>
      <c r="M940" s="39" t="str">
        <f>IF(A940="","",ROUND(N(H940)+K940-L940,6))</f>
        <v/>
      </c>
      <c r="N940" s="40" t="str">
        <f>IF(A940="","",M940*N(G940))</f>
        <v/>
      </c>
      <c r="O940" s="39" t="str">
        <f>IF(A940="","",IF(M940&lt;=0,"Rupture",IF(AND(I940&lt;&gt;"",M940&lt;=N(I940)),"À commander","OK")))</f>
        <v/>
      </c>
      <c r="P940" s="39" t="str">
        <f>IF(OR(A940="",O940="OK",J940=""),"",MAX(N(J940)-M940,0))</f>
        <v/>
      </c>
      <c r="Q940" s="39" t="str">
        <f>IF(A940="",IF(COUNTA(B940:J940)&gt;0,"Référence manquante",""),IF(COUNTIF($A$5:$A$1004,A940)&gt;1,"Référence en double",IF(B940="","Désignation manquante","OK")))</f>
        <v/>
      </c>
      <c r="R940" s="39" t="str">
        <f>IF(OR(O940="Rupture",O940="À commander"),COUNTIF($O$5:O940,"Rupture")+COUNTIF($O$5:O940,"À commander"),"")</f>
        <v/>
      </c>
    </row>
    <row r="941">
      <c r="A941" s="37" t="n"/>
      <c r="B941" s="37" t="n"/>
      <c r="C941" s="37" t="n"/>
      <c r="D941" s="37" t="n"/>
      <c r="E941" s="37" t="n"/>
      <c r="F941" s="37" t="n"/>
      <c r="G941" s="38" t="n"/>
      <c r="H941" s="37" t="n"/>
      <c r="I941" s="37" t="n"/>
      <c r="J941" s="37" t="n"/>
      <c r="K941" s="39" t="str">
        <f>IF(A941="","",SUMIFS(mv_qty,mv_ref,A941,mv_type,"Entrée"))</f>
        <v/>
      </c>
      <c r="L941" s="39" t="str">
        <f>IF(A941="","",SUMIFS(mv_qty,mv_ref,A941,mv_type,"Sortie"))</f>
        <v/>
      </c>
      <c r="M941" s="39" t="str">
        <f>IF(A941="","",ROUND(N(H941)+K941-L941,6))</f>
        <v/>
      </c>
      <c r="N941" s="40" t="str">
        <f>IF(A941="","",M941*N(G941))</f>
        <v/>
      </c>
      <c r="O941" s="39" t="str">
        <f>IF(A941="","",IF(M941&lt;=0,"Rupture",IF(AND(I941&lt;&gt;"",M941&lt;=N(I941)),"À commander","OK")))</f>
        <v/>
      </c>
      <c r="P941" s="39" t="str">
        <f>IF(OR(A941="",O941="OK",J941=""),"",MAX(N(J941)-M941,0))</f>
        <v/>
      </c>
      <c r="Q941" s="39" t="str">
        <f>IF(A941="",IF(COUNTA(B941:J941)&gt;0,"Référence manquante",""),IF(COUNTIF($A$5:$A$1004,A941)&gt;1,"Référence en double",IF(B941="","Désignation manquante","OK")))</f>
        <v/>
      </c>
      <c r="R941" s="39" t="str">
        <f>IF(OR(O941="Rupture",O941="À commander"),COUNTIF($O$5:O941,"Rupture")+COUNTIF($O$5:O941,"À commander"),"")</f>
        <v/>
      </c>
    </row>
    <row r="942">
      <c r="A942" s="37" t="n"/>
      <c r="B942" s="37" t="n"/>
      <c r="C942" s="37" t="n"/>
      <c r="D942" s="37" t="n"/>
      <c r="E942" s="37" t="n"/>
      <c r="F942" s="37" t="n"/>
      <c r="G942" s="38" t="n"/>
      <c r="H942" s="37" t="n"/>
      <c r="I942" s="37" t="n"/>
      <c r="J942" s="37" t="n"/>
      <c r="K942" s="39" t="str">
        <f>IF(A942="","",SUMIFS(mv_qty,mv_ref,A942,mv_type,"Entrée"))</f>
        <v/>
      </c>
      <c r="L942" s="39" t="str">
        <f>IF(A942="","",SUMIFS(mv_qty,mv_ref,A942,mv_type,"Sortie"))</f>
        <v/>
      </c>
      <c r="M942" s="39" t="str">
        <f>IF(A942="","",ROUND(N(H942)+K942-L942,6))</f>
        <v/>
      </c>
      <c r="N942" s="40" t="str">
        <f>IF(A942="","",M942*N(G942))</f>
        <v/>
      </c>
      <c r="O942" s="39" t="str">
        <f>IF(A942="","",IF(M942&lt;=0,"Rupture",IF(AND(I942&lt;&gt;"",M942&lt;=N(I942)),"À commander","OK")))</f>
        <v/>
      </c>
      <c r="P942" s="39" t="str">
        <f>IF(OR(A942="",O942="OK",J942=""),"",MAX(N(J942)-M942,0))</f>
        <v/>
      </c>
      <c r="Q942" s="39" t="str">
        <f>IF(A942="",IF(COUNTA(B942:J942)&gt;0,"Référence manquante",""),IF(COUNTIF($A$5:$A$1004,A942)&gt;1,"Référence en double",IF(B942="","Désignation manquante","OK")))</f>
        <v/>
      </c>
      <c r="R942" s="39" t="str">
        <f>IF(OR(O942="Rupture",O942="À commander"),COUNTIF($O$5:O942,"Rupture")+COUNTIF($O$5:O942,"À commander"),"")</f>
        <v/>
      </c>
    </row>
    <row r="943">
      <c r="A943" s="37" t="n"/>
      <c r="B943" s="37" t="n"/>
      <c r="C943" s="37" t="n"/>
      <c r="D943" s="37" t="n"/>
      <c r="E943" s="37" t="n"/>
      <c r="F943" s="37" t="n"/>
      <c r="G943" s="38" t="n"/>
      <c r="H943" s="37" t="n"/>
      <c r="I943" s="37" t="n"/>
      <c r="J943" s="37" t="n"/>
      <c r="K943" s="39" t="str">
        <f>IF(A943="","",SUMIFS(mv_qty,mv_ref,A943,mv_type,"Entrée"))</f>
        <v/>
      </c>
      <c r="L943" s="39" t="str">
        <f>IF(A943="","",SUMIFS(mv_qty,mv_ref,A943,mv_type,"Sortie"))</f>
        <v/>
      </c>
      <c r="M943" s="39" t="str">
        <f>IF(A943="","",ROUND(N(H943)+K943-L943,6))</f>
        <v/>
      </c>
      <c r="N943" s="40" t="str">
        <f>IF(A943="","",M943*N(G943))</f>
        <v/>
      </c>
      <c r="O943" s="39" t="str">
        <f>IF(A943="","",IF(M943&lt;=0,"Rupture",IF(AND(I943&lt;&gt;"",M943&lt;=N(I943)),"À commander","OK")))</f>
        <v/>
      </c>
      <c r="P943" s="39" t="str">
        <f>IF(OR(A943="",O943="OK",J943=""),"",MAX(N(J943)-M943,0))</f>
        <v/>
      </c>
      <c r="Q943" s="39" t="str">
        <f>IF(A943="",IF(COUNTA(B943:J943)&gt;0,"Référence manquante",""),IF(COUNTIF($A$5:$A$1004,A943)&gt;1,"Référence en double",IF(B943="","Désignation manquante","OK")))</f>
        <v/>
      </c>
      <c r="R943" s="39" t="str">
        <f>IF(OR(O943="Rupture",O943="À commander"),COUNTIF($O$5:O943,"Rupture")+COUNTIF($O$5:O943,"À commander"),"")</f>
        <v/>
      </c>
    </row>
    <row r="944">
      <c r="A944" s="37" t="n"/>
      <c r="B944" s="37" t="n"/>
      <c r="C944" s="37" t="n"/>
      <c r="D944" s="37" t="n"/>
      <c r="E944" s="37" t="n"/>
      <c r="F944" s="37" t="n"/>
      <c r="G944" s="38" t="n"/>
      <c r="H944" s="37" t="n"/>
      <c r="I944" s="37" t="n"/>
      <c r="J944" s="37" t="n"/>
      <c r="K944" s="39" t="str">
        <f>IF(A944="","",SUMIFS(mv_qty,mv_ref,A944,mv_type,"Entrée"))</f>
        <v/>
      </c>
      <c r="L944" s="39" t="str">
        <f>IF(A944="","",SUMIFS(mv_qty,mv_ref,A944,mv_type,"Sortie"))</f>
        <v/>
      </c>
      <c r="M944" s="39" t="str">
        <f>IF(A944="","",ROUND(N(H944)+K944-L944,6))</f>
        <v/>
      </c>
      <c r="N944" s="40" t="str">
        <f>IF(A944="","",M944*N(G944))</f>
        <v/>
      </c>
      <c r="O944" s="39" t="str">
        <f>IF(A944="","",IF(M944&lt;=0,"Rupture",IF(AND(I944&lt;&gt;"",M944&lt;=N(I944)),"À commander","OK")))</f>
        <v/>
      </c>
      <c r="P944" s="39" t="str">
        <f>IF(OR(A944="",O944="OK",J944=""),"",MAX(N(J944)-M944,0))</f>
        <v/>
      </c>
      <c r="Q944" s="39" t="str">
        <f>IF(A944="",IF(COUNTA(B944:J944)&gt;0,"Référence manquante",""),IF(COUNTIF($A$5:$A$1004,A944)&gt;1,"Référence en double",IF(B944="","Désignation manquante","OK")))</f>
        <v/>
      </c>
      <c r="R944" s="39" t="str">
        <f>IF(OR(O944="Rupture",O944="À commander"),COUNTIF($O$5:O944,"Rupture")+COUNTIF($O$5:O944,"À commander"),"")</f>
        <v/>
      </c>
    </row>
    <row r="945">
      <c r="A945" s="37" t="n"/>
      <c r="B945" s="37" t="n"/>
      <c r="C945" s="37" t="n"/>
      <c r="D945" s="37" t="n"/>
      <c r="E945" s="37" t="n"/>
      <c r="F945" s="37" t="n"/>
      <c r="G945" s="38" t="n"/>
      <c r="H945" s="37" t="n"/>
      <c r="I945" s="37" t="n"/>
      <c r="J945" s="37" t="n"/>
      <c r="K945" s="39" t="str">
        <f>IF(A945="","",SUMIFS(mv_qty,mv_ref,A945,mv_type,"Entrée"))</f>
        <v/>
      </c>
      <c r="L945" s="39" t="str">
        <f>IF(A945="","",SUMIFS(mv_qty,mv_ref,A945,mv_type,"Sortie"))</f>
        <v/>
      </c>
      <c r="M945" s="39" t="str">
        <f>IF(A945="","",ROUND(N(H945)+K945-L945,6))</f>
        <v/>
      </c>
      <c r="N945" s="40" t="str">
        <f>IF(A945="","",M945*N(G945))</f>
        <v/>
      </c>
      <c r="O945" s="39" t="str">
        <f>IF(A945="","",IF(M945&lt;=0,"Rupture",IF(AND(I945&lt;&gt;"",M945&lt;=N(I945)),"À commander","OK")))</f>
        <v/>
      </c>
      <c r="P945" s="39" t="str">
        <f>IF(OR(A945="",O945="OK",J945=""),"",MAX(N(J945)-M945,0))</f>
        <v/>
      </c>
      <c r="Q945" s="39" t="str">
        <f>IF(A945="",IF(COUNTA(B945:J945)&gt;0,"Référence manquante",""),IF(COUNTIF($A$5:$A$1004,A945)&gt;1,"Référence en double",IF(B945="","Désignation manquante","OK")))</f>
        <v/>
      </c>
      <c r="R945" s="39" t="str">
        <f>IF(OR(O945="Rupture",O945="À commander"),COUNTIF($O$5:O945,"Rupture")+COUNTIF($O$5:O945,"À commander"),"")</f>
        <v/>
      </c>
    </row>
    <row r="946">
      <c r="A946" s="37" t="n"/>
      <c r="B946" s="37" t="n"/>
      <c r="C946" s="37" t="n"/>
      <c r="D946" s="37" t="n"/>
      <c r="E946" s="37" t="n"/>
      <c r="F946" s="37" t="n"/>
      <c r="G946" s="38" t="n"/>
      <c r="H946" s="37" t="n"/>
      <c r="I946" s="37" t="n"/>
      <c r="J946" s="37" t="n"/>
      <c r="K946" s="39" t="str">
        <f>IF(A946="","",SUMIFS(mv_qty,mv_ref,A946,mv_type,"Entrée"))</f>
        <v/>
      </c>
      <c r="L946" s="39" t="str">
        <f>IF(A946="","",SUMIFS(mv_qty,mv_ref,A946,mv_type,"Sortie"))</f>
        <v/>
      </c>
      <c r="M946" s="39" t="str">
        <f>IF(A946="","",ROUND(N(H946)+K946-L946,6))</f>
        <v/>
      </c>
      <c r="N946" s="40" t="str">
        <f>IF(A946="","",M946*N(G946))</f>
        <v/>
      </c>
      <c r="O946" s="39" t="str">
        <f>IF(A946="","",IF(M946&lt;=0,"Rupture",IF(AND(I946&lt;&gt;"",M946&lt;=N(I946)),"À commander","OK")))</f>
        <v/>
      </c>
      <c r="P946" s="39" t="str">
        <f>IF(OR(A946="",O946="OK",J946=""),"",MAX(N(J946)-M946,0))</f>
        <v/>
      </c>
      <c r="Q946" s="39" t="str">
        <f>IF(A946="",IF(COUNTA(B946:J946)&gt;0,"Référence manquante",""),IF(COUNTIF($A$5:$A$1004,A946)&gt;1,"Référence en double",IF(B946="","Désignation manquante","OK")))</f>
        <v/>
      </c>
      <c r="R946" s="39" t="str">
        <f>IF(OR(O946="Rupture",O946="À commander"),COUNTIF($O$5:O946,"Rupture")+COUNTIF($O$5:O946,"À commander"),"")</f>
        <v/>
      </c>
    </row>
    <row r="947">
      <c r="A947" s="37" t="n"/>
      <c r="B947" s="37" t="n"/>
      <c r="C947" s="37" t="n"/>
      <c r="D947" s="37" t="n"/>
      <c r="E947" s="37" t="n"/>
      <c r="F947" s="37" t="n"/>
      <c r="G947" s="38" t="n"/>
      <c r="H947" s="37" t="n"/>
      <c r="I947" s="37" t="n"/>
      <c r="J947" s="37" t="n"/>
      <c r="K947" s="39" t="str">
        <f>IF(A947="","",SUMIFS(mv_qty,mv_ref,A947,mv_type,"Entrée"))</f>
        <v/>
      </c>
      <c r="L947" s="39" t="str">
        <f>IF(A947="","",SUMIFS(mv_qty,mv_ref,A947,mv_type,"Sortie"))</f>
        <v/>
      </c>
      <c r="M947" s="39" t="str">
        <f>IF(A947="","",ROUND(N(H947)+K947-L947,6))</f>
        <v/>
      </c>
      <c r="N947" s="40" t="str">
        <f>IF(A947="","",M947*N(G947))</f>
        <v/>
      </c>
      <c r="O947" s="39" t="str">
        <f>IF(A947="","",IF(M947&lt;=0,"Rupture",IF(AND(I947&lt;&gt;"",M947&lt;=N(I947)),"À commander","OK")))</f>
        <v/>
      </c>
      <c r="P947" s="39" t="str">
        <f>IF(OR(A947="",O947="OK",J947=""),"",MAX(N(J947)-M947,0))</f>
        <v/>
      </c>
      <c r="Q947" s="39" t="str">
        <f>IF(A947="",IF(COUNTA(B947:J947)&gt;0,"Référence manquante",""),IF(COUNTIF($A$5:$A$1004,A947)&gt;1,"Référence en double",IF(B947="","Désignation manquante","OK")))</f>
        <v/>
      </c>
      <c r="R947" s="39" t="str">
        <f>IF(OR(O947="Rupture",O947="À commander"),COUNTIF($O$5:O947,"Rupture")+COUNTIF($O$5:O947,"À commander"),"")</f>
        <v/>
      </c>
    </row>
    <row r="948">
      <c r="A948" s="37" t="n"/>
      <c r="B948" s="37" t="n"/>
      <c r="C948" s="37" t="n"/>
      <c r="D948" s="37" t="n"/>
      <c r="E948" s="37" t="n"/>
      <c r="F948" s="37" t="n"/>
      <c r="G948" s="38" t="n"/>
      <c r="H948" s="37" t="n"/>
      <c r="I948" s="37" t="n"/>
      <c r="J948" s="37" t="n"/>
      <c r="K948" s="39" t="str">
        <f>IF(A948="","",SUMIFS(mv_qty,mv_ref,A948,mv_type,"Entrée"))</f>
        <v/>
      </c>
      <c r="L948" s="39" t="str">
        <f>IF(A948="","",SUMIFS(mv_qty,mv_ref,A948,mv_type,"Sortie"))</f>
        <v/>
      </c>
      <c r="M948" s="39" t="str">
        <f>IF(A948="","",ROUND(N(H948)+K948-L948,6))</f>
        <v/>
      </c>
      <c r="N948" s="40" t="str">
        <f>IF(A948="","",M948*N(G948))</f>
        <v/>
      </c>
      <c r="O948" s="39" t="str">
        <f>IF(A948="","",IF(M948&lt;=0,"Rupture",IF(AND(I948&lt;&gt;"",M948&lt;=N(I948)),"À commander","OK")))</f>
        <v/>
      </c>
      <c r="P948" s="39" t="str">
        <f>IF(OR(A948="",O948="OK",J948=""),"",MAX(N(J948)-M948,0))</f>
        <v/>
      </c>
      <c r="Q948" s="39" t="str">
        <f>IF(A948="",IF(COUNTA(B948:J948)&gt;0,"Référence manquante",""),IF(COUNTIF($A$5:$A$1004,A948)&gt;1,"Référence en double",IF(B948="","Désignation manquante","OK")))</f>
        <v/>
      </c>
      <c r="R948" s="39" t="str">
        <f>IF(OR(O948="Rupture",O948="À commander"),COUNTIF($O$5:O948,"Rupture")+COUNTIF($O$5:O948,"À commander"),"")</f>
        <v/>
      </c>
    </row>
    <row r="949">
      <c r="A949" s="37" t="n"/>
      <c r="B949" s="37" t="n"/>
      <c r="C949" s="37" t="n"/>
      <c r="D949" s="37" t="n"/>
      <c r="E949" s="37" t="n"/>
      <c r="F949" s="37" t="n"/>
      <c r="G949" s="38" t="n"/>
      <c r="H949" s="37" t="n"/>
      <c r="I949" s="37" t="n"/>
      <c r="J949" s="37" t="n"/>
      <c r="K949" s="39" t="str">
        <f>IF(A949="","",SUMIFS(mv_qty,mv_ref,A949,mv_type,"Entrée"))</f>
        <v/>
      </c>
      <c r="L949" s="39" t="str">
        <f>IF(A949="","",SUMIFS(mv_qty,mv_ref,A949,mv_type,"Sortie"))</f>
        <v/>
      </c>
      <c r="M949" s="39" t="str">
        <f>IF(A949="","",ROUND(N(H949)+K949-L949,6))</f>
        <v/>
      </c>
      <c r="N949" s="40" t="str">
        <f>IF(A949="","",M949*N(G949))</f>
        <v/>
      </c>
      <c r="O949" s="39" t="str">
        <f>IF(A949="","",IF(M949&lt;=0,"Rupture",IF(AND(I949&lt;&gt;"",M949&lt;=N(I949)),"À commander","OK")))</f>
        <v/>
      </c>
      <c r="P949" s="39" t="str">
        <f>IF(OR(A949="",O949="OK",J949=""),"",MAX(N(J949)-M949,0))</f>
        <v/>
      </c>
      <c r="Q949" s="39" t="str">
        <f>IF(A949="",IF(COUNTA(B949:J949)&gt;0,"Référence manquante",""),IF(COUNTIF($A$5:$A$1004,A949)&gt;1,"Référence en double",IF(B949="","Désignation manquante","OK")))</f>
        <v/>
      </c>
      <c r="R949" s="39" t="str">
        <f>IF(OR(O949="Rupture",O949="À commander"),COUNTIF($O$5:O949,"Rupture")+COUNTIF($O$5:O949,"À commander"),"")</f>
        <v/>
      </c>
    </row>
    <row r="950">
      <c r="A950" s="37" t="n"/>
      <c r="B950" s="37" t="n"/>
      <c r="C950" s="37" t="n"/>
      <c r="D950" s="37" t="n"/>
      <c r="E950" s="37" t="n"/>
      <c r="F950" s="37" t="n"/>
      <c r="G950" s="38" t="n"/>
      <c r="H950" s="37" t="n"/>
      <c r="I950" s="37" t="n"/>
      <c r="J950" s="37" t="n"/>
      <c r="K950" s="39" t="str">
        <f>IF(A950="","",SUMIFS(mv_qty,mv_ref,A950,mv_type,"Entrée"))</f>
        <v/>
      </c>
      <c r="L950" s="39" t="str">
        <f>IF(A950="","",SUMIFS(mv_qty,mv_ref,A950,mv_type,"Sortie"))</f>
        <v/>
      </c>
      <c r="M950" s="39" t="str">
        <f>IF(A950="","",ROUND(N(H950)+K950-L950,6))</f>
        <v/>
      </c>
      <c r="N950" s="40" t="str">
        <f>IF(A950="","",M950*N(G950))</f>
        <v/>
      </c>
      <c r="O950" s="39" t="str">
        <f>IF(A950="","",IF(M950&lt;=0,"Rupture",IF(AND(I950&lt;&gt;"",M950&lt;=N(I950)),"À commander","OK")))</f>
        <v/>
      </c>
      <c r="P950" s="39" t="str">
        <f>IF(OR(A950="",O950="OK",J950=""),"",MAX(N(J950)-M950,0))</f>
        <v/>
      </c>
      <c r="Q950" s="39" t="str">
        <f>IF(A950="",IF(COUNTA(B950:J950)&gt;0,"Référence manquante",""),IF(COUNTIF($A$5:$A$1004,A950)&gt;1,"Référence en double",IF(B950="","Désignation manquante","OK")))</f>
        <v/>
      </c>
      <c r="R950" s="39" t="str">
        <f>IF(OR(O950="Rupture",O950="À commander"),COUNTIF($O$5:O950,"Rupture")+COUNTIF($O$5:O950,"À commander"),"")</f>
        <v/>
      </c>
    </row>
    <row r="951">
      <c r="A951" s="37" t="n"/>
      <c r="B951" s="37" t="n"/>
      <c r="C951" s="37" t="n"/>
      <c r="D951" s="37" t="n"/>
      <c r="E951" s="37" t="n"/>
      <c r="F951" s="37" t="n"/>
      <c r="G951" s="38" t="n"/>
      <c r="H951" s="37" t="n"/>
      <c r="I951" s="37" t="n"/>
      <c r="J951" s="37" t="n"/>
      <c r="K951" s="39" t="str">
        <f>IF(A951="","",SUMIFS(mv_qty,mv_ref,A951,mv_type,"Entrée"))</f>
        <v/>
      </c>
      <c r="L951" s="39" t="str">
        <f>IF(A951="","",SUMIFS(mv_qty,mv_ref,A951,mv_type,"Sortie"))</f>
        <v/>
      </c>
      <c r="M951" s="39" t="str">
        <f>IF(A951="","",ROUND(N(H951)+K951-L951,6))</f>
        <v/>
      </c>
      <c r="N951" s="40" t="str">
        <f>IF(A951="","",M951*N(G951))</f>
        <v/>
      </c>
      <c r="O951" s="39" t="str">
        <f>IF(A951="","",IF(M951&lt;=0,"Rupture",IF(AND(I951&lt;&gt;"",M951&lt;=N(I951)),"À commander","OK")))</f>
        <v/>
      </c>
      <c r="P951" s="39" t="str">
        <f>IF(OR(A951="",O951="OK",J951=""),"",MAX(N(J951)-M951,0))</f>
        <v/>
      </c>
      <c r="Q951" s="39" t="str">
        <f>IF(A951="",IF(COUNTA(B951:J951)&gt;0,"Référence manquante",""),IF(COUNTIF($A$5:$A$1004,A951)&gt;1,"Référence en double",IF(B951="","Désignation manquante","OK")))</f>
        <v/>
      </c>
      <c r="R951" s="39" t="str">
        <f>IF(OR(O951="Rupture",O951="À commander"),COUNTIF($O$5:O951,"Rupture")+COUNTIF($O$5:O951,"À commander"),"")</f>
        <v/>
      </c>
    </row>
    <row r="952">
      <c r="A952" s="37" t="n"/>
      <c r="B952" s="37" t="n"/>
      <c r="C952" s="37" t="n"/>
      <c r="D952" s="37" t="n"/>
      <c r="E952" s="37" t="n"/>
      <c r="F952" s="37" t="n"/>
      <c r="G952" s="38" t="n"/>
      <c r="H952" s="37" t="n"/>
      <c r="I952" s="37" t="n"/>
      <c r="J952" s="37" t="n"/>
      <c r="K952" s="39" t="str">
        <f>IF(A952="","",SUMIFS(mv_qty,mv_ref,A952,mv_type,"Entrée"))</f>
        <v/>
      </c>
      <c r="L952" s="39" t="str">
        <f>IF(A952="","",SUMIFS(mv_qty,mv_ref,A952,mv_type,"Sortie"))</f>
        <v/>
      </c>
      <c r="M952" s="39" t="str">
        <f>IF(A952="","",ROUND(N(H952)+K952-L952,6))</f>
        <v/>
      </c>
      <c r="N952" s="40" t="str">
        <f>IF(A952="","",M952*N(G952))</f>
        <v/>
      </c>
      <c r="O952" s="39" t="str">
        <f>IF(A952="","",IF(M952&lt;=0,"Rupture",IF(AND(I952&lt;&gt;"",M952&lt;=N(I952)),"À commander","OK")))</f>
        <v/>
      </c>
      <c r="P952" s="39" t="str">
        <f>IF(OR(A952="",O952="OK",J952=""),"",MAX(N(J952)-M952,0))</f>
        <v/>
      </c>
      <c r="Q952" s="39" t="str">
        <f>IF(A952="",IF(COUNTA(B952:J952)&gt;0,"Référence manquante",""),IF(COUNTIF($A$5:$A$1004,A952)&gt;1,"Référence en double",IF(B952="","Désignation manquante","OK")))</f>
        <v/>
      </c>
      <c r="R952" s="39" t="str">
        <f>IF(OR(O952="Rupture",O952="À commander"),COUNTIF($O$5:O952,"Rupture")+COUNTIF($O$5:O952,"À commander"),"")</f>
        <v/>
      </c>
    </row>
    <row r="953">
      <c r="A953" s="37" t="n"/>
      <c r="B953" s="37" t="n"/>
      <c r="C953" s="37" t="n"/>
      <c r="D953" s="37" t="n"/>
      <c r="E953" s="37" t="n"/>
      <c r="F953" s="37" t="n"/>
      <c r="G953" s="38" t="n"/>
      <c r="H953" s="37" t="n"/>
      <c r="I953" s="37" t="n"/>
      <c r="J953" s="37" t="n"/>
      <c r="K953" s="39" t="str">
        <f>IF(A953="","",SUMIFS(mv_qty,mv_ref,A953,mv_type,"Entrée"))</f>
        <v/>
      </c>
      <c r="L953" s="39" t="str">
        <f>IF(A953="","",SUMIFS(mv_qty,mv_ref,A953,mv_type,"Sortie"))</f>
        <v/>
      </c>
      <c r="M953" s="39" t="str">
        <f>IF(A953="","",ROUND(N(H953)+K953-L953,6))</f>
        <v/>
      </c>
      <c r="N953" s="40" t="str">
        <f>IF(A953="","",M953*N(G953))</f>
        <v/>
      </c>
      <c r="O953" s="39" t="str">
        <f>IF(A953="","",IF(M953&lt;=0,"Rupture",IF(AND(I953&lt;&gt;"",M953&lt;=N(I953)),"À commander","OK")))</f>
        <v/>
      </c>
      <c r="P953" s="39" t="str">
        <f>IF(OR(A953="",O953="OK",J953=""),"",MAX(N(J953)-M953,0))</f>
        <v/>
      </c>
      <c r="Q953" s="39" t="str">
        <f>IF(A953="",IF(COUNTA(B953:J953)&gt;0,"Référence manquante",""),IF(COUNTIF($A$5:$A$1004,A953)&gt;1,"Référence en double",IF(B953="","Désignation manquante","OK")))</f>
        <v/>
      </c>
      <c r="R953" s="39" t="str">
        <f>IF(OR(O953="Rupture",O953="À commander"),COUNTIF($O$5:O953,"Rupture")+COUNTIF($O$5:O953,"À commander"),"")</f>
        <v/>
      </c>
    </row>
    <row r="954">
      <c r="A954" s="37" t="n"/>
      <c r="B954" s="37" t="n"/>
      <c r="C954" s="37" t="n"/>
      <c r="D954" s="37" t="n"/>
      <c r="E954" s="37" t="n"/>
      <c r="F954" s="37" t="n"/>
      <c r="G954" s="38" t="n"/>
      <c r="H954" s="37" t="n"/>
      <c r="I954" s="37" t="n"/>
      <c r="J954" s="37" t="n"/>
      <c r="K954" s="39" t="str">
        <f>IF(A954="","",SUMIFS(mv_qty,mv_ref,A954,mv_type,"Entrée"))</f>
        <v/>
      </c>
      <c r="L954" s="39" t="str">
        <f>IF(A954="","",SUMIFS(mv_qty,mv_ref,A954,mv_type,"Sortie"))</f>
        <v/>
      </c>
      <c r="M954" s="39" t="str">
        <f>IF(A954="","",ROUND(N(H954)+K954-L954,6))</f>
        <v/>
      </c>
      <c r="N954" s="40" t="str">
        <f>IF(A954="","",M954*N(G954))</f>
        <v/>
      </c>
      <c r="O954" s="39" t="str">
        <f>IF(A954="","",IF(M954&lt;=0,"Rupture",IF(AND(I954&lt;&gt;"",M954&lt;=N(I954)),"À commander","OK")))</f>
        <v/>
      </c>
      <c r="P954" s="39" t="str">
        <f>IF(OR(A954="",O954="OK",J954=""),"",MAX(N(J954)-M954,0))</f>
        <v/>
      </c>
      <c r="Q954" s="39" t="str">
        <f>IF(A954="",IF(COUNTA(B954:J954)&gt;0,"Référence manquante",""),IF(COUNTIF($A$5:$A$1004,A954)&gt;1,"Référence en double",IF(B954="","Désignation manquante","OK")))</f>
        <v/>
      </c>
      <c r="R954" s="39" t="str">
        <f>IF(OR(O954="Rupture",O954="À commander"),COUNTIF($O$5:O954,"Rupture")+COUNTIF($O$5:O954,"À commander"),"")</f>
        <v/>
      </c>
    </row>
    <row r="955">
      <c r="A955" s="37" t="n"/>
      <c r="B955" s="37" t="n"/>
      <c r="C955" s="37" t="n"/>
      <c r="D955" s="37" t="n"/>
      <c r="E955" s="37" t="n"/>
      <c r="F955" s="37" t="n"/>
      <c r="G955" s="38" t="n"/>
      <c r="H955" s="37" t="n"/>
      <c r="I955" s="37" t="n"/>
      <c r="J955" s="37" t="n"/>
      <c r="K955" s="39" t="str">
        <f>IF(A955="","",SUMIFS(mv_qty,mv_ref,A955,mv_type,"Entrée"))</f>
        <v/>
      </c>
      <c r="L955" s="39" t="str">
        <f>IF(A955="","",SUMIFS(mv_qty,mv_ref,A955,mv_type,"Sortie"))</f>
        <v/>
      </c>
      <c r="M955" s="39" t="str">
        <f>IF(A955="","",ROUND(N(H955)+K955-L955,6))</f>
        <v/>
      </c>
      <c r="N955" s="40" t="str">
        <f>IF(A955="","",M955*N(G955))</f>
        <v/>
      </c>
      <c r="O955" s="39" t="str">
        <f>IF(A955="","",IF(M955&lt;=0,"Rupture",IF(AND(I955&lt;&gt;"",M955&lt;=N(I955)),"À commander","OK")))</f>
        <v/>
      </c>
      <c r="P955" s="39" t="str">
        <f>IF(OR(A955="",O955="OK",J955=""),"",MAX(N(J955)-M955,0))</f>
        <v/>
      </c>
      <c r="Q955" s="39" t="str">
        <f>IF(A955="",IF(COUNTA(B955:J955)&gt;0,"Référence manquante",""),IF(COUNTIF($A$5:$A$1004,A955)&gt;1,"Référence en double",IF(B955="","Désignation manquante","OK")))</f>
        <v/>
      </c>
      <c r="R955" s="39" t="str">
        <f>IF(OR(O955="Rupture",O955="À commander"),COUNTIF($O$5:O955,"Rupture")+COUNTIF($O$5:O955,"À commander"),"")</f>
        <v/>
      </c>
    </row>
    <row r="956">
      <c r="A956" s="37" t="n"/>
      <c r="B956" s="37" t="n"/>
      <c r="C956" s="37" t="n"/>
      <c r="D956" s="37" t="n"/>
      <c r="E956" s="37" t="n"/>
      <c r="F956" s="37" t="n"/>
      <c r="G956" s="38" t="n"/>
      <c r="H956" s="37" t="n"/>
      <c r="I956" s="37" t="n"/>
      <c r="J956" s="37" t="n"/>
      <c r="K956" s="39" t="str">
        <f>IF(A956="","",SUMIFS(mv_qty,mv_ref,A956,mv_type,"Entrée"))</f>
        <v/>
      </c>
      <c r="L956" s="39" t="str">
        <f>IF(A956="","",SUMIFS(mv_qty,mv_ref,A956,mv_type,"Sortie"))</f>
        <v/>
      </c>
      <c r="M956" s="39" t="str">
        <f>IF(A956="","",ROUND(N(H956)+K956-L956,6))</f>
        <v/>
      </c>
      <c r="N956" s="40" t="str">
        <f>IF(A956="","",M956*N(G956))</f>
        <v/>
      </c>
      <c r="O956" s="39" t="str">
        <f>IF(A956="","",IF(M956&lt;=0,"Rupture",IF(AND(I956&lt;&gt;"",M956&lt;=N(I956)),"À commander","OK")))</f>
        <v/>
      </c>
      <c r="P956" s="39" t="str">
        <f>IF(OR(A956="",O956="OK",J956=""),"",MAX(N(J956)-M956,0))</f>
        <v/>
      </c>
      <c r="Q956" s="39" t="str">
        <f>IF(A956="",IF(COUNTA(B956:J956)&gt;0,"Référence manquante",""),IF(COUNTIF($A$5:$A$1004,A956)&gt;1,"Référence en double",IF(B956="","Désignation manquante","OK")))</f>
        <v/>
      </c>
      <c r="R956" s="39" t="str">
        <f>IF(OR(O956="Rupture",O956="À commander"),COUNTIF($O$5:O956,"Rupture")+COUNTIF($O$5:O956,"À commander"),"")</f>
        <v/>
      </c>
    </row>
    <row r="957">
      <c r="A957" s="37" t="n"/>
      <c r="B957" s="37" t="n"/>
      <c r="C957" s="37" t="n"/>
      <c r="D957" s="37" t="n"/>
      <c r="E957" s="37" t="n"/>
      <c r="F957" s="37" t="n"/>
      <c r="G957" s="38" t="n"/>
      <c r="H957" s="37" t="n"/>
      <c r="I957" s="37" t="n"/>
      <c r="J957" s="37" t="n"/>
      <c r="K957" s="39" t="str">
        <f>IF(A957="","",SUMIFS(mv_qty,mv_ref,A957,mv_type,"Entrée"))</f>
        <v/>
      </c>
      <c r="L957" s="39" t="str">
        <f>IF(A957="","",SUMIFS(mv_qty,mv_ref,A957,mv_type,"Sortie"))</f>
        <v/>
      </c>
      <c r="M957" s="39" t="str">
        <f>IF(A957="","",ROUND(N(H957)+K957-L957,6))</f>
        <v/>
      </c>
      <c r="N957" s="40" t="str">
        <f>IF(A957="","",M957*N(G957))</f>
        <v/>
      </c>
      <c r="O957" s="39" t="str">
        <f>IF(A957="","",IF(M957&lt;=0,"Rupture",IF(AND(I957&lt;&gt;"",M957&lt;=N(I957)),"À commander","OK")))</f>
        <v/>
      </c>
      <c r="P957" s="39" t="str">
        <f>IF(OR(A957="",O957="OK",J957=""),"",MAX(N(J957)-M957,0))</f>
        <v/>
      </c>
      <c r="Q957" s="39" t="str">
        <f>IF(A957="",IF(COUNTA(B957:J957)&gt;0,"Référence manquante",""),IF(COUNTIF($A$5:$A$1004,A957)&gt;1,"Référence en double",IF(B957="","Désignation manquante","OK")))</f>
        <v/>
      </c>
      <c r="R957" s="39" t="str">
        <f>IF(OR(O957="Rupture",O957="À commander"),COUNTIF($O$5:O957,"Rupture")+COUNTIF($O$5:O957,"À commander"),"")</f>
        <v/>
      </c>
    </row>
    <row r="958">
      <c r="A958" s="37" t="n"/>
      <c r="B958" s="37" t="n"/>
      <c r="C958" s="37" t="n"/>
      <c r="D958" s="37" t="n"/>
      <c r="E958" s="37" t="n"/>
      <c r="F958" s="37" t="n"/>
      <c r="G958" s="38" t="n"/>
      <c r="H958" s="37" t="n"/>
      <c r="I958" s="37" t="n"/>
      <c r="J958" s="37" t="n"/>
      <c r="K958" s="39" t="str">
        <f>IF(A958="","",SUMIFS(mv_qty,mv_ref,A958,mv_type,"Entrée"))</f>
        <v/>
      </c>
      <c r="L958" s="39" t="str">
        <f>IF(A958="","",SUMIFS(mv_qty,mv_ref,A958,mv_type,"Sortie"))</f>
        <v/>
      </c>
      <c r="M958" s="39" t="str">
        <f>IF(A958="","",ROUND(N(H958)+K958-L958,6))</f>
        <v/>
      </c>
      <c r="N958" s="40" t="str">
        <f>IF(A958="","",M958*N(G958))</f>
        <v/>
      </c>
      <c r="O958" s="39" t="str">
        <f>IF(A958="","",IF(M958&lt;=0,"Rupture",IF(AND(I958&lt;&gt;"",M958&lt;=N(I958)),"À commander","OK")))</f>
        <v/>
      </c>
      <c r="P958" s="39" t="str">
        <f>IF(OR(A958="",O958="OK",J958=""),"",MAX(N(J958)-M958,0))</f>
        <v/>
      </c>
      <c r="Q958" s="39" t="str">
        <f>IF(A958="",IF(COUNTA(B958:J958)&gt;0,"Référence manquante",""),IF(COUNTIF($A$5:$A$1004,A958)&gt;1,"Référence en double",IF(B958="","Désignation manquante","OK")))</f>
        <v/>
      </c>
      <c r="R958" s="39" t="str">
        <f>IF(OR(O958="Rupture",O958="À commander"),COUNTIF($O$5:O958,"Rupture")+COUNTIF($O$5:O958,"À commander"),"")</f>
        <v/>
      </c>
    </row>
    <row r="959">
      <c r="A959" s="37" t="n"/>
      <c r="B959" s="37" t="n"/>
      <c r="C959" s="37" t="n"/>
      <c r="D959" s="37" t="n"/>
      <c r="E959" s="37" t="n"/>
      <c r="F959" s="37" t="n"/>
      <c r="G959" s="38" t="n"/>
      <c r="H959" s="37" t="n"/>
      <c r="I959" s="37" t="n"/>
      <c r="J959" s="37" t="n"/>
      <c r="K959" s="39" t="str">
        <f>IF(A959="","",SUMIFS(mv_qty,mv_ref,A959,mv_type,"Entrée"))</f>
        <v/>
      </c>
      <c r="L959" s="39" t="str">
        <f>IF(A959="","",SUMIFS(mv_qty,mv_ref,A959,mv_type,"Sortie"))</f>
        <v/>
      </c>
      <c r="M959" s="39" t="str">
        <f>IF(A959="","",ROUND(N(H959)+K959-L959,6))</f>
        <v/>
      </c>
      <c r="N959" s="40" t="str">
        <f>IF(A959="","",M959*N(G959))</f>
        <v/>
      </c>
      <c r="O959" s="39" t="str">
        <f>IF(A959="","",IF(M959&lt;=0,"Rupture",IF(AND(I959&lt;&gt;"",M959&lt;=N(I959)),"À commander","OK")))</f>
        <v/>
      </c>
      <c r="P959" s="39" t="str">
        <f>IF(OR(A959="",O959="OK",J959=""),"",MAX(N(J959)-M959,0))</f>
        <v/>
      </c>
      <c r="Q959" s="39" t="str">
        <f>IF(A959="",IF(COUNTA(B959:J959)&gt;0,"Référence manquante",""),IF(COUNTIF($A$5:$A$1004,A959)&gt;1,"Référence en double",IF(B959="","Désignation manquante","OK")))</f>
        <v/>
      </c>
      <c r="R959" s="39" t="str">
        <f>IF(OR(O959="Rupture",O959="À commander"),COUNTIF($O$5:O959,"Rupture")+COUNTIF($O$5:O959,"À commander"),"")</f>
        <v/>
      </c>
    </row>
    <row r="960">
      <c r="A960" s="37" t="n"/>
      <c r="B960" s="37" t="n"/>
      <c r="C960" s="37" t="n"/>
      <c r="D960" s="37" t="n"/>
      <c r="E960" s="37" t="n"/>
      <c r="F960" s="37" t="n"/>
      <c r="G960" s="38" t="n"/>
      <c r="H960" s="37" t="n"/>
      <c r="I960" s="37" t="n"/>
      <c r="J960" s="37" t="n"/>
      <c r="K960" s="39" t="str">
        <f>IF(A960="","",SUMIFS(mv_qty,mv_ref,A960,mv_type,"Entrée"))</f>
        <v/>
      </c>
      <c r="L960" s="39" t="str">
        <f>IF(A960="","",SUMIFS(mv_qty,mv_ref,A960,mv_type,"Sortie"))</f>
        <v/>
      </c>
      <c r="M960" s="39" t="str">
        <f>IF(A960="","",ROUND(N(H960)+K960-L960,6))</f>
        <v/>
      </c>
      <c r="N960" s="40" t="str">
        <f>IF(A960="","",M960*N(G960))</f>
        <v/>
      </c>
      <c r="O960" s="39" t="str">
        <f>IF(A960="","",IF(M960&lt;=0,"Rupture",IF(AND(I960&lt;&gt;"",M960&lt;=N(I960)),"À commander","OK")))</f>
        <v/>
      </c>
      <c r="P960" s="39" t="str">
        <f>IF(OR(A960="",O960="OK",J960=""),"",MAX(N(J960)-M960,0))</f>
        <v/>
      </c>
      <c r="Q960" s="39" t="str">
        <f>IF(A960="",IF(COUNTA(B960:J960)&gt;0,"Référence manquante",""),IF(COUNTIF($A$5:$A$1004,A960)&gt;1,"Référence en double",IF(B960="","Désignation manquante","OK")))</f>
        <v/>
      </c>
      <c r="R960" s="39" t="str">
        <f>IF(OR(O960="Rupture",O960="À commander"),COUNTIF($O$5:O960,"Rupture")+COUNTIF($O$5:O960,"À commander"),"")</f>
        <v/>
      </c>
    </row>
    <row r="961">
      <c r="A961" s="37" t="n"/>
      <c r="B961" s="37" t="n"/>
      <c r="C961" s="37" t="n"/>
      <c r="D961" s="37" t="n"/>
      <c r="E961" s="37" t="n"/>
      <c r="F961" s="37" t="n"/>
      <c r="G961" s="38" t="n"/>
      <c r="H961" s="37" t="n"/>
      <c r="I961" s="37" t="n"/>
      <c r="J961" s="37" t="n"/>
      <c r="K961" s="39" t="str">
        <f>IF(A961="","",SUMIFS(mv_qty,mv_ref,A961,mv_type,"Entrée"))</f>
        <v/>
      </c>
      <c r="L961" s="39" t="str">
        <f>IF(A961="","",SUMIFS(mv_qty,mv_ref,A961,mv_type,"Sortie"))</f>
        <v/>
      </c>
      <c r="M961" s="39" t="str">
        <f>IF(A961="","",ROUND(N(H961)+K961-L961,6))</f>
        <v/>
      </c>
      <c r="N961" s="40" t="str">
        <f>IF(A961="","",M961*N(G961))</f>
        <v/>
      </c>
      <c r="O961" s="39" t="str">
        <f>IF(A961="","",IF(M961&lt;=0,"Rupture",IF(AND(I961&lt;&gt;"",M961&lt;=N(I961)),"À commander","OK")))</f>
        <v/>
      </c>
      <c r="P961" s="39" t="str">
        <f>IF(OR(A961="",O961="OK",J961=""),"",MAX(N(J961)-M961,0))</f>
        <v/>
      </c>
      <c r="Q961" s="39" t="str">
        <f>IF(A961="",IF(COUNTA(B961:J961)&gt;0,"Référence manquante",""),IF(COUNTIF($A$5:$A$1004,A961)&gt;1,"Référence en double",IF(B961="","Désignation manquante","OK")))</f>
        <v/>
      </c>
      <c r="R961" s="39" t="str">
        <f>IF(OR(O961="Rupture",O961="À commander"),COUNTIF($O$5:O961,"Rupture")+COUNTIF($O$5:O961,"À commander"),"")</f>
        <v/>
      </c>
    </row>
    <row r="962">
      <c r="A962" s="37" t="n"/>
      <c r="B962" s="37" t="n"/>
      <c r="C962" s="37" t="n"/>
      <c r="D962" s="37" t="n"/>
      <c r="E962" s="37" t="n"/>
      <c r="F962" s="37" t="n"/>
      <c r="G962" s="38" t="n"/>
      <c r="H962" s="37" t="n"/>
      <c r="I962" s="37" t="n"/>
      <c r="J962" s="37" t="n"/>
      <c r="K962" s="39" t="str">
        <f>IF(A962="","",SUMIFS(mv_qty,mv_ref,A962,mv_type,"Entrée"))</f>
        <v/>
      </c>
      <c r="L962" s="39" t="str">
        <f>IF(A962="","",SUMIFS(mv_qty,mv_ref,A962,mv_type,"Sortie"))</f>
        <v/>
      </c>
      <c r="M962" s="39" t="str">
        <f>IF(A962="","",ROUND(N(H962)+K962-L962,6))</f>
        <v/>
      </c>
      <c r="N962" s="40" t="str">
        <f>IF(A962="","",M962*N(G962))</f>
        <v/>
      </c>
      <c r="O962" s="39" t="str">
        <f>IF(A962="","",IF(M962&lt;=0,"Rupture",IF(AND(I962&lt;&gt;"",M962&lt;=N(I962)),"À commander","OK")))</f>
        <v/>
      </c>
      <c r="P962" s="39" t="str">
        <f>IF(OR(A962="",O962="OK",J962=""),"",MAX(N(J962)-M962,0))</f>
        <v/>
      </c>
      <c r="Q962" s="39" t="str">
        <f>IF(A962="",IF(COUNTA(B962:J962)&gt;0,"Référence manquante",""),IF(COUNTIF($A$5:$A$1004,A962)&gt;1,"Référence en double",IF(B962="","Désignation manquante","OK")))</f>
        <v/>
      </c>
      <c r="R962" s="39" t="str">
        <f>IF(OR(O962="Rupture",O962="À commander"),COUNTIF($O$5:O962,"Rupture")+COUNTIF($O$5:O962,"À commander"),"")</f>
        <v/>
      </c>
    </row>
    <row r="963">
      <c r="A963" s="37" t="n"/>
      <c r="B963" s="37" t="n"/>
      <c r="C963" s="37" t="n"/>
      <c r="D963" s="37" t="n"/>
      <c r="E963" s="37" t="n"/>
      <c r="F963" s="37" t="n"/>
      <c r="G963" s="38" t="n"/>
      <c r="H963" s="37" t="n"/>
      <c r="I963" s="37" t="n"/>
      <c r="J963" s="37" t="n"/>
      <c r="K963" s="39" t="str">
        <f>IF(A963="","",SUMIFS(mv_qty,mv_ref,A963,mv_type,"Entrée"))</f>
        <v/>
      </c>
      <c r="L963" s="39" t="str">
        <f>IF(A963="","",SUMIFS(mv_qty,mv_ref,A963,mv_type,"Sortie"))</f>
        <v/>
      </c>
      <c r="M963" s="39" t="str">
        <f>IF(A963="","",ROUND(N(H963)+K963-L963,6))</f>
        <v/>
      </c>
      <c r="N963" s="40" t="str">
        <f>IF(A963="","",M963*N(G963))</f>
        <v/>
      </c>
      <c r="O963" s="39" t="str">
        <f>IF(A963="","",IF(M963&lt;=0,"Rupture",IF(AND(I963&lt;&gt;"",M963&lt;=N(I963)),"À commander","OK")))</f>
        <v/>
      </c>
      <c r="P963" s="39" t="str">
        <f>IF(OR(A963="",O963="OK",J963=""),"",MAX(N(J963)-M963,0))</f>
        <v/>
      </c>
      <c r="Q963" s="39" t="str">
        <f>IF(A963="",IF(COUNTA(B963:J963)&gt;0,"Référence manquante",""),IF(COUNTIF($A$5:$A$1004,A963)&gt;1,"Référence en double",IF(B963="","Désignation manquante","OK")))</f>
        <v/>
      </c>
      <c r="R963" s="39" t="str">
        <f>IF(OR(O963="Rupture",O963="À commander"),COUNTIF($O$5:O963,"Rupture")+COUNTIF($O$5:O963,"À commander"),"")</f>
        <v/>
      </c>
    </row>
    <row r="964">
      <c r="A964" s="37" t="n"/>
      <c r="B964" s="37" t="n"/>
      <c r="C964" s="37" t="n"/>
      <c r="D964" s="37" t="n"/>
      <c r="E964" s="37" t="n"/>
      <c r="F964" s="37" t="n"/>
      <c r="G964" s="38" t="n"/>
      <c r="H964" s="37" t="n"/>
      <c r="I964" s="37" t="n"/>
      <c r="J964" s="37" t="n"/>
      <c r="K964" s="39" t="str">
        <f>IF(A964="","",SUMIFS(mv_qty,mv_ref,A964,mv_type,"Entrée"))</f>
        <v/>
      </c>
      <c r="L964" s="39" t="str">
        <f>IF(A964="","",SUMIFS(mv_qty,mv_ref,A964,mv_type,"Sortie"))</f>
        <v/>
      </c>
      <c r="M964" s="39" t="str">
        <f>IF(A964="","",ROUND(N(H964)+K964-L964,6))</f>
        <v/>
      </c>
      <c r="N964" s="40" t="str">
        <f>IF(A964="","",M964*N(G964))</f>
        <v/>
      </c>
      <c r="O964" s="39" t="str">
        <f>IF(A964="","",IF(M964&lt;=0,"Rupture",IF(AND(I964&lt;&gt;"",M964&lt;=N(I964)),"À commander","OK")))</f>
        <v/>
      </c>
      <c r="P964" s="39" t="str">
        <f>IF(OR(A964="",O964="OK",J964=""),"",MAX(N(J964)-M964,0))</f>
        <v/>
      </c>
      <c r="Q964" s="39" t="str">
        <f>IF(A964="",IF(COUNTA(B964:J964)&gt;0,"Référence manquante",""),IF(COUNTIF($A$5:$A$1004,A964)&gt;1,"Référence en double",IF(B964="","Désignation manquante","OK")))</f>
        <v/>
      </c>
      <c r="R964" s="39" t="str">
        <f>IF(OR(O964="Rupture",O964="À commander"),COUNTIF($O$5:O964,"Rupture")+COUNTIF($O$5:O964,"À commander"),"")</f>
        <v/>
      </c>
    </row>
    <row r="965">
      <c r="A965" s="37" t="n"/>
      <c r="B965" s="37" t="n"/>
      <c r="C965" s="37" t="n"/>
      <c r="D965" s="37" t="n"/>
      <c r="E965" s="37" t="n"/>
      <c r="F965" s="37" t="n"/>
      <c r="G965" s="38" t="n"/>
      <c r="H965" s="37" t="n"/>
      <c r="I965" s="37" t="n"/>
      <c r="J965" s="37" t="n"/>
      <c r="K965" s="39" t="str">
        <f>IF(A965="","",SUMIFS(mv_qty,mv_ref,A965,mv_type,"Entrée"))</f>
        <v/>
      </c>
      <c r="L965" s="39" t="str">
        <f>IF(A965="","",SUMIFS(mv_qty,mv_ref,A965,mv_type,"Sortie"))</f>
        <v/>
      </c>
      <c r="M965" s="39" t="str">
        <f>IF(A965="","",ROUND(N(H965)+K965-L965,6))</f>
        <v/>
      </c>
      <c r="N965" s="40" t="str">
        <f>IF(A965="","",M965*N(G965))</f>
        <v/>
      </c>
      <c r="O965" s="39" t="str">
        <f>IF(A965="","",IF(M965&lt;=0,"Rupture",IF(AND(I965&lt;&gt;"",M965&lt;=N(I965)),"À commander","OK")))</f>
        <v/>
      </c>
      <c r="P965" s="39" t="str">
        <f>IF(OR(A965="",O965="OK",J965=""),"",MAX(N(J965)-M965,0))</f>
        <v/>
      </c>
      <c r="Q965" s="39" t="str">
        <f>IF(A965="",IF(COUNTA(B965:J965)&gt;0,"Référence manquante",""),IF(COUNTIF($A$5:$A$1004,A965)&gt;1,"Référence en double",IF(B965="","Désignation manquante","OK")))</f>
        <v/>
      </c>
      <c r="R965" s="39" t="str">
        <f>IF(OR(O965="Rupture",O965="À commander"),COUNTIF($O$5:O965,"Rupture")+COUNTIF($O$5:O965,"À commander"),"")</f>
        <v/>
      </c>
    </row>
    <row r="966">
      <c r="A966" s="37" t="n"/>
      <c r="B966" s="37" t="n"/>
      <c r="C966" s="37" t="n"/>
      <c r="D966" s="37" t="n"/>
      <c r="E966" s="37" t="n"/>
      <c r="F966" s="37" t="n"/>
      <c r="G966" s="38" t="n"/>
      <c r="H966" s="37" t="n"/>
      <c r="I966" s="37" t="n"/>
      <c r="J966" s="37" t="n"/>
      <c r="K966" s="39" t="str">
        <f>IF(A966="","",SUMIFS(mv_qty,mv_ref,A966,mv_type,"Entrée"))</f>
        <v/>
      </c>
      <c r="L966" s="39" t="str">
        <f>IF(A966="","",SUMIFS(mv_qty,mv_ref,A966,mv_type,"Sortie"))</f>
        <v/>
      </c>
      <c r="M966" s="39" t="str">
        <f>IF(A966="","",ROUND(N(H966)+K966-L966,6))</f>
        <v/>
      </c>
      <c r="N966" s="40" t="str">
        <f>IF(A966="","",M966*N(G966))</f>
        <v/>
      </c>
      <c r="O966" s="39" t="str">
        <f>IF(A966="","",IF(M966&lt;=0,"Rupture",IF(AND(I966&lt;&gt;"",M966&lt;=N(I966)),"À commander","OK")))</f>
        <v/>
      </c>
      <c r="P966" s="39" t="str">
        <f>IF(OR(A966="",O966="OK",J966=""),"",MAX(N(J966)-M966,0))</f>
        <v/>
      </c>
      <c r="Q966" s="39" t="str">
        <f>IF(A966="",IF(COUNTA(B966:J966)&gt;0,"Référence manquante",""),IF(COUNTIF($A$5:$A$1004,A966)&gt;1,"Référence en double",IF(B966="","Désignation manquante","OK")))</f>
        <v/>
      </c>
      <c r="R966" s="39" t="str">
        <f>IF(OR(O966="Rupture",O966="À commander"),COUNTIF($O$5:O966,"Rupture")+COUNTIF($O$5:O966,"À commander"),"")</f>
        <v/>
      </c>
    </row>
    <row r="967">
      <c r="A967" s="37" t="n"/>
      <c r="B967" s="37" t="n"/>
      <c r="C967" s="37" t="n"/>
      <c r="D967" s="37" t="n"/>
      <c r="E967" s="37" t="n"/>
      <c r="F967" s="37" t="n"/>
      <c r="G967" s="38" t="n"/>
      <c r="H967" s="37" t="n"/>
      <c r="I967" s="37" t="n"/>
      <c r="J967" s="37" t="n"/>
      <c r="K967" s="39" t="str">
        <f>IF(A967="","",SUMIFS(mv_qty,mv_ref,A967,mv_type,"Entrée"))</f>
        <v/>
      </c>
      <c r="L967" s="39" t="str">
        <f>IF(A967="","",SUMIFS(mv_qty,mv_ref,A967,mv_type,"Sortie"))</f>
        <v/>
      </c>
      <c r="M967" s="39" t="str">
        <f>IF(A967="","",ROUND(N(H967)+K967-L967,6))</f>
        <v/>
      </c>
      <c r="N967" s="40" t="str">
        <f>IF(A967="","",M967*N(G967))</f>
        <v/>
      </c>
      <c r="O967" s="39" t="str">
        <f>IF(A967="","",IF(M967&lt;=0,"Rupture",IF(AND(I967&lt;&gt;"",M967&lt;=N(I967)),"À commander","OK")))</f>
        <v/>
      </c>
      <c r="P967" s="39" t="str">
        <f>IF(OR(A967="",O967="OK",J967=""),"",MAX(N(J967)-M967,0))</f>
        <v/>
      </c>
      <c r="Q967" s="39" t="str">
        <f>IF(A967="",IF(COUNTA(B967:J967)&gt;0,"Référence manquante",""),IF(COUNTIF($A$5:$A$1004,A967)&gt;1,"Référence en double",IF(B967="","Désignation manquante","OK")))</f>
        <v/>
      </c>
      <c r="R967" s="39" t="str">
        <f>IF(OR(O967="Rupture",O967="À commander"),COUNTIF($O$5:O967,"Rupture")+COUNTIF($O$5:O967,"À commander"),"")</f>
        <v/>
      </c>
    </row>
    <row r="968">
      <c r="A968" s="37" t="n"/>
      <c r="B968" s="37" t="n"/>
      <c r="C968" s="37" t="n"/>
      <c r="D968" s="37" t="n"/>
      <c r="E968" s="37" t="n"/>
      <c r="F968" s="37" t="n"/>
      <c r="G968" s="38" t="n"/>
      <c r="H968" s="37" t="n"/>
      <c r="I968" s="37" t="n"/>
      <c r="J968" s="37" t="n"/>
      <c r="K968" s="39" t="str">
        <f>IF(A968="","",SUMIFS(mv_qty,mv_ref,A968,mv_type,"Entrée"))</f>
        <v/>
      </c>
      <c r="L968" s="39" t="str">
        <f>IF(A968="","",SUMIFS(mv_qty,mv_ref,A968,mv_type,"Sortie"))</f>
        <v/>
      </c>
      <c r="M968" s="39" t="str">
        <f>IF(A968="","",ROUND(N(H968)+K968-L968,6))</f>
        <v/>
      </c>
      <c r="N968" s="40" t="str">
        <f>IF(A968="","",M968*N(G968))</f>
        <v/>
      </c>
      <c r="O968" s="39" t="str">
        <f>IF(A968="","",IF(M968&lt;=0,"Rupture",IF(AND(I968&lt;&gt;"",M968&lt;=N(I968)),"À commander","OK")))</f>
        <v/>
      </c>
      <c r="P968" s="39" t="str">
        <f>IF(OR(A968="",O968="OK",J968=""),"",MAX(N(J968)-M968,0))</f>
        <v/>
      </c>
      <c r="Q968" s="39" t="str">
        <f>IF(A968="",IF(COUNTA(B968:J968)&gt;0,"Référence manquante",""),IF(COUNTIF($A$5:$A$1004,A968)&gt;1,"Référence en double",IF(B968="","Désignation manquante","OK")))</f>
        <v/>
      </c>
      <c r="R968" s="39" t="str">
        <f>IF(OR(O968="Rupture",O968="À commander"),COUNTIF($O$5:O968,"Rupture")+COUNTIF($O$5:O968,"À commander"),"")</f>
        <v/>
      </c>
    </row>
    <row r="969">
      <c r="A969" s="37" t="n"/>
      <c r="B969" s="37" t="n"/>
      <c r="C969" s="37" t="n"/>
      <c r="D969" s="37" t="n"/>
      <c r="E969" s="37" t="n"/>
      <c r="F969" s="37" t="n"/>
      <c r="G969" s="38" t="n"/>
      <c r="H969" s="37" t="n"/>
      <c r="I969" s="37" t="n"/>
      <c r="J969" s="37" t="n"/>
      <c r="K969" s="39" t="str">
        <f>IF(A969="","",SUMIFS(mv_qty,mv_ref,A969,mv_type,"Entrée"))</f>
        <v/>
      </c>
      <c r="L969" s="39" t="str">
        <f>IF(A969="","",SUMIFS(mv_qty,mv_ref,A969,mv_type,"Sortie"))</f>
        <v/>
      </c>
      <c r="M969" s="39" t="str">
        <f>IF(A969="","",ROUND(N(H969)+K969-L969,6))</f>
        <v/>
      </c>
      <c r="N969" s="40" t="str">
        <f>IF(A969="","",M969*N(G969))</f>
        <v/>
      </c>
      <c r="O969" s="39" t="str">
        <f>IF(A969="","",IF(M969&lt;=0,"Rupture",IF(AND(I969&lt;&gt;"",M969&lt;=N(I969)),"À commander","OK")))</f>
        <v/>
      </c>
      <c r="P969" s="39" t="str">
        <f>IF(OR(A969="",O969="OK",J969=""),"",MAX(N(J969)-M969,0))</f>
        <v/>
      </c>
      <c r="Q969" s="39" t="str">
        <f>IF(A969="",IF(COUNTA(B969:J969)&gt;0,"Référence manquante",""),IF(COUNTIF($A$5:$A$1004,A969)&gt;1,"Référence en double",IF(B969="","Désignation manquante","OK")))</f>
        <v/>
      </c>
      <c r="R969" s="39" t="str">
        <f>IF(OR(O969="Rupture",O969="À commander"),COUNTIF($O$5:O969,"Rupture")+COUNTIF($O$5:O969,"À commander"),"")</f>
        <v/>
      </c>
    </row>
    <row r="970">
      <c r="A970" s="37" t="n"/>
      <c r="B970" s="37" t="n"/>
      <c r="C970" s="37" t="n"/>
      <c r="D970" s="37" t="n"/>
      <c r="E970" s="37" t="n"/>
      <c r="F970" s="37" t="n"/>
      <c r="G970" s="38" t="n"/>
      <c r="H970" s="37" t="n"/>
      <c r="I970" s="37" t="n"/>
      <c r="J970" s="37" t="n"/>
      <c r="K970" s="39" t="str">
        <f>IF(A970="","",SUMIFS(mv_qty,mv_ref,A970,mv_type,"Entrée"))</f>
        <v/>
      </c>
      <c r="L970" s="39" t="str">
        <f>IF(A970="","",SUMIFS(mv_qty,mv_ref,A970,mv_type,"Sortie"))</f>
        <v/>
      </c>
      <c r="M970" s="39" t="str">
        <f>IF(A970="","",ROUND(N(H970)+K970-L970,6))</f>
        <v/>
      </c>
      <c r="N970" s="40" t="str">
        <f>IF(A970="","",M970*N(G970))</f>
        <v/>
      </c>
      <c r="O970" s="39" t="str">
        <f>IF(A970="","",IF(M970&lt;=0,"Rupture",IF(AND(I970&lt;&gt;"",M970&lt;=N(I970)),"À commander","OK")))</f>
        <v/>
      </c>
      <c r="P970" s="39" t="str">
        <f>IF(OR(A970="",O970="OK",J970=""),"",MAX(N(J970)-M970,0))</f>
        <v/>
      </c>
      <c r="Q970" s="39" t="str">
        <f>IF(A970="",IF(COUNTA(B970:J970)&gt;0,"Référence manquante",""),IF(COUNTIF($A$5:$A$1004,A970)&gt;1,"Référence en double",IF(B970="","Désignation manquante","OK")))</f>
        <v/>
      </c>
      <c r="R970" s="39" t="str">
        <f>IF(OR(O970="Rupture",O970="À commander"),COUNTIF($O$5:O970,"Rupture")+COUNTIF($O$5:O970,"À commander"),"")</f>
        <v/>
      </c>
    </row>
    <row r="971">
      <c r="A971" s="37" t="n"/>
      <c r="B971" s="37" t="n"/>
      <c r="C971" s="37" t="n"/>
      <c r="D971" s="37" t="n"/>
      <c r="E971" s="37" t="n"/>
      <c r="F971" s="37" t="n"/>
      <c r="G971" s="38" t="n"/>
      <c r="H971" s="37" t="n"/>
      <c r="I971" s="37" t="n"/>
      <c r="J971" s="37" t="n"/>
      <c r="K971" s="39" t="str">
        <f>IF(A971="","",SUMIFS(mv_qty,mv_ref,A971,mv_type,"Entrée"))</f>
        <v/>
      </c>
      <c r="L971" s="39" t="str">
        <f>IF(A971="","",SUMIFS(mv_qty,mv_ref,A971,mv_type,"Sortie"))</f>
        <v/>
      </c>
      <c r="M971" s="39" t="str">
        <f>IF(A971="","",ROUND(N(H971)+K971-L971,6))</f>
        <v/>
      </c>
      <c r="N971" s="40" t="str">
        <f>IF(A971="","",M971*N(G971))</f>
        <v/>
      </c>
      <c r="O971" s="39" t="str">
        <f>IF(A971="","",IF(M971&lt;=0,"Rupture",IF(AND(I971&lt;&gt;"",M971&lt;=N(I971)),"À commander","OK")))</f>
        <v/>
      </c>
      <c r="P971" s="39" t="str">
        <f>IF(OR(A971="",O971="OK",J971=""),"",MAX(N(J971)-M971,0))</f>
        <v/>
      </c>
      <c r="Q971" s="39" t="str">
        <f>IF(A971="",IF(COUNTA(B971:J971)&gt;0,"Référence manquante",""),IF(COUNTIF($A$5:$A$1004,A971)&gt;1,"Référence en double",IF(B971="","Désignation manquante","OK")))</f>
        <v/>
      </c>
      <c r="R971" s="39" t="str">
        <f>IF(OR(O971="Rupture",O971="À commander"),COUNTIF($O$5:O971,"Rupture")+COUNTIF($O$5:O971,"À commander"),"")</f>
        <v/>
      </c>
    </row>
    <row r="972">
      <c r="A972" s="37" t="n"/>
      <c r="B972" s="37" t="n"/>
      <c r="C972" s="37" t="n"/>
      <c r="D972" s="37" t="n"/>
      <c r="E972" s="37" t="n"/>
      <c r="F972" s="37" t="n"/>
      <c r="G972" s="38" t="n"/>
      <c r="H972" s="37" t="n"/>
      <c r="I972" s="37" t="n"/>
      <c r="J972" s="37" t="n"/>
      <c r="K972" s="39" t="str">
        <f>IF(A972="","",SUMIFS(mv_qty,mv_ref,A972,mv_type,"Entrée"))</f>
        <v/>
      </c>
      <c r="L972" s="39" t="str">
        <f>IF(A972="","",SUMIFS(mv_qty,mv_ref,A972,mv_type,"Sortie"))</f>
        <v/>
      </c>
      <c r="M972" s="39" t="str">
        <f>IF(A972="","",ROUND(N(H972)+K972-L972,6))</f>
        <v/>
      </c>
      <c r="N972" s="40" t="str">
        <f>IF(A972="","",M972*N(G972))</f>
        <v/>
      </c>
      <c r="O972" s="39" t="str">
        <f>IF(A972="","",IF(M972&lt;=0,"Rupture",IF(AND(I972&lt;&gt;"",M972&lt;=N(I972)),"À commander","OK")))</f>
        <v/>
      </c>
      <c r="P972" s="39" t="str">
        <f>IF(OR(A972="",O972="OK",J972=""),"",MAX(N(J972)-M972,0))</f>
        <v/>
      </c>
      <c r="Q972" s="39" t="str">
        <f>IF(A972="",IF(COUNTA(B972:J972)&gt;0,"Référence manquante",""),IF(COUNTIF($A$5:$A$1004,A972)&gt;1,"Référence en double",IF(B972="","Désignation manquante","OK")))</f>
        <v/>
      </c>
      <c r="R972" s="39" t="str">
        <f>IF(OR(O972="Rupture",O972="À commander"),COUNTIF($O$5:O972,"Rupture")+COUNTIF($O$5:O972,"À commander"),"")</f>
        <v/>
      </c>
    </row>
    <row r="973">
      <c r="A973" s="37" t="n"/>
      <c r="B973" s="37" t="n"/>
      <c r="C973" s="37" t="n"/>
      <c r="D973" s="37" t="n"/>
      <c r="E973" s="37" t="n"/>
      <c r="F973" s="37" t="n"/>
      <c r="G973" s="38" t="n"/>
      <c r="H973" s="37" t="n"/>
      <c r="I973" s="37" t="n"/>
      <c r="J973" s="37" t="n"/>
      <c r="K973" s="39" t="str">
        <f>IF(A973="","",SUMIFS(mv_qty,mv_ref,A973,mv_type,"Entrée"))</f>
        <v/>
      </c>
      <c r="L973" s="39" t="str">
        <f>IF(A973="","",SUMIFS(mv_qty,mv_ref,A973,mv_type,"Sortie"))</f>
        <v/>
      </c>
      <c r="M973" s="39" t="str">
        <f>IF(A973="","",ROUND(N(H973)+K973-L973,6))</f>
        <v/>
      </c>
      <c r="N973" s="40" t="str">
        <f>IF(A973="","",M973*N(G973))</f>
        <v/>
      </c>
      <c r="O973" s="39" t="str">
        <f>IF(A973="","",IF(M973&lt;=0,"Rupture",IF(AND(I973&lt;&gt;"",M973&lt;=N(I973)),"À commander","OK")))</f>
        <v/>
      </c>
      <c r="P973" s="39" t="str">
        <f>IF(OR(A973="",O973="OK",J973=""),"",MAX(N(J973)-M973,0))</f>
        <v/>
      </c>
      <c r="Q973" s="39" t="str">
        <f>IF(A973="",IF(COUNTA(B973:J973)&gt;0,"Référence manquante",""),IF(COUNTIF($A$5:$A$1004,A973)&gt;1,"Référence en double",IF(B973="","Désignation manquante","OK")))</f>
        <v/>
      </c>
      <c r="R973" s="39" t="str">
        <f>IF(OR(O973="Rupture",O973="À commander"),COUNTIF($O$5:O973,"Rupture")+COUNTIF($O$5:O973,"À commander"),"")</f>
        <v/>
      </c>
    </row>
    <row r="974">
      <c r="A974" s="37" t="n"/>
      <c r="B974" s="37" t="n"/>
      <c r="C974" s="37" t="n"/>
      <c r="D974" s="37" t="n"/>
      <c r="E974" s="37" t="n"/>
      <c r="F974" s="37" t="n"/>
      <c r="G974" s="38" t="n"/>
      <c r="H974" s="37" t="n"/>
      <c r="I974" s="37" t="n"/>
      <c r="J974" s="37" t="n"/>
      <c r="K974" s="39" t="str">
        <f>IF(A974="","",SUMIFS(mv_qty,mv_ref,A974,mv_type,"Entrée"))</f>
        <v/>
      </c>
      <c r="L974" s="39" t="str">
        <f>IF(A974="","",SUMIFS(mv_qty,mv_ref,A974,mv_type,"Sortie"))</f>
        <v/>
      </c>
      <c r="M974" s="39" t="str">
        <f>IF(A974="","",ROUND(N(H974)+K974-L974,6))</f>
        <v/>
      </c>
      <c r="N974" s="40" t="str">
        <f>IF(A974="","",M974*N(G974))</f>
        <v/>
      </c>
      <c r="O974" s="39" t="str">
        <f>IF(A974="","",IF(M974&lt;=0,"Rupture",IF(AND(I974&lt;&gt;"",M974&lt;=N(I974)),"À commander","OK")))</f>
        <v/>
      </c>
      <c r="P974" s="39" t="str">
        <f>IF(OR(A974="",O974="OK",J974=""),"",MAX(N(J974)-M974,0))</f>
        <v/>
      </c>
      <c r="Q974" s="39" t="str">
        <f>IF(A974="",IF(COUNTA(B974:J974)&gt;0,"Référence manquante",""),IF(COUNTIF($A$5:$A$1004,A974)&gt;1,"Référence en double",IF(B974="","Désignation manquante","OK")))</f>
        <v/>
      </c>
      <c r="R974" s="39" t="str">
        <f>IF(OR(O974="Rupture",O974="À commander"),COUNTIF($O$5:O974,"Rupture")+COUNTIF($O$5:O974,"À commander"),"")</f>
        <v/>
      </c>
    </row>
    <row r="975">
      <c r="A975" s="37" t="n"/>
      <c r="B975" s="37" t="n"/>
      <c r="C975" s="37" t="n"/>
      <c r="D975" s="37" t="n"/>
      <c r="E975" s="37" t="n"/>
      <c r="F975" s="37" t="n"/>
      <c r="G975" s="38" t="n"/>
      <c r="H975" s="37" t="n"/>
      <c r="I975" s="37" t="n"/>
      <c r="J975" s="37" t="n"/>
      <c r="K975" s="39" t="str">
        <f>IF(A975="","",SUMIFS(mv_qty,mv_ref,A975,mv_type,"Entrée"))</f>
        <v/>
      </c>
      <c r="L975" s="39" t="str">
        <f>IF(A975="","",SUMIFS(mv_qty,mv_ref,A975,mv_type,"Sortie"))</f>
        <v/>
      </c>
      <c r="M975" s="39" t="str">
        <f>IF(A975="","",ROUND(N(H975)+K975-L975,6))</f>
        <v/>
      </c>
      <c r="N975" s="40" t="str">
        <f>IF(A975="","",M975*N(G975))</f>
        <v/>
      </c>
      <c r="O975" s="39" t="str">
        <f>IF(A975="","",IF(M975&lt;=0,"Rupture",IF(AND(I975&lt;&gt;"",M975&lt;=N(I975)),"À commander","OK")))</f>
        <v/>
      </c>
      <c r="P975" s="39" t="str">
        <f>IF(OR(A975="",O975="OK",J975=""),"",MAX(N(J975)-M975,0))</f>
        <v/>
      </c>
      <c r="Q975" s="39" t="str">
        <f>IF(A975="",IF(COUNTA(B975:J975)&gt;0,"Référence manquante",""),IF(COUNTIF($A$5:$A$1004,A975)&gt;1,"Référence en double",IF(B975="","Désignation manquante","OK")))</f>
        <v/>
      </c>
      <c r="R975" s="39" t="str">
        <f>IF(OR(O975="Rupture",O975="À commander"),COUNTIF($O$5:O975,"Rupture")+COUNTIF($O$5:O975,"À commander"),"")</f>
        <v/>
      </c>
    </row>
    <row r="976">
      <c r="A976" s="37" t="n"/>
      <c r="B976" s="37" t="n"/>
      <c r="C976" s="37" t="n"/>
      <c r="D976" s="37" t="n"/>
      <c r="E976" s="37" t="n"/>
      <c r="F976" s="37" t="n"/>
      <c r="G976" s="38" t="n"/>
      <c r="H976" s="37" t="n"/>
      <c r="I976" s="37" t="n"/>
      <c r="J976" s="37" t="n"/>
      <c r="K976" s="39" t="str">
        <f>IF(A976="","",SUMIFS(mv_qty,mv_ref,A976,mv_type,"Entrée"))</f>
        <v/>
      </c>
      <c r="L976" s="39" t="str">
        <f>IF(A976="","",SUMIFS(mv_qty,mv_ref,A976,mv_type,"Sortie"))</f>
        <v/>
      </c>
      <c r="M976" s="39" t="str">
        <f>IF(A976="","",ROUND(N(H976)+K976-L976,6))</f>
        <v/>
      </c>
      <c r="N976" s="40" t="str">
        <f>IF(A976="","",M976*N(G976))</f>
        <v/>
      </c>
      <c r="O976" s="39" t="str">
        <f>IF(A976="","",IF(M976&lt;=0,"Rupture",IF(AND(I976&lt;&gt;"",M976&lt;=N(I976)),"À commander","OK")))</f>
        <v/>
      </c>
      <c r="P976" s="39" t="str">
        <f>IF(OR(A976="",O976="OK",J976=""),"",MAX(N(J976)-M976,0))</f>
        <v/>
      </c>
      <c r="Q976" s="39" t="str">
        <f>IF(A976="",IF(COUNTA(B976:J976)&gt;0,"Référence manquante",""),IF(COUNTIF($A$5:$A$1004,A976)&gt;1,"Référence en double",IF(B976="","Désignation manquante","OK")))</f>
        <v/>
      </c>
      <c r="R976" s="39" t="str">
        <f>IF(OR(O976="Rupture",O976="À commander"),COUNTIF($O$5:O976,"Rupture")+COUNTIF($O$5:O976,"À commander"),"")</f>
        <v/>
      </c>
    </row>
    <row r="977">
      <c r="A977" s="37" t="n"/>
      <c r="B977" s="37" t="n"/>
      <c r="C977" s="37" t="n"/>
      <c r="D977" s="37" t="n"/>
      <c r="E977" s="37" t="n"/>
      <c r="F977" s="37" t="n"/>
      <c r="G977" s="38" t="n"/>
      <c r="H977" s="37" t="n"/>
      <c r="I977" s="37" t="n"/>
      <c r="J977" s="37" t="n"/>
      <c r="K977" s="39" t="str">
        <f>IF(A977="","",SUMIFS(mv_qty,mv_ref,A977,mv_type,"Entrée"))</f>
        <v/>
      </c>
      <c r="L977" s="39" t="str">
        <f>IF(A977="","",SUMIFS(mv_qty,mv_ref,A977,mv_type,"Sortie"))</f>
        <v/>
      </c>
      <c r="M977" s="39" t="str">
        <f>IF(A977="","",ROUND(N(H977)+K977-L977,6))</f>
        <v/>
      </c>
      <c r="N977" s="40" t="str">
        <f>IF(A977="","",M977*N(G977))</f>
        <v/>
      </c>
      <c r="O977" s="39" t="str">
        <f>IF(A977="","",IF(M977&lt;=0,"Rupture",IF(AND(I977&lt;&gt;"",M977&lt;=N(I977)),"À commander","OK")))</f>
        <v/>
      </c>
      <c r="P977" s="39" t="str">
        <f>IF(OR(A977="",O977="OK",J977=""),"",MAX(N(J977)-M977,0))</f>
        <v/>
      </c>
      <c r="Q977" s="39" t="str">
        <f>IF(A977="",IF(COUNTA(B977:J977)&gt;0,"Référence manquante",""),IF(COUNTIF($A$5:$A$1004,A977)&gt;1,"Référence en double",IF(B977="","Désignation manquante","OK")))</f>
        <v/>
      </c>
      <c r="R977" s="39" t="str">
        <f>IF(OR(O977="Rupture",O977="À commander"),COUNTIF($O$5:O977,"Rupture")+COUNTIF($O$5:O977,"À commander"),"")</f>
        <v/>
      </c>
    </row>
    <row r="978">
      <c r="A978" s="37" t="n"/>
      <c r="B978" s="37" t="n"/>
      <c r="C978" s="37" t="n"/>
      <c r="D978" s="37" t="n"/>
      <c r="E978" s="37" t="n"/>
      <c r="F978" s="37" t="n"/>
      <c r="G978" s="38" t="n"/>
      <c r="H978" s="37" t="n"/>
      <c r="I978" s="37" t="n"/>
      <c r="J978" s="37" t="n"/>
      <c r="K978" s="39" t="str">
        <f>IF(A978="","",SUMIFS(mv_qty,mv_ref,A978,mv_type,"Entrée"))</f>
        <v/>
      </c>
      <c r="L978" s="39" t="str">
        <f>IF(A978="","",SUMIFS(mv_qty,mv_ref,A978,mv_type,"Sortie"))</f>
        <v/>
      </c>
      <c r="M978" s="39" t="str">
        <f>IF(A978="","",ROUND(N(H978)+K978-L978,6))</f>
        <v/>
      </c>
      <c r="N978" s="40" t="str">
        <f>IF(A978="","",M978*N(G978))</f>
        <v/>
      </c>
      <c r="O978" s="39" t="str">
        <f>IF(A978="","",IF(M978&lt;=0,"Rupture",IF(AND(I978&lt;&gt;"",M978&lt;=N(I978)),"À commander","OK")))</f>
        <v/>
      </c>
      <c r="P978" s="39" t="str">
        <f>IF(OR(A978="",O978="OK",J978=""),"",MAX(N(J978)-M978,0))</f>
        <v/>
      </c>
      <c r="Q978" s="39" t="str">
        <f>IF(A978="",IF(COUNTA(B978:J978)&gt;0,"Référence manquante",""),IF(COUNTIF($A$5:$A$1004,A978)&gt;1,"Référence en double",IF(B978="","Désignation manquante","OK")))</f>
        <v/>
      </c>
      <c r="R978" s="39" t="str">
        <f>IF(OR(O978="Rupture",O978="À commander"),COUNTIF($O$5:O978,"Rupture")+COUNTIF($O$5:O978,"À commander"),"")</f>
        <v/>
      </c>
    </row>
    <row r="979">
      <c r="A979" s="37" t="n"/>
      <c r="B979" s="37" t="n"/>
      <c r="C979" s="37" t="n"/>
      <c r="D979" s="37" t="n"/>
      <c r="E979" s="37" t="n"/>
      <c r="F979" s="37" t="n"/>
      <c r="G979" s="38" t="n"/>
      <c r="H979" s="37" t="n"/>
      <c r="I979" s="37" t="n"/>
      <c r="J979" s="37" t="n"/>
      <c r="K979" s="39" t="str">
        <f>IF(A979="","",SUMIFS(mv_qty,mv_ref,A979,mv_type,"Entrée"))</f>
        <v/>
      </c>
      <c r="L979" s="39" t="str">
        <f>IF(A979="","",SUMIFS(mv_qty,mv_ref,A979,mv_type,"Sortie"))</f>
        <v/>
      </c>
      <c r="M979" s="39" t="str">
        <f>IF(A979="","",ROUND(N(H979)+K979-L979,6))</f>
        <v/>
      </c>
      <c r="N979" s="40" t="str">
        <f>IF(A979="","",M979*N(G979))</f>
        <v/>
      </c>
      <c r="O979" s="39" t="str">
        <f>IF(A979="","",IF(M979&lt;=0,"Rupture",IF(AND(I979&lt;&gt;"",M979&lt;=N(I979)),"À commander","OK")))</f>
        <v/>
      </c>
      <c r="P979" s="39" t="str">
        <f>IF(OR(A979="",O979="OK",J979=""),"",MAX(N(J979)-M979,0))</f>
        <v/>
      </c>
      <c r="Q979" s="39" t="str">
        <f>IF(A979="",IF(COUNTA(B979:J979)&gt;0,"Référence manquante",""),IF(COUNTIF($A$5:$A$1004,A979)&gt;1,"Référence en double",IF(B979="","Désignation manquante","OK")))</f>
        <v/>
      </c>
      <c r="R979" s="39" t="str">
        <f>IF(OR(O979="Rupture",O979="À commander"),COUNTIF($O$5:O979,"Rupture")+COUNTIF($O$5:O979,"À commander"),"")</f>
        <v/>
      </c>
    </row>
    <row r="980">
      <c r="A980" s="37" t="n"/>
      <c r="B980" s="37" t="n"/>
      <c r="C980" s="37" t="n"/>
      <c r="D980" s="37" t="n"/>
      <c r="E980" s="37" t="n"/>
      <c r="F980" s="37" t="n"/>
      <c r="G980" s="38" t="n"/>
      <c r="H980" s="37" t="n"/>
      <c r="I980" s="37" t="n"/>
      <c r="J980" s="37" t="n"/>
      <c r="K980" s="39" t="str">
        <f>IF(A980="","",SUMIFS(mv_qty,mv_ref,A980,mv_type,"Entrée"))</f>
        <v/>
      </c>
      <c r="L980" s="39" t="str">
        <f>IF(A980="","",SUMIFS(mv_qty,mv_ref,A980,mv_type,"Sortie"))</f>
        <v/>
      </c>
      <c r="M980" s="39" t="str">
        <f>IF(A980="","",ROUND(N(H980)+K980-L980,6))</f>
        <v/>
      </c>
      <c r="N980" s="40" t="str">
        <f>IF(A980="","",M980*N(G980))</f>
        <v/>
      </c>
      <c r="O980" s="39" t="str">
        <f>IF(A980="","",IF(M980&lt;=0,"Rupture",IF(AND(I980&lt;&gt;"",M980&lt;=N(I980)),"À commander","OK")))</f>
        <v/>
      </c>
      <c r="P980" s="39" t="str">
        <f>IF(OR(A980="",O980="OK",J980=""),"",MAX(N(J980)-M980,0))</f>
        <v/>
      </c>
      <c r="Q980" s="39" t="str">
        <f>IF(A980="",IF(COUNTA(B980:J980)&gt;0,"Référence manquante",""),IF(COUNTIF($A$5:$A$1004,A980)&gt;1,"Référence en double",IF(B980="","Désignation manquante","OK")))</f>
        <v/>
      </c>
      <c r="R980" s="39" t="str">
        <f>IF(OR(O980="Rupture",O980="À commander"),COUNTIF($O$5:O980,"Rupture")+COUNTIF($O$5:O980,"À commander"),"")</f>
        <v/>
      </c>
    </row>
    <row r="981">
      <c r="A981" s="37" t="n"/>
      <c r="B981" s="37" t="n"/>
      <c r="C981" s="37" t="n"/>
      <c r="D981" s="37" t="n"/>
      <c r="E981" s="37" t="n"/>
      <c r="F981" s="37" t="n"/>
      <c r="G981" s="38" t="n"/>
      <c r="H981" s="37" t="n"/>
      <c r="I981" s="37" t="n"/>
      <c r="J981" s="37" t="n"/>
      <c r="K981" s="39" t="str">
        <f>IF(A981="","",SUMIFS(mv_qty,mv_ref,A981,mv_type,"Entrée"))</f>
        <v/>
      </c>
      <c r="L981" s="39" t="str">
        <f>IF(A981="","",SUMIFS(mv_qty,mv_ref,A981,mv_type,"Sortie"))</f>
        <v/>
      </c>
      <c r="M981" s="39" t="str">
        <f>IF(A981="","",ROUND(N(H981)+K981-L981,6))</f>
        <v/>
      </c>
      <c r="N981" s="40" t="str">
        <f>IF(A981="","",M981*N(G981))</f>
        <v/>
      </c>
      <c r="O981" s="39" t="str">
        <f>IF(A981="","",IF(M981&lt;=0,"Rupture",IF(AND(I981&lt;&gt;"",M981&lt;=N(I981)),"À commander","OK")))</f>
        <v/>
      </c>
      <c r="P981" s="39" t="str">
        <f>IF(OR(A981="",O981="OK",J981=""),"",MAX(N(J981)-M981,0))</f>
        <v/>
      </c>
      <c r="Q981" s="39" t="str">
        <f>IF(A981="",IF(COUNTA(B981:J981)&gt;0,"Référence manquante",""),IF(COUNTIF($A$5:$A$1004,A981)&gt;1,"Référence en double",IF(B981="","Désignation manquante","OK")))</f>
        <v/>
      </c>
      <c r="R981" s="39" t="str">
        <f>IF(OR(O981="Rupture",O981="À commander"),COUNTIF($O$5:O981,"Rupture")+COUNTIF($O$5:O981,"À commander"),"")</f>
        <v/>
      </c>
    </row>
    <row r="982">
      <c r="A982" s="37" t="n"/>
      <c r="B982" s="37" t="n"/>
      <c r="C982" s="37" t="n"/>
      <c r="D982" s="37" t="n"/>
      <c r="E982" s="37" t="n"/>
      <c r="F982" s="37" t="n"/>
      <c r="G982" s="38" t="n"/>
      <c r="H982" s="37" t="n"/>
      <c r="I982" s="37" t="n"/>
      <c r="J982" s="37" t="n"/>
      <c r="K982" s="39" t="str">
        <f>IF(A982="","",SUMIFS(mv_qty,mv_ref,A982,mv_type,"Entrée"))</f>
        <v/>
      </c>
      <c r="L982" s="39" t="str">
        <f>IF(A982="","",SUMIFS(mv_qty,mv_ref,A982,mv_type,"Sortie"))</f>
        <v/>
      </c>
      <c r="M982" s="39" t="str">
        <f>IF(A982="","",ROUND(N(H982)+K982-L982,6))</f>
        <v/>
      </c>
      <c r="N982" s="40" t="str">
        <f>IF(A982="","",M982*N(G982))</f>
        <v/>
      </c>
      <c r="O982" s="39" t="str">
        <f>IF(A982="","",IF(M982&lt;=0,"Rupture",IF(AND(I982&lt;&gt;"",M982&lt;=N(I982)),"À commander","OK")))</f>
        <v/>
      </c>
      <c r="P982" s="39" t="str">
        <f>IF(OR(A982="",O982="OK",J982=""),"",MAX(N(J982)-M982,0))</f>
        <v/>
      </c>
      <c r="Q982" s="39" t="str">
        <f>IF(A982="",IF(COUNTA(B982:J982)&gt;0,"Référence manquante",""),IF(COUNTIF($A$5:$A$1004,A982)&gt;1,"Référence en double",IF(B982="","Désignation manquante","OK")))</f>
        <v/>
      </c>
      <c r="R982" s="39" t="str">
        <f>IF(OR(O982="Rupture",O982="À commander"),COUNTIF($O$5:O982,"Rupture")+COUNTIF($O$5:O982,"À commander"),"")</f>
        <v/>
      </c>
    </row>
    <row r="983">
      <c r="A983" s="37" t="n"/>
      <c r="B983" s="37" t="n"/>
      <c r="C983" s="37" t="n"/>
      <c r="D983" s="37" t="n"/>
      <c r="E983" s="37" t="n"/>
      <c r="F983" s="37" t="n"/>
      <c r="G983" s="38" t="n"/>
      <c r="H983" s="37" t="n"/>
      <c r="I983" s="37" t="n"/>
      <c r="J983" s="37" t="n"/>
      <c r="K983" s="39" t="str">
        <f>IF(A983="","",SUMIFS(mv_qty,mv_ref,A983,mv_type,"Entrée"))</f>
        <v/>
      </c>
      <c r="L983" s="39" t="str">
        <f>IF(A983="","",SUMIFS(mv_qty,mv_ref,A983,mv_type,"Sortie"))</f>
        <v/>
      </c>
      <c r="M983" s="39" t="str">
        <f>IF(A983="","",ROUND(N(H983)+K983-L983,6))</f>
        <v/>
      </c>
      <c r="N983" s="40" t="str">
        <f>IF(A983="","",M983*N(G983))</f>
        <v/>
      </c>
      <c r="O983" s="39" t="str">
        <f>IF(A983="","",IF(M983&lt;=0,"Rupture",IF(AND(I983&lt;&gt;"",M983&lt;=N(I983)),"À commander","OK")))</f>
        <v/>
      </c>
      <c r="P983" s="39" t="str">
        <f>IF(OR(A983="",O983="OK",J983=""),"",MAX(N(J983)-M983,0))</f>
        <v/>
      </c>
      <c r="Q983" s="39" t="str">
        <f>IF(A983="",IF(COUNTA(B983:J983)&gt;0,"Référence manquante",""),IF(COUNTIF($A$5:$A$1004,A983)&gt;1,"Référence en double",IF(B983="","Désignation manquante","OK")))</f>
        <v/>
      </c>
      <c r="R983" s="39" t="str">
        <f>IF(OR(O983="Rupture",O983="À commander"),COUNTIF($O$5:O983,"Rupture")+COUNTIF($O$5:O983,"À commander"),"")</f>
        <v/>
      </c>
    </row>
    <row r="984">
      <c r="A984" s="37" t="n"/>
      <c r="B984" s="37" t="n"/>
      <c r="C984" s="37" t="n"/>
      <c r="D984" s="37" t="n"/>
      <c r="E984" s="37" t="n"/>
      <c r="F984" s="37" t="n"/>
      <c r="G984" s="38" t="n"/>
      <c r="H984" s="37" t="n"/>
      <c r="I984" s="37" t="n"/>
      <c r="J984" s="37" t="n"/>
      <c r="K984" s="39" t="str">
        <f>IF(A984="","",SUMIFS(mv_qty,mv_ref,A984,mv_type,"Entrée"))</f>
        <v/>
      </c>
      <c r="L984" s="39" t="str">
        <f>IF(A984="","",SUMIFS(mv_qty,mv_ref,A984,mv_type,"Sortie"))</f>
        <v/>
      </c>
      <c r="M984" s="39" t="str">
        <f>IF(A984="","",ROUND(N(H984)+K984-L984,6))</f>
        <v/>
      </c>
      <c r="N984" s="40" t="str">
        <f>IF(A984="","",M984*N(G984))</f>
        <v/>
      </c>
      <c r="O984" s="39" t="str">
        <f>IF(A984="","",IF(M984&lt;=0,"Rupture",IF(AND(I984&lt;&gt;"",M984&lt;=N(I984)),"À commander","OK")))</f>
        <v/>
      </c>
      <c r="P984" s="39" t="str">
        <f>IF(OR(A984="",O984="OK",J984=""),"",MAX(N(J984)-M984,0))</f>
        <v/>
      </c>
      <c r="Q984" s="39" t="str">
        <f>IF(A984="",IF(COUNTA(B984:J984)&gt;0,"Référence manquante",""),IF(COUNTIF($A$5:$A$1004,A984)&gt;1,"Référence en double",IF(B984="","Désignation manquante","OK")))</f>
        <v/>
      </c>
      <c r="R984" s="39" t="str">
        <f>IF(OR(O984="Rupture",O984="À commander"),COUNTIF($O$5:O984,"Rupture")+COUNTIF($O$5:O984,"À commander"),"")</f>
        <v/>
      </c>
    </row>
    <row r="985">
      <c r="A985" s="37" t="n"/>
      <c r="B985" s="37" t="n"/>
      <c r="C985" s="37" t="n"/>
      <c r="D985" s="37" t="n"/>
      <c r="E985" s="37" t="n"/>
      <c r="F985" s="37" t="n"/>
      <c r="G985" s="38" t="n"/>
      <c r="H985" s="37" t="n"/>
      <c r="I985" s="37" t="n"/>
      <c r="J985" s="37" t="n"/>
      <c r="K985" s="39" t="str">
        <f>IF(A985="","",SUMIFS(mv_qty,mv_ref,A985,mv_type,"Entrée"))</f>
        <v/>
      </c>
      <c r="L985" s="39" t="str">
        <f>IF(A985="","",SUMIFS(mv_qty,mv_ref,A985,mv_type,"Sortie"))</f>
        <v/>
      </c>
      <c r="M985" s="39" t="str">
        <f>IF(A985="","",ROUND(N(H985)+K985-L985,6))</f>
        <v/>
      </c>
      <c r="N985" s="40" t="str">
        <f>IF(A985="","",M985*N(G985))</f>
        <v/>
      </c>
      <c r="O985" s="39" t="str">
        <f>IF(A985="","",IF(M985&lt;=0,"Rupture",IF(AND(I985&lt;&gt;"",M985&lt;=N(I985)),"À commander","OK")))</f>
        <v/>
      </c>
      <c r="P985" s="39" t="str">
        <f>IF(OR(A985="",O985="OK",J985=""),"",MAX(N(J985)-M985,0))</f>
        <v/>
      </c>
      <c r="Q985" s="39" t="str">
        <f>IF(A985="",IF(COUNTA(B985:J985)&gt;0,"Référence manquante",""),IF(COUNTIF($A$5:$A$1004,A985)&gt;1,"Référence en double",IF(B985="","Désignation manquante","OK")))</f>
        <v/>
      </c>
      <c r="R985" s="39" t="str">
        <f>IF(OR(O985="Rupture",O985="À commander"),COUNTIF($O$5:O985,"Rupture")+COUNTIF($O$5:O985,"À commander"),"")</f>
        <v/>
      </c>
    </row>
    <row r="986">
      <c r="A986" s="37" t="n"/>
      <c r="B986" s="37" t="n"/>
      <c r="C986" s="37" t="n"/>
      <c r="D986" s="37" t="n"/>
      <c r="E986" s="37" t="n"/>
      <c r="F986" s="37" t="n"/>
      <c r="G986" s="38" t="n"/>
      <c r="H986" s="37" t="n"/>
      <c r="I986" s="37" t="n"/>
      <c r="J986" s="37" t="n"/>
      <c r="K986" s="39" t="str">
        <f>IF(A986="","",SUMIFS(mv_qty,mv_ref,A986,mv_type,"Entrée"))</f>
        <v/>
      </c>
      <c r="L986" s="39" t="str">
        <f>IF(A986="","",SUMIFS(mv_qty,mv_ref,A986,mv_type,"Sortie"))</f>
        <v/>
      </c>
      <c r="M986" s="39" t="str">
        <f>IF(A986="","",ROUND(N(H986)+K986-L986,6))</f>
        <v/>
      </c>
      <c r="N986" s="40" t="str">
        <f>IF(A986="","",M986*N(G986))</f>
        <v/>
      </c>
      <c r="O986" s="39" t="str">
        <f>IF(A986="","",IF(M986&lt;=0,"Rupture",IF(AND(I986&lt;&gt;"",M986&lt;=N(I986)),"À commander","OK")))</f>
        <v/>
      </c>
      <c r="P986" s="39" t="str">
        <f>IF(OR(A986="",O986="OK",J986=""),"",MAX(N(J986)-M986,0))</f>
        <v/>
      </c>
      <c r="Q986" s="39" t="str">
        <f>IF(A986="",IF(COUNTA(B986:J986)&gt;0,"Référence manquante",""),IF(COUNTIF($A$5:$A$1004,A986)&gt;1,"Référence en double",IF(B986="","Désignation manquante","OK")))</f>
        <v/>
      </c>
      <c r="R986" s="39" t="str">
        <f>IF(OR(O986="Rupture",O986="À commander"),COUNTIF($O$5:O986,"Rupture")+COUNTIF($O$5:O986,"À commander"),"")</f>
        <v/>
      </c>
    </row>
    <row r="987">
      <c r="A987" s="37" t="n"/>
      <c r="B987" s="37" t="n"/>
      <c r="C987" s="37" t="n"/>
      <c r="D987" s="37" t="n"/>
      <c r="E987" s="37" t="n"/>
      <c r="F987" s="37" t="n"/>
      <c r="G987" s="38" t="n"/>
      <c r="H987" s="37" t="n"/>
      <c r="I987" s="37" t="n"/>
      <c r="J987" s="37" t="n"/>
      <c r="K987" s="39" t="str">
        <f>IF(A987="","",SUMIFS(mv_qty,mv_ref,A987,mv_type,"Entrée"))</f>
        <v/>
      </c>
      <c r="L987" s="39" t="str">
        <f>IF(A987="","",SUMIFS(mv_qty,mv_ref,A987,mv_type,"Sortie"))</f>
        <v/>
      </c>
      <c r="M987" s="39" t="str">
        <f>IF(A987="","",ROUND(N(H987)+K987-L987,6))</f>
        <v/>
      </c>
      <c r="N987" s="40" t="str">
        <f>IF(A987="","",M987*N(G987))</f>
        <v/>
      </c>
      <c r="O987" s="39" t="str">
        <f>IF(A987="","",IF(M987&lt;=0,"Rupture",IF(AND(I987&lt;&gt;"",M987&lt;=N(I987)),"À commander","OK")))</f>
        <v/>
      </c>
      <c r="P987" s="39" t="str">
        <f>IF(OR(A987="",O987="OK",J987=""),"",MAX(N(J987)-M987,0))</f>
        <v/>
      </c>
      <c r="Q987" s="39" t="str">
        <f>IF(A987="",IF(COUNTA(B987:J987)&gt;0,"Référence manquante",""),IF(COUNTIF($A$5:$A$1004,A987)&gt;1,"Référence en double",IF(B987="","Désignation manquante","OK")))</f>
        <v/>
      </c>
      <c r="R987" s="39" t="str">
        <f>IF(OR(O987="Rupture",O987="À commander"),COUNTIF($O$5:O987,"Rupture")+COUNTIF($O$5:O987,"À commander"),"")</f>
        <v/>
      </c>
    </row>
    <row r="988">
      <c r="A988" s="37" t="n"/>
      <c r="B988" s="37" t="n"/>
      <c r="C988" s="37" t="n"/>
      <c r="D988" s="37" t="n"/>
      <c r="E988" s="37" t="n"/>
      <c r="F988" s="37" t="n"/>
      <c r="G988" s="38" t="n"/>
      <c r="H988" s="37" t="n"/>
      <c r="I988" s="37" t="n"/>
      <c r="J988" s="37" t="n"/>
      <c r="K988" s="39" t="str">
        <f>IF(A988="","",SUMIFS(mv_qty,mv_ref,A988,mv_type,"Entrée"))</f>
        <v/>
      </c>
      <c r="L988" s="39" t="str">
        <f>IF(A988="","",SUMIFS(mv_qty,mv_ref,A988,mv_type,"Sortie"))</f>
        <v/>
      </c>
      <c r="M988" s="39" t="str">
        <f>IF(A988="","",ROUND(N(H988)+K988-L988,6))</f>
        <v/>
      </c>
      <c r="N988" s="40" t="str">
        <f>IF(A988="","",M988*N(G988))</f>
        <v/>
      </c>
      <c r="O988" s="39" t="str">
        <f>IF(A988="","",IF(M988&lt;=0,"Rupture",IF(AND(I988&lt;&gt;"",M988&lt;=N(I988)),"À commander","OK")))</f>
        <v/>
      </c>
      <c r="P988" s="39" t="str">
        <f>IF(OR(A988="",O988="OK",J988=""),"",MAX(N(J988)-M988,0))</f>
        <v/>
      </c>
      <c r="Q988" s="39" t="str">
        <f>IF(A988="",IF(COUNTA(B988:J988)&gt;0,"Référence manquante",""),IF(COUNTIF($A$5:$A$1004,A988)&gt;1,"Référence en double",IF(B988="","Désignation manquante","OK")))</f>
        <v/>
      </c>
      <c r="R988" s="39" t="str">
        <f>IF(OR(O988="Rupture",O988="À commander"),COUNTIF($O$5:O988,"Rupture")+COUNTIF($O$5:O988,"À commander"),"")</f>
        <v/>
      </c>
    </row>
    <row r="989">
      <c r="A989" s="37" t="n"/>
      <c r="B989" s="37" t="n"/>
      <c r="C989" s="37" t="n"/>
      <c r="D989" s="37" t="n"/>
      <c r="E989" s="37" t="n"/>
      <c r="F989" s="37" t="n"/>
      <c r="G989" s="38" t="n"/>
      <c r="H989" s="37" t="n"/>
      <c r="I989" s="37" t="n"/>
      <c r="J989" s="37" t="n"/>
      <c r="K989" s="39" t="str">
        <f>IF(A989="","",SUMIFS(mv_qty,mv_ref,A989,mv_type,"Entrée"))</f>
        <v/>
      </c>
      <c r="L989" s="39" t="str">
        <f>IF(A989="","",SUMIFS(mv_qty,mv_ref,A989,mv_type,"Sortie"))</f>
        <v/>
      </c>
      <c r="M989" s="39" t="str">
        <f>IF(A989="","",ROUND(N(H989)+K989-L989,6))</f>
        <v/>
      </c>
      <c r="N989" s="40" t="str">
        <f>IF(A989="","",M989*N(G989))</f>
        <v/>
      </c>
      <c r="O989" s="39" t="str">
        <f>IF(A989="","",IF(M989&lt;=0,"Rupture",IF(AND(I989&lt;&gt;"",M989&lt;=N(I989)),"À commander","OK")))</f>
        <v/>
      </c>
      <c r="P989" s="39" t="str">
        <f>IF(OR(A989="",O989="OK",J989=""),"",MAX(N(J989)-M989,0))</f>
        <v/>
      </c>
      <c r="Q989" s="39" t="str">
        <f>IF(A989="",IF(COUNTA(B989:J989)&gt;0,"Référence manquante",""),IF(COUNTIF($A$5:$A$1004,A989)&gt;1,"Référence en double",IF(B989="","Désignation manquante","OK")))</f>
        <v/>
      </c>
      <c r="R989" s="39" t="str">
        <f>IF(OR(O989="Rupture",O989="À commander"),COUNTIF($O$5:O989,"Rupture")+COUNTIF($O$5:O989,"À commander"),"")</f>
        <v/>
      </c>
    </row>
    <row r="990">
      <c r="A990" s="37" t="n"/>
      <c r="B990" s="37" t="n"/>
      <c r="C990" s="37" t="n"/>
      <c r="D990" s="37" t="n"/>
      <c r="E990" s="37" t="n"/>
      <c r="F990" s="37" t="n"/>
      <c r="G990" s="38" t="n"/>
      <c r="H990" s="37" t="n"/>
      <c r="I990" s="37" t="n"/>
      <c r="J990" s="37" t="n"/>
      <c r="K990" s="39" t="str">
        <f>IF(A990="","",SUMIFS(mv_qty,mv_ref,A990,mv_type,"Entrée"))</f>
        <v/>
      </c>
      <c r="L990" s="39" t="str">
        <f>IF(A990="","",SUMIFS(mv_qty,mv_ref,A990,mv_type,"Sortie"))</f>
        <v/>
      </c>
      <c r="M990" s="39" t="str">
        <f>IF(A990="","",ROUND(N(H990)+K990-L990,6))</f>
        <v/>
      </c>
      <c r="N990" s="40" t="str">
        <f>IF(A990="","",M990*N(G990))</f>
        <v/>
      </c>
      <c r="O990" s="39" t="str">
        <f>IF(A990="","",IF(M990&lt;=0,"Rupture",IF(AND(I990&lt;&gt;"",M990&lt;=N(I990)),"À commander","OK")))</f>
        <v/>
      </c>
      <c r="P990" s="39" t="str">
        <f>IF(OR(A990="",O990="OK",J990=""),"",MAX(N(J990)-M990,0))</f>
        <v/>
      </c>
      <c r="Q990" s="39" t="str">
        <f>IF(A990="",IF(COUNTA(B990:J990)&gt;0,"Référence manquante",""),IF(COUNTIF($A$5:$A$1004,A990)&gt;1,"Référence en double",IF(B990="","Désignation manquante","OK")))</f>
        <v/>
      </c>
      <c r="R990" s="39" t="str">
        <f>IF(OR(O990="Rupture",O990="À commander"),COUNTIF($O$5:O990,"Rupture")+COUNTIF($O$5:O990,"À commander"),"")</f>
        <v/>
      </c>
    </row>
    <row r="991">
      <c r="A991" s="37" t="n"/>
      <c r="B991" s="37" t="n"/>
      <c r="C991" s="37" t="n"/>
      <c r="D991" s="37" t="n"/>
      <c r="E991" s="37" t="n"/>
      <c r="F991" s="37" t="n"/>
      <c r="G991" s="38" t="n"/>
      <c r="H991" s="37" t="n"/>
      <c r="I991" s="37" t="n"/>
      <c r="J991" s="37" t="n"/>
      <c r="K991" s="39" t="str">
        <f>IF(A991="","",SUMIFS(mv_qty,mv_ref,A991,mv_type,"Entrée"))</f>
        <v/>
      </c>
      <c r="L991" s="39" t="str">
        <f>IF(A991="","",SUMIFS(mv_qty,mv_ref,A991,mv_type,"Sortie"))</f>
        <v/>
      </c>
      <c r="M991" s="39" t="str">
        <f>IF(A991="","",ROUND(N(H991)+K991-L991,6))</f>
        <v/>
      </c>
      <c r="N991" s="40" t="str">
        <f>IF(A991="","",M991*N(G991))</f>
        <v/>
      </c>
      <c r="O991" s="39" t="str">
        <f>IF(A991="","",IF(M991&lt;=0,"Rupture",IF(AND(I991&lt;&gt;"",M991&lt;=N(I991)),"À commander","OK")))</f>
        <v/>
      </c>
      <c r="P991" s="39" t="str">
        <f>IF(OR(A991="",O991="OK",J991=""),"",MAX(N(J991)-M991,0))</f>
        <v/>
      </c>
      <c r="Q991" s="39" t="str">
        <f>IF(A991="",IF(COUNTA(B991:J991)&gt;0,"Référence manquante",""),IF(COUNTIF($A$5:$A$1004,A991)&gt;1,"Référence en double",IF(B991="","Désignation manquante","OK")))</f>
        <v/>
      </c>
      <c r="R991" s="39" t="str">
        <f>IF(OR(O991="Rupture",O991="À commander"),COUNTIF($O$5:O991,"Rupture")+COUNTIF($O$5:O991,"À commander"),"")</f>
        <v/>
      </c>
    </row>
    <row r="992">
      <c r="A992" s="37" t="n"/>
      <c r="B992" s="37" t="n"/>
      <c r="C992" s="37" t="n"/>
      <c r="D992" s="37" t="n"/>
      <c r="E992" s="37" t="n"/>
      <c r="F992" s="37" t="n"/>
      <c r="G992" s="38" t="n"/>
      <c r="H992" s="37" t="n"/>
      <c r="I992" s="37" t="n"/>
      <c r="J992" s="37" t="n"/>
      <c r="K992" s="39" t="str">
        <f>IF(A992="","",SUMIFS(mv_qty,mv_ref,A992,mv_type,"Entrée"))</f>
        <v/>
      </c>
      <c r="L992" s="39" t="str">
        <f>IF(A992="","",SUMIFS(mv_qty,mv_ref,A992,mv_type,"Sortie"))</f>
        <v/>
      </c>
      <c r="M992" s="39" t="str">
        <f>IF(A992="","",ROUND(N(H992)+K992-L992,6))</f>
        <v/>
      </c>
      <c r="N992" s="40" t="str">
        <f>IF(A992="","",M992*N(G992))</f>
        <v/>
      </c>
      <c r="O992" s="39" t="str">
        <f>IF(A992="","",IF(M992&lt;=0,"Rupture",IF(AND(I992&lt;&gt;"",M992&lt;=N(I992)),"À commander","OK")))</f>
        <v/>
      </c>
      <c r="P992" s="39" t="str">
        <f>IF(OR(A992="",O992="OK",J992=""),"",MAX(N(J992)-M992,0))</f>
        <v/>
      </c>
      <c r="Q992" s="39" t="str">
        <f>IF(A992="",IF(COUNTA(B992:J992)&gt;0,"Référence manquante",""),IF(COUNTIF($A$5:$A$1004,A992)&gt;1,"Référence en double",IF(B992="","Désignation manquante","OK")))</f>
        <v/>
      </c>
      <c r="R992" s="39" t="str">
        <f>IF(OR(O992="Rupture",O992="À commander"),COUNTIF($O$5:O992,"Rupture")+COUNTIF($O$5:O992,"À commander"),"")</f>
        <v/>
      </c>
    </row>
    <row r="993">
      <c r="A993" s="37" t="n"/>
      <c r="B993" s="37" t="n"/>
      <c r="C993" s="37" t="n"/>
      <c r="D993" s="37" t="n"/>
      <c r="E993" s="37" t="n"/>
      <c r="F993" s="37" t="n"/>
      <c r="G993" s="38" t="n"/>
      <c r="H993" s="37" t="n"/>
      <c r="I993" s="37" t="n"/>
      <c r="J993" s="37" t="n"/>
      <c r="K993" s="39" t="str">
        <f>IF(A993="","",SUMIFS(mv_qty,mv_ref,A993,mv_type,"Entrée"))</f>
        <v/>
      </c>
      <c r="L993" s="39" t="str">
        <f>IF(A993="","",SUMIFS(mv_qty,mv_ref,A993,mv_type,"Sortie"))</f>
        <v/>
      </c>
      <c r="M993" s="39" t="str">
        <f>IF(A993="","",ROUND(N(H993)+K993-L993,6))</f>
        <v/>
      </c>
      <c r="N993" s="40" t="str">
        <f>IF(A993="","",M993*N(G993))</f>
        <v/>
      </c>
      <c r="O993" s="39" t="str">
        <f>IF(A993="","",IF(M993&lt;=0,"Rupture",IF(AND(I993&lt;&gt;"",M993&lt;=N(I993)),"À commander","OK")))</f>
        <v/>
      </c>
      <c r="P993" s="39" t="str">
        <f>IF(OR(A993="",O993="OK",J993=""),"",MAX(N(J993)-M993,0))</f>
        <v/>
      </c>
      <c r="Q993" s="39" t="str">
        <f>IF(A993="",IF(COUNTA(B993:J993)&gt;0,"Référence manquante",""),IF(COUNTIF($A$5:$A$1004,A993)&gt;1,"Référence en double",IF(B993="","Désignation manquante","OK")))</f>
        <v/>
      </c>
      <c r="R993" s="39" t="str">
        <f>IF(OR(O993="Rupture",O993="À commander"),COUNTIF($O$5:O993,"Rupture")+COUNTIF($O$5:O993,"À commander"),"")</f>
        <v/>
      </c>
    </row>
    <row r="994">
      <c r="A994" s="37" t="n"/>
      <c r="B994" s="37" t="n"/>
      <c r="C994" s="37" t="n"/>
      <c r="D994" s="37" t="n"/>
      <c r="E994" s="37" t="n"/>
      <c r="F994" s="37" t="n"/>
      <c r="G994" s="38" t="n"/>
      <c r="H994" s="37" t="n"/>
      <c r="I994" s="37" t="n"/>
      <c r="J994" s="37" t="n"/>
      <c r="K994" s="39" t="str">
        <f>IF(A994="","",SUMIFS(mv_qty,mv_ref,A994,mv_type,"Entrée"))</f>
        <v/>
      </c>
      <c r="L994" s="39" t="str">
        <f>IF(A994="","",SUMIFS(mv_qty,mv_ref,A994,mv_type,"Sortie"))</f>
        <v/>
      </c>
      <c r="M994" s="39" t="str">
        <f>IF(A994="","",ROUND(N(H994)+K994-L994,6))</f>
        <v/>
      </c>
      <c r="N994" s="40" t="str">
        <f>IF(A994="","",M994*N(G994))</f>
        <v/>
      </c>
      <c r="O994" s="39" t="str">
        <f>IF(A994="","",IF(M994&lt;=0,"Rupture",IF(AND(I994&lt;&gt;"",M994&lt;=N(I994)),"À commander","OK")))</f>
        <v/>
      </c>
      <c r="P994" s="39" t="str">
        <f>IF(OR(A994="",O994="OK",J994=""),"",MAX(N(J994)-M994,0))</f>
        <v/>
      </c>
      <c r="Q994" s="39" t="str">
        <f>IF(A994="",IF(COUNTA(B994:J994)&gt;0,"Référence manquante",""),IF(COUNTIF($A$5:$A$1004,A994)&gt;1,"Référence en double",IF(B994="","Désignation manquante","OK")))</f>
        <v/>
      </c>
      <c r="R994" s="39" t="str">
        <f>IF(OR(O994="Rupture",O994="À commander"),COUNTIF($O$5:O994,"Rupture")+COUNTIF($O$5:O994,"À commander"),"")</f>
        <v/>
      </c>
    </row>
    <row r="995">
      <c r="A995" s="37" t="n"/>
      <c r="B995" s="37" t="n"/>
      <c r="C995" s="37" t="n"/>
      <c r="D995" s="37" t="n"/>
      <c r="E995" s="37" t="n"/>
      <c r="F995" s="37" t="n"/>
      <c r="G995" s="38" t="n"/>
      <c r="H995" s="37" t="n"/>
      <c r="I995" s="37" t="n"/>
      <c r="J995" s="37" t="n"/>
      <c r="K995" s="39" t="str">
        <f>IF(A995="","",SUMIFS(mv_qty,mv_ref,A995,mv_type,"Entrée"))</f>
        <v/>
      </c>
      <c r="L995" s="39" t="str">
        <f>IF(A995="","",SUMIFS(mv_qty,mv_ref,A995,mv_type,"Sortie"))</f>
        <v/>
      </c>
      <c r="M995" s="39" t="str">
        <f>IF(A995="","",ROUND(N(H995)+K995-L995,6))</f>
        <v/>
      </c>
      <c r="N995" s="40" t="str">
        <f>IF(A995="","",M995*N(G995))</f>
        <v/>
      </c>
      <c r="O995" s="39" t="str">
        <f>IF(A995="","",IF(M995&lt;=0,"Rupture",IF(AND(I995&lt;&gt;"",M995&lt;=N(I995)),"À commander","OK")))</f>
        <v/>
      </c>
      <c r="P995" s="39" t="str">
        <f>IF(OR(A995="",O995="OK",J995=""),"",MAX(N(J995)-M995,0))</f>
        <v/>
      </c>
      <c r="Q995" s="39" t="str">
        <f>IF(A995="",IF(COUNTA(B995:J995)&gt;0,"Référence manquante",""),IF(COUNTIF($A$5:$A$1004,A995)&gt;1,"Référence en double",IF(B995="","Désignation manquante","OK")))</f>
        <v/>
      </c>
      <c r="R995" s="39" t="str">
        <f>IF(OR(O995="Rupture",O995="À commander"),COUNTIF($O$5:O995,"Rupture")+COUNTIF($O$5:O995,"À commander"),"")</f>
        <v/>
      </c>
    </row>
    <row r="996">
      <c r="A996" s="37" t="n"/>
      <c r="B996" s="37" t="n"/>
      <c r="C996" s="37" t="n"/>
      <c r="D996" s="37" t="n"/>
      <c r="E996" s="37" t="n"/>
      <c r="F996" s="37" t="n"/>
      <c r="G996" s="38" t="n"/>
      <c r="H996" s="37" t="n"/>
      <c r="I996" s="37" t="n"/>
      <c r="J996" s="37" t="n"/>
      <c r="K996" s="39" t="str">
        <f>IF(A996="","",SUMIFS(mv_qty,mv_ref,A996,mv_type,"Entrée"))</f>
        <v/>
      </c>
      <c r="L996" s="39" t="str">
        <f>IF(A996="","",SUMIFS(mv_qty,mv_ref,A996,mv_type,"Sortie"))</f>
        <v/>
      </c>
      <c r="M996" s="39" t="str">
        <f>IF(A996="","",ROUND(N(H996)+K996-L996,6))</f>
        <v/>
      </c>
      <c r="N996" s="40" t="str">
        <f>IF(A996="","",M996*N(G996))</f>
        <v/>
      </c>
      <c r="O996" s="39" t="str">
        <f>IF(A996="","",IF(M996&lt;=0,"Rupture",IF(AND(I996&lt;&gt;"",M996&lt;=N(I996)),"À commander","OK")))</f>
        <v/>
      </c>
      <c r="P996" s="39" t="str">
        <f>IF(OR(A996="",O996="OK",J996=""),"",MAX(N(J996)-M996,0))</f>
        <v/>
      </c>
      <c r="Q996" s="39" t="str">
        <f>IF(A996="",IF(COUNTA(B996:J996)&gt;0,"Référence manquante",""),IF(COUNTIF($A$5:$A$1004,A996)&gt;1,"Référence en double",IF(B996="","Désignation manquante","OK")))</f>
        <v/>
      </c>
      <c r="R996" s="39" t="str">
        <f>IF(OR(O996="Rupture",O996="À commander"),COUNTIF($O$5:O996,"Rupture")+COUNTIF($O$5:O996,"À commander"),"")</f>
        <v/>
      </c>
    </row>
    <row r="997">
      <c r="A997" s="37" t="n"/>
      <c r="B997" s="37" t="n"/>
      <c r="C997" s="37" t="n"/>
      <c r="D997" s="37" t="n"/>
      <c r="E997" s="37" t="n"/>
      <c r="F997" s="37" t="n"/>
      <c r="G997" s="38" t="n"/>
      <c r="H997" s="37" t="n"/>
      <c r="I997" s="37" t="n"/>
      <c r="J997" s="37" t="n"/>
      <c r="K997" s="39" t="str">
        <f>IF(A997="","",SUMIFS(mv_qty,mv_ref,A997,mv_type,"Entrée"))</f>
        <v/>
      </c>
      <c r="L997" s="39" t="str">
        <f>IF(A997="","",SUMIFS(mv_qty,mv_ref,A997,mv_type,"Sortie"))</f>
        <v/>
      </c>
      <c r="M997" s="39" t="str">
        <f>IF(A997="","",ROUND(N(H997)+K997-L997,6))</f>
        <v/>
      </c>
      <c r="N997" s="40" t="str">
        <f>IF(A997="","",M997*N(G997))</f>
        <v/>
      </c>
      <c r="O997" s="39" t="str">
        <f>IF(A997="","",IF(M997&lt;=0,"Rupture",IF(AND(I997&lt;&gt;"",M997&lt;=N(I997)),"À commander","OK")))</f>
        <v/>
      </c>
      <c r="P997" s="39" t="str">
        <f>IF(OR(A997="",O997="OK",J997=""),"",MAX(N(J997)-M997,0))</f>
        <v/>
      </c>
      <c r="Q997" s="39" t="str">
        <f>IF(A997="",IF(COUNTA(B997:J997)&gt;0,"Référence manquante",""),IF(COUNTIF($A$5:$A$1004,A997)&gt;1,"Référence en double",IF(B997="","Désignation manquante","OK")))</f>
        <v/>
      </c>
      <c r="R997" s="39" t="str">
        <f>IF(OR(O997="Rupture",O997="À commander"),COUNTIF($O$5:O997,"Rupture")+COUNTIF($O$5:O997,"À commander"),"")</f>
        <v/>
      </c>
    </row>
    <row r="998">
      <c r="A998" s="37" t="n"/>
      <c r="B998" s="37" t="n"/>
      <c r="C998" s="37" t="n"/>
      <c r="D998" s="37" t="n"/>
      <c r="E998" s="37" t="n"/>
      <c r="F998" s="37" t="n"/>
      <c r="G998" s="38" t="n"/>
      <c r="H998" s="37" t="n"/>
      <c r="I998" s="37" t="n"/>
      <c r="J998" s="37" t="n"/>
      <c r="K998" s="39" t="str">
        <f>IF(A998="","",SUMIFS(mv_qty,mv_ref,A998,mv_type,"Entrée"))</f>
        <v/>
      </c>
      <c r="L998" s="39" t="str">
        <f>IF(A998="","",SUMIFS(mv_qty,mv_ref,A998,mv_type,"Sortie"))</f>
        <v/>
      </c>
      <c r="M998" s="39" t="str">
        <f>IF(A998="","",ROUND(N(H998)+K998-L998,6))</f>
        <v/>
      </c>
      <c r="N998" s="40" t="str">
        <f>IF(A998="","",M998*N(G998))</f>
        <v/>
      </c>
      <c r="O998" s="39" t="str">
        <f>IF(A998="","",IF(M998&lt;=0,"Rupture",IF(AND(I998&lt;&gt;"",M998&lt;=N(I998)),"À commander","OK")))</f>
        <v/>
      </c>
      <c r="P998" s="39" t="str">
        <f>IF(OR(A998="",O998="OK",J998=""),"",MAX(N(J998)-M998,0))</f>
        <v/>
      </c>
      <c r="Q998" s="39" t="str">
        <f>IF(A998="",IF(COUNTA(B998:J998)&gt;0,"Référence manquante",""),IF(COUNTIF($A$5:$A$1004,A998)&gt;1,"Référence en double",IF(B998="","Désignation manquante","OK")))</f>
        <v/>
      </c>
      <c r="R998" s="39" t="str">
        <f>IF(OR(O998="Rupture",O998="À commander"),COUNTIF($O$5:O998,"Rupture")+COUNTIF($O$5:O998,"À commander"),"")</f>
        <v/>
      </c>
    </row>
    <row r="999">
      <c r="A999" s="37" t="n"/>
      <c r="B999" s="37" t="n"/>
      <c r="C999" s="37" t="n"/>
      <c r="D999" s="37" t="n"/>
      <c r="E999" s="37" t="n"/>
      <c r="F999" s="37" t="n"/>
      <c r="G999" s="38" t="n"/>
      <c r="H999" s="37" t="n"/>
      <c r="I999" s="37" t="n"/>
      <c r="J999" s="37" t="n"/>
      <c r="K999" s="39" t="str">
        <f>IF(A999="","",SUMIFS(mv_qty,mv_ref,A999,mv_type,"Entrée"))</f>
        <v/>
      </c>
      <c r="L999" s="39" t="str">
        <f>IF(A999="","",SUMIFS(mv_qty,mv_ref,A999,mv_type,"Sortie"))</f>
        <v/>
      </c>
      <c r="M999" s="39" t="str">
        <f>IF(A999="","",ROUND(N(H999)+K999-L999,6))</f>
        <v/>
      </c>
      <c r="N999" s="40" t="str">
        <f>IF(A999="","",M999*N(G999))</f>
        <v/>
      </c>
      <c r="O999" s="39" t="str">
        <f>IF(A999="","",IF(M999&lt;=0,"Rupture",IF(AND(I999&lt;&gt;"",M999&lt;=N(I999)),"À commander","OK")))</f>
        <v/>
      </c>
      <c r="P999" s="39" t="str">
        <f>IF(OR(A999="",O999="OK",J999=""),"",MAX(N(J999)-M999,0))</f>
        <v/>
      </c>
      <c r="Q999" s="39" t="str">
        <f>IF(A999="",IF(COUNTA(B999:J999)&gt;0,"Référence manquante",""),IF(COUNTIF($A$5:$A$1004,A999)&gt;1,"Référence en double",IF(B999="","Désignation manquante","OK")))</f>
        <v/>
      </c>
      <c r="R999" s="39" t="str">
        <f>IF(OR(O999="Rupture",O999="À commander"),COUNTIF($O$5:O999,"Rupture")+COUNTIF($O$5:O999,"À commander"),"")</f>
        <v/>
      </c>
    </row>
    <row r="1000">
      <c r="A1000" s="37" t="n"/>
      <c r="B1000" s="37" t="n"/>
      <c r="C1000" s="37" t="n"/>
      <c r="D1000" s="37" t="n"/>
      <c r="E1000" s="37" t="n"/>
      <c r="F1000" s="37" t="n"/>
      <c r="G1000" s="38" t="n"/>
      <c r="H1000" s="37" t="n"/>
      <c r="I1000" s="37" t="n"/>
      <c r="J1000" s="37" t="n"/>
      <c r="K1000" s="39" t="str">
        <f>IF(A1000="","",SUMIFS(mv_qty,mv_ref,A1000,mv_type,"Entrée"))</f>
        <v/>
      </c>
      <c r="L1000" s="39" t="str">
        <f>IF(A1000="","",SUMIFS(mv_qty,mv_ref,A1000,mv_type,"Sortie"))</f>
        <v/>
      </c>
      <c r="M1000" s="39" t="str">
        <f>IF(A1000="","",ROUND(N(H1000)+K1000-L1000,6))</f>
        <v/>
      </c>
      <c r="N1000" s="40" t="str">
        <f>IF(A1000="","",M1000*N(G1000))</f>
        <v/>
      </c>
      <c r="O1000" s="39" t="str">
        <f>IF(A1000="","",IF(M1000&lt;=0,"Rupture",IF(AND(I1000&lt;&gt;"",M1000&lt;=N(I1000)),"À commander","OK")))</f>
        <v/>
      </c>
      <c r="P1000" s="39" t="str">
        <f>IF(OR(A1000="",O1000="OK",J1000=""),"",MAX(N(J1000)-M1000,0))</f>
        <v/>
      </c>
      <c r="Q1000" s="39" t="str">
        <f>IF(A1000="",IF(COUNTA(B1000:J1000)&gt;0,"Référence manquante",""),IF(COUNTIF($A$5:$A$1004,A1000)&gt;1,"Référence en double",IF(B1000="","Désignation manquante","OK")))</f>
        <v/>
      </c>
      <c r="R1000" s="39" t="str">
        <f>IF(OR(O1000="Rupture",O1000="À commander"),COUNTIF($O$5:O1000,"Rupture")+COUNTIF($O$5:O1000,"À commander"),"")</f>
        <v/>
      </c>
    </row>
    <row r="1001">
      <c r="A1001" s="37" t="n"/>
      <c r="B1001" s="37" t="n"/>
      <c r="C1001" s="37" t="n"/>
      <c r="D1001" s="37" t="n"/>
      <c r="E1001" s="37" t="n"/>
      <c r="F1001" s="37" t="n"/>
      <c r="G1001" s="38" t="n"/>
      <c r="H1001" s="37" t="n"/>
      <c r="I1001" s="37" t="n"/>
      <c r="J1001" s="37" t="n"/>
      <c r="K1001" s="39" t="str">
        <f>IF(A1001="","",SUMIFS(mv_qty,mv_ref,A1001,mv_type,"Entrée"))</f>
        <v/>
      </c>
      <c r="L1001" s="39" t="str">
        <f>IF(A1001="","",SUMIFS(mv_qty,mv_ref,A1001,mv_type,"Sortie"))</f>
        <v/>
      </c>
      <c r="M1001" s="39" t="str">
        <f>IF(A1001="","",ROUND(N(H1001)+K1001-L1001,6))</f>
        <v/>
      </c>
      <c r="N1001" s="40" t="str">
        <f>IF(A1001="","",M1001*N(G1001))</f>
        <v/>
      </c>
      <c r="O1001" s="39" t="str">
        <f>IF(A1001="","",IF(M1001&lt;=0,"Rupture",IF(AND(I1001&lt;&gt;"",M1001&lt;=N(I1001)),"À commander","OK")))</f>
        <v/>
      </c>
      <c r="P1001" s="39" t="str">
        <f>IF(OR(A1001="",O1001="OK",J1001=""),"",MAX(N(J1001)-M1001,0))</f>
        <v/>
      </c>
      <c r="Q1001" s="39" t="str">
        <f>IF(A1001="",IF(COUNTA(B1001:J1001)&gt;0,"Référence manquante",""),IF(COUNTIF($A$5:$A$1004,A1001)&gt;1,"Référence en double",IF(B1001="","Désignation manquante","OK")))</f>
        <v/>
      </c>
      <c r="R1001" s="39" t="str">
        <f>IF(OR(O1001="Rupture",O1001="À commander"),COUNTIF($O$5:O1001,"Rupture")+COUNTIF($O$5:O1001,"À commander"),"")</f>
        <v/>
      </c>
    </row>
    <row r="1002">
      <c r="A1002" s="37" t="n"/>
      <c r="B1002" s="37" t="n"/>
      <c r="C1002" s="37" t="n"/>
      <c r="D1002" s="37" t="n"/>
      <c r="E1002" s="37" t="n"/>
      <c r="F1002" s="37" t="n"/>
      <c r="G1002" s="38" t="n"/>
      <c r="H1002" s="37" t="n"/>
      <c r="I1002" s="37" t="n"/>
      <c r="J1002" s="37" t="n"/>
      <c r="K1002" s="39" t="str">
        <f>IF(A1002="","",SUMIFS(mv_qty,mv_ref,A1002,mv_type,"Entrée"))</f>
        <v/>
      </c>
      <c r="L1002" s="39" t="str">
        <f>IF(A1002="","",SUMIFS(mv_qty,mv_ref,A1002,mv_type,"Sortie"))</f>
        <v/>
      </c>
      <c r="M1002" s="39" t="str">
        <f>IF(A1002="","",ROUND(N(H1002)+K1002-L1002,6))</f>
        <v/>
      </c>
      <c r="N1002" s="40" t="str">
        <f>IF(A1002="","",M1002*N(G1002))</f>
        <v/>
      </c>
      <c r="O1002" s="39" t="str">
        <f>IF(A1002="","",IF(M1002&lt;=0,"Rupture",IF(AND(I1002&lt;&gt;"",M1002&lt;=N(I1002)),"À commander","OK")))</f>
        <v/>
      </c>
      <c r="P1002" s="39" t="str">
        <f>IF(OR(A1002="",O1002="OK",J1002=""),"",MAX(N(J1002)-M1002,0))</f>
        <v/>
      </c>
      <c r="Q1002" s="39" t="str">
        <f>IF(A1002="",IF(COUNTA(B1002:J1002)&gt;0,"Référence manquante",""),IF(COUNTIF($A$5:$A$1004,A1002)&gt;1,"Référence en double",IF(B1002="","Désignation manquante","OK")))</f>
        <v/>
      </c>
      <c r="R1002" s="39" t="str">
        <f>IF(OR(O1002="Rupture",O1002="À commander"),COUNTIF($O$5:O1002,"Rupture")+COUNTIF($O$5:O1002,"À commander"),"")</f>
        <v/>
      </c>
    </row>
    <row r="1003">
      <c r="A1003" s="37" t="n"/>
      <c r="B1003" s="37" t="n"/>
      <c r="C1003" s="37" t="n"/>
      <c r="D1003" s="37" t="n"/>
      <c r="E1003" s="37" t="n"/>
      <c r="F1003" s="37" t="n"/>
      <c r="G1003" s="38" t="n"/>
      <c r="H1003" s="37" t="n"/>
      <c r="I1003" s="37" t="n"/>
      <c r="J1003" s="37" t="n"/>
      <c r="K1003" s="39" t="str">
        <f>IF(A1003="","",SUMIFS(mv_qty,mv_ref,A1003,mv_type,"Entrée"))</f>
        <v/>
      </c>
      <c r="L1003" s="39" t="str">
        <f>IF(A1003="","",SUMIFS(mv_qty,mv_ref,A1003,mv_type,"Sortie"))</f>
        <v/>
      </c>
      <c r="M1003" s="39" t="str">
        <f>IF(A1003="","",ROUND(N(H1003)+K1003-L1003,6))</f>
        <v/>
      </c>
      <c r="N1003" s="40" t="str">
        <f>IF(A1003="","",M1003*N(G1003))</f>
        <v/>
      </c>
      <c r="O1003" s="39" t="str">
        <f>IF(A1003="","",IF(M1003&lt;=0,"Rupture",IF(AND(I1003&lt;&gt;"",M1003&lt;=N(I1003)),"À commander","OK")))</f>
        <v/>
      </c>
      <c r="P1003" s="39" t="str">
        <f>IF(OR(A1003="",O1003="OK",J1003=""),"",MAX(N(J1003)-M1003,0))</f>
        <v/>
      </c>
      <c r="Q1003" s="39" t="str">
        <f>IF(A1003="",IF(COUNTA(B1003:J1003)&gt;0,"Référence manquante",""),IF(COUNTIF($A$5:$A$1004,A1003)&gt;1,"Référence en double",IF(B1003="","Désignation manquante","OK")))</f>
        <v/>
      </c>
      <c r="R1003" s="39" t="str">
        <f>IF(OR(O1003="Rupture",O1003="À commander"),COUNTIF($O$5:O1003,"Rupture")+COUNTIF($O$5:O1003,"À commander"),"")</f>
        <v/>
      </c>
    </row>
    <row r="1004">
      <c r="A1004" s="37" t="n"/>
      <c r="B1004" s="37" t="n"/>
      <c r="C1004" s="37" t="n"/>
      <c r="D1004" s="37" t="n"/>
      <c r="E1004" s="37" t="n"/>
      <c r="F1004" s="37" t="n"/>
      <c r="G1004" s="38" t="n"/>
      <c r="H1004" s="37" t="n"/>
      <c r="I1004" s="37" t="n"/>
      <c r="J1004" s="37" t="n"/>
      <c r="K1004" s="39" t="str">
        <f>IF(A1004="","",SUMIFS(mv_qty,mv_ref,A1004,mv_type,"Entrée"))</f>
        <v/>
      </c>
      <c r="L1004" s="39" t="str">
        <f>IF(A1004="","",SUMIFS(mv_qty,mv_ref,A1004,mv_type,"Sortie"))</f>
        <v/>
      </c>
      <c r="M1004" s="39" t="str">
        <f>IF(A1004="","",ROUND(N(H1004)+K1004-L1004,6))</f>
        <v/>
      </c>
      <c r="N1004" s="40" t="str">
        <f>IF(A1004="","",M1004*N(G1004))</f>
        <v/>
      </c>
      <c r="O1004" s="39" t="str">
        <f>IF(A1004="","",IF(M1004&lt;=0,"Rupture",IF(AND(I1004&lt;&gt;"",M1004&lt;=N(I1004)),"À commander","OK")))</f>
        <v/>
      </c>
      <c r="P1004" s="39" t="str">
        <f>IF(OR(A1004="",O1004="OK",J1004=""),"",MAX(N(J1004)-M1004,0))</f>
        <v/>
      </c>
      <c r="Q1004" s="39" t="str">
        <f>IF(A1004="",IF(COUNTA(B1004:J1004)&gt;0,"Référence manquante",""),IF(COUNTIF($A$5:$A$1004,A1004)&gt;1,"Référence en double",IF(B1004="","Désignation manquante","OK")))</f>
        <v/>
      </c>
      <c r="R1004" s="39" t="str">
        <f>IF(OR(O1004="Rupture",O1004="À commander"),COUNTIF($O$5:O1004,"Rupture")+COUNTIF($O$5:O1004,"À commander"),"")</f>
        <v/>
      </c>
    </row>
  </sheetData>
  <autoFilter ref="A4:Q1004"/>
  <mergeCells count="1">
    <mergeCell ref="A2:Q2"/>
  </mergeCells>
  <conditionalFormatting sqref="G5:G1004 N5:N1004">
    <cfRule type="expression" priority="1" dxfId="0">
      <formula>p_currency="MAD"</formula>
    </cfRule>
    <cfRule type="expression" priority="2" dxfId="1">
      <formula>p_currency="EUR"</formula>
    </cfRule>
    <cfRule type="expression" priority="3" dxfId="2">
      <formula>p_currency="USD"</formula>
    </cfRule>
  </conditionalFormatting>
  <conditionalFormatting sqref="O5:O1004">
    <cfRule type="expression" priority="4" dxfId="3">
      <formula>$O5="Rupture"</formula>
    </cfRule>
    <cfRule type="expression" priority="5" dxfId="4">
      <formula>$O5="À commander"</formula>
    </cfRule>
    <cfRule type="expression" priority="6" dxfId="5">
      <formula>$O5="OK"</formula>
    </cfRule>
  </conditionalFormatting>
  <conditionalFormatting sqref="Q5:Q1004">
    <cfRule type="expression" priority="7" dxfId="3">
      <formula>AND($Q5&lt;&gt;"",$Q5&lt;&gt;"OK")</formula>
    </cfRule>
    <cfRule type="expression" priority="8" dxfId="6">
      <formula>$Q5="OK"</formula>
    </cfRule>
  </conditionalFormatting>
  <dataValidations count="8">
    <dataValidation sqref="C5:C1004" showDropDown="0" showInputMessage="1" showErrorMessage="1" allowBlank="1" errorTitle="Catégorie" error="Cette catégorie n'existe pas. Ajoutez-la dans la feuille « Paramètres »." promptTitle="Catégorie" prompt="Choisissez une catégorie (liste modifiable dans « Paramètres »)." type="list">
      <formula1>=lst_cat</formula1>
    </dataValidation>
    <dataValidation sqref="D5:D1004" showDropDown="0" showInputMessage="1" showErrorMessage="1" allowBlank="1" errorTitle="Unité" error="Cette unité n'existe pas. Ajoutez-la dans la feuille « Paramètres »." promptTitle="Unité" prompt="Choisissez l'unité de stock : pièce, kg, m..." type="list">
      <formula1>=lst_unit</formula1>
    </dataValidation>
    <dataValidation sqref="E5:E1004" showDropDown="0" showInputMessage="1" showErrorMessage="1" allowBlank="1" errorTitle="Emplacement" error="Cet emplacement n'existe pas. Ajoutez-le dans la feuille « Paramètres »." promptTitle="Emplacement" prompt="Où l'article est rangé (liste modifiable dans « Paramètres »)." type="list">
      <formula1>=lst_loc</formula1>
    </dataValidation>
    <dataValidation sqref="G5:G1004" showDropDown="0" showInputMessage="1" showErrorMessage="1" allowBlank="1" errorTitle="Prix unitaire" error="Saisissez un nombre positif ou nul." promptTitle="Prix unitaire" prompt="Coût d'achat d'une unité, hors taxes. Sert à valoriser le stock." type="decimal" operator="greaterThanOrEqual">
      <formula1>0</formula1>
    </dataValidation>
    <dataValidation sqref="H5:H1004" showDropDown="0" showInputMessage="1" showErrorMessage="1" allowBlank="1" errorTitle="Stock initial" error="Saisissez un nombre positif ou nul." promptTitle="Stock initial" prompt="Quantité réellement en stock le jour où vous commencez le fichier." type="decimal" operator="greaterThanOrEqual">
      <formula1>0</formula1>
    </dataValidation>
    <dataValidation sqref="I5:I1004" showDropDown="0" showInputMessage="1" showErrorMessage="1" allowBlank="1" errorTitle="Seuil d'alerte" error="Saisissez un nombre positif ou nul." promptTitle="Seuil d'alerte" prompt="En dessous ou à ce niveau, l'article passe en « À commander »." type="decimal" operator="greaterThanOrEqual">
      <formula1>0</formula1>
    </dataValidation>
    <dataValidation sqref="J5:J1004" showDropDown="0" showInputMessage="1" showErrorMessage="1" allowBlank="1" errorTitle="Stock cible" error="Saisissez un nombre positif ou nul." promptTitle="Stock cible" prompt="Facultatif. Niveau à atteindre après une commande : la quantité à commander se calcule à partir de lui." type="decimal" operator="greaterThanOrEqual">
      <formula1>0</formula1>
    </dataValidation>
    <dataValidation sqref="A5:A1004" showDropDown="0" showInputMessage="1" showErrorMessage="1" allowBlank="1" errorTitle="Référence en double" error="Cette référence existe déjà dans la liste." promptTitle="Référence" prompt="Code unique de l'article, par exemple VIS-M6-20." type="custom">
      <formula1>COUNTIF($A$5:$A$1004,A5)=1</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FF1D4ED8"/>
    <outlinePr summaryBelow="1" summaryRight="1"/>
    <pageSetUpPr fitToPage="1"/>
  </sheetPr>
  <dimension ref="A1:M5004"/>
  <sheetViews>
    <sheetView showGridLines="1" tabSelected="0" zoomScale="100"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14" customWidth="1" min="3" max="3"/>
    <col width="30" customWidth="1" min="4" max="4"/>
    <col width="9" customWidth="1" min="5" max="5"/>
    <col width="8" customWidth="1" min="6" max="6"/>
    <col width="14" customWidth="1" min="7" max="7"/>
    <col width="22" customWidth="1" min="8" max="8"/>
    <col width="26" customWidth="1" min="9" max="9"/>
    <col width="13" customWidth="1" min="10" max="10"/>
    <col width="12" customWidth="1" min="11" max="11"/>
    <col width="18" customWidth="1" min="12" max="12"/>
    <col hidden="1" width="6" customWidth="1" min="13" max="13"/>
  </cols>
  <sheetData>
    <row r="1" ht="26" customHeight="1">
      <c r="A1" s="32" t="inlineStr">
        <is>
          <t>Mouvements de stock (entrées et sorties)</t>
        </is>
      </c>
      <c r="K1" s="33" t="inlineStr">
        <is>
          <t>Saisie</t>
        </is>
      </c>
      <c r="L1" s="34" t="inlineStr">
        <is>
          <t>Calcul auto</t>
        </is>
      </c>
    </row>
    <row r="2" ht="30" customHeight="1">
      <c r="A2" s="35" t="inlineStr">
        <is>
          <t>Une ligne par mouvement, dans l'ordre des dates. Saisissez date, type, référence et quantité : désignation, unité, valeur, stock et contrôle se remplissent seuls.</t>
        </is>
      </c>
    </row>
    <row r="4" ht="32" customHeight="1">
      <c r="A4" s="36" t="inlineStr">
        <is>
          <t>Date *</t>
        </is>
      </c>
      <c r="B4" s="36" t="inlineStr">
        <is>
          <t>Type *</t>
        </is>
      </c>
      <c r="C4" s="36" t="inlineStr">
        <is>
          <t>Référence *</t>
        </is>
      </c>
      <c r="D4" s="36" t="inlineStr">
        <is>
          <t>Désignation</t>
        </is>
      </c>
      <c r="E4" s="36" t="inlineStr">
        <is>
          <t>Quantité *</t>
        </is>
      </c>
      <c r="F4" s="36" t="inlineStr">
        <is>
          <t>Unité</t>
        </is>
      </c>
      <c r="G4" s="36" t="inlineStr">
        <is>
          <t>N° de document</t>
        </is>
      </c>
      <c r="H4" s="36" t="inlineStr">
        <is>
          <t>Fournisseur / client / service</t>
        </is>
      </c>
      <c r="I4" s="36" t="inlineStr">
        <is>
          <t>Commentaire</t>
        </is>
      </c>
      <c r="J4" s="36" t="str">
        <f>"Valeur ("&amp;p_currency&amp;")"</f>
        <v>Valeur (EUR)</v>
      </c>
      <c r="K4" s="36" t="inlineStr">
        <is>
          <t>Stock après mouvement</t>
        </is>
      </c>
      <c r="L4" s="36" t="inlineStr">
        <is>
          <t>Contrôle</t>
        </is>
      </c>
      <c r="M4" s="36" t="inlineStr">
        <is>
          <t>Clé</t>
        </is>
      </c>
    </row>
    <row r="5">
      <c r="A5" s="41" t="n">
        <v>46024</v>
      </c>
      <c r="B5" s="37" t="inlineStr">
        <is>
          <t>Sortie</t>
        </is>
      </c>
      <c r="C5" s="37" t="inlineStr">
        <is>
          <t>CAB-2.5</t>
        </is>
      </c>
      <c r="D5" s="39" t="str">
        <f>IF(C5="","",IFERROR(INDEX(art_des,MATCH(C5,art_ref,0))&amp;"","Référence inconnue"))</f>
        <v>Câble électrique 2,5 mm²</v>
      </c>
      <c r="E5" s="37" t="n">
        <v>48</v>
      </c>
      <c r="F5" s="39" t="str">
        <f>IF(C5="","",IFERROR(INDEX(art_unit,MATCH(C5,art_ref,0))&amp;"",""))</f>
        <v>m</v>
      </c>
      <c r="G5" s="37" t="inlineStr">
        <is>
          <t>BS-2026-0001</t>
        </is>
      </c>
      <c r="H5" s="37" t="inlineStr">
        <is>
          <t>Atelier usinage</t>
        </is>
      </c>
      <c r="I5" s="37" t="n"/>
      <c r="J5" s="40">
        <f>IF(OR(C5="",NOT(ISNUMBER(E5))),"",IFERROR(E5*N(INDEX(art_price,MATCH(C5,art_ref,0))),""))</f>
        <v>32.64</v>
      </c>
      <c r="K5" s="39">
        <f>IF(OR(C5="",NOT(ISNUMBER(E5))),"",IFERROR(ROUND(N(INDEX(art_init,MATCH(C5,art_ref,0)))+SUMIFS($E$5:E5,$C$5:C5,C5,$B$5:B5,"Entrée")-SUMIFS($E$5:E5,$C$5:C5,C5,$B$5:B5,"Sortie"),6),""))</f>
        <v>252.0</v>
      </c>
      <c r="L5" s="39" t="str">
        <f>IF(COUNTA(A5:C5,E5)=0,"",IF(COUNTA(A5:C5,E5)&lt;4,"Ligne incomplète",IF(NOT(ISNUMBER(A5)),"Date invalide",IF(AND(B5&lt;&gt;"Entrée",B5&lt;&gt;"Sortie"),"Type inconnu",IF(ISNA(MATCH(C5,art_ref,0)),"Référence inconnue",IF(OR(NOT(ISNUMBER(E5)),N(E5)&lt;=0),"Quantité invalide",IF(K5&lt;0,"Stock négatif",IF(AND(ISNUMBER(A4),A5&lt;A4),"Date hors ordre","OK"))))))))</f>
        <v>OK</v>
      </c>
      <c r="M5" s="39" t="str">
        <f>IF(C5="","",C5&amp;"#"&amp;COUNTIF($C$5:C5,C5))</f>
        <v>CAB-2.5#1</v>
      </c>
    </row>
    <row r="6">
      <c r="A6" s="41" t="n">
        <v>46026</v>
      </c>
      <c r="B6" s="37" t="inlineStr">
        <is>
          <t>Sortie</t>
        </is>
      </c>
      <c r="C6" s="37" t="inlineStr">
        <is>
          <t>DIS-125</t>
        </is>
      </c>
      <c r="D6" s="39" t="str">
        <f>IF(C6="","",IFERROR(INDEX(art_des,MATCH(C6,art_ref,0))&amp;"","Référence inconnue"))</f>
        <v>Disque à tronçonner 125 mm</v>
      </c>
      <c r="E6" s="37" t="n">
        <v>17</v>
      </c>
      <c r="F6" s="39" t="str">
        <f>IF(C6="","",IFERROR(INDEX(art_unit,MATCH(C6,art_ref,0))&amp;"",""))</f>
        <v>pièce</v>
      </c>
      <c r="G6" s="37" t="inlineStr">
        <is>
          <t>BS-2026-0002</t>
        </is>
      </c>
      <c r="H6" s="37" t="inlineStr">
        <is>
          <t>Atelier montage</t>
        </is>
      </c>
      <c r="I6" s="37" t="n"/>
      <c r="J6" s="40">
        <f>IF(OR(C6="",NOT(ISNUMBER(E6))),"",IFERROR(E6*N(INDEX(art_price,MATCH(C6,art_ref,0))),""))</f>
        <v>32.3</v>
      </c>
      <c r="K6" s="39">
        <f>IF(OR(C6="",NOT(ISNUMBER(E6))),"",IFERROR(ROUND(N(INDEX(art_init,MATCH(C6,art_ref,0)))+SUMIFS($E$5:E6,$C$5:C6,C6,$B$5:B6,"Entrée")-SUMIFS($E$5:E6,$C$5:C6,C6,$B$5:B6,"Sortie"),6),""))</f>
        <v>133.0</v>
      </c>
      <c r="L6" s="39" t="str">
        <f>IF(COUNTA(A6:C6,E6)=0,"",IF(COUNTA(A6:C6,E6)&lt;4,"Ligne incomplète",IF(NOT(ISNUMBER(A6)),"Date invalide",IF(AND(B6&lt;&gt;"Entrée",B6&lt;&gt;"Sortie"),"Type inconnu",IF(ISNA(MATCH(C6,art_ref,0)),"Référence inconnue",IF(OR(NOT(ISNUMBER(E6)),N(E6)&lt;=0),"Quantité invalide",IF(K6&lt;0,"Stock négatif",IF(AND(ISNUMBER(A5),A6&lt;A5),"Date hors ordre","OK"))))))))</f>
        <v>OK</v>
      </c>
      <c r="M6" s="39" t="str">
        <f>IF(C6="","",C6&amp;"#"&amp;COUNTIF($C$5:C6,C6))</f>
        <v>DIS-125#1</v>
      </c>
    </row>
    <row r="7">
      <c r="A7" s="41" t="n">
        <v>46026</v>
      </c>
      <c r="B7" s="37" t="inlineStr">
        <is>
          <t>Sortie</t>
        </is>
      </c>
      <c r="C7" s="37" t="inlineStr">
        <is>
          <t>RUB-50</t>
        </is>
      </c>
      <c r="D7" s="39" t="str">
        <f>IF(C7="","",IFERROR(INDEX(art_des,MATCH(C7,art_ref,0))&amp;"","Référence inconnue"))</f>
        <v>Ruban adhésif 50 mm x 66 m</v>
      </c>
      <c r="E7" s="37" t="n">
        <v>13</v>
      </c>
      <c r="F7" s="39" t="str">
        <f>IF(C7="","",IFERROR(INDEX(art_unit,MATCH(C7,art_ref,0))&amp;"",""))</f>
        <v>rouleau</v>
      </c>
      <c r="G7" s="37" t="inlineStr">
        <is>
          <t>BS-2026-0003</t>
        </is>
      </c>
      <c r="H7" s="37" t="inlineStr">
        <is>
          <t>Maintenance</t>
        </is>
      </c>
      <c r="I7" s="37" t="n"/>
      <c r="J7" s="40">
        <f>IF(OR(C7="",NOT(ISNUMBER(E7))),"",IFERROR(E7*N(INDEX(art_price,MATCH(C7,art_ref,0))),""))</f>
        <v>18.2</v>
      </c>
      <c r="K7" s="39">
        <f>IF(OR(C7="",NOT(ISNUMBER(E7))),"",IFERROR(ROUND(N(INDEX(art_init,MATCH(C7,art_ref,0)))+SUMIFS($E$5:E7,$C$5:C7,C7,$B$5:B7,"Entrée")-SUMIFS($E$5:E7,$C$5:C7,C7,$B$5:B7,"Sortie"),6),""))</f>
        <v>67.0</v>
      </c>
      <c r="L7" s="39" t="str">
        <f>IF(COUNTA(A7:C7,E7)=0,"",IF(COUNTA(A7:C7,E7)&lt;4,"Ligne incomplète",IF(NOT(ISNUMBER(A7)),"Date invalide",IF(AND(B7&lt;&gt;"Entrée",B7&lt;&gt;"Sortie"),"Type inconnu",IF(ISNA(MATCH(C7,art_ref,0)),"Référence inconnue",IF(OR(NOT(ISNUMBER(E7)),N(E7)&lt;=0),"Quantité invalide",IF(K7&lt;0,"Stock négatif",IF(AND(ISNUMBER(A6),A7&lt;A6),"Date hors ordre","OK"))))))))</f>
        <v>OK</v>
      </c>
      <c r="M7" s="39" t="str">
        <f>IF(C7="","",C7&amp;"#"&amp;COUNTIF($C$5:C7,C7))</f>
        <v>RUB-50#1</v>
      </c>
    </row>
    <row r="8">
      <c r="A8" s="41" t="n">
        <v>46026</v>
      </c>
      <c r="B8" s="37" t="inlineStr">
        <is>
          <t>Sortie</t>
        </is>
      </c>
      <c r="C8" s="37" t="inlineStr">
        <is>
          <t>TOL-ACI-2</t>
        </is>
      </c>
      <c r="D8" s="39" t="str">
        <f>IF(C8="","",IFERROR(INDEX(art_des,MATCH(C8,art_ref,0))&amp;"","Référence inconnue"))</f>
        <v>Tôle acier 2 mm 1000 x 2000</v>
      </c>
      <c r="E8" s="37" t="n">
        <v>8</v>
      </c>
      <c r="F8" s="39" t="str">
        <f>IF(C8="","",IFERROR(INDEX(art_unit,MATCH(C8,art_ref,0))&amp;"",""))</f>
        <v>feuille</v>
      </c>
      <c r="G8" s="37" t="inlineStr">
        <is>
          <t>BS-2026-0004</t>
        </is>
      </c>
      <c r="H8" s="37" t="inlineStr">
        <is>
          <t>Expédition</t>
        </is>
      </c>
      <c r="I8" s="37" t="n"/>
      <c r="J8" s="40">
        <f>IF(OR(C8="",NOT(ISNUMBER(E8))),"",IFERROR(E8*N(INDEX(art_price,MATCH(C8,art_ref,0))),""))</f>
        <v>388.0</v>
      </c>
      <c r="K8" s="39">
        <f>IF(OR(C8="",NOT(ISNUMBER(E8))),"",IFERROR(ROUND(N(INDEX(art_init,MATCH(C8,art_ref,0)))+SUMIFS($E$5:E8,$C$5:C8,C8,$B$5:B8,"Entrée")-SUMIFS($E$5:E8,$C$5:C8,C8,$B$5:B8,"Sortie"),6),""))</f>
        <v>32.0</v>
      </c>
      <c r="L8" s="39" t="str">
        <f>IF(COUNTA(A8:C8,E8)=0,"",IF(COUNTA(A8:C8,E8)&lt;4,"Ligne incomplète",IF(NOT(ISNUMBER(A8)),"Date invalide",IF(AND(B8&lt;&gt;"Entrée",B8&lt;&gt;"Sortie"),"Type inconnu",IF(ISNA(MATCH(C8,art_ref,0)),"Référence inconnue",IF(OR(NOT(ISNUMBER(E8)),N(E8)&lt;=0),"Quantité invalide",IF(K8&lt;0,"Stock négatif",IF(AND(ISNUMBER(A7),A8&lt;A7),"Date hors ordre","OK"))))))))</f>
        <v>OK</v>
      </c>
      <c r="M8" s="39" t="str">
        <f>IF(C8="","",C8&amp;"#"&amp;COUNTIF($C$5:C8,C8))</f>
        <v>TOL-ACI-2#1</v>
      </c>
    </row>
    <row r="9">
      <c r="A9" s="41" t="n">
        <v>46027</v>
      </c>
      <c r="B9" s="37" t="inlineStr">
        <is>
          <t>Sortie</t>
        </is>
      </c>
      <c r="C9" s="37" t="inlineStr">
        <is>
          <t>BOR-WAGO-3</t>
        </is>
      </c>
      <c r="D9" s="39" t="str">
        <f>IF(C9="","",IFERROR(INDEX(art_des,MATCH(C9,art_ref,0))&amp;"","Référence inconnue"))</f>
        <v>Borne de connexion 3 entrées</v>
      </c>
      <c r="E9" s="37" t="n">
        <v>34</v>
      </c>
      <c r="F9" s="39" t="str">
        <f>IF(C9="","",IFERROR(INDEX(art_unit,MATCH(C9,art_ref,0))&amp;"",""))</f>
        <v>pièce</v>
      </c>
      <c r="G9" s="37" t="inlineStr">
        <is>
          <t>BS-2026-0005</t>
        </is>
      </c>
      <c r="H9" s="37" t="inlineStr">
        <is>
          <t>Maintenance</t>
        </is>
      </c>
      <c r="I9" s="37" t="n"/>
      <c r="J9" s="40">
        <f>IF(OR(C9="",NOT(ISNUMBER(E9))),"",IFERROR(E9*N(INDEX(art_price,MATCH(C9,art_ref,0))),""))</f>
        <v>14.28</v>
      </c>
      <c r="K9" s="39">
        <f>IF(OR(C9="",NOT(ISNUMBER(E9))),"",IFERROR(ROUND(N(INDEX(art_init,MATCH(C9,art_ref,0)))+SUMIFS($E$5:E9,$C$5:C9,C9,$B$5:B9,"Entrée")-SUMIFS($E$5:E9,$C$5:C9,C9,$B$5:B9,"Sortie"),6),""))</f>
        <v>166.0</v>
      </c>
      <c r="L9" s="39" t="str">
        <f>IF(COUNTA(A9:C9,E9)=0,"",IF(COUNTA(A9:C9,E9)&lt;4,"Ligne incomplète",IF(NOT(ISNUMBER(A9)),"Date invalide",IF(AND(B9&lt;&gt;"Entrée",B9&lt;&gt;"Sortie"),"Type inconnu",IF(ISNA(MATCH(C9,art_ref,0)),"Référence inconnue",IF(OR(NOT(ISNUMBER(E9)),N(E9)&lt;=0),"Quantité invalide",IF(K9&lt;0,"Stock négatif",IF(AND(ISNUMBER(A8),A9&lt;A8),"Date hors ordre","OK"))))))))</f>
        <v>OK</v>
      </c>
      <c r="M9" s="39" t="str">
        <f>IF(C9="","",C9&amp;"#"&amp;COUNTIF($C$5:C9,C9))</f>
        <v>BOR-WAGO-3#1</v>
      </c>
    </row>
    <row r="10">
      <c r="A10" s="41" t="n">
        <v>46027</v>
      </c>
      <c r="B10" s="37" t="inlineStr">
        <is>
          <t>Sortie</t>
        </is>
      </c>
      <c r="C10" s="37" t="inlineStr">
        <is>
          <t>CAR-40-30</t>
        </is>
      </c>
      <c r="D10" s="39" t="str">
        <f>IF(C10="","",IFERROR(INDEX(art_des,MATCH(C10,art_ref,0))&amp;"","Référence inconnue"))</f>
        <v>Carton double cannelure 40 x 30 x 20</v>
      </c>
      <c r="E10" s="37" t="n">
        <v>115</v>
      </c>
      <c r="F10" s="39" t="str">
        <f>IF(C10="","",IFERROR(INDEX(art_unit,MATCH(C10,art_ref,0))&amp;"",""))</f>
        <v>pièce</v>
      </c>
      <c r="G10" s="37" t="inlineStr">
        <is>
          <t>BS-2026-0006</t>
        </is>
      </c>
      <c r="H10" s="37" t="inlineStr">
        <is>
          <t>Expédition</t>
        </is>
      </c>
      <c r="I10" s="37" t="n"/>
      <c r="J10" s="40">
        <f>IF(OR(C10="",NOT(ISNUMBER(E10))),"",IFERROR(E10*N(INDEX(art_price,MATCH(C10,art_ref,0))),""))</f>
        <v>109.25</v>
      </c>
      <c r="K10" s="39">
        <f>IF(OR(C10="",NOT(ISNUMBER(E10))),"",IFERROR(ROUND(N(INDEX(art_init,MATCH(C10,art_ref,0)))+SUMIFS($E$5:E10,$C$5:C10,C10,$B$5:B10,"Entrée")-SUMIFS($E$5:E10,$C$5:C10,C10,$B$5:B10,"Sortie"),6),""))</f>
        <v>385.0</v>
      </c>
      <c r="L10" s="39" t="str">
        <f>IF(COUNTA(A10:C10,E10)=0,"",IF(COUNTA(A10:C10,E10)&lt;4,"Ligne incomplète",IF(NOT(ISNUMBER(A10)),"Date invalide",IF(AND(B10&lt;&gt;"Entrée",B10&lt;&gt;"Sortie"),"Type inconnu",IF(ISNA(MATCH(C10,art_ref,0)),"Référence inconnue",IF(OR(NOT(ISNUMBER(E10)),N(E10)&lt;=0),"Quantité invalide",IF(K10&lt;0,"Stock négatif",IF(AND(ISNUMBER(A9),A10&lt;A9),"Date hors ordre","OK"))))))))</f>
        <v>OK</v>
      </c>
      <c r="M10" s="39" t="str">
        <f>IF(C10="","",C10&amp;"#"&amp;COUNTIF($C$5:C10,C10))</f>
        <v>CAR-40-30#1</v>
      </c>
    </row>
    <row r="11">
      <c r="A11" s="41" t="n">
        <v>46027</v>
      </c>
      <c r="B11" s="37" t="inlineStr">
        <is>
          <t>Sortie</t>
        </is>
      </c>
      <c r="C11" s="37" t="inlineStr">
        <is>
          <t>ECR-M6</t>
        </is>
      </c>
      <c r="D11" s="39" t="str">
        <f>IF(C11="","",IFERROR(INDEX(art_des,MATCH(C11,art_ref,0))&amp;"","Référence inconnue"))</f>
        <v>Écrou inox M6</v>
      </c>
      <c r="E11" s="37" t="n">
        <v>419</v>
      </c>
      <c r="F11" s="39" t="str">
        <f>IF(C11="","",IFERROR(INDEX(art_unit,MATCH(C11,art_ref,0))&amp;"",""))</f>
        <v>pièce</v>
      </c>
      <c r="G11" s="37" t="inlineStr">
        <is>
          <t>BS-2026-0007</t>
        </is>
      </c>
      <c r="H11" s="37" t="inlineStr">
        <is>
          <t>Atelier montage</t>
        </is>
      </c>
      <c r="I11" s="37" t="n"/>
      <c r="J11" s="40">
        <f>IF(OR(C11="",NOT(ISNUMBER(E11))),"",IFERROR(E11*N(INDEX(art_price,MATCH(C11,art_ref,0))),""))</f>
        <v>20.95</v>
      </c>
      <c r="K11" s="39">
        <f>IF(OR(C11="",NOT(ISNUMBER(E11))),"",IFERROR(ROUND(N(INDEX(art_init,MATCH(C11,art_ref,0)))+SUMIFS($E$5:E11,$C$5:C11,C11,$B$5:B11,"Entrée")-SUMIFS($E$5:E11,$C$5:C11,C11,$B$5:B11,"Sortie"),6),""))</f>
        <v>2581.0</v>
      </c>
      <c r="L11" s="39" t="str">
        <f>IF(COUNTA(A11:C11,E11)=0,"",IF(COUNTA(A11:C11,E11)&lt;4,"Ligne incomplète",IF(NOT(ISNUMBER(A11)),"Date invalide",IF(AND(B11&lt;&gt;"Entrée",B11&lt;&gt;"Sortie"),"Type inconnu",IF(ISNA(MATCH(C11,art_ref,0)),"Référence inconnue",IF(OR(NOT(ISNUMBER(E11)),N(E11)&lt;=0),"Quantité invalide",IF(K11&lt;0,"Stock négatif",IF(AND(ISNUMBER(A10),A11&lt;A10),"Date hors ordre","OK"))))))))</f>
        <v>OK</v>
      </c>
      <c r="M11" s="39" t="str">
        <f>IF(C11="","",C11&amp;"#"&amp;COUNTIF($C$5:C11,C11))</f>
        <v>ECR-M6#1</v>
      </c>
    </row>
    <row r="12">
      <c r="A12" s="41" t="n">
        <v>46027</v>
      </c>
      <c r="B12" s="37" t="inlineStr">
        <is>
          <t>Sortie</t>
        </is>
      </c>
      <c r="C12" s="37" t="inlineStr">
        <is>
          <t>FOR-HSS-8</t>
        </is>
      </c>
      <c r="D12" s="39" t="str">
        <f>IF(C12="","",IFERROR(INDEX(art_des,MATCH(C12,art_ref,0))&amp;"","Référence inconnue"))</f>
        <v>Foret HSS 8 mm</v>
      </c>
      <c r="E12" s="37" t="n">
        <v>4</v>
      </c>
      <c r="F12" s="39" t="str">
        <f>IF(C12="","",IFERROR(INDEX(art_unit,MATCH(C12,art_ref,0))&amp;"",""))</f>
        <v>pièce</v>
      </c>
      <c r="G12" s="37" t="inlineStr">
        <is>
          <t>BS-2026-0008</t>
        </is>
      </c>
      <c r="H12" s="37" t="inlineStr">
        <is>
          <t>Atelier usinage</t>
        </is>
      </c>
      <c r="I12" s="37" t="n"/>
      <c r="J12" s="40">
        <f>IF(OR(C12="",NOT(ISNUMBER(E12))),"",IFERROR(E12*N(INDEX(art_price,MATCH(C12,art_ref,0))),""))</f>
        <v>18.4</v>
      </c>
      <c r="K12" s="39">
        <f>IF(OR(C12="",NOT(ISNUMBER(E12))),"",IFERROR(ROUND(N(INDEX(art_init,MATCH(C12,art_ref,0)))+SUMIFS($E$5:E12,$C$5:C12,C12,$B$5:B12,"Entrée")-SUMIFS($E$5:E12,$C$5:C12,C12,$B$5:B12,"Sortie"),6),""))</f>
        <v>26.0</v>
      </c>
      <c r="L12" s="39" t="str">
        <f>IF(COUNTA(A12:C12,E12)=0,"",IF(COUNTA(A12:C12,E12)&lt;4,"Ligne incomplète",IF(NOT(ISNUMBER(A12)),"Date invalide",IF(AND(B12&lt;&gt;"Entrée",B12&lt;&gt;"Sortie"),"Type inconnu",IF(ISNA(MATCH(C12,art_ref,0)),"Référence inconnue",IF(OR(NOT(ISNUMBER(E12)),N(E12)&lt;=0),"Quantité invalide",IF(K12&lt;0,"Stock négatif",IF(AND(ISNUMBER(A11),A12&lt;A11),"Date hors ordre","OK"))))))))</f>
        <v>OK</v>
      </c>
      <c r="M12" s="39" t="str">
        <f>IF(C12="","",C12&amp;"#"&amp;COUNTIF($C$5:C12,C12))</f>
        <v>FOR-HSS-8#1</v>
      </c>
    </row>
    <row r="13">
      <c r="A13" s="41" t="n">
        <v>46027</v>
      </c>
      <c r="B13" s="37" t="inlineStr">
        <is>
          <t>Sortie</t>
        </is>
      </c>
      <c r="C13" s="37" t="inlineStr">
        <is>
          <t>TUB-ACI-40</t>
        </is>
      </c>
      <c r="D13" s="39" t="str">
        <f>IF(C13="","",IFERROR(INDEX(art_des,MATCH(C13,art_ref,0))&amp;"","Référence inconnue"))</f>
        <v>Tube acier carré 40 x 40, 6 m</v>
      </c>
      <c r="E13" s="37" t="n">
        <v>3</v>
      </c>
      <c r="F13" s="39" t="str">
        <f>IF(C13="","",IFERROR(INDEX(art_unit,MATCH(C13,art_ref,0))&amp;"",""))</f>
        <v>barre</v>
      </c>
      <c r="G13" s="37" t="inlineStr">
        <is>
          <t>BS-2026-0009</t>
        </is>
      </c>
      <c r="H13" s="37" t="inlineStr">
        <is>
          <t>Expédition</t>
        </is>
      </c>
      <c r="I13" s="37" t="n"/>
      <c r="J13" s="40">
        <f>IF(OR(C13="",NOT(ISNUMBER(E13))),"",IFERROR(E13*N(INDEX(art_price,MATCH(C13,art_ref,0))),""))</f>
        <v>93.6</v>
      </c>
      <c r="K13" s="39">
        <f>IF(OR(C13="",NOT(ISNUMBER(E13))),"",IFERROR(ROUND(N(INDEX(art_init,MATCH(C13,art_ref,0)))+SUMIFS($E$5:E13,$C$5:C13,C13,$B$5:B13,"Entrée")-SUMIFS($E$5:E13,$C$5:C13,C13,$B$5:B13,"Sortie"),6),""))</f>
        <v>27.0</v>
      </c>
      <c r="L13" s="39" t="str">
        <f>IF(COUNTA(A13:C13,E13)=0,"",IF(COUNTA(A13:C13,E13)&lt;4,"Ligne incomplète",IF(NOT(ISNUMBER(A13)),"Date invalide",IF(AND(B13&lt;&gt;"Entrée",B13&lt;&gt;"Sortie"),"Type inconnu",IF(ISNA(MATCH(C13,art_ref,0)),"Référence inconnue",IF(OR(NOT(ISNUMBER(E13)),N(E13)&lt;=0),"Quantité invalide",IF(K13&lt;0,"Stock négatif",IF(AND(ISNUMBER(A12),A13&lt;A12),"Date hors ordre","OK"))))))))</f>
        <v>OK</v>
      </c>
      <c r="M13" s="39" t="str">
        <f>IF(C13="","",C13&amp;"#"&amp;COUNTIF($C$5:C13,C13))</f>
        <v>TUB-ACI-40#1</v>
      </c>
    </row>
    <row r="14">
      <c r="A14" s="41" t="n">
        <v>46028</v>
      </c>
      <c r="B14" s="37" t="inlineStr">
        <is>
          <t>Sortie</t>
        </is>
      </c>
      <c r="C14" s="37" t="inlineStr">
        <is>
          <t>HUI-COUP-5</t>
        </is>
      </c>
      <c r="D14" s="39" t="str">
        <f>IF(C14="","",IFERROR(INDEX(art_des,MATCH(C14,art_ref,0))&amp;"","Référence inconnue"))</f>
        <v>Huile de coupe soluble 5 L</v>
      </c>
      <c r="E14" s="37" t="n">
        <v>1</v>
      </c>
      <c r="F14" s="39" t="str">
        <f>IF(C14="","",IFERROR(INDEX(art_unit,MATCH(C14,art_ref,0))&amp;"",""))</f>
        <v>bidon</v>
      </c>
      <c r="G14" s="37" t="inlineStr">
        <is>
          <t>BS-2026-0010</t>
        </is>
      </c>
      <c r="H14" s="37" t="inlineStr">
        <is>
          <t>Atelier usinage</t>
        </is>
      </c>
      <c r="I14" s="37" t="n"/>
      <c r="J14" s="40">
        <f>IF(OR(C14="",NOT(ISNUMBER(E14))),"",IFERROR(E14*N(INDEX(art_price,MATCH(C14,art_ref,0))),""))</f>
        <v>27.0</v>
      </c>
      <c r="K14" s="39">
        <f>IF(OR(C14="",NOT(ISNUMBER(E14))),"",IFERROR(ROUND(N(INDEX(art_init,MATCH(C14,art_ref,0)))+SUMIFS($E$5:E14,$C$5:C14,C14,$B$5:B14,"Entrée")-SUMIFS($E$5:E14,$C$5:C14,C14,$B$5:B14,"Sortie"),6),""))</f>
        <v>11.0</v>
      </c>
      <c r="L14" s="39" t="str">
        <f>IF(COUNTA(A14:C14,E14)=0,"",IF(COUNTA(A14:C14,E14)&lt;4,"Ligne incomplète",IF(NOT(ISNUMBER(A14)),"Date invalide",IF(AND(B14&lt;&gt;"Entrée",B14&lt;&gt;"Sortie"),"Type inconnu",IF(ISNA(MATCH(C14,art_ref,0)),"Référence inconnue",IF(OR(NOT(ISNUMBER(E14)),N(E14)&lt;=0),"Quantité invalide",IF(K14&lt;0,"Stock négatif",IF(AND(ISNUMBER(A13),A14&lt;A13),"Date hors ordre","OK"))))))))</f>
        <v>OK</v>
      </c>
      <c r="M14" s="39" t="str">
        <f>IF(C14="","",C14&amp;"#"&amp;COUNTIF($C$5:C14,C14))</f>
        <v>HUI-COUP-5#1</v>
      </c>
    </row>
    <row r="15">
      <c r="A15" s="41" t="n">
        <v>46028</v>
      </c>
      <c r="B15" s="37" t="inlineStr">
        <is>
          <t>Sortie</t>
        </is>
      </c>
      <c r="C15" s="37" t="inlineStr">
        <is>
          <t>VIS-M6-20</t>
        </is>
      </c>
      <c r="D15" s="39" t="str">
        <f>IF(C15="","",IFERROR(INDEX(art_des,MATCH(C15,art_ref,0))&amp;"","Référence inconnue"))</f>
        <v>Vis inox M6 x 20</v>
      </c>
      <c r="E15" s="37" t="n">
        <v>380</v>
      </c>
      <c r="F15" s="39" t="str">
        <f>IF(C15="","",IFERROR(INDEX(art_unit,MATCH(C15,art_ref,0))&amp;"",""))</f>
        <v>pièce</v>
      </c>
      <c r="G15" s="37" t="inlineStr">
        <is>
          <t>BS-2026-0011</t>
        </is>
      </c>
      <c r="H15" s="37" t="inlineStr">
        <is>
          <t>Expédition</t>
        </is>
      </c>
      <c r="I15" s="37" t="n"/>
      <c r="J15" s="40">
        <f>IF(OR(C15="",NOT(ISNUMBER(E15))),"",IFERROR(E15*N(INDEX(art_price,MATCH(C15,art_ref,0))),""))</f>
        <v>45.6</v>
      </c>
      <c r="K15" s="39">
        <f>IF(OR(C15="",NOT(ISNUMBER(E15))),"",IFERROR(ROUND(N(INDEX(art_init,MATCH(C15,art_ref,0)))+SUMIFS($E$5:E15,$C$5:C15,C15,$B$5:B15,"Entrée")-SUMIFS($E$5:E15,$C$5:C15,C15,$B$5:B15,"Sortie"),6),""))</f>
        <v>2120.0</v>
      </c>
      <c r="L15" s="39" t="str">
        <f>IF(COUNTA(A15:C15,E15)=0,"",IF(COUNTA(A15:C15,E15)&lt;4,"Ligne incomplète",IF(NOT(ISNUMBER(A15)),"Date invalide",IF(AND(B15&lt;&gt;"Entrée",B15&lt;&gt;"Sortie"),"Type inconnu",IF(ISNA(MATCH(C15,art_ref,0)),"Référence inconnue",IF(OR(NOT(ISNUMBER(E15)),N(E15)&lt;=0),"Quantité invalide",IF(K15&lt;0,"Stock négatif",IF(AND(ISNUMBER(A14),A15&lt;A14),"Date hors ordre","OK"))))))))</f>
        <v>OK</v>
      </c>
      <c r="M15" s="39" t="str">
        <f>IF(C15="","",C15&amp;"#"&amp;COUNTIF($C$5:C15,C15))</f>
        <v>VIS-M6-20#1</v>
      </c>
    </row>
    <row r="16">
      <c r="A16" s="41" t="n">
        <v>46029</v>
      </c>
      <c r="B16" s="37" t="inlineStr">
        <is>
          <t>Sortie</t>
        </is>
      </c>
      <c r="C16" s="37" t="inlineStr">
        <is>
          <t>JOI-20-2</t>
        </is>
      </c>
      <c r="D16" s="39" t="str">
        <f>IF(C16="","",IFERROR(INDEX(art_des,MATCH(C16,art_ref,0))&amp;"","Référence inconnue"))</f>
        <v>Joint torique 20 x 2 NBR</v>
      </c>
      <c r="E16" s="37" t="n">
        <v>46</v>
      </c>
      <c r="F16" s="39" t="str">
        <f>IF(C16="","",IFERROR(INDEX(art_unit,MATCH(C16,art_ref,0))&amp;"",""))</f>
        <v>pièce</v>
      </c>
      <c r="G16" s="37" t="inlineStr">
        <is>
          <t>BS-2026-0012</t>
        </is>
      </c>
      <c r="H16" s="37" t="inlineStr">
        <is>
          <t>Atelier soudure</t>
        </is>
      </c>
      <c r="I16" s="37" t="n"/>
      <c r="J16" s="40">
        <f>IF(OR(C16="",NOT(ISNUMBER(E16))),"",IFERROR(E16*N(INDEX(art_price,MATCH(C16,art_ref,0))),""))</f>
        <v>16.1</v>
      </c>
      <c r="K16" s="39">
        <f>IF(OR(C16="",NOT(ISNUMBER(E16))),"",IFERROR(ROUND(N(INDEX(art_init,MATCH(C16,art_ref,0)))+SUMIFS($E$5:E16,$C$5:C16,C16,$B$5:B16,"Entrée")-SUMIFS($E$5:E16,$C$5:C16,C16,$B$5:B16,"Sortie"),6),""))</f>
        <v>354.0</v>
      </c>
      <c r="L16" s="39" t="str">
        <f>IF(COUNTA(A16:C16,E16)=0,"",IF(COUNTA(A16:C16,E16)&lt;4,"Ligne incomplète",IF(NOT(ISNUMBER(A16)),"Date invalide",IF(AND(B16&lt;&gt;"Entrée",B16&lt;&gt;"Sortie"),"Type inconnu",IF(ISNA(MATCH(C16,art_ref,0)),"Référence inconnue",IF(OR(NOT(ISNUMBER(E16)),N(E16)&lt;=0),"Quantité invalide",IF(K16&lt;0,"Stock négatif",IF(AND(ISNUMBER(A15),A16&lt;A15),"Date hors ordre","OK"))))))))</f>
        <v>OK</v>
      </c>
      <c r="M16" s="39" t="str">
        <f>IF(C16="","",C16&amp;"#"&amp;COUNTIF($C$5:C16,C16))</f>
        <v>JOI-20-2#1</v>
      </c>
    </row>
    <row r="17">
      <c r="A17" s="41" t="n">
        <v>46030</v>
      </c>
      <c r="B17" s="37" t="inlineStr">
        <is>
          <t>Sortie</t>
        </is>
      </c>
      <c r="C17" s="37" t="inlineStr">
        <is>
          <t>GAN-NIT</t>
        </is>
      </c>
      <c r="D17" s="39" t="str">
        <f>IF(C17="","",IFERROR(INDEX(art_des,MATCH(C17,art_ref,0))&amp;"","Référence inconnue"))</f>
        <v>Gants nitrile, boîte de 100</v>
      </c>
      <c r="E17" s="37" t="n">
        <v>4</v>
      </c>
      <c r="F17" s="39" t="str">
        <f>IF(C17="","",IFERROR(INDEX(art_unit,MATCH(C17,art_ref,0))&amp;"",""))</f>
        <v>boîte</v>
      </c>
      <c r="G17" s="37" t="inlineStr">
        <is>
          <t>BS-2026-0013</t>
        </is>
      </c>
      <c r="H17" s="37" t="inlineStr">
        <is>
          <t>Atelier montage</t>
        </is>
      </c>
      <c r="I17" s="37" t="n"/>
      <c r="J17" s="40">
        <f>IF(OR(C17="",NOT(ISNUMBER(E17))),"",IFERROR(E17*N(INDEX(art_price,MATCH(C17,art_ref,0))),""))</f>
        <v>30.0</v>
      </c>
      <c r="K17" s="39">
        <f>IF(OR(C17="",NOT(ISNUMBER(E17))),"",IFERROR(ROUND(N(INDEX(art_init,MATCH(C17,art_ref,0)))+SUMIFS($E$5:E17,$C$5:C17,C17,$B$5:B17,"Entrée")-SUMIFS($E$5:E17,$C$5:C17,C17,$B$5:B17,"Sortie"),6),""))</f>
        <v>21.0</v>
      </c>
      <c r="L17" s="39" t="str">
        <f>IF(COUNTA(A17:C17,E17)=0,"",IF(COUNTA(A17:C17,E17)&lt;4,"Ligne incomplète",IF(NOT(ISNUMBER(A17)),"Date invalide",IF(AND(B17&lt;&gt;"Entrée",B17&lt;&gt;"Sortie"),"Type inconnu",IF(ISNA(MATCH(C17,art_ref,0)),"Référence inconnue",IF(OR(NOT(ISNUMBER(E17)),N(E17)&lt;=0),"Quantité invalide",IF(K17&lt;0,"Stock négatif",IF(AND(ISNUMBER(A16),A17&lt;A16),"Date hors ordre","OK"))))))))</f>
        <v>OK</v>
      </c>
      <c r="M17" s="39" t="str">
        <f>IF(C17="","",C17&amp;"#"&amp;COUNTIF($C$5:C17,C17))</f>
        <v>GAN-NIT#1</v>
      </c>
    </row>
    <row r="18">
      <c r="A18" s="41" t="n">
        <v>46032</v>
      </c>
      <c r="B18" s="37" t="inlineStr">
        <is>
          <t>Sortie</t>
        </is>
      </c>
      <c r="C18" s="37" t="inlineStr">
        <is>
          <t>ROU-6204</t>
        </is>
      </c>
      <c r="D18" s="39" t="str">
        <f>IF(C18="","",IFERROR(INDEX(art_des,MATCH(C18,art_ref,0))&amp;"","Référence inconnue"))</f>
        <v>Roulement à billes 6204 2RS</v>
      </c>
      <c r="E18" s="37" t="n">
        <v>17</v>
      </c>
      <c r="F18" s="39" t="str">
        <f>IF(C18="","",IFERROR(INDEX(art_unit,MATCH(C18,art_ref,0))&amp;"",""))</f>
        <v>pièce</v>
      </c>
      <c r="G18" s="37" t="inlineStr">
        <is>
          <t>BS-2026-0014</t>
        </is>
      </c>
      <c r="H18" s="37" t="inlineStr">
        <is>
          <t>Atelier soudure</t>
        </is>
      </c>
      <c r="I18" s="37" t="n"/>
      <c r="J18" s="40">
        <f>IF(OR(C18="",NOT(ISNUMBER(E18))),"",IFERROR(E18*N(INDEX(art_price,MATCH(C18,art_ref,0))),""))</f>
        <v>64.6</v>
      </c>
      <c r="K18" s="39">
        <f>IF(OR(C18="",NOT(ISNUMBER(E18))),"",IFERROR(ROUND(N(INDEX(art_init,MATCH(C18,art_ref,0)))+SUMIFS($E$5:E18,$C$5:C18,C18,$B$5:B18,"Entrée")-SUMIFS($E$5:E18,$C$5:C18,C18,$B$5:B18,"Sortie"),6),""))</f>
        <v>103.0</v>
      </c>
      <c r="L18" s="39" t="str">
        <f>IF(COUNTA(A18:C18,E18)=0,"",IF(COUNTA(A18:C18,E18)&lt;4,"Ligne incomplète",IF(NOT(ISNUMBER(A18)),"Date invalide",IF(AND(B18&lt;&gt;"Entrée",B18&lt;&gt;"Sortie"),"Type inconnu",IF(ISNA(MATCH(C18,art_ref,0)),"Référence inconnue",IF(OR(NOT(ISNUMBER(E18)),N(E18)&lt;=0),"Quantité invalide",IF(K18&lt;0,"Stock négatif",IF(AND(ISNUMBER(A17),A18&lt;A17),"Date hors ordre","OK"))))))))</f>
        <v>OK</v>
      </c>
      <c r="M18" s="39" t="str">
        <f>IF(C18="","",C18&amp;"#"&amp;COUNTIF($C$5:C18,C18))</f>
        <v>ROU-6204#1</v>
      </c>
    </row>
    <row r="19">
      <c r="A19" s="41" t="n">
        <v>46033</v>
      </c>
      <c r="B19" s="37" t="inlineStr">
        <is>
          <t>Sortie</t>
        </is>
      </c>
      <c r="C19" s="37" t="inlineStr">
        <is>
          <t>RON-M6</t>
        </is>
      </c>
      <c r="D19" s="39" t="str">
        <f>IF(C19="","",IFERROR(INDEX(art_des,MATCH(C19,art_ref,0))&amp;"","Référence inconnue"))</f>
        <v>Rondelle plate M6</v>
      </c>
      <c r="E19" s="37" t="n">
        <v>252</v>
      </c>
      <c r="F19" s="39" t="str">
        <f>IF(C19="","",IFERROR(INDEX(art_unit,MATCH(C19,art_ref,0))&amp;"",""))</f>
        <v>pièce</v>
      </c>
      <c r="G19" s="37" t="inlineStr">
        <is>
          <t>BS-2026-0015</t>
        </is>
      </c>
      <c r="H19" s="37" t="inlineStr">
        <is>
          <t>Atelier montage</t>
        </is>
      </c>
      <c r="I19" s="37" t="n"/>
      <c r="J19" s="40">
        <f>IF(OR(C19="",NOT(ISNUMBER(E19))),"",IFERROR(E19*N(INDEX(art_price,MATCH(C19,art_ref,0))),""))</f>
        <v>7.56</v>
      </c>
      <c r="K19" s="39">
        <f>IF(OR(C19="",NOT(ISNUMBER(E19))),"",IFERROR(ROUND(N(INDEX(art_init,MATCH(C19,art_ref,0)))+SUMIFS($E$5:E19,$C$5:C19,C19,$B$5:B19,"Entrée")-SUMIFS($E$5:E19,$C$5:C19,C19,$B$5:B19,"Sortie"),6),""))</f>
        <v>1748.0</v>
      </c>
      <c r="L19" s="39" t="str">
        <f>IF(COUNTA(A19:C19,E19)=0,"",IF(COUNTA(A19:C19,E19)&lt;4,"Ligne incomplète",IF(NOT(ISNUMBER(A19)),"Date invalide",IF(AND(B19&lt;&gt;"Entrée",B19&lt;&gt;"Sortie"),"Type inconnu",IF(ISNA(MATCH(C19,art_ref,0)),"Référence inconnue",IF(OR(NOT(ISNUMBER(E19)),N(E19)&lt;=0),"Quantité invalide",IF(K19&lt;0,"Stock négatif",IF(AND(ISNUMBER(A18),A19&lt;A18),"Date hors ordre","OK"))))))))</f>
        <v>OK</v>
      </c>
      <c r="M19" s="39" t="str">
        <f>IF(C19="","",C19&amp;"#"&amp;COUNTIF($C$5:C19,C19))</f>
        <v>RON-M6#1</v>
      </c>
    </row>
    <row r="20">
      <c r="A20" s="41" t="n">
        <v>46035</v>
      </c>
      <c r="B20" s="37" t="inlineStr">
        <is>
          <t>Sortie</t>
        </is>
      </c>
      <c r="C20" s="37" t="inlineStr">
        <is>
          <t>PAL-120</t>
        </is>
      </c>
      <c r="D20" s="39" t="str">
        <f>IF(C20="","",IFERROR(INDEX(art_des,MATCH(C20,art_ref,0))&amp;"","Référence inconnue"))</f>
        <v>Palette bois 120 x 80</v>
      </c>
      <c r="E20" s="37" t="n">
        <v>5</v>
      </c>
      <c r="F20" s="39" t="str">
        <f>IF(C20="","",IFERROR(INDEX(art_unit,MATCH(C20,art_ref,0))&amp;"",""))</f>
        <v>pièce</v>
      </c>
      <c r="G20" s="37" t="inlineStr">
        <is>
          <t>BS-2026-0016</t>
        </is>
      </c>
      <c r="H20" s="37" t="inlineStr">
        <is>
          <t>Atelier soudure</t>
        </is>
      </c>
      <c r="I20" s="37" t="n"/>
      <c r="J20" s="40">
        <f>IF(OR(C20="",NOT(ISNUMBER(E20))),"",IFERROR(E20*N(INDEX(art_price,MATCH(C20,art_ref,0))),""))</f>
        <v>45.0</v>
      </c>
      <c r="K20" s="39">
        <f>IF(OR(C20="",NOT(ISNUMBER(E20))),"",IFERROR(ROUND(N(INDEX(art_init,MATCH(C20,art_ref,0)))+SUMIFS($E$5:E20,$C$5:C20,C20,$B$5:B20,"Entrée")-SUMIFS($E$5:E20,$C$5:C20,C20,$B$5:B20,"Sortie"),6),""))</f>
        <v>35.0</v>
      </c>
      <c r="L20" s="39" t="str">
        <f>IF(COUNTA(A20:C20,E20)=0,"",IF(COUNTA(A20:C20,E20)&lt;4,"Ligne incomplète",IF(NOT(ISNUMBER(A20)),"Date invalide",IF(AND(B20&lt;&gt;"Entrée",B20&lt;&gt;"Sortie"),"Type inconnu",IF(ISNA(MATCH(C20,art_ref,0)),"Référence inconnue",IF(OR(NOT(ISNUMBER(E20)),N(E20)&lt;=0),"Quantité invalide",IF(K20&lt;0,"Stock négatif",IF(AND(ISNUMBER(A19),A20&lt;A19),"Date hors ordre","OK"))))))))</f>
        <v>OK</v>
      </c>
      <c r="M20" s="39" t="str">
        <f>IF(C20="","",C20&amp;"#"&amp;COUNTIF($C$5:C20,C20))</f>
        <v>PAL-120#1</v>
      </c>
    </row>
    <row r="21">
      <c r="A21" s="41" t="n">
        <v>46038</v>
      </c>
      <c r="B21" s="37" t="inlineStr">
        <is>
          <t>Sortie</t>
        </is>
      </c>
      <c r="C21" s="37" t="inlineStr">
        <is>
          <t>PAL-120</t>
        </is>
      </c>
      <c r="D21" s="39" t="str">
        <f>IF(C21="","",IFERROR(INDEX(art_des,MATCH(C21,art_ref,0))&amp;"","Référence inconnue"))</f>
        <v>Palette bois 120 x 80</v>
      </c>
      <c r="E21" s="37" t="n">
        <v>8</v>
      </c>
      <c r="F21" s="39" t="str">
        <f>IF(C21="","",IFERROR(INDEX(art_unit,MATCH(C21,art_ref,0))&amp;"",""))</f>
        <v>pièce</v>
      </c>
      <c r="G21" s="37" t="inlineStr">
        <is>
          <t>BS-2026-0017</t>
        </is>
      </c>
      <c r="H21" s="37" t="inlineStr">
        <is>
          <t>Atelier usinage</t>
        </is>
      </c>
      <c r="I21" s="37" t="n"/>
      <c r="J21" s="40">
        <f>IF(OR(C21="",NOT(ISNUMBER(E21))),"",IFERROR(E21*N(INDEX(art_price,MATCH(C21,art_ref,0))),""))</f>
        <v>72.0</v>
      </c>
      <c r="K21" s="39">
        <f>IF(OR(C21="",NOT(ISNUMBER(E21))),"",IFERROR(ROUND(N(INDEX(art_init,MATCH(C21,art_ref,0)))+SUMIFS($E$5:E21,$C$5:C21,C21,$B$5:B21,"Entrée")-SUMIFS($E$5:E21,$C$5:C21,C21,$B$5:B21,"Sortie"),6),""))</f>
        <v>27.0</v>
      </c>
      <c r="L21" s="39" t="str">
        <f>IF(COUNTA(A21:C21,E21)=0,"",IF(COUNTA(A21:C21,E21)&lt;4,"Ligne incomplète",IF(NOT(ISNUMBER(A21)),"Date invalide",IF(AND(B21&lt;&gt;"Entrée",B21&lt;&gt;"Sortie"),"Type inconnu",IF(ISNA(MATCH(C21,art_ref,0)),"Référence inconnue",IF(OR(NOT(ISNUMBER(E21)),N(E21)&lt;=0),"Quantité invalide",IF(K21&lt;0,"Stock négatif",IF(AND(ISNUMBER(A20),A21&lt;A20),"Date hors ordre","OK"))))))))</f>
        <v>OK</v>
      </c>
      <c r="M21" s="39" t="str">
        <f>IF(C21="","",C21&amp;"#"&amp;COUNTIF($C$5:C21,C21))</f>
        <v>PAL-120#2</v>
      </c>
    </row>
    <row r="22">
      <c r="A22" s="41" t="n">
        <v>46039</v>
      </c>
      <c r="B22" s="37" t="inlineStr">
        <is>
          <t>Sortie</t>
        </is>
      </c>
      <c r="C22" s="37" t="inlineStr">
        <is>
          <t>DIS-125</t>
        </is>
      </c>
      <c r="D22" s="39" t="str">
        <f>IF(C22="","",IFERROR(INDEX(art_des,MATCH(C22,art_ref,0))&amp;"","Référence inconnue"))</f>
        <v>Disque à tronçonner 125 mm</v>
      </c>
      <c r="E22" s="37" t="n">
        <v>18</v>
      </c>
      <c r="F22" s="39" t="str">
        <f>IF(C22="","",IFERROR(INDEX(art_unit,MATCH(C22,art_ref,0))&amp;"",""))</f>
        <v>pièce</v>
      </c>
      <c r="G22" s="37" t="inlineStr">
        <is>
          <t>BS-2026-0018</t>
        </is>
      </c>
      <c r="H22" s="37" t="inlineStr">
        <is>
          <t>Maintenance</t>
        </is>
      </c>
      <c r="I22" s="37" t="n"/>
      <c r="J22" s="40">
        <f>IF(OR(C22="",NOT(ISNUMBER(E22))),"",IFERROR(E22*N(INDEX(art_price,MATCH(C22,art_ref,0))),""))</f>
        <v>34.2</v>
      </c>
      <c r="K22" s="39">
        <f>IF(OR(C22="",NOT(ISNUMBER(E22))),"",IFERROR(ROUND(N(INDEX(art_init,MATCH(C22,art_ref,0)))+SUMIFS($E$5:E22,$C$5:C22,C22,$B$5:B22,"Entrée")-SUMIFS($E$5:E22,$C$5:C22,C22,$B$5:B22,"Sortie"),6),""))</f>
        <v>115.0</v>
      </c>
      <c r="L22" s="39" t="str">
        <f>IF(COUNTA(A22:C22,E22)=0,"",IF(COUNTA(A22:C22,E22)&lt;4,"Ligne incomplète",IF(NOT(ISNUMBER(A22)),"Date invalide",IF(AND(B22&lt;&gt;"Entrée",B22&lt;&gt;"Sortie"),"Type inconnu",IF(ISNA(MATCH(C22,art_ref,0)),"Référence inconnue",IF(OR(NOT(ISNUMBER(E22)),N(E22)&lt;=0),"Quantité invalide",IF(K22&lt;0,"Stock négatif",IF(AND(ISNUMBER(A21),A22&lt;A21),"Date hors ordre","OK"))))))))</f>
        <v>OK</v>
      </c>
      <c r="M22" s="39" t="str">
        <f>IF(C22="","",C22&amp;"#"&amp;COUNTIF($C$5:C22,C22))</f>
        <v>DIS-125#2</v>
      </c>
    </row>
    <row r="23">
      <c r="A23" s="41" t="n">
        <v>46039</v>
      </c>
      <c r="B23" s="37" t="inlineStr">
        <is>
          <t>Sortie</t>
        </is>
      </c>
      <c r="C23" s="37" t="inlineStr">
        <is>
          <t>ECR-M6</t>
        </is>
      </c>
      <c r="D23" s="39" t="str">
        <f>IF(C23="","",IFERROR(INDEX(art_des,MATCH(C23,art_ref,0))&amp;"","Référence inconnue"))</f>
        <v>Écrou inox M6</v>
      </c>
      <c r="E23" s="37" t="n">
        <v>530</v>
      </c>
      <c r="F23" s="39" t="str">
        <f>IF(C23="","",IFERROR(INDEX(art_unit,MATCH(C23,art_ref,0))&amp;"",""))</f>
        <v>pièce</v>
      </c>
      <c r="G23" s="37" t="inlineStr">
        <is>
          <t>BS-2026-0019</t>
        </is>
      </c>
      <c r="H23" s="37" t="inlineStr">
        <is>
          <t>Maintenance</t>
        </is>
      </c>
      <c r="I23" s="37" t="n"/>
      <c r="J23" s="40">
        <f>IF(OR(C23="",NOT(ISNUMBER(E23))),"",IFERROR(E23*N(INDEX(art_price,MATCH(C23,art_ref,0))),""))</f>
        <v>26.5</v>
      </c>
      <c r="K23" s="39">
        <f>IF(OR(C23="",NOT(ISNUMBER(E23))),"",IFERROR(ROUND(N(INDEX(art_init,MATCH(C23,art_ref,0)))+SUMIFS($E$5:E23,$C$5:C23,C23,$B$5:B23,"Entrée")-SUMIFS($E$5:E23,$C$5:C23,C23,$B$5:B23,"Sortie"),6),""))</f>
        <v>2051.0</v>
      </c>
      <c r="L23" s="39" t="str">
        <f>IF(COUNTA(A23:C23,E23)=0,"",IF(COUNTA(A23:C23,E23)&lt;4,"Ligne incomplète",IF(NOT(ISNUMBER(A23)),"Date invalide",IF(AND(B23&lt;&gt;"Entrée",B23&lt;&gt;"Sortie"),"Type inconnu",IF(ISNA(MATCH(C23,art_ref,0)),"Référence inconnue",IF(OR(NOT(ISNUMBER(E23)),N(E23)&lt;=0),"Quantité invalide",IF(K23&lt;0,"Stock négatif",IF(AND(ISNUMBER(A22),A23&lt;A22),"Date hors ordre","OK"))))))))</f>
        <v>OK</v>
      </c>
      <c r="M23" s="39" t="str">
        <f>IF(C23="","",C23&amp;"#"&amp;COUNTIF($C$5:C23,C23))</f>
        <v>ECR-M6#2</v>
      </c>
    </row>
    <row r="24">
      <c r="A24" s="41" t="n">
        <v>46039</v>
      </c>
      <c r="B24" s="37" t="inlineStr">
        <is>
          <t>Sortie</t>
        </is>
      </c>
      <c r="C24" s="37" t="inlineStr">
        <is>
          <t>GAN-NIT</t>
        </is>
      </c>
      <c r="D24" s="39" t="str">
        <f>IF(C24="","",IFERROR(INDEX(art_des,MATCH(C24,art_ref,0))&amp;"","Référence inconnue"))</f>
        <v>Gants nitrile, boîte de 100</v>
      </c>
      <c r="E24" s="37" t="n">
        <v>3</v>
      </c>
      <c r="F24" s="39" t="str">
        <f>IF(C24="","",IFERROR(INDEX(art_unit,MATCH(C24,art_ref,0))&amp;"",""))</f>
        <v>boîte</v>
      </c>
      <c r="G24" s="37" t="inlineStr">
        <is>
          <t>BS-2026-0020</t>
        </is>
      </c>
      <c r="H24" s="37" t="inlineStr">
        <is>
          <t>Maintenance</t>
        </is>
      </c>
      <c r="I24" s="37" t="n"/>
      <c r="J24" s="40">
        <f>IF(OR(C24="",NOT(ISNUMBER(E24))),"",IFERROR(E24*N(INDEX(art_price,MATCH(C24,art_ref,0))),""))</f>
        <v>22.5</v>
      </c>
      <c r="K24" s="39">
        <f>IF(OR(C24="",NOT(ISNUMBER(E24))),"",IFERROR(ROUND(N(INDEX(art_init,MATCH(C24,art_ref,0)))+SUMIFS($E$5:E24,$C$5:C24,C24,$B$5:B24,"Entrée")-SUMIFS($E$5:E24,$C$5:C24,C24,$B$5:B24,"Sortie"),6),""))</f>
        <v>18.0</v>
      </c>
      <c r="L24" s="39" t="str">
        <f>IF(COUNTA(A24:C24,E24)=0,"",IF(COUNTA(A24:C24,E24)&lt;4,"Ligne incomplète",IF(NOT(ISNUMBER(A24)),"Date invalide",IF(AND(B24&lt;&gt;"Entrée",B24&lt;&gt;"Sortie"),"Type inconnu",IF(ISNA(MATCH(C24,art_ref,0)),"Référence inconnue",IF(OR(NOT(ISNUMBER(E24)),N(E24)&lt;=0),"Quantité invalide",IF(K24&lt;0,"Stock négatif",IF(AND(ISNUMBER(A23),A24&lt;A23),"Date hors ordre","OK"))))))))</f>
        <v>OK</v>
      </c>
      <c r="M24" s="39" t="str">
        <f>IF(C24="","",C24&amp;"#"&amp;COUNTIF($C$5:C24,C24))</f>
        <v>GAN-NIT#2</v>
      </c>
    </row>
    <row r="25">
      <c r="A25" s="41" t="n">
        <v>46039</v>
      </c>
      <c r="B25" s="37" t="inlineStr">
        <is>
          <t>Sortie</t>
        </is>
      </c>
      <c r="C25" s="37" t="inlineStr">
        <is>
          <t>RON-M6</t>
        </is>
      </c>
      <c r="D25" s="39" t="str">
        <f>IF(C25="","",IFERROR(INDEX(art_des,MATCH(C25,art_ref,0))&amp;"","Référence inconnue"))</f>
        <v>Rondelle plate M6</v>
      </c>
      <c r="E25" s="37" t="n">
        <v>293</v>
      </c>
      <c r="F25" s="39" t="str">
        <f>IF(C25="","",IFERROR(INDEX(art_unit,MATCH(C25,art_ref,0))&amp;"",""))</f>
        <v>pièce</v>
      </c>
      <c r="G25" s="37" t="inlineStr">
        <is>
          <t>BS-2026-0021</t>
        </is>
      </c>
      <c r="H25" s="37" t="inlineStr">
        <is>
          <t>Expédition</t>
        </is>
      </c>
      <c r="I25" s="37" t="n"/>
      <c r="J25" s="40">
        <f>IF(OR(C25="",NOT(ISNUMBER(E25))),"",IFERROR(E25*N(INDEX(art_price,MATCH(C25,art_ref,0))),""))</f>
        <v>8.79</v>
      </c>
      <c r="K25" s="39">
        <f>IF(OR(C25="",NOT(ISNUMBER(E25))),"",IFERROR(ROUND(N(INDEX(art_init,MATCH(C25,art_ref,0)))+SUMIFS($E$5:E25,$C$5:C25,C25,$B$5:B25,"Entrée")-SUMIFS($E$5:E25,$C$5:C25,C25,$B$5:B25,"Sortie"),6),""))</f>
        <v>1455.0</v>
      </c>
      <c r="L25" s="39" t="str">
        <f>IF(COUNTA(A25:C25,E25)=0,"",IF(COUNTA(A25:C25,E25)&lt;4,"Ligne incomplète",IF(NOT(ISNUMBER(A25)),"Date invalide",IF(AND(B25&lt;&gt;"Entrée",B25&lt;&gt;"Sortie"),"Type inconnu",IF(ISNA(MATCH(C25,art_ref,0)),"Référence inconnue",IF(OR(NOT(ISNUMBER(E25)),N(E25)&lt;=0),"Quantité invalide",IF(K25&lt;0,"Stock négatif",IF(AND(ISNUMBER(A24),A25&lt;A24),"Date hors ordre","OK"))))))))</f>
        <v>OK</v>
      </c>
      <c r="M25" s="39" t="str">
        <f>IF(C25="","",C25&amp;"#"&amp;COUNTIF($C$5:C25,C25))</f>
        <v>RON-M6#2</v>
      </c>
    </row>
    <row r="26">
      <c r="A26" s="41" t="n">
        <v>46039</v>
      </c>
      <c r="B26" s="37" t="inlineStr">
        <is>
          <t>Sortie</t>
        </is>
      </c>
      <c r="C26" s="37" t="inlineStr">
        <is>
          <t>VIS-M6-20</t>
        </is>
      </c>
      <c r="D26" s="39" t="str">
        <f>IF(C26="","",IFERROR(INDEX(art_des,MATCH(C26,art_ref,0))&amp;"","Référence inconnue"))</f>
        <v>Vis inox M6 x 20</v>
      </c>
      <c r="E26" s="37" t="n">
        <v>453</v>
      </c>
      <c r="F26" s="39" t="str">
        <f>IF(C26="","",IFERROR(INDEX(art_unit,MATCH(C26,art_ref,0))&amp;"",""))</f>
        <v>pièce</v>
      </c>
      <c r="G26" s="37" t="inlineStr">
        <is>
          <t>BS-2026-0022</t>
        </is>
      </c>
      <c r="H26" s="37" t="inlineStr">
        <is>
          <t>Atelier montage</t>
        </is>
      </c>
      <c r="I26" s="37" t="n"/>
      <c r="J26" s="40">
        <f>IF(OR(C26="",NOT(ISNUMBER(E26))),"",IFERROR(E26*N(INDEX(art_price,MATCH(C26,art_ref,0))),""))</f>
        <v>54.36</v>
      </c>
      <c r="K26" s="39">
        <f>IF(OR(C26="",NOT(ISNUMBER(E26))),"",IFERROR(ROUND(N(INDEX(art_init,MATCH(C26,art_ref,0)))+SUMIFS($E$5:E26,$C$5:C26,C26,$B$5:B26,"Entrée")-SUMIFS($E$5:E26,$C$5:C26,C26,$B$5:B26,"Sortie"),6),""))</f>
        <v>1667.0</v>
      </c>
      <c r="L26" s="39" t="str">
        <f>IF(COUNTA(A26:C26,E26)=0,"",IF(COUNTA(A26:C26,E26)&lt;4,"Ligne incomplète",IF(NOT(ISNUMBER(A26)),"Date invalide",IF(AND(B26&lt;&gt;"Entrée",B26&lt;&gt;"Sortie"),"Type inconnu",IF(ISNA(MATCH(C26,art_ref,0)),"Référence inconnue",IF(OR(NOT(ISNUMBER(E26)),N(E26)&lt;=0),"Quantité invalide",IF(K26&lt;0,"Stock négatif",IF(AND(ISNUMBER(A25),A26&lt;A25),"Date hors ordre","OK"))))))))</f>
        <v>OK</v>
      </c>
      <c r="M26" s="39" t="str">
        <f>IF(C26="","",C26&amp;"#"&amp;COUNTIF($C$5:C26,C26))</f>
        <v>VIS-M6-20#2</v>
      </c>
    </row>
    <row r="27">
      <c r="A27" s="41" t="n">
        <v>46040</v>
      </c>
      <c r="B27" s="37" t="inlineStr">
        <is>
          <t>Sortie</t>
        </is>
      </c>
      <c r="C27" s="37" t="inlineStr">
        <is>
          <t>JOI-20-2</t>
        </is>
      </c>
      <c r="D27" s="39" t="str">
        <f>IF(C27="","",IFERROR(INDEX(art_des,MATCH(C27,art_ref,0))&amp;"","Référence inconnue"))</f>
        <v>Joint torique 20 x 2 NBR</v>
      </c>
      <c r="E27" s="37" t="n">
        <v>44</v>
      </c>
      <c r="F27" s="39" t="str">
        <f>IF(C27="","",IFERROR(INDEX(art_unit,MATCH(C27,art_ref,0))&amp;"",""))</f>
        <v>pièce</v>
      </c>
      <c r="G27" s="37" t="inlineStr">
        <is>
          <t>BS-2026-0023</t>
        </is>
      </c>
      <c r="H27" s="37" t="inlineStr">
        <is>
          <t>Atelier usinage</t>
        </is>
      </c>
      <c r="I27" s="37" t="n"/>
      <c r="J27" s="40">
        <f>IF(OR(C27="",NOT(ISNUMBER(E27))),"",IFERROR(E27*N(INDEX(art_price,MATCH(C27,art_ref,0))),""))</f>
        <v>15.4</v>
      </c>
      <c r="K27" s="39">
        <f>IF(OR(C27="",NOT(ISNUMBER(E27))),"",IFERROR(ROUND(N(INDEX(art_init,MATCH(C27,art_ref,0)))+SUMIFS($E$5:E27,$C$5:C27,C27,$B$5:B27,"Entrée")-SUMIFS($E$5:E27,$C$5:C27,C27,$B$5:B27,"Sortie"),6),""))</f>
        <v>310.0</v>
      </c>
      <c r="L27" s="39" t="str">
        <f>IF(COUNTA(A27:C27,E27)=0,"",IF(COUNTA(A27:C27,E27)&lt;4,"Ligne incomplète",IF(NOT(ISNUMBER(A27)),"Date invalide",IF(AND(B27&lt;&gt;"Entrée",B27&lt;&gt;"Sortie"),"Type inconnu",IF(ISNA(MATCH(C27,art_ref,0)),"Référence inconnue",IF(OR(NOT(ISNUMBER(E27)),N(E27)&lt;=0),"Quantité invalide",IF(K27&lt;0,"Stock négatif",IF(AND(ISNUMBER(A26),A27&lt;A26),"Date hors ordre","OK"))))))))</f>
        <v>OK</v>
      </c>
      <c r="M27" s="39" t="str">
        <f>IF(C27="","",C27&amp;"#"&amp;COUNTIF($C$5:C27,C27))</f>
        <v>JOI-20-2#2</v>
      </c>
    </row>
    <row r="28">
      <c r="A28" s="41" t="n">
        <v>46040</v>
      </c>
      <c r="B28" s="37" t="inlineStr">
        <is>
          <t>Sortie</t>
        </is>
      </c>
      <c r="C28" s="37" t="inlineStr">
        <is>
          <t>TUB-ACI-40</t>
        </is>
      </c>
      <c r="D28" s="39" t="str">
        <f>IF(C28="","",IFERROR(INDEX(art_des,MATCH(C28,art_ref,0))&amp;"","Référence inconnue"))</f>
        <v>Tube acier carré 40 x 40, 6 m</v>
      </c>
      <c r="E28" s="37" t="n">
        <v>5</v>
      </c>
      <c r="F28" s="39" t="str">
        <f>IF(C28="","",IFERROR(INDEX(art_unit,MATCH(C28,art_ref,0))&amp;"",""))</f>
        <v>barre</v>
      </c>
      <c r="G28" s="37" t="inlineStr">
        <is>
          <t>BS-2026-0024</t>
        </is>
      </c>
      <c r="H28" s="37" t="inlineStr">
        <is>
          <t>Expédition</t>
        </is>
      </c>
      <c r="I28" s="37" t="n"/>
      <c r="J28" s="40">
        <f>IF(OR(C28="",NOT(ISNUMBER(E28))),"",IFERROR(E28*N(INDEX(art_price,MATCH(C28,art_ref,0))),""))</f>
        <v>156.0</v>
      </c>
      <c r="K28" s="39">
        <f>IF(OR(C28="",NOT(ISNUMBER(E28))),"",IFERROR(ROUND(N(INDEX(art_init,MATCH(C28,art_ref,0)))+SUMIFS($E$5:E28,$C$5:C28,C28,$B$5:B28,"Entrée")-SUMIFS($E$5:E28,$C$5:C28,C28,$B$5:B28,"Sortie"),6),""))</f>
        <v>22.0</v>
      </c>
      <c r="L28" s="39" t="str">
        <f>IF(COUNTA(A28:C28,E28)=0,"",IF(COUNTA(A28:C28,E28)&lt;4,"Ligne incomplète",IF(NOT(ISNUMBER(A28)),"Date invalide",IF(AND(B28&lt;&gt;"Entrée",B28&lt;&gt;"Sortie"),"Type inconnu",IF(ISNA(MATCH(C28,art_ref,0)),"Référence inconnue",IF(OR(NOT(ISNUMBER(E28)),N(E28)&lt;=0),"Quantité invalide",IF(K28&lt;0,"Stock négatif",IF(AND(ISNUMBER(A27),A28&lt;A27),"Date hors ordre","OK"))))))))</f>
        <v>OK</v>
      </c>
      <c r="M28" s="39" t="str">
        <f>IF(C28="","",C28&amp;"#"&amp;COUNTIF($C$5:C28,C28))</f>
        <v>TUB-ACI-40#2</v>
      </c>
    </row>
    <row r="29">
      <c r="A29" s="41" t="n">
        <v>46041</v>
      </c>
      <c r="B29" s="37" t="inlineStr">
        <is>
          <t>Sortie</t>
        </is>
      </c>
      <c r="C29" s="37" t="inlineStr">
        <is>
          <t>FOR-HSS-8</t>
        </is>
      </c>
      <c r="D29" s="39" t="str">
        <f>IF(C29="","",IFERROR(INDEX(art_des,MATCH(C29,art_ref,0))&amp;"","Référence inconnue"))</f>
        <v>Foret HSS 8 mm</v>
      </c>
      <c r="E29" s="37" t="n">
        <v>4</v>
      </c>
      <c r="F29" s="39" t="str">
        <f>IF(C29="","",IFERROR(INDEX(art_unit,MATCH(C29,art_ref,0))&amp;"",""))</f>
        <v>pièce</v>
      </c>
      <c r="G29" s="37" t="inlineStr">
        <is>
          <t>BS-2026-0025</t>
        </is>
      </c>
      <c r="H29" s="37" t="inlineStr">
        <is>
          <t>Atelier soudure</t>
        </is>
      </c>
      <c r="I29" s="37" t="n"/>
      <c r="J29" s="40">
        <f>IF(OR(C29="",NOT(ISNUMBER(E29))),"",IFERROR(E29*N(INDEX(art_price,MATCH(C29,art_ref,0))),""))</f>
        <v>18.4</v>
      </c>
      <c r="K29" s="39">
        <f>IF(OR(C29="",NOT(ISNUMBER(E29))),"",IFERROR(ROUND(N(INDEX(art_init,MATCH(C29,art_ref,0)))+SUMIFS($E$5:E29,$C$5:C29,C29,$B$5:B29,"Entrée")-SUMIFS($E$5:E29,$C$5:C29,C29,$B$5:B29,"Sortie"),6),""))</f>
        <v>22.0</v>
      </c>
      <c r="L29" s="39" t="str">
        <f>IF(COUNTA(A29:C29,E29)=0,"",IF(COUNTA(A29:C29,E29)&lt;4,"Ligne incomplète",IF(NOT(ISNUMBER(A29)),"Date invalide",IF(AND(B29&lt;&gt;"Entrée",B29&lt;&gt;"Sortie"),"Type inconnu",IF(ISNA(MATCH(C29,art_ref,0)),"Référence inconnue",IF(OR(NOT(ISNUMBER(E29)),N(E29)&lt;=0),"Quantité invalide",IF(K29&lt;0,"Stock négatif",IF(AND(ISNUMBER(A28),A29&lt;A28),"Date hors ordre","OK"))))))))</f>
        <v>OK</v>
      </c>
      <c r="M29" s="39" t="str">
        <f>IF(C29="","",C29&amp;"#"&amp;COUNTIF($C$5:C29,C29))</f>
        <v>FOR-HSS-8#2</v>
      </c>
    </row>
    <row r="30">
      <c r="A30" s="41" t="n">
        <v>46042</v>
      </c>
      <c r="B30" s="37" t="inlineStr">
        <is>
          <t>Sortie</t>
        </is>
      </c>
      <c r="C30" s="37" t="inlineStr">
        <is>
          <t>CAB-2.5</t>
        </is>
      </c>
      <c r="D30" s="39" t="str">
        <f>IF(C30="","",IFERROR(INDEX(art_des,MATCH(C30,art_ref,0))&amp;"","Référence inconnue"))</f>
        <v>Câble électrique 2,5 mm²</v>
      </c>
      <c r="E30" s="37" t="n">
        <v>52</v>
      </c>
      <c r="F30" s="39" t="str">
        <f>IF(C30="","",IFERROR(INDEX(art_unit,MATCH(C30,art_ref,0))&amp;"",""))</f>
        <v>m</v>
      </c>
      <c r="G30" s="37" t="inlineStr">
        <is>
          <t>BS-2026-0026</t>
        </is>
      </c>
      <c r="H30" s="37" t="inlineStr">
        <is>
          <t>Atelier soudure</t>
        </is>
      </c>
      <c r="I30" s="37" t="n"/>
      <c r="J30" s="40">
        <f>IF(OR(C30="",NOT(ISNUMBER(E30))),"",IFERROR(E30*N(INDEX(art_price,MATCH(C30,art_ref,0))),""))</f>
        <v>35.36</v>
      </c>
      <c r="K30" s="39">
        <f>IF(OR(C30="",NOT(ISNUMBER(E30))),"",IFERROR(ROUND(N(INDEX(art_init,MATCH(C30,art_ref,0)))+SUMIFS($E$5:E30,$C$5:C30,C30,$B$5:B30,"Entrée")-SUMIFS($E$5:E30,$C$5:C30,C30,$B$5:B30,"Sortie"),6),""))</f>
        <v>200.0</v>
      </c>
      <c r="L30" s="39" t="str">
        <f>IF(COUNTA(A30:C30,E30)=0,"",IF(COUNTA(A30:C30,E30)&lt;4,"Ligne incomplète",IF(NOT(ISNUMBER(A30)),"Date invalide",IF(AND(B30&lt;&gt;"Entrée",B30&lt;&gt;"Sortie"),"Type inconnu",IF(ISNA(MATCH(C30,art_ref,0)),"Référence inconnue",IF(OR(NOT(ISNUMBER(E30)),N(E30)&lt;=0),"Quantité invalide",IF(K30&lt;0,"Stock négatif",IF(AND(ISNUMBER(A29),A30&lt;A29),"Date hors ordre","OK"))))))))</f>
        <v>OK</v>
      </c>
      <c r="M30" s="39" t="str">
        <f>IF(C30="","",C30&amp;"#"&amp;COUNTIF($C$5:C30,C30))</f>
        <v>CAB-2.5#2</v>
      </c>
    </row>
    <row r="31">
      <c r="A31" s="41" t="n">
        <v>46043</v>
      </c>
      <c r="B31" s="37" t="inlineStr">
        <is>
          <t>Sortie</t>
        </is>
      </c>
      <c r="C31" s="37" t="inlineStr">
        <is>
          <t>BOR-WAGO-3</t>
        </is>
      </c>
      <c r="D31" s="39" t="str">
        <f>IF(C31="","",IFERROR(INDEX(art_des,MATCH(C31,art_ref,0))&amp;"","Référence inconnue"))</f>
        <v>Borne de connexion 3 entrées</v>
      </c>
      <c r="E31" s="37" t="n">
        <v>30</v>
      </c>
      <c r="F31" s="39" t="str">
        <f>IF(C31="","",IFERROR(INDEX(art_unit,MATCH(C31,art_ref,0))&amp;"",""))</f>
        <v>pièce</v>
      </c>
      <c r="G31" s="37" t="inlineStr">
        <is>
          <t>BS-2026-0027</t>
        </is>
      </c>
      <c r="H31" s="37" t="inlineStr">
        <is>
          <t>Atelier soudure</t>
        </is>
      </c>
      <c r="I31" s="37" t="n"/>
      <c r="J31" s="40">
        <f>IF(OR(C31="",NOT(ISNUMBER(E31))),"",IFERROR(E31*N(INDEX(art_price,MATCH(C31,art_ref,0))),""))</f>
        <v>12.6</v>
      </c>
      <c r="K31" s="39">
        <f>IF(OR(C31="",NOT(ISNUMBER(E31))),"",IFERROR(ROUND(N(INDEX(art_init,MATCH(C31,art_ref,0)))+SUMIFS($E$5:E31,$C$5:C31,C31,$B$5:B31,"Entrée")-SUMIFS($E$5:E31,$C$5:C31,C31,$B$5:B31,"Sortie"),6),""))</f>
        <v>136.0</v>
      </c>
      <c r="L31" s="39" t="str">
        <f>IF(COUNTA(A31:C31,E31)=0,"",IF(COUNTA(A31:C31,E31)&lt;4,"Ligne incomplète",IF(NOT(ISNUMBER(A31)),"Date invalide",IF(AND(B31&lt;&gt;"Entrée",B31&lt;&gt;"Sortie"),"Type inconnu",IF(ISNA(MATCH(C31,art_ref,0)),"Référence inconnue",IF(OR(NOT(ISNUMBER(E31)),N(E31)&lt;=0),"Quantité invalide",IF(K31&lt;0,"Stock négatif",IF(AND(ISNUMBER(A30),A31&lt;A30),"Date hors ordre","OK"))))))))</f>
        <v>OK</v>
      </c>
      <c r="M31" s="39" t="str">
        <f>IF(C31="","",C31&amp;"#"&amp;COUNTIF($C$5:C31,C31))</f>
        <v>BOR-WAGO-3#2</v>
      </c>
    </row>
    <row r="32">
      <c r="A32" s="41" t="n">
        <v>46044</v>
      </c>
      <c r="B32" s="37" t="inlineStr">
        <is>
          <t>Sortie</t>
        </is>
      </c>
      <c r="C32" s="37" t="inlineStr">
        <is>
          <t>ROU-6204</t>
        </is>
      </c>
      <c r="D32" s="39" t="str">
        <f>IF(C32="","",IFERROR(INDEX(art_des,MATCH(C32,art_ref,0))&amp;"","Référence inconnue"))</f>
        <v>Roulement à billes 6204 2RS</v>
      </c>
      <c r="E32" s="37" t="n">
        <v>18</v>
      </c>
      <c r="F32" s="39" t="str">
        <f>IF(C32="","",IFERROR(INDEX(art_unit,MATCH(C32,art_ref,0))&amp;"",""))</f>
        <v>pièce</v>
      </c>
      <c r="G32" s="37" t="inlineStr">
        <is>
          <t>BS-2026-0028</t>
        </is>
      </c>
      <c r="H32" s="37" t="inlineStr">
        <is>
          <t>Expédition</t>
        </is>
      </c>
      <c r="I32" s="37" t="n"/>
      <c r="J32" s="40">
        <f>IF(OR(C32="",NOT(ISNUMBER(E32))),"",IFERROR(E32*N(INDEX(art_price,MATCH(C32,art_ref,0))),""))</f>
        <v>68.4</v>
      </c>
      <c r="K32" s="39">
        <f>IF(OR(C32="",NOT(ISNUMBER(E32))),"",IFERROR(ROUND(N(INDEX(art_init,MATCH(C32,art_ref,0)))+SUMIFS($E$5:E32,$C$5:C32,C32,$B$5:B32,"Entrée")-SUMIFS($E$5:E32,$C$5:C32,C32,$B$5:B32,"Sortie"),6),""))</f>
        <v>85.0</v>
      </c>
      <c r="L32" s="39" t="str">
        <f>IF(COUNTA(A32:C32,E32)=0,"",IF(COUNTA(A32:C32,E32)&lt;4,"Ligne incomplète",IF(NOT(ISNUMBER(A32)),"Date invalide",IF(AND(B32&lt;&gt;"Entrée",B32&lt;&gt;"Sortie"),"Type inconnu",IF(ISNA(MATCH(C32,art_ref,0)),"Référence inconnue",IF(OR(NOT(ISNUMBER(E32)),N(E32)&lt;=0),"Quantité invalide",IF(K32&lt;0,"Stock négatif",IF(AND(ISNUMBER(A31),A32&lt;A31),"Date hors ordre","OK"))))))))</f>
        <v>OK</v>
      </c>
      <c r="M32" s="39" t="str">
        <f>IF(C32="","",C32&amp;"#"&amp;COUNTIF($C$5:C32,C32))</f>
        <v>ROU-6204#2</v>
      </c>
    </row>
    <row r="33">
      <c r="A33" s="41" t="n">
        <v>46045</v>
      </c>
      <c r="B33" s="37" t="inlineStr">
        <is>
          <t>Sortie</t>
        </is>
      </c>
      <c r="C33" s="37" t="inlineStr">
        <is>
          <t>CAR-40-30</t>
        </is>
      </c>
      <c r="D33" s="39" t="str">
        <f>IF(C33="","",IFERROR(INDEX(art_des,MATCH(C33,art_ref,0))&amp;"","Référence inconnue"))</f>
        <v>Carton double cannelure 40 x 30 x 20</v>
      </c>
      <c r="E33" s="37" t="n">
        <v>97</v>
      </c>
      <c r="F33" s="39" t="str">
        <f>IF(C33="","",IFERROR(INDEX(art_unit,MATCH(C33,art_ref,0))&amp;"",""))</f>
        <v>pièce</v>
      </c>
      <c r="G33" s="37" t="inlineStr">
        <is>
          <t>BS-2026-0029</t>
        </is>
      </c>
      <c r="H33" s="37" t="inlineStr">
        <is>
          <t>Maintenance</t>
        </is>
      </c>
      <c r="I33" s="37" t="n"/>
      <c r="J33" s="40">
        <f>IF(OR(C33="",NOT(ISNUMBER(E33))),"",IFERROR(E33*N(INDEX(art_price,MATCH(C33,art_ref,0))),""))</f>
        <v>92.15</v>
      </c>
      <c r="K33" s="39">
        <f>IF(OR(C33="",NOT(ISNUMBER(E33))),"",IFERROR(ROUND(N(INDEX(art_init,MATCH(C33,art_ref,0)))+SUMIFS($E$5:E33,$C$5:C33,C33,$B$5:B33,"Entrée")-SUMIFS($E$5:E33,$C$5:C33,C33,$B$5:B33,"Sortie"),6),""))</f>
        <v>288.0</v>
      </c>
      <c r="L33" s="39" t="str">
        <f>IF(COUNTA(A33:C33,E33)=0,"",IF(COUNTA(A33:C33,E33)&lt;4,"Ligne incomplète",IF(NOT(ISNUMBER(A33)),"Date invalide",IF(AND(B33&lt;&gt;"Entrée",B33&lt;&gt;"Sortie"),"Type inconnu",IF(ISNA(MATCH(C33,art_ref,0)),"Référence inconnue",IF(OR(NOT(ISNUMBER(E33)),N(E33)&lt;=0),"Quantité invalide",IF(K33&lt;0,"Stock négatif",IF(AND(ISNUMBER(A32),A33&lt;A32),"Date hors ordre","OK"))))))))</f>
        <v>OK</v>
      </c>
      <c r="M33" s="39" t="str">
        <f>IF(C33="","",C33&amp;"#"&amp;COUNTIF($C$5:C33,C33))</f>
        <v>CAR-40-30#2</v>
      </c>
    </row>
    <row r="34">
      <c r="A34" s="41" t="n">
        <v>46047</v>
      </c>
      <c r="B34" s="37" t="inlineStr">
        <is>
          <t>Sortie</t>
        </is>
      </c>
      <c r="C34" s="37" t="inlineStr">
        <is>
          <t>HUI-COUP-5</t>
        </is>
      </c>
      <c r="D34" s="39" t="str">
        <f>IF(C34="","",IFERROR(INDEX(art_des,MATCH(C34,art_ref,0))&amp;"","Référence inconnue"))</f>
        <v>Huile de coupe soluble 5 L</v>
      </c>
      <c r="E34" s="37" t="n">
        <v>1</v>
      </c>
      <c r="F34" s="39" t="str">
        <f>IF(C34="","",IFERROR(INDEX(art_unit,MATCH(C34,art_ref,0))&amp;"",""))</f>
        <v>bidon</v>
      </c>
      <c r="G34" s="37" t="inlineStr">
        <is>
          <t>BS-2026-0030</t>
        </is>
      </c>
      <c r="H34" s="37" t="inlineStr">
        <is>
          <t>Atelier montage</t>
        </is>
      </c>
      <c r="I34" s="37" t="n"/>
      <c r="J34" s="40">
        <f>IF(OR(C34="",NOT(ISNUMBER(E34))),"",IFERROR(E34*N(INDEX(art_price,MATCH(C34,art_ref,0))),""))</f>
        <v>27.0</v>
      </c>
      <c r="K34" s="39">
        <f>IF(OR(C34="",NOT(ISNUMBER(E34))),"",IFERROR(ROUND(N(INDEX(art_init,MATCH(C34,art_ref,0)))+SUMIFS($E$5:E34,$C$5:C34,C34,$B$5:B34,"Entrée")-SUMIFS($E$5:E34,$C$5:C34,C34,$B$5:B34,"Sortie"),6),""))</f>
        <v>10.0</v>
      </c>
      <c r="L34" s="39" t="str">
        <f>IF(COUNTA(A34:C34,E34)=0,"",IF(COUNTA(A34:C34,E34)&lt;4,"Ligne incomplète",IF(NOT(ISNUMBER(A34)),"Date invalide",IF(AND(B34&lt;&gt;"Entrée",B34&lt;&gt;"Sortie"),"Type inconnu",IF(ISNA(MATCH(C34,art_ref,0)),"Référence inconnue",IF(OR(NOT(ISNUMBER(E34)),N(E34)&lt;=0),"Quantité invalide",IF(K34&lt;0,"Stock négatif",IF(AND(ISNUMBER(A33),A34&lt;A33),"Date hors ordre","OK"))))))))</f>
        <v>OK</v>
      </c>
      <c r="M34" s="39" t="str">
        <f>IF(C34="","",C34&amp;"#"&amp;COUNTIF($C$5:C34,C34))</f>
        <v>HUI-COUP-5#2</v>
      </c>
    </row>
    <row r="35">
      <c r="A35" s="41" t="n">
        <v>46047</v>
      </c>
      <c r="B35" s="37" t="inlineStr">
        <is>
          <t>Sortie</t>
        </is>
      </c>
      <c r="C35" s="37" t="inlineStr">
        <is>
          <t>RUB-50</t>
        </is>
      </c>
      <c r="D35" s="39" t="str">
        <f>IF(C35="","",IFERROR(INDEX(art_des,MATCH(C35,art_ref,0))&amp;"","Référence inconnue"))</f>
        <v>Ruban adhésif 50 mm x 66 m</v>
      </c>
      <c r="E35" s="37" t="n">
        <v>10</v>
      </c>
      <c r="F35" s="39" t="str">
        <f>IF(C35="","",IFERROR(INDEX(art_unit,MATCH(C35,art_ref,0))&amp;"",""))</f>
        <v>rouleau</v>
      </c>
      <c r="G35" s="37" t="inlineStr">
        <is>
          <t>BS-2026-0031</t>
        </is>
      </c>
      <c r="H35" s="37" t="inlineStr">
        <is>
          <t>Expédition</t>
        </is>
      </c>
      <c r="I35" s="37" t="n"/>
      <c r="J35" s="40">
        <f>IF(OR(C35="",NOT(ISNUMBER(E35))),"",IFERROR(E35*N(INDEX(art_price,MATCH(C35,art_ref,0))),""))</f>
        <v>14.0</v>
      </c>
      <c r="K35" s="39">
        <f>IF(OR(C35="",NOT(ISNUMBER(E35))),"",IFERROR(ROUND(N(INDEX(art_init,MATCH(C35,art_ref,0)))+SUMIFS($E$5:E35,$C$5:C35,C35,$B$5:B35,"Entrée")-SUMIFS($E$5:E35,$C$5:C35,C35,$B$5:B35,"Sortie"),6),""))</f>
        <v>57.0</v>
      </c>
      <c r="L35" s="39" t="str">
        <f>IF(COUNTA(A35:C35,E35)=0,"",IF(COUNTA(A35:C35,E35)&lt;4,"Ligne incomplète",IF(NOT(ISNUMBER(A35)),"Date invalide",IF(AND(B35&lt;&gt;"Entrée",B35&lt;&gt;"Sortie"),"Type inconnu",IF(ISNA(MATCH(C35,art_ref,0)),"Référence inconnue",IF(OR(NOT(ISNUMBER(E35)),N(E35)&lt;=0),"Quantité invalide",IF(K35&lt;0,"Stock négatif",IF(AND(ISNUMBER(A34),A35&lt;A34),"Date hors ordre","OK"))))))))</f>
        <v>OK</v>
      </c>
      <c r="M35" s="39" t="str">
        <f>IF(C35="","",C35&amp;"#"&amp;COUNTIF($C$5:C35,C35))</f>
        <v>RUB-50#2</v>
      </c>
    </row>
    <row r="36">
      <c r="A36" s="41" t="n">
        <v>46048</v>
      </c>
      <c r="B36" s="37" t="inlineStr">
        <is>
          <t>Sortie</t>
        </is>
      </c>
      <c r="C36" s="37" t="inlineStr">
        <is>
          <t>TOL-ACI-2</t>
        </is>
      </c>
      <c r="D36" s="39" t="str">
        <f>IF(C36="","",IFERROR(INDEX(art_des,MATCH(C36,art_ref,0))&amp;"","Référence inconnue"))</f>
        <v>Tôle acier 2 mm 1000 x 2000</v>
      </c>
      <c r="E36" s="37" t="n">
        <v>6</v>
      </c>
      <c r="F36" s="39" t="str">
        <f>IF(C36="","",IFERROR(INDEX(art_unit,MATCH(C36,art_ref,0))&amp;"",""))</f>
        <v>feuille</v>
      </c>
      <c r="G36" s="37" t="inlineStr">
        <is>
          <t>BS-2026-0032</t>
        </is>
      </c>
      <c r="H36" s="37" t="inlineStr">
        <is>
          <t>Maintenance</t>
        </is>
      </c>
      <c r="I36" s="37" t="n"/>
      <c r="J36" s="40">
        <f>IF(OR(C36="",NOT(ISNUMBER(E36))),"",IFERROR(E36*N(INDEX(art_price,MATCH(C36,art_ref,0))),""))</f>
        <v>291.0</v>
      </c>
      <c r="K36" s="39">
        <f>IF(OR(C36="",NOT(ISNUMBER(E36))),"",IFERROR(ROUND(N(INDEX(art_init,MATCH(C36,art_ref,0)))+SUMIFS($E$5:E36,$C$5:C36,C36,$B$5:B36,"Entrée")-SUMIFS($E$5:E36,$C$5:C36,C36,$B$5:B36,"Sortie"),6),""))</f>
        <v>26.0</v>
      </c>
      <c r="L36" s="39" t="str">
        <f>IF(COUNTA(A36:C36,E36)=0,"",IF(COUNTA(A36:C36,E36)&lt;4,"Ligne incomplète",IF(NOT(ISNUMBER(A36)),"Date invalide",IF(AND(B36&lt;&gt;"Entrée",B36&lt;&gt;"Sortie"),"Type inconnu",IF(ISNA(MATCH(C36,art_ref,0)),"Référence inconnue",IF(OR(NOT(ISNUMBER(E36)),N(E36)&lt;=0),"Quantité invalide",IF(K36&lt;0,"Stock négatif",IF(AND(ISNUMBER(A35),A36&lt;A35),"Date hors ordre","OK"))))))))</f>
        <v>OK</v>
      </c>
      <c r="M36" s="39" t="str">
        <f>IF(C36="","",C36&amp;"#"&amp;COUNTIF($C$5:C36,C36))</f>
        <v>TOL-ACI-2#2</v>
      </c>
    </row>
    <row r="37">
      <c r="A37" s="41" t="n">
        <v>46056</v>
      </c>
      <c r="B37" s="37" t="inlineStr">
        <is>
          <t>Sortie</t>
        </is>
      </c>
      <c r="C37" s="37" t="inlineStr">
        <is>
          <t>JOI-20-2</t>
        </is>
      </c>
      <c r="D37" s="39" t="str">
        <f>IF(C37="","",IFERROR(INDEX(art_des,MATCH(C37,art_ref,0))&amp;"","Référence inconnue"))</f>
        <v>Joint torique 20 x 2 NBR</v>
      </c>
      <c r="E37" s="37" t="n">
        <v>72</v>
      </c>
      <c r="F37" s="39" t="str">
        <f>IF(C37="","",IFERROR(INDEX(art_unit,MATCH(C37,art_ref,0))&amp;"",""))</f>
        <v>pièce</v>
      </c>
      <c r="G37" s="37" t="inlineStr">
        <is>
          <t>BS-2026-0033</t>
        </is>
      </c>
      <c r="H37" s="37" t="inlineStr">
        <is>
          <t>Maintenance</t>
        </is>
      </c>
      <c r="I37" s="37" t="n"/>
      <c r="J37" s="40">
        <f>IF(OR(C37="",NOT(ISNUMBER(E37))),"",IFERROR(E37*N(INDEX(art_price,MATCH(C37,art_ref,0))),""))</f>
        <v>25.2</v>
      </c>
      <c r="K37" s="39">
        <f>IF(OR(C37="",NOT(ISNUMBER(E37))),"",IFERROR(ROUND(N(INDEX(art_init,MATCH(C37,art_ref,0)))+SUMIFS($E$5:E37,$C$5:C37,C37,$B$5:B37,"Entrée")-SUMIFS($E$5:E37,$C$5:C37,C37,$B$5:B37,"Sortie"),6),""))</f>
        <v>238.0</v>
      </c>
      <c r="L37" s="39" t="str">
        <f>IF(COUNTA(A37:C37,E37)=0,"",IF(COUNTA(A37:C37,E37)&lt;4,"Ligne incomplète",IF(NOT(ISNUMBER(A37)),"Date invalide",IF(AND(B37&lt;&gt;"Entrée",B37&lt;&gt;"Sortie"),"Type inconnu",IF(ISNA(MATCH(C37,art_ref,0)),"Référence inconnue",IF(OR(NOT(ISNUMBER(E37)),N(E37)&lt;=0),"Quantité invalide",IF(K37&lt;0,"Stock négatif",IF(AND(ISNUMBER(A36),A37&lt;A36),"Date hors ordre","OK"))))))))</f>
        <v>OK</v>
      </c>
      <c r="M37" s="39" t="str">
        <f>IF(C37="","",C37&amp;"#"&amp;COUNTIF($C$5:C37,C37))</f>
        <v>JOI-20-2#3</v>
      </c>
    </row>
    <row r="38">
      <c r="A38" s="41" t="n">
        <v>46058</v>
      </c>
      <c r="B38" s="37" t="inlineStr">
        <is>
          <t>Sortie</t>
        </is>
      </c>
      <c r="C38" s="37" t="inlineStr">
        <is>
          <t>DIS-125</t>
        </is>
      </c>
      <c r="D38" s="39" t="str">
        <f>IF(C38="","",IFERROR(INDEX(art_des,MATCH(C38,art_ref,0))&amp;"","Référence inconnue"))</f>
        <v>Disque à tronçonner 125 mm</v>
      </c>
      <c r="E38" s="37" t="n">
        <v>20</v>
      </c>
      <c r="F38" s="39" t="str">
        <f>IF(C38="","",IFERROR(INDEX(art_unit,MATCH(C38,art_ref,0))&amp;"",""))</f>
        <v>pièce</v>
      </c>
      <c r="G38" s="37" t="inlineStr">
        <is>
          <t>BS-2026-0034</t>
        </is>
      </c>
      <c r="H38" s="37" t="inlineStr">
        <is>
          <t>Expédition</t>
        </is>
      </c>
      <c r="I38" s="37" t="n"/>
      <c r="J38" s="40">
        <f>IF(OR(C38="",NOT(ISNUMBER(E38))),"",IFERROR(E38*N(INDEX(art_price,MATCH(C38,art_ref,0))),""))</f>
        <v>38.0</v>
      </c>
      <c r="K38" s="39">
        <f>IF(OR(C38="",NOT(ISNUMBER(E38))),"",IFERROR(ROUND(N(INDEX(art_init,MATCH(C38,art_ref,0)))+SUMIFS($E$5:E38,$C$5:C38,C38,$B$5:B38,"Entrée")-SUMIFS($E$5:E38,$C$5:C38,C38,$B$5:B38,"Sortie"),6),""))</f>
        <v>95.0</v>
      </c>
      <c r="L38" s="39" t="str">
        <f>IF(COUNTA(A38:C38,E38)=0,"",IF(COUNTA(A38:C38,E38)&lt;4,"Ligne incomplète",IF(NOT(ISNUMBER(A38)),"Date invalide",IF(AND(B38&lt;&gt;"Entrée",B38&lt;&gt;"Sortie"),"Type inconnu",IF(ISNA(MATCH(C38,art_ref,0)),"Référence inconnue",IF(OR(NOT(ISNUMBER(E38)),N(E38)&lt;=0),"Quantité invalide",IF(K38&lt;0,"Stock négatif",IF(AND(ISNUMBER(A37),A38&lt;A37),"Date hors ordre","OK"))))))))</f>
        <v>OK</v>
      </c>
      <c r="M38" s="39" t="str">
        <f>IF(C38="","",C38&amp;"#"&amp;COUNTIF($C$5:C38,C38))</f>
        <v>DIS-125#3</v>
      </c>
    </row>
    <row r="39">
      <c r="A39" s="41" t="n">
        <v>46058</v>
      </c>
      <c r="B39" s="37" t="inlineStr">
        <is>
          <t>Sortie</t>
        </is>
      </c>
      <c r="C39" s="37" t="inlineStr">
        <is>
          <t>VIS-M6-20</t>
        </is>
      </c>
      <c r="D39" s="39" t="str">
        <f>IF(C39="","",IFERROR(INDEX(art_des,MATCH(C39,art_ref,0))&amp;"","Référence inconnue"))</f>
        <v>Vis inox M6 x 20</v>
      </c>
      <c r="E39" s="37" t="n">
        <v>395</v>
      </c>
      <c r="F39" s="39" t="str">
        <f>IF(C39="","",IFERROR(INDEX(art_unit,MATCH(C39,art_ref,0))&amp;"",""))</f>
        <v>pièce</v>
      </c>
      <c r="G39" s="37" t="inlineStr">
        <is>
          <t>BS-2026-0035</t>
        </is>
      </c>
      <c r="H39" s="37" t="inlineStr">
        <is>
          <t>Maintenance</t>
        </is>
      </c>
      <c r="I39" s="37" t="n"/>
      <c r="J39" s="40">
        <f>IF(OR(C39="",NOT(ISNUMBER(E39))),"",IFERROR(E39*N(INDEX(art_price,MATCH(C39,art_ref,0))),""))</f>
        <v>47.4</v>
      </c>
      <c r="K39" s="39">
        <f>IF(OR(C39="",NOT(ISNUMBER(E39))),"",IFERROR(ROUND(N(INDEX(art_init,MATCH(C39,art_ref,0)))+SUMIFS($E$5:E39,$C$5:C39,C39,$B$5:B39,"Entrée")-SUMIFS($E$5:E39,$C$5:C39,C39,$B$5:B39,"Sortie"),6),""))</f>
        <v>1272.0</v>
      </c>
      <c r="L39" s="39" t="str">
        <f>IF(COUNTA(A39:C39,E39)=0,"",IF(COUNTA(A39:C39,E39)&lt;4,"Ligne incomplète",IF(NOT(ISNUMBER(A39)),"Date invalide",IF(AND(B39&lt;&gt;"Entrée",B39&lt;&gt;"Sortie"),"Type inconnu",IF(ISNA(MATCH(C39,art_ref,0)),"Référence inconnue",IF(OR(NOT(ISNUMBER(E39)),N(E39)&lt;=0),"Quantité invalide",IF(K39&lt;0,"Stock négatif",IF(AND(ISNUMBER(A38),A39&lt;A38),"Date hors ordre","OK"))))))))</f>
        <v>OK</v>
      </c>
      <c r="M39" s="39" t="str">
        <f>IF(C39="","",C39&amp;"#"&amp;COUNTIF($C$5:C39,C39))</f>
        <v>VIS-M6-20#3</v>
      </c>
    </row>
    <row r="40">
      <c r="A40" s="41" t="n">
        <v>46059</v>
      </c>
      <c r="B40" s="37" t="inlineStr">
        <is>
          <t>Sortie</t>
        </is>
      </c>
      <c r="C40" s="37" t="inlineStr">
        <is>
          <t>TUB-ACI-40</t>
        </is>
      </c>
      <c r="D40" s="39" t="str">
        <f>IF(C40="","",IFERROR(INDEX(art_des,MATCH(C40,art_ref,0))&amp;"","Référence inconnue"))</f>
        <v>Tube acier carré 40 x 40, 6 m</v>
      </c>
      <c r="E40" s="37" t="n">
        <v>4</v>
      </c>
      <c r="F40" s="39" t="str">
        <f>IF(C40="","",IFERROR(INDEX(art_unit,MATCH(C40,art_ref,0))&amp;"",""))</f>
        <v>barre</v>
      </c>
      <c r="G40" s="37" t="inlineStr">
        <is>
          <t>BS-2026-0036</t>
        </is>
      </c>
      <c r="H40" s="37" t="inlineStr">
        <is>
          <t>Expédition</t>
        </is>
      </c>
      <c r="I40" s="37" t="n"/>
      <c r="J40" s="40">
        <f>IF(OR(C40="",NOT(ISNUMBER(E40))),"",IFERROR(E40*N(INDEX(art_price,MATCH(C40,art_ref,0))),""))</f>
        <v>124.8</v>
      </c>
      <c r="K40" s="39">
        <f>IF(OR(C40="",NOT(ISNUMBER(E40))),"",IFERROR(ROUND(N(INDEX(art_init,MATCH(C40,art_ref,0)))+SUMIFS($E$5:E40,$C$5:C40,C40,$B$5:B40,"Entrée")-SUMIFS($E$5:E40,$C$5:C40,C40,$B$5:B40,"Sortie"),6),""))</f>
        <v>18.0</v>
      </c>
      <c r="L40" s="39" t="str">
        <f>IF(COUNTA(A40:C40,E40)=0,"",IF(COUNTA(A40:C40,E40)&lt;4,"Ligne incomplète",IF(NOT(ISNUMBER(A40)),"Date invalide",IF(AND(B40&lt;&gt;"Entrée",B40&lt;&gt;"Sortie"),"Type inconnu",IF(ISNA(MATCH(C40,art_ref,0)),"Référence inconnue",IF(OR(NOT(ISNUMBER(E40)),N(E40)&lt;=0),"Quantité invalide",IF(K40&lt;0,"Stock négatif",IF(AND(ISNUMBER(A39),A40&lt;A39),"Date hors ordre","OK"))))))))</f>
        <v>OK</v>
      </c>
      <c r="M40" s="39" t="str">
        <f>IF(C40="","",C40&amp;"#"&amp;COUNTIF($C$5:C40,C40))</f>
        <v>TUB-ACI-40#3</v>
      </c>
    </row>
    <row r="41">
      <c r="A41" s="41" t="n">
        <v>46060</v>
      </c>
      <c r="B41" s="37" t="inlineStr">
        <is>
          <t>Sortie</t>
        </is>
      </c>
      <c r="C41" s="37" t="inlineStr">
        <is>
          <t>BOR-WAGO-3</t>
        </is>
      </c>
      <c r="D41" s="39" t="str">
        <f>IF(C41="","",IFERROR(INDEX(art_des,MATCH(C41,art_ref,0))&amp;"","Référence inconnue"))</f>
        <v>Borne de connexion 3 entrées</v>
      </c>
      <c r="E41" s="37" t="n">
        <v>33</v>
      </c>
      <c r="F41" s="39" t="str">
        <f>IF(C41="","",IFERROR(INDEX(art_unit,MATCH(C41,art_ref,0))&amp;"",""))</f>
        <v>pièce</v>
      </c>
      <c r="G41" s="37" t="inlineStr">
        <is>
          <t>BS-2026-0037</t>
        </is>
      </c>
      <c r="H41" s="37" t="inlineStr">
        <is>
          <t>Expédition</t>
        </is>
      </c>
      <c r="I41" s="37" t="n"/>
      <c r="J41" s="40">
        <f>IF(OR(C41="",NOT(ISNUMBER(E41))),"",IFERROR(E41*N(INDEX(art_price,MATCH(C41,art_ref,0))),""))</f>
        <v>13.86</v>
      </c>
      <c r="K41" s="39">
        <f>IF(OR(C41="",NOT(ISNUMBER(E41))),"",IFERROR(ROUND(N(INDEX(art_init,MATCH(C41,art_ref,0)))+SUMIFS($E$5:E41,$C$5:C41,C41,$B$5:B41,"Entrée")-SUMIFS($E$5:E41,$C$5:C41,C41,$B$5:B41,"Sortie"),6),""))</f>
        <v>103.0</v>
      </c>
      <c r="L41" s="39" t="str">
        <f>IF(COUNTA(A41:C41,E41)=0,"",IF(COUNTA(A41:C41,E41)&lt;4,"Ligne incomplète",IF(NOT(ISNUMBER(A41)),"Date invalide",IF(AND(B41&lt;&gt;"Entrée",B41&lt;&gt;"Sortie"),"Type inconnu",IF(ISNA(MATCH(C41,art_ref,0)),"Référence inconnue",IF(OR(NOT(ISNUMBER(E41)),N(E41)&lt;=0),"Quantité invalide",IF(K41&lt;0,"Stock négatif",IF(AND(ISNUMBER(A40),A41&lt;A40),"Date hors ordre","OK"))))))))</f>
        <v>OK</v>
      </c>
      <c r="M41" s="39" t="str">
        <f>IF(C41="","",C41&amp;"#"&amp;COUNTIF($C$5:C41,C41))</f>
        <v>BOR-WAGO-3#3</v>
      </c>
    </row>
    <row r="42">
      <c r="A42" s="41" t="n">
        <v>46062</v>
      </c>
      <c r="B42" s="37" t="inlineStr">
        <is>
          <t>Sortie</t>
        </is>
      </c>
      <c r="C42" s="37" t="inlineStr">
        <is>
          <t>ECR-M6</t>
        </is>
      </c>
      <c r="D42" s="39" t="str">
        <f>IF(C42="","",IFERROR(INDEX(art_des,MATCH(C42,art_ref,0))&amp;"","Référence inconnue"))</f>
        <v>Écrou inox M6</v>
      </c>
      <c r="E42" s="37" t="n">
        <v>477</v>
      </c>
      <c r="F42" s="39" t="str">
        <f>IF(C42="","",IFERROR(INDEX(art_unit,MATCH(C42,art_ref,0))&amp;"",""))</f>
        <v>pièce</v>
      </c>
      <c r="G42" s="37" t="inlineStr">
        <is>
          <t>BS-2026-0038</t>
        </is>
      </c>
      <c r="H42" s="37" t="inlineStr">
        <is>
          <t>Maintenance</t>
        </is>
      </c>
      <c r="I42" s="37" t="n"/>
      <c r="J42" s="40">
        <f>IF(OR(C42="",NOT(ISNUMBER(E42))),"",IFERROR(E42*N(INDEX(art_price,MATCH(C42,art_ref,0))),""))</f>
        <v>23.85</v>
      </c>
      <c r="K42" s="39">
        <f>IF(OR(C42="",NOT(ISNUMBER(E42))),"",IFERROR(ROUND(N(INDEX(art_init,MATCH(C42,art_ref,0)))+SUMIFS($E$5:E42,$C$5:C42,C42,$B$5:B42,"Entrée")-SUMIFS($E$5:E42,$C$5:C42,C42,$B$5:B42,"Sortie"),6),""))</f>
        <v>1574.0</v>
      </c>
      <c r="L42" s="39" t="str">
        <f>IF(COUNTA(A42:C42,E42)=0,"",IF(COUNTA(A42:C42,E42)&lt;4,"Ligne incomplète",IF(NOT(ISNUMBER(A42)),"Date invalide",IF(AND(B42&lt;&gt;"Entrée",B42&lt;&gt;"Sortie"),"Type inconnu",IF(ISNA(MATCH(C42,art_ref,0)),"Référence inconnue",IF(OR(NOT(ISNUMBER(E42)),N(E42)&lt;=0),"Quantité invalide",IF(K42&lt;0,"Stock négatif",IF(AND(ISNUMBER(A41),A42&lt;A41),"Date hors ordre","OK"))))))))</f>
        <v>OK</v>
      </c>
      <c r="M42" s="39" t="str">
        <f>IF(C42="","",C42&amp;"#"&amp;COUNTIF($C$5:C42,C42))</f>
        <v>ECR-M6#3</v>
      </c>
    </row>
    <row r="43">
      <c r="A43" s="41" t="n">
        <v>46063</v>
      </c>
      <c r="B43" s="37" t="inlineStr">
        <is>
          <t>Sortie</t>
        </is>
      </c>
      <c r="C43" s="37" t="inlineStr">
        <is>
          <t>FOR-HSS-8</t>
        </is>
      </c>
      <c r="D43" s="39" t="str">
        <f>IF(C43="","",IFERROR(INDEX(art_des,MATCH(C43,art_ref,0))&amp;"","Référence inconnue"))</f>
        <v>Foret HSS 8 mm</v>
      </c>
      <c r="E43" s="37" t="n">
        <v>2</v>
      </c>
      <c r="F43" s="39" t="str">
        <f>IF(C43="","",IFERROR(INDEX(art_unit,MATCH(C43,art_ref,0))&amp;"",""))</f>
        <v>pièce</v>
      </c>
      <c r="G43" s="37" t="inlineStr">
        <is>
          <t>BS-2026-0039</t>
        </is>
      </c>
      <c r="H43" s="37" t="inlineStr">
        <is>
          <t>Atelier montage</t>
        </is>
      </c>
      <c r="I43" s="37" t="n"/>
      <c r="J43" s="40">
        <f>IF(OR(C43="",NOT(ISNUMBER(E43))),"",IFERROR(E43*N(INDEX(art_price,MATCH(C43,art_ref,0))),""))</f>
        <v>9.2</v>
      </c>
      <c r="K43" s="39">
        <f>IF(OR(C43="",NOT(ISNUMBER(E43))),"",IFERROR(ROUND(N(INDEX(art_init,MATCH(C43,art_ref,0)))+SUMIFS($E$5:E43,$C$5:C43,C43,$B$5:B43,"Entrée")-SUMIFS($E$5:E43,$C$5:C43,C43,$B$5:B43,"Sortie"),6),""))</f>
        <v>20.0</v>
      </c>
      <c r="L43" s="39" t="str">
        <f>IF(COUNTA(A43:C43,E43)=0,"",IF(COUNTA(A43:C43,E43)&lt;4,"Ligne incomplète",IF(NOT(ISNUMBER(A43)),"Date invalide",IF(AND(B43&lt;&gt;"Entrée",B43&lt;&gt;"Sortie"),"Type inconnu",IF(ISNA(MATCH(C43,art_ref,0)),"Référence inconnue",IF(OR(NOT(ISNUMBER(E43)),N(E43)&lt;=0),"Quantité invalide",IF(K43&lt;0,"Stock négatif",IF(AND(ISNUMBER(A42),A43&lt;A42),"Date hors ordre","OK"))))))))</f>
        <v>OK</v>
      </c>
      <c r="M43" s="39" t="str">
        <f>IF(C43="","",C43&amp;"#"&amp;COUNTIF($C$5:C43,C43))</f>
        <v>FOR-HSS-8#3</v>
      </c>
    </row>
    <row r="44">
      <c r="A44" s="41" t="n">
        <v>46063</v>
      </c>
      <c r="B44" s="37" t="inlineStr">
        <is>
          <t>Sortie</t>
        </is>
      </c>
      <c r="C44" s="37" t="inlineStr">
        <is>
          <t>HUI-COUP-5</t>
        </is>
      </c>
      <c r="D44" s="39" t="str">
        <f>IF(C44="","",IFERROR(INDEX(art_des,MATCH(C44,art_ref,0))&amp;"","Référence inconnue"))</f>
        <v>Huile de coupe soluble 5 L</v>
      </c>
      <c r="E44" s="37" t="n">
        <v>1</v>
      </c>
      <c r="F44" s="39" t="str">
        <f>IF(C44="","",IFERROR(INDEX(art_unit,MATCH(C44,art_ref,0))&amp;"",""))</f>
        <v>bidon</v>
      </c>
      <c r="G44" s="37" t="inlineStr">
        <is>
          <t>BS-2026-0040</t>
        </is>
      </c>
      <c r="H44" s="37" t="inlineStr">
        <is>
          <t>Atelier soudure</t>
        </is>
      </c>
      <c r="I44" s="37" t="n"/>
      <c r="J44" s="40">
        <f>IF(OR(C44="",NOT(ISNUMBER(E44))),"",IFERROR(E44*N(INDEX(art_price,MATCH(C44,art_ref,0))),""))</f>
        <v>27.0</v>
      </c>
      <c r="K44" s="39">
        <f>IF(OR(C44="",NOT(ISNUMBER(E44))),"",IFERROR(ROUND(N(INDEX(art_init,MATCH(C44,art_ref,0)))+SUMIFS($E$5:E44,$C$5:C44,C44,$B$5:B44,"Entrée")-SUMIFS($E$5:E44,$C$5:C44,C44,$B$5:B44,"Sortie"),6),""))</f>
        <v>9.0</v>
      </c>
      <c r="L44" s="39" t="str">
        <f>IF(COUNTA(A44:C44,E44)=0,"",IF(COUNTA(A44:C44,E44)&lt;4,"Ligne incomplète",IF(NOT(ISNUMBER(A44)),"Date invalide",IF(AND(B44&lt;&gt;"Entrée",B44&lt;&gt;"Sortie"),"Type inconnu",IF(ISNA(MATCH(C44,art_ref,0)),"Référence inconnue",IF(OR(NOT(ISNUMBER(E44)),N(E44)&lt;=0),"Quantité invalide",IF(K44&lt;0,"Stock négatif",IF(AND(ISNUMBER(A43),A44&lt;A43),"Date hors ordre","OK"))))))))</f>
        <v>OK</v>
      </c>
      <c r="M44" s="39" t="str">
        <f>IF(C44="","",C44&amp;"#"&amp;COUNTIF($C$5:C44,C44))</f>
        <v>HUI-COUP-5#3</v>
      </c>
    </row>
    <row r="45">
      <c r="A45" s="41" t="n">
        <v>46063</v>
      </c>
      <c r="B45" s="37" t="inlineStr">
        <is>
          <t>Sortie</t>
        </is>
      </c>
      <c r="C45" s="37" t="inlineStr">
        <is>
          <t>RON-M6</t>
        </is>
      </c>
      <c r="D45" s="39" t="str">
        <f>IF(C45="","",IFERROR(INDEX(art_des,MATCH(C45,art_ref,0))&amp;"","Référence inconnue"))</f>
        <v>Rondelle plate M6</v>
      </c>
      <c r="E45" s="37" t="n">
        <v>404</v>
      </c>
      <c r="F45" s="39" t="str">
        <f>IF(C45="","",IFERROR(INDEX(art_unit,MATCH(C45,art_ref,0))&amp;"",""))</f>
        <v>pièce</v>
      </c>
      <c r="G45" s="37" t="inlineStr">
        <is>
          <t>BS-2026-0041</t>
        </is>
      </c>
      <c r="H45" s="37" t="inlineStr">
        <is>
          <t>Maintenance</t>
        </is>
      </c>
      <c r="I45" s="37" t="n"/>
      <c r="J45" s="40">
        <f>IF(OR(C45="",NOT(ISNUMBER(E45))),"",IFERROR(E45*N(INDEX(art_price,MATCH(C45,art_ref,0))),""))</f>
        <v>12.12</v>
      </c>
      <c r="K45" s="39">
        <f>IF(OR(C45="",NOT(ISNUMBER(E45))),"",IFERROR(ROUND(N(INDEX(art_init,MATCH(C45,art_ref,0)))+SUMIFS($E$5:E45,$C$5:C45,C45,$B$5:B45,"Entrée")-SUMIFS($E$5:E45,$C$5:C45,C45,$B$5:B45,"Sortie"),6),""))</f>
        <v>1051.0</v>
      </c>
      <c r="L45" s="39" t="str">
        <f>IF(COUNTA(A45:C45,E45)=0,"",IF(COUNTA(A45:C45,E45)&lt;4,"Ligne incomplète",IF(NOT(ISNUMBER(A45)),"Date invalide",IF(AND(B45&lt;&gt;"Entrée",B45&lt;&gt;"Sortie"),"Type inconnu",IF(ISNA(MATCH(C45,art_ref,0)),"Référence inconnue",IF(OR(NOT(ISNUMBER(E45)),N(E45)&lt;=0),"Quantité invalide",IF(K45&lt;0,"Stock négatif",IF(AND(ISNUMBER(A44),A45&lt;A44),"Date hors ordre","OK"))))))))</f>
        <v>OK</v>
      </c>
      <c r="M45" s="39" t="str">
        <f>IF(C45="","",C45&amp;"#"&amp;COUNTIF($C$5:C45,C45))</f>
        <v>RON-M6#3</v>
      </c>
    </row>
    <row r="46">
      <c r="A46" s="41" t="n">
        <v>46063</v>
      </c>
      <c r="B46" s="37" t="inlineStr">
        <is>
          <t>Sortie</t>
        </is>
      </c>
      <c r="C46" s="37" t="inlineStr">
        <is>
          <t>RUB-50</t>
        </is>
      </c>
      <c r="D46" s="39" t="str">
        <f>IF(C46="","",IFERROR(INDEX(art_des,MATCH(C46,art_ref,0))&amp;"","Référence inconnue"))</f>
        <v>Ruban adhésif 50 mm x 66 m</v>
      </c>
      <c r="E46" s="37" t="n">
        <v>11</v>
      </c>
      <c r="F46" s="39" t="str">
        <f>IF(C46="","",IFERROR(INDEX(art_unit,MATCH(C46,art_ref,0))&amp;"",""))</f>
        <v>rouleau</v>
      </c>
      <c r="G46" s="37" t="inlineStr">
        <is>
          <t>BS-2026-0042</t>
        </is>
      </c>
      <c r="H46" s="37" t="inlineStr">
        <is>
          <t>Atelier montage</t>
        </is>
      </c>
      <c r="I46" s="37" t="n"/>
      <c r="J46" s="40">
        <f>IF(OR(C46="",NOT(ISNUMBER(E46))),"",IFERROR(E46*N(INDEX(art_price,MATCH(C46,art_ref,0))),""))</f>
        <v>15.4</v>
      </c>
      <c r="K46" s="39">
        <f>IF(OR(C46="",NOT(ISNUMBER(E46))),"",IFERROR(ROUND(N(INDEX(art_init,MATCH(C46,art_ref,0)))+SUMIFS($E$5:E46,$C$5:C46,C46,$B$5:B46,"Entrée")-SUMIFS($E$5:E46,$C$5:C46,C46,$B$5:B46,"Sortie"),6),""))</f>
        <v>46.0</v>
      </c>
      <c r="L46" s="39" t="str">
        <f>IF(COUNTA(A46:C46,E46)=0,"",IF(COUNTA(A46:C46,E46)&lt;4,"Ligne incomplète",IF(NOT(ISNUMBER(A46)),"Date invalide",IF(AND(B46&lt;&gt;"Entrée",B46&lt;&gt;"Sortie"),"Type inconnu",IF(ISNA(MATCH(C46,art_ref,0)),"Référence inconnue",IF(OR(NOT(ISNUMBER(E46)),N(E46)&lt;=0),"Quantité invalide",IF(K46&lt;0,"Stock négatif",IF(AND(ISNUMBER(A45),A46&lt;A45),"Date hors ordre","OK"))))))))</f>
        <v>OK</v>
      </c>
      <c r="M46" s="39" t="str">
        <f>IF(C46="","",C46&amp;"#"&amp;COUNTIF($C$5:C46,C46))</f>
        <v>RUB-50#3</v>
      </c>
    </row>
    <row r="47">
      <c r="A47" s="41" t="n">
        <v>46064</v>
      </c>
      <c r="B47" s="37" t="inlineStr">
        <is>
          <t>Sortie</t>
        </is>
      </c>
      <c r="C47" s="37" t="inlineStr">
        <is>
          <t>CAR-40-30</t>
        </is>
      </c>
      <c r="D47" s="39" t="str">
        <f>IF(C47="","",IFERROR(INDEX(art_des,MATCH(C47,art_ref,0))&amp;"","Référence inconnue"))</f>
        <v>Carton double cannelure 40 x 30 x 20</v>
      </c>
      <c r="E47" s="37" t="n">
        <v>76</v>
      </c>
      <c r="F47" s="39" t="str">
        <f>IF(C47="","",IFERROR(INDEX(art_unit,MATCH(C47,art_ref,0))&amp;"",""))</f>
        <v>pièce</v>
      </c>
      <c r="G47" s="37" t="inlineStr">
        <is>
          <t>BS-2026-0043</t>
        </is>
      </c>
      <c r="H47" s="37" t="inlineStr">
        <is>
          <t>Atelier usinage</t>
        </is>
      </c>
      <c r="I47" s="37" t="n"/>
      <c r="J47" s="40">
        <f>IF(OR(C47="",NOT(ISNUMBER(E47))),"",IFERROR(E47*N(INDEX(art_price,MATCH(C47,art_ref,0))),""))</f>
        <v>72.2</v>
      </c>
      <c r="K47" s="39">
        <f>IF(OR(C47="",NOT(ISNUMBER(E47))),"",IFERROR(ROUND(N(INDEX(art_init,MATCH(C47,art_ref,0)))+SUMIFS($E$5:E47,$C$5:C47,C47,$B$5:B47,"Entrée")-SUMIFS($E$5:E47,$C$5:C47,C47,$B$5:B47,"Sortie"),6),""))</f>
        <v>212.0</v>
      </c>
      <c r="L47" s="39" t="str">
        <f>IF(COUNTA(A47:C47,E47)=0,"",IF(COUNTA(A47:C47,E47)&lt;4,"Ligne incomplète",IF(NOT(ISNUMBER(A47)),"Date invalide",IF(AND(B47&lt;&gt;"Entrée",B47&lt;&gt;"Sortie"),"Type inconnu",IF(ISNA(MATCH(C47,art_ref,0)),"Référence inconnue",IF(OR(NOT(ISNUMBER(E47)),N(E47)&lt;=0),"Quantité invalide",IF(K47&lt;0,"Stock négatif",IF(AND(ISNUMBER(A46),A47&lt;A46),"Date hors ordre","OK"))))))))</f>
        <v>OK</v>
      </c>
      <c r="M47" s="39" t="str">
        <f>IF(C47="","",C47&amp;"#"&amp;COUNTIF($C$5:C47,C47))</f>
        <v>CAR-40-30#3</v>
      </c>
    </row>
    <row r="48">
      <c r="A48" s="41" t="n">
        <v>46064</v>
      </c>
      <c r="B48" s="37" t="inlineStr">
        <is>
          <t>Sortie</t>
        </is>
      </c>
      <c r="C48" s="37" t="inlineStr">
        <is>
          <t>GAN-NIT</t>
        </is>
      </c>
      <c r="D48" s="39" t="str">
        <f>IF(C48="","",IFERROR(INDEX(art_des,MATCH(C48,art_ref,0))&amp;"","Référence inconnue"))</f>
        <v>Gants nitrile, boîte de 100</v>
      </c>
      <c r="E48" s="37" t="n">
        <v>3</v>
      </c>
      <c r="F48" s="39" t="str">
        <f>IF(C48="","",IFERROR(INDEX(art_unit,MATCH(C48,art_ref,0))&amp;"",""))</f>
        <v>boîte</v>
      </c>
      <c r="G48" s="37" t="inlineStr">
        <is>
          <t>BS-2026-0044</t>
        </is>
      </c>
      <c r="H48" s="37" t="inlineStr">
        <is>
          <t>Atelier usinage</t>
        </is>
      </c>
      <c r="I48" s="37" t="n"/>
      <c r="J48" s="40">
        <f>IF(OR(C48="",NOT(ISNUMBER(E48))),"",IFERROR(E48*N(INDEX(art_price,MATCH(C48,art_ref,0))),""))</f>
        <v>22.5</v>
      </c>
      <c r="K48" s="39">
        <f>IF(OR(C48="",NOT(ISNUMBER(E48))),"",IFERROR(ROUND(N(INDEX(art_init,MATCH(C48,art_ref,0)))+SUMIFS($E$5:E48,$C$5:C48,C48,$B$5:B48,"Entrée")-SUMIFS($E$5:E48,$C$5:C48,C48,$B$5:B48,"Sortie"),6),""))</f>
        <v>15.0</v>
      </c>
      <c r="L48" s="39" t="str">
        <f>IF(COUNTA(A48:C48,E48)=0,"",IF(COUNTA(A48:C48,E48)&lt;4,"Ligne incomplète",IF(NOT(ISNUMBER(A48)),"Date invalide",IF(AND(B48&lt;&gt;"Entrée",B48&lt;&gt;"Sortie"),"Type inconnu",IF(ISNA(MATCH(C48,art_ref,0)),"Référence inconnue",IF(OR(NOT(ISNUMBER(E48)),N(E48)&lt;=0),"Quantité invalide",IF(K48&lt;0,"Stock négatif",IF(AND(ISNUMBER(A47),A48&lt;A47),"Date hors ordre","OK"))))))))</f>
        <v>OK</v>
      </c>
      <c r="M48" s="39" t="str">
        <f>IF(C48="","",C48&amp;"#"&amp;COUNTIF($C$5:C48,C48))</f>
        <v>GAN-NIT#3</v>
      </c>
    </row>
    <row r="49">
      <c r="A49" s="41" t="n">
        <v>46064</v>
      </c>
      <c r="B49" s="37" t="inlineStr">
        <is>
          <t>Sortie</t>
        </is>
      </c>
      <c r="C49" s="37" t="inlineStr">
        <is>
          <t>ROU-6204</t>
        </is>
      </c>
      <c r="D49" s="39" t="str">
        <f>IF(C49="","",IFERROR(INDEX(art_des,MATCH(C49,art_ref,0))&amp;"","Référence inconnue"))</f>
        <v>Roulement à billes 6204 2RS</v>
      </c>
      <c r="E49" s="37" t="n">
        <v>16</v>
      </c>
      <c r="F49" s="39" t="str">
        <f>IF(C49="","",IFERROR(INDEX(art_unit,MATCH(C49,art_ref,0))&amp;"",""))</f>
        <v>pièce</v>
      </c>
      <c r="G49" s="37" t="inlineStr">
        <is>
          <t>BS-2026-0045</t>
        </is>
      </c>
      <c r="H49" s="37" t="inlineStr">
        <is>
          <t>Maintenance</t>
        </is>
      </c>
      <c r="I49" s="37" t="n"/>
      <c r="J49" s="40">
        <f>IF(OR(C49="",NOT(ISNUMBER(E49))),"",IFERROR(E49*N(INDEX(art_price,MATCH(C49,art_ref,0))),""))</f>
        <v>60.8</v>
      </c>
      <c r="K49" s="39">
        <f>IF(OR(C49="",NOT(ISNUMBER(E49))),"",IFERROR(ROUND(N(INDEX(art_init,MATCH(C49,art_ref,0)))+SUMIFS($E$5:E49,$C$5:C49,C49,$B$5:B49,"Entrée")-SUMIFS($E$5:E49,$C$5:C49,C49,$B$5:B49,"Sortie"),6),""))</f>
        <v>69.0</v>
      </c>
      <c r="L49" s="39" t="str">
        <f>IF(COUNTA(A49:C49,E49)=0,"",IF(COUNTA(A49:C49,E49)&lt;4,"Ligne incomplète",IF(NOT(ISNUMBER(A49)),"Date invalide",IF(AND(B49&lt;&gt;"Entrée",B49&lt;&gt;"Sortie"),"Type inconnu",IF(ISNA(MATCH(C49,art_ref,0)),"Référence inconnue",IF(OR(NOT(ISNUMBER(E49)),N(E49)&lt;=0),"Quantité invalide",IF(K49&lt;0,"Stock négatif",IF(AND(ISNUMBER(A48),A49&lt;A48),"Date hors ordre","OK"))))))))</f>
        <v>OK</v>
      </c>
      <c r="M49" s="39" t="str">
        <f>IF(C49="","",C49&amp;"#"&amp;COUNTIF($C$5:C49,C49))</f>
        <v>ROU-6204#3</v>
      </c>
    </row>
    <row r="50">
      <c r="A50" s="41" t="n">
        <v>46064</v>
      </c>
      <c r="B50" s="37" t="inlineStr">
        <is>
          <t>Sortie</t>
        </is>
      </c>
      <c r="C50" s="37" t="inlineStr">
        <is>
          <t>TOL-ACI-2</t>
        </is>
      </c>
      <c r="D50" s="39" t="str">
        <f>IF(C50="","",IFERROR(INDEX(art_des,MATCH(C50,art_ref,0))&amp;"","Référence inconnue"))</f>
        <v>Tôle acier 2 mm 1000 x 2000</v>
      </c>
      <c r="E50" s="37" t="n">
        <v>6</v>
      </c>
      <c r="F50" s="39" t="str">
        <f>IF(C50="","",IFERROR(INDEX(art_unit,MATCH(C50,art_ref,0))&amp;"",""))</f>
        <v>feuille</v>
      </c>
      <c r="G50" s="37" t="inlineStr">
        <is>
          <t>BS-2026-0046</t>
        </is>
      </c>
      <c r="H50" s="37" t="inlineStr">
        <is>
          <t>Maintenance</t>
        </is>
      </c>
      <c r="I50" s="37" t="n"/>
      <c r="J50" s="40">
        <f>IF(OR(C50="",NOT(ISNUMBER(E50))),"",IFERROR(E50*N(INDEX(art_price,MATCH(C50,art_ref,0))),""))</f>
        <v>291.0</v>
      </c>
      <c r="K50" s="39">
        <f>IF(OR(C50="",NOT(ISNUMBER(E50))),"",IFERROR(ROUND(N(INDEX(art_init,MATCH(C50,art_ref,0)))+SUMIFS($E$5:E50,$C$5:C50,C50,$B$5:B50,"Entrée")-SUMIFS($E$5:E50,$C$5:C50,C50,$B$5:B50,"Sortie"),6),""))</f>
        <v>20.0</v>
      </c>
      <c r="L50" s="39" t="str">
        <f>IF(COUNTA(A50:C50,E50)=0,"",IF(COUNTA(A50:C50,E50)&lt;4,"Ligne incomplète",IF(NOT(ISNUMBER(A50)),"Date invalide",IF(AND(B50&lt;&gt;"Entrée",B50&lt;&gt;"Sortie"),"Type inconnu",IF(ISNA(MATCH(C50,art_ref,0)),"Référence inconnue",IF(OR(NOT(ISNUMBER(E50)),N(E50)&lt;=0),"Quantité invalide",IF(K50&lt;0,"Stock négatif",IF(AND(ISNUMBER(A49),A50&lt;A49),"Date hors ordre","OK"))))))))</f>
        <v>OK</v>
      </c>
      <c r="M50" s="39" t="str">
        <f>IF(C50="","",C50&amp;"#"&amp;COUNTIF($C$5:C50,C50))</f>
        <v>TOL-ACI-2#3</v>
      </c>
    </row>
    <row r="51">
      <c r="A51" s="41" t="n">
        <v>46065</v>
      </c>
      <c r="B51" s="37" t="inlineStr">
        <is>
          <t>Sortie</t>
        </is>
      </c>
      <c r="C51" s="37" t="inlineStr">
        <is>
          <t>CAB-2.5</t>
        </is>
      </c>
      <c r="D51" s="39" t="str">
        <f>IF(C51="","",IFERROR(INDEX(art_des,MATCH(C51,art_ref,0))&amp;"","Référence inconnue"))</f>
        <v>Câble électrique 2,5 mm²</v>
      </c>
      <c r="E51" s="37" t="n">
        <v>36</v>
      </c>
      <c r="F51" s="39" t="str">
        <f>IF(C51="","",IFERROR(INDEX(art_unit,MATCH(C51,art_ref,0))&amp;"",""))</f>
        <v>m</v>
      </c>
      <c r="G51" s="37" t="inlineStr">
        <is>
          <t>BS-2026-0047</t>
        </is>
      </c>
      <c r="H51" s="37" t="inlineStr">
        <is>
          <t>Atelier montage</t>
        </is>
      </c>
      <c r="I51" s="37" t="n"/>
      <c r="J51" s="40">
        <f>IF(OR(C51="",NOT(ISNUMBER(E51))),"",IFERROR(E51*N(INDEX(art_price,MATCH(C51,art_ref,0))),""))</f>
        <v>24.48</v>
      </c>
      <c r="K51" s="39">
        <f>IF(OR(C51="",NOT(ISNUMBER(E51))),"",IFERROR(ROUND(N(INDEX(art_init,MATCH(C51,art_ref,0)))+SUMIFS($E$5:E51,$C$5:C51,C51,$B$5:B51,"Entrée")-SUMIFS($E$5:E51,$C$5:C51,C51,$B$5:B51,"Sortie"),6),""))</f>
        <v>164.0</v>
      </c>
      <c r="L51" s="39" t="str">
        <f>IF(COUNTA(A51:C51,E51)=0,"",IF(COUNTA(A51:C51,E51)&lt;4,"Ligne incomplète",IF(NOT(ISNUMBER(A51)),"Date invalide",IF(AND(B51&lt;&gt;"Entrée",B51&lt;&gt;"Sortie"),"Type inconnu",IF(ISNA(MATCH(C51,art_ref,0)),"Référence inconnue",IF(OR(NOT(ISNUMBER(E51)),N(E51)&lt;=0),"Quantité invalide",IF(K51&lt;0,"Stock négatif",IF(AND(ISNUMBER(A50),A51&lt;A50),"Date hors ordre","OK"))))))))</f>
        <v>OK</v>
      </c>
      <c r="M51" s="39" t="str">
        <f>IF(C51="","",C51&amp;"#"&amp;COUNTIF($C$5:C51,C51))</f>
        <v>CAB-2.5#3</v>
      </c>
    </row>
    <row r="52">
      <c r="A52" s="41" t="n">
        <v>46065</v>
      </c>
      <c r="B52" s="37" t="inlineStr">
        <is>
          <t>Sortie</t>
        </is>
      </c>
      <c r="C52" s="37" t="inlineStr">
        <is>
          <t>PAL-120</t>
        </is>
      </c>
      <c r="D52" s="39" t="str">
        <f>IF(C52="","",IFERROR(INDEX(art_des,MATCH(C52,art_ref,0))&amp;"","Référence inconnue"))</f>
        <v>Palette bois 120 x 80</v>
      </c>
      <c r="E52" s="37" t="n">
        <v>6</v>
      </c>
      <c r="F52" s="39" t="str">
        <f>IF(C52="","",IFERROR(INDEX(art_unit,MATCH(C52,art_ref,0))&amp;"",""))</f>
        <v>pièce</v>
      </c>
      <c r="G52" s="37" t="inlineStr">
        <is>
          <t>BS-2026-0048</t>
        </is>
      </c>
      <c r="H52" s="37" t="inlineStr">
        <is>
          <t>Atelier usinage</t>
        </is>
      </c>
      <c r="I52" s="37" t="n"/>
      <c r="J52" s="40">
        <f>IF(OR(C52="",NOT(ISNUMBER(E52))),"",IFERROR(E52*N(INDEX(art_price,MATCH(C52,art_ref,0))),""))</f>
        <v>54.0</v>
      </c>
      <c r="K52" s="39">
        <f>IF(OR(C52="",NOT(ISNUMBER(E52))),"",IFERROR(ROUND(N(INDEX(art_init,MATCH(C52,art_ref,0)))+SUMIFS($E$5:E52,$C$5:C52,C52,$B$5:B52,"Entrée")-SUMIFS($E$5:E52,$C$5:C52,C52,$B$5:B52,"Sortie"),6),""))</f>
        <v>21.0</v>
      </c>
      <c r="L52" s="39" t="str">
        <f>IF(COUNTA(A52:C52,E52)=0,"",IF(COUNTA(A52:C52,E52)&lt;4,"Ligne incomplète",IF(NOT(ISNUMBER(A52)),"Date invalide",IF(AND(B52&lt;&gt;"Entrée",B52&lt;&gt;"Sortie"),"Type inconnu",IF(ISNA(MATCH(C52,art_ref,0)),"Référence inconnue",IF(OR(NOT(ISNUMBER(E52)),N(E52)&lt;=0),"Quantité invalide",IF(K52&lt;0,"Stock négatif",IF(AND(ISNUMBER(A51),A52&lt;A51),"Date hors ordre","OK"))))))))</f>
        <v>OK</v>
      </c>
      <c r="M52" s="39" t="str">
        <f>IF(C52="","",C52&amp;"#"&amp;COUNTIF($C$5:C52,C52))</f>
        <v>PAL-120#3</v>
      </c>
    </row>
    <row r="53">
      <c r="A53" s="41" t="n">
        <v>46069</v>
      </c>
      <c r="B53" s="37" t="inlineStr">
        <is>
          <t>Sortie</t>
        </is>
      </c>
      <c r="C53" s="37" t="inlineStr">
        <is>
          <t>DIS-125</t>
        </is>
      </c>
      <c r="D53" s="39" t="str">
        <f>IF(C53="","",IFERROR(INDEX(art_des,MATCH(C53,art_ref,0))&amp;"","Référence inconnue"))</f>
        <v>Disque à tronçonner 125 mm</v>
      </c>
      <c r="E53" s="37" t="n">
        <v>29</v>
      </c>
      <c r="F53" s="39" t="str">
        <f>IF(C53="","",IFERROR(INDEX(art_unit,MATCH(C53,art_ref,0))&amp;"",""))</f>
        <v>pièce</v>
      </c>
      <c r="G53" s="37" t="inlineStr">
        <is>
          <t>BS-2026-0049</t>
        </is>
      </c>
      <c r="H53" s="37" t="inlineStr">
        <is>
          <t>Atelier montage</t>
        </is>
      </c>
      <c r="I53" s="37" t="n"/>
      <c r="J53" s="40">
        <f>IF(OR(C53="",NOT(ISNUMBER(E53))),"",IFERROR(E53*N(INDEX(art_price,MATCH(C53,art_ref,0))),""))</f>
        <v>55.1</v>
      </c>
      <c r="K53" s="39">
        <f>IF(OR(C53="",NOT(ISNUMBER(E53))),"",IFERROR(ROUND(N(INDEX(art_init,MATCH(C53,art_ref,0)))+SUMIFS($E$5:E53,$C$5:C53,C53,$B$5:B53,"Entrée")-SUMIFS($E$5:E53,$C$5:C53,C53,$B$5:B53,"Sortie"),6),""))</f>
        <v>66.0</v>
      </c>
      <c r="L53" s="39" t="str">
        <f>IF(COUNTA(A53:C53,E53)=0,"",IF(COUNTA(A53:C53,E53)&lt;4,"Ligne incomplète",IF(NOT(ISNUMBER(A53)),"Date invalide",IF(AND(B53&lt;&gt;"Entrée",B53&lt;&gt;"Sortie"),"Type inconnu",IF(ISNA(MATCH(C53,art_ref,0)),"Référence inconnue",IF(OR(NOT(ISNUMBER(E53)),N(E53)&lt;=0),"Quantité invalide",IF(K53&lt;0,"Stock négatif",IF(AND(ISNUMBER(A52),A53&lt;A52),"Date hors ordre","OK"))))))))</f>
        <v>OK</v>
      </c>
      <c r="M53" s="39" t="str">
        <f>IF(C53="","",C53&amp;"#"&amp;COUNTIF($C$5:C53,C53))</f>
        <v>DIS-125#4</v>
      </c>
    </row>
    <row r="54">
      <c r="A54" s="41" t="n">
        <v>46069</v>
      </c>
      <c r="B54" s="37" t="inlineStr">
        <is>
          <t>Sortie</t>
        </is>
      </c>
      <c r="C54" s="37" t="inlineStr">
        <is>
          <t>ECR-M6</t>
        </is>
      </c>
      <c r="D54" s="39" t="str">
        <f>IF(C54="","",IFERROR(INDEX(art_des,MATCH(C54,art_ref,0))&amp;"","Référence inconnue"))</f>
        <v>Écrou inox M6</v>
      </c>
      <c r="E54" s="37" t="n">
        <v>311</v>
      </c>
      <c r="F54" s="39" t="str">
        <f>IF(C54="","",IFERROR(INDEX(art_unit,MATCH(C54,art_ref,0))&amp;"",""))</f>
        <v>pièce</v>
      </c>
      <c r="G54" s="37" t="inlineStr">
        <is>
          <t>BS-2026-0050</t>
        </is>
      </c>
      <c r="H54" s="37" t="inlineStr">
        <is>
          <t>Atelier soudure</t>
        </is>
      </c>
      <c r="I54" s="37" t="n"/>
      <c r="J54" s="40">
        <f>IF(OR(C54="",NOT(ISNUMBER(E54))),"",IFERROR(E54*N(INDEX(art_price,MATCH(C54,art_ref,0))),""))</f>
        <v>15.55</v>
      </c>
      <c r="K54" s="39">
        <f>IF(OR(C54="",NOT(ISNUMBER(E54))),"",IFERROR(ROUND(N(INDEX(art_init,MATCH(C54,art_ref,0)))+SUMIFS($E$5:E54,$C$5:C54,C54,$B$5:B54,"Entrée")-SUMIFS($E$5:E54,$C$5:C54,C54,$B$5:B54,"Sortie"),6),""))</f>
        <v>1263.0</v>
      </c>
      <c r="L54" s="39" t="str">
        <f>IF(COUNTA(A54:C54,E54)=0,"",IF(COUNTA(A54:C54,E54)&lt;4,"Ligne incomplète",IF(NOT(ISNUMBER(A54)),"Date invalide",IF(AND(B54&lt;&gt;"Entrée",B54&lt;&gt;"Sortie"),"Type inconnu",IF(ISNA(MATCH(C54,art_ref,0)),"Référence inconnue",IF(OR(NOT(ISNUMBER(E54)),N(E54)&lt;=0),"Quantité invalide",IF(K54&lt;0,"Stock négatif",IF(AND(ISNUMBER(A53),A54&lt;A53),"Date hors ordre","OK"))))))))</f>
        <v>OK</v>
      </c>
      <c r="M54" s="39" t="str">
        <f>IF(C54="","",C54&amp;"#"&amp;COUNTIF($C$5:C54,C54))</f>
        <v>ECR-M6#4</v>
      </c>
    </row>
    <row r="55">
      <c r="A55" s="41" t="n">
        <v>46071</v>
      </c>
      <c r="B55" s="37" t="inlineStr">
        <is>
          <t>Sortie</t>
        </is>
      </c>
      <c r="C55" s="37" t="inlineStr">
        <is>
          <t>CAR-40-30</t>
        </is>
      </c>
      <c r="D55" s="39" t="str">
        <f>IF(C55="","",IFERROR(INDEX(art_des,MATCH(C55,art_ref,0))&amp;"","Référence inconnue"))</f>
        <v>Carton double cannelure 40 x 30 x 20</v>
      </c>
      <c r="E55" s="37" t="n">
        <v>108</v>
      </c>
      <c r="F55" s="39" t="str">
        <f>IF(C55="","",IFERROR(INDEX(art_unit,MATCH(C55,art_ref,0))&amp;"",""))</f>
        <v>pièce</v>
      </c>
      <c r="G55" s="37" t="inlineStr">
        <is>
          <t>BS-2026-0051</t>
        </is>
      </c>
      <c r="H55" s="37" t="inlineStr">
        <is>
          <t>Atelier usinage</t>
        </is>
      </c>
      <c r="I55" s="37" t="n"/>
      <c r="J55" s="40">
        <f>IF(OR(C55="",NOT(ISNUMBER(E55))),"",IFERROR(E55*N(INDEX(art_price,MATCH(C55,art_ref,0))),""))</f>
        <v>102.6</v>
      </c>
      <c r="K55" s="39">
        <f>IF(OR(C55="",NOT(ISNUMBER(E55))),"",IFERROR(ROUND(N(INDEX(art_init,MATCH(C55,art_ref,0)))+SUMIFS($E$5:E55,$C$5:C55,C55,$B$5:B55,"Entrée")-SUMIFS($E$5:E55,$C$5:C55,C55,$B$5:B55,"Sortie"),6),""))</f>
        <v>104.0</v>
      </c>
      <c r="L55" s="39" t="str">
        <f>IF(COUNTA(A55:C55,E55)=0,"",IF(COUNTA(A55:C55,E55)&lt;4,"Ligne incomplète",IF(NOT(ISNUMBER(A55)),"Date invalide",IF(AND(B55&lt;&gt;"Entrée",B55&lt;&gt;"Sortie"),"Type inconnu",IF(ISNA(MATCH(C55,art_ref,0)),"Référence inconnue",IF(OR(NOT(ISNUMBER(E55)),N(E55)&lt;=0),"Quantité invalide",IF(K55&lt;0,"Stock négatif",IF(AND(ISNUMBER(A54),A55&lt;A54),"Date hors ordre","OK"))))))))</f>
        <v>OK</v>
      </c>
      <c r="M55" s="39" t="str">
        <f>IF(C55="","",C55&amp;"#"&amp;COUNTIF($C$5:C55,C55))</f>
        <v>CAR-40-30#4</v>
      </c>
    </row>
    <row r="56">
      <c r="A56" s="41" t="n">
        <v>46072</v>
      </c>
      <c r="B56" s="37" t="inlineStr">
        <is>
          <t>Sortie</t>
        </is>
      </c>
      <c r="C56" s="37" t="inlineStr">
        <is>
          <t>CAB-2.5</t>
        </is>
      </c>
      <c r="D56" s="39" t="str">
        <f>IF(C56="","",IFERROR(INDEX(art_des,MATCH(C56,art_ref,0))&amp;"","Référence inconnue"))</f>
        <v>Câble électrique 2,5 mm²</v>
      </c>
      <c r="E56" s="37" t="n">
        <v>43</v>
      </c>
      <c r="F56" s="39" t="str">
        <f>IF(C56="","",IFERROR(INDEX(art_unit,MATCH(C56,art_ref,0))&amp;"",""))</f>
        <v>m</v>
      </c>
      <c r="G56" s="37" t="inlineStr">
        <is>
          <t>BS-2026-0052</t>
        </is>
      </c>
      <c r="H56" s="37" t="inlineStr">
        <is>
          <t>Atelier soudure</t>
        </is>
      </c>
      <c r="I56" s="37" t="n"/>
      <c r="J56" s="40">
        <f>IF(OR(C56="",NOT(ISNUMBER(E56))),"",IFERROR(E56*N(INDEX(art_price,MATCH(C56,art_ref,0))),""))</f>
        <v>29.24</v>
      </c>
      <c r="K56" s="39">
        <f>IF(OR(C56="",NOT(ISNUMBER(E56))),"",IFERROR(ROUND(N(INDEX(art_init,MATCH(C56,art_ref,0)))+SUMIFS($E$5:E56,$C$5:C56,C56,$B$5:B56,"Entrée")-SUMIFS($E$5:E56,$C$5:C56,C56,$B$5:B56,"Sortie"),6),""))</f>
        <v>121.0</v>
      </c>
      <c r="L56" s="39" t="str">
        <f>IF(COUNTA(A56:C56,E56)=0,"",IF(COUNTA(A56:C56,E56)&lt;4,"Ligne incomplète",IF(NOT(ISNUMBER(A56)),"Date invalide",IF(AND(B56&lt;&gt;"Entrée",B56&lt;&gt;"Sortie"),"Type inconnu",IF(ISNA(MATCH(C56,art_ref,0)),"Référence inconnue",IF(OR(NOT(ISNUMBER(E56)),N(E56)&lt;=0),"Quantité invalide",IF(K56&lt;0,"Stock négatif",IF(AND(ISNUMBER(A55),A56&lt;A55),"Date hors ordre","OK"))))))))</f>
        <v>OK</v>
      </c>
      <c r="M56" s="39" t="str">
        <f>IF(C56="","",C56&amp;"#"&amp;COUNTIF($C$5:C56,C56))</f>
        <v>CAB-2.5#4</v>
      </c>
    </row>
    <row r="57">
      <c r="A57" s="41" t="n">
        <v>46072</v>
      </c>
      <c r="B57" s="37" t="inlineStr">
        <is>
          <t>Sortie</t>
        </is>
      </c>
      <c r="C57" s="37" t="inlineStr">
        <is>
          <t>ROU-6204</t>
        </is>
      </c>
      <c r="D57" s="39" t="str">
        <f>IF(C57="","",IFERROR(INDEX(art_des,MATCH(C57,art_ref,0))&amp;"","Référence inconnue"))</f>
        <v>Roulement à billes 6204 2RS</v>
      </c>
      <c r="E57" s="37" t="n">
        <v>18</v>
      </c>
      <c r="F57" s="39" t="str">
        <f>IF(C57="","",IFERROR(INDEX(art_unit,MATCH(C57,art_ref,0))&amp;"",""))</f>
        <v>pièce</v>
      </c>
      <c r="G57" s="37" t="inlineStr">
        <is>
          <t>BS-2026-0053</t>
        </is>
      </c>
      <c r="H57" s="37" t="inlineStr">
        <is>
          <t>Atelier montage</t>
        </is>
      </c>
      <c r="I57" s="37" t="n"/>
      <c r="J57" s="40">
        <f>IF(OR(C57="",NOT(ISNUMBER(E57))),"",IFERROR(E57*N(INDEX(art_price,MATCH(C57,art_ref,0))),""))</f>
        <v>68.4</v>
      </c>
      <c r="K57" s="39">
        <f>IF(OR(C57="",NOT(ISNUMBER(E57))),"",IFERROR(ROUND(N(INDEX(art_init,MATCH(C57,art_ref,0)))+SUMIFS($E$5:E57,$C$5:C57,C57,$B$5:B57,"Entrée")-SUMIFS($E$5:E57,$C$5:C57,C57,$B$5:B57,"Sortie"),6),""))</f>
        <v>51.0</v>
      </c>
      <c r="L57" s="39" t="str">
        <f>IF(COUNTA(A57:C57,E57)=0,"",IF(COUNTA(A57:C57,E57)&lt;4,"Ligne incomplète",IF(NOT(ISNUMBER(A57)),"Date invalide",IF(AND(B57&lt;&gt;"Entrée",B57&lt;&gt;"Sortie"),"Type inconnu",IF(ISNA(MATCH(C57,art_ref,0)),"Référence inconnue",IF(OR(NOT(ISNUMBER(E57)),N(E57)&lt;=0),"Quantité invalide",IF(K57&lt;0,"Stock négatif",IF(AND(ISNUMBER(A56),A57&lt;A56),"Date hors ordre","OK"))))))))</f>
        <v>OK</v>
      </c>
      <c r="M57" s="39" t="str">
        <f>IF(C57="","",C57&amp;"#"&amp;COUNTIF($C$5:C57,C57))</f>
        <v>ROU-6204#4</v>
      </c>
    </row>
    <row r="58">
      <c r="A58" s="41" t="n">
        <v>46072</v>
      </c>
      <c r="B58" s="37" t="inlineStr">
        <is>
          <t>Sortie</t>
        </is>
      </c>
      <c r="C58" s="37" t="inlineStr">
        <is>
          <t>TUB-ACI-40</t>
        </is>
      </c>
      <c r="D58" s="39" t="str">
        <f>IF(C58="","",IFERROR(INDEX(art_des,MATCH(C58,art_ref,0))&amp;"","Référence inconnue"))</f>
        <v>Tube acier carré 40 x 40, 6 m</v>
      </c>
      <c r="E58" s="37" t="n">
        <v>3</v>
      </c>
      <c r="F58" s="39" t="str">
        <f>IF(C58="","",IFERROR(INDEX(art_unit,MATCH(C58,art_ref,0))&amp;"",""))</f>
        <v>barre</v>
      </c>
      <c r="G58" s="37" t="inlineStr">
        <is>
          <t>BS-2026-0054</t>
        </is>
      </c>
      <c r="H58" s="37" t="inlineStr">
        <is>
          <t>Maintenance</t>
        </is>
      </c>
      <c r="I58" s="37" t="n"/>
      <c r="J58" s="40">
        <f>IF(OR(C58="",NOT(ISNUMBER(E58))),"",IFERROR(E58*N(INDEX(art_price,MATCH(C58,art_ref,0))),""))</f>
        <v>93.6</v>
      </c>
      <c r="K58" s="39">
        <f>IF(OR(C58="",NOT(ISNUMBER(E58))),"",IFERROR(ROUND(N(INDEX(art_init,MATCH(C58,art_ref,0)))+SUMIFS($E$5:E58,$C$5:C58,C58,$B$5:B58,"Entrée")-SUMIFS($E$5:E58,$C$5:C58,C58,$B$5:B58,"Sortie"),6),""))</f>
        <v>15.0</v>
      </c>
      <c r="L58" s="39" t="str">
        <f>IF(COUNTA(A58:C58,E58)=0,"",IF(COUNTA(A58:C58,E58)&lt;4,"Ligne incomplète",IF(NOT(ISNUMBER(A58)),"Date invalide",IF(AND(B58&lt;&gt;"Entrée",B58&lt;&gt;"Sortie"),"Type inconnu",IF(ISNA(MATCH(C58,art_ref,0)),"Référence inconnue",IF(OR(NOT(ISNUMBER(E58)),N(E58)&lt;=0),"Quantité invalide",IF(K58&lt;0,"Stock négatif",IF(AND(ISNUMBER(A57),A58&lt;A57),"Date hors ordre","OK"))))))))</f>
        <v>OK</v>
      </c>
      <c r="M58" s="39" t="str">
        <f>IF(C58="","",C58&amp;"#"&amp;COUNTIF($C$5:C58,C58))</f>
        <v>TUB-ACI-40#4</v>
      </c>
    </row>
    <row r="59">
      <c r="A59" s="41" t="n">
        <v>46073</v>
      </c>
      <c r="B59" s="37" t="inlineStr">
        <is>
          <t>Sortie</t>
        </is>
      </c>
      <c r="C59" s="37" t="inlineStr">
        <is>
          <t>TOL-ACI-2</t>
        </is>
      </c>
      <c r="D59" s="39" t="str">
        <f>IF(C59="","",IFERROR(INDEX(art_des,MATCH(C59,art_ref,0))&amp;"","Référence inconnue"))</f>
        <v>Tôle acier 2 mm 1000 x 2000</v>
      </c>
      <c r="E59" s="37" t="n">
        <v>5</v>
      </c>
      <c r="F59" s="39" t="str">
        <f>IF(C59="","",IFERROR(INDEX(art_unit,MATCH(C59,art_ref,0))&amp;"",""))</f>
        <v>feuille</v>
      </c>
      <c r="G59" s="37" t="inlineStr">
        <is>
          <t>BS-2026-0055</t>
        </is>
      </c>
      <c r="H59" s="37" t="inlineStr">
        <is>
          <t>Maintenance</t>
        </is>
      </c>
      <c r="I59" s="37" t="n"/>
      <c r="J59" s="40">
        <f>IF(OR(C59="",NOT(ISNUMBER(E59))),"",IFERROR(E59*N(INDEX(art_price,MATCH(C59,art_ref,0))),""))</f>
        <v>242.5</v>
      </c>
      <c r="K59" s="39">
        <f>IF(OR(C59="",NOT(ISNUMBER(E59))),"",IFERROR(ROUND(N(INDEX(art_init,MATCH(C59,art_ref,0)))+SUMIFS($E$5:E59,$C$5:C59,C59,$B$5:B59,"Entrée")-SUMIFS($E$5:E59,$C$5:C59,C59,$B$5:B59,"Sortie"),6),""))</f>
        <v>15.0</v>
      </c>
      <c r="L59" s="39" t="str">
        <f>IF(COUNTA(A59:C59,E59)=0,"",IF(COUNTA(A59:C59,E59)&lt;4,"Ligne incomplète",IF(NOT(ISNUMBER(A59)),"Date invalide",IF(AND(B59&lt;&gt;"Entrée",B59&lt;&gt;"Sortie"),"Type inconnu",IF(ISNA(MATCH(C59,art_ref,0)),"Référence inconnue",IF(OR(NOT(ISNUMBER(E59)),N(E59)&lt;=0),"Quantité invalide",IF(K59&lt;0,"Stock négatif",IF(AND(ISNUMBER(A58),A59&lt;A58),"Date hors ordre","OK"))))))))</f>
        <v>OK</v>
      </c>
      <c r="M59" s="39" t="str">
        <f>IF(C59="","",C59&amp;"#"&amp;COUNTIF($C$5:C59,C59))</f>
        <v>TOL-ACI-2#4</v>
      </c>
    </row>
    <row r="60">
      <c r="A60" s="41" t="n">
        <v>46074</v>
      </c>
      <c r="B60" s="37" t="inlineStr">
        <is>
          <t>Entrée</t>
        </is>
      </c>
      <c r="C60" s="37" t="inlineStr">
        <is>
          <t>CAR-40-30</t>
        </is>
      </c>
      <c r="D60" s="39" t="str">
        <f>IF(C60="","",IFERROR(INDEX(art_des,MATCH(C60,art_ref,0))&amp;"","Référence inconnue"))</f>
        <v>Carton double cannelure 40 x 30 x 20</v>
      </c>
      <c r="E60" s="37" t="n">
        <v>696</v>
      </c>
      <c r="F60" s="39" t="str">
        <f>IF(C60="","",IFERROR(INDEX(art_unit,MATCH(C60,art_ref,0))&amp;"",""))</f>
        <v>pièce</v>
      </c>
      <c r="G60" s="37" t="inlineStr">
        <is>
          <t>BL-2026-001</t>
        </is>
      </c>
      <c r="H60" s="37" t="inlineStr">
        <is>
          <t>Emballages Atlas</t>
        </is>
      </c>
      <c r="I60" s="37" t="inlineStr">
        <is>
          <t>Réception commande</t>
        </is>
      </c>
      <c r="J60" s="40">
        <f>IF(OR(C60="",NOT(ISNUMBER(E60))),"",IFERROR(E60*N(INDEX(art_price,MATCH(C60,art_ref,0))),""))</f>
        <v>661.2</v>
      </c>
      <c r="K60" s="39">
        <f>IF(OR(C60="",NOT(ISNUMBER(E60))),"",IFERROR(ROUND(N(INDEX(art_init,MATCH(C60,art_ref,0)))+SUMIFS($E$5:E60,$C$5:C60,C60,$B$5:B60,"Entrée")-SUMIFS($E$5:E60,$C$5:C60,C60,$B$5:B60,"Sortie"),6),""))</f>
        <v>800.0</v>
      </c>
      <c r="L60" s="39" t="str">
        <f>IF(COUNTA(A60:C60,E60)=0,"",IF(COUNTA(A60:C60,E60)&lt;4,"Ligne incomplète",IF(NOT(ISNUMBER(A60)),"Date invalide",IF(AND(B60&lt;&gt;"Entrée",B60&lt;&gt;"Sortie"),"Type inconnu",IF(ISNA(MATCH(C60,art_ref,0)),"Référence inconnue",IF(OR(NOT(ISNUMBER(E60)),N(E60)&lt;=0),"Quantité invalide",IF(K60&lt;0,"Stock négatif",IF(AND(ISNUMBER(A59),A60&lt;A59),"Date hors ordre","OK"))))))))</f>
        <v>OK</v>
      </c>
      <c r="M60" s="39" t="str">
        <f>IF(C60="","",C60&amp;"#"&amp;COUNTIF($C$5:C60,C60))</f>
        <v>CAR-40-30#5</v>
      </c>
    </row>
    <row r="61">
      <c r="A61" s="41" t="n">
        <v>46074</v>
      </c>
      <c r="B61" s="37" t="inlineStr">
        <is>
          <t>Sortie</t>
        </is>
      </c>
      <c r="C61" s="37" t="inlineStr">
        <is>
          <t>FOR-HSS-8</t>
        </is>
      </c>
      <c r="D61" s="39" t="str">
        <f>IF(C61="","",IFERROR(INDEX(art_des,MATCH(C61,art_ref,0))&amp;"","Référence inconnue"))</f>
        <v>Foret HSS 8 mm</v>
      </c>
      <c r="E61" s="37" t="n">
        <v>3</v>
      </c>
      <c r="F61" s="39" t="str">
        <f>IF(C61="","",IFERROR(INDEX(art_unit,MATCH(C61,art_ref,0))&amp;"",""))</f>
        <v>pièce</v>
      </c>
      <c r="G61" s="37" t="inlineStr">
        <is>
          <t>BS-2026-0056</t>
        </is>
      </c>
      <c r="H61" s="37" t="inlineStr">
        <is>
          <t>Atelier soudure</t>
        </is>
      </c>
      <c r="I61" s="37" t="n"/>
      <c r="J61" s="40">
        <f>IF(OR(C61="",NOT(ISNUMBER(E61))),"",IFERROR(E61*N(INDEX(art_price,MATCH(C61,art_ref,0))),""))</f>
        <v>13.8</v>
      </c>
      <c r="K61" s="39">
        <f>IF(OR(C61="",NOT(ISNUMBER(E61))),"",IFERROR(ROUND(N(INDEX(art_init,MATCH(C61,art_ref,0)))+SUMIFS($E$5:E61,$C$5:C61,C61,$B$5:B61,"Entrée")-SUMIFS($E$5:E61,$C$5:C61,C61,$B$5:B61,"Sortie"),6),""))</f>
        <v>17.0</v>
      </c>
      <c r="L61" s="39" t="str">
        <f>IF(COUNTA(A61:C61,E61)=0,"",IF(COUNTA(A61:C61,E61)&lt;4,"Ligne incomplète",IF(NOT(ISNUMBER(A61)),"Date invalide",IF(AND(B61&lt;&gt;"Entrée",B61&lt;&gt;"Sortie"),"Type inconnu",IF(ISNA(MATCH(C61,art_ref,0)),"Référence inconnue",IF(OR(NOT(ISNUMBER(E61)),N(E61)&lt;=0),"Quantité invalide",IF(K61&lt;0,"Stock négatif",IF(AND(ISNUMBER(A60),A61&lt;A60),"Date hors ordre","OK"))))))))</f>
        <v>OK</v>
      </c>
      <c r="M61" s="39" t="str">
        <f>IF(C61="","",C61&amp;"#"&amp;COUNTIF($C$5:C61,C61))</f>
        <v>FOR-HSS-8#4</v>
      </c>
    </row>
    <row r="62">
      <c r="A62" s="41" t="n">
        <v>46074</v>
      </c>
      <c r="B62" s="37" t="inlineStr">
        <is>
          <t>Sortie</t>
        </is>
      </c>
      <c r="C62" s="37" t="inlineStr">
        <is>
          <t>GAN-NIT</t>
        </is>
      </c>
      <c r="D62" s="39" t="str">
        <f>IF(C62="","",IFERROR(INDEX(art_des,MATCH(C62,art_ref,0))&amp;"","Référence inconnue"))</f>
        <v>Gants nitrile, boîte de 100</v>
      </c>
      <c r="E62" s="37" t="n">
        <v>4</v>
      </c>
      <c r="F62" s="39" t="str">
        <f>IF(C62="","",IFERROR(INDEX(art_unit,MATCH(C62,art_ref,0))&amp;"",""))</f>
        <v>boîte</v>
      </c>
      <c r="G62" s="37" t="inlineStr">
        <is>
          <t>BS-2026-0057</t>
        </is>
      </c>
      <c r="H62" s="37" t="inlineStr">
        <is>
          <t>Atelier soudure</t>
        </is>
      </c>
      <c r="I62" s="37" t="n"/>
      <c r="J62" s="40">
        <f>IF(OR(C62="",NOT(ISNUMBER(E62))),"",IFERROR(E62*N(INDEX(art_price,MATCH(C62,art_ref,0))),""))</f>
        <v>30.0</v>
      </c>
      <c r="K62" s="39">
        <f>IF(OR(C62="",NOT(ISNUMBER(E62))),"",IFERROR(ROUND(N(INDEX(art_init,MATCH(C62,art_ref,0)))+SUMIFS($E$5:E62,$C$5:C62,C62,$B$5:B62,"Entrée")-SUMIFS($E$5:E62,$C$5:C62,C62,$B$5:B62,"Sortie"),6),""))</f>
        <v>11.0</v>
      </c>
      <c r="L62" s="39" t="str">
        <f>IF(COUNTA(A62:C62,E62)=0,"",IF(COUNTA(A62:C62,E62)&lt;4,"Ligne incomplète",IF(NOT(ISNUMBER(A62)),"Date invalide",IF(AND(B62&lt;&gt;"Entrée",B62&lt;&gt;"Sortie"),"Type inconnu",IF(ISNA(MATCH(C62,art_ref,0)),"Référence inconnue",IF(OR(NOT(ISNUMBER(E62)),N(E62)&lt;=0),"Quantité invalide",IF(K62&lt;0,"Stock négatif",IF(AND(ISNUMBER(A61),A62&lt;A61),"Date hors ordre","OK"))))))))</f>
        <v>OK</v>
      </c>
      <c r="M62" s="39" t="str">
        <f>IF(C62="","",C62&amp;"#"&amp;COUNTIF($C$5:C62,C62))</f>
        <v>GAN-NIT#4</v>
      </c>
    </row>
    <row r="63">
      <c r="A63" s="41" t="n">
        <v>46074</v>
      </c>
      <c r="B63" s="37" t="inlineStr">
        <is>
          <t>Sortie</t>
        </is>
      </c>
      <c r="C63" s="37" t="inlineStr">
        <is>
          <t>VIS-M6-20</t>
        </is>
      </c>
      <c r="D63" s="39" t="str">
        <f>IF(C63="","",IFERROR(INDEX(art_des,MATCH(C63,art_ref,0))&amp;"","Référence inconnue"))</f>
        <v>Vis inox M6 x 20</v>
      </c>
      <c r="E63" s="37" t="n">
        <v>479</v>
      </c>
      <c r="F63" s="39" t="str">
        <f>IF(C63="","",IFERROR(INDEX(art_unit,MATCH(C63,art_ref,0))&amp;"",""))</f>
        <v>pièce</v>
      </c>
      <c r="G63" s="37" t="inlineStr">
        <is>
          <t>BS-2026-0058</t>
        </is>
      </c>
      <c r="H63" s="37" t="inlineStr">
        <is>
          <t>Atelier montage</t>
        </is>
      </c>
      <c r="I63" s="37" t="n"/>
      <c r="J63" s="40">
        <f>IF(OR(C63="",NOT(ISNUMBER(E63))),"",IFERROR(E63*N(INDEX(art_price,MATCH(C63,art_ref,0))),""))</f>
        <v>57.48</v>
      </c>
      <c r="K63" s="39">
        <f>IF(OR(C63="",NOT(ISNUMBER(E63))),"",IFERROR(ROUND(N(INDEX(art_init,MATCH(C63,art_ref,0)))+SUMIFS($E$5:E63,$C$5:C63,C63,$B$5:B63,"Entrée")-SUMIFS($E$5:E63,$C$5:C63,C63,$B$5:B63,"Sortie"),6),""))</f>
        <v>793.0</v>
      </c>
      <c r="L63" s="39" t="str">
        <f>IF(COUNTA(A63:C63,E63)=0,"",IF(COUNTA(A63:C63,E63)&lt;4,"Ligne incomplète",IF(NOT(ISNUMBER(A63)),"Date invalide",IF(AND(B63&lt;&gt;"Entrée",B63&lt;&gt;"Sortie"),"Type inconnu",IF(ISNA(MATCH(C63,art_ref,0)),"Référence inconnue",IF(OR(NOT(ISNUMBER(E63)),N(E63)&lt;=0),"Quantité invalide",IF(K63&lt;0,"Stock négatif",IF(AND(ISNUMBER(A62),A63&lt;A62),"Date hors ordre","OK"))))))))</f>
        <v>OK</v>
      </c>
      <c r="M63" s="39" t="str">
        <f>IF(C63="","",C63&amp;"#"&amp;COUNTIF($C$5:C63,C63))</f>
        <v>VIS-M6-20#4</v>
      </c>
    </row>
    <row r="64">
      <c r="A64" s="41" t="n">
        <v>46075</v>
      </c>
      <c r="B64" s="37" t="inlineStr">
        <is>
          <t>Sortie</t>
        </is>
      </c>
      <c r="C64" s="37" t="inlineStr">
        <is>
          <t>BOR-WAGO-3</t>
        </is>
      </c>
      <c r="D64" s="39" t="str">
        <f>IF(C64="","",IFERROR(INDEX(art_des,MATCH(C64,art_ref,0))&amp;"","Référence inconnue"))</f>
        <v>Borne de connexion 3 entrées</v>
      </c>
      <c r="E64" s="37" t="n">
        <v>33</v>
      </c>
      <c r="F64" s="39" t="str">
        <f>IF(C64="","",IFERROR(INDEX(art_unit,MATCH(C64,art_ref,0))&amp;"",""))</f>
        <v>pièce</v>
      </c>
      <c r="G64" s="37" t="inlineStr">
        <is>
          <t>BS-2026-0059</t>
        </is>
      </c>
      <c r="H64" s="37" t="inlineStr">
        <is>
          <t>Maintenance</t>
        </is>
      </c>
      <c r="I64" s="37" t="n"/>
      <c r="J64" s="40">
        <f>IF(OR(C64="",NOT(ISNUMBER(E64))),"",IFERROR(E64*N(INDEX(art_price,MATCH(C64,art_ref,0))),""))</f>
        <v>13.86</v>
      </c>
      <c r="K64" s="39">
        <f>IF(OR(C64="",NOT(ISNUMBER(E64))),"",IFERROR(ROUND(N(INDEX(art_init,MATCH(C64,art_ref,0)))+SUMIFS($E$5:E64,$C$5:C64,C64,$B$5:B64,"Entrée")-SUMIFS($E$5:E64,$C$5:C64,C64,$B$5:B64,"Sortie"),6),""))</f>
        <v>70.0</v>
      </c>
      <c r="L64" s="39" t="str">
        <f>IF(COUNTA(A64:C64,E64)=0,"",IF(COUNTA(A64:C64,E64)&lt;4,"Ligne incomplète",IF(NOT(ISNUMBER(A64)),"Date invalide",IF(AND(B64&lt;&gt;"Entrée",B64&lt;&gt;"Sortie"),"Type inconnu",IF(ISNA(MATCH(C64,art_ref,0)),"Référence inconnue",IF(OR(NOT(ISNUMBER(E64)),N(E64)&lt;=0),"Quantité invalide",IF(K64&lt;0,"Stock négatif",IF(AND(ISNUMBER(A63),A64&lt;A63),"Date hors ordre","OK"))))))))</f>
        <v>OK</v>
      </c>
      <c r="M64" s="39" t="str">
        <f>IF(C64="","",C64&amp;"#"&amp;COUNTIF($C$5:C64,C64))</f>
        <v>BOR-WAGO-3#4</v>
      </c>
    </row>
    <row r="65">
      <c r="A65" s="41" t="n">
        <v>46076</v>
      </c>
      <c r="B65" s="37" t="inlineStr">
        <is>
          <t>Entrée</t>
        </is>
      </c>
      <c r="C65" s="37" t="inlineStr">
        <is>
          <t>TOL-ACI-2</t>
        </is>
      </c>
      <c r="D65" s="39" t="str">
        <f>IF(C65="","",IFERROR(INDEX(art_des,MATCH(C65,art_ref,0))&amp;"","Référence inconnue"))</f>
        <v>Tôle acier 2 mm 1000 x 2000</v>
      </c>
      <c r="E65" s="37" t="n">
        <v>45</v>
      </c>
      <c r="F65" s="39" t="str">
        <f>IF(C65="","",IFERROR(INDEX(art_unit,MATCH(C65,art_ref,0))&amp;"",""))</f>
        <v>feuille</v>
      </c>
      <c r="G65" s="37" t="inlineStr">
        <is>
          <t>BL-2026-002</t>
        </is>
      </c>
      <c r="H65" s="37" t="inlineStr">
        <is>
          <t>Aciers Service</t>
        </is>
      </c>
      <c r="I65" s="37" t="inlineStr">
        <is>
          <t>Réception commande</t>
        </is>
      </c>
      <c r="J65" s="40">
        <f>IF(OR(C65="",NOT(ISNUMBER(E65))),"",IFERROR(E65*N(INDEX(art_price,MATCH(C65,art_ref,0))),""))</f>
        <v>2182.5</v>
      </c>
      <c r="K65" s="39">
        <f>IF(OR(C65="",NOT(ISNUMBER(E65))),"",IFERROR(ROUND(N(INDEX(art_init,MATCH(C65,art_ref,0)))+SUMIFS($E$5:E65,$C$5:C65,C65,$B$5:B65,"Entrée")-SUMIFS($E$5:E65,$C$5:C65,C65,$B$5:B65,"Sortie"),6),""))</f>
        <v>60.0</v>
      </c>
      <c r="L65" s="39" t="str">
        <f>IF(COUNTA(A65:C65,E65)=0,"",IF(COUNTA(A65:C65,E65)&lt;4,"Ligne incomplète",IF(NOT(ISNUMBER(A65)),"Date invalide",IF(AND(B65&lt;&gt;"Entrée",B65&lt;&gt;"Sortie"),"Type inconnu",IF(ISNA(MATCH(C65,art_ref,0)),"Référence inconnue",IF(OR(NOT(ISNUMBER(E65)),N(E65)&lt;=0),"Quantité invalide",IF(K65&lt;0,"Stock négatif",IF(AND(ISNUMBER(A64),A65&lt;A64),"Date hors ordre","OK"))))))))</f>
        <v>OK</v>
      </c>
      <c r="M65" s="39" t="str">
        <f>IF(C65="","",C65&amp;"#"&amp;COUNTIF($C$5:C65,C65))</f>
        <v>TOL-ACI-2#5</v>
      </c>
    </row>
    <row r="66">
      <c r="A66" s="41" t="n">
        <v>46077</v>
      </c>
      <c r="B66" s="37" t="inlineStr">
        <is>
          <t>Entrée</t>
        </is>
      </c>
      <c r="C66" s="37" t="inlineStr">
        <is>
          <t>VIS-M6-20</t>
        </is>
      </c>
      <c r="D66" s="39" t="str">
        <f>IF(C66="","",IFERROR(INDEX(art_des,MATCH(C66,art_ref,0))&amp;"","Référence inconnue"))</f>
        <v>Vis inox M6 x 20</v>
      </c>
      <c r="E66" s="37" t="n">
        <v>3207</v>
      </c>
      <c r="F66" s="39" t="str">
        <f>IF(C66="","",IFERROR(INDEX(art_unit,MATCH(C66,art_ref,0))&amp;"",""))</f>
        <v>pièce</v>
      </c>
      <c r="G66" s="37" t="inlineStr">
        <is>
          <t>BL-2026-003</t>
        </is>
      </c>
      <c r="H66" s="37" t="inlineStr">
        <is>
          <t>Visserie du Centre</t>
        </is>
      </c>
      <c r="I66" s="37" t="inlineStr">
        <is>
          <t>Réception commande</t>
        </is>
      </c>
      <c r="J66" s="40">
        <f>IF(OR(C66="",NOT(ISNUMBER(E66))),"",IFERROR(E66*N(INDEX(art_price,MATCH(C66,art_ref,0))),""))</f>
        <v>384.84</v>
      </c>
      <c r="K66" s="39">
        <f>IF(OR(C66="",NOT(ISNUMBER(E66))),"",IFERROR(ROUND(N(INDEX(art_init,MATCH(C66,art_ref,0)))+SUMIFS($E$5:E66,$C$5:C66,C66,$B$5:B66,"Entrée")-SUMIFS($E$5:E66,$C$5:C66,C66,$B$5:B66,"Sortie"),6),""))</f>
        <v>4000.0</v>
      </c>
      <c r="L66" s="39" t="str">
        <f>IF(COUNTA(A66:C66,E66)=0,"",IF(COUNTA(A66:C66,E66)&lt;4,"Ligne incomplète",IF(NOT(ISNUMBER(A66)),"Date invalide",IF(AND(B66&lt;&gt;"Entrée",B66&lt;&gt;"Sortie"),"Type inconnu",IF(ISNA(MATCH(C66,art_ref,0)),"Référence inconnue",IF(OR(NOT(ISNUMBER(E66)),N(E66)&lt;=0),"Quantité invalide",IF(K66&lt;0,"Stock négatif",IF(AND(ISNUMBER(A65),A66&lt;A65),"Date hors ordre","OK"))))))))</f>
        <v>OK</v>
      </c>
      <c r="M66" s="39" t="str">
        <f>IF(C66="","",C66&amp;"#"&amp;COUNTIF($C$5:C66,C66))</f>
        <v>VIS-M6-20#5</v>
      </c>
    </row>
    <row r="67">
      <c r="A67" s="41" t="n">
        <v>46078</v>
      </c>
      <c r="B67" s="37" t="inlineStr">
        <is>
          <t>Sortie</t>
        </is>
      </c>
      <c r="C67" s="37" t="inlineStr">
        <is>
          <t>RON-M6</t>
        </is>
      </c>
      <c r="D67" s="39" t="str">
        <f>IF(C67="","",IFERROR(INDEX(art_des,MATCH(C67,art_ref,0))&amp;"","Référence inconnue"))</f>
        <v>Rondelle plate M6</v>
      </c>
      <c r="E67" s="37" t="n">
        <v>303</v>
      </c>
      <c r="F67" s="39" t="str">
        <f>IF(C67="","",IFERROR(INDEX(art_unit,MATCH(C67,art_ref,0))&amp;"",""))</f>
        <v>pièce</v>
      </c>
      <c r="G67" s="37" t="inlineStr">
        <is>
          <t>BS-2026-0060</t>
        </is>
      </c>
      <c r="H67" s="37" t="inlineStr">
        <is>
          <t>Atelier montage</t>
        </is>
      </c>
      <c r="I67" s="37" t="n"/>
      <c r="J67" s="40">
        <f>IF(OR(C67="",NOT(ISNUMBER(E67))),"",IFERROR(E67*N(INDEX(art_price,MATCH(C67,art_ref,0))),""))</f>
        <v>9.09</v>
      </c>
      <c r="K67" s="39">
        <f>IF(OR(C67="",NOT(ISNUMBER(E67))),"",IFERROR(ROUND(N(INDEX(art_init,MATCH(C67,art_ref,0)))+SUMIFS($E$5:E67,$C$5:C67,C67,$B$5:B67,"Entrée")-SUMIFS($E$5:E67,$C$5:C67,C67,$B$5:B67,"Sortie"),6),""))</f>
        <v>748.0</v>
      </c>
      <c r="L67" s="39" t="str">
        <f>IF(COUNTA(A67:C67,E67)=0,"",IF(COUNTA(A67:C67,E67)&lt;4,"Ligne incomplète",IF(NOT(ISNUMBER(A67)),"Date invalide",IF(AND(B67&lt;&gt;"Entrée",B67&lt;&gt;"Sortie"),"Type inconnu",IF(ISNA(MATCH(C67,art_ref,0)),"Référence inconnue",IF(OR(NOT(ISNUMBER(E67)),N(E67)&lt;=0),"Quantité invalide",IF(K67&lt;0,"Stock négatif",IF(AND(ISNUMBER(A66),A67&lt;A66),"Date hors ordre","OK"))))))))</f>
        <v>OK</v>
      </c>
      <c r="M67" s="39" t="str">
        <f>IF(C67="","",C67&amp;"#"&amp;COUNTIF($C$5:C67,C67))</f>
        <v>RON-M6#4</v>
      </c>
    </row>
    <row r="68">
      <c r="A68" s="41" t="n">
        <v>46079</v>
      </c>
      <c r="B68" s="37" t="inlineStr">
        <is>
          <t>Sortie</t>
        </is>
      </c>
      <c r="C68" s="37" t="inlineStr">
        <is>
          <t>JOI-20-2</t>
        </is>
      </c>
      <c r="D68" s="39" t="str">
        <f>IF(C68="","",IFERROR(INDEX(art_des,MATCH(C68,art_ref,0))&amp;"","Référence inconnue"))</f>
        <v>Joint torique 20 x 2 NBR</v>
      </c>
      <c r="E68" s="37" t="n">
        <v>70</v>
      </c>
      <c r="F68" s="39" t="str">
        <f>IF(C68="","",IFERROR(INDEX(art_unit,MATCH(C68,art_ref,0))&amp;"",""))</f>
        <v>pièce</v>
      </c>
      <c r="G68" s="37" t="inlineStr">
        <is>
          <t>BS-2026-0061</t>
        </is>
      </c>
      <c r="H68" s="37" t="inlineStr">
        <is>
          <t>Expédition</t>
        </is>
      </c>
      <c r="I68" s="37" t="n"/>
      <c r="J68" s="40">
        <f>IF(OR(C68="",NOT(ISNUMBER(E68))),"",IFERROR(E68*N(INDEX(art_price,MATCH(C68,art_ref,0))),""))</f>
        <v>24.5</v>
      </c>
      <c r="K68" s="39">
        <f>IF(OR(C68="",NOT(ISNUMBER(E68))),"",IFERROR(ROUND(N(INDEX(art_init,MATCH(C68,art_ref,0)))+SUMIFS($E$5:E68,$C$5:C68,C68,$B$5:B68,"Entrée")-SUMIFS($E$5:E68,$C$5:C68,C68,$B$5:B68,"Sortie"),6),""))</f>
        <v>168.0</v>
      </c>
      <c r="L68" s="39" t="str">
        <f>IF(COUNTA(A68:C68,E68)=0,"",IF(COUNTA(A68:C68,E68)&lt;4,"Ligne incomplète",IF(NOT(ISNUMBER(A68)),"Date invalide",IF(AND(B68&lt;&gt;"Entrée",B68&lt;&gt;"Sortie"),"Type inconnu",IF(ISNA(MATCH(C68,art_ref,0)),"Référence inconnue",IF(OR(NOT(ISNUMBER(E68)),N(E68)&lt;=0),"Quantité invalide",IF(K68&lt;0,"Stock négatif",IF(AND(ISNUMBER(A67),A68&lt;A67),"Date hors ordre","OK"))))))))</f>
        <v>OK</v>
      </c>
      <c r="M68" s="39" t="str">
        <f>IF(C68="","",C68&amp;"#"&amp;COUNTIF($C$5:C68,C68))</f>
        <v>JOI-20-2#4</v>
      </c>
    </row>
    <row r="69">
      <c r="A69" s="41" t="n">
        <v>46080</v>
      </c>
      <c r="B69" s="37" t="inlineStr">
        <is>
          <t>Sortie</t>
        </is>
      </c>
      <c r="C69" s="37" t="inlineStr">
        <is>
          <t>HUI-COUP-5</t>
        </is>
      </c>
      <c r="D69" s="39" t="str">
        <f>IF(C69="","",IFERROR(INDEX(art_des,MATCH(C69,art_ref,0))&amp;"","Référence inconnue"))</f>
        <v>Huile de coupe soluble 5 L</v>
      </c>
      <c r="E69" s="37" t="n">
        <v>2</v>
      </c>
      <c r="F69" s="39" t="str">
        <f>IF(C69="","",IFERROR(INDEX(art_unit,MATCH(C69,art_ref,0))&amp;"",""))</f>
        <v>bidon</v>
      </c>
      <c r="G69" s="37" t="inlineStr">
        <is>
          <t>BS-2026-0062</t>
        </is>
      </c>
      <c r="H69" s="37" t="inlineStr">
        <is>
          <t>Atelier soudure</t>
        </is>
      </c>
      <c r="I69" s="37" t="n"/>
      <c r="J69" s="40">
        <f>IF(OR(C69="",NOT(ISNUMBER(E69))),"",IFERROR(E69*N(INDEX(art_price,MATCH(C69,art_ref,0))),""))</f>
        <v>54.0</v>
      </c>
      <c r="K69" s="39">
        <f>IF(OR(C69="",NOT(ISNUMBER(E69))),"",IFERROR(ROUND(N(INDEX(art_init,MATCH(C69,art_ref,0)))+SUMIFS($E$5:E69,$C$5:C69,C69,$B$5:B69,"Entrée")-SUMIFS($E$5:E69,$C$5:C69,C69,$B$5:B69,"Sortie"),6),""))</f>
        <v>7.0</v>
      </c>
      <c r="L69" s="39" t="str">
        <f>IF(COUNTA(A69:C69,E69)=0,"",IF(COUNTA(A69:C69,E69)&lt;4,"Ligne incomplète",IF(NOT(ISNUMBER(A69)),"Date invalide",IF(AND(B69&lt;&gt;"Entrée",B69&lt;&gt;"Sortie"),"Type inconnu",IF(ISNA(MATCH(C69,art_ref,0)),"Référence inconnue",IF(OR(NOT(ISNUMBER(E69)),N(E69)&lt;=0),"Quantité invalide",IF(K69&lt;0,"Stock négatif",IF(AND(ISNUMBER(A68),A69&lt;A68),"Date hors ordre","OK"))))))))</f>
        <v>OK</v>
      </c>
      <c r="M69" s="39" t="str">
        <f>IF(C69="","",C69&amp;"#"&amp;COUNTIF($C$5:C69,C69))</f>
        <v>HUI-COUP-5#4</v>
      </c>
    </row>
    <row r="70">
      <c r="A70" s="41" t="n">
        <v>46080</v>
      </c>
      <c r="B70" s="37" t="inlineStr">
        <is>
          <t>Sortie</t>
        </is>
      </c>
      <c r="C70" s="37" t="inlineStr">
        <is>
          <t>PAL-120</t>
        </is>
      </c>
      <c r="D70" s="39" t="str">
        <f>IF(C70="","",IFERROR(INDEX(art_des,MATCH(C70,art_ref,0))&amp;"","Référence inconnue"))</f>
        <v>Palette bois 120 x 80</v>
      </c>
      <c r="E70" s="37" t="n">
        <v>7</v>
      </c>
      <c r="F70" s="39" t="str">
        <f>IF(C70="","",IFERROR(INDEX(art_unit,MATCH(C70,art_ref,0))&amp;"",""))</f>
        <v>pièce</v>
      </c>
      <c r="G70" s="37" t="inlineStr">
        <is>
          <t>BS-2026-0063</t>
        </is>
      </c>
      <c r="H70" s="37" t="inlineStr">
        <is>
          <t>Atelier soudure</t>
        </is>
      </c>
      <c r="I70" s="37" t="n"/>
      <c r="J70" s="40">
        <f>IF(OR(C70="",NOT(ISNUMBER(E70))),"",IFERROR(E70*N(INDEX(art_price,MATCH(C70,art_ref,0))),""))</f>
        <v>63.0</v>
      </c>
      <c r="K70" s="39">
        <f>IF(OR(C70="",NOT(ISNUMBER(E70))),"",IFERROR(ROUND(N(INDEX(art_init,MATCH(C70,art_ref,0)))+SUMIFS($E$5:E70,$C$5:C70,C70,$B$5:B70,"Entrée")-SUMIFS($E$5:E70,$C$5:C70,C70,$B$5:B70,"Sortie"),6),""))</f>
        <v>14.0</v>
      </c>
      <c r="L70" s="39" t="str">
        <f>IF(COUNTA(A70:C70,E70)=0,"",IF(COUNTA(A70:C70,E70)&lt;4,"Ligne incomplète",IF(NOT(ISNUMBER(A70)),"Date invalide",IF(AND(B70&lt;&gt;"Entrée",B70&lt;&gt;"Sortie"),"Type inconnu",IF(ISNA(MATCH(C70,art_ref,0)),"Référence inconnue",IF(OR(NOT(ISNUMBER(E70)),N(E70)&lt;=0),"Quantité invalide",IF(K70&lt;0,"Stock négatif",IF(AND(ISNUMBER(A69),A70&lt;A69),"Date hors ordre","OK"))))))))</f>
        <v>OK</v>
      </c>
      <c r="M70" s="39" t="str">
        <f>IF(C70="","",C70&amp;"#"&amp;COUNTIF($C$5:C70,C70))</f>
        <v>PAL-120#4</v>
      </c>
    </row>
    <row r="71">
      <c r="A71" s="41" t="n">
        <v>46080</v>
      </c>
      <c r="B71" s="37" t="inlineStr">
        <is>
          <t>Sortie</t>
        </is>
      </c>
      <c r="C71" s="37" t="inlineStr">
        <is>
          <t>RUB-50</t>
        </is>
      </c>
      <c r="D71" s="39" t="str">
        <f>IF(C71="","",IFERROR(INDEX(art_des,MATCH(C71,art_ref,0))&amp;"","Référence inconnue"))</f>
        <v>Ruban adhésif 50 mm x 66 m</v>
      </c>
      <c r="E71" s="37" t="n">
        <v>14</v>
      </c>
      <c r="F71" s="39" t="str">
        <f>IF(C71="","",IFERROR(INDEX(art_unit,MATCH(C71,art_ref,0))&amp;"",""))</f>
        <v>rouleau</v>
      </c>
      <c r="G71" s="37" t="inlineStr">
        <is>
          <t>BS-2026-0064</t>
        </is>
      </c>
      <c r="H71" s="37" t="inlineStr">
        <is>
          <t>Atelier usinage</t>
        </is>
      </c>
      <c r="I71" s="37" t="n"/>
      <c r="J71" s="40">
        <f>IF(OR(C71="",NOT(ISNUMBER(E71))),"",IFERROR(E71*N(INDEX(art_price,MATCH(C71,art_ref,0))),""))</f>
        <v>19.6</v>
      </c>
      <c r="K71" s="39">
        <f>IF(OR(C71="",NOT(ISNUMBER(E71))),"",IFERROR(ROUND(N(INDEX(art_init,MATCH(C71,art_ref,0)))+SUMIFS($E$5:E71,$C$5:C71,C71,$B$5:B71,"Entrée")-SUMIFS($E$5:E71,$C$5:C71,C71,$B$5:B71,"Sortie"),6),""))</f>
        <v>32.0</v>
      </c>
      <c r="L71" s="39" t="str">
        <f>IF(COUNTA(A71:C71,E71)=0,"",IF(COUNTA(A71:C71,E71)&lt;4,"Ligne incomplète",IF(NOT(ISNUMBER(A71)),"Date invalide",IF(AND(B71&lt;&gt;"Entrée",B71&lt;&gt;"Sortie"),"Type inconnu",IF(ISNA(MATCH(C71,art_ref,0)),"Référence inconnue",IF(OR(NOT(ISNUMBER(E71)),N(E71)&lt;=0),"Quantité invalide",IF(K71&lt;0,"Stock négatif",IF(AND(ISNUMBER(A70),A71&lt;A70),"Date hors ordre","OK"))))))))</f>
        <v>OK</v>
      </c>
      <c r="M71" s="39" t="str">
        <f>IF(C71="","",C71&amp;"#"&amp;COUNTIF($C$5:C71,C71))</f>
        <v>RUB-50#4</v>
      </c>
    </row>
    <row r="72">
      <c r="A72" s="41" t="n">
        <v>46081</v>
      </c>
      <c r="B72" s="37" t="inlineStr">
        <is>
          <t>Entrée</t>
        </is>
      </c>
      <c r="C72" s="37" t="inlineStr">
        <is>
          <t>RON-M6</t>
        </is>
      </c>
      <c r="D72" s="39" t="str">
        <f>IF(C72="","",IFERROR(INDEX(art_des,MATCH(C72,art_ref,0))&amp;"","Référence inconnue"))</f>
        <v>Rondelle plate M6</v>
      </c>
      <c r="E72" s="37" t="n">
        <v>2252</v>
      </c>
      <c r="F72" s="39" t="str">
        <f>IF(C72="","",IFERROR(INDEX(art_unit,MATCH(C72,art_ref,0))&amp;"",""))</f>
        <v>pièce</v>
      </c>
      <c r="G72" s="37" t="inlineStr">
        <is>
          <t>BL-2026-004</t>
        </is>
      </c>
      <c r="H72" s="37" t="inlineStr">
        <is>
          <t>Visserie du Centre</t>
        </is>
      </c>
      <c r="I72" s="37" t="inlineStr">
        <is>
          <t>Réception commande</t>
        </is>
      </c>
      <c r="J72" s="40">
        <f>IF(OR(C72="",NOT(ISNUMBER(E72))),"",IFERROR(E72*N(INDEX(art_price,MATCH(C72,art_ref,0))),""))</f>
        <v>67.56</v>
      </c>
      <c r="K72" s="39">
        <f>IF(OR(C72="",NOT(ISNUMBER(E72))),"",IFERROR(ROUND(N(INDEX(art_init,MATCH(C72,art_ref,0)))+SUMIFS($E$5:E72,$C$5:C72,C72,$B$5:B72,"Entrée")-SUMIFS($E$5:E72,$C$5:C72,C72,$B$5:B72,"Sortie"),6),""))</f>
        <v>3000.0</v>
      </c>
      <c r="L72" s="39" t="str">
        <f>IF(COUNTA(A72:C72,E72)=0,"",IF(COUNTA(A72:C72,E72)&lt;4,"Ligne incomplète",IF(NOT(ISNUMBER(A72)),"Date invalide",IF(AND(B72&lt;&gt;"Entrée",B72&lt;&gt;"Sortie"),"Type inconnu",IF(ISNA(MATCH(C72,art_ref,0)),"Référence inconnue",IF(OR(NOT(ISNUMBER(E72)),N(E72)&lt;=0),"Quantité invalide",IF(K72&lt;0,"Stock négatif",IF(AND(ISNUMBER(A71),A72&lt;A71),"Date hors ordre","OK"))))))))</f>
        <v>OK</v>
      </c>
      <c r="M72" s="39" t="str">
        <f>IF(C72="","",C72&amp;"#"&amp;COUNTIF($C$5:C72,C72))</f>
        <v>RON-M6#5</v>
      </c>
    </row>
    <row r="73">
      <c r="A73" s="41" t="n">
        <v>46083</v>
      </c>
      <c r="B73" s="37" t="inlineStr">
        <is>
          <t>Entrée</t>
        </is>
      </c>
      <c r="C73" s="37" t="inlineStr">
        <is>
          <t>PAL-120</t>
        </is>
      </c>
      <c r="D73" s="39" t="str">
        <f>IF(C73="","",IFERROR(INDEX(art_des,MATCH(C73,art_ref,0))&amp;"","Référence inconnue"))</f>
        <v>Palette bois 120 x 80</v>
      </c>
      <c r="E73" s="37" t="n">
        <v>36</v>
      </c>
      <c r="F73" s="39" t="str">
        <f>IF(C73="","",IFERROR(INDEX(art_unit,MATCH(C73,art_ref,0))&amp;"",""))</f>
        <v>pièce</v>
      </c>
      <c r="G73" s="37" t="inlineStr">
        <is>
          <t>BL-2026-005</t>
        </is>
      </c>
      <c r="H73" s="37" t="inlineStr">
        <is>
          <t>Emballages Atlas</t>
        </is>
      </c>
      <c r="I73" s="37" t="inlineStr">
        <is>
          <t>Réception commande</t>
        </is>
      </c>
      <c r="J73" s="40">
        <f>IF(OR(C73="",NOT(ISNUMBER(E73))),"",IFERROR(E73*N(INDEX(art_price,MATCH(C73,art_ref,0))),""))</f>
        <v>324.0</v>
      </c>
      <c r="K73" s="39">
        <f>IF(OR(C73="",NOT(ISNUMBER(E73))),"",IFERROR(ROUND(N(INDEX(art_init,MATCH(C73,art_ref,0)))+SUMIFS($E$5:E73,$C$5:C73,C73,$B$5:B73,"Entrée")-SUMIFS($E$5:E73,$C$5:C73,C73,$B$5:B73,"Sortie"),6),""))</f>
        <v>50.0</v>
      </c>
      <c r="L73" s="39" t="str">
        <f>IF(COUNTA(A73:C73,E73)=0,"",IF(COUNTA(A73:C73,E73)&lt;4,"Ligne incomplète",IF(NOT(ISNUMBER(A73)),"Date invalide",IF(AND(B73&lt;&gt;"Entrée",B73&lt;&gt;"Sortie"),"Type inconnu",IF(ISNA(MATCH(C73,art_ref,0)),"Référence inconnue",IF(OR(NOT(ISNUMBER(E73)),N(E73)&lt;=0),"Quantité invalide",IF(K73&lt;0,"Stock négatif",IF(AND(ISNUMBER(A72),A73&lt;A72),"Date hors ordre","OK"))))))))</f>
        <v>OK</v>
      </c>
      <c r="M73" s="39" t="str">
        <f>IF(C73="","",C73&amp;"#"&amp;COUNTIF($C$5:C73,C73))</f>
        <v>PAL-120#5</v>
      </c>
    </row>
    <row r="74">
      <c r="A74" s="41" t="n">
        <v>46083</v>
      </c>
      <c r="B74" s="37" t="inlineStr">
        <is>
          <t>Sortie</t>
        </is>
      </c>
      <c r="C74" s="37" t="inlineStr">
        <is>
          <t>FOR-HSS-8</t>
        </is>
      </c>
      <c r="D74" s="39" t="str">
        <f>IF(C74="","",IFERROR(INDEX(art_des,MATCH(C74,art_ref,0))&amp;"","Référence inconnue"))</f>
        <v>Foret HSS 8 mm</v>
      </c>
      <c r="E74" s="37" t="n">
        <v>3</v>
      </c>
      <c r="F74" s="39" t="str">
        <f>IF(C74="","",IFERROR(INDEX(art_unit,MATCH(C74,art_ref,0))&amp;"",""))</f>
        <v>pièce</v>
      </c>
      <c r="G74" s="37" t="inlineStr">
        <is>
          <t>BS-2026-0065</t>
        </is>
      </c>
      <c r="H74" s="37" t="inlineStr">
        <is>
          <t>Maintenance</t>
        </is>
      </c>
      <c r="I74" s="37" t="n"/>
      <c r="J74" s="40">
        <f>IF(OR(C74="",NOT(ISNUMBER(E74))),"",IFERROR(E74*N(INDEX(art_price,MATCH(C74,art_ref,0))),""))</f>
        <v>13.8</v>
      </c>
      <c r="K74" s="39">
        <f>IF(OR(C74="",NOT(ISNUMBER(E74))),"",IFERROR(ROUND(N(INDEX(art_init,MATCH(C74,art_ref,0)))+SUMIFS($E$5:E74,$C$5:C74,C74,$B$5:B74,"Entrée")-SUMIFS($E$5:E74,$C$5:C74,C74,$B$5:B74,"Sortie"),6),""))</f>
        <v>14.0</v>
      </c>
      <c r="L74" s="39" t="str">
        <f>IF(COUNTA(A74:C74,E74)=0,"",IF(COUNTA(A74:C74,E74)&lt;4,"Ligne incomplète",IF(NOT(ISNUMBER(A74)),"Date invalide",IF(AND(B74&lt;&gt;"Entrée",B74&lt;&gt;"Sortie"),"Type inconnu",IF(ISNA(MATCH(C74,art_ref,0)),"Référence inconnue",IF(OR(NOT(ISNUMBER(E74)),N(E74)&lt;=0),"Quantité invalide",IF(K74&lt;0,"Stock négatif",IF(AND(ISNUMBER(A73),A74&lt;A73),"Date hors ordre","OK"))))))))</f>
        <v>OK</v>
      </c>
      <c r="M74" s="39" t="str">
        <f>IF(C74="","",C74&amp;"#"&amp;COUNTIF($C$5:C74,C74))</f>
        <v>FOR-HSS-8#5</v>
      </c>
    </row>
    <row r="75">
      <c r="A75" s="41" t="n">
        <v>46083</v>
      </c>
      <c r="B75" s="37" t="inlineStr">
        <is>
          <t>Sortie</t>
        </is>
      </c>
      <c r="C75" s="37" t="inlineStr">
        <is>
          <t>PAL-120</t>
        </is>
      </c>
      <c r="D75" s="39" t="str">
        <f>IF(C75="","",IFERROR(INDEX(art_des,MATCH(C75,art_ref,0))&amp;"","Référence inconnue"))</f>
        <v>Palette bois 120 x 80</v>
      </c>
      <c r="E75" s="37" t="n">
        <v>7</v>
      </c>
      <c r="F75" s="39" t="str">
        <f>IF(C75="","",IFERROR(INDEX(art_unit,MATCH(C75,art_ref,0))&amp;"",""))</f>
        <v>pièce</v>
      </c>
      <c r="G75" s="37" t="inlineStr">
        <is>
          <t>BS-2026-0066</t>
        </is>
      </c>
      <c r="H75" s="37" t="inlineStr">
        <is>
          <t>Atelier soudure</t>
        </is>
      </c>
      <c r="I75" s="37" t="n"/>
      <c r="J75" s="40">
        <f>IF(OR(C75="",NOT(ISNUMBER(E75))),"",IFERROR(E75*N(INDEX(art_price,MATCH(C75,art_ref,0))),""))</f>
        <v>63.0</v>
      </c>
      <c r="K75" s="39">
        <f>IF(OR(C75="",NOT(ISNUMBER(E75))),"",IFERROR(ROUND(N(INDEX(art_init,MATCH(C75,art_ref,0)))+SUMIFS($E$5:E75,$C$5:C75,C75,$B$5:B75,"Entrée")-SUMIFS($E$5:E75,$C$5:C75,C75,$B$5:B75,"Sortie"),6),""))</f>
        <v>43.0</v>
      </c>
      <c r="L75" s="39" t="str">
        <f>IF(COUNTA(A75:C75,E75)=0,"",IF(COUNTA(A75:C75,E75)&lt;4,"Ligne incomplète",IF(NOT(ISNUMBER(A75)),"Date invalide",IF(AND(B75&lt;&gt;"Entrée",B75&lt;&gt;"Sortie"),"Type inconnu",IF(ISNA(MATCH(C75,art_ref,0)),"Référence inconnue",IF(OR(NOT(ISNUMBER(E75)),N(E75)&lt;=0),"Quantité invalide",IF(K75&lt;0,"Stock négatif",IF(AND(ISNUMBER(A74),A75&lt;A74),"Date hors ordre","OK"))))))))</f>
        <v>OK</v>
      </c>
      <c r="M75" s="39" t="str">
        <f>IF(C75="","",C75&amp;"#"&amp;COUNTIF($C$5:C75,C75))</f>
        <v>PAL-120#6</v>
      </c>
    </row>
    <row r="76">
      <c r="A76" s="41" t="n">
        <v>46085</v>
      </c>
      <c r="B76" s="37" t="inlineStr">
        <is>
          <t>Sortie</t>
        </is>
      </c>
      <c r="C76" s="37" t="inlineStr">
        <is>
          <t>DIS-125</t>
        </is>
      </c>
      <c r="D76" s="39" t="str">
        <f>IF(C76="","",IFERROR(INDEX(art_des,MATCH(C76,art_ref,0))&amp;"","Référence inconnue"))</f>
        <v>Disque à tronçonner 125 mm</v>
      </c>
      <c r="E76" s="37" t="n">
        <v>22</v>
      </c>
      <c r="F76" s="39" t="str">
        <f>IF(C76="","",IFERROR(INDEX(art_unit,MATCH(C76,art_ref,0))&amp;"",""))</f>
        <v>pièce</v>
      </c>
      <c r="G76" s="37" t="inlineStr">
        <is>
          <t>BS-2026-0067</t>
        </is>
      </c>
      <c r="H76" s="37" t="inlineStr">
        <is>
          <t>Maintenance</t>
        </is>
      </c>
      <c r="I76" s="37" t="n"/>
      <c r="J76" s="40">
        <f>IF(OR(C76="",NOT(ISNUMBER(E76))),"",IFERROR(E76*N(INDEX(art_price,MATCH(C76,art_ref,0))),""))</f>
        <v>41.8</v>
      </c>
      <c r="K76" s="39">
        <f>IF(OR(C76="",NOT(ISNUMBER(E76))),"",IFERROR(ROUND(N(INDEX(art_init,MATCH(C76,art_ref,0)))+SUMIFS($E$5:E76,$C$5:C76,C76,$B$5:B76,"Entrée")-SUMIFS($E$5:E76,$C$5:C76,C76,$B$5:B76,"Sortie"),6),""))</f>
        <v>44.0</v>
      </c>
      <c r="L76" s="39" t="str">
        <f>IF(COUNTA(A76:C76,E76)=0,"",IF(COUNTA(A76:C76,E76)&lt;4,"Ligne incomplète",IF(NOT(ISNUMBER(A76)),"Date invalide",IF(AND(B76&lt;&gt;"Entrée",B76&lt;&gt;"Sortie"),"Type inconnu",IF(ISNA(MATCH(C76,art_ref,0)),"Référence inconnue",IF(OR(NOT(ISNUMBER(E76)),N(E76)&lt;=0),"Quantité invalide",IF(K76&lt;0,"Stock négatif",IF(AND(ISNUMBER(A75),A76&lt;A75),"Date hors ordre","OK"))))))))</f>
        <v>OK</v>
      </c>
      <c r="M76" s="39" t="str">
        <f>IF(C76="","",C76&amp;"#"&amp;COUNTIF($C$5:C76,C76))</f>
        <v>DIS-125#5</v>
      </c>
    </row>
    <row r="77">
      <c r="A77" s="41" t="n">
        <v>46086</v>
      </c>
      <c r="B77" s="37" t="inlineStr">
        <is>
          <t>Sortie</t>
        </is>
      </c>
      <c r="C77" s="37" t="inlineStr">
        <is>
          <t>VIS-M6-20</t>
        </is>
      </c>
      <c r="D77" s="39" t="str">
        <f>IF(C77="","",IFERROR(INDEX(art_des,MATCH(C77,art_ref,0))&amp;"","Référence inconnue"))</f>
        <v>Vis inox M6 x 20</v>
      </c>
      <c r="E77" s="37" t="n">
        <v>391</v>
      </c>
      <c r="F77" s="39" t="str">
        <f>IF(C77="","",IFERROR(INDEX(art_unit,MATCH(C77,art_ref,0))&amp;"",""))</f>
        <v>pièce</v>
      </c>
      <c r="G77" s="37" t="inlineStr">
        <is>
          <t>BS-2026-0068</t>
        </is>
      </c>
      <c r="H77" s="37" t="inlineStr">
        <is>
          <t>Atelier soudure</t>
        </is>
      </c>
      <c r="I77" s="37" t="n"/>
      <c r="J77" s="40">
        <f>IF(OR(C77="",NOT(ISNUMBER(E77))),"",IFERROR(E77*N(INDEX(art_price,MATCH(C77,art_ref,0))),""))</f>
        <v>46.92</v>
      </c>
      <c r="K77" s="39">
        <f>IF(OR(C77="",NOT(ISNUMBER(E77))),"",IFERROR(ROUND(N(INDEX(art_init,MATCH(C77,art_ref,0)))+SUMIFS($E$5:E77,$C$5:C77,C77,$B$5:B77,"Entrée")-SUMIFS($E$5:E77,$C$5:C77,C77,$B$5:B77,"Sortie"),6),""))</f>
        <v>3609.0</v>
      </c>
      <c r="L77" s="39" t="str">
        <f>IF(COUNTA(A77:C77,E77)=0,"",IF(COUNTA(A77:C77,E77)&lt;4,"Ligne incomplète",IF(NOT(ISNUMBER(A77)),"Date invalide",IF(AND(B77&lt;&gt;"Entrée",B77&lt;&gt;"Sortie"),"Type inconnu",IF(ISNA(MATCH(C77,art_ref,0)),"Référence inconnue",IF(OR(NOT(ISNUMBER(E77)),N(E77)&lt;=0),"Quantité invalide",IF(K77&lt;0,"Stock négatif",IF(AND(ISNUMBER(A76),A77&lt;A76),"Date hors ordre","OK"))))))))</f>
        <v>OK</v>
      </c>
      <c r="M77" s="39" t="str">
        <f>IF(C77="","",C77&amp;"#"&amp;COUNTIF($C$5:C77,C77))</f>
        <v>VIS-M6-20#6</v>
      </c>
    </row>
    <row r="78">
      <c r="A78" s="41" t="n">
        <v>46087</v>
      </c>
      <c r="B78" s="37" t="inlineStr">
        <is>
          <t>Sortie</t>
        </is>
      </c>
      <c r="C78" s="37" t="inlineStr">
        <is>
          <t>CAR-40-30</t>
        </is>
      </c>
      <c r="D78" s="39" t="str">
        <f>IF(C78="","",IFERROR(INDEX(art_des,MATCH(C78,art_ref,0))&amp;"","Référence inconnue"))</f>
        <v>Carton double cannelure 40 x 30 x 20</v>
      </c>
      <c r="E78" s="37" t="n">
        <v>117</v>
      </c>
      <c r="F78" s="39" t="str">
        <f>IF(C78="","",IFERROR(INDEX(art_unit,MATCH(C78,art_ref,0))&amp;"",""))</f>
        <v>pièce</v>
      </c>
      <c r="G78" s="37" t="inlineStr">
        <is>
          <t>BS-2026-0069</t>
        </is>
      </c>
      <c r="H78" s="37" t="inlineStr">
        <is>
          <t>Atelier montage</t>
        </is>
      </c>
      <c r="I78" s="37" t="n"/>
      <c r="J78" s="40">
        <f>IF(OR(C78="",NOT(ISNUMBER(E78))),"",IFERROR(E78*N(INDEX(art_price,MATCH(C78,art_ref,0))),""))</f>
        <v>111.15</v>
      </c>
      <c r="K78" s="39">
        <f>IF(OR(C78="",NOT(ISNUMBER(E78))),"",IFERROR(ROUND(N(INDEX(art_init,MATCH(C78,art_ref,0)))+SUMIFS($E$5:E78,$C$5:C78,C78,$B$5:B78,"Entrée")-SUMIFS($E$5:E78,$C$5:C78,C78,$B$5:B78,"Sortie"),6),""))</f>
        <v>683.0</v>
      </c>
      <c r="L78" s="39" t="str">
        <f>IF(COUNTA(A78:C78,E78)=0,"",IF(COUNTA(A78:C78,E78)&lt;4,"Ligne incomplète",IF(NOT(ISNUMBER(A78)),"Date invalide",IF(AND(B78&lt;&gt;"Entrée",B78&lt;&gt;"Sortie"),"Type inconnu",IF(ISNA(MATCH(C78,art_ref,0)),"Référence inconnue",IF(OR(NOT(ISNUMBER(E78)),N(E78)&lt;=0),"Quantité invalide",IF(K78&lt;0,"Stock négatif",IF(AND(ISNUMBER(A77),A78&lt;A77),"Date hors ordre","OK"))))))))</f>
        <v>OK</v>
      </c>
      <c r="M78" s="39" t="str">
        <f>IF(C78="","",C78&amp;"#"&amp;COUNTIF($C$5:C78,C78))</f>
        <v>CAR-40-30#6</v>
      </c>
    </row>
    <row r="79">
      <c r="A79" s="41" t="n">
        <v>46087</v>
      </c>
      <c r="B79" s="37" t="inlineStr">
        <is>
          <t>Sortie</t>
        </is>
      </c>
      <c r="C79" s="37" t="inlineStr">
        <is>
          <t>ECR-M6</t>
        </is>
      </c>
      <c r="D79" s="39" t="str">
        <f>IF(C79="","",IFERROR(INDEX(art_des,MATCH(C79,art_ref,0))&amp;"","Référence inconnue"))</f>
        <v>Écrou inox M6</v>
      </c>
      <c r="E79" s="37" t="n">
        <v>552</v>
      </c>
      <c r="F79" s="39" t="str">
        <f>IF(C79="","",IFERROR(INDEX(art_unit,MATCH(C79,art_ref,0))&amp;"",""))</f>
        <v>pièce</v>
      </c>
      <c r="G79" s="37" t="inlineStr">
        <is>
          <t>BS-2026-0070</t>
        </is>
      </c>
      <c r="H79" s="37" t="inlineStr">
        <is>
          <t>Maintenance</t>
        </is>
      </c>
      <c r="I79" s="37" t="n"/>
      <c r="J79" s="40">
        <f>IF(OR(C79="",NOT(ISNUMBER(E79))),"",IFERROR(E79*N(INDEX(art_price,MATCH(C79,art_ref,0))),""))</f>
        <v>27.6</v>
      </c>
      <c r="K79" s="39">
        <f>IF(OR(C79="",NOT(ISNUMBER(E79))),"",IFERROR(ROUND(N(INDEX(art_init,MATCH(C79,art_ref,0)))+SUMIFS($E$5:E79,$C$5:C79,C79,$B$5:B79,"Entrée")-SUMIFS($E$5:E79,$C$5:C79,C79,$B$5:B79,"Sortie"),6),""))</f>
        <v>711.0</v>
      </c>
      <c r="L79" s="39" t="str">
        <f>IF(COUNTA(A79:C79,E79)=0,"",IF(COUNTA(A79:C79,E79)&lt;4,"Ligne incomplète",IF(NOT(ISNUMBER(A79)),"Date invalide",IF(AND(B79&lt;&gt;"Entrée",B79&lt;&gt;"Sortie"),"Type inconnu",IF(ISNA(MATCH(C79,art_ref,0)),"Référence inconnue",IF(OR(NOT(ISNUMBER(E79)),N(E79)&lt;=0),"Quantité invalide",IF(K79&lt;0,"Stock négatif",IF(AND(ISNUMBER(A78),A79&lt;A78),"Date hors ordre","OK"))))))))</f>
        <v>OK</v>
      </c>
      <c r="M79" s="39" t="str">
        <f>IF(C79="","",C79&amp;"#"&amp;COUNTIF($C$5:C79,C79))</f>
        <v>ECR-M6#5</v>
      </c>
    </row>
    <row r="80">
      <c r="A80" s="41" t="n">
        <v>46088</v>
      </c>
      <c r="B80" s="37" t="inlineStr">
        <is>
          <t>Entrée</t>
        </is>
      </c>
      <c r="C80" s="37" t="inlineStr">
        <is>
          <t>DIS-125</t>
        </is>
      </c>
      <c r="D80" s="39" t="str">
        <f>IF(C80="","",IFERROR(INDEX(art_des,MATCH(C80,art_ref,0))&amp;"","Référence inconnue"))</f>
        <v>Disque à tronçonner 125 mm</v>
      </c>
      <c r="E80" s="37" t="n">
        <v>156</v>
      </c>
      <c r="F80" s="39" t="str">
        <f>IF(C80="","",IFERROR(INDEX(art_unit,MATCH(C80,art_ref,0))&amp;"",""))</f>
        <v>pièce</v>
      </c>
      <c r="G80" s="37" t="inlineStr">
        <is>
          <t>BL-2026-006</t>
        </is>
      </c>
      <c r="H80" s="37" t="inlineStr">
        <is>
          <t>Outillage Pro</t>
        </is>
      </c>
      <c r="I80" s="37" t="inlineStr">
        <is>
          <t>Réception commande</t>
        </is>
      </c>
      <c r="J80" s="40">
        <f>IF(OR(C80="",NOT(ISNUMBER(E80))),"",IFERROR(E80*N(INDEX(art_price,MATCH(C80,art_ref,0))),""))</f>
        <v>296.4</v>
      </c>
      <c r="K80" s="39">
        <f>IF(OR(C80="",NOT(ISNUMBER(E80))),"",IFERROR(ROUND(N(INDEX(art_init,MATCH(C80,art_ref,0)))+SUMIFS($E$5:E80,$C$5:C80,C80,$B$5:B80,"Entrée")-SUMIFS($E$5:E80,$C$5:C80,C80,$B$5:B80,"Sortie"),6),""))</f>
        <v>200.0</v>
      </c>
      <c r="L80" s="39" t="str">
        <f>IF(COUNTA(A80:C80,E80)=0,"",IF(COUNTA(A80:C80,E80)&lt;4,"Ligne incomplète",IF(NOT(ISNUMBER(A80)),"Date invalide",IF(AND(B80&lt;&gt;"Entrée",B80&lt;&gt;"Sortie"),"Type inconnu",IF(ISNA(MATCH(C80,art_ref,0)),"Référence inconnue",IF(OR(NOT(ISNUMBER(E80)),N(E80)&lt;=0),"Quantité invalide",IF(K80&lt;0,"Stock négatif",IF(AND(ISNUMBER(A79),A80&lt;A79),"Date hors ordre","OK"))))))))</f>
        <v>OK</v>
      </c>
      <c r="M80" s="39" t="str">
        <f>IF(C80="","",C80&amp;"#"&amp;COUNTIF($C$5:C80,C80))</f>
        <v>DIS-125#6</v>
      </c>
    </row>
    <row r="81">
      <c r="A81" s="41" t="n">
        <v>46088</v>
      </c>
      <c r="B81" s="37" t="inlineStr">
        <is>
          <t>Sortie</t>
        </is>
      </c>
      <c r="C81" s="37" t="inlineStr">
        <is>
          <t>HUI-COUP-5</t>
        </is>
      </c>
      <c r="D81" s="39" t="str">
        <f>IF(C81="","",IFERROR(INDEX(art_des,MATCH(C81,art_ref,0))&amp;"","Référence inconnue"))</f>
        <v>Huile de coupe soluble 5 L</v>
      </c>
      <c r="E81" s="37" t="n">
        <v>1</v>
      </c>
      <c r="F81" s="39" t="str">
        <f>IF(C81="","",IFERROR(INDEX(art_unit,MATCH(C81,art_ref,0))&amp;"",""))</f>
        <v>bidon</v>
      </c>
      <c r="G81" s="37" t="inlineStr">
        <is>
          <t>BS-2026-0071</t>
        </is>
      </c>
      <c r="H81" s="37" t="inlineStr">
        <is>
          <t>Atelier soudure</t>
        </is>
      </c>
      <c r="I81" s="37" t="n"/>
      <c r="J81" s="40">
        <f>IF(OR(C81="",NOT(ISNUMBER(E81))),"",IFERROR(E81*N(INDEX(art_price,MATCH(C81,art_ref,0))),""))</f>
        <v>27.0</v>
      </c>
      <c r="K81" s="39">
        <f>IF(OR(C81="",NOT(ISNUMBER(E81))),"",IFERROR(ROUND(N(INDEX(art_init,MATCH(C81,art_ref,0)))+SUMIFS($E$5:E81,$C$5:C81,C81,$B$5:B81,"Entrée")-SUMIFS($E$5:E81,$C$5:C81,C81,$B$5:B81,"Sortie"),6),""))</f>
        <v>6.0</v>
      </c>
      <c r="L81" s="39" t="str">
        <f>IF(COUNTA(A81:C81,E81)=0,"",IF(COUNTA(A81:C81,E81)&lt;4,"Ligne incomplète",IF(NOT(ISNUMBER(A81)),"Date invalide",IF(AND(B81&lt;&gt;"Entrée",B81&lt;&gt;"Sortie"),"Type inconnu",IF(ISNA(MATCH(C81,art_ref,0)),"Référence inconnue",IF(OR(NOT(ISNUMBER(E81)),N(E81)&lt;=0),"Quantité invalide",IF(K81&lt;0,"Stock négatif",IF(AND(ISNUMBER(A80),A81&lt;A80),"Date hors ordre","OK"))))))))</f>
        <v>OK</v>
      </c>
      <c r="M81" s="39" t="str">
        <f>IF(C81="","",C81&amp;"#"&amp;COUNTIF($C$5:C81,C81))</f>
        <v>HUI-COUP-5#5</v>
      </c>
    </row>
    <row r="82">
      <c r="A82" s="41" t="n">
        <v>46088</v>
      </c>
      <c r="B82" s="37" t="inlineStr">
        <is>
          <t>Sortie</t>
        </is>
      </c>
      <c r="C82" s="37" t="inlineStr">
        <is>
          <t>RUB-50</t>
        </is>
      </c>
      <c r="D82" s="39" t="str">
        <f>IF(C82="","",IFERROR(INDEX(art_des,MATCH(C82,art_ref,0))&amp;"","Référence inconnue"))</f>
        <v>Ruban adhésif 50 mm x 66 m</v>
      </c>
      <c r="E82" s="37" t="n">
        <v>9</v>
      </c>
      <c r="F82" s="39" t="str">
        <f>IF(C82="","",IFERROR(INDEX(art_unit,MATCH(C82,art_ref,0))&amp;"",""))</f>
        <v>rouleau</v>
      </c>
      <c r="G82" s="37" t="inlineStr">
        <is>
          <t>BS-2026-0072</t>
        </is>
      </c>
      <c r="H82" s="37" t="inlineStr">
        <is>
          <t>Atelier soudure</t>
        </is>
      </c>
      <c r="I82" s="37" t="n"/>
      <c r="J82" s="40">
        <f>IF(OR(C82="",NOT(ISNUMBER(E82))),"",IFERROR(E82*N(INDEX(art_price,MATCH(C82,art_ref,0))),""))</f>
        <v>12.6</v>
      </c>
      <c r="K82" s="39">
        <f>IF(OR(C82="",NOT(ISNUMBER(E82))),"",IFERROR(ROUND(N(INDEX(art_init,MATCH(C82,art_ref,0)))+SUMIFS($E$5:E82,$C$5:C82,C82,$B$5:B82,"Entrée")-SUMIFS($E$5:E82,$C$5:C82,C82,$B$5:B82,"Sortie"),6),""))</f>
        <v>23.0</v>
      </c>
      <c r="L82" s="39" t="str">
        <f>IF(COUNTA(A82:C82,E82)=0,"",IF(COUNTA(A82:C82,E82)&lt;4,"Ligne incomplète",IF(NOT(ISNUMBER(A82)),"Date invalide",IF(AND(B82&lt;&gt;"Entrée",B82&lt;&gt;"Sortie"),"Type inconnu",IF(ISNA(MATCH(C82,art_ref,0)),"Référence inconnue",IF(OR(NOT(ISNUMBER(E82)),N(E82)&lt;=0),"Quantité invalide",IF(K82&lt;0,"Stock négatif",IF(AND(ISNUMBER(A81),A82&lt;A81),"Date hors ordre","OK"))))))))</f>
        <v>OK</v>
      </c>
      <c r="M82" s="39" t="str">
        <f>IF(C82="","",C82&amp;"#"&amp;COUNTIF($C$5:C82,C82))</f>
        <v>RUB-50#5</v>
      </c>
    </row>
    <row r="83">
      <c r="A83" s="41" t="n">
        <v>46089</v>
      </c>
      <c r="B83" s="37" t="inlineStr">
        <is>
          <t>Sortie</t>
        </is>
      </c>
      <c r="C83" s="37" t="inlineStr">
        <is>
          <t>JOI-20-2</t>
        </is>
      </c>
      <c r="D83" s="39" t="str">
        <f>IF(C83="","",IFERROR(INDEX(art_des,MATCH(C83,art_ref,0))&amp;"","Référence inconnue"))</f>
        <v>Joint torique 20 x 2 NBR</v>
      </c>
      <c r="E83" s="37" t="n">
        <v>70</v>
      </c>
      <c r="F83" s="39" t="str">
        <f>IF(C83="","",IFERROR(INDEX(art_unit,MATCH(C83,art_ref,0))&amp;"",""))</f>
        <v>pièce</v>
      </c>
      <c r="G83" s="37" t="inlineStr">
        <is>
          <t>BS-2026-0073</t>
        </is>
      </c>
      <c r="H83" s="37" t="inlineStr">
        <is>
          <t>Atelier soudure</t>
        </is>
      </c>
      <c r="I83" s="37" t="n"/>
      <c r="J83" s="40">
        <f>IF(OR(C83="",NOT(ISNUMBER(E83))),"",IFERROR(E83*N(INDEX(art_price,MATCH(C83,art_ref,0))),""))</f>
        <v>24.5</v>
      </c>
      <c r="K83" s="39">
        <f>IF(OR(C83="",NOT(ISNUMBER(E83))),"",IFERROR(ROUND(N(INDEX(art_init,MATCH(C83,art_ref,0)))+SUMIFS($E$5:E83,$C$5:C83,C83,$B$5:B83,"Entrée")-SUMIFS($E$5:E83,$C$5:C83,C83,$B$5:B83,"Sortie"),6),""))</f>
        <v>98.0</v>
      </c>
      <c r="L83" s="39" t="str">
        <f>IF(COUNTA(A83:C83,E83)=0,"",IF(COUNTA(A83:C83,E83)&lt;4,"Ligne incomplète",IF(NOT(ISNUMBER(A83)),"Date invalide",IF(AND(B83&lt;&gt;"Entrée",B83&lt;&gt;"Sortie"),"Type inconnu",IF(ISNA(MATCH(C83,art_ref,0)),"Référence inconnue",IF(OR(NOT(ISNUMBER(E83)),N(E83)&lt;=0),"Quantité invalide",IF(K83&lt;0,"Stock négatif",IF(AND(ISNUMBER(A82),A83&lt;A82),"Date hors ordre","OK"))))))))</f>
        <v>OK</v>
      </c>
      <c r="M83" s="39" t="str">
        <f>IF(C83="","",C83&amp;"#"&amp;COUNTIF($C$5:C83,C83))</f>
        <v>JOI-20-2#5</v>
      </c>
    </row>
    <row r="84">
      <c r="A84" s="41" t="n">
        <v>46090</v>
      </c>
      <c r="B84" s="37" t="inlineStr">
        <is>
          <t>Entrée</t>
        </is>
      </c>
      <c r="C84" s="37" t="inlineStr">
        <is>
          <t>ECR-M6</t>
        </is>
      </c>
      <c r="D84" s="39" t="str">
        <f>IF(C84="","",IFERROR(INDEX(art_des,MATCH(C84,art_ref,0))&amp;"","Référence inconnue"))</f>
        <v>Écrou inox M6</v>
      </c>
      <c r="E84" s="37" t="n">
        <v>3289</v>
      </c>
      <c r="F84" s="39" t="str">
        <f>IF(C84="","",IFERROR(INDEX(art_unit,MATCH(C84,art_ref,0))&amp;"",""))</f>
        <v>pièce</v>
      </c>
      <c r="G84" s="37" t="inlineStr">
        <is>
          <t>BL-2026-007</t>
        </is>
      </c>
      <c r="H84" s="37" t="inlineStr">
        <is>
          <t>Visserie du Centre</t>
        </is>
      </c>
      <c r="I84" s="37" t="inlineStr">
        <is>
          <t>Réception commande</t>
        </is>
      </c>
      <c r="J84" s="40">
        <f>IF(OR(C84="",NOT(ISNUMBER(E84))),"",IFERROR(E84*N(INDEX(art_price,MATCH(C84,art_ref,0))),""))</f>
        <v>164.45</v>
      </c>
      <c r="K84" s="39">
        <f>IF(OR(C84="",NOT(ISNUMBER(E84))),"",IFERROR(ROUND(N(INDEX(art_init,MATCH(C84,art_ref,0)))+SUMIFS($E$5:E84,$C$5:C84,C84,$B$5:B84,"Entrée")-SUMIFS($E$5:E84,$C$5:C84,C84,$B$5:B84,"Sortie"),6),""))</f>
        <v>4000.0</v>
      </c>
      <c r="L84" s="39" t="str">
        <f>IF(COUNTA(A84:C84,E84)=0,"",IF(COUNTA(A84:C84,E84)&lt;4,"Ligne incomplète",IF(NOT(ISNUMBER(A84)),"Date invalide",IF(AND(B84&lt;&gt;"Entrée",B84&lt;&gt;"Sortie"),"Type inconnu",IF(ISNA(MATCH(C84,art_ref,0)),"Référence inconnue",IF(OR(NOT(ISNUMBER(E84)),N(E84)&lt;=0),"Quantité invalide",IF(K84&lt;0,"Stock négatif",IF(AND(ISNUMBER(A83),A84&lt;A83),"Date hors ordre","OK"))))))))</f>
        <v>OK</v>
      </c>
      <c r="M84" s="39" t="str">
        <f>IF(C84="","",C84&amp;"#"&amp;COUNTIF($C$5:C84,C84))</f>
        <v>ECR-M6#6</v>
      </c>
    </row>
    <row r="85">
      <c r="A85" s="41" t="n">
        <v>46090</v>
      </c>
      <c r="B85" s="37" t="inlineStr">
        <is>
          <t>Sortie</t>
        </is>
      </c>
      <c r="C85" s="37" t="inlineStr">
        <is>
          <t>RON-M6</t>
        </is>
      </c>
      <c r="D85" s="39" t="str">
        <f>IF(C85="","",IFERROR(INDEX(art_des,MATCH(C85,art_ref,0))&amp;"","Référence inconnue"))</f>
        <v>Rondelle plate M6</v>
      </c>
      <c r="E85" s="37" t="n">
        <v>373</v>
      </c>
      <c r="F85" s="39" t="str">
        <f>IF(C85="","",IFERROR(INDEX(art_unit,MATCH(C85,art_ref,0))&amp;"",""))</f>
        <v>pièce</v>
      </c>
      <c r="G85" s="37" t="inlineStr">
        <is>
          <t>BS-2026-0074</t>
        </is>
      </c>
      <c r="H85" s="37" t="inlineStr">
        <is>
          <t>Atelier montage</t>
        </is>
      </c>
      <c r="I85" s="37" t="n"/>
      <c r="J85" s="40">
        <f>IF(OR(C85="",NOT(ISNUMBER(E85))),"",IFERROR(E85*N(INDEX(art_price,MATCH(C85,art_ref,0))),""))</f>
        <v>11.19</v>
      </c>
      <c r="K85" s="39">
        <f>IF(OR(C85="",NOT(ISNUMBER(E85))),"",IFERROR(ROUND(N(INDEX(art_init,MATCH(C85,art_ref,0)))+SUMIFS($E$5:E85,$C$5:C85,C85,$B$5:B85,"Entrée")-SUMIFS($E$5:E85,$C$5:C85,C85,$B$5:B85,"Sortie"),6),""))</f>
        <v>2627.0</v>
      </c>
      <c r="L85" s="39" t="str">
        <f>IF(COUNTA(A85:C85,E85)=0,"",IF(COUNTA(A85:C85,E85)&lt;4,"Ligne incomplète",IF(NOT(ISNUMBER(A85)),"Date invalide",IF(AND(B85&lt;&gt;"Entrée",B85&lt;&gt;"Sortie"),"Type inconnu",IF(ISNA(MATCH(C85,art_ref,0)),"Référence inconnue",IF(OR(NOT(ISNUMBER(E85)),N(E85)&lt;=0),"Quantité invalide",IF(K85&lt;0,"Stock négatif",IF(AND(ISNUMBER(A84),A85&lt;A84),"Date hors ordre","OK"))))))))</f>
        <v>OK</v>
      </c>
      <c r="M85" s="39" t="str">
        <f>IF(C85="","",C85&amp;"#"&amp;COUNTIF($C$5:C85,C85))</f>
        <v>RON-M6#6</v>
      </c>
    </row>
    <row r="86">
      <c r="A86" s="41" t="n">
        <v>46090</v>
      </c>
      <c r="B86" s="37" t="inlineStr">
        <is>
          <t>Sortie</t>
        </is>
      </c>
      <c r="C86" s="37" t="inlineStr">
        <is>
          <t>TOL-ACI-2</t>
        </is>
      </c>
      <c r="D86" s="39" t="str">
        <f>IF(C86="","",IFERROR(INDEX(art_des,MATCH(C86,art_ref,0))&amp;"","Référence inconnue"))</f>
        <v>Tôle acier 2 mm 1000 x 2000</v>
      </c>
      <c r="E86" s="37" t="n">
        <v>9</v>
      </c>
      <c r="F86" s="39" t="str">
        <f>IF(C86="","",IFERROR(INDEX(art_unit,MATCH(C86,art_ref,0))&amp;"",""))</f>
        <v>feuille</v>
      </c>
      <c r="G86" s="37" t="inlineStr">
        <is>
          <t>BS-2026-0075</t>
        </is>
      </c>
      <c r="H86" s="37" t="inlineStr">
        <is>
          <t>Atelier soudure</t>
        </is>
      </c>
      <c r="I86" s="37" t="n"/>
      <c r="J86" s="40">
        <f>IF(OR(C86="",NOT(ISNUMBER(E86))),"",IFERROR(E86*N(INDEX(art_price,MATCH(C86,art_ref,0))),""))</f>
        <v>436.5</v>
      </c>
      <c r="K86" s="39">
        <f>IF(OR(C86="",NOT(ISNUMBER(E86))),"",IFERROR(ROUND(N(INDEX(art_init,MATCH(C86,art_ref,0)))+SUMIFS($E$5:E86,$C$5:C86,C86,$B$5:B86,"Entrée")-SUMIFS($E$5:E86,$C$5:C86,C86,$B$5:B86,"Sortie"),6),""))</f>
        <v>51.0</v>
      </c>
      <c r="L86" s="39" t="str">
        <f>IF(COUNTA(A86:C86,E86)=0,"",IF(COUNTA(A86:C86,E86)&lt;4,"Ligne incomplète",IF(NOT(ISNUMBER(A86)),"Date invalide",IF(AND(B86&lt;&gt;"Entrée",B86&lt;&gt;"Sortie"),"Type inconnu",IF(ISNA(MATCH(C86,art_ref,0)),"Référence inconnue",IF(OR(NOT(ISNUMBER(E86)),N(E86)&lt;=0),"Quantité invalide",IF(K86&lt;0,"Stock négatif",IF(AND(ISNUMBER(A85),A86&lt;A85),"Date hors ordre","OK"))))))))</f>
        <v>OK</v>
      </c>
      <c r="M86" s="39" t="str">
        <f>IF(C86="","",C86&amp;"#"&amp;COUNTIF($C$5:C86,C86))</f>
        <v>TOL-ACI-2#6</v>
      </c>
    </row>
    <row r="87">
      <c r="A87" s="41" t="n">
        <v>46091</v>
      </c>
      <c r="B87" s="37" t="inlineStr">
        <is>
          <t>Entrée</t>
        </is>
      </c>
      <c r="C87" s="37" t="inlineStr">
        <is>
          <t>RUB-50</t>
        </is>
      </c>
      <c r="D87" s="39" t="str">
        <f>IF(C87="","",IFERROR(INDEX(art_des,MATCH(C87,art_ref,0))&amp;"","Référence inconnue"))</f>
        <v>Ruban adhésif 50 mm x 66 m</v>
      </c>
      <c r="E87" s="37" t="n">
        <v>97</v>
      </c>
      <c r="F87" s="39" t="str">
        <f>IF(C87="","",IFERROR(INDEX(art_unit,MATCH(C87,art_ref,0))&amp;"",""))</f>
        <v>rouleau</v>
      </c>
      <c r="G87" s="37" t="inlineStr">
        <is>
          <t>BL-2026-008</t>
        </is>
      </c>
      <c r="H87" s="37" t="inlineStr">
        <is>
          <t>Emballages Atlas</t>
        </is>
      </c>
      <c r="I87" s="37" t="inlineStr">
        <is>
          <t>Réception commande</t>
        </is>
      </c>
      <c r="J87" s="40">
        <f>IF(OR(C87="",NOT(ISNUMBER(E87))),"",IFERROR(E87*N(INDEX(art_price,MATCH(C87,art_ref,0))),""))</f>
        <v>135.8</v>
      </c>
      <c r="K87" s="39">
        <f>IF(OR(C87="",NOT(ISNUMBER(E87))),"",IFERROR(ROUND(N(INDEX(art_init,MATCH(C87,art_ref,0)))+SUMIFS($E$5:E87,$C$5:C87,C87,$B$5:B87,"Entrée")-SUMIFS($E$5:E87,$C$5:C87,C87,$B$5:B87,"Sortie"),6),""))</f>
        <v>120.0</v>
      </c>
      <c r="L87" s="39" t="str">
        <f>IF(COUNTA(A87:C87,E87)=0,"",IF(COUNTA(A87:C87,E87)&lt;4,"Ligne incomplète",IF(NOT(ISNUMBER(A87)),"Date invalide",IF(AND(B87&lt;&gt;"Entrée",B87&lt;&gt;"Sortie"),"Type inconnu",IF(ISNA(MATCH(C87,art_ref,0)),"Référence inconnue",IF(OR(NOT(ISNUMBER(E87)),N(E87)&lt;=0),"Quantité invalide",IF(K87&lt;0,"Stock négatif",IF(AND(ISNUMBER(A86),A87&lt;A86),"Date hors ordre","OK"))))))))</f>
        <v>OK</v>
      </c>
      <c r="M87" s="39" t="str">
        <f>IF(C87="","",C87&amp;"#"&amp;COUNTIF($C$5:C87,C87))</f>
        <v>RUB-50#6</v>
      </c>
    </row>
    <row r="88">
      <c r="A88" s="41" t="n">
        <v>46092</v>
      </c>
      <c r="B88" s="37" t="inlineStr">
        <is>
          <t>Entrée</t>
        </is>
      </c>
      <c r="C88" s="37" t="inlineStr">
        <is>
          <t>JOI-20-2</t>
        </is>
      </c>
      <c r="D88" s="39" t="str">
        <f>IF(C88="","",IFERROR(INDEX(art_des,MATCH(C88,art_ref,0))&amp;"","Référence inconnue"))</f>
        <v>Joint torique 20 x 2 NBR</v>
      </c>
      <c r="E88" s="37" t="n">
        <v>502</v>
      </c>
      <c r="F88" s="39" t="str">
        <f>IF(C88="","",IFERROR(INDEX(art_unit,MATCH(C88,art_ref,0))&amp;"",""))</f>
        <v>pièce</v>
      </c>
      <c r="G88" s="37" t="inlineStr">
        <is>
          <t>BL-2026-009</t>
        </is>
      </c>
      <c r="H88" s="37" t="inlineStr">
        <is>
          <t>Roulements Express</t>
        </is>
      </c>
      <c r="I88" s="37" t="inlineStr">
        <is>
          <t>Réception commande</t>
        </is>
      </c>
      <c r="J88" s="40">
        <f>IF(OR(C88="",NOT(ISNUMBER(E88))),"",IFERROR(E88*N(INDEX(art_price,MATCH(C88,art_ref,0))),""))</f>
        <v>175.7</v>
      </c>
      <c r="K88" s="39">
        <f>IF(OR(C88="",NOT(ISNUMBER(E88))),"",IFERROR(ROUND(N(INDEX(art_init,MATCH(C88,art_ref,0)))+SUMIFS($E$5:E88,$C$5:C88,C88,$B$5:B88,"Entrée")-SUMIFS($E$5:E88,$C$5:C88,C88,$B$5:B88,"Sortie"),6),""))</f>
        <v>600.0</v>
      </c>
      <c r="L88" s="39" t="str">
        <f>IF(COUNTA(A88:C88,E88)=0,"",IF(COUNTA(A88:C88,E88)&lt;4,"Ligne incomplète",IF(NOT(ISNUMBER(A88)),"Date invalide",IF(AND(B88&lt;&gt;"Entrée",B88&lt;&gt;"Sortie"),"Type inconnu",IF(ISNA(MATCH(C88,art_ref,0)),"Référence inconnue",IF(OR(NOT(ISNUMBER(E88)),N(E88)&lt;=0),"Quantité invalide",IF(K88&lt;0,"Stock négatif",IF(AND(ISNUMBER(A87),A88&lt;A87),"Date hors ordre","OK"))))))))</f>
        <v>OK</v>
      </c>
      <c r="M88" s="39" t="str">
        <f>IF(C88="","",C88&amp;"#"&amp;COUNTIF($C$5:C88,C88))</f>
        <v>JOI-20-2#6</v>
      </c>
    </row>
    <row r="89">
      <c r="A89" s="41" t="n">
        <v>46092</v>
      </c>
      <c r="B89" s="37" t="inlineStr">
        <is>
          <t>Sortie</t>
        </is>
      </c>
      <c r="C89" s="37" t="inlineStr">
        <is>
          <t>BOR-WAGO-3</t>
        </is>
      </c>
      <c r="D89" s="39" t="str">
        <f>IF(C89="","",IFERROR(INDEX(art_des,MATCH(C89,art_ref,0))&amp;"","Référence inconnue"))</f>
        <v>Borne de connexion 3 entrées</v>
      </c>
      <c r="E89" s="37" t="n">
        <v>32</v>
      </c>
      <c r="F89" s="39" t="str">
        <f>IF(C89="","",IFERROR(INDEX(art_unit,MATCH(C89,art_ref,0))&amp;"",""))</f>
        <v>pièce</v>
      </c>
      <c r="G89" s="37" t="inlineStr">
        <is>
          <t>BS-2026-0076</t>
        </is>
      </c>
      <c r="H89" s="37" t="inlineStr">
        <is>
          <t>Atelier soudure</t>
        </is>
      </c>
      <c r="I89" s="37" t="n"/>
      <c r="J89" s="40">
        <f>IF(OR(C89="",NOT(ISNUMBER(E89))),"",IFERROR(E89*N(INDEX(art_price,MATCH(C89,art_ref,0))),""))</f>
        <v>13.44</v>
      </c>
      <c r="K89" s="39">
        <f>IF(OR(C89="",NOT(ISNUMBER(E89))),"",IFERROR(ROUND(N(INDEX(art_init,MATCH(C89,art_ref,0)))+SUMIFS($E$5:E89,$C$5:C89,C89,$B$5:B89,"Entrée")-SUMIFS($E$5:E89,$C$5:C89,C89,$B$5:B89,"Sortie"),6),""))</f>
        <v>38.0</v>
      </c>
      <c r="L89" s="39" t="str">
        <f>IF(COUNTA(A89:C89,E89)=0,"",IF(COUNTA(A89:C89,E89)&lt;4,"Ligne incomplète",IF(NOT(ISNUMBER(A89)),"Date invalide",IF(AND(B89&lt;&gt;"Entrée",B89&lt;&gt;"Sortie"),"Type inconnu",IF(ISNA(MATCH(C89,art_ref,0)),"Référence inconnue",IF(OR(NOT(ISNUMBER(E89)),N(E89)&lt;=0),"Quantité invalide",IF(K89&lt;0,"Stock négatif",IF(AND(ISNUMBER(A88),A89&lt;A88),"Date hors ordre","OK"))))))))</f>
        <v>OK</v>
      </c>
      <c r="M89" s="39" t="str">
        <f>IF(C89="","",C89&amp;"#"&amp;COUNTIF($C$5:C89,C89))</f>
        <v>BOR-WAGO-3#5</v>
      </c>
    </row>
    <row r="90">
      <c r="A90" s="41" t="n">
        <v>46092</v>
      </c>
      <c r="B90" s="37" t="inlineStr">
        <is>
          <t>Sortie</t>
        </is>
      </c>
      <c r="C90" s="37" t="inlineStr">
        <is>
          <t>ROU-6204</t>
        </is>
      </c>
      <c r="D90" s="39" t="str">
        <f>IF(C90="","",IFERROR(INDEX(art_des,MATCH(C90,art_ref,0))&amp;"","Référence inconnue"))</f>
        <v>Roulement à billes 6204 2RS</v>
      </c>
      <c r="E90" s="37" t="n">
        <v>15</v>
      </c>
      <c r="F90" s="39" t="str">
        <f>IF(C90="","",IFERROR(INDEX(art_unit,MATCH(C90,art_ref,0))&amp;"",""))</f>
        <v>pièce</v>
      </c>
      <c r="G90" s="37" t="inlineStr">
        <is>
          <t>BS-2026-0077</t>
        </is>
      </c>
      <c r="H90" s="37" t="inlineStr">
        <is>
          <t>Atelier montage</t>
        </is>
      </c>
      <c r="I90" s="37" t="n"/>
      <c r="J90" s="40">
        <f>IF(OR(C90="",NOT(ISNUMBER(E90))),"",IFERROR(E90*N(INDEX(art_price,MATCH(C90,art_ref,0))),""))</f>
        <v>57.0</v>
      </c>
      <c r="K90" s="39">
        <f>IF(OR(C90="",NOT(ISNUMBER(E90))),"",IFERROR(ROUND(N(INDEX(art_init,MATCH(C90,art_ref,0)))+SUMIFS($E$5:E90,$C$5:C90,C90,$B$5:B90,"Entrée")-SUMIFS($E$5:E90,$C$5:C90,C90,$B$5:B90,"Sortie"),6),""))</f>
        <v>36.0</v>
      </c>
      <c r="L90" s="39" t="str">
        <f>IF(COUNTA(A90:C90,E90)=0,"",IF(COUNTA(A90:C90,E90)&lt;4,"Ligne incomplète",IF(NOT(ISNUMBER(A90)),"Date invalide",IF(AND(B90&lt;&gt;"Entrée",B90&lt;&gt;"Sortie"),"Type inconnu",IF(ISNA(MATCH(C90,art_ref,0)),"Référence inconnue",IF(OR(NOT(ISNUMBER(E90)),N(E90)&lt;=0),"Quantité invalide",IF(K90&lt;0,"Stock négatif",IF(AND(ISNUMBER(A89),A90&lt;A89),"Date hors ordre","OK"))))))))</f>
        <v>OK</v>
      </c>
      <c r="M90" s="39" t="str">
        <f>IF(C90="","",C90&amp;"#"&amp;COUNTIF($C$5:C90,C90))</f>
        <v>ROU-6204#5</v>
      </c>
    </row>
    <row r="91">
      <c r="A91" s="41" t="n">
        <v>46092</v>
      </c>
      <c r="B91" s="37" t="inlineStr">
        <is>
          <t>Sortie</t>
        </is>
      </c>
      <c r="C91" s="37" t="inlineStr">
        <is>
          <t>TUB-ACI-40</t>
        </is>
      </c>
      <c r="D91" s="39" t="str">
        <f>IF(C91="","",IFERROR(INDEX(art_des,MATCH(C91,art_ref,0))&amp;"","Référence inconnue"))</f>
        <v>Tube acier carré 40 x 40, 6 m</v>
      </c>
      <c r="E91" s="37" t="n">
        <v>4</v>
      </c>
      <c r="F91" s="39" t="str">
        <f>IF(C91="","",IFERROR(INDEX(art_unit,MATCH(C91,art_ref,0))&amp;"",""))</f>
        <v>barre</v>
      </c>
      <c r="G91" s="37" t="inlineStr">
        <is>
          <t>BS-2026-0078</t>
        </is>
      </c>
      <c r="H91" s="37" t="inlineStr">
        <is>
          <t>Expédition</t>
        </is>
      </c>
      <c r="I91" s="37" t="n"/>
      <c r="J91" s="40">
        <f>IF(OR(C91="",NOT(ISNUMBER(E91))),"",IFERROR(E91*N(INDEX(art_price,MATCH(C91,art_ref,0))),""))</f>
        <v>124.8</v>
      </c>
      <c r="K91" s="39">
        <f>IF(OR(C91="",NOT(ISNUMBER(E91))),"",IFERROR(ROUND(N(INDEX(art_init,MATCH(C91,art_ref,0)))+SUMIFS($E$5:E91,$C$5:C91,C91,$B$5:B91,"Entrée")-SUMIFS($E$5:E91,$C$5:C91,C91,$B$5:B91,"Sortie"),6),""))</f>
        <v>11.0</v>
      </c>
      <c r="L91" s="39" t="str">
        <f>IF(COUNTA(A91:C91,E91)=0,"",IF(COUNTA(A91:C91,E91)&lt;4,"Ligne incomplète",IF(NOT(ISNUMBER(A91)),"Date invalide",IF(AND(B91&lt;&gt;"Entrée",B91&lt;&gt;"Sortie"),"Type inconnu",IF(ISNA(MATCH(C91,art_ref,0)),"Référence inconnue",IF(OR(NOT(ISNUMBER(E91)),N(E91)&lt;=0),"Quantité invalide",IF(K91&lt;0,"Stock négatif",IF(AND(ISNUMBER(A90),A91&lt;A90),"Date hors ordre","OK"))))))))</f>
        <v>OK</v>
      </c>
      <c r="M91" s="39" t="str">
        <f>IF(C91="","",C91&amp;"#"&amp;COUNTIF($C$5:C91,C91))</f>
        <v>TUB-ACI-40#5</v>
      </c>
    </row>
    <row r="92">
      <c r="A92" s="41" t="n">
        <v>46093</v>
      </c>
      <c r="B92" s="37" t="inlineStr">
        <is>
          <t>Sortie</t>
        </is>
      </c>
      <c r="C92" s="37" t="inlineStr">
        <is>
          <t>CAB-2.5</t>
        </is>
      </c>
      <c r="D92" s="39" t="str">
        <f>IF(C92="","",IFERROR(INDEX(art_des,MATCH(C92,art_ref,0))&amp;"","Référence inconnue"))</f>
        <v>Câble électrique 2,5 mm²</v>
      </c>
      <c r="E92" s="37" t="n">
        <v>43</v>
      </c>
      <c r="F92" s="39" t="str">
        <f>IF(C92="","",IFERROR(INDEX(art_unit,MATCH(C92,art_ref,0))&amp;"",""))</f>
        <v>m</v>
      </c>
      <c r="G92" s="37" t="inlineStr">
        <is>
          <t>BS-2026-0079</t>
        </is>
      </c>
      <c r="H92" s="37" t="inlineStr">
        <is>
          <t>Maintenance</t>
        </is>
      </c>
      <c r="I92" s="37" t="n"/>
      <c r="J92" s="40">
        <f>IF(OR(C92="",NOT(ISNUMBER(E92))),"",IFERROR(E92*N(INDEX(art_price,MATCH(C92,art_ref,0))),""))</f>
        <v>29.24</v>
      </c>
      <c r="K92" s="39">
        <f>IF(OR(C92="",NOT(ISNUMBER(E92))),"",IFERROR(ROUND(N(INDEX(art_init,MATCH(C92,art_ref,0)))+SUMIFS($E$5:E92,$C$5:C92,C92,$B$5:B92,"Entrée")-SUMIFS($E$5:E92,$C$5:C92,C92,$B$5:B92,"Sortie"),6),""))</f>
        <v>78.0</v>
      </c>
      <c r="L92" s="39" t="str">
        <f>IF(COUNTA(A92:C92,E92)=0,"",IF(COUNTA(A92:C92,E92)&lt;4,"Ligne incomplète",IF(NOT(ISNUMBER(A92)),"Date invalide",IF(AND(B92&lt;&gt;"Entrée",B92&lt;&gt;"Sortie"),"Type inconnu",IF(ISNA(MATCH(C92,art_ref,0)),"Référence inconnue",IF(OR(NOT(ISNUMBER(E92)),N(E92)&lt;=0),"Quantité invalide",IF(K92&lt;0,"Stock négatif",IF(AND(ISNUMBER(A91),A92&lt;A91),"Date hors ordre","OK"))))))))</f>
        <v>OK</v>
      </c>
      <c r="M92" s="39" t="str">
        <f>IF(C92="","",C92&amp;"#"&amp;COUNTIF($C$5:C92,C92))</f>
        <v>CAB-2.5#5</v>
      </c>
    </row>
    <row r="93">
      <c r="A93" s="41" t="n">
        <v>46093</v>
      </c>
      <c r="B93" s="37" t="inlineStr">
        <is>
          <t>Sortie</t>
        </is>
      </c>
      <c r="C93" s="37" t="inlineStr">
        <is>
          <t>GAN-NIT</t>
        </is>
      </c>
      <c r="D93" s="39" t="str">
        <f>IF(C93="","",IFERROR(INDEX(art_des,MATCH(C93,art_ref,0))&amp;"","Référence inconnue"))</f>
        <v>Gants nitrile, boîte de 100</v>
      </c>
      <c r="E93" s="37" t="n">
        <v>4</v>
      </c>
      <c r="F93" s="39" t="str">
        <f>IF(C93="","",IFERROR(INDEX(art_unit,MATCH(C93,art_ref,0))&amp;"",""))</f>
        <v>boîte</v>
      </c>
      <c r="G93" s="37" t="inlineStr">
        <is>
          <t>BS-2026-0080</t>
        </is>
      </c>
      <c r="H93" s="37" t="inlineStr">
        <is>
          <t>Expédition</t>
        </is>
      </c>
      <c r="I93" s="37" t="n"/>
      <c r="J93" s="40">
        <f>IF(OR(C93="",NOT(ISNUMBER(E93))),"",IFERROR(E93*N(INDEX(art_price,MATCH(C93,art_ref,0))),""))</f>
        <v>30.0</v>
      </c>
      <c r="K93" s="39">
        <f>IF(OR(C93="",NOT(ISNUMBER(E93))),"",IFERROR(ROUND(N(INDEX(art_init,MATCH(C93,art_ref,0)))+SUMIFS($E$5:E93,$C$5:C93,C93,$B$5:B93,"Entrée")-SUMIFS($E$5:E93,$C$5:C93,C93,$B$5:B93,"Sortie"),6),""))</f>
        <v>7.0</v>
      </c>
      <c r="L93" s="39" t="str">
        <f>IF(COUNTA(A93:C93,E93)=0,"",IF(COUNTA(A93:C93,E93)&lt;4,"Ligne incomplète",IF(NOT(ISNUMBER(A93)),"Date invalide",IF(AND(B93&lt;&gt;"Entrée",B93&lt;&gt;"Sortie"),"Type inconnu",IF(ISNA(MATCH(C93,art_ref,0)),"Référence inconnue",IF(OR(NOT(ISNUMBER(E93)),N(E93)&lt;=0),"Quantité invalide",IF(K93&lt;0,"Stock négatif",IF(AND(ISNUMBER(A92),A93&lt;A92),"Date hors ordre","OK"))))))))</f>
        <v>OK</v>
      </c>
      <c r="M93" s="39" t="str">
        <f>IF(C93="","",C93&amp;"#"&amp;COUNTIF($C$5:C93,C93))</f>
        <v>GAN-NIT#5</v>
      </c>
    </row>
    <row r="94">
      <c r="A94" s="41" t="n">
        <v>46095</v>
      </c>
      <c r="B94" s="37" t="inlineStr">
        <is>
          <t>Entrée</t>
        </is>
      </c>
      <c r="C94" s="37" t="inlineStr">
        <is>
          <t>BOR-WAGO-3</t>
        </is>
      </c>
      <c r="D94" s="39" t="str">
        <f>IF(C94="","",IFERROR(INDEX(art_des,MATCH(C94,art_ref,0))&amp;"","Référence inconnue"))</f>
        <v>Borne de connexion 3 entrées</v>
      </c>
      <c r="E94" s="37" t="n">
        <v>262</v>
      </c>
      <c r="F94" s="39" t="str">
        <f>IF(C94="","",IFERROR(INDEX(art_unit,MATCH(C94,art_ref,0))&amp;"",""))</f>
        <v>pièce</v>
      </c>
      <c r="G94" s="37" t="inlineStr">
        <is>
          <t>BL-2026-010</t>
        </is>
      </c>
      <c r="H94" s="37" t="inlineStr">
        <is>
          <t>Électro Distribution</t>
        </is>
      </c>
      <c r="I94" s="37" t="inlineStr">
        <is>
          <t>Réception commande</t>
        </is>
      </c>
      <c r="J94" s="40">
        <f>IF(OR(C94="",NOT(ISNUMBER(E94))),"",IFERROR(E94*N(INDEX(art_price,MATCH(C94,art_ref,0))),""))</f>
        <v>110.04</v>
      </c>
      <c r="K94" s="39">
        <f>IF(OR(C94="",NOT(ISNUMBER(E94))),"",IFERROR(ROUND(N(INDEX(art_init,MATCH(C94,art_ref,0)))+SUMIFS($E$5:E94,$C$5:C94,C94,$B$5:B94,"Entrée")-SUMIFS($E$5:E94,$C$5:C94,C94,$B$5:B94,"Sortie"),6),""))</f>
        <v>300.0</v>
      </c>
      <c r="L94" s="39" t="str">
        <f>IF(COUNTA(A94:C94,E94)=0,"",IF(COUNTA(A94:C94,E94)&lt;4,"Ligne incomplète",IF(NOT(ISNUMBER(A94)),"Date invalide",IF(AND(B94&lt;&gt;"Entrée",B94&lt;&gt;"Sortie"),"Type inconnu",IF(ISNA(MATCH(C94,art_ref,0)),"Référence inconnue",IF(OR(NOT(ISNUMBER(E94)),N(E94)&lt;=0),"Quantité invalide",IF(K94&lt;0,"Stock négatif",IF(AND(ISNUMBER(A93),A94&lt;A93),"Date hors ordre","OK"))))))))</f>
        <v>OK</v>
      </c>
      <c r="M94" s="39" t="str">
        <f>IF(C94="","",C94&amp;"#"&amp;COUNTIF($C$5:C94,C94))</f>
        <v>BOR-WAGO-3#6</v>
      </c>
    </row>
    <row r="95">
      <c r="A95" s="41" t="n">
        <v>46095</v>
      </c>
      <c r="B95" s="37" t="inlineStr">
        <is>
          <t>Entrée</t>
        </is>
      </c>
      <c r="C95" s="37" t="inlineStr">
        <is>
          <t>ROU-6204</t>
        </is>
      </c>
      <c r="D95" s="39" t="str">
        <f>IF(C95="","",IFERROR(INDEX(art_des,MATCH(C95,art_ref,0))&amp;"","Référence inconnue"))</f>
        <v>Roulement à billes 6204 2RS</v>
      </c>
      <c r="E95" s="37" t="n">
        <v>114</v>
      </c>
      <c r="F95" s="39" t="str">
        <f>IF(C95="","",IFERROR(INDEX(art_unit,MATCH(C95,art_ref,0))&amp;"",""))</f>
        <v>pièce</v>
      </c>
      <c r="G95" s="37" t="inlineStr">
        <is>
          <t>BL-2026-011</t>
        </is>
      </c>
      <c r="H95" s="37" t="inlineStr">
        <is>
          <t>Roulements Express</t>
        </is>
      </c>
      <c r="I95" s="37" t="inlineStr">
        <is>
          <t>Réception commande</t>
        </is>
      </c>
      <c r="J95" s="40">
        <f>IF(OR(C95="",NOT(ISNUMBER(E95))),"",IFERROR(E95*N(INDEX(art_price,MATCH(C95,art_ref,0))),""))</f>
        <v>433.2</v>
      </c>
      <c r="K95" s="39">
        <f>IF(OR(C95="",NOT(ISNUMBER(E95))),"",IFERROR(ROUND(N(INDEX(art_init,MATCH(C95,art_ref,0)))+SUMIFS($E$5:E95,$C$5:C95,C95,$B$5:B95,"Entrée")-SUMIFS($E$5:E95,$C$5:C95,C95,$B$5:B95,"Sortie"),6),""))</f>
        <v>150.0</v>
      </c>
      <c r="L95" s="39" t="str">
        <f>IF(COUNTA(A95:C95,E95)=0,"",IF(COUNTA(A95:C95,E95)&lt;4,"Ligne incomplète",IF(NOT(ISNUMBER(A95)),"Date invalide",IF(AND(B95&lt;&gt;"Entrée",B95&lt;&gt;"Sortie"),"Type inconnu",IF(ISNA(MATCH(C95,art_ref,0)),"Référence inconnue",IF(OR(NOT(ISNUMBER(E95)),N(E95)&lt;=0),"Quantité invalide",IF(K95&lt;0,"Stock négatif",IF(AND(ISNUMBER(A94),A95&lt;A94),"Date hors ordre","OK"))))))))</f>
        <v>OK</v>
      </c>
      <c r="M95" s="39" t="str">
        <f>IF(C95="","",C95&amp;"#"&amp;COUNTIF($C$5:C95,C95))</f>
        <v>ROU-6204#6</v>
      </c>
    </row>
    <row r="96">
      <c r="A96" s="41" t="n">
        <v>46096</v>
      </c>
      <c r="B96" s="37" t="inlineStr">
        <is>
          <t>Entrée</t>
        </is>
      </c>
      <c r="C96" s="37" t="inlineStr">
        <is>
          <t>CAB-2.5</t>
        </is>
      </c>
      <c r="D96" s="39" t="str">
        <f>IF(C96="","",IFERROR(INDEX(art_des,MATCH(C96,art_ref,0))&amp;"","Référence inconnue"))</f>
        <v>Câble électrique 2,5 mm²</v>
      </c>
      <c r="E96" s="37" t="n">
        <v>422</v>
      </c>
      <c r="F96" s="39" t="str">
        <f>IF(C96="","",IFERROR(INDEX(art_unit,MATCH(C96,art_ref,0))&amp;"",""))</f>
        <v>m</v>
      </c>
      <c r="G96" s="37" t="inlineStr">
        <is>
          <t>BL-2026-012</t>
        </is>
      </c>
      <c r="H96" s="37" t="inlineStr">
        <is>
          <t>Électro Distribution</t>
        </is>
      </c>
      <c r="I96" s="37" t="inlineStr">
        <is>
          <t>Réception commande</t>
        </is>
      </c>
      <c r="J96" s="40">
        <f>IF(OR(C96="",NOT(ISNUMBER(E96))),"",IFERROR(E96*N(INDEX(art_price,MATCH(C96,art_ref,0))),""))</f>
        <v>286.96</v>
      </c>
      <c r="K96" s="39">
        <f>IF(OR(C96="",NOT(ISNUMBER(E96))),"",IFERROR(ROUND(N(INDEX(art_init,MATCH(C96,art_ref,0)))+SUMIFS($E$5:E96,$C$5:C96,C96,$B$5:B96,"Entrée")-SUMIFS($E$5:E96,$C$5:C96,C96,$B$5:B96,"Sortie"),6),""))</f>
        <v>500.0</v>
      </c>
      <c r="L96" s="39" t="str">
        <f>IF(COUNTA(A96:C96,E96)=0,"",IF(COUNTA(A96:C96,E96)&lt;4,"Ligne incomplète",IF(NOT(ISNUMBER(A96)),"Date invalide",IF(AND(B96&lt;&gt;"Entrée",B96&lt;&gt;"Sortie"),"Type inconnu",IF(ISNA(MATCH(C96,art_ref,0)),"Référence inconnue",IF(OR(NOT(ISNUMBER(E96)),N(E96)&lt;=0),"Quantité invalide",IF(K96&lt;0,"Stock négatif",IF(AND(ISNUMBER(A95),A96&lt;A95),"Date hors ordre","OK"))))))))</f>
        <v>OK</v>
      </c>
      <c r="M96" s="39" t="str">
        <f>IF(C96="","",C96&amp;"#"&amp;COUNTIF($C$5:C96,C96))</f>
        <v>CAB-2.5#6</v>
      </c>
    </row>
    <row r="97">
      <c r="A97" s="41" t="n">
        <v>46096</v>
      </c>
      <c r="B97" s="37" t="inlineStr">
        <is>
          <t>Entrée</t>
        </is>
      </c>
      <c r="C97" s="37" t="inlineStr">
        <is>
          <t>GAN-NIT</t>
        </is>
      </c>
      <c r="D97" s="39" t="str">
        <f>IF(C97="","",IFERROR(INDEX(art_des,MATCH(C97,art_ref,0))&amp;"","Référence inconnue"))</f>
        <v>Gants nitrile, boîte de 100</v>
      </c>
      <c r="E97" s="37" t="n">
        <v>23</v>
      </c>
      <c r="F97" s="39" t="str">
        <f>IF(C97="","",IFERROR(INDEX(art_unit,MATCH(C97,art_ref,0))&amp;"",""))</f>
        <v>boîte</v>
      </c>
      <c r="G97" s="37" t="inlineStr">
        <is>
          <t>BL-2026-013</t>
        </is>
      </c>
      <c r="H97" s="37" t="inlineStr">
        <is>
          <t>EPI Fournitures</t>
        </is>
      </c>
      <c r="I97" s="37" t="inlineStr">
        <is>
          <t>Réception commande</t>
        </is>
      </c>
      <c r="J97" s="40">
        <f>IF(OR(C97="",NOT(ISNUMBER(E97))),"",IFERROR(E97*N(INDEX(art_price,MATCH(C97,art_ref,0))),""))</f>
        <v>172.5</v>
      </c>
      <c r="K97" s="39">
        <f>IF(OR(C97="",NOT(ISNUMBER(E97))),"",IFERROR(ROUND(N(INDEX(art_init,MATCH(C97,art_ref,0)))+SUMIFS($E$5:E97,$C$5:C97,C97,$B$5:B97,"Entrée")-SUMIFS($E$5:E97,$C$5:C97,C97,$B$5:B97,"Sortie"),6),""))</f>
        <v>30.0</v>
      </c>
      <c r="L97" s="39" t="str">
        <f>IF(COUNTA(A97:C97,E97)=0,"",IF(COUNTA(A97:C97,E97)&lt;4,"Ligne incomplète",IF(NOT(ISNUMBER(A97)),"Date invalide",IF(AND(B97&lt;&gt;"Entrée",B97&lt;&gt;"Sortie"),"Type inconnu",IF(ISNA(MATCH(C97,art_ref,0)),"Référence inconnue",IF(OR(NOT(ISNUMBER(E97)),N(E97)&lt;=0),"Quantité invalide",IF(K97&lt;0,"Stock négatif",IF(AND(ISNUMBER(A96),A97&lt;A96),"Date hors ordre","OK"))))))))</f>
        <v>OK</v>
      </c>
      <c r="M97" s="39" t="str">
        <f>IF(C97="","",C97&amp;"#"&amp;COUNTIF($C$5:C97,C97))</f>
        <v>GAN-NIT#6</v>
      </c>
    </row>
    <row r="98">
      <c r="A98" s="41" t="n">
        <v>46097</v>
      </c>
      <c r="B98" s="37" t="inlineStr">
        <is>
          <t>Sortie</t>
        </is>
      </c>
      <c r="C98" s="37" t="inlineStr">
        <is>
          <t>FOR-HSS-8</t>
        </is>
      </c>
      <c r="D98" s="39" t="str">
        <f>IF(C98="","",IFERROR(INDEX(art_des,MATCH(C98,art_ref,0))&amp;"","Référence inconnue"))</f>
        <v>Foret HSS 8 mm</v>
      </c>
      <c r="E98" s="37" t="n">
        <v>3</v>
      </c>
      <c r="F98" s="39" t="str">
        <f>IF(C98="","",IFERROR(INDEX(art_unit,MATCH(C98,art_ref,0))&amp;"",""))</f>
        <v>pièce</v>
      </c>
      <c r="G98" s="37" t="inlineStr">
        <is>
          <t>BS-2026-0081</t>
        </is>
      </c>
      <c r="H98" s="37" t="inlineStr">
        <is>
          <t>Atelier montage</t>
        </is>
      </c>
      <c r="I98" s="37" t="n"/>
      <c r="J98" s="40">
        <f>IF(OR(C98="",NOT(ISNUMBER(E98))),"",IFERROR(E98*N(INDEX(art_price,MATCH(C98,art_ref,0))),""))</f>
        <v>13.8</v>
      </c>
      <c r="K98" s="39">
        <f>IF(OR(C98="",NOT(ISNUMBER(E98))),"",IFERROR(ROUND(N(INDEX(art_init,MATCH(C98,art_ref,0)))+SUMIFS($E$5:E98,$C$5:C98,C98,$B$5:B98,"Entrée")-SUMIFS($E$5:E98,$C$5:C98,C98,$B$5:B98,"Sortie"),6),""))</f>
        <v>11.0</v>
      </c>
      <c r="L98" s="39" t="str">
        <f>IF(COUNTA(A98:C98,E98)=0,"",IF(COUNTA(A98:C98,E98)&lt;4,"Ligne incomplète",IF(NOT(ISNUMBER(A98)),"Date invalide",IF(AND(B98&lt;&gt;"Entrée",B98&lt;&gt;"Sortie"),"Type inconnu",IF(ISNA(MATCH(C98,art_ref,0)),"Référence inconnue",IF(OR(NOT(ISNUMBER(E98)),N(E98)&lt;=0),"Quantité invalide",IF(K98&lt;0,"Stock négatif",IF(AND(ISNUMBER(A97),A98&lt;A97),"Date hors ordre","OK"))))))))</f>
        <v>OK</v>
      </c>
      <c r="M98" s="39" t="str">
        <f>IF(C98="","",C98&amp;"#"&amp;COUNTIF($C$5:C98,C98))</f>
        <v>FOR-HSS-8#6</v>
      </c>
    </row>
    <row r="99">
      <c r="A99" s="41" t="n">
        <v>46097</v>
      </c>
      <c r="B99" s="37" t="inlineStr">
        <is>
          <t>Sortie</t>
        </is>
      </c>
      <c r="C99" s="37" t="inlineStr">
        <is>
          <t>TUB-ACI-40</t>
        </is>
      </c>
      <c r="D99" s="39" t="str">
        <f>IF(C99="","",IFERROR(INDEX(art_des,MATCH(C99,art_ref,0))&amp;"","Référence inconnue"))</f>
        <v>Tube acier carré 40 x 40, 6 m</v>
      </c>
      <c r="E99" s="37" t="n">
        <v>3</v>
      </c>
      <c r="F99" s="39" t="str">
        <f>IF(C99="","",IFERROR(INDEX(art_unit,MATCH(C99,art_ref,0))&amp;"",""))</f>
        <v>barre</v>
      </c>
      <c r="G99" s="37" t="inlineStr">
        <is>
          <t>BS-2026-0082</t>
        </is>
      </c>
      <c r="H99" s="37" t="inlineStr">
        <is>
          <t>Atelier montage</t>
        </is>
      </c>
      <c r="I99" s="37" t="n"/>
      <c r="J99" s="40">
        <f>IF(OR(C99="",NOT(ISNUMBER(E99))),"",IFERROR(E99*N(INDEX(art_price,MATCH(C99,art_ref,0))),""))</f>
        <v>93.6</v>
      </c>
      <c r="K99" s="39">
        <f>IF(OR(C99="",NOT(ISNUMBER(E99))),"",IFERROR(ROUND(N(INDEX(art_init,MATCH(C99,art_ref,0)))+SUMIFS($E$5:E99,$C$5:C99,C99,$B$5:B99,"Entrée")-SUMIFS($E$5:E99,$C$5:C99,C99,$B$5:B99,"Sortie"),6),""))</f>
        <v>8.0</v>
      </c>
      <c r="L99" s="39" t="str">
        <f>IF(COUNTA(A99:C99,E99)=0,"",IF(COUNTA(A99:C99,E99)&lt;4,"Ligne incomplète",IF(NOT(ISNUMBER(A99)),"Date invalide",IF(AND(B99&lt;&gt;"Entrée",B99&lt;&gt;"Sortie"),"Type inconnu",IF(ISNA(MATCH(C99,art_ref,0)),"Référence inconnue",IF(OR(NOT(ISNUMBER(E99)),N(E99)&lt;=0),"Quantité invalide",IF(K99&lt;0,"Stock négatif",IF(AND(ISNUMBER(A98),A99&lt;A98),"Date hors ordre","OK"))))))))</f>
        <v>OK</v>
      </c>
      <c r="M99" s="39" t="str">
        <f>IF(C99="","",C99&amp;"#"&amp;COUNTIF($C$5:C99,C99))</f>
        <v>TUB-ACI-40#6</v>
      </c>
    </row>
    <row r="100">
      <c r="A100" s="41" t="n">
        <v>46098</v>
      </c>
      <c r="B100" s="37" t="inlineStr">
        <is>
          <t>Sortie</t>
        </is>
      </c>
      <c r="C100" s="37" t="inlineStr">
        <is>
          <t>BOR-WAGO-3</t>
        </is>
      </c>
      <c r="D100" s="39" t="str">
        <f>IF(C100="","",IFERROR(INDEX(art_des,MATCH(C100,art_ref,0))&amp;"","Référence inconnue"))</f>
        <v>Borne de connexion 3 entrées</v>
      </c>
      <c r="E100" s="37" t="n">
        <v>31</v>
      </c>
      <c r="F100" s="39" t="str">
        <f>IF(C100="","",IFERROR(INDEX(art_unit,MATCH(C100,art_ref,0))&amp;"",""))</f>
        <v>pièce</v>
      </c>
      <c r="G100" s="37" t="inlineStr">
        <is>
          <t>BS-2026-0083</t>
        </is>
      </c>
      <c r="H100" s="37" t="inlineStr">
        <is>
          <t>Atelier soudure</t>
        </is>
      </c>
      <c r="I100" s="37" t="n"/>
      <c r="J100" s="40">
        <f>IF(OR(C100="",NOT(ISNUMBER(E100))),"",IFERROR(E100*N(INDEX(art_price,MATCH(C100,art_ref,0))),""))</f>
        <v>13.02</v>
      </c>
      <c r="K100" s="39">
        <f>IF(OR(C100="",NOT(ISNUMBER(E100))),"",IFERROR(ROUND(N(INDEX(art_init,MATCH(C100,art_ref,0)))+SUMIFS($E$5:E100,$C$5:C100,C100,$B$5:B100,"Entrée")-SUMIFS($E$5:E100,$C$5:C100,C100,$B$5:B100,"Sortie"),6),""))</f>
        <v>269.0</v>
      </c>
      <c r="L100" s="39" t="str">
        <f>IF(COUNTA(A100:C100,E100)=0,"",IF(COUNTA(A100:C100,E100)&lt;4,"Ligne incomplète",IF(NOT(ISNUMBER(A100)),"Date invalide",IF(AND(B100&lt;&gt;"Entrée",B100&lt;&gt;"Sortie"),"Type inconnu",IF(ISNA(MATCH(C100,art_ref,0)),"Référence inconnue",IF(OR(NOT(ISNUMBER(E100)),N(E100)&lt;=0),"Quantité invalide",IF(K100&lt;0,"Stock négatif",IF(AND(ISNUMBER(A99),A100&lt;A99),"Date hors ordre","OK"))))))))</f>
        <v>OK</v>
      </c>
      <c r="M100" s="39" t="str">
        <f>IF(C100="","",C100&amp;"#"&amp;COUNTIF($C$5:C100,C100))</f>
        <v>BOR-WAGO-3#7</v>
      </c>
    </row>
    <row r="101">
      <c r="A101" s="41" t="n">
        <v>46098</v>
      </c>
      <c r="B101" s="37" t="inlineStr">
        <is>
          <t>Sortie</t>
        </is>
      </c>
      <c r="C101" s="37" t="inlineStr">
        <is>
          <t>CAB-2.5</t>
        </is>
      </c>
      <c r="D101" s="39" t="str">
        <f>IF(C101="","",IFERROR(INDEX(art_des,MATCH(C101,art_ref,0))&amp;"","Référence inconnue"))</f>
        <v>Câble électrique 2,5 mm²</v>
      </c>
      <c r="E101" s="37" t="n">
        <v>34</v>
      </c>
      <c r="F101" s="39" t="str">
        <f>IF(C101="","",IFERROR(INDEX(art_unit,MATCH(C101,art_ref,0))&amp;"",""))</f>
        <v>m</v>
      </c>
      <c r="G101" s="37" t="inlineStr">
        <is>
          <t>BS-2026-0084</t>
        </is>
      </c>
      <c r="H101" s="37" t="inlineStr">
        <is>
          <t>Atelier usinage</t>
        </is>
      </c>
      <c r="I101" s="37" t="n"/>
      <c r="J101" s="40">
        <f>IF(OR(C101="",NOT(ISNUMBER(E101))),"",IFERROR(E101*N(INDEX(art_price,MATCH(C101,art_ref,0))),""))</f>
        <v>23.12</v>
      </c>
      <c r="K101" s="39">
        <f>IF(OR(C101="",NOT(ISNUMBER(E101))),"",IFERROR(ROUND(N(INDEX(art_init,MATCH(C101,art_ref,0)))+SUMIFS($E$5:E101,$C$5:C101,C101,$B$5:B101,"Entrée")-SUMIFS($E$5:E101,$C$5:C101,C101,$B$5:B101,"Sortie"),6),""))</f>
        <v>466.0</v>
      </c>
      <c r="L101" s="39" t="str">
        <f>IF(COUNTA(A101:C101,E101)=0,"",IF(COUNTA(A101:C101,E101)&lt;4,"Ligne incomplète",IF(NOT(ISNUMBER(A101)),"Date invalide",IF(AND(B101&lt;&gt;"Entrée",B101&lt;&gt;"Sortie"),"Type inconnu",IF(ISNA(MATCH(C101,art_ref,0)),"Référence inconnue",IF(OR(NOT(ISNUMBER(E101)),N(E101)&lt;=0),"Quantité invalide",IF(K101&lt;0,"Stock négatif",IF(AND(ISNUMBER(A100),A101&lt;A100),"Date hors ordre","OK"))))))))</f>
        <v>OK</v>
      </c>
      <c r="M101" s="39" t="str">
        <f>IF(C101="","",C101&amp;"#"&amp;COUNTIF($C$5:C101,C101))</f>
        <v>CAB-2.5#7</v>
      </c>
    </row>
    <row r="102">
      <c r="A102" s="41" t="n">
        <v>46098</v>
      </c>
      <c r="B102" s="37" t="inlineStr">
        <is>
          <t>Sortie</t>
        </is>
      </c>
      <c r="C102" s="37" t="inlineStr">
        <is>
          <t>TOL-ACI-2</t>
        </is>
      </c>
      <c r="D102" s="39" t="str">
        <f>IF(C102="","",IFERROR(INDEX(art_des,MATCH(C102,art_ref,0))&amp;"","Référence inconnue"))</f>
        <v>Tôle acier 2 mm 1000 x 2000</v>
      </c>
      <c r="E102" s="37" t="n">
        <v>8</v>
      </c>
      <c r="F102" s="39" t="str">
        <f>IF(C102="","",IFERROR(INDEX(art_unit,MATCH(C102,art_ref,0))&amp;"",""))</f>
        <v>feuille</v>
      </c>
      <c r="G102" s="37" t="inlineStr">
        <is>
          <t>BS-2026-0085</t>
        </is>
      </c>
      <c r="H102" s="37" t="inlineStr">
        <is>
          <t>Expédition</t>
        </is>
      </c>
      <c r="I102" s="37" t="n"/>
      <c r="J102" s="40">
        <f>IF(OR(C102="",NOT(ISNUMBER(E102))),"",IFERROR(E102*N(INDEX(art_price,MATCH(C102,art_ref,0))),""))</f>
        <v>388.0</v>
      </c>
      <c r="K102" s="39">
        <f>IF(OR(C102="",NOT(ISNUMBER(E102))),"",IFERROR(ROUND(N(INDEX(art_init,MATCH(C102,art_ref,0)))+SUMIFS($E$5:E102,$C$5:C102,C102,$B$5:B102,"Entrée")-SUMIFS($E$5:E102,$C$5:C102,C102,$B$5:B102,"Sortie"),6),""))</f>
        <v>43.0</v>
      </c>
      <c r="L102" s="39" t="str">
        <f>IF(COUNTA(A102:C102,E102)=0,"",IF(COUNTA(A102:C102,E102)&lt;4,"Ligne incomplète",IF(NOT(ISNUMBER(A102)),"Date invalide",IF(AND(B102&lt;&gt;"Entrée",B102&lt;&gt;"Sortie"),"Type inconnu",IF(ISNA(MATCH(C102,art_ref,0)),"Référence inconnue",IF(OR(NOT(ISNUMBER(E102)),N(E102)&lt;=0),"Quantité invalide",IF(K102&lt;0,"Stock négatif",IF(AND(ISNUMBER(A101),A102&lt;A101),"Date hors ordre","OK"))))))))</f>
        <v>OK</v>
      </c>
      <c r="M102" s="39" t="str">
        <f>IF(C102="","",C102&amp;"#"&amp;COUNTIF($C$5:C102,C102))</f>
        <v>TOL-ACI-2#7</v>
      </c>
    </row>
    <row r="103">
      <c r="A103" s="41" t="n">
        <v>46099</v>
      </c>
      <c r="B103" s="37" t="inlineStr">
        <is>
          <t>Sortie</t>
        </is>
      </c>
      <c r="C103" s="37" t="inlineStr">
        <is>
          <t>ECR-M6</t>
        </is>
      </c>
      <c r="D103" s="39" t="str">
        <f>IF(C103="","",IFERROR(INDEX(art_des,MATCH(C103,art_ref,0))&amp;"","Référence inconnue"))</f>
        <v>Écrou inox M6</v>
      </c>
      <c r="E103" s="37" t="n">
        <v>533</v>
      </c>
      <c r="F103" s="39" t="str">
        <f>IF(C103="","",IFERROR(INDEX(art_unit,MATCH(C103,art_ref,0))&amp;"",""))</f>
        <v>pièce</v>
      </c>
      <c r="G103" s="37" t="inlineStr">
        <is>
          <t>BS-2026-0086</t>
        </is>
      </c>
      <c r="H103" s="37" t="inlineStr">
        <is>
          <t>Atelier soudure</t>
        </is>
      </c>
      <c r="I103" s="37" t="n"/>
      <c r="J103" s="40">
        <f>IF(OR(C103="",NOT(ISNUMBER(E103))),"",IFERROR(E103*N(INDEX(art_price,MATCH(C103,art_ref,0))),""))</f>
        <v>26.65</v>
      </c>
      <c r="K103" s="39">
        <f>IF(OR(C103="",NOT(ISNUMBER(E103))),"",IFERROR(ROUND(N(INDEX(art_init,MATCH(C103,art_ref,0)))+SUMIFS($E$5:E103,$C$5:C103,C103,$B$5:B103,"Entrée")-SUMIFS($E$5:E103,$C$5:C103,C103,$B$5:B103,"Sortie"),6),""))</f>
        <v>3467.0</v>
      </c>
      <c r="L103" s="39" t="str">
        <f>IF(COUNTA(A103:C103,E103)=0,"",IF(COUNTA(A103:C103,E103)&lt;4,"Ligne incomplète",IF(NOT(ISNUMBER(A103)),"Date invalide",IF(AND(B103&lt;&gt;"Entrée",B103&lt;&gt;"Sortie"),"Type inconnu",IF(ISNA(MATCH(C103,art_ref,0)),"Référence inconnue",IF(OR(NOT(ISNUMBER(E103)),N(E103)&lt;=0),"Quantité invalide",IF(K103&lt;0,"Stock négatif",IF(AND(ISNUMBER(A102),A103&lt;A102),"Date hors ordre","OK"))))))))</f>
        <v>OK</v>
      </c>
      <c r="M103" s="39" t="str">
        <f>IF(C103="","",C103&amp;"#"&amp;COUNTIF($C$5:C103,C103))</f>
        <v>ECR-M6#7</v>
      </c>
    </row>
    <row r="104">
      <c r="A104" s="41" t="n">
        <v>46100</v>
      </c>
      <c r="B104" s="37" t="inlineStr">
        <is>
          <t>Entrée</t>
        </is>
      </c>
      <c r="C104" s="37" t="inlineStr">
        <is>
          <t>TUB-ACI-40</t>
        </is>
      </c>
      <c r="D104" s="39" t="str">
        <f>IF(C104="","",IFERROR(INDEX(art_des,MATCH(C104,art_ref,0))&amp;"","Référence inconnue"))</f>
        <v>Tube acier carré 40 x 40, 6 m</v>
      </c>
      <c r="E104" s="37" t="n">
        <v>32</v>
      </c>
      <c r="F104" s="39" t="str">
        <f>IF(C104="","",IFERROR(INDEX(art_unit,MATCH(C104,art_ref,0))&amp;"",""))</f>
        <v>barre</v>
      </c>
      <c r="G104" s="37" t="inlineStr">
        <is>
          <t>BL-2026-014</t>
        </is>
      </c>
      <c r="H104" s="37" t="inlineStr">
        <is>
          <t>Aciers Service</t>
        </is>
      </c>
      <c r="I104" s="37" t="inlineStr">
        <is>
          <t>Réception commande</t>
        </is>
      </c>
      <c r="J104" s="40">
        <f>IF(OR(C104="",NOT(ISNUMBER(E104))),"",IFERROR(E104*N(INDEX(art_price,MATCH(C104,art_ref,0))),""))</f>
        <v>998.4</v>
      </c>
      <c r="K104" s="39">
        <f>IF(OR(C104="",NOT(ISNUMBER(E104))),"",IFERROR(ROUND(N(INDEX(art_init,MATCH(C104,art_ref,0)))+SUMIFS($E$5:E104,$C$5:C104,C104,$B$5:B104,"Entrée")-SUMIFS($E$5:E104,$C$5:C104,C104,$B$5:B104,"Sortie"),6),""))</f>
        <v>40.0</v>
      </c>
      <c r="L104" s="39" t="str">
        <f>IF(COUNTA(A104:C104,E104)=0,"",IF(COUNTA(A104:C104,E104)&lt;4,"Ligne incomplète",IF(NOT(ISNUMBER(A104)),"Date invalide",IF(AND(B104&lt;&gt;"Entrée",B104&lt;&gt;"Sortie"),"Type inconnu",IF(ISNA(MATCH(C104,art_ref,0)),"Référence inconnue",IF(OR(NOT(ISNUMBER(E104)),N(E104)&lt;=0),"Quantité invalide",IF(K104&lt;0,"Stock négatif",IF(AND(ISNUMBER(A103),A104&lt;A103),"Date hors ordre","OK"))))))))</f>
        <v>OK</v>
      </c>
      <c r="M104" s="39" t="str">
        <f>IF(C104="","",C104&amp;"#"&amp;COUNTIF($C$5:C104,C104))</f>
        <v>TUB-ACI-40#7</v>
      </c>
    </row>
    <row r="105">
      <c r="A105" s="41" t="n">
        <v>46100</v>
      </c>
      <c r="B105" s="37" t="inlineStr">
        <is>
          <t>Sortie</t>
        </is>
      </c>
      <c r="C105" s="37" t="inlineStr">
        <is>
          <t>VIS-M6-20</t>
        </is>
      </c>
      <c r="D105" s="39" t="str">
        <f>IF(C105="","",IFERROR(INDEX(art_des,MATCH(C105,art_ref,0))&amp;"","Référence inconnue"))</f>
        <v>Vis inox M6 x 20</v>
      </c>
      <c r="E105" s="37" t="n">
        <v>420</v>
      </c>
      <c r="F105" s="39" t="str">
        <f>IF(C105="","",IFERROR(INDEX(art_unit,MATCH(C105,art_ref,0))&amp;"",""))</f>
        <v>pièce</v>
      </c>
      <c r="G105" s="37" t="inlineStr">
        <is>
          <t>BS-2026-0087</t>
        </is>
      </c>
      <c r="H105" s="37" t="inlineStr">
        <is>
          <t>Maintenance</t>
        </is>
      </c>
      <c r="I105" s="37" t="n"/>
      <c r="J105" s="40">
        <f>IF(OR(C105="",NOT(ISNUMBER(E105))),"",IFERROR(E105*N(INDEX(art_price,MATCH(C105,art_ref,0))),""))</f>
        <v>50.4</v>
      </c>
      <c r="K105" s="39">
        <f>IF(OR(C105="",NOT(ISNUMBER(E105))),"",IFERROR(ROUND(N(INDEX(art_init,MATCH(C105,art_ref,0)))+SUMIFS($E$5:E105,$C$5:C105,C105,$B$5:B105,"Entrée")-SUMIFS($E$5:E105,$C$5:C105,C105,$B$5:B105,"Sortie"),6),""))</f>
        <v>3189.0</v>
      </c>
      <c r="L105" s="39" t="str">
        <f>IF(COUNTA(A105:C105,E105)=0,"",IF(COUNTA(A105:C105,E105)&lt;4,"Ligne incomplète",IF(NOT(ISNUMBER(A105)),"Date invalide",IF(AND(B105&lt;&gt;"Entrée",B105&lt;&gt;"Sortie"),"Type inconnu",IF(ISNA(MATCH(C105,art_ref,0)),"Référence inconnue",IF(OR(NOT(ISNUMBER(E105)),N(E105)&lt;=0),"Quantité invalide",IF(K105&lt;0,"Stock négatif",IF(AND(ISNUMBER(A104),A105&lt;A104),"Date hors ordre","OK"))))))))</f>
        <v>OK</v>
      </c>
      <c r="M105" s="39" t="str">
        <f>IF(C105="","",C105&amp;"#"&amp;COUNTIF($C$5:C105,C105))</f>
        <v>VIS-M6-20#7</v>
      </c>
    </row>
    <row r="106">
      <c r="A106" s="41" t="n">
        <v>46101</v>
      </c>
      <c r="B106" s="37" t="inlineStr">
        <is>
          <t>Sortie</t>
        </is>
      </c>
      <c r="C106" s="37" t="inlineStr">
        <is>
          <t>CAR-40-30</t>
        </is>
      </c>
      <c r="D106" s="39" t="str">
        <f>IF(C106="","",IFERROR(INDEX(art_des,MATCH(C106,art_ref,0))&amp;"","Référence inconnue"))</f>
        <v>Carton double cannelure 40 x 30 x 20</v>
      </c>
      <c r="E106" s="37" t="n">
        <v>100</v>
      </c>
      <c r="F106" s="39" t="str">
        <f>IF(C106="","",IFERROR(INDEX(art_unit,MATCH(C106,art_ref,0))&amp;"",""))</f>
        <v>pièce</v>
      </c>
      <c r="G106" s="37" t="inlineStr">
        <is>
          <t>BS-2026-0088</t>
        </is>
      </c>
      <c r="H106" s="37" t="inlineStr">
        <is>
          <t>Maintenance</t>
        </is>
      </c>
      <c r="I106" s="37" t="n"/>
      <c r="J106" s="40">
        <f>IF(OR(C106="",NOT(ISNUMBER(E106))),"",IFERROR(E106*N(INDEX(art_price,MATCH(C106,art_ref,0))),""))</f>
        <v>95.0</v>
      </c>
      <c r="K106" s="39">
        <f>IF(OR(C106="",NOT(ISNUMBER(E106))),"",IFERROR(ROUND(N(INDEX(art_init,MATCH(C106,art_ref,0)))+SUMIFS($E$5:E106,$C$5:C106,C106,$B$5:B106,"Entrée")-SUMIFS($E$5:E106,$C$5:C106,C106,$B$5:B106,"Sortie"),6),""))</f>
        <v>583.0</v>
      </c>
      <c r="L106" s="39" t="str">
        <f>IF(COUNTA(A106:C106,E106)=0,"",IF(COUNTA(A106:C106,E106)&lt;4,"Ligne incomplète",IF(NOT(ISNUMBER(A106)),"Date invalide",IF(AND(B106&lt;&gt;"Entrée",B106&lt;&gt;"Sortie"),"Type inconnu",IF(ISNA(MATCH(C106,art_ref,0)),"Référence inconnue",IF(OR(NOT(ISNUMBER(E106)),N(E106)&lt;=0),"Quantité invalide",IF(K106&lt;0,"Stock négatif",IF(AND(ISNUMBER(A105),A106&lt;A105),"Date hors ordre","OK"))))))))</f>
        <v>OK</v>
      </c>
      <c r="M106" s="39" t="str">
        <f>IF(C106="","",C106&amp;"#"&amp;COUNTIF($C$5:C106,C106))</f>
        <v>CAR-40-30#7</v>
      </c>
    </row>
    <row r="107">
      <c r="A107" s="41" t="n">
        <v>46101</v>
      </c>
      <c r="B107" s="37" t="inlineStr">
        <is>
          <t>Sortie</t>
        </is>
      </c>
      <c r="C107" s="37" t="inlineStr">
        <is>
          <t>DIS-125</t>
        </is>
      </c>
      <c r="D107" s="39" t="str">
        <f>IF(C107="","",IFERROR(INDEX(art_des,MATCH(C107,art_ref,0))&amp;"","Référence inconnue"))</f>
        <v>Disque à tronçonner 125 mm</v>
      </c>
      <c r="E107" s="37" t="n">
        <v>22</v>
      </c>
      <c r="F107" s="39" t="str">
        <f>IF(C107="","",IFERROR(INDEX(art_unit,MATCH(C107,art_ref,0))&amp;"",""))</f>
        <v>pièce</v>
      </c>
      <c r="G107" s="37" t="inlineStr">
        <is>
          <t>BS-2026-0089</t>
        </is>
      </c>
      <c r="H107" s="37" t="inlineStr">
        <is>
          <t>Atelier usinage</t>
        </is>
      </c>
      <c r="I107" s="37" t="n"/>
      <c r="J107" s="40">
        <f>IF(OR(C107="",NOT(ISNUMBER(E107))),"",IFERROR(E107*N(INDEX(art_price,MATCH(C107,art_ref,0))),""))</f>
        <v>41.8</v>
      </c>
      <c r="K107" s="39">
        <f>IF(OR(C107="",NOT(ISNUMBER(E107))),"",IFERROR(ROUND(N(INDEX(art_init,MATCH(C107,art_ref,0)))+SUMIFS($E$5:E107,$C$5:C107,C107,$B$5:B107,"Entrée")-SUMIFS($E$5:E107,$C$5:C107,C107,$B$5:B107,"Sortie"),6),""))</f>
        <v>178.0</v>
      </c>
      <c r="L107" s="39" t="str">
        <f>IF(COUNTA(A107:C107,E107)=0,"",IF(COUNTA(A107:C107,E107)&lt;4,"Ligne incomplète",IF(NOT(ISNUMBER(A107)),"Date invalide",IF(AND(B107&lt;&gt;"Entrée",B107&lt;&gt;"Sortie"),"Type inconnu",IF(ISNA(MATCH(C107,art_ref,0)),"Référence inconnue",IF(OR(NOT(ISNUMBER(E107)),N(E107)&lt;=0),"Quantité invalide",IF(K107&lt;0,"Stock négatif",IF(AND(ISNUMBER(A106),A107&lt;A106),"Date hors ordre","OK"))))))))</f>
        <v>OK</v>
      </c>
      <c r="M107" s="39" t="str">
        <f>IF(C107="","",C107&amp;"#"&amp;COUNTIF($C$5:C107,C107))</f>
        <v>DIS-125#7</v>
      </c>
    </row>
    <row r="108">
      <c r="A108" s="41" t="n">
        <v>46102</v>
      </c>
      <c r="B108" s="37" t="inlineStr">
        <is>
          <t>Sortie</t>
        </is>
      </c>
      <c r="C108" s="37" t="inlineStr">
        <is>
          <t>RON-M6</t>
        </is>
      </c>
      <c r="D108" s="39" t="str">
        <f>IF(C108="","",IFERROR(INDEX(art_des,MATCH(C108,art_ref,0))&amp;"","Référence inconnue"))</f>
        <v>Rondelle plate M6</v>
      </c>
      <c r="E108" s="37" t="n">
        <v>452</v>
      </c>
      <c r="F108" s="39" t="str">
        <f>IF(C108="","",IFERROR(INDEX(art_unit,MATCH(C108,art_ref,0))&amp;"",""))</f>
        <v>pièce</v>
      </c>
      <c r="G108" s="37" t="inlineStr">
        <is>
          <t>BS-2026-0090</t>
        </is>
      </c>
      <c r="H108" s="37" t="inlineStr">
        <is>
          <t>Atelier soudure</t>
        </is>
      </c>
      <c r="I108" s="37" t="n"/>
      <c r="J108" s="40">
        <f>IF(OR(C108="",NOT(ISNUMBER(E108))),"",IFERROR(E108*N(INDEX(art_price,MATCH(C108,art_ref,0))),""))</f>
        <v>13.56</v>
      </c>
      <c r="K108" s="39">
        <f>IF(OR(C108="",NOT(ISNUMBER(E108))),"",IFERROR(ROUND(N(INDEX(art_init,MATCH(C108,art_ref,0)))+SUMIFS($E$5:E108,$C$5:C108,C108,$B$5:B108,"Entrée")-SUMIFS($E$5:E108,$C$5:C108,C108,$B$5:B108,"Sortie"),6),""))</f>
        <v>2175.0</v>
      </c>
      <c r="L108" s="39" t="str">
        <f>IF(COUNTA(A108:C108,E108)=0,"",IF(COUNTA(A108:C108,E108)&lt;4,"Ligne incomplète",IF(NOT(ISNUMBER(A108)),"Date invalide",IF(AND(B108&lt;&gt;"Entrée",B108&lt;&gt;"Sortie"),"Type inconnu",IF(ISNA(MATCH(C108,art_ref,0)),"Référence inconnue",IF(OR(NOT(ISNUMBER(E108)),N(E108)&lt;=0),"Quantité invalide",IF(K108&lt;0,"Stock négatif",IF(AND(ISNUMBER(A107),A108&lt;A107),"Date hors ordre","OK"))))))))</f>
        <v>OK</v>
      </c>
      <c r="M108" s="39" t="str">
        <f>IF(C108="","",C108&amp;"#"&amp;COUNTIF($C$5:C108,C108))</f>
        <v>RON-M6#7</v>
      </c>
    </row>
    <row r="109">
      <c r="A109" s="41" t="n">
        <v>46105</v>
      </c>
      <c r="B109" s="37" t="inlineStr">
        <is>
          <t>Sortie</t>
        </is>
      </c>
      <c r="C109" s="37" t="inlineStr">
        <is>
          <t>PAL-120</t>
        </is>
      </c>
      <c r="D109" s="39" t="str">
        <f>IF(C109="","",IFERROR(INDEX(art_des,MATCH(C109,art_ref,0))&amp;"","Référence inconnue"))</f>
        <v>Palette bois 120 x 80</v>
      </c>
      <c r="E109" s="37" t="n">
        <v>5</v>
      </c>
      <c r="F109" s="39" t="str">
        <f>IF(C109="","",IFERROR(INDEX(art_unit,MATCH(C109,art_ref,0))&amp;"",""))</f>
        <v>pièce</v>
      </c>
      <c r="G109" s="37" t="inlineStr">
        <is>
          <t>BS-2026-0091</t>
        </is>
      </c>
      <c r="H109" s="37" t="inlineStr">
        <is>
          <t>Atelier soudure</t>
        </is>
      </c>
      <c r="I109" s="37" t="n"/>
      <c r="J109" s="40">
        <f>IF(OR(C109="",NOT(ISNUMBER(E109))),"",IFERROR(E109*N(INDEX(art_price,MATCH(C109,art_ref,0))),""))</f>
        <v>45.0</v>
      </c>
      <c r="K109" s="39">
        <f>IF(OR(C109="",NOT(ISNUMBER(E109))),"",IFERROR(ROUND(N(INDEX(art_init,MATCH(C109,art_ref,0)))+SUMIFS($E$5:E109,$C$5:C109,C109,$B$5:B109,"Entrée")-SUMIFS($E$5:E109,$C$5:C109,C109,$B$5:B109,"Sortie"),6),""))</f>
        <v>38.0</v>
      </c>
      <c r="L109" s="39" t="str">
        <f>IF(COUNTA(A109:C109,E109)=0,"",IF(COUNTA(A109:C109,E109)&lt;4,"Ligne incomplète",IF(NOT(ISNUMBER(A109)),"Date invalide",IF(AND(B109&lt;&gt;"Entrée",B109&lt;&gt;"Sortie"),"Type inconnu",IF(ISNA(MATCH(C109,art_ref,0)),"Référence inconnue",IF(OR(NOT(ISNUMBER(E109)),N(E109)&lt;=0),"Quantité invalide",IF(K109&lt;0,"Stock négatif",IF(AND(ISNUMBER(A108),A109&lt;A108),"Date hors ordre","OK"))))))))</f>
        <v>OK</v>
      </c>
      <c r="M109" s="39" t="str">
        <f>IF(C109="","",C109&amp;"#"&amp;COUNTIF($C$5:C109,C109))</f>
        <v>PAL-120#7</v>
      </c>
    </row>
    <row r="110">
      <c r="A110" s="41" t="n">
        <v>46105</v>
      </c>
      <c r="B110" s="37" t="inlineStr">
        <is>
          <t>Sortie</t>
        </is>
      </c>
      <c r="C110" s="37" t="inlineStr">
        <is>
          <t>ROU-6204</t>
        </is>
      </c>
      <c r="D110" s="39" t="str">
        <f>IF(C110="","",IFERROR(INDEX(art_des,MATCH(C110,art_ref,0))&amp;"","Référence inconnue"))</f>
        <v>Roulement à billes 6204 2RS</v>
      </c>
      <c r="E110" s="37" t="n">
        <v>14</v>
      </c>
      <c r="F110" s="39" t="str">
        <f>IF(C110="","",IFERROR(INDEX(art_unit,MATCH(C110,art_ref,0))&amp;"",""))</f>
        <v>pièce</v>
      </c>
      <c r="G110" s="37" t="inlineStr">
        <is>
          <t>BS-2026-0092</t>
        </is>
      </c>
      <c r="H110" s="37" t="inlineStr">
        <is>
          <t>Expédition</t>
        </is>
      </c>
      <c r="I110" s="37" t="n"/>
      <c r="J110" s="40">
        <f>IF(OR(C110="",NOT(ISNUMBER(E110))),"",IFERROR(E110*N(INDEX(art_price,MATCH(C110,art_ref,0))),""))</f>
        <v>53.2</v>
      </c>
      <c r="K110" s="39">
        <f>IF(OR(C110="",NOT(ISNUMBER(E110))),"",IFERROR(ROUND(N(INDEX(art_init,MATCH(C110,art_ref,0)))+SUMIFS($E$5:E110,$C$5:C110,C110,$B$5:B110,"Entrée")-SUMIFS($E$5:E110,$C$5:C110,C110,$B$5:B110,"Sortie"),6),""))</f>
        <v>136.0</v>
      </c>
      <c r="L110" s="39" t="str">
        <f>IF(COUNTA(A110:C110,E110)=0,"",IF(COUNTA(A110:C110,E110)&lt;4,"Ligne incomplète",IF(NOT(ISNUMBER(A110)),"Date invalide",IF(AND(B110&lt;&gt;"Entrée",B110&lt;&gt;"Sortie"),"Type inconnu",IF(ISNA(MATCH(C110,art_ref,0)),"Référence inconnue",IF(OR(NOT(ISNUMBER(E110)),N(E110)&lt;=0),"Quantité invalide",IF(K110&lt;0,"Stock négatif",IF(AND(ISNUMBER(A109),A110&lt;A109),"Date hors ordre","OK"))))))))</f>
        <v>OK</v>
      </c>
      <c r="M110" s="39" t="str">
        <f>IF(C110="","",C110&amp;"#"&amp;COUNTIF($C$5:C110,C110))</f>
        <v>ROU-6204#7</v>
      </c>
    </row>
    <row r="111">
      <c r="A111" s="41" t="n">
        <v>46106</v>
      </c>
      <c r="B111" s="37" t="inlineStr">
        <is>
          <t>Sortie</t>
        </is>
      </c>
      <c r="C111" s="37" t="inlineStr">
        <is>
          <t>GAN-NIT</t>
        </is>
      </c>
      <c r="D111" s="39" t="str">
        <f>IF(C111="","",IFERROR(INDEX(art_des,MATCH(C111,art_ref,0))&amp;"","Référence inconnue"))</f>
        <v>Gants nitrile, boîte de 100</v>
      </c>
      <c r="E111" s="37" t="n">
        <v>3</v>
      </c>
      <c r="F111" s="39" t="str">
        <f>IF(C111="","",IFERROR(INDEX(art_unit,MATCH(C111,art_ref,0))&amp;"",""))</f>
        <v>boîte</v>
      </c>
      <c r="G111" s="37" t="inlineStr">
        <is>
          <t>BS-2026-0093</t>
        </is>
      </c>
      <c r="H111" s="37" t="inlineStr">
        <is>
          <t>Maintenance</t>
        </is>
      </c>
      <c r="I111" s="37" t="n"/>
      <c r="J111" s="40">
        <f>IF(OR(C111="",NOT(ISNUMBER(E111))),"",IFERROR(E111*N(INDEX(art_price,MATCH(C111,art_ref,0))),""))</f>
        <v>22.5</v>
      </c>
      <c r="K111" s="39">
        <f>IF(OR(C111="",NOT(ISNUMBER(E111))),"",IFERROR(ROUND(N(INDEX(art_init,MATCH(C111,art_ref,0)))+SUMIFS($E$5:E111,$C$5:C111,C111,$B$5:B111,"Entrée")-SUMIFS($E$5:E111,$C$5:C111,C111,$B$5:B111,"Sortie"),6),""))</f>
        <v>27.0</v>
      </c>
      <c r="L111" s="39" t="str">
        <f>IF(COUNTA(A111:C111,E111)=0,"",IF(COUNTA(A111:C111,E111)&lt;4,"Ligne incomplète",IF(NOT(ISNUMBER(A111)),"Date invalide",IF(AND(B111&lt;&gt;"Entrée",B111&lt;&gt;"Sortie"),"Type inconnu",IF(ISNA(MATCH(C111,art_ref,0)),"Référence inconnue",IF(OR(NOT(ISNUMBER(E111)),N(E111)&lt;=0),"Quantité invalide",IF(K111&lt;0,"Stock négatif",IF(AND(ISNUMBER(A110),A111&lt;A110),"Date hors ordre","OK"))))))))</f>
        <v>OK</v>
      </c>
      <c r="M111" s="39" t="str">
        <f>IF(C111="","",C111&amp;"#"&amp;COUNTIF($C$5:C111,C111))</f>
        <v>GAN-NIT#7</v>
      </c>
    </row>
    <row r="112">
      <c r="A112" s="41" t="n">
        <v>46106</v>
      </c>
      <c r="B112" s="37" t="inlineStr">
        <is>
          <t>Sortie</t>
        </is>
      </c>
      <c r="C112" s="37" t="inlineStr">
        <is>
          <t>HUI-COUP-5</t>
        </is>
      </c>
      <c r="D112" s="39" t="str">
        <f>IF(C112="","",IFERROR(INDEX(art_des,MATCH(C112,art_ref,0))&amp;"","Référence inconnue"))</f>
        <v>Huile de coupe soluble 5 L</v>
      </c>
      <c r="E112" s="37" t="n">
        <v>1</v>
      </c>
      <c r="F112" s="39" t="str">
        <f>IF(C112="","",IFERROR(INDEX(art_unit,MATCH(C112,art_ref,0))&amp;"",""))</f>
        <v>bidon</v>
      </c>
      <c r="G112" s="37" t="inlineStr">
        <is>
          <t>BS-2026-0094</t>
        </is>
      </c>
      <c r="H112" s="37" t="inlineStr">
        <is>
          <t>Atelier soudure</t>
        </is>
      </c>
      <c r="I112" s="37" t="n"/>
      <c r="J112" s="40">
        <f>IF(OR(C112="",NOT(ISNUMBER(E112))),"",IFERROR(E112*N(INDEX(art_price,MATCH(C112,art_ref,0))),""))</f>
        <v>27.0</v>
      </c>
      <c r="K112" s="39">
        <f>IF(OR(C112="",NOT(ISNUMBER(E112))),"",IFERROR(ROUND(N(INDEX(art_init,MATCH(C112,art_ref,0)))+SUMIFS($E$5:E112,$C$5:C112,C112,$B$5:B112,"Entrée")-SUMIFS($E$5:E112,$C$5:C112,C112,$B$5:B112,"Sortie"),6),""))</f>
        <v>5.0</v>
      </c>
      <c r="L112" s="39" t="str">
        <f>IF(COUNTA(A112:C112,E112)=0,"",IF(COUNTA(A112:C112,E112)&lt;4,"Ligne incomplète",IF(NOT(ISNUMBER(A112)),"Date invalide",IF(AND(B112&lt;&gt;"Entrée",B112&lt;&gt;"Sortie"),"Type inconnu",IF(ISNA(MATCH(C112,art_ref,0)),"Référence inconnue",IF(OR(NOT(ISNUMBER(E112)),N(E112)&lt;=0),"Quantité invalide",IF(K112&lt;0,"Stock négatif",IF(AND(ISNUMBER(A111),A112&lt;A111),"Date hors ordre","OK"))))))))</f>
        <v>OK</v>
      </c>
      <c r="M112" s="39" t="str">
        <f>IF(C112="","",C112&amp;"#"&amp;COUNTIF($C$5:C112,C112))</f>
        <v>HUI-COUP-5#6</v>
      </c>
    </row>
    <row r="113">
      <c r="A113" s="41" t="n">
        <v>46107</v>
      </c>
      <c r="B113" s="37" t="inlineStr">
        <is>
          <t>Sortie</t>
        </is>
      </c>
      <c r="C113" s="37" t="inlineStr">
        <is>
          <t>JOI-20-2</t>
        </is>
      </c>
      <c r="D113" s="39" t="str">
        <f>IF(C113="","",IFERROR(INDEX(art_des,MATCH(C113,art_ref,0))&amp;"","Référence inconnue"))</f>
        <v>Joint torique 20 x 2 NBR</v>
      </c>
      <c r="E113" s="37" t="n">
        <v>71</v>
      </c>
      <c r="F113" s="39" t="str">
        <f>IF(C113="","",IFERROR(INDEX(art_unit,MATCH(C113,art_ref,0))&amp;"",""))</f>
        <v>pièce</v>
      </c>
      <c r="G113" s="37" t="inlineStr">
        <is>
          <t>BS-2026-0095</t>
        </is>
      </c>
      <c r="H113" s="37" t="inlineStr">
        <is>
          <t>Atelier soudure</t>
        </is>
      </c>
      <c r="I113" s="37" t="n"/>
      <c r="J113" s="40">
        <f>IF(OR(C113="",NOT(ISNUMBER(E113))),"",IFERROR(E113*N(INDEX(art_price,MATCH(C113,art_ref,0))),""))</f>
        <v>24.85</v>
      </c>
      <c r="K113" s="39">
        <f>IF(OR(C113="",NOT(ISNUMBER(E113))),"",IFERROR(ROUND(N(INDEX(art_init,MATCH(C113,art_ref,0)))+SUMIFS($E$5:E113,$C$5:C113,C113,$B$5:B113,"Entrée")-SUMIFS($E$5:E113,$C$5:C113,C113,$B$5:B113,"Sortie"),6),""))</f>
        <v>529.0</v>
      </c>
      <c r="L113" s="39" t="str">
        <f>IF(COUNTA(A113:C113,E113)=0,"",IF(COUNTA(A113:C113,E113)&lt;4,"Ligne incomplète",IF(NOT(ISNUMBER(A113)),"Date invalide",IF(AND(B113&lt;&gt;"Entrée",B113&lt;&gt;"Sortie"),"Type inconnu",IF(ISNA(MATCH(C113,art_ref,0)),"Référence inconnue",IF(OR(NOT(ISNUMBER(E113)),N(E113)&lt;=0),"Quantité invalide",IF(K113&lt;0,"Stock négatif",IF(AND(ISNUMBER(A112),A113&lt;A112),"Date hors ordre","OK"))))))))</f>
        <v>OK</v>
      </c>
      <c r="M113" s="39" t="str">
        <f>IF(C113="","",C113&amp;"#"&amp;COUNTIF($C$5:C113,C113))</f>
        <v>JOI-20-2#7</v>
      </c>
    </row>
    <row r="114">
      <c r="A114" s="41" t="n">
        <v>46107</v>
      </c>
      <c r="B114" s="37" t="inlineStr">
        <is>
          <t>Sortie</t>
        </is>
      </c>
      <c r="C114" s="37" t="inlineStr">
        <is>
          <t>RUB-50</t>
        </is>
      </c>
      <c r="D114" s="39" t="str">
        <f>IF(C114="","",IFERROR(INDEX(art_des,MATCH(C114,art_ref,0))&amp;"","Référence inconnue"))</f>
        <v>Ruban adhésif 50 mm x 66 m</v>
      </c>
      <c r="E114" s="37" t="n">
        <v>15</v>
      </c>
      <c r="F114" s="39" t="str">
        <f>IF(C114="","",IFERROR(INDEX(art_unit,MATCH(C114,art_ref,0))&amp;"",""))</f>
        <v>rouleau</v>
      </c>
      <c r="G114" s="37" t="inlineStr">
        <is>
          <t>BS-2026-0096</t>
        </is>
      </c>
      <c r="H114" s="37" t="inlineStr">
        <is>
          <t>Atelier montage</t>
        </is>
      </c>
      <c r="I114" s="37" t="n"/>
      <c r="J114" s="40">
        <f>IF(OR(C114="",NOT(ISNUMBER(E114))),"",IFERROR(E114*N(INDEX(art_price,MATCH(C114,art_ref,0))),""))</f>
        <v>21.0</v>
      </c>
      <c r="K114" s="39">
        <f>IF(OR(C114="",NOT(ISNUMBER(E114))),"",IFERROR(ROUND(N(INDEX(art_init,MATCH(C114,art_ref,0)))+SUMIFS($E$5:E114,$C$5:C114,C114,$B$5:B114,"Entrée")-SUMIFS($E$5:E114,$C$5:C114,C114,$B$5:B114,"Sortie"),6),""))</f>
        <v>105.0</v>
      </c>
      <c r="L114" s="39" t="str">
        <f>IF(COUNTA(A114:C114,E114)=0,"",IF(COUNTA(A114:C114,E114)&lt;4,"Ligne incomplète",IF(NOT(ISNUMBER(A114)),"Date invalide",IF(AND(B114&lt;&gt;"Entrée",B114&lt;&gt;"Sortie"),"Type inconnu",IF(ISNA(MATCH(C114,art_ref,0)),"Référence inconnue",IF(OR(NOT(ISNUMBER(E114)),N(E114)&lt;=0),"Quantité invalide",IF(K114&lt;0,"Stock négatif",IF(AND(ISNUMBER(A113),A114&lt;A113),"Date hors ordre","OK"))))))))</f>
        <v>OK</v>
      </c>
      <c r="M114" s="39" t="str">
        <f>IF(C114="","",C114&amp;"#"&amp;COUNTIF($C$5:C114,C114))</f>
        <v>RUB-50#7</v>
      </c>
    </row>
    <row r="115">
      <c r="A115" s="41" t="n">
        <v>46114</v>
      </c>
      <c r="B115" s="37" t="inlineStr">
        <is>
          <t>Sortie</t>
        </is>
      </c>
      <c r="C115" s="37" t="inlineStr">
        <is>
          <t>FOR-HSS-8</t>
        </is>
      </c>
      <c r="D115" s="39" t="str">
        <f>IF(C115="","",IFERROR(INDEX(art_des,MATCH(C115,art_ref,0))&amp;"","Référence inconnue"))</f>
        <v>Foret HSS 8 mm</v>
      </c>
      <c r="E115" s="37" t="n">
        <v>4</v>
      </c>
      <c r="F115" s="39" t="str">
        <f>IF(C115="","",IFERROR(INDEX(art_unit,MATCH(C115,art_ref,0))&amp;"",""))</f>
        <v>pièce</v>
      </c>
      <c r="G115" s="37" t="inlineStr">
        <is>
          <t>BS-2026-0097</t>
        </is>
      </c>
      <c r="H115" s="37" t="inlineStr">
        <is>
          <t>Atelier montage</t>
        </is>
      </c>
      <c r="I115" s="37" t="n"/>
      <c r="J115" s="40">
        <f>IF(OR(C115="",NOT(ISNUMBER(E115))),"",IFERROR(E115*N(INDEX(art_price,MATCH(C115,art_ref,0))),""))</f>
        <v>18.4</v>
      </c>
      <c r="K115" s="39">
        <f>IF(OR(C115="",NOT(ISNUMBER(E115))),"",IFERROR(ROUND(N(INDEX(art_init,MATCH(C115,art_ref,0)))+SUMIFS($E$5:E115,$C$5:C115,C115,$B$5:B115,"Entrée")-SUMIFS($E$5:E115,$C$5:C115,C115,$B$5:B115,"Sortie"),6),""))</f>
        <v>7.0</v>
      </c>
      <c r="L115" s="39" t="str">
        <f>IF(COUNTA(A115:C115,E115)=0,"",IF(COUNTA(A115:C115,E115)&lt;4,"Ligne incomplète",IF(NOT(ISNUMBER(A115)),"Date invalide",IF(AND(B115&lt;&gt;"Entrée",B115&lt;&gt;"Sortie"),"Type inconnu",IF(ISNA(MATCH(C115,art_ref,0)),"Référence inconnue",IF(OR(NOT(ISNUMBER(E115)),N(E115)&lt;=0),"Quantité invalide",IF(K115&lt;0,"Stock négatif",IF(AND(ISNUMBER(A114),A115&lt;A114),"Date hors ordre","OK"))))))))</f>
        <v>OK</v>
      </c>
      <c r="M115" s="39" t="str">
        <f>IF(C115="","",C115&amp;"#"&amp;COUNTIF($C$5:C115,C115))</f>
        <v>FOR-HSS-8#7</v>
      </c>
    </row>
    <row r="116">
      <c r="A116" s="41" t="n">
        <v>46115</v>
      </c>
      <c r="B116" s="37" t="inlineStr">
        <is>
          <t>Sortie</t>
        </is>
      </c>
      <c r="C116" s="37" t="inlineStr">
        <is>
          <t>RUB-50</t>
        </is>
      </c>
      <c r="D116" s="39" t="str">
        <f>IF(C116="","",IFERROR(INDEX(art_des,MATCH(C116,art_ref,0))&amp;"","Référence inconnue"))</f>
        <v>Ruban adhésif 50 mm x 66 m</v>
      </c>
      <c r="E116" s="37" t="n">
        <v>14</v>
      </c>
      <c r="F116" s="39" t="str">
        <f>IF(C116="","",IFERROR(INDEX(art_unit,MATCH(C116,art_ref,0))&amp;"",""))</f>
        <v>rouleau</v>
      </c>
      <c r="G116" s="37" t="inlineStr">
        <is>
          <t>BS-2026-0098</t>
        </is>
      </c>
      <c r="H116" s="37" t="inlineStr">
        <is>
          <t>Atelier usinage</t>
        </is>
      </c>
      <c r="I116" s="37" t="n"/>
      <c r="J116" s="40">
        <f>IF(OR(C116="",NOT(ISNUMBER(E116))),"",IFERROR(E116*N(INDEX(art_price,MATCH(C116,art_ref,0))),""))</f>
        <v>19.6</v>
      </c>
      <c r="K116" s="39">
        <f>IF(OR(C116="",NOT(ISNUMBER(E116))),"",IFERROR(ROUND(N(INDEX(art_init,MATCH(C116,art_ref,0)))+SUMIFS($E$5:E116,$C$5:C116,C116,$B$5:B116,"Entrée")-SUMIFS($E$5:E116,$C$5:C116,C116,$B$5:B116,"Sortie"),6),""))</f>
        <v>91.0</v>
      </c>
      <c r="L116" s="39" t="str">
        <f>IF(COUNTA(A116:C116,E116)=0,"",IF(COUNTA(A116:C116,E116)&lt;4,"Ligne incomplète",IF(NOT(ISNUMBER(A116)),"Date invalide",IF(AND(B116&lt;&gt;"Entrée",B116&lt;&gt;"Sortie"),"Type inconnu",IF(ISNA(MATCH(C116,art_ref,0)),"Référence inconnue",IF(OR(NOT(ISNUMBER(E116)),N(E116)&lt;=0),"Quantité invalide",IF(K116&lt;0,"Stock négatif",IF(AND(ISNUMBER(A115),A116&lt;A115),"Date hors ordre","OK"))))))))</f>
        <v>OK</v>
      </c>
      <c r="M116" s="39" t="str">
        <f>IF(C116="","",C116&amp;"#"&amp;COUNTIF($C$5:C116,C116))</f>
        <v>RUB-50#8</v>
      </c>
    </row>
    <row r="117">
      <c r="A117" s="41" t="n">
        <v>46116</v>
      </c>
      <c r="B117" s="37" t="inlineStr">
        <is>
          <t>Sortie</t>
        </is>
      </c>
      <c r="C117" s="37" t="inlineStr">
        <is>
          <t>BOR-WAGO-3</t>
        </is>
      </c>
      <c r="D117" s="39" t="str">
        <f>IF(C117="","",IFERROR(INDEX(art_des,MATCH(C117,art_ref,0))&amp;"","Référence inconnue"))</f>
        <v>Borne de connexion 3 entrées</v>
      </c>
      <c r="E117" s="37" t="n">
        <v>23</v>
      </c>
      <c r="F117" s="39" t="str">
        <f>IF(C117="","",IFERROR(INDEX(art_unit,MATCH(C117,art_ref,0))&amp;"",""))</f>
        <v>pièce</v>
      </c>
      <c r="G117" s="37" t="inlineStr">
        <is>
          <t>BS-2026-0099</t>
        </is>
      </c>
      <c r="H117" s="37" t="inlineStr">
        <is>
          <t>Expédition</t>
        </is>
      </c>
      <c r="I117" s="37" t="n"/>
      <c r="J117" s="40">
        <f>IF(OR(C117="",NOT(ISNUMBER(E117))),"",IFERROR(E117*N(INDEX(art_price,MATCH(C117,art_ref,0))),""))</f>
        <v>9.66</v>
      </c>
      <c r="K117" s="39">
        <f>IF(OR(C117="",NOT(ISNUMBER(E117))),"",IFERROR(ROUND(N(INDEX(art_init,MATCH(C117,art_ref,0)))+SUMIFS($E$5:E117,$C$5:C117,C117,$B$5:B117,"Entrée")-SUMIFS($E$5:E117,$C$5:C117,C117,$B$5:B117,"Sortie"),6),""))</f>
        <v>246.0</v>
      </c>
      <c r="L117" s="39" t="str">
        <f>IF(COUNTA(A117:C117,E117)=0,"",IF(COUNTA(A117:C117,E117)&lt;4,"Ligne incomplète",IF(NOT(ISNUMBER(A117)),"Date invalide",IF(AND(B117&lt;&gt;"Entrée",B117&lt;&gt;"Sortie"),"Type inconnu",IF(ISNA(MATCH(C117,art_ref,0)),"Référence inconnue",IF(OR(NOT(ISNUMBER(E117)),N(E117)&lt;=0),"Quantité invalide",IF(K117&lt;0,"Stock négatif",IF(AND(ISNUMBER(A116),A117&lt;A116),"Date hors ordre","OK"))))))))</f>
        <v>OK</v>
      </c>
      <c r="M117" s="39" t="str">
        <f>IF(C117="","",C117&amp;"#"&amp;COUNTIF($C$5:C117,C117))</f>
        <v>BOR-WAGO-3#8</v>
      </c>
    </row>
    <row r="118">
      <c r="A118" s="41" t="n">
        <v>46116</v>
      </c>
      <c r="B118" s="37" t="inlineStr">
        <is>
          <t>Sortie</t>
        </is>
      </c>
      <c r="C118" s="37" t="inlineStr">
        <is>
          <t>HUI-COUP-5</t>
        </is>
      </c>
      <c r="D118" s="39" t="str">
        <f>IF(C118="","",IFERROR(INDEX(art_des,MATCH(C118,art_ref,0))&amp;"","Référence inconnue"))</f>
        <v>Huile de coupe soluble 5 L</v>
      </c>
      <c r="E118" s="37" t="n">
        <v>2</v>
      </c>
      <c r="F118" s="39" t="str">
        <f>IF(C118="","",IFERROR(INDEX(art_unit,MATCH(C118,art_ref,0))&amp;"",""))</f>
        <v>bidon</v>
      </c>
      <c r="G118" s="37" t="inlineStr">
        <is>
          <t>BS-2026-0100</t>
        </is>
      </c>
      <c r="H118" s="37" t="inlineStr">
        <is>
          <t>Expédition</t>
        </is>
      </c>
      <c r="I118" s="37" t="n"/>
      <c r="J118" s="40">
        <f>IF(OR(C118="",NOT(ISNUMBER(E118))),"",IFERROR(E118*N(INDEX(art_price,MATCH(C118,art_ref,0))),""))</f>
        <v>54.0</v>
      </c>
      <c r="K118" s="39">
        <f>IF(OR(C118="",NOT(ISNUMBER(E118))),"",IFERROR(ROUND(N(INDEX(art_init,MATCH(C118,art_ref,0)))+SUMIFS($E$5:E118,$C$5:C118,C118,$B$5:B118,"Entrée")-SUMIFS($E$5:E118,$C$5:C118,C118,$B$5:B118,"Sortie"),6),""))</f>
        <v>3.0</v>
      </c>
      <c r="L118" s="39" t="str">
        <f>IF(COUNTA(A118:C118,E118)=0,"",IF(COUNTA(A118:C118,E118)&lt;4,"Ligne incomplète",IF(NOT(ISNUMBER(A118)),"Date invalide",IF(AND(B118&lt;&gt;"Entrée",B118&lt;&gt;"Sortie"),"Type inconnu",IF(ISNA(MATCH(C118,art_ref,0)),"Référence inconnue",IF(OR(NOT(ISNUMBER(E118)),N(E118)&lt;=0),"Quantité invalide",IF(K118&lt;0,"Stock négatif",IF(AND(ISNUMBER(A117),A118&lt;A117),"Date hors ordre","OK"))))))))</f>
        <v>OK</v>
      </c>
      <c r="M118" s="39" t="str">
        <f>IF(C118="","",C118&amp;"#"&amp;COUNTIF($C$5:C118,C118))</f>
        <v>HUI-COUP-5#7</v>
      </c>
    </row>
    <row r="119">
      <c r="A119" s="41" t="n">
        <v>46117</v>
      </c>
      <c r="B119" s="37" t="inlineStr">
        <is>
          <t>Entrée</t>
        </is>
      </c>
      <c r="C119" s="37" t="inlineStr">
        <is>
          <t>FOR-HSS-8</t>
        </is>
      </c>
      <c r="D119" s="39" t="str">
        <f>IF(C119="","",IFERROR(INDEX(art_des,MATCH(C119,art_ref,0))&amp;"","Référence inconnue"))</f>
        <v>Foret HSS 8 mm</v>
      </c>
      <c r="E119" s="37" t="n">
        <v>33</v>
      </c>
      <c r="F119" s="39" t="str">
        <f>IF(C119="","",IFERROR(INDEX(art_unit,MATCH(C119,art_ref,0))&amp;"",""))</f>
        <v>pièce</v>
      </c>
      <c r="G119" s="37" t="inlineStr">
        <is>
          <t>BL-2026-015</t>
        </is>
      </c>
      <c r="H119" s="37" t="inlineStr">
        <is>
          <t>Outillage Pro</t>
        </is>
      </c>
      <c r="I119" s="37" t="inlineStr">
        <is>
          <t>Réception commande</t>
        </is>
      </c>
      <c r="J119" s="40">
        <f>IF(OR(C119="",NOT(ISNUMBER(E119))),"",IFERROR(E119*N(INDEX(art_price,MATCH(C119,art_ref,0))),""))</f>
        <v>151.8</v>
      </c>
      <c r="K119" s="39">
        <f>IF(OR(C119="",NOT(ISNUMBER(E119))),"",IFERROR(ROUND(N(INDEX(art_init,MATCH(C119,art_ref,0)))+SUMIFS($E$5:E119,$C$5:C119,C119,$B$5:B119,"Entrée")-SUMIFS($E$5:E119,$C$5:C119,C119,$B$5:B119,"Sortie"),6),""))</f>
        <v>40.0</v>
      </c>
      <c r="L119" s="39" t="str">
        <f>IF(COUNTA(A119:C119,E119)=0,"",IF(COUNTA(A119:C119,E119)&lt;4,"Ligne incomplète",IF(NOT(ISNUMBER(A119)),"Date invalide",IF(AND(B119&lt;&gt;"Entrée",B119&lt;&gt;"Sortie"),"Type inconnu",IF(ISNA(MATCH(C119,art_ref,0)),"Référence inconnue",IF(OR(NOT(ISNUMBER(E119)),N(E119)&lt;=0),"Quantité invalide",IF(K119&lt;0,"Stock négatif",IF(AND(ISNUMBER(A118),A119&lt;A118),"Date hors ordre","OK"))))))))</f>
        <v>OK</v>
      </c>
      <c r="M119" s="39" t="str">
        <f>IF(C119="","",C119&amp;"#"&amp;COUNTIF($C$5:C119,C119))</f>
        <v>FOR-HSS-8#8</v>
      </c>
    </row>
    <row r="120">
      <c r="A120" s="41" t="n">
        <v>46117</v>
      </c>
      <c r="B120" s="37" t="inlineStr">
        <is>
          <t>Sortie</t>
        </is>
      </c>
      <c r="C120" s="37" t="inlineStr">
        <is>
          <t>RON-M6</t>
        </is>
      </c>
      <c r="D120" s="39" t="str">
        <f>IF(C120="","",IFERROR(INDEX(art_des,MATCH(C120,art_ref,0))&amp;"","Référence inconnue"))</f>
        <v>Rondelle plate M6</v>
      </c>
      <c r="E120" s="37" t="n">
        <v>304</v>
      </c>
      <c r="F120" s="39" t="str">
        <f>IF(C120="","",IFERROR(INDEX(art_unit,MATCH(C120,art_ref,0))&amp;"",""))</f>
        <v>pièce</v>
      </c>
      <c r="G120" s="37" t="inlineStr">
        <is>
          <t>BS-2026-0101</t>
        </is>
      </c>
      <c r="H120" s="37" t="inlineStr">
        <is>
          <t>Expédition</t>
        </is>
      </c>
      <c r="I120" s="37" t="n"/>
      <c r="J120" s="40">
        <f>IF(OR(C120="",NOT(ISNUMBER(E120))),"",IFERROR(E120*N(INDEX(art_price,MATCH(C120,art_ref,0))),""))</f>
        <v>9.12</v>
      </c>
      <c r="K120" s="39">
        <f>IF(OR(C120="",NOT(ISNUMBER(E120))),"",IFERROR(ROUND(N(INDEX(art_init,MATCH(C120,art_ref,0)))+SUMIFS($E$5:E120,$C$5:C120,C120,$B$5:B120,"Entrée")-SUMIFS($E$5:E120,$C$5:C120,C120,$B$5:B120,"Sortie"),6),""))</f>
        <v>1871.0</v>
      </c>
      <c r="L120" s="39" t="str">
        <f>IF(COUNTA(A120:C120,E120)=0,"",IF(COUNTA(A120:C120,E120)&lt;4,"Ligne incomplète",IF(NOT(ISNUMBER(A120)),"Date invalide",IF(AND(B120&lt;&gt;"Entrée",B120&lt;&gt;"Sortie"),"Type inconnu",IF(ISNA(MATCH(C120,art_ref,0)),"Référence inconnue",IF(OR(NOT(ISNUMBER(E120)),N(E120)&lt;=0),"Quantité invalide",IF(K120&lt;0,"Stock négatif",IF(AND(ISNUMBER(A119),A120&lt;A119),"Date hors ordre","OK"))))))))</f>
        <v>OK</v>
      </c>
      <c r="M120" s="39" t="str">
        <f>IF(C120="","",C120&amp;"#"&amp;COUNTIF($C$5:C120,C120))</f>
        <v>RON-M6#8</v>
      </c>
    </row>
    <row r="121">
      <c r="A121" s="41" t="n">
        <v>46118</v>
      </c>
      <c r="B121" s="37" t="inlineStr">
        <is>
          <t>Sortie</t>
        </is>
      </c>
      <c r="C121" s="37" t="inlineStr">
        <is>
          <t>CAB-2.5</t>
        </is>
      </c>
      <c r="D121" s="39" t="str">
        <f>IF(C121="","",IFERROR(INDEX(art_des,MATCH(C121,art_ref,0))&amp;"","Référence inconnue"))</f>
        <v>Câble électrique 2,5 mm²</v>
      </c>
      <c r="E121" s="37" t="n">
        <v>41</v>
      </c>
      <c r="F121" s="39" t="str">
        <f>IF(C121="","",IFERROR(INDEX(art_unit,MATCH(C121,art_ref,0))&amp;"",""))</f>
        <v>m</v>
      </c>
      <c r="G121" s="37" t="inlineStr">
        <is>
          <t>BS-2026-0102</t>
        </is>
      </c>
      <c r="H121" s="37" t="inlineStr">
        <is>
          <t>Atelier usinage</t>
        </is>
      </c>
      <c r="I121" s="37" t="n"/>
      <c r="J121" s="40">
        <f>IF(OR(C121="",NOT(ISNUMBER(E121))),"",IFERROR(E121*N(INDEX(art_price,MATCH(C121,art_ref,0))),""))</f>
        <v>27.88</v>
      </c>
      <c r="K121" s="39">
        <f>IF(OR(C121="",NOT(ISNUMBER(E121))),"",IFERROR(ROUND(N(INDEX(art_init,MATCH(C121,art_ref,0)))+SUMIFS($E$5:E121,$C$5:C121,C121,$B$5:B121,"Entrée")-SUMIFS($E$5:E121,$C$5:C121,C121,$B$5:B121,"Sortie"),6),""))</f>
        <v>425.0</v>
      </c>
      <c r="L121" s="39" t="str">
        <f>IF(COUNTA(A121:C121,E121)=0,"",IF(COUNTA(A121:C121,E121)&lt;4,"Ligne incomplète",IF(NOT(ISNUMBER(A121)),"Date invalide",IF(AND(B121&lt;&gt;"Entrée",B121&lt;&gt;"Sortie"),"Type inconnu",IF(ISNA(MATCH(C121,art_ref,0)),"Référence inconnue",IF(OR(NOT(ISNUMBER(E121)),N(E121)&lt;=0),"Quantité invalide",IF(K121&lt;0,"Stock négatif",IF(AND(ISNUMBER(A120),A121&lt;A120),"Date hors ordre","OK"))))))))</f>
        <v>OK</v>
      </c>
      <c r="M121" s="39" t="str">
        <f>IF(C121="","",C121&amp;"#"&amp;COUNTIF($C$5:C121,C121))</f>
        <v>CAB-2.5#8</v>
      </c>
    </row>
    <row r="122">
      <c r="A122" s="41" t="n">
        <v>46118</v>
      </c>
      <c r="B122" s="37" t="inlineStr">
        <is>
          <t>Sortie</t>
        </is>
      </c>
      <c r="C122" s="37" t="inlineStr">
        <is>
          <t>DIS-125</t>
        </is>
      </c>
      <c r="D122" s="39" t="str">
        <f>IF(C122="","",IFERROR(INDEX(art_des,MATCH(C122,art_ref,0))&amp;"","Référence inconnue"))</f>
        <v>Disque à tronçonner 125 mm</v>
      </c>
      <c r="E122" s="37" t="n">
        <v>17</v>
      </c>
      <c r="F122" s="39" t="str">
        <f>IF(C122="","",IFERROR(INDEX(art_unit,MATCH(C122,art_ref,0))&amp;"",""))</f>
        <v>pièce</v>
      </c>
      <c r="G122" s="37" t="inlineStr">
        <is>
          <t>BS-2026-0103</t>
        </is>
      </c>
      <c r="H122" s="37" t="inlineStr">
        <is>
          <t>Atelier soudure</t>
        </is>
      </c>
      <c r="I122" s="37" t="n"/>
      <c r="J122" s="40">
        <f>IF(OR(C122="",NOT(ISNUMBER(E122))),"",IFERROR(E122*N(INDEX(art_price,MATCH(C122,art_ref,0))),""))</f>
        <v>32.3</v>
      </c>
      <c r="K122" s="39">
        <f>IF(OR(C122="",NOT(ISNUMBER(E122))),"",IFERROR(ROUND(N(INDEX(art_init,MATCH(C122,art_ref,0)))+SUMIFS($E$5:E122,$C$5:C122,C122,$B$5:B122,"Entrée")-SUMIFS($E$5:E122,$C$5:C122,C122,$B$5:B122,"Sortie"),6),""))</f>
        <v>161.0</v>
      </c>
      <c r="L122" s="39" t="str">
        <f>IF(COUNTA(A122:C122,E122)=0,"",IF(COUNTA(A122:C122,E122)&lt;4,"Ligne incomplète",IF(NOT(ISNUMBER(A122)),"Date invalide",IF(AND(B122&lt;&gt;"Entrée",B122&lt;&gt;"Sortie"),"Type inconnu",IF(ISNA(MATCH(C122,art_ref,0)),"Référence inconnue",IF(OR(NOT(ISNUMBER(E122)),N(E122)&lt;=0),"Quantité invalide",IF(K122&lt;0,"Stock négatif",IF(AND(ISNUMBER(A121),A122&lt;A121),"Date hors ordre","OK"))))))))</f>
        <v>OK</v>
      </c>
      <c r="M122" s="39" t="str">
        <f>IF(C122="","",C122&amp;"#"&amp;COUNTIF($C$5:C122,C122))</f>
        <v>DIS-125#8</v>
      </c>
    </row>
    <row r="123">
      <c r="A123" s="41" t="n">
        <v>46119</v>
      </c>
      <c r="B123" s="37" t="inlineStr">
        <is>
          <t>Entrée</t>
        </is>
      </c>
      <c r="C123" s="37" t="inlineStr">
        <is>
          <t>HUI-COUP-5</t>
        </is>
      </c>
      <c r="D123" s="39" t="str">
        <f>IF(C123="","",IFERROR(INDEX(art_des,MATCH(C123,art_ref,0))&amp;"","Référence inconnue"))</f>
        <v>Huile de coupe soluble 5 L</v>
      </c>
      <c r="E123" s="37" t="n">
        <v>12</v>
      </c>
      <c r="F123" s="39" t="str">
        <f>IF(C123="","",IFERROR(INDEX(art_unit,MATCH(C123,art_ref,0))&amp;"",""))</f>
        <v>bidon</v>
      </c>
      <c r="G123" s="37" t="inlineStr">
        <is>
          <t>BL-2026-016</t>
        </is>
      </c>
      <c r="H123" s="37" t="inlineStr">
        <is>
          <t>Lubrifiants Pro</t>
        </is>
      </c>
      <c r="I123" s="37" t="inlineStr">
        <is>
          <t>Réception commande</t>
        </is>
      </c>
      <c r="J123" s="40">
        <f>IF(OR(C123="",NOT(ISNUMBER(E123))),"",IFERROR(E123*N(INDEX(art_price,MATCH(C123,art_ref,0))),""))</f>
        <v>324.0</v>
      </c>
      <c r="K123" s="39">
        <f>IF(OR(C123="",NOT(ISNUMBER(E123))),"",IFERROR(ROUND(N(INDEX(art_init,MATCH(C123,art_ref,0)))+SUMIFS($E$5:E123,$C$5:C123,C123,$B$5:B123,"Entrée")-SUMIFS($E$5:E123,$C$5:C123,C123,$B$5:B123,"Sortie"),6),""))</f>
        <v>15.0</v>
      </c>
      <c r="L123" s="39" t="str">
        <f>IF(COUNTA(A123:C123,E123)=0,"",IF(COUNTA(A123:C123,E123)&lt;4,"Ligne incomplète",IF(NOT(ISNUMBER(A123)),"Date invalide",IF(AND(B123&lt;&gt;"Entrée",B123&lt;&gt;"Sortie"),"Type inconnu",IF(ISNA(MATCH(C123,art_ref,0)),"Référence inconnue",IF(OR(NOT(ISNUMBER(E123)),N(E123)&lt;=0),"Quantité invalide",IF(K123&lt;0,"Stock négatif",IF(AND(ISNUMBER(A122),A123&lt;A122),"Date hors ordre","OK"))))))))</f>
        <v>OK</v>
      </c>
      <c r="M123" s="39" t="str">
        <f>IF(C123="","",C123&amp;"#"&amp;COUNTIF($C$5:C123,C123))</f>
        <v>HUI-COUP-5#8</v>
      </c>
    </row>
    <row r="124">
      <c r="A124" s="41" t="n">
        <v>46121</v>
      </c>
      <c r="B124" s="37" t="inlineStr">
        <is>
          <t>Sortie</t>
        </is>
      </c>
      <c r="C124" s="37" t="inlineStr">
        <is>
          <t>CAR-40-30</t>
        </is>
      </c>
      <c r="D124" s="39" t="str">
        <f>IF(C124="","",IFERROR(INDEX(art_des,MATCH(C124,art_ref,0))&amp;"","Référence inconnue"))</f>
        <v>Carton double cannelure 40 x 30 x 20</v>
      </c>
      <c r="E124" s="37" t="n">
        <v>107</v>
      </c>
      <c r="F124" s="39" t="str">
        <f>IF(C124="","",IFERROR(INDEX(art_unit,MATCH(C124,art_ref,0))&amp;"",""))</f>
        <v>pièce</v>
      </c>
      <c r="G124" s="37" t="inlineStr">
        <is>
          <t>BS-2026-0104</t>
        </is>
      </c>
      <c r="H124" s="37" t="inlineStr">
        <is>
          <t>Expédition</t>
        </is>
      </c>
      <c r="I124" s="37" t="n"/>
      <c r="J124" s="40">
        <f>IF(OR(C124="",NOT(ISNUMBER(E124))),"",IFERROR(E124*N(INDEX(art_price,MATCH(C124,art_ref,0))),""))</f>
        <v>101.65</v>
      </c>
      <c r="K124" s="39">
        <f>IF(OR(C124="",NOT(ISNUMBER(E124))),"",IFERROR(ROUND(N(INDEX(art_init,MATCH(C124,art_ref,0)))+SUMIFS($E$5:E124,$C$5:C124,C124,$B$5:B124,"Entrée")-SUMIFS($E$5:E124,$C$5:C124,C124,$B$5:B124,"Sortie"),6),""))</f>
        <v>476.0</v>
      </c>
      <c r="L124" s="39" t="str">
        <f>IF(COUNTA(A124:C124,E124)=0,"",IF(COUNTA(A124:C124,E124)&lt;4,"Ligne incomplète",IF(NOT(ISNUMBER(A124)),"Date invalide",IF(AND(B124&lt;&gt;"Entrée",B124&lt;&gt;"Sortie"),"Type inconnu",IF(ISNA(MATCH(C124,art_ref,0)),"Référence inconnue",IF(OR(NOT(ISNUMBER(E124)),N(E124)&lt;=0),"Quantité invalide",IF(K124&lt;0,"Stock négatif",IF(AND(ISNUMBER(A123),A124&lt;A123),"Date hors ordre","OK"))))))))</f>
        <v>OK</v>
      </c>
      <c r="M124" s="39" t="str">
        <f>IF(C124="","",C124&amp;"#"&amp;COUNTIF($C$5:C124,C124))</f>
        <v>CAR-40-30#8</v>
      </c>
    </row>
    <row r="125">
      <c r="A125" s="41" t="n">
        <v>46121</v>
      </c>
      <c r="B125" s="37" t="inlineStr">
        <is>
          <t>Sortie</t>
        </is>
      </c>
      <c r="C125" s="37" t="inlineStr">
        <is>
          <t>VIS-M6-20</t>
        </is>
      </c>
      <c r="D125" s="39" t="str">
        <f>IF(C125="","",IFERROR(INDEX(art_des,MATCH(C125,art_ref,0))&amp;"","Référence inconnue"))</f>
        <v>Vis inox M6 x 20</v>
      </c>
      <c r="E125" s="37" t="n">
        <v>473</v>
      </c>
      <c r="F125" s="39" t="str">
        <f>IF(C125="","",IFERROR(INDEX(art_unit,MATCH(C125,art_ref,0))&amp;"",""))</f>
        <v>pièce</v>
      </c>
      <c r="G125" s="37" t="inlineStr">
        <is>
          <t>BS-2026-0105</t>
        </is>
      </c>
      <c r="H125" s="37" t="inlineStr">
        <is>
          <t>Atelier usinage</t>
        </is>
      </c>
      <c r="I125" s="37" t="n"/>
      <c r="J125" s="40">
        <f>IF(OR(C125="",NOT(ISNUMBER(E125))),"",IFERROR(E125*N(INDEX(art_price,MATCH(C125,art_ref,0))),""))</f>
        <v>56.76</v>
      </c>
      <c r="K125" s="39">
        <f>IF(OR(C125="",NOT(ISNUMBER(E125))),"",IFERROR(ROUND(N(INDEX(art_init,MATCH(C125,art_ref,0)))+SUMIFS($E$5:E125,$C$5:C125,C125,$B$5:B125,"Entrée")-SUMIFS($E$5:E125,$C$5:C125,C125,$B$5:B125,"Sortie"),6),""))</f>
        <v>2716.0</v>
      </c>
      <c r="L125" s="39" t="str">
        <f>IF(COUNTA(A125:C125,E125)=0,"",IF(COUNTA(A125:C125,E125)&lt;4,"Ligne incomplète",IF(NOT(ISNUMBER(A125)),"Date invalide",IF(AND(B125&lt;&gt;"Entrée",B125&lt;&gt;"Sortie"),"Type inconnu",IF(ISNA(MATCH(C125,art_ref,0)),"Référence inconnue",IF(OR(NOT(ISNUMBER(E125)),N(E125)&lt;=0),"Quantité invalide",IF(K125&lt;0,"Stock négatif",IF(AND(ISNUMBER(A124),A125&lt;A124),"Date hors ordre","OK"))))))))</f>
        <v>OK</v>
      </c>
      <c r="M125" s="39" t="str">
        <f>IF(C125="","",C125&amp;"#"&amp;COUNTIF($C$5:C125,C125))</f>
        <v>VIS-M6-20#8</v>
      </c>
    </row>
    <row r="126">
      <c r="A126" s="41" t="n">
        <v>46122</v>
      </c>
      <c r="B126" s="37" t="inlineStr">
        <is>
          <t>Sortie</t>
        </is>
      </c>
      <c r="C126" s="37" t="inlineStr">
        <is>
          <t>ROU-6204</t>
        </is>
      </c>
      <c r="D126" s="39" t="str">
        <f>IF(C126="","",IFERROR(INDEX(art_des,MATCH(C126,art_ref,0))&amp;"","Référence inconnue"))</f>
        <v>Roulement à billes 6204 2RS</v>
      </c>
      <c r="E126" s="37" t="n">
        <v>22</v>
      </c>
      <c r="F126" s="39" t="str">
        <f>IF(C126="","",IFERROR(INDEX(art_unit,MATCH(C126,art_ref,0))&amp;"",""))</f>
        <v>pièce</v>
      </c>
      <c r="G126" s="37" t="inlineStr">
        <is>
          <t>BS-2026-0106</t>
        </is>
      </c>
      <c r="H126" s="37" t="inlineStr">
        <is>
          <t>Atelier soudure</t>
        </is>
      </c>
      <c r="I126" s="37" t="n"/>
      <c r="J126" s="40">
        <f>IF(OR(C126="",NOT(ISNUMBER(E126))),"",IFERROR(E126*N(INDEX(art_price,MATCH(C126,art_ref,0))),""))</f>
        <v>83.6</v>
      </c>
      <c r="K126" s="39">
        <f>IF(OR(C126="",NOT(ISNUMBER(E126))),"",IFERROR(ROUND(N(INDEX(art_init,MATCH(C126,art_ref,0)))+SUMIFS($E$5:E126,$C$5:C126,C126,$B$5:B126,"Entrée")-SUMIFS($E$5:E126,$C$5:C126,C126,$B$5:B126,"Sortie"),6),""))</f>
        <v>114.0</v>
      </c>
      <c r="L126" s="39" t="str">
        <f>IF(COUNTA(A126:C126,E126)=0,"",IF(COUNTA(A126:C126,E126)&lt;4,"Ligne incomplète",IF(NOT(ISNUMBER(A126)),"Date invalide",IF(AND(B126&lt;&gt;"Entrée",B126&lt;&gt;"Sortie"),"Type inconnu",IF(ISNA(MATCH(C126,art_ref,0)),"Référence inconnue",IF(OR(NOT(ISNUMBER(E126)),N(E126)&lt;=0),"Quantité invalide",IF(K126&lt;0,"Stock négatif",IF(AND(ISNUMBER(A125),A126&lt;A125),"Date hors ordre","OK"))))))))</f>
        <v>OK</v>
      </c>
      <c r="M126" s="39" t="str">
        <f>IF(C126="","",C126&amp;"#"&amp;COUNTIF($C$5:C126,C126))</f>
        <v>ROU-6204#8</v>
      </c>
    </row>
    <row r="127">
      <c r="A127" s="41" t="n">
        <v>46123</v>
      </c>
      <c r="B127" s="37" t="inlineStr">
        <is>
          <t>Sortie</t>
        </is>
      </c>
      <c r="C127" s="37" t="inlineStr">
        <is>
          <t>ECR-M6</t>
        </is>
      </c>
      <c r="D127" s="39" t="str">
        <f>IF(C127="","",IFERROR(INDEX(art_des,MATCH(C127,art_ref,0))&amp;"","Référence inconnue"))</f>
        <v>Écrou inox M6</v>
      </c>
      <c r="E127" s="37" t="n">
        <v>462</v>
      </c>
      <c r="F127" s="39" t="str">
        <f>IF(C127="","",IFERROR(INDEX(art_unit,MATCH(C127,art_ref,0))&amp;"",""))</f>
        <v>pièce</v>
      </c>
      <c r="G127" s="37" t="inlineStr">
        <is>
          <t>BS-2026-0107</t>
        </is>
      </c>
      <c r="H127" s="37" t="inlineStr">
        <is>
          <t>Atelier montage</t>
        </is>
      </c>
      <c r="I127" s="37" t="n"/>
      <c r="J127" s="40">
        <f>IF(OR(C127="",NOT(ISNUMBER(E127))),"",IFERROR(E127*N(INDEX(art_price,MATCH(C127,art_ref,0))),""))</f>
        <v>23.1</v>
      </c>
      <c r="K127" s="39">
        <f>IF(OR(C127="",NOT(ISNUMBER(E127))),"",IFERROR(ROUND(N(INDEX(art_init,MATCH(C127,art_ref,0)))+SUMIFS($E$5:E127,$C$5:C127,C127,$B$5:B127,"Entrée")-SUMIFS($E$5:E127,$C$5:C127,C127,$B$5:B127,"Sortie"),6),""))</f>
        <v>3005.0</v>
      </c>
      <c r="L127" s="39" t="str">
        <f>IF(COUNTA(A127:C127,E127)=0,"",IF(COUNTA(A127:C127,E127)&lt;4,"Ligne incomplète",IF(NOT(ISNUMBER(A127)),"Date invalide",IF(AND(B127&lt;&gt;"Entrée",B127&lt;&gt;"Sortie"),"Type inconnu",IF(ISNA(MATCH(C127,art_ref,0)),"Référence inconnue",IF(OR(NOT(ISNUMBER(E127)),N(E127)&lt;=0),"Quantité invalide",IF(K127&lt;0,"Stock négatif",IF(AND(ISNUMBER(A126),A127&lt;A126),"Date hors ordre","OK"))))))))</f>
        <v>OK</v>
      </c>
      <c r="M127" s="39" t="str">
        <f>IF(C127="","",C127&amp;"#"&amp;COUNTIF($C$5:C127,C127))</f>
        <v>ECR-M6#8</v>
      </c>
    </row>
    <row r="128">
      <c r="A128" s="41" t="n">
        <v>46123</v>
      </c>
      <c r="B128" s="37" t="inlineStr">
        <is>
          <t>Sortie</t>
        </is>
      </c>
      <c r="C128" s="37" t="inlineStr">
        <is>
          <t>PAL-120</t>
        </is>
      </c>
      <c r="D128" s="39" t="str">
        <f>IF(C128="","",IFERROR(INDEX(art_des,MATCH(C128,art_ref,0))&amp;"","Référence inconnue"))</f>
        <v>Palette bois 120 x 80</v>
      </c>
      <c r="E128" s="37" t="n">
        <v>4</v>
      </c>
      <c r="F128" s="39" t="str">
        <f>IF(C128="","",IFERROR(INDEX(art_unit,MATCH(C128,art_ref,0))&amp;"",""))</f>
        <v>pièce</v>
      </c>
      <c r="G128" s="37" t="inlineStr">
        <is>
          <t>BS-2026-0108</t>
        </is>
      </c>
      <c r="H128" s="37" t="inlineStr">
        <is>
          <t>Atelier soudure</t>
        </is>
      </c>
      <c r="I128" s="37" t="n"/>
      <c r="J128" s="40">
        <f>IF(OR(C128="",NOT(ISNUMBER(E128))),"",IFERROR(E128*N(INDEX(art_price,MATCH(C128,art_ref,0))),""))</f>
        <v>36.0</v>
      </c>
      <c r="K128" s="39">
        <f>IF(OR(C128="",NOT(ISNUMBER(E128))),"",IFERROR(ROUND(N(INDEX(art_init,MATCH(C128,art_ref,0)))+SUMIFS($E$5:E128,$C$5:C128,C128,$B$5:B128,"Entrée")-SUMIFS($E$5:E128,$C$5:C128,C128,$B$5:B128,"Sortie"),6),""))</f>
        <v>34.0</v>
      </c>
      <c r="L128" s="39" t="str">
        <f>IF(COUNTA(A128:C128,E128)=0,"",IF(COUNTA(A128:C128,E128)&lt;4,"Ligne incomplète",IF(NOT(ISNUMBER(A128)),"Date invalide",IF(AND(B128&lt;&gt;"Entrée",B128&lt;&gt;"Sortie"),"Type inconnu",IF(ISNA(MATCH(C128,art_ref,0)),"Référence inconnue",IF(OR(NOT(ISNUMBER(E128)),N(E128)&lt;=0),"Quantité invalide",IF(K128&lt;0,"Stock négatif",IF(AND(ISNUMBER(A127),A128&lt;A127),"Date hors ordre","OK"))))))))</f>
        <v>OK</v>
      </c>
      <c r="M128" s="39" t="str">
        <f>IF(C128="","",C128&amp;"#"&amp;COUNTIF($C$5:C128,C128))</f>
        <v>PAL-120#8</v>
      </c>
    </row>
    <row r="129">
      <c r="A129" s="41" t="n">
        <v>46123</v>
      </c>
      <c r="B129" s="37" t="inlineStr">
        <is>
          <t>Sortie</t>
        </is>
      </c>
      <c r="C129" s="37" t="inlineStr">
        <is>
          <t>TOL-ACI-2</t>
        </is>
      </c>
      <c r="D129" s="39" t="str">
        <f>IF(C129="","",IFERROR(INDEX(art_des,MATCH(C129,art_ref,0))&amp;"","Référence inconnue"))</f>
        <v>Tôle acier 2 mm 1000 x 2000</v>
      </c>
      <c r="E129" s="37" t="n">
        <v>6</v>
      </c>
      <c r="F129" s="39" t="str">
        <f>IF(C129="","",IFERROR(INDEX(art_unit,MATCH(C129,art_ref,0))&amp;"",""))</f>
        <v>feuille</v>
      </c>
      <c r="G129" s="37" t="inlineStr">
        <is>
          <t>BS-2026-0109</t>
        </is>
      </c>
      <c r="H129" s="37" t="inlineStr">
        <is>
          <t>Atelier montage</t>
        </is>
      </c>
      <c r="I129" s="37" t="n"/>
      <c r="J129" s="40">
        <f>IF(OR(C129="",NOT(ISNUMBER(E129))),"",IFERROR(E129*N(INDEX(art_price,MATCH(C129,art_ref,0))),""))</f>
        <v>291.0</v>
      </c>
      <c r="K129" s="39">
        <f>IF(OR(C129="",NOT(ISNUMBER(E129))),"",IFERROR(ROUND(N(INDEX(art_init,MATCH(C129,art_ref,0)))+SUMIFS($E$5:E129,$C$5:C129,C129,$B$5:B129,"Entrée")-SUMIFS($E$5:E129,$C$5:C129,C129,$B$5:B129,"Sortie"),6),""))</f>
        <v>37.0</v>
      </c>
      <c r="L129" s="39" t="str">
        <f>IF(COUNTA(A129:C129,E129)=0,"",IF(COUNTA(A129:C129,E129)&lt;4,"Ligne incomplète",IF(NOT(ISNUMBER(A129)),"Date invalide",IF(AND(B129&lt;&gt;"Entrée",B129&lt;&gt;"Sortie"),"Type inconnu",IF(ISNA(MATCH(C129,art_ref,0)),"Référence inconnue",IF(OR(NOT(ISNUMBER(E129)),N(E129)&lt;=0),"Quantité invalide",IF(K129&lt;0,"Stock négatif",IF(AND(ISNUMBER(A128),A129&lt;A128),"Date hors ordre","OK"))))))))</f>
        <v>OK</v>
      </c>
      <c r="M129" s="39" t="str">
        <f>IF(C129="","",C129&amp;"#"&amp;COUNTIF($C$5:C129,C129))</f>
        <v>TOL-ACI-2#8</v>
      </c>
    </row>
    <row r="130">
      <c r="A130" s="41" t="n">
        <v>46124</v>
      </c>
      <c r="B130" s="37" t="inlineStr">
        <is>
          <t>Sortie</t>
        </is>
      </c>
      <c r="C130" s="37" t="inlineStr">
        <is>
          <t>GAN-NIT</t>
        </is>
      </c>
      <c r="D130" s="39" t="str">
        <f>IF(C130="","",IFERROR(INDEX(art_des,MATCH(C130,art_ref,0))&amp;"","Référence inconnue"))</f>
        <v>Gants nitrile, boîte de 100</v>
      </c>
      <c r="E130" s="37" t="n">
        <v>3</v>
      </c>
      <c r="F130" s="39" t="str">
        <f>IF(C130="","",IFERROR(INDEX(art_unit,MATCH(C130,art_ref,0))&amp;"",""))</f>
        <v>boîte</v>
      </c>
      <c r="G130" s="37" t="inlineStr">
        <is>
          <t>BS-2026-0110</t>
        </is>
      </c>
      <c r="H130" s="37" t="inlineStr">
        <is>
          <t>Atelier montage</t>
        </is>
      </c>
      <c r="I130" s="37" t="n"/>
      <c r="J130" s="40">
        <f>IF(OR(C130="",NOT(ISNUMBER(E130))),"",IFERROR(E130*N(INDEX(art_price,MATCH(C130,art_ref,0))),""))</f>
        <v>22.5</v>
      </c>
      <c r="K130" s="39">
        <f>IF(OR(C130="",NOT(ISNUMBER(E130))),"",IFERROR(ROUND(N(INDEX(art_init,MATCH(C130,art_ref,0)))+SUMIFS($E$5:E130,$C$5:C130,C130,$B$5:B130,"Entrée")-SUMIFS($E$5:E130,$C$5:C130,C130,$B$5:B130,"Sortie"),6),""))</f>
        <v>24.0</v>
      </c>
      <c r="L130" s="39" t="str">
        <f>IF(COUNTA(A130:C130,E130)=0,"",IF(COUNTA(A130:C130,E130)&lt;4,"Ligne incomplète",IF(NOT(ISNUMBER(A130)),"Date invalide",IF(AND(B130&lt;&gt;"Entrée",B130&lt;&gt;"Sortie"),"Type inconnu",IF(ISNA(MATCH(C130,art_ref,0)),"Référence inconnue",IF(OR(NOT(ISNUMBER(E130)),N(E130)&lt;=0),"Quantité invalide",IF(K130&lt;0,"Stock négatif",IF(AND(ISNUMBER(A129),A130&lt;A129),"Date hors ordre","OK"))))))))</f>
        <v>OK</v>
      </c>
      <c r="M130" s="39" t="str">
        <f>IF(C130="","",C130&amp;"#"&amp;COUNTIF($C$5:C130,C130))</f>
        <v>GAN-NIT#8</v>
      </c>
    </row>
    <row r="131">
      <c r="A131" s="41" t="n">
        <v>46124</v>
      </c>
      <c r="B131" s="37" t="inlineStr">
        <is>
          <t>Sortie</t>
        </is>
      </c>
      <c r="C131" s="37" t="inlineStr">
        <is>
          <t>TUB-ACI-40</t>
        </is>
      </c>
      <c r="D131" s="39" t="str">
        <f>IF(C131="","",IFERROR(INDEX(art_des,MATCH(C131,art_ref,0))&amp;"","Référence inconnue"))</f>
        <v>Tube acier carré 40 x 40, 6 m</v>
      </c>
      <c r="E131" s="37" t="n">
        <v>5</v>
      </c>
      <c r="F131" s="39" t="str">
        <f>IF(C131="","",IFERROR(INDEX(art_unit,MATCH(C131,art_ref,0))&amp;"",""))</f>
        <v>barre</v>
      </c>
      <c r="G131" s="37" t="inlineStr">
        <is>
          <t>BS-2026-0111</t>
        </is>
      </c>
      <c r="H131" s="37" t="inlineStr">
        <is>
          <t>Atelier soudure</t>
        </is>
      </c>
      <c r="I131" s="37" t="n"/>
      <c r="J131" s="40">
        <f>IF(OR(C131="",NOT(ISNUMBER(E131))),"",IFERROR(E131*N(INDEX(art_price,MATCH(C131,art_ref,0))),""))</f>
        <v>156.0</v>
      </c>
      <c r="K131" s="39">
        <f>IF(OR(C131="",NOT(ISNUMBER(E131))),"",IFERROR(ROUND(N(INDEX(art_init,MATCH(C131,art_ref,0)))+SUMIFS($E$5:E131,$C$5:C131,C131,$B$5:B131,"Entrée")-SUMIFS($E$5:E131,$C$5:C131,C131,$B$5:B131,"Sortie"),6),""))</f>
        <v>35.0</v>
      </c>
      <c r="L131" s="39" t="str">
        <f>IF(COUNTA(A131:C131,E131)=0,"",IF(COUNTA(A131:C131,E131)&lt;4,"Ligne incomplète",IF(NOT(ISNUMBER(A131)),"Date invalide",IF(AND(B131&lt;&gt;"Entrée",B131&lt;&gt;"Sortie"),"Type inconnu",IF(ISNA(MATCH(C131,art_ref,0)),"Référence inconnue",IF(OR(NOT(ISNUMBER(E131)),N(E131)&lt;=0),"Quantité invalide",IF(K131&lt;0,"Stock négatif",IF(AND(ISNUMBER(A130),A131&lt;A130),"Date hors ordre","OK"))))))))</f>
        <v>OK</v>
      </c>
      <c r="M131" s="39" t="str">
        <f>IF(C131="","",C131&amp;"#"&amp;COUNTIF($C$5:C131,C131))</f>
        <v>TUB-ACI-40#8</v>
      </c>
    </row>
    <row r="132">
      <c r="A132" s="41" t="n">
        <v>46125</v>
      </c>
      <c r="B132" s="37" t="inlineStr">
        <is>
          <t>Sortie</t>
        </is>
      </c>
      <c r="C132" s="37" t="inlineStr">
        <is>
          <t>JOI-20-2</t>
        </is>
      </c>
      <c r="D132" s="39" t="str">
        <f>IF(C132="","",IFERROR(INDEX(art_des,MATCH(C132,art_ref,0))&amp;"","Référence inconnue"))</f>
        <v>Joint torique 20 x 2 NBR</v>
      </c>
      <c r="E132" s="37" t="n">
        <v>57</v>
      </c>
      <c r="F132" s="39" t="str">
        <f>IF(C132="","",IFERROR(INDEX(art_unit,MATCH(C132,art_ref,0))&amp;"",""))</f>
        <v>pièce</v>
      </c>
      <c r="G132" s="37" t="inlineStr">
        <is>
          <t>BS-2026-0112</t>
        </is>
      </c>
      <c r="H132" s="37" t="inlineStr">
        <is>
          <t>Atelier soudure</t>
        </is>
      </c>
      <c r="I132" s="37" t="n"/>
      <c r="J132" s="40">
        <f>IF(OR(C132="",NOT(ISNUMBER(E132))),"",IFERROR(E132*N(INDEX(art_price,MATCH(C132,art_ref,0))),""))</f>
        <v>19.95</v>
      </c>
      <c r="K132" s="39">
        <f>IF(OR(C132="",NOT(ISNUMBER(E132))),"",IFERROR(ROUND(N(INDEX(art_init,MATCH(C132,art_ref,0)))+SUMIFS($E$5:E132,$C$5:C132,C132,$B$5:B132,"Entrée")-SUMIFS($E$5:E132,$C$5:C132,C132,$B$5:B132,"Sortie"),6),""))</f>
        <v>472.0</v>
      </c>
      <c r="L132" s="39" t="str">
        <f>IF(COUNTA(A132:C132,E132)=0,"",IF(COUNTA(A132:C132,E132)&lt;4,"Ligne incomplète",IF(NOT(ISNUMBER(A132)),"Date invalide",IF(AND(B132&lt;&gt;"Entrée",B132&lt;&gt;"Sortie"),"Type inconnu",IF(ISNA(MATCH(C132,art_ref,0)),"Référence inconnue",IF(OR(NOT(ISNUMBER(E132)),N(E132)&lt;=0),"Quantité invalide",IF(K132&lt;0,"Stock négatif",IF(AND(ISNUMBER(A131),A132&lt;A131),"Date hors ordre","OK"))))))))</f>
        <v>OK</v>
      </c>
      <c r="M132" s="39" t="str">
        <f>IF(C132="","",C132&amp;"#"&amp;COUNTIF($C$5:C132,C132))</f>
        <v>JOI-20-2#8</v>
      </c>
    </row>
    <row r="133">
      <c r="A133" s="41" t="n">
        <v>46128</v>
      </c>
      <c r="B133" s="37" t="inlineStr">
        <is>
          <t>Sortie</t>
        </is>
      </c>
      <c r="C133" s="37" t="inlineStr">
        <is>
          <t>DIS-125</t>
        </is>
      </c>
      <c r="D133" s="39" t="str">
        <f>IF(C133="","",IFERROR(INDEX(art_des,MATCH(C133,art_ref,0))&amp;"","Référence inconnue"))</f>
        <v>Disque à tronçonner 125 mm</v>
      </c>
      <c r="E133" s="37" t="n">
        <v>25</v>
      </c>
      <c r="F133" s="39" t="str">
        <f>IF(C133="","",IFERROR(INDEX(art_unit,MATCH(C133,art_ref,0))&amp;"",""))</f>
        <v>pièce</v>
      </c>
      <c r="G133" s="37" t="inlineStr">
        <is>
          <t>BS-2026-0113</t>
        </is>
      </c>
      <c r="H133" s="37" t="inlineStr">
        <is>
          <t>Atelier montage</t>
        </is>
      </c>
      <c r="I133" s="37" t="n"/>
      <c r="J133" s="40">
        <f>IF(OR(C133="",NOT(ISNUMBER(E133))),"",IFERROR(E133*N(INDEX(art_price,MATCH(C133,art_ref,0))),""))</f>
        <v>47.5</v>
      </c>
      <c r="K133" s="39">
        <f>IF(OR(C133="",NOT(ISNUMBER(E133))),"",IFERROR(ROUND(N(INDEX(art_init,MATCH(C133,art_ref,0)))+SUMIFS($E$5:E133,$C$5:C133,C133,$B$5:B133,"Entrée")-SUMIFS($E$5:E133,$C$5:C133,C133,$B$5:B133,"Sortie"),6),""))</f>
        <v>136.0</v>
      </c>
      <c r="L133" s="39" t="str">
        <f>IF(COUNTA(A133:C133,E133)=0,"",IF(COUNTA(A133:C133,E133)&lt;4,"Ligne incomplète",IF(NOT(ISNUMBER(A133)),"Date invalide",IF(AND(B133&lt;&gt;"Entrée",B133&lt;&gt;"Sortie"),"Type inconnu",IF(ISNA(MATCH(C133,art_ref,0)),"Référence inconnue",IF(OR(NOT(ISNUMBER(E133)),N(E133)&lt;=0),"Quantité invalide",IF(K133&lt;0,"Stock négatif",IF(AND(ISNUMBER(A132),A133&lt;A132),"Date hors ordre","OK"))))))))</f>
        <v>OK</v>
      </c>
      <c r="M133" s="39" t="str">
        <f>IF(C133="","",C133&amp;"#"&amp;COUNTIF($C$5:C133,C133))</f>
        <v>DIS-125#9</v>
      </c>
    </row>
    <row r="134">
      <c r="A134" s="41" t="n">
        <v>46128</v>
      </c>
      <c r="B134" s="37" t="inlineStr">
        <is>
          <t>Sortie</t>
        </is>
      </c>
      <c r="C134" s="37" t="inlineStr">
        <is>
          <t>FOR-HSS-8</t>
        </is>
      </c>
      <c r="D134" s="39" t="str">
        <f>IF(C134="","",IFERROR(INDEX(art_des,MATCH(C134,art_ref,0))&amp;"","Référence inconnue"))</f>
        <v>Foret HSS 8 mm</v>
      </c>
      <c r="E134" s="37" t="n">
        <v>2</v>
      </c>
      <c r="F134" s="39" t="str">
        <f>IF(C134="","",IFERROR(INDEX(art_unit,MATCH(C134,art_ref,0))&amp;"",""))</f>
        <v>pièce</v>
      </c>
      <c r="G134" s="37" t="inlineStr">
        <is>
          <t>BS-2026-0114</t>
        </is>
      </c>
      <c r="H134" s="37" t="inlineStr">
        <is>
          <t>Maintenance</t>
        </is>
      </c>
      <c r="I134" s="37" t="n"/>
      <c r="J134" s="40">
        <f>IF(OR(C134="",NOT(ISNUMBER(E134))),"",IFERROR(E134*N(INDEX(art_price,MATCH(C134,art_ref,0))),""))</f>
        <v>9.2</v>
      </c>
      <c r="K134" s="39">
        <f>IF(OR(C134="",NOT(ISNUMBER(E134))),"",IFERROR(ROUND(N(INDEX(art_init,MATCH(C134,art_ref,0)))+SUMIFS($E$5:E134,$C$5:C134,C134,$B$5:B134,"Entrée")-SUMIFS($E$5:E134,$C$5:C134,C134,$B$5:B134,"Sortie"),6),""))</f>
        <v>38.0</v>
      </c>
      <c r="L134" s="39" t="str">
        <f>IF(COUNTA(A134:C134,E134)=0,"",IF(COUNTA(A134:C134,E134)&lt;4,"Ligne incomplète",IF(NOT(ISNUMBER(A134)),"Date invalide",IF(AND(B134&lt;&gt;"Entrée",B134&lt;&gt;"Sortie"),"Type inconnu",IF(ISNA(MATCH(C134,art_ref,0)),"Référence inconnue",IF(OR(NOT(ISNUMBER(E134)),N(E134)&lt;=0),"Quantité invalide",IF(K134&lt;0,"Stock négatif",IF(AND(ISNUMBER(A133),A134&lt;A133),"Date hors ordre","OK"))))))))</f>
        <v>OK</v>
      </c>
      <c r="M134" s="39" t="str">
        <f>IF(C134="","",C134&amp;"#"&amp;COUNTIF($C$5:C134,C134))</f>
        <v>FOR-HSS-8#9</v>
      </c>
    </row>
    <row r="135">
      <c r="A135" s="41" t="n">
        <v>46129</v>
      </c>
      <c r="B135" s="37" t="inlineStr">
        <is>
          <t>Sortie</t>
        </is>
      </c>
      <c r="C135" s="37" t="inlineStr">
        <is>
          <t>TOL-ACI-2</t>
        </is>
      </c>
      <c r="D135" s="39" t="str">
        <f>IF(C135="","",IFERROR(INDEX(art_des,MATCH(C135,art_ref,0))&amp;"","Référence inconnue"))</f>
        <v>Tôle acier 2 mm 1000 x 2000</v>
      </c>
      <c r="E135" s="37" t="n">
        <v>9</v>
      </c>
      <c r="F135" s="39" t="str">
        <f>IF(C135="","",IFERROR(INDEX(art_unit,MATCH(C135,art_ref,0))&amp;"",""))</f>
        <v>feuille</v>
      </c>
      <c r="G135" s="37" t="inlineStr">
        <is>
          <t>BS-2026-0115</t>
        </is>
      </c>
      <c r="H135" s="37" t="inlineStr">
        <is>
          <t>Atelier usinage</t>
        </is>
      </c>
      <c r="I135" s="37" t="n"/>
      <c r="J135" s="40">
        <f>IF(OR(C135="",NOT(ISNUMBER(E135))),"",IFERROR(E135*N(INDEX(art_price,MATCH(C135,art_ref,0))),""))</f>
        <v>436.5</v>
      </c>
      <c r="K135" s="39">
        <f>IF(OR(C135="",NOT(ISNUMBER(E135))),"",IFERROR(ROUND(N(INDEX(art_init,MATCH(C135,art_ref,0)))+SUMIFS($E$5:E135,$C$5:C135,C135,$B$5:B135,"Entrée")-SUMIFS($E$5:E135,$C$5:C135,C135,$B$5:B135,"Sortie"),6),""))</f>
        <v>28.0</v>
      </c>
      <c r="L135" s="39" t="str">
        <f>IF(COUNTA(A135:C135,E135)=0,"",IF(COUNTA(A135:C135,E135)&lt;4,"Ligne incomplète",IF(NOT(ISNUMBER(A135)),"Date invalide",IF(AND(B135&lt;&gt;"Entrée",B135&lt;&gt;"Sortie"),"Type inconnu",IF(ISNA(MATCH(C135,art_ref,0)),"Référence inconnue",IF(OR(NOT(ISNUMBER(E135)),N(E135)&lt;=0),"Quantité invalide",IF(K135&lt;0,"Stock négatif",IF(AND(ISNUMBER(A134),A135&lt;A134),"Date hors ordre","OK"))))))))</f>
        <v>OK</v>
      </c>
      <c r="M135" s="39" t="str">
        <f>IF(C135="","",C135&amp;"#"&amp;COUNTIF($C$5:C135,C135))</f>
        <v>TOL-ACI-2#9</v>
      </c>
    </row>
    <row r="136">
      <c r="A136" s="41" t="n">
        <v>46130</v>
      </c>
      <c r="B136" s="37" t="inlineStr">
        <is>
          <t>Sortie</t>
        </is>
      </c>
      <c r="C136" s="37" t="inlineStr">
        <is>
          <t>BOR-WAGO-3</t>
        </is>
      </c>
      <c r="D136" s="39" t="str">
        <f>IF(C136="","",IFERROR(INDEX(art_des,MATCH(C136,art_ref,0))&amp;"","Référence inconnue"))</f>
        <v>Borne de connexion 3 entrées</v>
      </c>
      <c r="E136" s="37" t="n">
        <v>35</v>
      </c>
      <c r="F136" s="39" t="str">
        <f>IF(C136="","",IFERROR(INDEX(art_unit,MATCH(C136,art_ref,0))&amp;"",""))</f>
        <v>pièce</v>
      </c>
      <c r="G136" s="37" t="inlineStr">
        <is>
          <t>BS-2026-0116</t>
        </is>
      </c>
      <c r="H136" s="37" t="inlineStr">
        <is>
          <t>Maintenance</t>
        </is>
      </c>
      <c r="I136" s="37" t="n"/>
      <c r="J136" s="40">
        <f>IF(OR(C136="",NOT(ISNUMBER(E136))),"",IFERROR(E136*N(INDEX(art_price,MATCH(C136,art_ref,0))),""))</f>
        <v>14.7</v>
      </c>
      <c r="K136" s="39">
        <f>IF(OR(C136="",NOT(ISNUMBER(E136))),"",IFERROR(ROUND(N(INDEX(art_init,MATCH(C136,art_ref,0)))+SUMIFS($E$5:E136,$C$5:C136,C136,$B$5:B136,"Entrée")-SUMIFS($E$5:E136,$C$5:C136,C136,$B$5:B136,"Sortie"),6),""))</f>
        <v>211.0</v>
      </c>
      <c r="L136" s="39" t="str">
        <f>IF(COUNTA(A136:C136,E136)=0,"",IF(COUNTA(A136:C136,E136)&lt;4,"Ligne incomplète",IF(NOT(ISNUMBER(A136)),"Date invalide",IF(AND(B136&lt;&gt;"Entrée",B136&lt;&gt;"Sortie"),"Type inconnu",IF(ISNA(MATCH(C136,art_ref,0)),"Référence inconnue",IF(OR(NOT(ISNUMBER(E136)),N(E136)&lt;=0),"Quantité invalide",IF(K136&lt;0,"Stock négatif",IF(AND(ISNUMBER(A135),A136&lt;A135),"Date hors ordre","OK"))))))))</f>
        <v>OK</v>
      </c>
      <c r="M136" s="39" t="str">
        <f>IF(C136="","",C136&amp;"#"&amp;COUNTIF($C$5:C136,C136))</f>
        <v>BOR-WAGO-3#9</v>
      </c>
    </row>
    <row r="137">
      <c r="A137" s="41" t="n">
        <v>46133</v>
      </c>
      <c r="B137" s="37" t="inlineStr">
        <is>
          <t>Sortie</t>
        </is>
      </c>
      <c r="C137" s="37" t="inlineStr">
        <is>
          <t>RON-M6</t>
        </is>
      </c>
      <c r="D137" s="39" t="str">
        <f>IF(C137="","",IFERROR(INDEX(art_des,MATCH(C137,art_ref,0))&amp;"","Référence inconnue"))</f>
        <v>Rondelle plate M6</v>
      </c>
      <c r="E137" s="37" t="n">
        <v>282</v>
      </c>
      <c r="F137" s="39" t="str">
        <f>IF(C137="","",IFERROR(INDEX(art_unit,MATCH(C137,art_ref,0))&amp;"",""))</f>
        <v>pièce</v>
      </c>
      <c r="G137" s="37" t="inlineStr">
        <is>
          <t>BS-2026-0117</t>
        </is>
      </c>
      <c r="H137" s="37" t="inlineStr">
        <is>
          <t>Maintenance</t>
        </is>
      </c>
      <c r="I137" s="37" t="n"/>
      <c r="J137" s="40">
        <f>IF(OR(C137="",NOT(ISNUMBER(E137))),"",IFERROR(E137*N(INDEX(art_price,MATCH(C137,art_ref,0))),""))</f>
        <v>8.46</v>
      </c>
      <c r="K137" s="39">
        <f>IF(OR(C137="",NOT(ISNUMBER(E137))),"",IFERROR(ROUND(N(INDEX(art_init,MATCH(C137,art_ref,0)))+SUMIFS($E$5:E137,$C$5:C137,C137,$B$5:B137,"Entrée")-SUMIFS($E$5:E137,$C$5:C137,C137,$B$5:B137,"Sortie"),6),""))</f>
        <v>1589.0</v>
      </c>
      <c r="L137" s="39" t="str">
        <f>IF(COUNTA(A137:C137,E137)=0,"",IF(COUNTA(A137:C137,E137)&lt;4,"Ligne incomplète",IF(NOT(ISNUMBER(A137)),"Date invalide",IF(AND(B137&lt;&gt;"Entrée",B137&lt;&gt;"Sortie"),"Type inconnu",IF(ISNA(MATCH(C137,art_ref,0)),"Référence inconnue",IF(OR(NOT(ISNUMBER(E137)),N(E137)&lt;=0),"Quantité invalide",IF(K137&lt;0,"Stock négatif",IF(AND(ISNUMBER(A136),A137&lt;A136),"Date hors ordre","OK"))))))))</f>
        <v>OK</v>
      </c>
      <c r="M137" s="39" t="str">
        <f>IF(C137="","",C137&amp;"#"&amp;COUNTIF($C$5:C137,C137))</f>
        <v>RON-M6#9</v>
      </c>
    </row>
    <row r="138">
      <c r="A138" s="41" t="n">
        <v>46134</v>
      </c>
      <c r="B138" s="37" t="inlineStr">
        <is>
          <t>Sortie</t>
        </is>
      </c>
      <c r="C138" s="37" t="inlineStr">
        <is>
          <t>GAN-NIT</t>
        </is>
      </c>
      <c r="D138" s="39" t="str">
        <f>IF(C138="","",IFERROR(INDEX(art_des,MATCH(C138,art_ref,0))&amp;"","Référence inconnue"))</f>
        <v>Gants nitrile, boîte de 100</v>
      </c>
      <c r="E138" s="37" t="n">
        <v>4</v>
      </c>
      <c r="F138" s="39" t="str">
        <f>IF(C138="","",IFERROR(INDEX(art_unit,MATCH(C138,art_ref,0))&amp;"",""))</f>
        <v>boîte</v>
      </c>
      <c r="G138" s="37" t="inlineStr">
        <is>
          <t>BS-2026-0118</t>
        </is>
      </c>
      <c r="H138" s="37" t="inlineStr">
        <is>
          <t>Atelier montage</t>
        </is>
      </c>
      <c r="I138" s="37" t="n"/>
      <c r="J138" s="40">
        <f>IF(OR(C138="",NOT(ISNUMBER(E138))),"",IFERROR(E138*N(INDEX(art_price,MATCH(C138,art_ref,0))),""))</f>
        <v>30.0</v>
      </c>
      <c r="K138" s="39">
        <f>IF(OR(C138="",NOT(ISNUMBER(E138))),"",IFERROR(ROUND(N(INDEX(art_init,MATCH(C138,art_ref,0)))+SUMIFS($E$5:E138,$C$5:C138,C138,$B$5:B138,"Entrée")-SUMIFS($E$5:E138,$C$5:C138,C138,$B$5:B138,"Sortie"),6),""))</f>
        <v>20.0</v>
      </c>
      <c r="L138" s="39" t="str">
        <f>IF(COUNTA(A138:C138,E138)=0,"",IF(COUNTA(A138:C138,E138)&lt;4,"Ligne incomplète",IF(NOT(ISNUMBER(A138)),"Date invalide",IF(AND(B138&lt;&gt;"Entrée",B138&lt;&gt;"Sortie"),"Type inconnu",IF(ISNA(MATCH(C138,art_ref,0)),"Référence inconnue",IF(OR(NOT(ISNUMBER(E138)),N(E138)&lt;=0),"Quantité invalide",IF(K138&lt;0,"Stock négatif",IF(AND(ISNUMBER(A137),A138&lt;A137),"Date hors ordre","OK"))))))))</f>
        <v>OK</v>
      </c>
      <c r="M138" s="39" t="str">
        <f>IF(C138="","",C138&amp;"#"&amp;COUNTIF($C$5:C138,C138))</f>
        <v>GAN-NIT#9</v>
      </c>
    </row>
    <row r="139">
      <c r="A139" s="41" t="n">
        <v>46134</v>
      </c>
      <c r="B139" s="37" t="inlineStr">
        <is>
          <t>Sortie</t>
        </is>
      </c>
      <c r="C139" s="37" t="inlineStr">
        <is>
          <t>HUI-COUP-5</t>
        </is>
      </c>
      <c r="D139" s="39" t="str">
        <f>IF(C139="","",IFERROR(INDEX(art_des,MATCH(C139,art_ref,0))&amp;"","Référence inconnue"))</f>
        <v>Huile de coupe soluble 5 L</v>
      </c>
      <c r="E139" s="37" t="n">
        <v>1</v>
      </c>
      <c r="F139" s="39" t="str">
        <f>IF(C139="","",IFERROR(INDEX(art_unit,MATCH(C139,art_ref,0))&amp;"",""))</f>
        <v>bidon</v>
      </c>
      <c r="G139" s="37" t="inlineStr">
        <is>
          <t>BS-2026-0119</t>
        </is>
      </c>
      <c r="H139" s="37" t="inlineStr">
        <is>
          <t>Expédition</t>
        </is>
      </c>
      <c r="I139" s="37" t="n"/>
      <c r="J139" s="40">
        <f>IF(OR(C139="",NOT(ISNUMBER(E139))),"",IFERROR(E139*N(INDEX(art_price,MATCH(C139,art_ref,0))),""))</f>
        <v>27.0</v>
      </c>
      <c r="K139" s="39">
        <f>IF(OR(C139="",NOT(ISNUMBER(E139))),"",IFERROR(ROUND(N(INDEX(art_init,MATCH(C139,art_ref,0)))+SUMIFS($E$5:E139,$C$5:C139,C139,$B$5:B139,"Entrée")-SUMIFS($E$5:E139,$C$5:C139,C139,$B$5:B139,"Sortie"),6),""))</f>
        <v>14.0</v>
      </c>
      <c r="L139" s="39" t="str">
        <f>IF(COUNTA(A139:C139,E139)=0,"",IF(COUNTA(A139:C139,E139)&lt;4,"Ligne incomplète",IF(NOT(ISNUMBER(A139)),"Date invalide",IF(AND(B139&lt;&gt;"Entrée",B139&lt;&gt;"Sortie"),"Type inconnu",IF(ISNA(MATCH(C139,art_ref,0)),"Référence inconnue",IF(OR(NOT(ISNUMBER(E139)),N(E139)&lt;=0),"Quantité invalide",IF(K139&lt;0,"Stock négatif",IF(AND(ISNUMBER(A138),A139&lt;A138),"Date hors ordre","OK"))))))))</f>
        <v>OK</v>
      </c>
      <c r="M139" s="39" t="str">
        <f>IF(C139="","",C139&amp;"#"&amp;COUNTIF($C$5:C139,C139))</f>
        <v>HUI-COUP-5#9</v>
      </c>
    </row>
    <row r="140">
      <c r="A140" s="41" t="n">
        <v>46135</v>
      </c>
      <c r="B140" s="37" t="inlineStr">
        <is>
          <t>Sortie</t>
        </is>
      </c>
      <c r="C140" s="37" t="inlineStr">
        <is>
          <t>VIS-M6-20</t>
        </is>
      </c>
      <c r="D140" s="39" t="str">
        <f>IF(C140="","",IFERROR(INDEX(art_des,MATCH(C140,art_ref,0))&amp;"","Référence inconnue"))</f>
        <v>Vis inox M6 x 20</v>
      </c>
      <c r="E140" s="37" t="n">
        <v>473</v>
      </c>
      <c r="F140" s="39" t="str">
        <f>IF(C140="","",IFERROR(INDEX(art_unit,MATCH(C140,art_ref,0))&amp;"",""))</f>
        <v>pièce</v>
      </c>
      <c r="G140" s="37" t="inlineStr">
        <is>
          <t>BS-2026-0120</t>
        </is>
      </c>
      <c r="H140" s="37" t="inlineStr">
        <is>
          <t>Atelier usinage</t>
        </is>
      </c>
      <c r="I140" s="37" t="n"/>
      <c r="J140" s="40">
        <f>IF(OR(C140="",NOT(ISNUMBER(E140))),"",IFERROR(E140*N(INDEX(art_price,MATCH(C140,art_ref,0))),""))</f>
        <v>56.76</v>
      </c>
      <c r="K140" s="39">
        <f>IF(OR(C140="",NOT(ISNUMBER(E140))),"",IFERROR(ROUND(N(INDEX(art_init,MATCH(C140,art_ref,0)))+SUMIFS($E$5:E140,$C$5:C140,C140,$B$5:B140,"Entrée")-SUMIFS($E$5:E140,$C$5:C140,C140,$B$5:B140,"Sortie"),6),""))</f>
        <v>2243.0</v>
      </c>
      <c r="L140" s="39" t="str">
        <f>IF(COUNTA(A140:C140,E140)=0,"",IF(COUNTA(A140:C140,E140)&lt;4,"Ligne incomplète",IF(NOT(ISNUMBER(A140)),"Date invalide",IF(AND(B140&lt;&gt;"Entrée",B140&lt;&gt;"Sortie"),"Type inconnu",IF(ISNA(MATCH(C140,art_ref,0)),"Référence inconnue",IF(OR(NOT(ISNUMBER(E140)),N(E140)&lt;=0),"Quantité invalide",IF(K140&lt;0,"Stock négatif",IF(AND(ISNUMBER(A139),A140&lt;A139),"Date hors ordre","OK"))))))))</f>
        <v>OK</v>
      </c>
      <c r="M140" s="39" t="str">
        <f>IF(C140="","",C140&amp;"#"&amp;COUNTIF($C$5:C140,C140))</f>
        <v>VIS-M6-20#9</v>
      </c>
    </row>
    <row r="141">
      <c r="A141" s="41" t="n">
        <v>46136</v>
      </c>
      <c r="B141" s="37" t="inlineStr">
        <is>
          <t>Sortie</t>
        </is>
      </c>
      <c r="C141" s="37" t="inlineStr">
        <is>
          <t>RUB-50</t>
        </is>
      </c>
      <c r="D141" s="39" t="str">
        <f>IF(C141="","",IFERROR(INDEX(art_des,MATCH(C141,art_ref,0))&amp;"","Référence inconnue"))</f>
        <v>Ruban adhésif 50 mm x 66 m</v>
      </c>
      <c r="E141" s="37" t="n">
        <v>10</v>
      </c>
      <c r="F141" s="39" t="str">
        <f>IF(C141="","",IFERROR(INDEX(art_unit,MATCH(C141,art_ref,0))&amp;"",""))</f>
        <v>rouleau</v>
      </c>
      <c r="G141" s="37" t="inlineStr">
        <is>
          <t>BS-2026-0121</t>
        </is>
      </c>
      <c r="H141" s="37" t="inlineStr">
        <is>
          <t>Maintenance</t>
        </is>
      </c>
      <c r="I141" s="37" t="n"/>
      <c r="J141" s="40">
        <f>IF(OR(C141="",NOT(ISNUMBER(E141))),"",IFERROR(E141*N(INDEX(art_price,MATCH(C141,art_ref,0))),""))</f>
        <v>14.0</v>
      </c>
      <c r="K141" s="39">
        <f>IF(OR(C141="",NOT(ISNUMBER(E141))),"",IFERROR(ROUND(N(INDEX(art_init,MATCH(C141,art_ref,0)))+SUMIFS($E$5:E141,$C$5:C141,C141,$B$5:B141,"Entrée")-SUMIFS($E$5:E141,$C$5:C141,C141,$B$5:B141,"Sortie"),6),""))</f>
        <v>81.0</v>
      </c>
      <c r="L141" s="39" t="str">
        <f>IF(COUNTA(A141:C141,E141)=0,"",IF(COUNTA(A141:C141,E141)&lt;4,"Ligne incomplète",IF(NOT(ISNUMBER(A141)),"Date invalide",IF(AND(B141&lt;&gt;"Entrée",B141&lt;&gt;"Sortie"),"Type inconnu",IF(ISNA(MATCH(C141,art_ref,0)),"Référence inconnue",IF(OR(NOT(ISNUMBER(E141)),N(E141)&lt;=0),"Quantité invalide",IF(K141&lt;0,"Stock négatif",IF(AND(ISNUMBER(A140),A141&lt;A140),"Date hors ordre","OK"))))))))</f>
        <v>OK</v>
      </c>
      <c r="M141" s="39" t="str">
        <f>IF(C141="","",C141&amp;"#"&amp;COUNTIF($C$5:C141,C141))</f>
        <v>RUB-50#9</v>
      </c>
    </row>
    <row r="142">
      <c r="A142" s="41" t="n">
        <v>46136</v>
      </c>
      <c r="B142" s="37" t="inlineStr">
        <is>
          <t>Sortie</t>
        </is>
      </c>
      <c r="C142" s="37" t="inlineStr">
        <is>
          <t>TUB-ACI-40</t>
        </is>
      </c>
      <c r="D142" s="39" t="str">
        <f>IF(C142="","",IFERROR(INDEX(art_des,MATCH(C142,art_ref,0))&amp;"","Référence inconnue"))</f>
        <v>Tube acier carré 40 x 40, 6 m</v>
      </c>
      <c r="E142" s="37" t="n">
        <v>5</v>
      </c>
      <c r="F142" s="39" t="str">
        <f>IF(C142="","",IFERROR(INDEX(art_unit,MATCH(C142,art_ref,0))&amp;"",""))</f>
        <v>barre</v>
      </c>
      <c r="G142" s="37" t="inlineStr">
        <is>
          <t>BS-2026-0122</t>
        </is>
      </c>
      <c r="H142" s="37" t="inlineStr">
        <is>
          <t>Atelier usinage</t>
        </is>
      </c>
      <c r="I142" s="37" t="n"/>
      <c r="J142" s="40">
        <f>IF(OR(C142="",NOT(ISNUMBER(E142))),"",IFERROR(E142*N(INDEX(art_price,MATCH(C142,art_ref,0))),""))</f>
        <v>156.0</v>
      </c>
      <c r="K142" s="39">
        <f>IF(OR(C142="",NOT(ISNUMBER(E142))),"",IFERROR(ROUND(N(INDEX(art_init,MATCH(C142,art_ref,0)))+SUMIFS($E$5:E142,$C$5:C142,C142,$B$5:B142,"Entrée")-SUMIFS($E$5:E142,$C$5:C142,C142,$B$5:B142,"Sortie"),6),""))</f>
        <v>30.0</v>
      </c>
      <c r="L142" s="39" t="str">
        <f>IF(COUNTA(A142:C142,E142)=0,"",IF(COUNTA(A142:C142,E142)&lt;4,"Ligne incomplète",IF(NOT(ISNUMBER(A142)),"Date invalide",IF(AND(B142&lt;&gt;"Entrée",B142&lt;&gt;"Sortie"),"Type inconnu",IF(ISNA(MATCH(C142,art_ref,0)),"Référence inconnue",IF(OR(NOT(ISNUMBER(E142)),N(E142)&lt;=0),"Quantité invalide",IF(K142&lt;0,"Stock négatif",IF(AND(ISNUMBER(A141),A142&lt;A141),"Date hors ordre","OK"))))))))</f>
        <v>OK</v>
      </c>
      <c r="M142" s="39" t="str">
        <f>IF(C142="","",C142&amp;"#"&amp;COUNTIF($C$5:C142,C142))</f>
        <v>TUB-ACI-40#9</v>
      </c>
    </row>
    <row r="143">
      <c r="A143" s="41" t="n">
        <v>46137</v>
      </c>
      <c r="B143" s="37" t="inlineStr">
        <is>
          <t>Sortie</t>
        </is>
      </c>
      <c r="C143" s="37" t="inlineStr">
        <is>
          <t>CAB-2.5</t>
        </is>
      </c>
      <c r="D143" s="39" t="str">
        <f>IF(C143="","",IFERROR(INDEX(art_des,MATCH(C143,art_ref,0))&amp;"","Référence inconnue"))</f>
        <v>Câble électrique 2,5 mm²</v>
      </c>
      <c r="E143" s="37" t="n">
        <v>32</v>
      </c>
      <c r="F143" s="39" t="str">
        <f>IF(C143="","",IFERROR(INDEX(art_unit,MATCH(C143,art_ref,0))&amp;"",""))</f>
        <v>m</v>
      </c>
      <c r="G143" s="37" t="inlineStr">
        <is>
          <t>BS-2026-0123</t>
        </is>
      </c>
      <c r="H143" s="37" t="inlineStr">
        <is>
          <t>Atelier montage</t>
        </is>
      </c>
      <c r="I143" s="37" t="n"/>
      <c r="J143" s="40">
        <f>IF(OR(C143="",NOT(ISNUMBER(E143))),"",IFERROR(E143*N(INDEX(art_price,MATCH(C143,art_ref,0))),""))</f>
        <v>21.76</v>
      </c>
      <c r="K143" s="39">
        <f>IF(OR(C143="",NOT(ISNUMBER(E143))),"",IFERROR(ROUND(N(INDEX(art_init,MATCH(C143,art_ref,0)))+SUMIFS($E$5:E143,$C$5:C143,C143,$B$5:B143,"Entrée")-SUMIFS($E$5:E143,$C$5:C143,C143,$B$5:B143,"Sortie"),6),""))</f>
        <v>393.0</v>
      </c>
      <c r="L143" s="39" t="str">
        <f>IF(COUNTA(A143:C143,E143)=0,"",IF(COUNTA(A143:C143,E143)&lt;4,"Ligne incomplète",IF(NOT(ISNUMBER(A143)),"Date invalide",IF(AND(B143&lt;&gt;"Entrée",B143&lt;&gt;"Sortie"),"Type inconnu",IF(ISNA(MATCH(C143,art_ref,0)),"Référence inconnue",IF(OR(NOT(ISNUMBER(E143)),N(E143)&lt;=0),"Quantité invalide",IF(K143&lt;0,"Stock négatif",IF(AND(ISNUMBER(A142),A143&lt;A142),"Date hors ordre","OK"))))))))</f>
        <v>OK</v>
      </c>
      <c r="M143" s="39" t="str">
        <f>IF(C143="","",C143&amp;"#"&amp;COUNTIF($C$5:C143,C143))</f>
        <v>CAB-2.5#9</v>
      </c>
    </row>
    <row r="144">
      <c r="A144" s="41" t="n">
        <v>46137</v>
      </c>
      <c r="B144" s="37" t="inlineStr">
        <is>
          <t>Sortie</t>
        </is>
      </c>
      <c r="C144" s="37" t="inlineStr">
        <is>
          <t>CAR-40-30</t>
        </is>
      </c>
      <c r="D144" s="39" t="str">
        <f>IF(C144="","",IFERROR(INDEX(art_des,MATCH(C144,art_ref,0))&amp;"","Référence inconnue"))</f>
        <v>Carton double cannelure 40 x 30 x 20</v>
      </c>
      <c r="E144" s="37" t="n">
        <v>77</v>
      </c>
      <c r="F144" s="39" t="str">
        <f>IF(C144="","",IFERROR(INDEX(art_unit,MATCH(C144,art_ref,0))&amp;"",""))</f>
        <v>pièce</v>
      </c>
      <c r="G144" s="37" t="inlineStr">
        <is>
          <t>BS-2026-0124</t>
        </is>
      </c>
      <c r="H144" s="37" t="inlineStr">
        <is>
          <t>Atelier usinage</t>
        </is>
      </c>
      <c r="I144" s="37" t="n"/>
      <c r="J144" s="40">
        <f>IF(OR(C144="",NOT(ISNUMBER(E144))),"",IFERROR(E144*N(INDEX(art_price,MATCH(C144,art_ref,0))),""))</f>
        <v>73.15</v>
      </c>
      <c r="K144" s="39">
        <f>IF(OR(C144="",NOT(ISNUMBER(E144))),"",IFERROR(ROUND(N(INDEX(art_init,MATCH(C144,art_ref,0)))+SUMIFS($E$5:E144,$C$5:C144,C144,$B$5:B144,"Entrée")-SUMIFS($E$5:E144,$C$5:C144,C144,$B$5:B144,"Sortie"),6),""))</f>
        <v>399.0</v>
      </c>
      <c r="L144" s="39" t="str">
        <f>IF(COUNTA(A144:C144,E144)=0,"",IF(COUNTA(A144:C144,E144)&lt;4,"Ligne incomplète",IF(NOT(ISNUMBER(A144)),"Date invalide",IF(AND(B144&lt;&gt;"Entrée",B144&lt;&gt;"Sortie"),"Type inconnu",IF(ISNA(MATCH(C144,art_ref,0)),"Référence inconnue",IF(OR(NOT(ISNUMBER(E144)),N(E144)&lt;=0),"Quantité invalide",IF(K144&lt;0,"Stock négatif",IF(AND(ISNUMBER(A143),A144&lt;A143),"Date hors ordre","OK"))))))))</f>
        <v>OK</v>
      </c>
      <c r="M144" s="39" t="str">
        <f>IF(C144="","",C144&amp;"#"&amp;COUNTIF($C$5:C144,C144))</f>
        <v>CAR-40-30#9</v>
      </c>
    </row>
    <row r="145">
      <c r="A145" s="41" t="n">
        <v>46137</v>
      </c>
      <c r="B145" s="37" t="inlineStr">
        <is>
          <t>Sortie</t>
        </is>
      </c>
      <c r="C145" s="37" t="inlineStr">
        <is>
          <t>ECR-M6</t>
        </is>
      </c>
      <c r="D145" s="39" t="str">
        <f>IF(C145="","",IFERROR(INDEX(art_des,MATCH(C145,art_ref,0))&amp;"","Référence inconnue"))</f>
        <v>Écrou inox M6</v>
      </c>
      <c r="E145" s="37" t="n">
        <v>473</v>
      </c>
      <c r="F145" s="39" t="str">
        <f>IF(C145="","",IFERROR(INDEX(art_unit,MATCH(C145,art_ref,0))&amp;"",""))</f>
        <v>pièce</v>
      </c>
      <c r="G145" s="37" t="inlineStr">
        <is>
          <t>BS-2026-0125</t>
        </is>
      </c>
      <c r="H145" s="37" t="inlineStr">
        <is>
          <t>Expédition</t>
        </is>
      </c>
      <c r="I145" s="37" t="n"/>
      <c r="J145" s="40">
        <f>IF(OR(C145="",NOT(ISNUMBER(E145))),"",IFERROR(E145*N(INDEX(art_price,MATCH(C145,art_ref,0))),""))</f>
        <v>23.65</v>
      </c>
      <c r="K145" s="39">
        <f>IF(OR(C145="",NOT(ISNUMBER(E145))),"",IFERROR(ROUND(N(INDEX(art_init,MATCH(C145,art_ref,0)))+SUMIFS($E$5:E145,$C$5:C145,C145,$B$5:B145,"Entrée")-SUMIFS($E$5:E145,$C$5:C145,C145,$B$5:B145,"Sortie"),6),""))</f>
        <v>2532.0</v>
      </c>
      <c r="L145" s="39" t="str">
        <f>IF(COUNTA(A145:C145,E145)=0,"",IF(COUNTA(A145:C145,E145)&lt;4,"Ligne incomplète",IF(NOT(ISNUMBER(A145)),"Date invalide",IF(AND(B145&lt;&gt;"Entrée",B145&lt;&gt;"Sortie"),"Type inconnu",IF(ISNA(MATCH(C145,art_ref,0)),"Référence inconnue",IF(OR(NOT(ISNUMBER(E145)),N(E145)&lt;=0),"Quantité invalide",IF(K145&lt;0,"Stock négatif",IF(AND(ISNUMBER(A144),A145&lt;A144),"Date hors ordre","OK"))))))))</f>
        <v>OK</v>
      </c>
      <c r="M145" s="39" t="str">
        <f>IF(C145="","",C145&amp;"#"&amp;COUNTIF($C$5:C145,C145))</f>
        <v>ECR-M6#9</v>
      </c>
    </row>
    <row r="146">
      <c r="A146" s="41" t="n">
        <v>46139</v>
      </c>
      <c r="B146" s="37" t="inlineStr">
        <is>
          <t>Sortie</t>
        </is>
      </c>
      <c r="C146" s="37" t="inlineStr">
        <is>
          <t>JOI-20-2</t>
        </is>
      </c>
      <c r="D146" s="39" t="str">
        <f>IF(C146="","",IFERROR(INDEX(art_des,MATCH(C146,art_ref,0))&amp;"","Référence inconnue"))</f>
        <v>Joint torique 20 x 2 NBR</v>
      </c>
      <c r="E146" s="37" t="n">
        <v>75</v>
      </c>
      <c r="F146" s="39" t="str">
        <f>IF(C146="","",IFERROR(INDEX(art_unit,MATCH(C146,art_ref,0))&amp;"",""))</f>
        <v>pièce</v>
      </c>
      <c r="G146" s="37" t="inlineStr">
        <is>
          <t>BS-2026-0126</t>
        </is>
      </c>
      <c r="H146" s="37" t="inlineStr">
        <is>
          <t>Expédition</t>
        </is>
      </c>
      <c r="I146" s="37" t="n"/>
      <c r="J146" s="40">
        <f>IF(OR(C146="",NOT(ISNUMBER(E146))),"",IFERROR(E146*N(INDEX(art_price,MATCH(C146,art_ref,0))),""))</f>
        <v>26.25</v>
      </c>
      <c r="K146" s="39">
        <f>IF(OR(C146="",NOT(ISNUMBER(E146))),"",IFERROR(ROUND(N(INDEX(art_init,MATCH(C146,art_ref,0)))+SUMIFS($E$5:E146,$C$5:C146,C146,$B$5:B146,"Entrée")-SUMIFS($E$5:E146,$C$5:C146,C146,$B$5:B146,"Sortie"),6),""))</f>
        <v>397.0</v>
      </c>
      <c r="L146" s="39" t="str">
        <f>IF(COUNTA(A146:C146,E146)=0,"",IF(COUNTA(A146:C146,E146)&lt;4,"Ligne incomplète",IF(NOT(ISNUMBER(A146)),"Date invalide",IF(AND(B146&lt;&gt;"Entrée",B146&lt;&gt;"Sortie"),"Type inconnu",IF(ISNA(MATCH(C146,art_ref,0)),"Référence inconnue",IF(OR(NOT(ISNUMBER(E146)),N(E146)&lt;=0),"Quantité invalide",IF(K146&lt;0,"Stock négatif",IF(AND(ISNUMBER(A145),A146&lt;A145),"Date hors ordre","OK"))))))))</f>
        <v>OK</v>
      </c>
      <c r="M146" s="39" t="str">
        <f>IF(C146="","",C146&amp;"#"&amp;COUNTIF($C$5:C146,C146))</f>
        <v>JOI-20-2#9</v>
      </c>
    </row>
    <row r="147">
      <c r="A147" s="41" t="n">
        <v>46139</v>
      </c>
      <c r="B147" s="37" t="inlineStr">
        <is>
          <t>Sortie</t>
        </is>
      </c>
      <c r="C147" s="37" t="inlineStr">
        <is>
          <t>PAL-120</t>
        </is>
      </c>
      <c r="D147" s="39" t="str">
        <f>IF(C147="","",IFERROR(INDEX(art_des,MATCH(C147,art_ref,0))&amp;"","Référence inconnue"))</f>
        <v>Palette bois 120 x 80</v>
      </c>
      <c r="E147" s="37" t="n">
        <v>6</v>
      </c>
      <c r="F147" s="39" t="str">
        <f>IF(C147="","",IFERROR(INDEX(art_unit,MATCH(C147,art_ref,0))&amp;"",""))</f>
        <v>pièce</v>
      </c>
      <c r="G147" s="37" t="inlineStr">
        <is>
          <t>BS-2026-0127</t>
        </is>
      </c>
      <c r="H147" s="37" t="inlineStr">
        <is>
          <t>Atelier soudure</t>
        </is>
      </c>
      <c r="I147" s="37" t="n"/>
      <c r="J147" s="40">
        <f>IF(OR(C147="",NOT(ISNUMBER(E147))),"",IFERROR(E147*N(INDEX(art_price,MATCH(C147,art_ref,0))),""))</f>
        <v>54.0</v>
      </c>
      <c r="K147" s="39">
        <f>IF(OR(C147="",NOT(ISNUMBER(E147))),"",IFERROR(ROUND(N(INDEX(art_init,MATCH(C147,art_ref,0)))+SUMIFS($E$5:E147,$C$5:C147,C147,$B$5:B147,"Entrée")-SUMIFS($E$5:E147,$C$5:C147,C147,$B$5:B147,"Sortie"),6),""))</f>
        <v>28.0</v>
      </c>
      <c r="L147" s="39" t="str">
        <f>IF(COUNTA(A147:C147,E147)=0,"",IF(COUNTA(A147:C147,E147)&lt;4,"Ligne incomplète",IF(NOT(ISNUMBER(A147)),"Date invalide",IF(AND(B147&lt;&gt;"Entrée",B147&lt;&gt;"Sortie"),"Type inconnu",IF(ISNA(MATCH(C147,art_ref,0)),"Référence inconnue",IF(OR(NOT(ISNUMBER(E147)),N(E147)&lt;=0),"Quantité invalide",IF(K147&lt;0,"Stock négatif",IF(AND(ISNUMBER(A146),A147&lt;A146),"Date hors ordre","OK"))))))))</f>
        <v>OK</v>
      </c>
      <c r="M147" s="39" t="str">
        <f>IF(C147="","",C147&amp;"#"&amp;COUNTIF($C$5:C147,C147))</f>
        <v>PAL-120#9</v>
      </c>
    </row>
    <row r="148">
      <c r="A148" s="41" t="n">
        <v>46139</v>
      </c>
      <c r="B148" s="37" t="inlineStr">
        <is>
          <t>Sortie</t>
        </is>
      </c>
      <c r="C148" s="37" t="inlineStr">
        <is>
          <t>ROU-6204</t>
        </is>
      </c>
      <c r="D148" s="39" t="str">
        <f>IF(C148="","",IFERROR(INDEX(art_des,MATCH(C148,art_ref,0))&amp;"","Référence inconnue"))</f>
        <v>Roulement à billes 6204 2RS</v>
      </c>
      <c r="E148" s="37" t="n">
        <v>21</v>
      </c>
      <c r="F148" s="39" t="str">
        <f>IF(C148="","",IFERROR(INDEX(art_unit,MATCH(C148,art_ref,0))&amp;"",""))</f>
        <v>pièce</v>
      </c>
      <c r="G148" s="37" t="inlineStr">
        <is>
          <t>BS-2026-0128</t>
        </is>
      </c>
      <c r="H148" s="37" t="inlineStr">
        <is>
          <t>Atelier usinage</t>
        </is>
      </c>
      <c r="I148" s="37" t="n"/>
      <c r="J148" s="40">
        <f>IF(OR(C148="",NOT(ISNUMBER(E148))),"",IFERROR(E148*N(INDEX(art_price,MATCH(C148,art_ref,0))),""))</f>
        <v>79.8</v>
      </c>
      <c r="K148" s="39">
        <f>IF(OR(C148="",NOT(ISNUMBER(E148))),"",IFERROR(ROUND(N(INDEX(art_init,MATCH(C148,art_ref,0)))+SUMIFS($E$5:E148,$C$5:C148,C148,$B$5:B148,"Entrée")-SUMIFS($E$5:E148,$C$5:C148,C148,$B$5:B148,"Sortie"),6),""))</f>
        <v>93.0</v>
      </c>
      <c r="L148" s="39" t="str">
        <f>IF(COUNTA(A148:C148,E148)=0,"",IF(COUNTA(A148:C148,E148)&lt;4,"Ligne incomplète",IF(NOT(ISNUMBER(A148)),"Date invalide",IF(AND(B148&lt;&gt;"Entrée",B148&lt;&gt;"Sortie"),"Type inconnu",IF(ISNA(MATCH(C148,art_ref,0)),"Référence inconnue",IF(OR(NOT(ISNUMBER(E148)),N(E148)&lt;=0),"Quantité invalide",IF(K148&lt;0,"Stock négatif",IF(AND(ISNUMBER(A147),A148&lt;A147),"Date hors ordre","OK"))))))))</f>
        <v>OK</v>
      </c>
      <c r="M148" s="39" t="str">
        <f>IF(C148="","",C148&amp;"#"&amp;COUNTIF($C$5:C148,C148))</f>
        <v>ROU-6204#9</v>
      </c>
    </row>
    <row r="149">
      <c r="A149" s="41" t="n">
        <v>46144</v>
      </c>
      <c r="B149" s="37" t="inlineStr">
        <is>
          <t>Sortie</t>
        </is>
      </c>
      <c r="C149" s="37" t="inlineStr">
        <is>
          <t>HUI-COUP-5</t>
        </is>
      </c>
      <c r="D149" s="39" t="str">
        <f>IF(C149="","",IFERROR(INDEX(art_des,MATCH(C149,art_ref,0))&amp;"","Référence inconnue"))</f>
        <v>Huile de coupe soluble 5 L</v>
      </c>
      <c r="E149" s="37" t="n">
        <v>2</v>
      </c>
      <c r="F149" s="39" t="str">
        <f>IF(C149="","",IFERROR(INDEX(art_unit,MATCH(C149,art_ref,0))&amp;"",""))</f>
        <v>bidon</v>
      </c>
      <c r="G149" s="37" t="inlineStr">
        <is>
          <t>BS-2026-0129</t>
        </is>
      </c>
      <c r="H149" s="37" t="inlineStr">
        <is>
          <t>Maintenance</t>
        </is>
      </c>
      <c r="I149" s="37" t="n"/>
      <c r="J149" s="40">
        <f>IF(OR(C149="",NOT(ISNUMBER(E149))),"",IFERROR(E149*N(INDEX(art_price,MATCH(C149,art_ref,0))),""))</f>
        <v>54.0</v>
      </c>
      <c r="K149" s="39">
        <f>IF(OR(C149="",NOT(ISNUMBER(E149))),"",IFERROR(ROUND(N(INDEX(art_init,MATCH(C149,art_ref,0)))+SUMIFS($E$5:E149,$C$5:C149,C149,$B$5:B149,"Entrée")-SUMIFS($E$5:E149,$C$5:C149,C149,$B$5:B149,"Sortie"),6),""))</f>
        <v>12.0</v>
      </c>
      <c r="L149" s="39" t="str">
        <f>IF(COUNTA(A149:C149,E149)=0,"",IF(COUNTA(A149:C149,E149)&lt;4,"Ligne incomplète",IF(NOT(ISNUMBER(A149)),"Date invalide",IF(AND(B149&lt;&gt;"Entrée",B149&lt;&gt;"Sortie"),"Type inconnu",IF(ISNA(MATCH(C149,art_ref,0)),"Référence inconnue",IF(OR(NOT(ISNUMBER(E149)),N(E149)&lt;=0),"Quantité invalide",IF(K149&lt;0,"Stock négatif",IF(AND(ISNUMBER(A148),A149&lt;A148),"Date hors ordre","OK"))))))))</f>
        <v>OK</v>
      </c>
      <c r="M149" s="39" t="str">
        <f>IF(C149="","",C149&amp;"#"&amp;COUNTIF($C$5:C149,C149))</f>
        <v>HUI-COUP-5#10</v>
      </c>
    </row>
    <row r="150">
      <c r="A150" s="41" t="n">
        <v>46144</v>
      </c>
      <c r="B150" s="37" t="inlineStr">
        <is>
          <t>Sortie</t>
        </is>
      </c>
      <c r="C150" s="37" t="inlineStr">
        <is>
          <t>PAL-120</t>
        </is>
      </c>
      <c r="D150" s="39" t="str">
        <f>IF(C150="","",IFERROR(INDEX(art_des,MATCH(C150,art_ref,0))&amp;"","Référence inconnue"))</f>
        <v>Palette bois 120 x 80</v>
      </c>
      <c r="E150" s="37" t="n">
        <v>5</v>
      </c>
      <c r="F150" s="39" t="str">
        <f>IF(C150="","",IFERROR(INDEX(art_unit,MATCH(C150,art_ref,0))&amp;"",""))</f>
        <v>pièce</v>
      </c>
      <c r="G150" s="37" t="inlineStr">
        <is>
          <t>BS-2026-0130</t>
        </is>
      </c>
      <c r="H150" s="37" t="inlineStr">
        <is>
          <t>Atelier usinage</t>
        </is>
      </c>
      <c r="I150" s="37" t="n"/>
      <c r="J150" s="40">
        <f>IF(OR(C150="",NOT(ISNUMBER(E150))),"",IFERROR(E150*N(INDEX(art_price,MATCH(C150,art_ref,0))),""))</f>
        <v>45.0</v>
      </c>
      <c r="K150" s="39">
        <f>IF(OR(C150="",NOT(ISNUMBER(E150))),"",IFERROR(ROUND(N(INDEX(art_init,MATCH(C150,art_ref,0)))+SUMIFS($E$5:E150,$C$5:C150,C150,$B$5:B150,"Entrée")-SUMIFS($E$5:E150,$C$5:C150,C150,$B$5:B150,"Sortie"),6),""))</f>
        <v>23.0</v>
      </c>
      <c r="L150" s="39" t="str">
        <f>IF(COUNTA(A150:C150,E150)=0,"",IF(COUNTA(A150:C150,E150)&lt;4,"Ligne incomplète",IF(NOT(ISNUMBER(A150)),"Date invalide",IF(AND(B150&lt;&gt;"Entrée",B150&lt;&gt;"Sortie"),"Type inconnu",IF(ISNA(MATCH(C150,art_ref,0)),"Référence inconnue",IF(OR(NOT(ISNUMBER(E150)),N(E150)&lt;=0),"Quantité invalide",IF(K150&lt;0,"Stock négatif",IF(AND(ISNUMBER(A149),A150&lt;A149),"Date hors ordre","OK"))))))))</f>
        <v>OK</v>
      </c>
      <c r="M150" s="39" t="str">
        <f>IF(C150="","",C150&amp;"#"&amp;COUNTIF($C$5:C150,C150))</f>
        <v>PAL-120#10</v>
      </c>
    </row>
    <row r="151">
      <c r="A151" s="41" t="n">
        <v>46144</v>
      </c>
      <c r="B151" s="37" t="inlineStr">
        <is>
          <t>Sortie</t>
        </is>
      </c>
      <c r="C151" s="37" t="inlineStr">
        <is>
          <t>TOL-ACI-2</t>
        </is>
      </c>
      <c r="D151" s="39" t="str">
        <f>IF(C151="","",IFERROR(INDEX(art_des,MATCH(C151,art_ref,0))&amp;"","Référence inconnue"))</f>
        <v>Tôle acier 2 mm 1000 x 2000</v>
      </c>
      <c r="E151" s="37" t="n">
        <v>7</v>
      </c>
      <c r="F151" s="39" t="str">
        <f>IF(C151="","",IFERROR(INDEX(art_unit,MATCH(C151,art_ref,0))&amp;"",""))</f>
        <v>feuille</v>
      </c>
      <c r="G151" s="37" t="inlineStr">
        <is>
          <t>BS-2026-0131</t>
        </is>
      </c>
      <c r="H151" s="37" t="inlineStr">
        <is>
          <t>Atelier montage</t>
        </is>
      </c>
      <c r="I151" s="37" t="n"/>
      <c r="J151" s="40">
        <f>IF(OR(C151="",NOT(ISNUMBER(E151))),"",IFERROR(E151*N(INDEX(art_price,MATCH(C151,art_ref,0))),""))</f>
        <v>339.5</v>
      </c>
      <c r="K151" s="39">
        <f>IF(OR(C151="",NOT(ISNUMBER(E151))),"",IFERROR(ROUND(N(INDEX(art_init,MATCH(C151,art_ref,0)))+SUMIFS($E$5:E151,$C$5:C151,C151,$B$5:B151,"Entrée")-SUMIFS($E$5:E151,$C$5:C151,C151,$B$5:B151,"Sortie"),6),""))</f>
        <v>21.0</v>
      </c>
      <c r="L151" s="39" t="str">
        <f>IF(COUNTA(A151:C151,E151)=0,"",IF(COUNTA(A151:C151,E151)&lt;4,"Ligne incomplète",IF(NOT(ISNUMBER(A151)),"Date invalide",IF(AND(B151&lt;&gt;"Entrée",B151&lt;&gt;"Sortie"),"Type inconnu",IF(ISNA(MATCH(C151,art_ref,0)),"Référence inconnue",IF(OR(NOT(ISNUMBER(E151)),N(E151)&lt;=0),"Quantité invalide",IF(K151&lt;0,"Stock négatif",IF(AND(ISNUMBER(A150),A151&lt;A150),"Date hors ordre","OK"))))))))</f>
        <v>OK</v>
      </c>
      <c r="M151" s="39" t="str">
        <f>IF(C151="","",C151&amp;"#"&amp;COUNTIF($C$5:C151,C151))</f>
        <v>TOL-ACI-2#10</v>
      </c>
    </row>
    <row r="152">
      <c r="A152" s="41" t="n">
        <v>46145</v>
      </c>
      <c r="B152" s="37" t="inlineStr">
        <is>
          <t>Sortie</t>
        </is>
      </c>
      <c r="C152" s="37" t="inlineStr">
        <is>
          <t>GAN-NIT</t>
        </is>
      </c>
      <c r="D152" s="39" t="str">
        <f>IF(C152="","",IFERROR(INDEX(art_des,MATCH(C152,art_ref,0))&amp;"","Référence inconnue"))</f>
        <v>Gants nitrile, boîte de 100</v>
      </c>
      <c r="E152" s="37" t="n">
        <v>4</v>
      </c>
      <c r="F152" s="39" t="str">
        <f>IF(C152="","",IFERROR(INDEX(art_unit,MATCH(C152,art_ref,0))&amp;"",""))</f>
        <v>boîte</v>
      </c>
      <c r="G152" s="37" t="inlineStr">
        <is>
          <t>BS-2026-0132</t>
        </is>
      </c>
      <c r="H152" s="37" t="inlineStr">
        <is>
          <t>Expédition</t>
        </is>
      </c>
      <c r="I152" s="37" t="n"/>
      <c r="J152" s="40">
        <f>IF(OR(C152="",NOT(ISNUMBER(E152))),"",IFERROR(E152*N(INDEX(art_price,MATCH(C152,art_ref,0))),""))</f>
        <v>30.0</v>
      </c>
      <c r="K152" s="39">
        <f>IF(OR(C152="",NOT(ISNUMBER(E152))),"",IFERROR(ROUND(N(INDEX(art_init,MATCH(C152,art_ref,0)))+SUMIFS($E$5:E152,$C$5:C152,C152,$B$5:B152,"Entrée")-SUMIFS($E$5:E152,$C$5:C152,C152,$B$5:B152,"Sortie"),6),""))</f>
        <v>16.0</v>
      </c>
      <c r="L152" s="39" t="str">
        <f>IF(COUNTA(A152:C152,E152)=0,"",IF(COUNTA(A152:C152,E152)&lt;4,"Ligne incomplète",IF(NOT(ISNUMBER(A152)),"Date invalide",IF(AND(B152&lt;&gt;"Entrée",B152&lt;&gt;"Sortie"),"Type inconnu",IF(ISNA(MATCH(C152,art_ref,0)),"Référence inconnue",IF(OR(NOT(ISNUMBER(E152)),N(E152)&lt;=0),"Quantité invalide",IF(K152&lt;0,"Stock négatif",IF(AND(ISNUMBER(A151),A152&lt;A151),"Date hors ordre","OK"))))))))</f>
        <v>OK</v>
      </c>
      <c r="M152" s="39" t="str">
        <f>IF(C152="","",C152&amp;"#"&amp;COUNTIF($C$5:C152,C152))</f>
        <v>GAN-NIT#10</v>
      </c>
    </row>
    <row r="153">
      <c r="A153" s="41" t="n">
        <v>46145</v>
      </c>
      <c r="B153" s="37" t="inlineStr">
        <is>
          <t>Sortie</t>
        </is>
      </c>
      <c r="C153" s="37" t="inlineStr">
        <is>
          <t>RON-M6</t>
        </is>
      </c>
      <c r="D153" s="39" t="str">
        <f>IF(C153="","",IFERROR(INDEX(art_des,MATCH(C153,art_ref,0))&amp;"","Référence inconnue"))</f>
        <v>Rondelle plate M6</v>
      </c>
      <c r="E153" s="37" t="n">
        <v>305</v>
      </c>
      <c r="F153" s="39" t="str">
        <f>IF(C153="","",IFERROR(INDEX(art_unit,MATCH(C153,art_ref,0))&amp;"",""))</f>
        <v>pièce</v>
      </c>
      <c r="G153" s="37" t="inlineStr">
        <is>
          <t>BS-2026-0133</t>
        </is>
      </c>
      <c r="H153" s="37" t="inlineStr">
        <is>
          <t>Atelier montage</t>
        </is>
      </c>
      <c r="I153" s="37" t="n"/>
      <c r="J153" s="40">
        <f>IF(OR(C153="",NOT(ISNUMBER(E153))),"",IFERROR(E153*N(INDEX(art_price,MATCH(C153,art_ref,0))),""))</f>
        <v>9.15</v>
      </c>
      <c r="K153" s="39">
        <f>IF(OR(C153="",NOT(ISNUMBER(E153))),"",IFERROR(ROUND(N(INDEX(art_init,MATCH(C153,art_ref,0)))+SUMIFS($E$5:E153,$C$5:C153,C153,$B$5:B153,"Entrée")-SUMIFS($E$5:E153,$C$5:C153,C153,$B$5:B153,"Sortie"),6),""))</f>
        <v>1284.0</v>
      </c>
      <c r="L153" s="39" t="str">
        <f>IF(COUNTA(A153:C153,E153)=0,"",IF(COUNTA(A153:C153,E153)&lt;4,"Ligne incomplète",IF(NOT(ISNUMBER(A153)),"Date invalide",IF(AND(B153&lt;&gt;"Entrée",B153&lt;&gt;"Sortie"),"Type inconnu",IF(ISNA(MATCH(C153,art_ref,0)),"Référence inconnue",IF(OR(NOT(ISNUMBER(E153)),N(E153)&lt;=0),"Quantité invalide",IF(K153&lt;0,"Stock négatif",IF(AND(ISNUMBER(A152),A153&lt;A152),"Date hors ordre","OK"))))))))</f>
        <v>OK</v>
      </c>
      <c r="M153" s="39" t="str">
        <f>IF(C153="","",C153&amp;"#"&amp;COUNTIF($C$5:C153,C153))</f>
        <v>RON-M6#10</v>
      </c>
    </row>
    <row r="154">
      <c r="A154" s="41" t="n">
        <v>46145</v>
      </c>
      <c r="B154" s="37" t="inlineStr">
        <is>
          <t>Sortie</t>
        </is>
      </c>
      <c r="C154" s="37" t="inlineStr">
        <is>
          <t>RUB-50</t>
        </is>
      </c>
      <c r="D154" s="39" t="str">
        <f>IF(C154="","",IFERROR(INDEX(art_des,MATCH(C154,art_ref,0))&amp;"","Référence inconnue"))</f>
        <v>Ruban adhésif 50 mm x 66 m</v>
      </c>
      <c r="E154" s="37" t="n">
        <v>17</v>
      </c>
      <c r="F154" s="39" t="str">
        <f>IF(C154="","",IFERROR(INDEX(art_unit,MATCH(C154,art_ref,0))&amp;"",""))</f>
        <v>rouleau</v>
      </c>
      <c r="G154" s="37" t="inlineStr">
        <is>
          <t>BS-2026-0134</t>
        </is>
      </c>
      <c r="H154" s="37" t="inlineStr">
        <is>
          <t>Atelier usinage</t>
        </is>
      </c>
      <c r="I154" s="37" t="n"/>
      <c r="J154" s="40">
        <f>IF(OR(C154="",NOT(ISNUMBER(E154))),"",IFERROR(E154*N(INDEX(art_price,MATCH(C154,art_ref,0))),""))</f>
        <v>23.8</v>
      </c>
      <c r="K154" s="39">
        <f>IF(OR(C154="",NOT(ISNUMBER(E154))),"",IFERROR(ROUND(N(INDEX(art_init,MATCH(C154,art_ref,0)))+SUMIFS($E$5:E154,$C$5:C154,C154,$B$5:B154,"Entrée")-SUMIFS($E$5:E154,$C$5:C154,C154,$B$5:B154,"Sortie"),6),""))</f>
        <v>64.0</v>
      </c>
      <c r="L154" s="39" t="str">
        <f>IF(COUNTA(A154:C154,E154)=0,"",IF(COUNTA(A154:C154,E154)&lt;4,"Ligne incomplète",IF(NOT(ISNUMBER(A154)),"Date invalide",IF(AND(B154&lt;&gt;"Entrée",B154&lt;&gt;"Sortie"),"Type inconnu",IF(ISNA(MATCH(C154,art_ref,0)),"Référence inconnue",IF(OR(NOT(ISNUMBER(E154)),N(E154)&lt;=0),"Quantité invalide",IF(K154&lt;0,"Stock négatif",IF(AND(ISNUMBER(A153),A154&lt;A153),"Date hors ordre","OK"))))))))</f>
        <v>OK</v>
      </c>
      <c r="M154" s="39" t="str">
        <f>IF(C154="","",C154&amp;"#"&amp;COUNTIF($C$5:C154,C154))</f>
        <v>RUB-50#10</v>
      </c>
    </row>
    <row r="155">
      <c r="A155" s="41" t="n">
        <v>46148</v>
      </c>
      <c r="B155" s="37" t="inlineStr">
        <is>
          <t>Sortie</t>
        </is>
      </c>
      <c r="C155" s="37" t="inlineStr">
        <is>
          <t>BOR-WAGO-3</t>
        </is>
      </c>
      <c r="D155" s="39" t="str">
        <f>IF(C155="","",IFERROR(INDEX(art_des,MATCH(C155,art_ref,0))&amp;"","Référence inconnue"))</f>
        <v>Borne de connexion 3 entrées</v>
      </c>
      <c r="E155" s="37" t="n">
        <v>21</v>
      </c>
      <c r="F155" s="39" t="str">
        <f>IF(C155="","",IFERROR(INDEX(art_unit,MATCH(C155,art_ref,0))&amp;"",""))</f>
        <v>pièce</v>
      </c>
      <c r="G155" s="37" t="inlineStr">
        <is>
          <t>BS-2026-0135</t>
        </is>
      </c>
      <c r="H155" s="37" t="inlineStr">
        <is>
          <t>Maintenance</t>
        </is>
      </c>
      <c r="I155" s="37" t="n"/>
      <c r="J155" s="40">
        <f>IF(OR(C155="",NOT(ISNUMBER(E155))),"",IFERROR(E155*N(INDEX(art_price,MATCH(C155,art_ref,0))),""))</f>
        <v>8.82</v>
      </c>
      <c r="K155" s="39">
        <f>IF(OR(C155="",NOT(ISNUMBER(E155))),"",IFERROR(ROUND(N(INDEX(art_init,MATCH(C155,art_ref,0)))+SUMIFS($E$5:E155,$C$5:C155,C155,$B$5:B155,"Entrée")-SUMIFS($E$5:E155,$C$5:C155,C155,$B$5:B155,"Sortie"),6),""))</f>
        <v>190.0</v>
      </c>
      <c r="L155" s="39" t="str">
        <f>IF(COUNTA(A155:C155,E155)=0,"",IF(COUNTA(A155:C155,E155)&lt;4,"Ligne incomplète",IF(NOT(ISNUMBER(A155)),"Date invalide",IF(AND(B155&lt;&gt;"Entrée",B155&lt;&gt;"Sortie"),"Type inconnu",IF(ISNA(MATCH(C155,art_ref,0)),"Référence inconnue",IF(OR(NOT(ISNUMBER(E155)),N(E155)&lt;=0),"Quantité invalide",IF(K155&lt;0,"Stock négatif",IF(AND(ISNUMBER(A154),A155&lt;A154),"Date hors ordre","OK"))))))))</f>
        <v>OK</v>
      </c>
      <c r="M155" s="39" t="str">
        <f>IF(C155="","",C155&amp;"#"&amp;COUNTIF($C$5:C155,C155))</f>
        <v>BOR-WAGO-3#10</v>
      </c>
    </row>
    <row r="156">
      <c r="A156" s="41" t="n">
        <v>46149</v>
      </c>
      <c r="B156" s="37" t="inlineStr">
        <is>
          <t>Sortie</t>
        </is>
      </c>
      <c r="C156" s="37" t="inlineStr">
        <is>
          <t>JOI-20-2</t>
        </is>
      </c>
      <c r="D156" s="39" t="str">
        <f>IF(C156="","",IFERROR(INDEX(art_des,MATCH(C156,art_ref,0))&amp;"","Référence inconnue"))</f>
        <v>Joint torique 20 x 2 NBR</v>
      </c>
      <c r="E156" s="37" t="n">
        <v>56</v>
      </c>
      <c r="F156" s="39" t="str">
        <f>IF(C156="","",IFERROR(INDEX(art_unit,MATCH(C156,art_ref,0))&amp;"",""))</f>
        <v>pièce</v>
      </c>
      <c r="G156" s="37" t="inlineStr">
        <is>
          <t>BS-2026-0136</t>
        </is>
      </c>
      <c r="H156" s="37" t="inlineStr">
        <is>
          <t>Expédition</t>
        </is>
      </c>
      <c r="I156" s="37" t="n"/>
      <c r="J156" s="40">
        <f>IF(OR(C156="",NOT(ISNUMBER(E156))),"",IFERROR(E156*N(INDEX(art_price,MATCH(C156,art_ref,0))),""))</f>
        <v>19.6</v>
      </c>
      <c r="K156" s="39">
        <f>IF(OR(C156="",NOT(ISNUMBER(E156))),"",IFERROR(ROUND(N(INDEX(art_init,MATCH(C156,art_ref,0)))+SUMIFS($E$5:E156,$C$5:C156,C156,$B$5:B156,"Entrée")-SUMIFS($E$5:E156,$C$5:C156,C156,$B$5:B156,"Sortie"),6),""))</f>
        <v>341.0</v>
      </c>
      <c r="L156" s="39" t="str">
        <f>IF(COUNTA(A156:C156,E156)=0,"",IF(COUNTA(A156:C156,E156)&lt;4,"Ligne incomplète",IF(NOT(ISNUMBER(A156)),"Date invalide",IF(AND(B156&lt;&gt;"Entrée",B156&lt;&gt;"Sortie"),"Type inconnu",IF(ISNA(MATCH(C156,art_ref,0)),"Référence inconnue",IF(OR(NOT(ISNUMBER(E156)),N(E156)&lt;=0),"Quantité invalide",IF(K156&lt;0,"Stock négatif",IF(AND(ISNUMBER(A155),A156&lt;A155),"Date hors ordre","OK"))))))))</f>
        <v>OK</v>
      </c>
      <c r="M156" s="39" t="str">
        <f>IF(C156="","",C156&amp;"#"&amp;COUNTIF($C$5:C156,C156))</f>
        <v>JOI-20-2#10</v>
      </c>
    </row>
    <row r="157">
      <c r="A157" s="41" t="n">
        <v>46150</v>
      </c>
      <c r="B157" s="37" t="inlineStr">
        <is>
          <t>Sortie</t>
        </is>
      </c>
      <c r="C157" s="37" t="inlineStr">
        <is>
          <t>DIS-125</t>
        </is>
      </c>
      <c r="D157" s="39" t="str">
        <f>IF(C157="","",IFERROR(INDEX(art_des,MATCH(C157,art_ref,0))&amp;"","Référence inconnue"))</f>
        <v>Disque à tronçonner 125 mm</v>
      </c>
      <c r="E157" s="37" t="n">
        <v>28</v>
      </c>
      <c r="F157" s="39" t="str">
        <f>IF(C157="","",IFERROR(INDEX(art_unit,MATCH(C157,art_ref,0))&amp;"",""))</f>
        <v>pièce</v>
      </c>
      <c r="G157" s="37" t="inlineStr">
        <is>
          <t>BS-2026-0137</t>
        </is>
      </c>
      <c r="H157" s="37" t="inlineStr">
        <is>
          <t>Expédition</t>
        </is>
      </c>
      <c r="I157" s="37" t="n"/>
      <c r="J157" s="40">
        <f>IF(OR(C157="",NOT(ISNUMBER(E157))),"",IFERROR(E157*N(INDEX(art_price,MATCH(C157,art_ref,0))),""))</f>
        <v>53.2</v>
      </c>
      <c r="K157" s="39">
        <f>IF(OR(C157="",NOT(ISNUMBER(E157))),"",IFERROR(ROUND(N(INDEX(art_init,MATCH(C157,art_ref,0)))+SUMIFS($E$5:E157,$C$5:C157,C157,$B$5:B157,"Entrée")-SUMIFS($E$5:E157,$C$5:C157,C157,$B$5:B157,"Sortie"),6),""))</f>
        <v>108.0</v>
      </c>
      <c r="L157" s="39" t="str">
        <f>IF(COUNTA(A157:C157,E157)=0,"",IF(COUNTA(A157:C157,E157)&lt;4,"Ligne incomplète",IF(NOT(ISNUMBER(A157)),"Date invalide",IF(AND(B157&lt;&gt;"Entrée",B157&lt;&gt;"Sortie"),"Type inconnu",IF(ISNA(MATCH(C157,art_ref,0)),"Référence inconnue",IF(OR(NOT(ISNUMBER(E157)),N(E157)&lt;=0),"Quantité invalide",IF(K157&lt;0,"Stock négatif",IF(AND(ISNUMBER(A156),A157&lt;A156),"Date hors ordre","OK"))))))))</f>
        <v>OK</v>
      </c>
      <c r="M157" s="39" t="str">
        <f>IF(C157="","",C157&amp;"#"&amp;COUNTIF($C$5:C157,C157))</f>
        <v>DIS-125#10</v>
      </c>
    </row>
    <row r="158">
      <c r="A158" s="41" t="n">
        <v>46151</v>
      </c>
      <c r="B158" s="37" t="inlineStr">
        <is>
          <t>Sortie</t>
        </is>
      </c>
      <c r="C158" s="37" t="inlineStr">
        <is>
          <t>CAB-2.5</t>
        </is>
      </c>
      <c r="D158" s="39" t="str">
        <f>IF(C158="","",IFERROR(INDEX(art_des,MATCH(C158,art_ref,0))&amp;"","Référence inconnue"))</f>
        <v>Câble électrique 2,5 mm²</v>
      </c>
      <c r="E158" s="37" t="n">
        <v>42</v>
      </c>
      <c r="F158" s="39" t="str">
        <f>IF(C158="","",IFERROR(INDEX(art_unit,MATCH(C158,art_ref,0))&amp;"",""))</f>
        <v>m</v>
      </c>
      <c r="G158" s="37" t="inlineStr">
        <is>
          <t>BS-2026-0138</t>
        </is>
      </c>
      <c r="H158" s="37" t="inlineStr">
        <is>
          <t>Atelier soudure</t>
        </is>
      </c>
      <c r="I158" s="37" t="n"/>
      <c r="J158" s="40">
        <f>IF(OR(C158="",NOT(ISNUMBER(E158))),"",IFERROR(E158*N(INDEX(art_price,MATCH(C158,art_ref,0))),""))</f>
        <v>28.56</v>
      </c>
      <c r="K158" s="39">
        <f>IF(OR(C158="",NOT(ISNUMBER(E158))),"",IFERROR(ROUND(N(INDEX(art_init,MATCH(C158,art_ref,0)))+SUMIFS($E$5:E158,$C$5:C158,C158,$B$5:B158,"Entrée")-SUMIFS($E$5:E158,$C$5:C158,C158,$B$5:B158,"Sortie"),6),""))</f>
        <v>351.0</v>
      </c>
      <c r="L158" s="39" t="str">
        <f>IF(COUNTA(A158:C158,E158)=0,"",IF(COUNTA(A158:C158,E158)&lt;4,"Ligne incomplète",IF(NOT(ISNUMBER(A158)),"Date invalide",IF(AND(B158&lt;&gt;"Entrée",B158&lt;&gt;"Sortie"),"Type inconnu",IF(ISNA(MATCH(C158,art_ref,0)),"Référence inconnue",IF(OR(NOT(ISNUMBER(E158)),N(E158)&lt;=0),"Quantité invalide",IF(K158&lt;0,"Stock négatif",IF(AND(ISNUMBER(A157),A158&lt;A157),"Date hors ordre","OK"))))))))</f>
        <v>OK</v>
      </c>
      <c r="M158" s="39" t="str">
        <f>IF(C158="","",C158&amp;"#"&amp;COUNTIF($C$5:C158,C158))</f>
        <v>CAB-2.5#10</v>
      </c>
    </row>
    <row r="159">
      <c r="A159" s="41" t="n">
        <v>46151</v>
      </c>
      <c r="B159" s="37" t="inlineStr">
        <is>
          <t>Sortie</t>
        </is>
      </c>
      <c r="C159" s="37" t="inlineStr">
        <is>
          <t>ECR-M6</t>
        </is>
      </c>
      <c r="D159" s="39" t="str">
        <f>IF(C159="","",IFERROR(INDEX(art_des,MATCH(C159,art_ref,0))&amp;"","Référence inconnue"))</f>
        <v>Écrou inox M6</v>
      </c>
      <c r="E159" s="37" t="n">
        <v>375</v>
      </c>
      <c r="F159" s="39" t="str">
        <f>IF(C159="","",IFERROR(INDEX(art_unit,MATCH(C159,art_ref,0))&amp;"",""))</f>
        <v>pièce</v>
      </c>
      <c r="G159" s="37" t="inlineStr">
        <is>
          <t>BS-2026-0139</t>
        </is>
      </c>
      <c r="H159" s="37" t="inlineStr">
        <is>
          <t>Atelier soudure</t>
        </is>
      </c>
      <c r="I159" s="37" t="n"/>
      <c r="J159" s="40">
        <f>IF(OR(C159="",NOT(ISNUMBER(E159))),"",IFERROR(E159*N(INDEX(art_price,MATCH(C159,art_ref,0))),""))</f>
        <v>18.75</v>
      </c>
      <c r="K159" s="39">
        <f>IF(OR(C159="",NOT(ISNUMBER(E159))),"",IFERROR(ROUND(N(INDEX(art_init,MATCH(C159,art_ref,0)))+SUMIFS($E$5:E159,$C$5:C159,C159,$B$5:B159,"Entrée")-SUMIFS($E$5:E159,$C$5:C159,C159,$B$5:B159,"Sortie"),6),""))</f>
        <v>2157.0</v>
      </c>
      <c r="L159" s="39" t="str">
        <f>IF(COUNTA(A159:C159,E159)=0,"",IF(COUNTA(A159:C159,E159)&lt;4,"Ligne incomplète",IF(NOT(ISNUMBER(A159)),"Date invalide",IF(AND(B159&lt;&gt;"Entrée",B159&lt;&gt;"Sortie"),"Type inconnu",IF(ISNA(MATCH(C159,art_ref,0)),"Référence inconnue",IF(OR(NOT(ISNUMBER(E159)),N(E159)&lt;=0),"Quantité invalide",IF(K159&lt;0,"Stock négatif",IF(AND(ISNUMBER(A158),A159&lt;A158),"Date hors ordre","OK"))))))))</f>
        <v>OK</v>
      </c>
      <c r="M159" s="39" t="str">
        <f>IF(C159="","",C159&amp;"#"&amp;COUNTIF($C$5:C159,C159))</f>
        <v>ECR-M6#10</v>
      </c>
    </row>
    <row r="160">
      <c r="A160" s="41" t="n">
        <v>46151</v>
      </c>
      <c r="B160" s="37" t="inlineStr">
        <is>
          <t>Sortie</t>
        </is>
      </c>
      <c r="C160" s="37" t="inlineStr">
        <is>
          <t>VIS-M6-20</t>
        </is>
      </c>
      <c r="D160" s="39" t="str">
        <f>IF(C160="","",IFERROR(INDEX(art_des,MATCH(C160,art_ref,0))&amp;"","Référence inconnue"))</f>
        <v>Vis inox M6 x 20</v>
      </c>
      <c r="E160" s="37" t="n">
        <v>499</v>
      </c>
      <c r="F160" s="39" t="str">
        <f>IF(C160="","",IFERROR(INDEX(art_unit,MATCH(C160,art_ref,0))&amp;"",""))</f>
        <v>pièce</v>
      </c>
      <c r="G160" s="37" t="inlineStr">
        <is>
          <t>BS-2026-0140</t>
        </is>
      </c>
      <c r="H160" s="37" t="inlineStr">
        <is>
          <t>Maintenance</t>
        </is>
      </c>
      <c r="I160" s="37" t="n"/>
      <c r="J160" s="40">
        <f>IF(OR(C160="",NOT(ISNUMBER(E160))),"",IFERROR(E160*N(INDEX(art_price,MATCH(C160,art_ref,0))),""))</f>
        <v>59.88</v>
      </c>
      <c r="K160" s="39">
        <f>IF(OR(C160="",NOT(ISNUMBER(E160))),"",IFERROR(ROUND(N(INDEX(art_init,MATCH(C160,art_ref,0)))+SUMIFS($E$5:E160,$C$5:C160,C160,$B$5:B160,"Entrée")-SUMIFS($E$5:E160,$C$5:C160,C160,$B$5:B160,"Sortie"),6),""))</f>
        <v>1744.0</v>
      </c>
      <c r="L160" s="39" t="str">
        <f>IF(COUNTA(A160:C160,E160)=0,"",IF(COUNTA(A160:C160,E160)&lt;4,"Ligne incomplète",IF(NOT(ISNUMBER(A160)),"Date invalide",IF(AND(B160&lt;&gt;"Entrée",B160&lt;&gt;"Sortie"),"Type inconnu",IF(ISNA(MATCH(C160,art_ref,0)),"Référence inconnue",IF(OR(NOT(ISNUMBER(E160)),N(E160)&lt;=0),"Quantité invalide",IF(K160&lt;0,"Stock négatif",IF(AND(ISNUMBER(A159),A160&lt;A159),"Date hors ordre","OK"))))))))</f>
        <v>OK</v>
      </c>
      <c r="M160" s="39" t="str">
        <f>IF(C160="","",C160&amp;"#"&amp;COUNTIF($C$5:C160,C160))</f>
        <v>VIS-M6-20#10</v>
      </c>
    </row>
    <row r="161">
      <c r="A161" s="41" t="n">
        <v>46154</v>
      </c>
      <c r="B161" s="37" t="inlineStr">
        <is>
          <t>Sortie</t>
        </is>
      </c>
      <c r="C161" s="37" t="inlineStr">
        <is>
          <t>CAR-40-30</t>
        </is>
      </c>
      <c r="D161" s="39" t="str">
        <f>IF(C161="","",IFERROR(INDEX(art_des,MATCH(C161,art_ref,0))&amp;"","Référence inconnue"))</f>
        <v>Carton double cannelure 40 x 30 x 20</v>
      </c>
      <c r="E161" s="37" t="n">
        <v>78</v>
      </c>
      <c r="F161" s="39" t="str">
        <f>IF(C161="","",IFERROR(INDEX(art_unit,MATCH(C161,art_ref,0))&amp;"",""))</f>
        <v>pièce</v>
      </c>
      <c r="G161" s="37" t="inlineStr">
        <is>
          <t>BS-2026-0141</t>
        </is>
      </c>
      <c r="H161" s="37" t="inlineStr">
        <is>
          <t>Maintenance</t>
        </is>
      </c>
      <c r="I161" s="37" t="n"/>
      <c r="J161" s="40">
        <f>IF(OR(C161="",NOT(ISNUMBER(E161))),"",IFERROR(E161*N(INDEX(art_price,MATCH(C161,art_ref,0))),""))</f>
        <v>74.1</v>
      </c>
      <c r="K161" s="39">
        <f>IF(OR(C161="",NOT(ISNUMBER(E161))),"",IFERROR(ROUND(N(INDEX(art_init,MATCH(C161,art_ref,0)))+SUMIFS($E$5:E161,$C$5:C161,C161,$B$5:B161,"Entrée")-SUMIFS($E$5:E161,$C$5:C161,C161,$B$5:B161,"Sortie"),6),""))</f>
        <v>321.0</v>
      </c>
      <c r="L161" s="39" t="str">
        <f>IF(COUNTA(A161:C161,E161)=0,"",IF(COUNTA(A161:C161,E161)&lt;4,"Ligne incomplète",IF(NOT(ISNUMBER(A161)),"Date invalide",IF(AND(B161&lt;&gt;"Entrée",B161&lt;&gt;"Sortie"),"Type inconnu",IF(ISNA(MATCH(C161,art_ref,0)),"Référence inconnue",IF(OR(NOT(ISNUMBER(E161)),N(E161)&lt;=0),"Quantité invalide",IF(K161&lt;0,"Stock négatif",IF(AND(ISNUMBER(A160),A161&lt;A160),"Date hors ordre","OK"))))))))</f>
        <v>OK</v>
      </c>
      <c r="M161" s="39" t="str">
        <f>IF(C161="","",C161&amp;"#"&amp;COUNTIF($C$5:C161,C161))</f>
        <v>CAR-40-30#10</v>
      </c>
    </row>
    <row r="162">
      <c r="A162" s="41" t="n">
        <v>46154</v>
      </c>
      <c r="B162" s="37" t="inlineStr">
        <is>
          <t>Sortie</t>
        </is>
      </c>
      <c r="C162" s="37" t="inlineStr">
        <is>
          <t>ROU-6204</t>
        </is>
      </c>
      <c r="D162" s="39" t="str">
        <f>IF(C162="","",IFERROR(INDEX(art_des,MATCH(C162,art_ref,0))&amp;"","Référence inconnue"))</f>
        <v>Roulement à billes 6204 2RS</v>
      </c>
      <c r="E162" s="37" t="n">
        <v>24</v>
      </c>
      <c r="F162" s="39" t="str">
        <f>IF(C162="","",IFERROR(INDEX(art_unit,MATCH(C162,art_ref,0))&amp;"",""))</f>
        <v>pièce</v>
      </c>
      <c r="G162" s="37" t="inlineStr">
        <is>
          <t>BS-2026-0142</t>
        </is>
      </c>
      <c r="H162" s="37" t="inlineStr">
        <is>
          <t>Atelier usinage</t>
        </is>
      </c>
      <c r="I162" s="37" t="n"/>
      <c r="J162" s="40">
        <f>IF(OR(C162="",NOT(ISNUMBER(E162))),"",IFERROR(E162*N(INDEX(art_price,MATCH(C162,art_ref,0))),""))</f>
        <v>91.2</v>
      </c>
      <c r="K162" s="39">
        <f>IF(OR(C162="",NOT(ISNUMBER(E162))),"",IFERROR(ROUND(N(INDEX(art_init,MATCH(C162,art_ref,0)))+SUMIFS($E$5:E162,$C$5:C162,C162,$B$5:B162,"Entrée")-SUMIFS($E$5:E162,$C$5:C162,C162,$B$5:B162,"Sortie"),6),""))</f>
        <v>69.0</v>
      </c>
      <c r="L162" s="39" t="str">
        <f>IF(COUNTA(A162:C162,E162)=0,"",IF(COUNTA(A162:C162,E162)&lt;4,"Ligne incomplète",IF(NOT(ISNUMBER(A162)),"Date invalide",IF(AND(B162&lt;&gt;"Entrée",B162&lt;&gt;"Sortie"),"Type inconnu",IF(ISNA(MATCH(C162,art_ref,0)),"Référence inconnue",IF(OR(NOT(ISNUMBER(E162)),N(E162)&lt;=0),"Quantité invalide",IF(K162&lt;0,"Stock négatif",IF(AND(ISNUMBER(A161),A162&lt;A161),"Date hors ordre","OK"))))))))</f>
        <v>OK</v>
      </c>
      <c r="M162" s="39" t="str">
        <f>IF(C162="","",C162&amp;"#"&amp;COUNTIF($C$5:C162,C162))</f>
        <v>ROU-6204#10</v>
      </c>
    </row>
    <row r="163">
      <c r="A163" s="41" t="n">
        <v>46155</v>
      </c>
      <c r="B163" s="37" t="inlineStr">
        <is>
          <t>Sortie</t>
        </is>
      </c>
      <c r="C163" s="37" t="inlineStr">
        <is>
          <t>FOR-HSS-8</t>
        </is>
      </c>
      <c r="D163" s="39" t="str">
        <f>IF(C163="","",IFERROR(INDEX(art_des,MATCH(C163,art_ref,0))&amp;"","Référence inconnue"))</f>
        <v>Foret HSS 8 mm</v>
      </c>
      <c r="E163" s="37" t="n">
        <v>4</v>
      </c>
      <c r="F163" s="39" t="str">
        <f>IF(C163="","",IFERROR(INDEX(art_unit,MATCH(C163,art_ref,0))&amp;"",""))</f>
        <v>pièce</v>
      </c>
      <c r="G163" s="37" t="inlineStr">
        <is>
          <t>BS-2026-0143</t>
        </is>
      </c>
      <c r="H163" s="37" t="inlineStr">
        <is>
          <t>Expédition</t>
        </is>
      </c>
      <c r="I163" s="37" t="n"/>
      <c r="J163" s="40">
        <f>IF(OR(C163="",NOT(ISNUMBER(E163))),"",IFERROR(E163*N(INDEX(art_price,MATCH(C163,art_ref,0))),""))</f>
        <v>18.4</v>
      </c>
      <c r="K163" s="39">
        <f>IF(OR(C163="",NOT(ISNUMBER(E163))),"",IFERROR(ROUND(N(INDEX(art_init,MATCH(C163,art_ref,0)))+SUMIFS($E$5:E163,$C$5:C163,C163,$B$5:B163,"Entrée")-SUMIFS($E$5:E163,$C$5:C163,C163,$B$5:B163,"Sortie"),6),""))</f>
        <v>34.0</v>
      </c>
      <c r="L163" s="39" t="str">
        <f>IF(COUNTA(A163:C163,E163)=0,"",IF(COUNTA(A163:C163,E163)&lt;4,"Ligne incomplète",IF(NOT(ISNUMBER(A163)),"Date invalide",IF(AND(B163&lt;&gt;"Entrée",B163&lt;&gt;"Sortie"),"Type inconnu",IF(ISNA(MATCH(C163,art_ref,0)),"Référence inconnue",IF(OR(NOT(ISNUMBER(E163)),N(E163)&lt;=0),"Quantité invalide",IF(K163&lt;0,"Stock négatif",IF(AND(ISNUMBER(A162),A163&lt;A162),"Date hors ordre","OK"))))))))</f>
        <v>OK</v>
      </c>
      <c r="M163" s="39" t="str">
        <f>IF(C163="","",C163&amp;"#"&amp;COUNTIF($C$5:C163,C163))</f>
        <v>FOR-HSS-8#10</v>
      </c>
    </row>
    <row r="164">
      <c r="A164" s="41" t="n">
        <v>46155</v>
      </c>
      <c r="B164" s="37" t="inlineStr">
        <is>
          <t>Sortie</t>
        </is>
      </c>
      <c r="C164" s="37" t="inlineStr">
        <is>
          <t>TUB-ACI-40</t>
        </is>
      </c>
      <c r="D164" s="39" t="str">
        <f>IF(C164="","",IFERROR(INDEX(art_des,MATCH(C164,art_ref,0))&amp;"","Référence inconnue"))</f>
        <v>Tube acier carré 40 x 40, 6 m</v>
      </c>
      <c r="E164" s="37" t="n">
        <v>6</v>
      </c>
      <c r="F164" s="39" t="str">
        <f>IF(C164="","",IFERROR(INDEX(art_unit,MATCH(C164,art_ref,0))&amp;"",""))</f>
        <v>barre</v>
      </c>
      <c r="G164" s="37" t="inlineStr">
        <is>
          <t>BS-2026-0144</t>
        </is>
      </c>
      <c r="H164" s="37" t="inlineStr">
        <is>
          <t>Atelier usinage</t>
        </is>
      </c>
      <c r="I164" s="37" t="n"/>
      <c r="J164" s="40">
        <f>IF(OR(C164="",NOT(ISNUMBER(E164))),"",IFERROR(E164*N(INDEX(art_price,MATCH(C164,art_ref,0))),""))</f>
        <v>187.2</v>
      </c>
      <c r="K164" s="39">
        <f>IF(OR(C164="",NOT(ISNUMBER(E164))),"",IFERROR(ROUND(N(INDEX(art_init,MATCH(C164,art_ref,0)))+SUMIFS($E$5:E164,$C$5:C164,C164,$B$5:B164,"Entrée")-SUMIFS($E$5:E164,$C$5:C164,C164,$B$5:B164,"Sortie"),6),""))</f>
        <v>24.0</v>
      </c>
      <c r="L164" s="39" t="str">
        <f>IF(COUNTA(A164:C164,E164)=0,"",IF(COUNTA(A164:C164,E164)&lt;4,"Ligne incomplète",IF(NOT(ISNUMBER(A164)),"Date invalide",IF(AND(B164&lt;&gt;"Entrée",B164&lt;&gt;"Sortie"),"Type inconnu",IF(ISNA(MATCH(C164,art_ref,0)),"Référence inconnue",IF(OR(NOT(ISNUMBER(E164)),N(E164)&lt;=0),"Quantité invalide",IF(K164&lt;0,"Stock négatif",IF(AND(ISNUMBER(A163),A164&lt;A163),"Date hors ordre","OK"))))))))</f>
        <v>OK</v>
      </c>
      <c r="M164" s="39" t="str">
        <f>IF(C164="","",C164&amp;"#"&amp;COUNTIF($C$5:C164,C164))</f>
        <v>TUB-ACI-40#10</v>
      </c>
    </row>
    <row r="165">
      <c r="A165" s="41" t="n">
        <v>46158</v>
      </c>
      <c r="B165" s="37" t="inlineStr">
        <is>
          <t>Sortie</t>
        </is>
      </c>
      <c r="C165" s="37" t="inlineStr">
        <is>
          <t>HUI-COUP-5</t>
        </is>
      </c>
      <c r="D165" s="39" t="str">
        <f>IF(C165="","",IFERROR(INDEX(art_des,MATCH(C165,art_ref,0))&amp;"","Référence inconnue"))</f>
        <v>Huile de coupe soluble 5 L</v>
      </c>
      <c r="E165" s="37" t="n">
        <v>1</v>
      </c>
      <c r="F165" s="39" t="str">
        <f>IF(C165="","",IFERROR(INDEX(art_unit,MATCH(C165,art_ref,0))&amp;"",""))</f>
        <v>bidon</v>
      </c>
      <c r="G165" s="37" t="inlineStr">
        <is>
          <t>BS-2026-0145</t>
        </is>
      </c>
      <c r="H165" s="37" t="inlineStr">
        <is>
          <t>Atelier soudure</t>
        </is>
      </c>
      <c r="I165" s="37" t="n"/>
      <c r="J165" s="40">
        <f>IF(OR(C165="",NOT(ISNUMBER(E165))),"",IFERROR(E165*N(INDEX(art_price,MATCH(C165,art_ref,0))),""))</f>
        <v>27.0</v>
      </c>
      <c r="K165" s="39">
        <f>IF(OR(C165="",NOT(ISNUMBER(E165))),"",IFERROR(ROUND(N(INDEX(art_init,MATCH(C165,art_ref,0)))+SUMIFS($E$5:E165,$C$5:C165,C165,$B$5:B165,"Entrée")-SUMIFS($E$5:E165,$C$5:C165,C165,$B$5:B165,"Sortie"),6),""))</f>
        <v>11.0</v>
      </c>
      <c r="L165" s="39" t="str">
        <f>IF(COUNTA(A165:C165,E165)=0,"",IF(COUNTA(A165:C165,E165)&lt;4,"Ligne incomplète",IF(NOT(ISNUMBER(A165)),"Date invalide",IF(AND(B165&lt;&gt;"Entrée",B165&lt;&gt;"Sortie"),"Type inconnu",IF(ISNA(MATCH(C165,art_ref,0)),"Référence inconnue",IF(OR(NOT(ISNUMBER(E165)),N(E165)&lt;=0),"Quantité invalide",IF(K165&lt;0,"Stock négatif",IF(AND(ISNUMBER(A164),A165&lt;A164),"Date hors ordre","OK"))))))))</f>
        <v>OK</v>
      </c>
      <c r="M165" s="39" t="str">
        <f>IF(C165="","",C165&amp;"#"&amp;COUNTIF($C$5:C165,C165))</f>
        <v>HUI-COUP-5#11</v>
      </c>
    </row>
    <row r="166">
      <c r="A166" s="41" t="n">
        <v>46158</v>
      </c>
      <c r="B166" s="37" t="inlineStr">
        <is>
          <t>Sortie</t>
        </is>
      </c>
      <c r="C166" s="37" t="inlineStr">
        <is>
          <t>TUB-ACI-40</t>
        </is>
      </c>
      <c r="D166" s="39" t="str">
        <f>IF(C166="","",IFERROR(INDEX(art_des,MATCH(C166,art_ref,0))&amp;"","Référence inconnue"))</f>
        <v>Tube acier carré 40 x 40, 6 m</v>
      </c>
      <c r="E166" s="37" t="n">
        <v>3</v>
      </c>
      <c r="F166" s="39" t="str">
        <f>IF(C166="","",IFERROR(INDEX(art_unit,MATCH(C166,art_ref,0))&amp;"",""))</f>
        <v>barre</v>
      </c>
      <c r="G166" s="37" t="inlineStr">
        <is>
          <t>BS-2026-0146</t>
        </is>
      </c>
      <c r="H166" s="37" t="inlineStr">
        <is>
          <t>Atelier montage</t>
        </is>
      </c>
      <c r="I166" s="37" t="n"/>
      <c r="J166" s="40">
        <f>IF(OR(C166="",NOT(ISNUMBER(E166))),"",IFERROR(E166*N(INDEX(art_price,MATCH(C166,art_ref,0))),""))</f>
        <v>93.6</v>
      </c>
      <c r="K166" s="39">
        <f>IF(OR(C166="",NOT(ISNUMBER(E166))),"",IFERROR(ROUND(N(INDEX(art_init,MATCH(C166,art_ref,0)))+SUMIFS($E$5:E166,$C$5:C166,C166,$B$5:B166,"Entrée")-SUMIFS($E$5:E166,$C$5:C166,C166,$B$5:B166,"Sortie"),6),""))</f>
        <v>21.0</v>
      </c>
      <c r="L166" s="39" t="str">
        <f>IF(COUNTA(A166:C166,E166)=0,"",IF(COUNTA(A166:C166,E166)&lt;4,"Ligne incomplète",IF(NOT(ISNUMBER(A166)),"Date invalide",IF(AND(B166&lt;&gt;"Entrée",B166&lt;&gt;"Sortie"),"Type inconnu",IF(ISNA(MATCH(C166,art_ref,0)),"Référence inconnue",IF(OR(NOT(ISNUMBER(E166)),N(E166)&lt;=0),"Quantité invalide",IF(K166&lt;0,"Stock négatif",IF(AND(ISNUMBER(A165),A166&lt;A165),"Date hors ordre","OK"))))))))</f>
        <v>OK</v>
      </c>
      <c r="M166" s="39" t="str">
        <f>IF(C166="","",C166&amp;"#"&amp;COUNTIF($C$5:C166,C166))</f>
        <v>TUB-ACI-40#11</v>
      </c>
    </row>
    <row r="167">
      <c r="A167" s="41" t="n">
        <v>46158</v>
      </c>
      <c r="B167" s="37" t="inlineStr">
        <is>
          <t>Sortie</t>
        </is>
      </c>
      <c r="C167" s="37" t="inlineStr">
        <is>
          <t>VIS-M6-20</t>
        </is>
      </c>
      <c r="D167" s="39" t="str">
        <f>IF(C167="","",IFERROR(INDEX(art_des,MATCH(C167,art_ref,0))&amp;"","Référence inconnue"))</f>
        <v>Vis inox M6 x 20</v>
      </c>
      <c r="E167" s="37" t="n">
        <v>405</v>
      </c>
      <c r="F167" s="39" t="str">
        <f>IF(C167="","",IFERROR(INDEX(art_unit,MATCH(C167,art_ref,0))&amp;"",""))</f>
        <v>pièce</v>
      </c>
      <c r="G167" s="37" t="inlineStr">
        <is>
          <t>BS-2026-0147</t>
        </is>
      </c>
      <c r="H167" s="37" t="inlineStr">
        <is>
          <t>Atelier usinage</t>
        </is>
      </c>
      <c r="I167" s="37" t="n"/>
      <c r="J167" s="40">
        <f>IF(OR(C167="",NOT(ISNUMBER(E167))),"",IFERROR(E167*N(INDEX(art_price,MATCH(C167,art_ref,0))),""))</f>
        <v>48.6</v>
      </c>
      <c r="K167" s="39">
        <f>IF(OR(C167="",NOT(ISNUMBER(E167))),"",IFERROR(ROUND(N(INDEX(art_init,MATCH(C167,art_ref,0)))+SUMIFS($E$5:E167,$C$5:C167,C167,$B$5:B167,"Entrée")-SUMIFS($E$5:E167,$C$5:C167,C167,$B$5:B167,"Sortie"),6),""))</f>
        <v>1339.0</v>
      </c>
      <c r="L167" s="39" t="str">
        <f>IF(COUNTA(A167:C167,E167)=0,"",IF(COUNTA(A167:C167,E167)&lt;4,"Ligne incomplète",IF(NOT(ISNUMBER(A167)),"Date invalide",IF(AND(B167&lt;&gt;"Entrée",B167&lt;&gt;"Sortie"),"Type inconnu",IF(ISNA(MATCH(C167,art_ref,0)),"Référence inconnue",IF(OR(NOT(ISNUMBER(E167)),N(E167)&lt;=0),"Quantité invalide",IF(K167&lt;0,"Stock négatif",IF(AND(ISNUMBER(A166),A167&lt;A166),"Date hors ordre","OK"))))))))</f>
        <v>OK</v>
      </c>
      <c r="M167" s="39" t="str">
        <f>IF(C167="","",C167&amp;"#"&amp;COUNTIF($C$5:C167,C167))</f>
        <v>VIS-M6-20#11</v>
      </c>
    </row>
    <row r="168">
      <c r="A168" s="41" t="n">
        <v>46159</v>
      </c>
      <c r="B168" s="37" t="inlineStr">
        <is>
          <t>Sortie</t>
        </is>
      </c>
      <c r="C168" s="37" t="inlineStr">
        <is>
          <t>JOI-20-2</t>
        </is>
      </c>
      <c r="D168" s="39" t="str">
        <f>IF(C168="","",IFERROR(INDEX(art_des,MATCH(C168,art_ref,0))&amp;"","Référence inconnue"))</f>
        <v>Joint torique 20 x 2 NBR</v>
      </c>
      <c r="E168" s="37" t="n">
        <v>63</v>
      </c>
      <c r="F168" s="39" t="str">
        <f>IF(C168="","",IFERROR(INDEX(art_unit,MATCH(C168,art_ref,0))&amp;"",""))</f>
        <v>pièce</v>
      </c>
      <c r="G168" s="37" t="inlineStr">
        <is>
          <t>BS-2026-0148</t>
        </is>
      </c>
      <c r="H168" s="37" t="inlineStr">
        <is>
          <t>Maintenance</t>
        </is>
      </c>
      <c r="I168" s="37" t="n"/>
      <c r="J168" s="40">
        <f>IF(OR(C168="",NOT(ISNUMBER(E168))),"",IFERROR(E168*N(INDEX(art_price,MATCH(C168,art_ref,0))),""))</f>
        <v>22.05</v>
      </c>
      <c r="K168" s="39">
        <f>IF(OR(C168="",NOT(ISNUMBER(E168))),"",IFERROR(ROUND(N(INDEX(art_init,MATCH(C168,art_ref,0)))+SUMIFS($E$5:E168,$C$5:C168,C168,$B$5:B168,"Entrée")-SUMIFS($E$5:E168,$C$5:C168,C168,$B$5:B168,"Sortie"),6),""))</f>
        <v>278.0</v>
      </c>
      <c r="L168" s="39" t="str">
        <f>IF(COUNTA(A168:C168,E168)=0,"",IF(COUNTA(A168:C168,E168)&lt;4,"Ligne incomplète",IF(NOT(ISNUMBER(A168)),"Date invalide",IF(AND(B168&lt;&gt;"Entrée",B168&lt;&gt;"Sortie"),"Type inconnu",IF(ISNA(MATCH(C168,art_ref,0)),"Référence inconnue",IF(OR(NOT(ISNUMBER(E168)),N(E168)&lt;=0),"Quantité invalide",IF(K168&lt;0,"Stock négatif",IF(AND(ISNUMBER(A167),A168&lt;A167),"Date hors ordre","OK"))))))))</f>
        <v>OK</v>
      </c>
      <c r="M168" s="39" t="str">
        <f>IF(C168="","",C168&amp;"#"&amp;COUNTIF($C$5:C168,C168))</f>
        <v>JOI-20-2#11</v>
      </c>
    </row>
    <row r="169">
      <c r="A169" s="41" t="n">
        <v>46160</v>
      </c>
      <c r="B169" s="37" t="inlineStr">
        <is>
          <t>Sortie</t>
        </is>
      </c>
      <c r="C169" s="37" t="inlineStr">
        <is>
          <t>PAL-120</t>
        </is>
      </c>
      <c r="D169" s="39" t="str">
        <f>IF(C169="","",IFERROR(INDEX(art_des,MATCH(C169,art_ref,0))&amp;"","Référence inconnue"))</f>
        <v>Palette bois 120 x 80</v>
      </c>
      <c r="E169" s="37" t="n">
        <v>7</v>
      </c>
      <c r="F169" s="39" t="str">
        <f>IF(C169="","",IFERROR(INDEX(art_unit,MATCH(C169,art_ref,0))&amp;"",""))</f>
        <v>pièce</v>
      </c>
      <c r="G169" s="37" t="inlineStr">
        <is>
          <t>BS-2026-0149</t>
        </is>
      </c>
      <c r="H169" s="37" t="inlineStr">
        <is>
          <t>Expédition</t>
        </is>
      </c>
      <c r="I169" s="37" t="n"/>
      <c r="J169" s="40">
        <f>IF(OR(C169="",NOT(ISNUMBER(E169))),"",IFERROR(E169*N(INDEX(art_price,MATCH(C169,art_ref,0))),""))</f>
        <v>63.0</v>
      </c>
      <c r="K169" s="39">
        <f>IF(OR(C169="",NOT(ISNUMBER(E169))),"",IFERROR(ROUND(N(INDEX(art_init,MATCH(C169,art_ref,0)))+SUMIFS($E$5:E169,$C$5:C169,C169,$B$5:B169,"Entrée")-SUMIFS($E$5:E169,$C$5:C169,C169,$B$5:B169,"Sortie"),6),""))</f>
        <v>16.0</v>
      </c>
      <c r="L169" s="39" t="str">
        <f>IF(COUNTA(A169:C169,E169)=0,"",IF(COUNTA(A169:C169,E169)&lt;4,"Ligne incomplète",IF(NOT(ISNUMBER(A169)),"Date invalide",IF(AND(B169&lt;&gt;"Entrée",B169&lt;&gt;"Sortie"),"Type inconnu",IF(ISNA(MATCH(C169,art_ref,0)),"Référence inconnue",IF(OR(NOT(ISNUMBER(E169)),N(E169)&lt;=0),"Quantité invalide",IF(K169&lt;0,"Stock négatif",IF(AND(ISNUMBER(A168),A169&lt;A168),"Date hors ordre","OK"))))))))</f>
        <v>OK</v>
      </c>
      <c r="M169" s="39" t="str">
        <f>IF(C169="","",C169&amp;"#"&amp;COUNTIF($C$5:C169,C169))</f>
        <v>PAL-120#11</v>
      </c>
    </row>
    <row r="170">
      <c r="A170" s="41" t="n">
        <v>46160</v>
      </c>
      <c r="B170" s="37" t="inlineStr">
        <is>
          <t>Sortie</t>
        </is>
      </c>
      <c r="C170" s="37" t="inlineStr">
        <is>
          <t>TOL-ACI-2</t>
        </is>
      </c>
      <c r="D170" s="39" t="str">
        <f>IF(C170="","",IFERROR(INDEX(art_des,MATCH(C170,art_ref,0))&amp;"","Référence inconnue"))</f>
        <v>Tôle acier 2 mm 1000 x 2000</v>
      </c>
      <c r="E170" s="37" t="n">
        <v>8</v>
      </c>
      <c r="F170" s="39" t="str">
        <f>IF(C170="","",IFERROR(INDEX(art_unit,MATCH(C170,art_ref,0))&amp;"",""))</f>
        <v>feuille</v>
      </c>
      <c r="G170" s="37" t="inlineStr">
        <is>
          <t>BS-2026-0150</t>
        </is>
      </c>
      <c r="H170" s="37" t="inlineStr">
        <is>
          <t>Atelier montage</t>
        </is>
      </c>
      <c r="I170" s="37" t="n"/>
      <c r="J170" s="40">
        <f>IF(OR(C170="",NOT(ISNUMBER(E170))),"",IFERROR(E170*N(INDEX(art_price,MATCH(C170,art_ref,0))),""))</f>
        <v>388.0</v>
      </c>
      <c r="K170" s="39">
        <f>IF(OR(C170="",NOT(ISNUMBER(E170))),"",IFERROR(ROUND(N(INDEX(art_init,MATCH(C170,art_ref,0)))+SUMIFS($E$5:E170,$C$5:C170,C170,$B$5:B170,"Entrée")-SUMIFS($E$5:E170,$C$5:C170,C170,$B$5:B170,"Sortie"),6),""))</f>
        <v>13.0</v>
      </c>
      <c r="L170" s="39" t="str">
        <f>IF(COUNTA(A170:C170,E170)=0,"",IF(COUNTA(A170:C170,E170)&lt;4,"Ligne incomplète",IF(NOT(ISNUMBER(A170)),"Date invalide",IF(AND(B170&lt;&gt;"Entrée",B170&lt;&gt;"Sortie"),"Type inconnu",IF(ISNA(MATCH(C170,art_ref,0)),"Référence inconnue",IF(OR(NOT(ISNUMBER(E170)),N(E170)&lt;=0),"Quantité invalide",IF(K170&lt;0,"Stock négatif",IF(AND(ISNUMBER(A169),A170&lt;A169),"Date hors ordre","OK"))))))))</f>
        <v>OK</v>
      </c>
      <c r="M170" s="39" t="str">
        <f>IF(C170="","",C170&amp;"#"&amp;COUNTIF($C$5:C170,C170))</f>
        <v>TOL-ACI-2#11</v>
      </c>
    </row>
    <row r="171">
      <c r="A171" s="41" t="n">
        <v>46161</v>
      </c>
      <c r="B171" s="37" t="inlineStr">
        <is>
          <t>Sortie</t>
        </is>
      </c>
      <c r="C171" s="37" t="inlineStr">
        <is>
          <t>GAN-NIT</t>
        </is>
      </c>
      <c r="D171" s="39" t="str">
        <f>IF(C171="","",IFERROR(INDEX(art_des,MATCH(C171,art_ref,0))&amp;"","Référence inconnue"))</f>
        <v>Gants nitrile, boîte de 100</v>
      </c>
      <c r="E171" s="37" t="n">
        <v>4</v>
      </c>
      <c r="F171" s="39" t="str">
        <f>IF(C171="","",IFERROR(INDEX(art_unit,MATCH(C171,art_ref,0))&amp;"",""))</f>
        <v>boîte</v>
      </c>
      <c r="G171" s="37" t="inlineStr">
        <is>
          <t>BS-2026-0151</t>
        </is>
      </c>
      <c r="H171" s="37" t="inlineStr">
        <is>
          <t>Atelier montage</t>
        </is>
      </c>
      <c r="I171" s="37" t="n"/>
      <c r="J171" s="40">
        <f>IF(OR(C171="",NOT(ISNUMBER(E171))),"",IFERROR(E171*N(INDEX(art_price,MATCH(C171,art_ref,0))),""))</f>
        <v>30.0</v>
      </c>
      <c r="K171" s="39">
        <f>IF(OR(C171="",NOT(ISNUMBER(E171))),"",IFERROR(ROUND(N(INDEX(art_init,MATCH(C171,art_ref,0)))+SUMIFS($E$5:E171,$C$5:C171,C171,$B$5:B171,"Entrée")-SUMIFS($E$5:E171,$C$5:C171,C171,$B$5:B171,"Sortie"),6),""))</f>
        <v>12.0</v>
      </c>
      <c r="L171" s="39" t="str">
        <f>IF(COUNTA(A171:C171,E171)=0,"",IF(COUNTA(A171:C171,E171)&lt;4,"Ligne incomplète",IF(NOT(ISNUMBER(A171)),"Date invalide",IF(AND(B171&lt;&gt;"Entrée",B171&lt;&gt;"Sortie"),"Type inconnu",IF(ISNA(MATCH(C171,art_ref,0)),"Référence inconnue",IF(OR(NOT(ISNUMBER(E171)),N(E171)&lt;=0),"Quantité invalide",IF(K171&lt;0,"Stock négatif",IF(AND(ISNUMBER(A170),A171&lt;A170),"Date hors ordre","OK"))))))))</f>
        <v>OK</v>
      </c>
      <c r="M171" s="39" t="str">
        <f>IF(C171="","",C171&amp;"#"&amp;COUNTIF($C$5:C171,C171))</f>
        <v>GAN-NIT#11</v>
      </c>
    </row>
    <row r="172">
      <c r="A172" s="41" t="n">
        <v>46163</v>
      </c>
      <c r="B172" s="37" t="inlineStr">
        <is>
          <t>Entrée</t>
        </is>
      </c>
      <c r="C172" s="37" t="inlineStr">
        <is>
          <t>TOL-ACI-2</t>
        </is>
      </c>
      <c r="D172" s="39" t="str">
        <f>IF(C172="","",IFERROR(INDEX(art_des,MATCH(C172,art_ref,0))&amp;"","Référence inconnue"))</f>
        <v>Tôle acier 2 mm 1000 x 2000</v>
      </c>
      <c r="E172" s="37" t="n">
        <v>47</v>
      </c>
      <c r="F172" s="39" t="str">
        <f>IF(C172="","",IFERROR(INDEX(art_unit,MATCH(C172,art_ref,0))&amp;"",""))</f>
        <v>feuille</v>
      </c>
      <c r="G172" s="37" t="inlineStr">
        <is>
          <t>BL-2026-017</t>
        </is>
      </c>
      <c r="H172" s="37" t="inlineStr">
        <is>
          <t>Aciers Service</t>
        </is>
      </c>
      <c r="I172" s="37" t="inlineStr">
        <is>
          <t>Réception commande</t>
        </is>
      </c>
      <c r="J172" s="40">
        <f>IF(OR(C172="",NOT(ISNUMBER(E172))),"",IFERROR(E172*N(INDEX(art_price,MATCH(C172,art_ref,0))),""))</f>
        <v>2279.5</v>
      </c>
      <c r="K172" s="39">
        <f>IF(OR(C172="",NOT(ISNUMBER(E172))),"",IFERROR(ROUND(N(INDEX(art_init,MATCH(C172,art_ref,0)))+SUMIFS($E$5:E172,$C$5:C172,C172,$B$5:B172,"Entrée")-SUMIFS($E$5:E172,$C$5:C172,C172,$B$5:B172,"Sortie"),6),""))</f>
        <v>60.0</v>
      </c>
      <c r="L172" s="39" t="str">
        <f>IF(COUNTA(A172:C172,E172)=0,"",IF(COUNTA(A172:C172,E172)&lt;4,"Ligne incomplète",IF(NOT(ISNUMBER(A172)),"Date invalide",IF(AND(B172&lt;&gt;"Entrée",B172&lt;&gt;"Sortie"),"Type inconnu",IF(ISNA(MATCH(C172,art_ref,0)),"Référence inconnue",IF(OR(NOT(ISNUMBER(E172)),N(E172)&lt;=0),"Quantité invalide",IF(K172&lt;0,"Stock négatif",IF(AND(ISNUMBER(A171),A172&lt;A171),"Date hors ordre","OK"))))))))</f>
        <v>OK</v>
      </c>
      <c r="M172" s="39" t="str">
        <f>IF(C172="","",C172&amp;"#"&amp;COUNTIF($C$5:C172,C172))</f>
        <v>TOL-ACI-2#12</v>
      </c>
    </row>
    <row r="173">
      <c r="A173" s="41" t="n">
        <v>46165</v>
      </c>
      <c r="B173" s="37" t="inlineStr">
        <is>
          <t>Sortie</t>
        </is>
      </c>
      <c r="C173" s="37" t="inlineStr">
        <is>
          <t>DIS-125</t>
        </is>
      </c>
      <c r="D173" s="39" t="str">
        <f>IF(C173="","",IFERROR(INDEX(art_des,MATCH(C173,art_ref,0))&amp;"","Référence inconnue"))</f>
        <v>Disque à tronçonner 125 mm</v>
      </c>
      <c r="E173" s="37" t="n">
        <v>20</v>
      </c>
      <c r="F173" s="39" t="str">
        <f>IF(C173="","",IFERROR(INDEX(art_unit,MATCH(C173,art_ref,0))&amp;"",""))</f>
        <v>pièce</v>
      </c>
      <c r="G173" s="37" t="inlineStr">
        <is>
          <t>BS-2026-0152</t>
        </is>
      </c>
      <c r="H173" s="37" t="inlineStr">
        <is>
          <t>Atelier montage</t>
        </is>
      </c>
      <c r="I173" s="37" t="n"/>
      <c r="J173" s="40">
        <f>IF(OR(C173="",NOT(ISNUMBER(E173))),"",IFERROR(E173*N(INDEX(art_price,MATCH(C173,art_ref,0))),""))</f>
        <v>38.0</v>
      </c>
      <c r="K173" s="39">
        <f>IF(OR(C173="",NOT(ISNUMBER(E173))),"",IFERROR(ROUND(N(INDEX(art_init,MATCH(C173,art_ref,0)))+SUMIFS($E$5:E173,$C$5:C173,C173,$B$5:B173,"Entrée")-SUMIFS($E$5:E173,$C$5:C173,C173,$B$5:B173,"Sortie"),6),""))</f>
        <v>88.0</v>
      </c>
      <c r="L173" s="39" t="str">
        <f>IF(COUNTA(A173:C173,E173)=0,"",IF(COUNTA(A173:C173,E173)&lt;4,"Ligne incomplète",IF(NOT(ISNUMBER(A173)),"Date invalide",IF(AND(B173&lt;&gt;"Entrée",B173&lt;&gt;"Sortie"),"Type inconnu",IF(ISNA(MATCH(C173,art_ref,0)),"Référence inconnue",IF(OR(NOT(ISNUMBER(E173)),N(E173)&lt;=0),"Quantité invalide",IF(K173&lt;0,"Stock négatif",IF(AND(ISNUMBER(A172),A173&lt;A172),"Date hors ordre","OK"))))))))</f>
        <v>OK</v>
      </c>
      <c r="M173" s="39" t="str">
        <f>IF(C173="","",C173&amp;"#"&amp;COUNTIF($C$5:C173,C173))</f>
        <v>DIS-125#11</v>
      </c>
    </row>
    <row r="174">
      <c r="A174" s="41" t="n">
        <v>46165</v>
      </c>
      <c r="B174" s="37" t="inlineStr">
        <is>
          <t>Sortie</t>
        </is>
      </c>
      <c r="C174" s="37" t="inlineStr">
        <is>
          <t>FOR-HSS-8</t>
        </is>
      </c>
      <c r="D174" s="39" t="str">
        <f>IF(C174="","",IFERROR(INDEX(art_des,MATCH(C174,art_ref,0))&amp;"","Référence inconnue"))</f>
        <v>Foret HSS 8 mm</v>
      </c>
      <c r="E174" s="37" t="n">
        <v>2</v>
      </c>
      <c r="F174" s="39" t="str">
        <f>IF(C174="","",IFERROR(INDEX(art_unit,MATCH(C174,art_ref,0))&amp;"",""))</f>
        <v>pièce</v>
      </c>
      <c r="G174" s="37" t="inlineStr">
        <is>
          <t>BS-2026-0153</t>
        </is>
      </c>
      <c r="H174" s="37" t="inlineStr">
        <is>
          <t>Atelier soudure</t>
        </is>
      </c>
      <c r="I174" s="37" t="n"/>
      <c r="J174" s="40">
        <f>IF(OR(C174="",NOT(ISNUMBER(E174))),"",IFERROR(E174*N(INDEX(art_price,MATCH(C174,art_ref,0))),""))</f>
        <v>9.2</v>
      </c>
      <c r="K174" s="39">
        <f>IF(OR(C174="",NOT(ISNUMBER(E174))),"",IFERROR(ROUND(N(INDEX(art_init,MATCH(C174,art_ref,0)))+SUMIFS($E$5:E174,$C$5:C174,C174,$B$5:B174,"Entrée")-SUMIFS($E$5:E174,$C$5:C174,C174,$B$5:B174,"Sortie"),6),""))</f>
        <v>32.0</v>
      </c>
      <c r="L174" s="39" t="str">
        <f>IF(COUNTA(A174:C174,E174)=0,"",IF(COUNTA(A174:C174,E174)&lt;4,"Ligne incomplète",IF(NOT(ISNUMBER(A174)),"Date invalide",IF(AND(B174&lt;&gt;"Entrée",B174&lt;&gt;"Sortie"),"Type inconnu",IF(ISNA(MATCH(C174,art_ref,0)),"Référence inconnue",IF(OR(NOT(ISNUMBER(E174)),N(E174)&lt;=0),"Quantité invalide",IF(K174&lt;0,"Stock négatif",IF(AND(ISNUMBER(A173),A174&lt;A173),"Date hors ordre","OK"))))))))</f>
        <v>OK</v>
      </c>
      <c r="M174" s="39" t="str">
        <f>IF(C174="","",C174&amp;"#"&amp;COUNTIF($C$5:C174,C174))</f>
        <v>FOR-HSS-8#11</v>
      </c>
    </row>
    <row r="175">
      <c r="A175" s="41" t="n">
        <v>46165</v>
      </c>
      <c r="B175" s="37" t="inlineStr">
        <is>
          <t>Sortie</t>
        </is>
      </c>
      <c r="C175" s="37" t="inlineStr">
        <is>
          <t>ROU-6204</t>
        </is>
      </c>
      <c r="D175" s="39" t="str">
        <f>IF(C175="","",IFERROR(INDEX(art_des,MATCH(C175,art_ref,0))&amp;"","Référence inconnue"))</f>
        <v>Roulement à billes 6204 2RS</v>
      </c>
      <c r="E175" s="37" t="n">
        <v>18</v>
      </c>
      <c r="F175" s="39" t="str">
        <f>IF(C175="","",IFERROR(INDEX(art_unit,MATCH(C175,art_ref,0))&amp;"",""))</f>
        <v>pièce</v>
      </c>
      <c r="G175" s="37" t="inlineStr">
        <is>
          <t>BS-2026-0154</t>
        </is>
      </c>
      <c r="H175" s="37" t="inlineStr">
        <is>
          <t>Expédition</t>
        </is>
      </c>
      <c r="I175" s="37" t="n"/>
      <c r="J175" s="40">
        <f>IF(OR(C175="",NOT(ISNUMBER(E175))),"",IFERROR(E175*N(INDEX(art_price,MATCH(C175,art_ref,0))),""))</f>
        <v>68.4</v>
      </c>
      <c r="K175" s="39">
        <f>IF(OR(C175="",NOT(ISNUMBER(E175))),"",IFERROR(ROUND(N(INDEX(art_init,MATCH(C175,art_ref,0)))+SUMIFS($E$5:E175,$C$5:C175,C175,$B$5:B175,"Entrée")-SUMIFS($E$5:E175,$C$5:C175,C175,$B$5:B175,"Sortie"),6),""))</f>
        <v>51.0</v>
      </c>
      <c r="L175" s="39" t="str">
        <f>IF(COUNTA(A175:C175,E175)=0,"",IF(COUNTA(A175:C175,E175)&lt;4,"Ligne incomplète",IF(NOT(ISNUMBER(A175)),"Date invalide",IF(AND(B175&lt;&gt;"Entrée",B175&lt;&gt;"Sortie"),"Type inconnu",IF(ISNA(MATCH(C175,art_ref,0)),"Référence inconnue",IF(OR(NOT(ISNUMBER(E175)),N(E175)&lt;=0),"Quantité invalide",IF(K175&lt;0,"Stock négatif",IF(AND(ISNUMBER(A174),A175&lt;A174),"Date hors ordre","OK"))))))))</f>
        <v>OK</v>
      </c>
      <c r="M175" s="39" t="str">
        <f>IF(C175="","",C175&amp;"#"&amp;COUNTIF($C$5:C175,C175))</f>
        <v>ROU-6204#11</v>
      </c>
    </row>
    <row r="176">
      <c r="A176" s="41" t="n">
        <v>46166</v>
      </c>
      <c r="B176" s="37" t="inlineStr">
        <is>
          <t>Sortie</t>
        </is>
      </c>
      <c r="C176" s="37" t="inlineStr">
        <is>
          <t>RUB-50</t>
        </is>
      </c>
      <c r="D176" s="39" t="str">
        <f>IF(C176="","",IFERROR(INDEX(art_des,MATCH(C176,art_ref,0))&amp;"","Référence inconnue"))</f>
        <v>Ruban adhésif 50 mm x 66 m</v>
      </c>
      <c r="E176" s="37" t="n">
        <v>17</v>
      </c>
      <c r="F176" s="39" t="str">
        <f>IF(C176="","",IFERROR(INDEX(art_unit,MATCH(C176,art_ref,0))&amp;"",""))</f>
        <v>rouleau</v>
      </c>
      <c r="G176" s="37" t="inlineStr">
        <is>
          <t>BS-2026-0155</t>
        </is>
      </c>
      <c r="H176" s="37" t="inlineStr">
        <is>
          <t>Maintenance</t>
        </is>
      </c>
      <c r="I176" s="37" t="n"/>
      <c r="J176" s="40">
        <f>IF(OR(C176="",NOT(ISNUMBER(E176))),"",IFERROR(E176*N(INDEX(art_price,MATCH(C176,art_ref,0))),""))</f>
        <v>23.8</v>
      </c>
      <c r="K176" s="39">
        <f>IF(OR(C176="",NOT(ISNUMBER(E176))),"",IFERROR(ROUND(N(INDEX(art_init,MATCH(C176,art_ref,0)))+SUMIFS($E$5:E176,$C$5:C176,C176,$B$5:B176,"Entrée")-SUMIFS($E$5:E176,$C$5:C176,C176,$B$5:B176,"Sortie"),6),""))</f>
        <v>47.0</v>
      </c>
      <c r="L176" s="39" t="str">
        <f>IF(COUNTA(A176:C176,E176)=0,"",IF(COUNTA(A176:C176,E176)&lt;4,"Ligne incomplète",IF(NOT(ISNUMBER(A176)),"Date invalide",IF(AND(B176&lt;&gt;"Entrée",B176&lt;&gt;"Sortie"),"Type inconnu",IF(ISNA(MATCH(C176,art_ref,0)),"Référence inconnue",IF(OR(NOT(ISNUMBER(E176)),N(E176)&lt;=0),"Quantité invalide",IF(K176&lt;0,"Stock négatif",IF(AND(ISNUMBER(A175),A176&lt;A175),"Date hors ordre","OK"))))))))</f>
        <v>OK</v>
      </c>
      <c r="M176" s="39" t="str">
        <f>IF(C176="","",C176&amp;"#"&amp;COUNTIF($C$5:C176,C176))</f>
        <v>RUB-50#11</v>
      </c>
    </row>
    <row r="177">
      <c r="A177" s="41" t="n">
        <v>46167</v>
      </c>
      <c r="B177" s="37" t="inlineStr">
        <is>
          <t>Sortie</t>
        </is>
      </c>
      <c r="C177" s="37" t="inlineStr">
        <is>
          <t>BOR-WAGO-3</t>
        </is>
      </c>
      <c r="D177" s="39" t="str">
        <f>IF(C177="","",IFERROR(INDEX(art_des,MATCH(C177,art_ref,0))&amp;"","Référence inconnue"))</f>
        <v>Borne de connexion 3 entrées</v>
      </c>
      <c r="E177" s="37" t="n">
        <v>28</v>
      </c>
      <c r="F177" s="39" t="str">
        <f>IF(C177="","",IFERROR(INDEX(art_unit,MATCH(C177,art_ref,0))&amp;"",""))</f>
        <v>pièce</v>
      </c>
      <c r="G177" s="37" t="inlineStr">
        <is>
          <t>BS-2026-0156</t>
        </is>
      </c>
      <c r="H177" s="37" t="inlineStr">
        <is>
          <t>Expédition</t>
        </is>
      </c>
      <c r="I177" s="37" t="n"/>
      <c r="J177" s="40">
        <f>IF(OR(C177="",NOT(ISNUMBER(E177))),"",IFERROR(E177*N(INDEX(art_price,MATCH(C177,art_ref,0))),""))</f>
        <v>11.76</v>
      </c>
      <c r="K177" s="39">
        <f>IF(OR(C177="",NOT(ISNUMBER(E177))),"",IFERROR(ROUND(N(INDEX(art_init,MATCH(C177,art_ref,0)))+SUMIFS($E$5:E177,$C$5:C177,C177,$B$5:B177,"Entrée")-SUMIFS($E$5:E177,$C$5:C177,C177,$B$5:B177,"Sortie"),6),""))</f>
        <v>162.0</v>
      </c>
      <c r="L177" s="39" t="str">
        <f>IF(COUNTA(A177:C177,E177)=0,"",IF(COUNTA(A177:C177,E177)&lt;4,"Ligne incomplète",IF(NOT(ISNUMBER(A177)),"Date invalide",IF(AND(B177&lt;&gt;"Entrée",B177&lt;&gt;"Sortie"),"Type inconnu",IF(ISNA(MATCH(C177,art_ref,0)),"Référence inconnue",IF(OR(NOT(ISNUMBER(E177)),N(E177)&lt;=0),"Quantité invalide",IF(K177&lt;0,"Stock négatif",IF(AND(ISNUMBER(A176),A177&lt;A176),"Date hors ordre","OK"))))))))</f>
        <v>OK</v>
      </c>
      <c r="M177" s="39" t="str">
        <f>IF(C177="","",C177&amp;"#"&amp;COUNTIF($C$5:C177,C177))</f>
        <v>BOR-WAGO-3#11</v>
      </c>
    </row>
    <row r="178">
      <c r="A178" s="41" t="n">
        <v>46167</v>
      </c>
      <c r="B178" s="37" t="inlineStr">
        <is>
          <t>Sortie</t>
        </is>
      </c>
      <c r="C178" s="37" t="inlineStr">
        <is>
          <t>CAB-2.5</t>
        </is>
      </c>
      <c r="D178" s="39" t="str">
        <f>IF(C178="","",IFERROR(INDEX(art_des,MATCH(C178,art_ref,0))&amp;"","Référence inconnue"))</f>
        <v>Câble électrique 2,5 mm²</v>
      </c>
      <c r="E178" s="37" t="n">
        <v>46</v>
      </c>
      <c r="F178" s="39" t="str">
        <f>IF(C178="","",IFERROR(INDEX(art_unit,MATCH(C178,art_ref,0))&amp;"",""))</f>
        <v>m</v>
      </c>
      <c r="G178" s="37" t="inlineStr">
        <is>
          <t>BS-2026-0157</t>
        </is>
      </c>
      <c r="H178" s="37" t="inlineStr">
        <is>
          <t>Maintenance</t>
        </is>
      </c>
      <c r="I178" s="37" t="n"/>
      <c r="J178" s="40">
        <f>IF(OR(C178="",NOT(ISNUMBER(E178))),"",IFERROR(E178*N(INDEX(art_price,MATCH(C178,art_ref,0))),""))</f>
        <v>31.28</v>
      </c>
      <c r="K178" s="39">
        <f>IF(OR(C178="",NOT(ISNUMBER(E178))),"",IFERROR(ROUND(N(INDEX(art_init,MATCH(C178,art_ref,0)))+SUMIFS($E$5:E178,$C$5:C178,C178,$B$5:B178,"Entrée")-SUMIFS($E$5:E178,$C$5:C178,C178,$B$5:B178,"Sortie"),6),""))</f>
        <v>305.0</v>
      </c>
      <c r="L178" s="39" t="str">
        <f>IF(COUNTA(A178:C178,E178)=0,"",IF(COUNTA(A178:C178,E178)&lt;4,"Ligne incomplète",IF(NOT(ISNUMBER(A178)),"Date invalide",IF(AND(B178&lt;&gt;"Entrée",B178&lt;&gt;"Sortie"),"Type inconnu",IF(ISNA(MATCH(C178,art_ref,0)),"Référence inconnue",IF(OR(NOT(ISNUMBER(E178)),N(E178)&lt;=0),"Quantité invalide",IF(K178&lt;0,"Stock négatif",IF(AND(ISNUMBER(A177),A178&lt;A177),"Date hors ordre","OK"))))))))</f>
        <v>OK</v>
      </c>
      <c r="M178" s="39" t="str">
        <f>IF(C178="","",C178&amp;"#"&amp;COUNTIF($C$5:C178,C178))</f>
        <v>CAB-2.5#11</v>
      </c>
    </row>
    <row r="179">
      <c r="A179" s="41" t="n">
        <v>46167</v>
      </c>
      <c r="B179" s="37" t="inlineStr">
        <is>
          <t>Sortie</t>
        </is>
      </c>
      <c r="C179" s="37" t="inlineStr">
        <is>
          <t>CAR-40-30</t>
        </is>
      </c>
      <c r="D179" s="39" t="str">
        <f>IF(C179="","",IFERROR(INDEX(art_des,MATCH(C179,art_ref,0))&amp;"","Référence inconnue"))</f>
        <v>Carton double cannelure 40 x 30 x 20</v>
      </c>
      <c r="E179" s="37" t="n">
        <v>74</v>
      </c>
      <c r="F179" s="39" t="str">
        <f>IF(C179="","",IFERROR(INDEX(art_unit,MATCH(C179,art_ref,0))&amp;"",""))</f>
        <v>pièce</v>
      </c>
      <c r="G179" s="37" t="inlineStr">
        <is>
          <t>BS-2026-0158</t>
        </is>
      </c>
      <c r="H179" s="37" t="inlineStr">
        <is>
          <t>Atelier usinage</t>
        </is>
      </c>
      <c r="I179" s="37" t="n"/>
      <c r="J179" s="40">
        <f>IF(OR(C179="",NOT(ISNUMBER(E179))),"",IFERROR(E179*N(INDEX(art_price,MATCH(C179,art_ref,0))),""))</f>
        <v>70.3</v>
      </c>
      <c r="K179" s="39">
        <f>IF(OR(C179="",NOT(ISNUMBER(E179))),"",IFERROR(ROUND(N(INDEX(art_init,MATCH(C179,art_ref,0)))+SUMIFS($E$5:E179,$C$5:C179,C179,$B$5:B179,"Entrée")-SUMIFS($E$5:E179,$C$5:C179,C179,$B$5:B179,"Sortie"),6),""))</f>
        <v>247.0</v>
      </c>
      <c r="L179" s="39" t="str">
        <f>IF(COUNTA(A179:C179,E179)=0,"",IF(COUNTA(A179:C179,E179)&lt;4,"Ligne incomplète",IF(NOT(ISNUMBER(A179)),"Date invalide",IF(AND(B179&lt;&gt;"Entrée",B179&lt;&gt;"Sortie"),"Type inconnu",IF(ISNA(MATCH(C179,art_ref,0)),"Référence inconnue",IF(OR(NOT(ISNUMBER(E179)),N(E179)&lt;=0),"Quantité invalide",IF(K179&lt;0,"Stock négatif",IF(AND(ISNUMBER(A178),A179&lt;A178),"Date hors ordre","OK"))))))))</f>
        <v>OK</v>
      </c>
      <c r="M179" s="39" t="str">
        <f>IF(C179="","",C179&amp;"#"&amp;COUNTIF($C$5:C179,C179))</f>
        <v>CAR-40-30#11</v>
      </c>
    </row>
    <row r="180">
      <c r="A180" s="41" t="n">
        <v>46167</v>
      </c>
      <c r="B180" s="37" t="inlineStr">
        <is>
          <t>Sortie</t>
        </is>
      </c>
      <c r="C180" s="37" t="inlineStr">
        <is>
          <t>RON-M6</t>
        </is>
      </c>
      <c r="D180" s="39" t="str">
        <f>IF(C180="","",IFERROR(INDEX(art_des,MATCH(C180,art_ref,0))&amp;"","Référence inconnue"))</f>
        <v>Rondelle plate M6</v>
      </c>
      <c r="E180" s="37" t="n">
        <v>256</v>
      </c>
      <c r="F180" s="39" t="str">
        <f>IF(C180="","",IFERROR(INDEX(art_unit,MATCH(C180,art_ref,0))&amp;"",""))</f>
        <v>pièce</v>
      </c>
      <c r="G180" s="37" t="inlineStr">
        <is>
          <t>BS-2026-0159</t>
        </is>
      </c>
      <c r="H180" s="37" t="inlineStr">
        <is>
          <t>Expédition</t>
        </is>
      </c>
      <c r="I180" s="37" t="n"/>
      <c r="J180" s="40">
        <f>IF(OR(C180="",NOT(ISNUMBER(E180))),"",IFERROR(E180*N(INDEX(art_price,MATCH(C180,art_ref,0))),""))</f>
        <v>7.68</v>
      </c>
      <c r="K180" s="39">
        <f>IF(OR(C180="",NOT(ISNUMBER(E180))),"",IFERROR(ROUND(N(INDEX(art_init,MATCH(C180,art_ref,0)))+SUMIFS($E$5:E180,$C$5:C180,C180,$B$5:B180,"Entrée")-SUMIFS($E$5:E180,$C$5:C180,C180,$B$5:B180,"Sortie"),6),""))</f>
        <v>1028.0</v>
      </c>
      <c r="L180" s="39" t="str">
        <f>IF(COUNTA(A180:C180,E180)=0,"",IF(COUNTA(A180:C180,E180)&lt;4,"Ligne incomplète",IF(NOT(ISNUMBER(A180)),"Date invalide",IF(AND(B180&lt;&gt;"Entrée",B180&lt;&gt;"Sortie"),"Type inconnu",IF(ISNA(MATCH(C180,art_ref,0)),"Référence inconnue",IF(OR(NOT(ISNUMBER(E180)),N(E180)&lt;=0),"Quantité invalide",IF(K180&lt;0,"Stock négatif",IF(AND(ISNUMBER(A179),A180&lt;A179),"Date hors ordre","OK"))))))))</f>
        <v>OK</v>
      </c>
      <c r="M180" s="39" t="str">
        <f>IF(C180="","",C180&amp;"#"&amp;COUNTIF($C$5:C180,C180))</f>
        <v>RON-M6#11</v>
      </c>
    </row>
    <row r="181">
      <c r="A181" s="41" t="n">
        <v>46169</v>
      </c>
      <c r="B181" s="37" t="inlineStr">
        <is>
          <t>Sortie</t>
        </is>
      </c>
      <c r="C181" s="37" t="inlineStr">
        <is>
          <t>ECR-M6</t>
        </is>
      </c>
      <c r="D181" s="39" t="str">
        <f>IF(C181="","",IFERROR(INDEX(art_des,MATCH(C181,art_ref,0))&amp;"","Référence inconnue"))</f>
        <v>Écrou inox M6</v>
      </c>
      <c r="E181" s="37" t="n">
        <v>327</v>
      </c>
      <c r="F181" s="39" t="str">
        <f>IF(C181="","",IFERROR(INDEX(art_unit,MATCH(C181,art_ref,0))&amp;"",""))</f>
        <v>pièce</v>
      </c>
      <c r="G181" s="37" t="inlineStr">
        <is>
          <t>BS-2026-0160</t>
        </is>
      </c>
      <c r="H181" s="37" t="inlineStr">
        <is>
          <t>Atelier montage</t>
        </is>
      </c>
      <c r="I181" s="37" t="n"/>
      <c r="J181" s="40">
        <f>IF(OR(C181="",NOT(ISNUMBER(E181))),"",IFERROR(E181*N(INDEX(art_price,MATCH(C181,art_ref,0))),""))</f>
        <v>16.35</v>
      </c>
      <c r="K181" s="39">
        <f>IF(OR(C181="",NOT(ISNUMBER(E181))),"",IFERROR(ROUND(N(INDEX(art_init,MATCH(C181,art_ref,0)))+SUMIFS($E$5:E181,$C$5:C181,C181,$B$5:B181,"Entrée")-SUMIFS($E$5:E181,$C$5:C181,C181,$B$5:B181,"Sortie"),6),""))</f>
        <v>1830.0</v>
      </c>
      <c r="L181" s="39" t="str">
        <f>IF(COUNTA(A181:C181,E181)=0,"",IF(COUNTA(A181:C181,E181)&lt;4,"Ligne incomplète",IF(NOT(ISNUMBER(A181)),"Date invalide",IF(AND(B181&lt;&gt;"Entrée",B181&lt;&gt;"Sortie"),"Type inconnu",IF(ISNA(MATCH(C181,art_ref,0)),"Référence inconnue",IF(OR(NOT(ISNUMBER(E181)),N(E181)&lt;=0),"Quantité invalide",IF(K181&lt;0,"Stock négatif",IF(AND(ISNUMBER(A180),A181&lt;A180),"Date hors ordre","OK"))))))))</f>
        <v>OK</v>
      </c>
      <c r="M181" s="39" t="str">
        <f>IF(C181="","",C181&amp;"#"&amp;COUNTIF($C$5:C181,C181))</f>
        <v>ECR-M6#11</v>
      </c>
    </row>
    <row r="182">
      <c r="A182" s="41" t="n">
        <v>46175</v>
      </c>
      <c r="B182" s="37" t="inlineStr">
        <is>
          <t>Sortie</t>
        </is>
      </c>
      <c r="C182" s="37" t="inlineStr">
        <is>
          <t>CAB-2.5</t>
        </is>
      </c>
      <c r="D182" s="39" t="str">
        <f>IF(C182="","",IFERROR(INDEX(art_des,MATCH(C182,art_ref,0))&amp;"","Référence inconnue"))</f>
        <v>Câble électrique 2,5 mm²</v>
      </c>
      <c r="E182" s="37" t="n">
        <v>49</v>
      </c>
      <c r="F182" s="39" t="str">
        <f>IF(C182="","",IFERROR(INDEX(art_unit,MATCH(C182,art_ref,0))&amp;"",""))</f>
        <v>m</v>
      </c>
      <c r="G182" s="37" t="inlineStr">
        <is>
          <t>BS-2026-0161</t>
        </is>
      </c>
      <c r="H182" s="37" t="inlineStr">
        <is>
          <t>Maintenance</t>
        </is>
      </c>
      <c r="I182" s="37" t="n"/>
      <c r="J182" s="40">
        <f>IF(OR(C182="",NOT(ISNUMBER(E182))),"",IFERROR(E182*N(INDEX(art_price,MATCH(C182,art_ref,0))),""))</f>
        <v>33.32</v>
      </c>
      <c r="K182" s="39">
        <f>IF(OR(C182="",NOT(ISNUMBER(E182))),"",IFERROR(ROUND(N(INDEX(art_init,MATCH(C182,art_ref,0)))+SUMIFS($E$5:E182,$C$5:C182,C182,$B$5:B182,"Entrée")-SUMIFS($E$5:E182,$C$5:C182,C182,$B$5:B182,"Sortie"),6),""))</f>
        <v>256.0</v>
      </c>
      <c r="L182" s="39" t="str">
        <f>IF(COUNTA(A182:C182,E182)=0,"",IF(COUNTA(A182:C182,E182)&lt;4,"Ligne incomplète",IF(NOT(ISNUMBER(A182)),"Date invalide",IF(AND(B182&lt;&gt;"Entrée",B182&lt;&gt;"Sortie"),"Type inconnu",IF(ISNA(MATCH(C182,art_ref,0)),"Référence inconnue",IF(OR(NOT(ISNUMBER(E182)),N(E182)&lt;=0),"Quantité invalide",IF(K182&lt;0,"Stock négatif",IF(AND(ISNUMBER(A181),A182&lt;A181),"Date hors ordre","OK"))))))))</f>
        <v>OK</v>
      </c>
      <c r="M182" s="39" t="str">
        <f>IF(C182="","",C182&amp;"#"&amp;COUNTIF($C$5:C182,C182))</f>
        <v>CAB-2.5#12</v>
      </c>
    </row>
    <row r="183">
      <c r="A183" s="41" t="n">
        <v>46175</v>
      </c>
      <c r="B183" s="37" t="inlineStr">
        <is>
          <t>Sortie</t>
        </is>
      </c>
      <c r="C183" s="37" t="inlineStr">
        <is>
          <t>VIS-M6-20</t>
        </is>
      </c>
      <c r="D183" s="39" t="str">
        <f>IF(C183="","",IFERROR(INDEX(art_des,MATCH(C183,art_ref,0))&amp;"","Référence inconnue"))</f>
        <v>Vis inox M6 x 20</v>
      </c>
      <c r="E183" s="37" t="n">
        <v>330</v>
      </c>
      <c r="F183" s="39" t="str">
        <f>IF(C183="","",IFERROR(INDEX(art_unit,MATCH(C183,art_ref,0))&amp;"",""))</f>
        <v>pièce</v>
      </c>
      <c r="G183" s="37" t="inlineStr">
        <is>
          <t>BS-2026-0162</t>
        </is>
      </c>
      <c r="H183" s="37" t="inlineStr">
        <is>
          <t>Expédition</t>
        </is>
      </c>
      <c r="I183" s="37" t="n"/>
      <c r="J183" s="40">
        <f>IF(OR(C183="",NOT(ISNUMBER(E183))),"",IFERROR(E183*N(INDEX(art_price,MATCH(C183,art_ref,0))),""))</f>
        <v>39.6</v>
      </c>
      <c r="K183" s="39">
        <f>IF(OR(C183="",NOT(ISNUMBER(E183))),"",IFERROR(ROUND(N(INDEX(art_init,MATCH(C183,art_ref,0)))+SUMIFS($E$5:E183,$C$5:C183,C183,$B$5:B183,"Entrée")-SUMIFS($E$5:E183,$C$5:C183,C183,$B$5:B183,"Sortie"),6),""))</f>
        <v>1009.0</v>
      </c>
      <c r="L183" s="39" t="str">
        <f>IF(COUNTA(A183:C183,E183)=0,"",IF(COUNTA(A183:C183,E183)&lt;4,"Ligne incomplète",IF(NOT(ISNUMBER(A183)),"Date invalide",IF(AND(B183&lt;&gt;"Entrée",B183&lt;&gt;"Sortie"),"Type inconnu",IF(ISNA(MATCH(C183,art_ref,0)),"Référence inconnue",IF(OR(NOT(ISNUMBER(E183)),N(E183)&lt;=0),"Quantité invalide",IF(K183&lt;0,"Stock négatif",IF(AND(ISNUMBER(A182),A183&lt;A182),"Date hors ordre","OK"))))))))</f>
        <v>OK</v>
      </c>
      <c r="M183" s="39" t="str">
        <f>IF(C183="","",C183&amp;"#"&amp;COUNTIF($C$5:C183,C183))</f>
        <v>VIS-M6-20#12</v>
      </c>
    </row>
    <row r="184">
      <c r="A184" s="41" t="n">
        <v>46176</v>
      </c>
      <c r="B184" s="37" t="inlineStr">
        <is>
          <t>Sortie</t>
        </is>
      </c>
      <c r="C184" s="37" t="inlineStr">
        <is>
          <t>ECR-M6</t>
        </is>
      </c>
      <c r="D184" s="39" t="str">
        <f>IF(C184="","",IFERROR(INDEX(art_des,MATCH(C184,art_ref,0))&amp;"","Référence inconnue"))</f>
        <v>Écrou inox M6</v>
      </c>
      <c r="E184" s="37" t="n">
        <v>417</v>
      </c>
      <c r="F184" s="39" t="str">
        <f>IF(C184="","",IFERROR(INDEX(art_unit,MATCH(C184,art_ref,0))&amp;"",""))</f>
        <v>pièce</v>
      </c>
      <c r="G184" s="37" t="inlineStr">
        <is>
          <t>BS-2026-0163</t>
        </is>
      </c>
      <c r="H184" s="37" t="inlineStr">
        <is>
          <t>Atelier soudure</t>
        </is>
      </c>
      <c r="I184" s="37" t="n"/>
      <c r="J184" s="40">
        <f>IF(OR(C184="",NOT(ISNUMBER(E184))),"",IFERROR(E184*N(INDEX(art_price,MATCH(C184,art_ref,0))),""))</f>
        <v>20.85</v>
      </c>
      <c r="K184" s="39">
        <f>IF(OR(C184="",NOT(ISNUMBER(E184))),"",IFERROR(ROUND(N(INDEX(art_init,MATCH(C184,art_ref,0)))+SUMIFS($E$5:E184,$C$5:C184,C184,$B$5:B184,"Entrée")-SUMIFS($E$5:E184,$C$5:C184,C184,$B$5:B184,"Sortie"),6),""))</f>
        <v>1413.0</v>
      </c>
      <c r="L184" s="39" t="str">
        <f>IF(COUNTA(A184:C184,E184)=0,"",IF(COUNTA(A184:C184,E184)&lt;4,"Ligne incomplète",IF(NOT(ISNUMBER(A184)),"Date invalide",IF(AND(B184&lt;&gt;"Entrée",B184&lt;&gt;"Sortie"),"Type inconnu",IF(ISNA(MATCH(C184,art_ref,0)),"Référence inconnue",IF(OR(NOT(ISNUMBER(E184)),N(E184)&lt;=0),"Quantité invalide",IF(K184&lt;0,"Stock négatif",IF(AND(ISNUMBER(A183),A184&lt;A183),"Date hors ordre","OK"))))))))</f>
        <v>OK</v>
      </c>
      <c r="M184" s="39" t="str">
        <f>IF(C184="","",C184&amp;"#"&amp;COUNTIF($C$5:C184,C184))</f>
        <v>ECR-M6#12</v>
      </c>
    </row>
    <row r="185">
      <c r="A185" s="41" t="n">
        <v>46176</v>
      </c>
      <c r="B185" s="37" t="inlineStr">
        <is>
          <t>Sortie</t>
        </is>
      </c>
      <c r="C185" s="37" t="inlineStr">
        <is>
          <t>TOL-ACI-2</t>
        </is>
      </c>
      <c r="D185" s="39" t="str">
        <f>IF(C185="","",IFERROR(INDEX(art_des,MATCH(C185,art_ref,0))&amp;"","Référence inconnue"))</f>
        <v>Tôle acier 2 mm 1000 x 2000</v>
      </c>
      <c r="E185" s="37" t="n">
        <v>9</v>
      </c>
      <c r="F185" s="39" t="str">
        <f>IF(C185="","",IFERROR(INDEX(art_unit,MATCH(C185,art_ref,0))&amp;"",""))</f>
        <v>feuille</v>
      </c>
      <c r="G185" s="37" t="inlineStr">
        <is>
          <t>BS-2026-0164</t>
        </is>
      </c>
      <c r="H185" s="37" t="inlineStr">
        <is>
          <t>Maintenance</t>
        </is>
      </c>
      <c r="I185" s="37" t="n"/>
      <c r="J185" s="40">
        <f>IF(OR(C185="",NOT(ISNUMBER(E185))),"",IFERROR(E185*N(INDEX(art_price,MATCH(C185,art_ref,0))),""))</f>
        <v>436.5</v>
      </c>
      <c r="K185" s="39">
        <f>IF(OR(C185="",NOT(ISNUMBER(E185))),"",IFERROR(ROUND(N(INDEX(art_init,MATCH(C185,art_ref,0)))+SUMIFS($E$5:E185,$C$5:C185,C185,$B$5:B185,"Entrée")-SUMIFS($E$5:E185,$C$5:C185,C185,$B$5:B185,"Sortie"),6),""))</f>
        <v>51.0</v>
      </c>
      <c r="L185" s="39" t="str">
        <f>IF(COUNTA(A185:C185,E185)=0,"",IF(COUNTA(A185:C185,E185)&lt;4,"Ligne incomplète",IF(NOT(ISNUMBER(A185)),"Date invalide",IF(AND(B185&lt;&gt;"Entrée",B185&lt;&gt;"Sortie"),"Type inconnu",IF(ISNA(MATCH(C185,art_ref,0)),"Référence inconnue",IF(OR(NOT(ISNUMBER(E185)),N(E185)&lt;=0),"Quantité invalide",IF(K185&lt;0,"Stock négatif",IF(AND(ISNUMBER(A184),A185&lt;A184),"Date hors ordre","OK"))))))))</f>
        <v>OK</v>
      </c>
      <c r="M185" s="39" t="str">
        <f>IF(C185="","",C185&amp;"#"&amp;COUNTIF($C$5:C185,C185))</f>
        <v>TOL-ACI-2#13</v>
      </c>
    </row>
    <row r="186">
      <c r="A186" s="41" t="n">
        <v>46177</v>
      </c>
      <c r="B186" s="37" t="inlineStr">
        <is>
          <t>Sortie</t>
        </is>
      </c>
      <c r="C186" s="37" t="inlineStr">
        <is>
          <t>ROU-6204</t>
        </is>
      </c>
      <c r="D186" s="39" t="str">
        <f>IF(C186="","",IFERROR(INDEX(art_des,MATCH(C186,art_ref,0))&amp;"","Référence inconnue"))</f>
        <v>Roulement à billes 6204 2RS</v>
      </c>
      <c r="E186" s="37" t="n">
        <v>18</v>
      </c>
      <c r="F186" s="39" t="str">
        <f>IF(C186="","",IFERROR(INDEX(art_unit,MATCH(C186,art_ref,0))&amp;"",""))</f>
        <v>pièce</v>
      </c>
      <c r="G186" s="37" t="inlineStr">
        <is>
          <t>BS-2026-0165</t>
        </is>
      </c>
      <c r="H186" s="37" t="inlineStr">
        <is>
          <t>Maintenance</t>
        </is>
      </c>
      <c r="I186" s="37" t="n"/>
      <c r="J186" s="40">
        <f>IF(OR(C186="",NOT(ISNUMBER(E186))),"",IFERROR(E186*N(INDEX(art_price,MATCH(C186,art_ref,0))),""))</f>
        <v>68.4</v>
      </c>
      <c r="K186" s="39">
        <f>IF(OR(C186="",NOT(ISNUMBER(E186))),"",IFERROR(ROUND(N(INDEX(art_init,MATCH(C186,art_ref,0)))+SUMIFS($E$5:E186,$C$5:C186,C186,$B$5:B186,"Entrée")-SUMIFS($E$5:E186,$C$5:C186,C186,$B$5:B186,"Sortie"),6),""))</f>
        <v>33.0</v>
      </c>
      <c r="L186" s="39" t="str">
        <f>IF(COUNTA(A186:C186,E186)=0,"",IF(COUNTA(A186:C186,E186)&lt;4,"Ligne incomplète",IF(NOT(ISNUMBER(A186)),"Date invalide",IF(AND(B186&lt;&gt;"Entrée",B186&lt;&gt;"Sortie"),"Type inconnu",IF(ISNA(MATCH(C186,art_ref,0)),"Référence inconnue",IF(OR(NOT(ISNUMBER(E186)),N(E186)&lt;=0),"Quantité invalide",IF(K186&lt;0,"Stock négatif",IF(AND(ISNUMBER(A185),A186&lt;A185),"Date hors ordre","OK"))))))))</f>
        <v>OK</v>
      </c>
      <c r="M186" s="39" t="str">
        <f>IF(C186="","",C186&amp;"#"&amp;COUNTIF($C$5:C186,C186))</f>
        <v>ROU-6204#12</v>
      </c>
    </row>
    <row r="187">
      <c r="A187" s="41" t="n">
        <v>46178</v>
      </c>
      <c r="B187" s="37" t="inlineStr">
        <is>
          <t>Sortie</t>
        </is>
      </c>
      <c r="C187" s="37" t="inlineStr">
        <is>
          <t>PAL-120</t>
        </is>
      </c>
      <c r="D187" s="39" t="str">
        <f>IF(C187="","",IFERROR(INDEX(art_des,MATCH(C187,art_ref,0))&amp;"","Référence inconnue"))</f>
        <v>Palette bois 120 x 80</v>
      </c>
      <c r="E187" s="37" t="n">
        <v>7</v>
      </c>
      <c r="F187" s="39" t="str">
        <f>IF(C187="","",IFERROR(INDEX(art_unit,MATCH(C187,art_ref,0))&amp;"",""))</f>
        <v>pièce</v>
      </c>
      <c r="G187" s="37" t="inlineStr">
        <is>
          <t>BS-2026-0166</t>
        </is>
      </c>
      <c r="H187" s="37" t="inlineStr">
        <is>
          <t>Expédition</t>
        </is>
      </c>
      <c r="I187" s="37" t="n"/>
      <c r="J187" s="40">
        <f>IF(OR(C187="",NOT(ISNUMBER(E187))),"",IFERROR(E187*N(INDEX(art_price,MATCH(C187,art_ref,0))),""))</f>
        <v>63.0</v>
      </c>
      <c r="K187" s="39">
        <f>IF(OR(C187="",NOT(ISNUMBER(E187))),"",IFERROR(ROUND(N(INDEX(art_init,MATCH(C187,art_ref,0)))+SUMIFS($E$5:E187,$C$5:C187,C187,$B$5:B187,"Entrée")-SUMIFS($E$5:E187,$C$5:C187,C187,$B$5:B187,"Sortie"),6),""))</f>
        <v>9.0</v>
      </c>
      <c r="L187" s="39" t="str">
        <f>IF(COUNTA(A187:C187,E187)=0,"",IF(COUNTA(A187:C187,E187)&lt;4,"Ligne incomplète",IF(NOT(ISNUMBER(A187)),"Date invalide",IF(AND(B187&lt;&gt;"Entrée",B187&lt;&gt;"Sortie"),"Type inconnu",IF(ISNA(MATCH(C187,art_ref,0)),"Référence inconnue",IF(OR(NOT(ISNUMBER(E187)),N(E187)&lt;=0),"Quantité invalide",IF(K187&lt;0,"Stock négatif",IF(AND(ISNUMBER(A186),A187&lt;A186),"Date hors ordre","OK"))))))))</f>
        <v>OK</v>
      </c>
      <c r="M187" s="39" t="str">
        <f>IF(C187="","",C187&amp;"#"&amp;COUNTIF($C$5:C187,C187))</f>
        <v>PAL-120#12</v>
      </c>
    </row>
    <row r="188">
      <c r="A188" s="41" t="n">
        <v>46180</v>
      </c>
      <c r="B188" s="37" t="inlineStr">
        <is>
          <t>Entrée</t>
        </is>
      </c>
      <c r="C188" s="37" t="inlineStr">
        <is>
          <t>ROU-6204</t>
        </is>
      </c>
      <c r="D188" s="39" t="str">
        <f>IF(C188="","",IFERROR(INDEX(art_des,MATCH(C188,art_ref,0))&amp;"","Référence inconnue"))</f>
        <v>Roulement à billes 6204 2RS</v>
      </c>
      <c r="E188" s="37" t="n">
        <v>117</v>
      </c>
      <c r="F188" s="39" t="str">
        <f>IF(C188="","",IFERROR(INDEX(art_unit,MATCH(C188,art_ref,0))&amp;"",""))</f>
        <v>pièce</v>
      </c>
      <c r="G188" s="37" t="inlineStr">
        <is>
          <t>BL-2026-018</t>
        </is>
      </c>
      <c r="H188" s="37" t="inlineStr">
        <is>
          <t>Roulements Express</t>
        </is>
      </c>
      <c r="I188" s="37" t="inlineStr">
        <is>
          <t>Réception commande</t>
        </is>
      </c>
      <c r="J188" s="40">
        <f>IF(OR(C188="",NOT(ISNUMBER(E188))),"",IFERROR(E188*N(INDEX(art_price,MATCH(C188,art_ref,0))),""))</f>
        <v>444.6</v>
      </c>
      <c r="K188" s="39">
        <f>IF(OR(C188="",NOT(ISNUMBER(E188))),"",IFERROR(ROUND(N(INDEX(art_init,MATCH(C188,art_ref,0)))+SUMIFS($E$5:E188,$C$5:C188,C188,$B$5:B188,"Entrée")-SUMIFS($E$5:E188,$C$5:C188,C188,$B$5:B188,"Sortie"),6),""))</f>
        <v>150.0</v>
      </c>
      <c r="L188" s="39" t="str">
        <f>IF(COUNTA(A188:C188,E188)=0,"",IF(COUNTA(A188:C188,E188)&lt;4,"Ligne incomplète",IF(NOT(ISNUMBER(A188)),"Date invalide",IF(AND(B188&lt;&gt;"Entrée",B188&lt;&gt;"Sortie"),"Type inconnu",IF(ISNA(MATCH(C188,art_ref,0)),"Référence inconnue",IF(OR(NOT(ISNUMBER(E188)),N(E188)&lt;=0),"Quantité invalide",IF(K188&lt;0,"Stock négatif",IF(AND(ISNUMBER(A187),A188&lt;A187),"Date hors ordre","OK"))))))))</f>
        <v>OK</v>
      </c>
      <c r="M188" s="39" t="str">
        <f>IF(C188="","",C188&amp;"#"&amp;COUNTIF($C$5:C188,C188))</f>
        <v>ROU-6204#13</v>
      </c>
    </row>
    <row r="189">
      <c r="A189" s="41" t="n">
        <v>46180</v>
      </c>
      <c r="B189" s="37" t="inlineStr">
        <is>
          <t>Sortie</t>
        </is>
      </c>
      <c r="C189" s="37" t="inlineStr">
        <is>
          <t>GAN-NIT</t>
        </is>
      </c>
      <c r="D189" s="39" t="str">
        <f>IF(C189="","",IFERROR(INDEX(art_des,MATCH(C189,art_ref,0))&amp;"","Référence inconnue"))</f>
        <v>Gants nitrile, boîte de 100</v>
      </c>
      <c r="E189" s="37" t="n">
        <v>4</v>
      </c>
      <c r="F189" s="39" t="str">
        <f>IF(C189="","",IFERROR(INDEX(art_unit,MATCH(C189,art_ref,0))&amp;"",""))</f>
        <v>boîte</v>
      </c>
      <c r="G189" s="37" t="inlineStr">
        <is>
          <t>BS-2026-0167</t>
        </is>
      </c>
      <c r="H189" s="37" t="inlineStr">
        <is>
          <t>Atelier montage</t>
        </is>
      </c>
      <c r="I189" s="37" t="n"/>
      <c r="J189" s="40">
        <f>IF(OR(C189="",NOT(ISNUMBER(E189))),"",IFERROR(E189*N(INDEX(art_price,MATCH(C189,art_ref,0))),""))</f>
        <v>30.0</v>
      </c>
      <c r="K189" s="39">
        <f>IF(OR(C189="",NOT(ISNUMBER(E189))),"",IFERROR(ROUND(N(INDEX(art_init,MATCH(C189,art_ref,0)))+SUMIFS($E$5:E189,$C$5:C189,C189,$B$5:B189,"Entrée")-SUMIFS($E$5:E189,$C$5:C189,C189,$B$5:B189,"Sortie"),6),""))</f>
        <v>8.0</v>
      </c>
      <c r="L189" s="39" t="str">
        <f>IF(COUNTA(A189:C189,E189)=0,"",IF(COUNTA(A189:C189,E189)&lt;4,"Ligne incomplète",IF(NOT(ISNUMBER(A189)),"Date invalide",IF(AND(B189&lt;&gt;"Entrée",B189&lt;&gt;"Sortie"),"Type inconnu",IF(ISNA(MATCH(C189,art_ref,0)),"Référence inconnue",IF(OR(NOT(ISNUMBER(E189)),N(E189)&lt;=0),"Quantité invalide",IF(K189&lt;0,"Stock négatif",IF(AND(ISNUMBER(A188),A189&lt;A188),"Date hors ordre","OK"))))))))</f>
        <v>OK</v>
      </c>
      <c r="M189" s="39" t="str">
        <f>IF(C189="","",C189&amp;"#"&amp;COUNTIF($C$5:C189,C189))</f>
        <v>GAN-NIT#12</v>
      </c>
    </row>
    <row r="190">
      <c r="A190" s="41" t="n">
        <v>46181</v>
      </c>
      <c r="B190" s="37" t="inlineStr">
        <is>
          <t>Entrée</t>
        </is>
      </c>
      <c r="C190" s="37" t="inlineStr">
        <is>
          <t>PAL-120</t>
        </is>
      </c>
      <c r="D190" s="39" t="str">
        <f>IF(C190="","",IFERROR(INDEX(art_des,MATCH(C190,art_ref,0))&amp;"","Référence inconnue"))</f>
        <v>Palette bois 120 x 80</v>
      </c>
      <c r="E190" s="37" t="n">
        <v>41</v>
      </c>
      <c r="F190" s="39" t="str">
        <f>IF(C190="","",IFERROR(INDEX(art_unit,MATCH(C190,art_ref,0))&amp;"",""))</f>
        <v>pièce</v>
      </c>
      <c r="G190" s="37" t="inlineStr">
        <is>
          <t>BL-2026-019</t>
        </is>
      </c>
      <c r="H190" s="37" t="inlineStr">
        <is>
          <t>Emballages Atlas</t>
        </is>
      </c>
      <c r="I190" s="37" t="inlineStr">
        <is>
          <t>Réception commande</t>
        </is>
      </c>
      <c r="J190" s="40">
        <f>IF(OR(C190="",NOT(ISNUMBER(E190))),"",IFERROR(E190*N(INDEX(art_price,MATCH(C190,art_ref,0))),""))</f>
        <v>369.0</v>
      </c>
      <c r="K190" s="39">
        <f>IF(OR(C190="",NOT(ISNUMBER(E190))),"",IFERROR(ROUND(N(INDEX(art_init,MATCH(C190,art_ref,0)))+SUMIFS($E$5:E190,$C$5:C190,C190,$B$5:B190,"Entrée")-SUMIFS($E$5:E190,$C$5:C190,C190,$B$5:B190,"Sortie"),6),""))</f>
        <v>50.0</v>
      </c>
      <c r="L190" s="39" t="str">
        <f>IF(COUNTA(A190:C190,E190)=0,"",IF(COUNTA(A190:C190,E190)&lt;4,"Ligne incomplète",IF(NOT(ISNUMBER(A190)),"Date invalide",IF(AND(B190&lt;&gt;"Entrée",B190&lt;&gt;"Sortie"),"Type inconnu",IF(ISNA(MATCH(C190,art_ref,0)),"Référence inconnue",IF(OR(NOT(ISNUMBER(E190)),N(E190)&lt;=0),"Quantité invalide",IF(K190&lt;0,"Stock négatif",IF(AND(ISNUMBER(A189),A190&lt;A189),"Date hors ordre","OK"))))))))</f>
        <v>OK</v>
      </c>
      <c r="M190" s="39" t="str">
        <f>IF(C190="","",C190&amp;"#"&amp;COUNTIF($C$5:C190,C190))</f>
        <v>PAL-120#13</v>
      </c>
    </row>
    <row r="191">
      <c r="A191" s="41" t="n">
        <v>46182</v>
      </c>
      <c r="B191" s="37" t="inlineStr">
        <is>
          <t>Sortie</t>
        </is>
      </c>
      <c r="C191" s="37" t="inlineStr">
        <is>
          <t>DIS-125</t>
        </is>
      </c>
      <c r="D191" s="39" t="str">
        <f>IF(C191="","",IFERROR(INDEX(art_des,MATCH(C191,art_ref,0))&amp;"","Référence inconnue"))</f>
        <v>Disque à tronçonner 125 mm</v>
      </c>
      <c r="E191" s="37" t="n">
        <v>29</v>
      </c>
      <c r="F191" s="39" t="str">
        <f>IF(C191="","",IFERROR(INDEX(art_unit,MATCH(C191,art_ref,0))&amp;"",""))</f>
        <v>pièce</v>
      </c>
      <c r="G191" s="37" t="inlineStr">
        <is>
          <t>BS-2026-0168</t>
        </is>
      </c>
      <c r="H191" s="37" t="inlineStr">
        <is>
          <t>Atelier soudure</t>
        </is>
      </c>
      <c r="I191" s="37" t="n"/>
      <c r="J191" s="40">
        <f>IF(OR(C191="",NOT(ISNUMBER(E191))),"",IFERROR(E191*N(INDEX(art_price,MATCH(C191,art_ref,0))),""))</f>
        <v>55.1</v>
      </c>
      <c r="K191" s="39">
        <f>IF(OR(C191="",NOT(ISNUMBER(E191))),"",IFERROR(ROUND(N(INDEX(art_init,MATCH(C191,art_ref,0)))+SUMIFS($E$5:E191,$C$5:C191,C191,$B$5:B191,"Entrée")-SUMIFS($E$5:E191,$C$5:C191,C191,$B$5:B191,"Sortie"),6),""))</f>
        <v>59.0</v>
      </c>
      <c r="L191" s="39" t="str">
        <f>IF(COUNTA(A191:C191,E191)=0,"",IF(COUNTA(A191:C191,E191)&lt;4,"Ligne incomplète",IF(NOT(ISNUMBER(A191)),"Date invalide",IF(AND(B191&lt;&gt;"Entrée",B191&lt;&gt;"Sortie"),"Type inconnu",IF(ISNA(MATCH(C191,art_ref,0)),"Référence inconnue",IF(OR(NOT(ISNUMBER(E191)),N(E191)&lt;=0),"Quantité invalide",IF(K191&lt;0,"Stock négatif",IF(AND(ISNUMBER(A190),A191&lt;A190),"Date hors ordre","OK"))))))))</f>
        <v>OK</v>
      </c>
      <c r="M191" s="39" t="str">
        <f>IF(C191="","",C191&amp;"#"&amp;COUNTIF($C$5:C191,C191))</f>
        <v>DIS-125#12</v>
      </c>
    </row>
    <row r="192">
      <c r="A192" s="41" t="n">
        <v>46183</v>
      </c>
      <c r="B192" s="37" t="inlineStr">
        <is>
          <t>Entrée</t>
        </is>
      </c>
      <c r="C192" s="37" t="inlineStr">
        <is>
          <t>GAN-NIT</t>
        </is>
      </c>
      <c r="D192" s="39" t="str">
        <f>IF(C192="","",IFERROR(INDEX(art_des,MATCH(C192,art_ref,0))&amp;"","Référence inconnue"))</f>
        <v>Gants nitrile, boîte de 100</v>
      </c>
      <c r="E192" s="37" t="n">
        <v>22</v>
      </c>
      <c r="F192" s="39" t="str">
        <f>IF(C192="","",IFERROR(INDEX(art_unit,MATCH(C192,art_ref,0))&amp;"",""))</f>
        <v>boîte</v>
      </c>
      <c r="G192" s="37" t="inlineStr">
        <is>
          <t>BL-2026-020</t>
        </is>
      </c>
      <c r="H192" s="37" t="inlineStr">
        <is>
          <t>EPI Fournitures</t>
        </is>
      </c>
      <c r="I192" s="37" t="inlineStr">
        <is>
          <t>Réception commande</t>
        </is>
      </c>
      <c r="J192" s="40">
        <f>IF(OR(C192="",NOT(ISNUMBER(E192))),"",IFERROR(E192*N(INDEX(art_price,MATCH(C192,art_ref,0))),""))</f>
        <v>165.0</v>
      </c>
      <c r="K192" s="39">
        <f>IF(OR(C192="",NOT(ISNUMBER(E192))),"",IFERROR(ROUND(N(INDEX(art_init,MATCH(C192,art_ref,0)))+SUMIFS($E$5:E192,$C$5:C192,C192,$B$5:B192,"Entrée")-SUMIFS($E$5:E192,$C$5:C192,C192,$B$5:B192,"Sortie"),6),""))</f>
        <v>30.0</v>
      </c>
      <c r="L192" s="39" t="str">
        <f>IF(COUNTA(A192:C192,E192)=0,"",IF(COUNTA(A192:C192,E192)&lt;4,"Ligne incomplète",IF(NOT(ISNUMBER(A192)),"Date invalide",IF(AND(B192&lt;&gt;"Entrée",B192&lt;&gt;"Sortie"),"Type inconnu",IF(ISNA(MATCH(C192,art_ref,0)),"Référence inconnue",IF(OR(NOT(ISNUMBER(E192)),N(E192)&lt;=0),"Quantité invalide",IF(K192&lt;0,"Stock négatif",IF(AND(ISNUMBER(A191),A192&lt;A191),"Date hors ordre","OK"))))))))</f>
        <v>OK</v>
      </c>
      <c r="M192" s="39" t="str">
        <f>IF(C192="","",C192&amp;"#"&amp;COUNTIF($C$5:C192,C192))</f>
        <v>GAN-NIT#13</v>
      </c>
    </row>
    <row r="193">
      <c r="A193" s="41" t="n">
        <v>46183</v>
      </c>
      <c r="B193" s="37" t="inlineStr">
        <is>
          <t>Sortie</t>
        </is>
      </c>
      <c r="C193" s="37" t="inlineStr">
        <is>
          <t>BOR-WAGO-3</t>
        </is>
      </c>
      <c r="D193" s="39" t="str">
        <f>IF(C193="","",IFERROR(INDEX(art_des,MATCH(C193,art_ref,0))&amp;"","Référence inconnue"))</f>
        <v>Borne de connexion 3 entrées</v>
      </c>
      <c r="E193" s="37" t="n">
        <v>34</v>
      </c>
      <c r="F193" s="39" t="str">
        <f>IF(C193="","",IFERROR(INDEX(art_unit,MATCH(C193,art_ref,0))&amp;"",""))</f>
        <v>pièce</v>
      </c>
      <c r="G193" s="37" t="inlineStr">
        <is>
          <t>BS-2026-0169</t>
        </is>
      </c>
      <c r="H193" s="37" t="inlineStr">
        <is>
          <t>Atelier montage</t>
        </is>
      </c>
      <c r="I193" s="37" t="n"/>
      <c r="J193" s="40">
        <f>IF(OR(C193="",NOT(ISNUMBER(E193))),"",IFERROR(E193*N(INDEX(art_price,MATCH(C193,art_ref,0))),""))</f>
        <v>14.28</v>
      </c>
      <c r="K193" s="39">
        <f>IF(OR(C193="",NOT(ISNUMBER(E193))),"",IFERROR(ROUND(N(INDEX(art_init,MATCH(C193,art_ref,0)))+SUMIFS($E$5:E193,$C$5:C193,C193,$B$5:B193,"Entrée")-SUMIFS($E$5:E193,$C$5:C193,C193,$B$5:B193,"Sortie"),6),""))</f>
        <v>128.0</v>
      </c>
      <c r="L193" s="39" t="str">
        <f>IF(COUNTA(A193:C193,E193)=0,"",IF(COUNTA(A193:C193,E193)&lt;4,"Ligne incomplète",IF(NOT(ISNUMBER(A193)),"Date invalide",IF(AND(B193&lt;&gt;"Entrée",B193&lt;&gt;"Sortie"),"Type inconnu",IF(ISNA(MATCH(C193,art_ref,0)),"Référence inconnue",IF(OR(NOT(ISNUMBER(E193)),N(E193)&lt;=0),"Quantité invalide",IF(K193&lt;0,"Stock négatif",IF(AND(ISNUMBER(A192),A193&lt;A192),"Date hors ordre","OK"))))))))</f>
        <v>OK</v>
      </c>
      <c r="M193" s="39" t="str">
        <f>IF(C193="","",C193&amp;"#"&amp;COUNTIF($C$5:C193,C193))</f>
        <v>BOR-WAGO-3#12</v>
      </c>
    </row>
    <row r="194">
      <c r="A194" s="41" t="n">
        <v>46183</v>
      </c>
      <c r="B194" s="37" t="inlineStr">
        <is>
          <t>Sortie</t>
        </is>
      </c>
      <c r="C194" s="37" t="inlineStr">
        <is>
          <t>FOR-HSS-8</t>
        </is>
      </c>
      <c r="D194" s="39" t="str">
        <f>IF(C194="","",IFERROR(INDEX(art_des,MATCH(C194,art_ref,0))&amp;"","Référence inconnue"))</f>
        <v>Foret HSS 8 mm</v>
      </c>
      <c r="E194" s="37" t="n">
        <v>2</v>
      </c>
      <c r="F194" s="39" t="str">
        <f>IF(C194="","",IFERROR(INDEX(art_unit,MATCH(C194,art_ref,0))&amp;"",""))</f>
        <v>pièce</v>
      </c>
      <c r="G194" s="37" t="inlineStr">
        <is>
          <t>BS-2026-0170</t>
        </is>
      </c>
      <c r="H194" s="37" t="inlineStr">
        <is>
          <t>Maintenance</t>
        </is>
      </c>
      <c r="I194" s="37" t="n"/>
      <c r="J194" s="40">
        <f>IF(OR(C194="",NOT(ISNUMBER(E194))),"",IFERROR(E194*N(INDEX(art_price,MATCH(C194,art_ref,0))),""))</f>
        <v>9.2</v>
      </c>
      <c r="K194" s="39">
        <f>IF(OR(C194="",NOT(ISNUMBER(E194))),"",IFERROR(ROUND(N(INDEX(art_init,MATCH(C194,art_ref,0)))+SUMIFS($E$5:E194,$C$5:C194,C194,$B$5:B194,"Entrée")-SUMIFS($E$5:E194,$C$5:C194,C194,$B$5:B194,"Sortie"),6),""))</f>
        <v>30.0</v>
      </c>
      <c r="L194" s="39" t="str">
        <f>IF(COUNTA(A194:C194,E194)=0,"",IF(COUNTA(A194:C194,E194)&lt;4,"Ligne incomplète",IF(NOT(ISNUMBER(A194)),"Date invalide",IF(AND(B194&lt;&gt;"Entrée",B194&lt;&gt;"Sortie"),"Type inconnu",IF(ISNA(MATCH(C194,art_ref,0)),"Référence inconnue",IF(OR(NOT(ISNUMBER(E194)),N(E194)&lt;=0),"Quantité invalide",IF(K194&lt;0,"Stock négatif",IF(AND(ISNUMBER(A193),A194&lt;A193),"Date hors ordre","OK"))))))))</f>
        <v>OK</v>
      </c>
      <c r="M194" s="39" t="str">
        <f>IF(C194="","",C194&amp;"#"&amp;COUNTIF($C$5:C194,C194))</f>
        <v>FOR-HSS-8#12</v>
      </c>
    </row>
    <row r="195">
      <c r="A195" s="41" t="n">
        <v>46184</v>
      </c>
      <c r="B195" s="37" t="inlineStr">
        <is>
          <t>Sortie</t>
        </is>
      </c>
      <c r="C195" s="37" t="inlineStr">
        <is>
          <t>HUI-COUP-5</t>
        </is>
      </c>
      <c r="D195" s="39" t="str">
        <f>IF(C195="","",IFERROR(INDEX(art_des,MATCH(C195,art_ref,0))&amp;"","Référence inconnue"))</f>
        <v>Huile de coupe soluble 5 L</v>
      </c>
      <c r="E195" s="37" t="n">
        <v>2</v>
      </c>
      <c r="F195" s="39" t="str">
        <f>IF(C195="","",IFERROR(INDEX(art_unit,MATCH(C195,art_ref,0))&amp;"",""))</f>
        <v>bidon</v>
      </c>
      <c r="G195" s="37" t="inlineStr">
        <is>
          <t>BS-2026-0171</t>
        </is>
      </c>
      <c r="H195" s="37" t="inlineStr">
        <is>
          <t>Expédition</t>
        </is>
      </c>
      <c r="I195" s="37" t="n"/>
      <c r="J195" s="40">
        <f>IF(OR(C195="",NOT(ISNUMBER(E195))),"",IFERROR(E195*N(INDEX(art_price,MATCH(C195,art_ref,0))),""))</f>
        <v>54.0</v>
      </c>
      <c r="K195" s="39">
        <f>IF(OR(C195="",NOT(ISNUMBER(E195))),"",IFERROR(ROUND(N(INDEX(art_init,MATCH(C195,art_ref,0)))+SUMIFS($E$5:E195,$C$5:C195,C195,$B$5:B195,"Entrée")-SUMIFS($E$5:E195,$C$5:C195,C195,$B$5:B195,"Sortie"),6),""))</f>
        <v>9.0</v>
      </c>
      <c r="L195" s="39" t="str">
        <f>IF(COUNTA(A195:C195,E195)=0,"",IF(COUNTA(A195:C195,E195)&lt;4,"Ligne incomplète",IF(NOT(ISNUMBER(A195)),"Date invalide",IF(AND(B195&lt;&gt;"Entrée",B195&lt;&gt;"Sortie"),"Type inconnu",IF(ISNA(MATCH(C195,art_ref,0)),"Référence inconnue",IF(OR(NOT(ISNUMBER(E195)),N(E195)&lt;=0),"Quantité invalide",IF(K195&lt;0,"Stock négatif",IF(AND(ISNUMBER(A194),A195&lt;A194),"Date hors ordre","OK"))))))))</f>
        <v>OK</v>
      </c>
      <c r="M195" s="39" t="str">
        <f>IF(C195="","",C195&amp;"#"&amp;COUNTIF($C$5:C195,C195))</f>
        <v>HUI-COUP-5#12</v>
      </c>
    </row>
    <row r="196">
      <c r="A196" s="41" t="n">
        <v>46185</v>
      </c>
      <c r="B196" s="37" t="inlineStr">
        <is>
          <t>Sortie</t>
        </is>
      </c>
      <c r="C196" s="37" t="inlineStr">
        <is>
          <t>JOI-20-2</t>
        </is>
      </c>
      <c r="D196" s="39" t="str">
        <f>IF(C196="","",IFERROR(INDEX(art_des,MATCH(C196,art_ref,0))&amp;"","Référence inconnue"))</f>
        <v>Joint torique 20 x 2 NBR</v>
      </c>
      <c r="E196" s="37" t="n">
        <v>58</v>
      </c>
      <c r="F196" s="39" t="str">
        <f>IF(C196="","",IFERROR(INDEX(art_unit,MATCH(C196,art_ref,0))&amp;"",""))</f>
        <v>pièce</v>
      </c>
      <c r="G196" s="37" t="inlineStr">
        <is>
          <t>BS-2026-0172</t>
        </is>
      </c>
      <c r="H196" s="37" t="inlineStr">
        <is>
          <t>Atelier usinage</t>
        </is>
      </c>
      <c r="I196" s="37" t="n"/>
      <c r="J196" s="40">
        <f>IF(OR(C196="",NOT(ISNUMBER(E196))),"",IFERROR(E196*N(INDEX(art_price,MATCH(C196,art_ref,0))),""))</f>
        <v>20.3</v>
      </c>
      <c r="K196" s="39">
        <f>IF(OR(C196="",NOT(ISNUMBER(E196))),"",IFERROR(ROUND(N(INDEX(art_init,MATCH(C196,art_ref,0)))+SUMIFS($E$5:E196,$C$5:C196,C196,$B$5:B196,"Entrée")-SUMIFS($E$5:E196,$C$5:C196,C196,$B$5:B196,"Sortie"),6),""))</f>
        <v>220.0</v>
      </c>
      <c r="L196" s="39" t="str">
        <f>IF(COUNTA(A196:C196,E196)=0,"",IF(COUNTA(A196:C196,E196)&lt;4,"Ligne incomplète",IF(NOT(ISNUMBER(A196)),"Date invalide",IF(AND(B196&lt;&gt;"Entrée",B196&lt;&gt;"Sortie"),"Type inconnu",IF(ISNA(MATCH(C196,art_ref,0)),"Référence inconnue",IF(OR(NOT(ISNUMBER(E196)),N(E196)&lt;=0),"Quantité invalide",IF(K196&lt;0,"Stock négatif",IF(AND(ISNUMBER(A195),A196&lt;A195),"Date hors ordre","OK"))))))))</f>
        <v>OK</v>
      </c>
      <c r="M196" s="39" t="str">
        <f>IF(C196="","",C196&amp;"#"&amp;COUNTIF($C$5:C196,C196))</f>
        <v>JOI-20-2#12</v>
      </c>
    </row>
    <row r="197">
      <c r="A197" s="41" t="n">
        <v>46186</v>
      </c>
      <c r="B197" s="37" t="inlineStr">
        <is>
          <t>Sortie</t>
        </is>
      </c>
      <c r="C197" s="37" t="inlineStr">
        <is>
          <t>CAR-40-30</t>
        </is>
      </c>
      <c r="D197" s="39" t="str">
        <f>IF(C197="","",IFERROR(INDEX(art_des,MATCH(C197,art_ref,0))&amp;"","Référence inconnue"))</f>
        <v>Carton double cannelure 40 x 30 x 20</v>
      </c>
      <c r="E197" s="37" t="n">
        <v>84</v>
      </c>
      <c r="F197" s="39" t="str">
        <f>IF(C197="","",IFERROR(INDEX(art_unit,MATCH(C197,art_ref,0))&amp;"",""))</f>
        <v>pièce</v>
      </c>
      <c r="G197" s="37" t="inlineStr">
        <is>
          <t>BS-2026-0173</t>
        </is>
      </c>
      <c r="H197" s="37" t="inlineStr">
        <is>
          <t>Maintenance</t>
        </is>
      </c>
      <c r="I197" s="37" t="n"/>
      <c r="J197" s="40">
        <f>IF(OR(C197="",NOT(ISNUMBER(E197))),"",IFERROR(E197*N(INDEX(art_price,MATCH(C197,art_ref,0))),""))</f>
        <v>79.8</v>
      </c>
      <c r="K197" s="39">
        <f>IF(OR(C197="",NOT(ISNUMBER(E197))),"",IFERROR(ROUND(N(INDEX(art_init,MATCH(C197,art_ref,0)))+SUMIFS($E$5:E197,$C$5:C197,C197,$B$5:B197,"Entrée")-SUMIFS($E$5:E197,$C$5:C197,C197,$B$5:B197,"Sortie"),6),""))</f>
        <v>163.0</v>
      </c>
      <c r="L197" s="39" t="str">
        <f>IF(COUNTA(A197:C197,E197)=0,"",IF(COUNTA(A197:C197,E197)&lt;4,"Ligne incomplète",IF(NOT(ISNUMBER(A197)),"Date invalide",IF(AND(B197&lt;&gt;"Entrée",B197&lt;&gt;"Sortie"),"Type inconnu",IF(ISNA(MATCH(C197,art_ref,0)),"Référence inconnue",IF(OR(NOT(ISNUMBER(E197)),N(E197)&lt;=0),"Quantité invalide",IF(K197&lt;0,"Stock négatif",IF(AND(ISNUMBER(A196),A197&lt;A196),"Date hors ordre","OK"))))))))</f>
        <v>OK</v>
      </c>
      <c r="M197" s="39" t="str">
        <f>IF(C197="","",C197&amp;"#"&amp;COUNTIF($C$5:C197,C197))</f>
        <v>CAR-40-30#12</v>
      </c>
    </row>
    <row r="198">
      <c r="A198" s="41" t="n">
        <v>46186</v>
      </c>
      <c r="B198" s="37" t="inlineStr">
        <is>
          <t>Sortie</t>
        </is>
      </c>
      <c r="C198" s="37" t="inlineStr">
        <is>
          <t>RON-M6</t>
        </is>
      </c>
      <c r="D198" s="39" t="str">
        <f>IF(C198="","",IFERROR(INDEX(art_des,MATCH(C198,art_ref,0))&amp;"","Référence inconnue"))</f>
        <v>Rondelle plate M6</v>
      </c>
      <c r="E198" s="37" t="n">
        <v>403</v>
      </c>
      <c r="F198" s="39" t="str">
        <f>IF(C198="","",IFERROR(INDEX(art_unit,MATCH(C198,art_ref,0))&amp;"",""))</f>
        <v>pièce</v>
      </c>
      <c r="G198" s="37" t="inlineStr">
        <is>
          <t>BS-2026-0174</t>
        </is>
      </c>
      <c r="H198" s="37" t="inlineStr">
        <is>
          <t>Atelier montage</t>
        </is>
      </c>
      <c r="I198" s="37" t="n"/>
      <c r="J198" s="40">
        <f>IF(OR(C198="",NOT(ISNUMBER(E198))),"",IFERROR(E198*N(INDEX(art_price,MATCH(C198,art_ref,0))),""))</f>
        <v>12.09</v>
      </c>
      <c r="K198" s="39">
        <f>IF(OR(C198="",NOT(ISNUMBER(E198))),"",IFERROR(ROUND(N(INDEX(art_init,MATCH(C198,art_ref,0)))+SUMIFS($E$5:E198,$C$5:C198,C198,$B$5:B198,"Entrée")-SUMIFS($E$5:E198,$C$5:C198,C198,$B$5:B198,"Sortie"),6),""))</f>
        <v>625.0</v>
      </c>
      <c r="L198" s="39" t="str">
        <f>IF(COUNTA(A198:C198,E198)=0,"",IF(COUNTA(A198:C198,E198)&lt;4,"Ligne incomplète",IF(NOT(ISNUMBER(A198)),"Date invalide",IF(AND(B198&lt;&gt;"Entrée",B198&lt;&gt;"Sortie"),"Type inconnu",IF(ISNA(MATCH(C198,art_ref,0)),"Référence inconnue",IF(OR(NOT(ISNUMBER(E198)),N(E198)&lt;=0),"Quantité invalide",IF(K198&lt;0,"Stock négatif",IF(AND(ISNUMBER(A197),A198&lt;A197),"Date hors ordre","OK"))))))))</f>
        <v>OK</v>
      </c>
      <c r="M198" s="39" t="str">
        <f>IF(C198="","",C198&amp;"#"&amp;COUNTIF($C$5:C198,C198))</f>
        <v>RON-M6#12</v>
      </c>
    </row>
    <row r="199">
      <c r="A199" s="41" t="n">
        <v>46186</v>
      </c>
      <c r="B199" s="37" t="inlineStr">
        <is>
          <t>Sortie</t>
        </is>
      </c>
      <c r="C199" s="37" t="inlineStr">
        <is>
          <t>RUB-50</t>
        </is>
      </c>
      <c r="D199" s="39" t="str">
        <f>IF(C199="","",IFERROR(INDEX(art_des,MATCH(C199,art_ref,0))&amp;"","Référence inconnue"))</f>
        <v>Ruban adhésif 50 mm x 66 m</v>
      </c>
      <c r="E199" s="37" t="n">
        <v>17</v>
      </c>
      <c r="F199" s="39" t="str">
        <f>IF(C199="","",IFERROR(INDEX(art_unit,MATCH(C199,art_ref,0))&amp;"",""))</f>
        <v>rouleau</v>
      </c>
      <c r="G199" s="37" t="inlineStr">
        <is>
          <t>BS-2026-0175</t>
        </is>
      </c>
      <c r="H199" s="37" t="inlineStr">
        <is>
          <t>Atelier soudure</t>
        </is>
      </c>
      <c r="I199" s="37" t="n"/>
      <c r="J199" s="40">
        <f>IF(OR(C199="",NOT(ISNUMBER(E199))),"",IFERROR(E199*N(INDEX(art_price,MATCH(C199,art_ref,0))),""))</f>
        <v>23.8</v>
      </c>
      <c r="K199" s="39">
        <f>IF(OR(C199="",NOT(ISNUMBER(E199))),"",IFERROR(ROUND(N(INDEX(art_init,MATCH(C199,art_ref,0)))+SUMIFS($E$5:E199,$C$5:C199,C199,$B$5:B199,"Entrée")-SUMIFS($E$5:E199,$C$5:C199,C199,$B$5:B199,"Sortie"),6),""))</f>
        <v>30.0</v>
      </c>
      <c r="L199" s="39" t="str">
        <f>IF(COUNTA(A199:C199,E199)=0,"",IF(COUNTA(A199:C199,E199)&lt;4,"Ligne incomplète",IF(NOT(ISNUMBER(A199)),"Date invalide",IF(AND(B199&lt;&gt;"Entrée",B199&lt;&gt;"Sortie"),"Type inconnu",IF(ISNA(MATCH(C199,art_ref,0)),"Référence inconnue",IF(OR(NOT(ISNUMBER(E199)),N(E199)&lt;=0),"Quantité invalide",IF(K199&lt;0,"Stock négatif",IF(AND(ISNUMBER(A198),A199&lt;A198),"Date hors ordre","OK"))))))))</f>
        <v>OK</v>
      </c>
      <c r="M199" s="39" t="str">
        <f>IF(C199="","",C199&amp;"#"&amp;COUNTIF($C$5:C199,C199))</f>
        <v>RUB-50#12</v>
      </c>
    </row>
    <row r="200">
      <c r="A200" s="41" t="n">
        <v>46186</v>
      </c>
      <c r="B200" s="37" t="inlineStr">
        <is>
          <t>Sortie</t>
        </is>
      </c>
      <c r="C200" s="37" t="inlineStr">
        <is>
          <t>TUB-ACI-40</t>
        </is>
      </c>
      <c r="D200" s="39" t="str">
        <f>IF(C200="","",IFERROR(INDEX(art_des,MATCH(C200,art_ref,0))&amp;"","Référence inconnue"))</f>
        <v>Tube acier carré 40 x 40, 6 m</v>
      </c>
      <c r="E200" s="37" t="n">
        <v>6</v>
      </c>
      <c r="F200" s="39" t="str">
        <f>IF(C200="","",IFERROR(INDEX(art_unit,MATCH(C200,art_ref,0))&amp;"",""))</f>
        <v>barre</v>
      </c>
      <c r="G200" s="37" t="inlineStr">
        <is>
          <t>BS-2026-0176</t>
        </is>
      </c>
      <c r="H200" s="37" t="inlineStr">
        <is>
          <t>Maintenance</t>
        </is>
      </c>
      <c r="I200" s="37" t="n"/>
      <c r="J200" s="40">
        <f>IF(OR(C200="",NOT(ISNUMBER(E200))),"",IFERROR(E200*N(INDEX(art_price,MATCH(C200,art_ref,0))),""))</f>
        <v>187.2</v>
      </c>
      <c r="K200" s="39">
        <f>IF(OR(C200="",NOT(ISNUMBER(E200))),"",IFERROR(ROUND(N(INDEX(art_init,MATCH(C200,art_ref,0)))+SUMIFS($E$5:E200,$C$5:C200,C200,$B$5:B200,"Entrée")-SUMIFS($E$5:E200,$C$5:C200,C200,$B$5:B200,"Sortie"),6),""))</f>
        <v>15.0</v>
      </c>
      <c r="L200" s="39" t="str">
        <f>IF(COUNTA(A200:C200,E200)=0,"",IF(COUNTA(A200:C200,E200)&lt;4,"Ligne incomplète",IF(NOT(ISNUMBER(A200)),"Date invalide",IF(AND(B200&lt;&gt;"Entrée",B200&lt;&gt;"Sortie"),"Type inconnu",IF(ISNA(MATCH(C200,art_ref,0)),"Référence inconnue",IF(OR(NOT(ISNUMBER(E200)),N(E200)&lt;=0),"Quantité invalide",IF(K200&lt;0,"Stock négatif",IF(AND(ISNUMBER(A199),A200&lt;A199),"Date hors ordre","OK"))))))))</f>
        <v>OK</v>
      </c>
      <c r="M200" s="39" t="str">
        <f>IF(C200="","",C200&amp;"#"&amp;COUNTIF($C$5:C200,C200))</f>
        <v>TUB-ACI-40#12</v>
      </c>
    </row>
    <row r="201">
      <c r="A201" s="41" t="n">
        <v>46189</v>
      </c>
      <c r="B201" s="37" t="inlineStr">
        <is>
          <t>Entrée</t>
        </is>
      </c>
      <c r="C201" s="37" t="inlineStr">
        <is>
          <t>CAR-40-30</t>
        </is>
      </c>
      <c r="D201" s="39" t="str">
        <f>IF(C201="","",IFERROR(INDEX(art_des,MATCH(C201,art_ref,0))&amp;"","Référence inconnue"))</f>
        <v>Carton double cannelure 40 x 30 x 20</v>
      </c>
      <c r="E201" s="37" t="n">
        <v>637</v>
      </c>
      <c r="F201" s="39" t="str">
        <f>IF(C201="","",IFERROR(INDEX(art_unit,MATCH(C201,art_ref,0))&amp;"",""))</f>
        <v>pièce</v>
      </c>
      <c r="G201" s="37" t="inlineStr">
        <is>
          <t>BL-2026-021</t>
        </is>
      </c>
      <c r="H201" s="37" t="inlineStr">
        <is>
          <t>Emballages Atlas</t>
        </is>
      </c>
      <c r="I201" s="37" t="inlineStr">
        <is>
          <t>Réception commande</t>
        </is>
      </c>
      <c r="J201" s="40">
        <f>IF(OR(C201="",NOT(ISNUMBER(E201))),"",IFERROR(E201*N(INDEX(art_price,MATCH(C201,art_ref,0))),""))</f>
        <v>605.15</v>
      </c>
      <c r="K201" s="39">
        <f>IF(OR(C201="",NOT(ISNUMBER(E201))),"",IFERROR(ROUND(N(INDEX(art_init,MATCH(C201,art_ref,0)))+SUMIFS($E$5:E201,$C$5:C201,C201,$B$5:B201,"Entrée")-SUMIFS($E$5:E201,$C$5:C201,C201,$B$5:B201,"Sortie"),6),""))</f>
        <v>800.0</v>
      </c>
      <c r="L201" s="39" t="str">
        <f>IF(COUNTA(A201:C201,E201)=0,"",IF(COUNTA(A201:C201,E201)&lt;4,"Ligne incomplète",IF(NOT(ISNUMBER(A201)),"Date invalide",IF(AND(B201&lt;&gt;"Entrée",B201&lt;&gt;"Sortie"),"Type inconnu",IF(ISNA(MATCH(C201,art_ref,0)),"Référence inconnue",IF(OR(NOT(ISNUMBER(E201)),N(E201)&lt;=0),"Quantité invalide",IF(K201&lt;0,"Stock négatif",IF(AND(ISNUMBER(A200),A201&lt;A200),"Date hors ordre","OK"))))))))</f>
        <v>OK</v>
      </c>
      <c r="M201" s="39" t="str">
        <f>IF(C201="","",C201&amp;"#"&amp;COUNTIF($C$5:C201,C201))</f>
        <v>CAR-40-30#13</v>
      </c>
    </row>
    <row r="202">
      <c r="A202" s="41" t="n">
        <v>46189</v>
      </c>
      <c r="B202" s="37" t="inlineStr">
        <is>
          <t>Entrée</t>
        </is>
      </c>
      <c r="C202" s="37" t="inlineStr">
        <is>
          <t>RON-M6</t>
        </is>
      </c>
      <c r="D202" s="39" t="str">
        <f>IF(C202="","",IFERROR(INDEX(art_des,MATCH(C202,art_ref,0))&amp;"","Référence inconnue"))</f>
        <v>Rondelle plate M6</v>
      </c>
      <c r="E202" s="37" t="n">
        <v>2375</v>
      </c>
      <c r="F202" s="39" t="str">
        <f>IF(C202="","",IFERROR(INDEX(art_unit,MATCH(C202,art_ref,0))&amp;"",""))</f>
        <v>pièce</v>
      </c>
      <c r="G202" s="37" t="inlineStr">
        <is>
          <t>BL-2026-022</t>
        </is>
      </c>
      <c r="H202" s="37" t="inlineStr">
        <is>
          <t>Visserie du Centre</t>
        </is>
      </c>
      <c r="I202" s="37" t="inlineStr">
        <is>
          <t>Réception commande</t>
        </is>
      </c>
      <c r="J202" s="40">
        <f>IF(OR(C202="",NOT(ISNUMBER(E202))),"",IFERROR(E202*N(INDEX(art_price,MATCH(C202,art_ref,0))),""))</f>
        <v>71.25</v>
      </c>
      <c r="K202" s="39">
        <f>IF(OR(C202="",NOT(ISNUMBER(E202))),"",IFERROR(ROUND(N(INDEX(art_init,MATCH(C202,art_ref,0)))+SUMIFS($E$5:E202,$C$5:C202,C202,$B$5:B202,"Entrée")-SUMIFS($E$5:E202,$C$5:C202,C202,$B$5:B202,"Sortie"),6),""))</f>
        <v>3000.0</v>
      </c>
      <c r="L202" s="39" t="str">
        <f>IF(COUNTA(A202:C202,E202)=0,"",IF(COUNTA(A202:C202,E202)&lt;4,"Ligne incomplète",IF(NOT(ISNUMBER(A202)),"Date invalide",IF(AND(B202&lt;&gt;"Entrée",B202&lt;&gt;"Sortie"),"Type inconnu",IF(ISNA(MATCH(C202,art_ref,0)),"Référence inconnue",IF(OR(NOT(ISNUMBER(E202)),N(E202)&lt;=0),"Quantité invalide",IF(K202&lt;0,"Stock négatif",IF(AND(ISNUMBER(A201),A202&lt;A201),"Date hors ordre","OK"))))))))</f>
        <v>OK</v>
      </c>
      <c r="M202" s="39" t="str">
        <f>IF(C202="","",C202&amp;"#"&amp;COUNTIF($C$5:C202,C202))</f>
        <v>RON-M6#13</v>
      </c>
    </row>
    <row r="203">
      <c r="A203" s="41" t="n">
        <v>46189</v>
      </c>
      <c r="B203" s="37" t="inlineStr">
        <is>
          <t>Entrée</t>
        </is>
      </c>
      <c r="C203" s="37" t="inlineStr">
        <is>
          <t>RUB-50</t>
        </is>
      </c>
      <c r="D203" s="39" t="str">
        <f>IF(C203="","",IFERROR(INDEX(art_des,MATCH(C203,art_ref,0))&amp;"","Référence inconnue"))</f>
        <v>Ruban adhésif 50 mm x 66 m</v>
      </c>
      <c r="E203" s="37" t="n">
        <v>90</v>
      </c>
      <c r="F203" s="39" t="str">
        <f>IF(C203="","",IFERROR(INDEX(art_unit,MATCH(C203,art_ref,0))&amp;"",""))</f>
        <v>rouleau</v>
      </c>
      <c r="G203" s="37" t="inlineStr">
        <is>
          <t>BL-2026-023</t>
        </is>
      </c>
      <c r="H203" s="37" t="inlineStr">
        <is>
          <t>Emballages Atlas</t>
        </is>
      </c>
      <c r="I203" s="37" t="inlineStr">
        <is>
          <t>Réception commande</t>
        </is>
      </c>
      <c r="J203" s="40">
        <f>IF(OR(C203="",NOT(ISNUMBER(E203))),"",IFERROR(E203*N(INDEX(art_price,MATCH(C203,art_ref,0))),""))</f>
        <v>126.0</v>
      </c>
      <c r="K203" s="39">
        <f>IF(OR(C203="",NOT(ISNUMBER(E203))),"",IFERROR(ROUND(N(INDEX(art_init,MATCH(C203,art_ref,0)))+SUMIFS($E$5:E203,$C$5:C203,C203,$B$5:B203,"Entrée")-SUMIFS($E$5:E203,$C$5:C203,C203,$B$5:B203,"Sortie"),6),""))</f>
        <v>120.0</v>
      </c>
      <c r="L203" s="39" t="str">
        <f>IF(COUNTA(A203:C203,E203)=0,"",IF(COUNTA(A203:C203,E203)&lt;4,"Ligne incomplète",IF(NOT(ISNUMBER(A203)),"Date invalide",IF(AND(B203&lt;&gt;"Entrée",B203&lt;&gt;"Sortie"),"Type inconnu",IF(ISNA(MATCH(C203,art_ref,0)),"Référence inconnue",IF(OR(NOT(ISNUMBER(E203)),N(E203)&lt;=0),"Quantité invalide",IF(K203&lt;0,"Stock négatif",IF(AND(ISNUMBER(A202),A203&lt;A202),"Date hors ordre","OK"))))))))</f>
        <v>OK</v>
      </c>
      <c r="M203" s="39" t="str">
        <f>IF(C203="","",C203&amp;"#"&amp;COUNTIF($C$5:C203,C203))</f>
        <v>RUB-50#13</v>
      </c>
    </row>
    <row r="204">
      <c r="A204" s="41" t="n">
        <v>46189</v>
      </c>
      <c r="B204" s="37" t="inlineStr">
        <is>
          <t>Sortie</t>
        </is>
      </c>
      <c r="C204" s="37" t="inlineStr">
        <is>
          <t>HUI-COUP-5</t>
        </is>
      </c>
      <c r="D204" s="39" t="str">
        <f>IF(C204="","",IFERROR(INDEX(art_des,MATCH(C204,art_ref,0))&amp;"","Référence inconnue"))</f>
        <v>Huile de coupe soluble 5 L</v>
      </c>
      <c r="E204" s="37" t="n">
        <v>1</v>
      </c>
      <c r="F204" s="39" t="str">
        <f>IF(C204="","",IFERROR(INDEX(art_unit,MATCH(C204,art_ref,0))&amp;"",""))</f>
        <v>bidon</v>
      </c>
      <c r="G204" s="37" t="inlineStr">
        <is>
          <t>BS-2026-0177</t>
        </is>
      </c>
      <c r="H204" s="37" t="inlineStr">
        <is>
          <t>Atelier soudure</t>
        </is>
      </c>
      <c r="I204" s="37" t="n"/>
      <c r="J204" s="40">
        <f>IF(OR(C204="",NOT(ISNUMBER(E204))),"",IFERROR(E204*N(INDEX(art_price,MATCH(C204,art_ref,0))),""))</f>
        <v>27.0</v>
      </c>
      <c r="K204" s="39">
        <f>IF(OR(C204="",NOT(ISNUMBER(E204))),"",IFERROR(ROUND(N(INDEX(art_init,MATCH(C204,art_ref,0)))+SUMIFS($E$5:E204,$C$5:C204,C204,$B$5:B204,"Entrée")-SUMIFS($E$5:E204,$C$5:C204,C204,$B$5:B204,"Sortie"),6),""))</f>
        <v>8.0</v>
      </c>
      <c r="L204" s="39" t="str">
        <f>IF(COUNTA(A204:C204,E204)=0,"",IF(COUNTA(A204:C204,E204)&lt;4,"Ligne incomplète",IF(NOT(ISNUMBER(A204)),"Date invalide",IF(AND(B204&lt;&gt;"Entrée",B204&lt;&gt;"Sortie"),"Type inconnu",IF(ISNA(MATCH(C204,art_ref,0)),"Référence inconnue",IF(OR(NOT(ISNUMBER(E204)),N(E204)&lt;=0),"Quantité invalide",IF(K204&lt;0,"Stock négatif",IF(AND(ISNUMBER(A203),A204&lt;A203),"Date hors ordre","OK"))))))))</f>
        <v>OK</v>
      </c>
      <c r="M204" s="39" t="str">
        <f>IF(C204="","",C204&amp;"#"&amp;COUNTIF($C$5:C204,C204))</f>
        <v>HUI-COUP-5#13</v>
      </c>
    </row>
    <row r="205">
      <c r="A205" s="41" t="n">
        <v>46191</v>
      </c>
      <c r="B205" s="37" t="inlineStr">
        <is>
          <t>Sortie</t>
        </is>
      </c>
      <c r="C205" s="37" t="inlineStr">
        <is>
          <t>PAL-120</t>
        </is>
      </c>
      <c r="D205" s="39" t="str">
        <f>IF(C205="","",IFERROR(INDEX(art_des,MATCH(C205,art_ref,0))&amp;"","Référence inconnue"))</f>
        <v>Palette bois 120 x 80</v>
      </c>
      <c r="E205" s="37" t="n">
        <v>6</v>
      </c>
      <c r="F205" s="39" t="str">
        <f>IF(C205="","",IFERROR(INDEX(art_unit,MATCH(C205,art_ref,0))&amp;"",""))</f>
        <v>pièce</v>
      </c>
      <c r="G205" s="37" t="inlineStr">
        <is>
          <t>BS-2026-0178</t>
        </is>
      </c>
      <c r="H205" s="37" t="inlineStr">
        <is>
          <t>Atelier soudure</t>
        </is>
      </c>
      <c r="I205" s="37" t="n"/>
      <c r="J205" s="40">
        <f>IF(OR(C205="",NOT(ISNUMBER(E205))),"",IFERROR(E205*N(INDEX(art_price,MATCH(C205,art_ref,0))),""))</f>
        <v>54.0</v>
      </c>
      <c r="K205" s="39">
        <f>IF(OR(C205="",NOT(ISNUMBER(E205))),"",IFERROR(ROUND(N(INDEX(art_init,MATCH(C205,art_ref,0)))+SUMIFS($E$5:E205,$C$5:C205,C205,$B$5:B205,"Entrée")-SUMIFS($E$5:E205,$C$5:C205,C205,$B$5:B205,"Sortie"),6),""))</f>
        <v>44.0</v>
      </c>
      <c r="L205" s="39" t="str">
        <f>IF(COUNTA(A205:C205,E205)=0,"",IF(COUNTA(A205:C205,E205)&lt;4,"Ligne incomplète",IF(NOT(ISNUMBER(A205)),"Date invalide",IF(AND(B205&lt;&gt;"Entrée",B205&lt;&gt;"Sortie"),"Type inconnu",IF(ISNA(MATCH(C205,art_ref,0)),"Référence inconnue",IF(OR(NOT(ISNUMBER(E205)),N(E205)&lt;=0),"Quantité invalide",IF(K205&lt;0,"Stock négatif",IF(AND(ISNUMBER(A204),A205&lt;A204),"Date hors ordre","OK"))))))))</f>
        <v>OK</v>
      </c>
      <c r="M205" s="39" t="str">
        <f>IF(C205="","",C205&amp;"#"&amp;COUNTIF($C$5:C205,C205))</f>
        <v>PAL-120#14</v>
      </c>
    </row>
    <row r="206">
      <c r="A206" s="41" t="n">
        <v>46192</v>
      </c>
      <c r="B206" s="37" t="inlineStr">
        <is>
          <t>Sortie</t>
        </is>
      </c>
      <c r="C206" s="37" t="inlineStr">
        <is>
          <t>BOR-WAGO-3</t>
        </is>
      </c>
      <c r="D206" s="39" t="str">
        <f>IF(C206="","",IFERROR(INDEX(art_des,MATCH(C206,art_ref,0))&amp;"","Référence inconnue"))</f>
        <v>Borne de connexion 3 entrées</v>
      </c>
      <c r="E206" s="37" t="n">
        <v>24</v>
      </c>
      <c r="F206" s="39" t="str">
        <f>IF(C206="","",IFERROR(INDEX(art_unit,MATCH(C206,art_ref,0))&amp;"",""))</f>
        <v>pièce</v>
      </c>
      <c r="G206" s="37" t="inlineStr">
        <is>
          <t>BS-2026-0179</t>
        </is>
      </c>
      <c r="H206" s="37" t="inlineStr">
        <is>
          <t>Atelier usinage</t>
        </is>
      </c>
      <c r="I206" s="37" t="n"/>
      <c r="J206" s="40">
        <f>IF(OR(C206="",NOT(ISNUMBER(E206))),"",IFERROR(E206*N(INDEX(art_price,MATCH(C206,art_ref,0))),""))</f>
        <v>10.08</v>
      </c>
      <c r="K206" s="39">
        <f>IF(OR(C206="",NOT(ISNUMBER(E206))),"",IFERROR(ROUND(N(INDEX(art_init,MATCH(C206,art_ref,0)))+SUMIFS($E$5:E206,$C$5:C206,C206,$B$5:B206,"Entrée")-SUMIFS($E$5:E206,$C$5:C206,C206,$B$5:B206,"Sortie"),6),""))</f>
        <v>104.0</v>
      </c>
      <c r="L206" s="39" t="str">
        <f>IF(COUNTA(A206:C206,E206)=0,"",IF(COUNTA(A206:C206,E206)&lt;4,"Ligne incomplète",IF(NOT(ISNUMBER(A206)),"Date invalide",IF(AND(B206&lt;&gt;"Entrée",B206&lt;&gt;"Sortie"),"Type inconnu",IF(ISNA(MATCH(C206,art_ref,0)),"Référence inconnue",IF(OR(NOT(ISNUMBER(E206)),N(E206)&lt;=0),"Quantité invalide",IF(K206&lt;0,"Stock négatif",IF(AND(ISNUMBER(A205),A206&lt;A205),"Date hors ordre","OK"))))))))</f>
        <v>OK</v>
      </c>
      <c r="M206" s="39" t="str">
        <f>IF(C206="","",C206&amp;"#"&amp;COUNTIF($C$5:C206,C206))</f>
        <v>BOR-WAGO-3#13</v>
      </c>
    </row>
    <row r="207">
      <c r="A207" s="41" t="n">
        <v>46193</v>
      </c>
      <c r="B207" s="37" t="inlineStr">
        <is>
          <t>Sortie</t>
        </is>
      </c>
      <c r="C207" s="37" t="inlineStr">
        <is>
          <t>FOR-HSS-8</t>
        </is>
      </c>
      <c r="D207" s="39" t="str">
        <f>IF(C207="","",IFERROR(INDEX(art_des,MATCH(C207,art_ref,0))&amp;"","Référence inconnue"))</f>
        <v>Foret HSS 8 mm</v>
      </c>
      <c r="E207" s="37" t="n">
        <v>3</v>
      </c>
      <c r="F207" s="39" t="str">
        <f>IF(C207="","",IFERROR(INDEX(art_unit,MATCH(C207,art_ref,0))&amp;"",""))</f>
        <v>pièce</v>
      </c>
      <c r="G207" s="37" t="inlineStr">
        <is>
          <t>BS-2026-0180</t>
        </is>
      </c>
      <c r="H207" s="37" t="inlineStr">
        <is>
          <t>Expédition</t>
        </is>
      </c>
      <c r="I207" s="37" t="n"/>
      <c r="J207" s="40">
        <f>IF(OR(C207="",NOT(ISNUMBER(E207))),"",IFERROR(E207*N(INDEX(art_price,MATCH(C207,art_ref,0))),""))</f>
        <v>13.8</v>
      </c>
      <c r="K207" s="39">
        <f>IF(OR(C207="",NOT(ISNUMBER(E207))),"",IFERROR(ROUND(N(INDEX(art_init,MATCH(C207,art_ref,0)))+SUMIFS($E$5:E207,$C$5:C207,C207,$B$5:B207,"Entrée")-SUMIFS($E$5:E207,$C$5:C207,C207,$B$5:B207,"Sortie"),6),""))</f>
        <v>27.0</v>
      </c>
      <c r="L207" s="39" t="str">
        <f>IF(COUNTA(A207:C207,E207)=0,"",IF(COUNTA(A207:C207,E207)&lt;4,"Ligne incomplète",IF(NOT(ISNUMBER(A207)),"Date invalide",IF(AND(B207&lt;&gt;"Entrée",B207&lt;&gt;"Sortie"),"Type inconnu",IF(ISNA(MATCH(C207,art_ref,0)),"Référence inconnue",IF(OR(NOT(ISNUMBER(E207)),N(E207)&lt;=0),"Quantité invalide",IF(K207&lt;0,"Stock négatif",IF(AND(ISNUMBER(A206),A207&lt;A206),"Date hors ordre","OK"))))))))</f>
        <v>OK</v>
      </c>
      <c r="M207" s="39" t="str">
        <f>IF(C207="","",C207&amp;"#"&amp;COUNTIF($C$5:C207,C207))</f>
        <v>FOR-HSS-8#13</v>
      </c>
    </row>
    <row r="208">
      <c r="A208" s="41" t="n">
        <v>46193</v>
      </c>
      <c r="B208" s="37" t="inlineStr">
        <is>
          <t>Sortie</t>
        </is>
      </c>
      <c r="C208" s="37" t="inlineStr">
        <is>
          <t>JOI-20-2</t>
        </is>
      </c>
      <c r="D208" s="39" t="str">
        <f>IF(C208="","",IFERROR(INDEX(art_des,MATCH(C208,art_ref,0))&amp;"","Référence inconnue"))</f>
        <v>Joint torique 20 x 2 NBR</v>
      </c>
      <c r="E208" s="37" t="n">
        <v>54</v>
      </c>
      <c r="F208" s="39" t="str">
        <f>IF(C208="","",IFERROR(INDEX(art_unit,MATCH(C208,art_ref,0))&amp;"",""))</f>
        <v>pièce</v>
      </c>
      <c r="G208" s="37" t="inlineStr">
        <is>
          <t>BS-2026-0181</t>
        </is>
      </c>
      <c r="H208" s="37" t="inlineStr">
        <is>
          <t>Atelier usinage</t>
        </is>
      </c>
      <c r="I208" s="37" t="n"/>
      <c r="J208" s="40">
        <f>IF(OR(C208="",NOT(ISNUMBER(E208))),"",IFERROR(E208*N(INDEX(art_price,MATCH(C208,art_ref,0))),""))</f>
        <v>18.9</v>
      </c>
      <c r="K208" s="39">
        <f>IF(OR(C208="",NOT(ISNUMBER(E208))),"",IFERROR(ROUND(N(INDEX(art_init,MATCH(C208,art_ref,0)))+SUMIFS($E$5:E208,$C$5:C208,C208,$B$5:B208,"Entrée")-SUMIFS($E$5:E208,$C$5:C208,C208,$B$5:B208,"Sortie"),6),""))</f>
        <v>166.0</v>
      </c>
      <c r="L208" s="39" t="str">
        <f>IF(COUNTA(A208:C208,E208)=0,"",IF(COUNTA(A208:C208,E208)&lt;4,"Ligne incomplète",IF(NOT(ISNUMBER(A208)),"Date invalide",IF(AND(B208&lt;&gt;"Entrée",B208&lt;&gt;"Sortie"),"Type inconnu",IF(ISNA(MATCH(C208,art_ref,0)),"Référence inconnue",IF(OR(NOT(ISNUMBER(E208)),N(E208)&lt;=0),"Quantité invalide",IF(K208&lt;0,"Stock négatif",IF(AND(ISNUMBER(A207),A208&lt;A207),"Date hors ordre","OK"))))))))</f>
        <v>OK</v>
      </c>
      <c r="M208" s="39" t="str">
        <f>IF(C208="","",C208&amp;"#"&amp;COUNTIF($C$5:C208,C208))</f>
        <v>JOI-20-2#13</v>
      </c>
    </row>
    <row r="209">
      <c r="A209" s="41" t="n">
        <v>46193</v>
      </c>
      <c r="B209" s="37" t="inlineStr">
        <is>
          <t>Sortie</t>
        </is>
      </c>
      <c r="C209" s="37" t="inlineStr">
        <is>
          <t>VIS-M6-20</t>
        </is>
      </c>
      <c r="D209" s="39" t="str">
        <f>IF(C209="","",IFERROR(INDEX(art_des,MATCH(C209,art_ref,0))&amp;"","Référence inconnue"))</f>
        <v>Vis inox M6 x 20</v>
      </c>
      <c r="E209" s="37" t="n">
        <v>390</v>
      </c>
      <c r="F209" s="39" t="str">
        <f>IF(C209="","",IFERROR(INDEX(art_unit,MATCH(C209,art_ref,0))&amp;"",""))</f>
        <v>pièce</v>
      </c>
      <c r="G209" s="37" t="inlineStr">
        <is>
          <t>BS-2026-0182</t>
        </is>
      </c>
      <c r="H209" s="37" t="inlineStr">
        <is>
          <t>Atelier soudure</t>
        </is>
      </c>
      <c r="I209" s="37" t="n"/>
      <c r="J209" s="40">
        <f>IF(OR(C209="",NOT(ISNUMBER(E209))),"",IFERROR(E209*N(INDEX(art_price,MATCH(C209,art_ref,0))),""))</f>
        <v>46.8</v>
      </c>
      <c r="K209" s="39">
        <f>IF(OR(C209="",NOT(ISNUMBER(E209))),"",IFERROR(ROUND(N(INDEX(art_init,MATCH(C209,art_ref,0)))+SUMIFS($E$5:E209,$C$5:C209,C209,$B$5:B209,"Entrée")-SUMIFS($E$5:E209,$C$5:C209,C209,$B$5:B209,"Sortie"),6),""))</f>
        <v>619.0</v>
      </c>
      <c r="L209" s="39" t="str">
        <f>IF(COUNTA(A209:C209,E209)=0,"",IF(COUNTA(A209:C209,E209)&lt;4,"Ligne incomplète",IF(NOT(ISNUMBER(A209)),"Date invalide",IF(AND(B209&lt;&gt;"Entrée",B209&lt;&gt;"Sortie"),"Type inconnu",IF(ISNA(MATCH(C209,art_ref,0)),"Référence inconnue",IF(OR(NOT(ISNUMBER(E209)),N(E209)&lt;=0),"Quantité invalide",IF(K209&lt;0,"Stock négatif",IF(AND(ISNUMBER(A208),A209&lt;A208),"Date hors ordre","OK"))))))))</f>
        <v>OK</v>
      </c>
      <c r="M209" s="39" t="str">
        <f>IF(C209="","",C209&amp;"#"&amp;COUNTIF($C$5:C209,C209))</f>
        <v>VIS-M6-20#13</v>
      </c>
    </row>
    <row r="210">
      <c r="A210" s="41" t="n">
        <v>46194</v>
      </c>
      <c r="B210" s="37" t="inlineStr">
        <is>
          <t>Sortie</t>
        </is>
      </c>
      <c r="C210" s="37" t="inlineStr">
        <is>
          <t>TUB-ACI-40</t>
        </is>
      </c>
      <c r="D210" s="39" t="str">
        <f>IF(C210="","",IFERROR(INDEX(art_des,MATCH(C210,art_ref,0))&amp;"","Référence inconnue"))</f>
        <v>Tube acier carré 40 x 40, 6 m</v>
      </c>
      <c r="E210" s="37" t="n">
        <v>5</v>
      </c>
      <c r="F210" s="39" t="str">
        <f>IF(C210="","",IFERROR(INDEX(art_unit,MATCH(C210,art_ref,0))&amp;"",""))</f>
        <v>barre</v>
      </c>
      <c r="G210" s="37" t="inlineStr">
        <is>
          <t>BS-2026-0183</t>
        </is>
      </c>
      <c r="H210" s="37" t="inlineStr">
        <is>
          <t>Atelier usinage</t>
        </is>
      </c>
      <c r="I210" s="37" t="n"/>
      <c r="J210" s="40">
        <f>IF(OR(C210="",NOT(ISNUMBER(E210))),"",IFERROR(E210*N(INDEX(art_price,MATCH(C210,art_ref,0))),""))</f>
        <v>156.0</v>
      </c>
      <c r="K210" s="39">
        <f>IF(OR(C210="",NOT(ISNUMBER(E210))),"",IFERROR(ROUND(N(INDEX(art_init,MATCH(C210,art_ref,0)))+SUMIFS($E$5:E210,$C$5:C210,C210,$B$5:B210,"Entrée")-SUMIFS($E$5:E210,$C$5:C210,C210,$B$5:B210,"Sortie"),6),""))</f>
        <v>10.0</v>
      </c>
      <c r="L210" s="39" t="str">
        <f>IF(COUNTA(A210:C210,E210)=0,"",IF(COUNTA(A210:C210,E210)&lt;4,"Ligne incomplète",IF(NOT(ISNUMBER(A210)),"Date invalide",IF(AND(B210&lt;&gt;"Entrée",B210&lt;&gt;"Sortie"),"Type inconnu",IF(ISNA(MATCH(C210,art_ref,0)),"Référence inconnue",IF(OR(NOT(ISNUMBER(E210)),N(E210)&lt;=0),"Quantité invalide",IF(K210&lt;0,"Stock négatif",IF(AND(ISNUMBER(A209),A210&lt;A209),"Date hors ordre","OK"))))))))</f>
        <v>OK</v>
      </c>
      <c r="M210" s="39" t="str">
        <f>IF(C210="","",C210&amp;"#"&amp;COUNTIF($C$5:C210,C210))</f>
        <v>TUB-ACI-40#13</v>
      </c>
    </row>
    <row r="211">
      <c r="A211" s="41" t="n">
        <v>46196</v>
      </c>
      <c r="B211" s="37" t="inlineStr">
        <is>
          <t>Entrée</t>
        </is>
      </c>
      <c r="C211" s="37" t="inlineStr">
        <is>
          <t>VIS-M6-20</t>
        </is>
      </c>
      <c r="D211" s="39" t="str">
        <f>IF(C211="","",IFERROR(INDEX(art_des,MATCH(C211,art_ref,0))&amp;"","Référence inconnue"))</f>
        <v>Vis inox M6 x 20</v>
      </c>
      <c r="E211" s="37" t="n">
        <v>3381</v>
      </c>
      <c r="F211" s="39" t="str">
        <f>IF(C211="","",IFERROR(INDEX(art_unit,MATCH(C211,art_ref,0))&amp;"",""))</f>
        <v>pièce</v>
      </c>
      <c r="G211" s="37" t="inlineStr">
        <is>
          <t>BL-2026-024</t>
        </is>
      </c>
      <c r="H211" s="37" t="inlineStr">
        <is>
          <t>Visserie du Centre</t>
        </is>
      </c>
      <c r="I211" s="37" t="inlineStr">
        <is>
          <t>Réception commande</t>
        </is>
      </c>
      <c r="J211" s="40">
        <f>IF(OR(C211="",NOT(ISNUMBER(E211))),"",IFERROR(E211*N(INDEX(art_price,MATCH(C211,art_ref,0))),""))</f>
        <v>405.72</v>
      </c>
      <c r="K211" s="39">
        <f>IF(OR(C211="",NOT(ISNUMBER(E211))),"",IFERROR(ROUND(N(INDEX(art_init,MATCH(C211,art_ref,0)))+SUMIFS($E$5:E211,$C$5:C211,C211,$B$5:B211,"Entrée")-SUMIFS($E$5:E211,$C$5:C211,C211,$B$5:B211,"Sortie"),6),""))</f>
        <v>4000.0</v>
      </c>
      <c r="L211" s="39" t="str">
        <f>IF(COUNTA(A211:C211,E211)=0,"",IF(COUNTA(A211:C211,E211)&lt;4,"Ligne incomplète",IF(NOT(ISNUMBER(A211)),"Date invalide",IF(AND(B211&lt;&gt;"Entrée",B211&lt;&gt;"Sortie"),"Type inconnu",IF(ISNA(MATCH(C211,art_ref,0)),"Référence inconnue",IF(OR(NOT(ISNUMBER(E211)),N(E211)&lt;=0),"Quantité invalide",IF(K211&lt;0,"Stock négatif",IF(AND(ISNUMBER(A210),A211&lt;A210),"Date hors ordre","OK"))))))))</f>
        <v>OK</v>
      </c>
      <c r="M211" s="39" t="str">
        <f>IF(C211="","",C211&amp;"#"&amp;COUNTIF($C$5:C211,C211))</f>
        <v>VIS-M6-20#14</v>
      </c>
    </row>
    <row r="212">
      <c r="A212" s="41" t="n">
        <v>46196</v>
      </c>
      <c r="B212" s="37" t="inlineStr">
        <is>
          <t>Sortie</t>
        </is>
      </c>
      <c r="C212" s="37" t="inlineStr">
        <is>
          <t>CAR-40-30</t>
        </is>
      </c>
      <c r="D212" s="39" t="str">
        <f>IF(C212="","",IFERROR(INDEX(art_des,MATCH(C212,art_ref,0))&amp;"","Référence inconnue"))</f>
        <v>Carton double cannelure 40 x 30 x 20</v>
      </c>
      <c r="E212" s="37" t="n">
        <v>95</v>
      </c>
      <c r="F212" s="39" t="str">
        <f>IF(C212="","",IFERROR(INDEX(art_unit,MATCH(C212,art_ref,0))&amp;"",""))</f>
        <v>pièce</v>
      </c>
      <c r="G212" s="37" t="inlineStr">
        <is>
          <t>BS-2026-0184</t>
        </is>
      </c>
      <c r="H212" s="37" t="inlineStr">
        <is>
          <t>Atelier montage</t>
        </is>
      </c>
      <c r="I212" s="37" t="n"/>
      <c r="J212" s="40">
        <f>IF(OR(C212="",NOT(ISNUMBER(E212))),"",IFERROR(E212*N(INDEX(art_price,MATCH(C212,art_ref,0))),""))</f>
        <v>90.25</v>
      </c>
      <c r="K212" s="39">
        <f>IF(OR(C212="",NOT(ISNUMBER(E212))),"",IFERROR(ROUND(N(INDEX(art_init,MATCH(C212,art_ref,0)))+SUMIFS($E$5:E212,$C$5:C212,C212,$B$5:B212,"Entrée")-SUMIFS($E$5:E212,$C$5:C212,C212,$B$5:B212,"Sortie"),6),""))</f>
        <v>705.0</v>
      </c>
      <c r="L212" s="39" t="str">
        <f>IF(COUNTA(A212:C212,E212)=0,"",IF(COUNTA(A212:C212,E212)&lt;4,"Ligne incomplète",IF(NOT(ISNUMBER(A212)),"Date invalide",IF(AND(B212&lt;&gt;"Entrée",B212&lt;&gt;"Sortie"),"Type inconnu",IF(ISNA(MATCH(C212,art_ref,0)),"Référence inconnue",IF(OR(NOT(ISNUMBER(E212)),N(E212)&lt;=0),"Quantité invalide",IF(K212&lt;0,"Stock négatif",IF(AND(ISNUMBER(A211),A212&lt;A211),"Date hors ordre","OK"))))))))</f>
        <v>OK</v>
      </c>
      <c r="M212" s="39" t="str">
        <f>IF(C212="","",C212&amp;"#"&amp;COUNTIF($C$5:C212,C212))</f>
        <v>CAR-40-30#14</v>
      </c>
    </row>
    <row r="213">
      <c r="A213" s="41" t="n">
        <v>46196</v>
      </c>
      <c r="B213" s="37" t="inlineStr">
        <is>
          <t>Sortie</t>
        </is>
      </c>
      <c r="C213" s="37" t="inlineStr">
        <is>
          <t>DIS-125</t>
        </is>
      </c>
      <c r="D213" s="39" t="str">
        <f>IF(C213="","",IFERROR(INDEX(art_des,MATCH(C213,art_ref,0))&amp;"","Référence inconnue"))</f>
        <v>Disque à tronçonner 125 mm</v>
      </c>
      <c r="E213" s="37" t="n">
        <v>20</v>
      </c>
      <c r="F213" s="39" t="str">
        <f>IF(C213="","",IFERROR(INDEX(art_unit,MATCH(C213,art_ref,0))&amp;"",""))</f>
        <v>pièce</v>
      </c>
      <c r="G213" s="37" t="inlineStr">
        <is>
          <t>BS-2026-0185</t>
        </is>
      </c>
      <c r="H213" s="37" t="inlineStr">
        <is>
          <t>Atelier montage</t>
        </is>
      </c>
      <c r="I213" s="37" t="n"/>
      <c r="J213" s="40">
        <f>IF(OR(C213="",NOT(ISNUMBER(E213))),"",IFERROR(E213*N(INDEX(art_price,MATCH(C213,art_ref,0))),""))</f>
        <v>38.0</v>
      </c>
      <c r="K213" s="39">
        <f>IF(OR(C213="",NOT(ISNUMBER(E213))),"",IFERROR(ROUND(N(INDEX(art_init,MATCH(C213,art_ref,0)))+SUMIFS($E$5:E213,$C$5:C213,C213,$B$5:B213,"Entrée")-SUMIFS($E$5:E213,$C$5:C213,C213,$B$5:B213,"Sortie"),6),""))</f>
        <v>39.0</v>
      </c>
      <c r="L213" s="39" t="str">
        <f>IF(COUNTA(A213:C213,E213)=0,"",IF(COUNTA(A213:C213,E213)&lt;4,"Ligne incomplète",IF(NOT(ISNUMBER(A213)),"Date invalide",IF(AND(B213&lt;&gt;"Entrée",B213&lt;&gt;"Sortie"),"Type inconnu",IF(ISNA(MATCH(C213,art_ref,0)),"Référence inconnue",IF(OR(NOT(ISNUMBER(E213)),N(E213)&lt;=0),"Quantité invalide",IF(K213&lt;0,"Stock négatif",IF(AND(ISNUMBER(A212),A213&lt;A212),"Date hors ordre","OK"))))))))</f>
        <v>OK</v>
      </c>
      <c r="M213" s="39" t="str">
        <f>IF(C213="","",C213&amp;"#"&amp;COUNTIF($C$5:C213,C213))</f>
        <v>DIS-125#13</v>
      </c>
    </row>
    <row r="214">
      <c r="A214" s="41" t="n">
        <v>46197</v>
      </c>
      <c r="B214" s="37" t="inlineStr">
        <is>
          <t>Entrée</t>
        </is>
      </c>
      <c r="C214" s="37" t="inlineStr">
        <is>
          <t>TUB-ACI-40</t>
        </is>
      </c>
      <c r="D214" s="39" t="str">
        <f>IF(C214="","",IFERROR(INDEX(art_des,MATCH(C214,art_ref,0))&amp;"","Référence inconnue"))</f>
        <v>Tube acier carré 40 x 40, 6 m</v>
      </c>
      <c r="E214" s="37" t="n">
        <v>30</v>
      </c>
      <c r="F214" s="39" t="str">
        <f>IF(C214="","",IFERROR(INDEX(art_unit,MATCH(C214,art_ref,0))&amp;"",""))</f>
        <v>barre</v>
      </c>
      <c r="G214" s="37" t="inlineStr">
        <is>
          <t>BL-2026-025</t>
        </is>
      </c>
      <c r="H214" s="37" t="inlineStr">
        <is>
          <t>Aciers Service</t>
        </is>
      </c>
      <c r="I214" s="37" t="inlineStr">
        <is>
          <t>Réception commande</t>
        </is>
      </c>
      <c r="J214" s="40">
        <f>IF(OR(C214="",NOT(ISNUMBER(E214))),"",IFERROR(E214*N(INDEX(art_price,MATCH(C214,art_ref,0))),""))</f>
        <v>936.0</v>
      </c>
      <c r="K214" s="39">
        <f>IF(OR(C214="",NOT(ISNUMBER(E214))),"",IFERROR(ROUND(N(INDEX(art_init,MATCH(C214,art_ref,0)))+SUMIFS($E$5:E214,$C$5:C214,C214,$B$5:B214,"Entrée")-SUMIFS($E$5:E214,$C$5:C214,C214,$B$5:B214,"Sortie"),6),""))</f>
        <v>40.0</v>
      </c>
      <c r="L214" s="39" t="str">
        <f>IF(COUNTA(A214:C214,E214)=0,"",IF(COUNTA(A214:C214,E214)&lt;4,"Ligne incomplète",IF(NOT(ISNUMBER(A214)),"Date invalide",IF(AND(B214&lt;&gt;"Entrée",B214&lt;&gt;"Sortie"),"Type inconnu",IF(ISNA(MATCH(C214,art_ref,0)),"Référence inconnue",IF(OR(NOT(ISNUMBER(E214)),N(E214)&lt;=0),"Quantité invalide",IF(K214&lt;0,"Stock négatif",IF(AND(ISNUMBER(A213),A214&lt;A213),"Date hors ordre","OK"))))))))</f>
        <v>OK</v>
      </c>
      <c r="M214" s="39" t="str">
        <f>IF(C214="","",C214&amp;"#"&amp;COUNTIF($C$5:C214,C214))</f>
        <v>TUB-ACI-40#14</v>
      </c>
    </row>
    <row r="215">
      <c r="A215" s="41" t="n">
        <v>46197</v>
      </c>
      <c r="B215" s="37" t="inlineStr">
        <is>
          <t>Sortie</t>
        </is>
      </c>
      <c r="C215" s="37" t="inlineStr">
        <is>
          <t>CAB-2.5</t>
        </is>
      </c>
      <c r="D215" s="39" t="str">
        <f>IF(C215="","",IFERROR(INDEX(art_des,MATCH(C215,art_ref,0))&amp;"","Référence inconnue"))</f>
        <v>Câble électrique 2,5 mm²</v>
      </c>
      <c r="E215" s="37" t="n">
        <v>42</v>
      </c>
      <c r="F215" s="39" t="str">
        <f>IF(C215="","",IFERROR(INDEX(art_unit,MATCH(C215,art_ref,0))&amp;"",""))</f>
        <v>m</v>
      </c>
      <c r="G215" s="37" t="inlineStr">
        <is>
          <t>BS-2026-0186</t>
        </is>
      </c>
      <c r="H215" s="37" t="inlineStr">
        <is>
          <t>Maintenance</t>
        </is>
      </c>
      <c r="I215" s="37" t="n"/>
      <c r="J215" s="40">
        <f>IF(OR(C215="",NOT(ISNUMBER(E215))),"",IFERROR(E215*N(INDEX(art_price,MATCH(C215,art_ref,0))),""))</f>
        <v>28.56</v>
      </c>
      <c r="K215" s="39">
        <f>IF(OR(C215="",NOT(ISNUMBER(E215))),"",IFERROR(ROUND(N(INDEX(art_init,MATCH(C215,art_ref,0)))+SUMIFS($E$5:E215,$C$5:C215,C215,$B$5:B215,"Entrée")-SUMIFS($E$5:E215,$C$5:C215,C215,$B$5:B215,"Sortie"),6),""))</f>
        <v>214.0</v>
      </c>
      <c r="L215" s="39" t="str">
        <f>IF(COUNTA(A215:C215,E215)=0,"",IF(COUNTA(A215:C215,E215)&lt;4,"Ligne incomplète",IF(NOT(ISNUMBER(A215)),"Date invalide",IF(AND(B215&lt;&gt;"Entrée",B215&lt;&gt;"Sortie"),"Type inconnu",IF(ISNA(MATCH(C215,art_ref,0)),"Référence inconnue",IF(OR(NOT(ISNUMBER(E215)),N(E215)&lt;=0),"Quantité invalide",IF(K215&lt;0,"Stock négatif",IF(AND(ISNUMBER(A214),A215&lt;A214),"Date hors ordre","OK"))))))))</f>
        <v>OK</v>
      </c>
      <c r="M215" s="39" t="str">
        <f>IF(C215="","",C215&amp;"#"&amp;COUNTIF($C$5:C215,C215))</f>
        <v>CAB-2.5#13</v>
      </c>
    </row>
    <row r="216">
      <c r="A216" s="41" t="n">
        <v>46197</v>
      </c>
      <c r="B216" s="37" t="inlineStr">
        <is>
          <t>Sortie</t>
        </is>
      </c>
      <c r="C216" s="37" t="inlineStr">
        <is>
          <t>RON-M6</t>
        </is>
      </c>
      <c r="D216" s="39" t="str">
        <f>IF(C216="","",IFERROR(INDEX(art_des,MATCH(C216,art_ref,0))&amp;"","Référence inconnue"))</f>
        <v>Rondelle plate M6</v>
      </c>
      <c r="E216" s="37" t="n">
        <v>288</v>
      </c>
      <c r="F216" s="39" t="str">
        <f>IF(C216="","",IFERROR(INDEX(art_unit,MATCH(C216,art_ref,0))&amp;"",""))</f>
        <v>pièce</v>
      </c>
      <c r="G216" s="37" t="inlineStr">
        <is>
          <t>BS-2026-0187</t>
        </is>
      </c>
      <c r="H216" s="37" t="inlineStr">
        <is>
          <t>Atelier soudure</t>
        </is>
      </c>
      <c r="I216" s="37" t="n"/>
      <c r="J216" s="40">
        <f>IF(OR(C216="",NOT(ISNUMBER(E216))),"",IFERROR(E216*N(INDEX(art_price,MATCH(C216,art_ref,0))),""))</f>
        <v>8.64</v>
      </c>
      <c r="K216" s="39">
        <f>IF(OR(C216="",NOT(ISNUMBER(E216))),"",IFERROR(ROUND(N(INDEX(art_init,MATCH(C216,art_ref,0)))+SUMIFS($E$5:E216,$C$5:C216,C216,$B$5:B216,"Entrée")-SUMIFS($E$5:E216,$C$5:C216,C216,$B$5:B216,"Sortie"),6),""))</f>
        <v>2712.0</v>
      </c>
      <c r="L216" s="39" t="str">
        <f>IF(COUNTA(A216:C216,E216)=0,"",IF(COUNTA(A216:C216,E216)&lt;4,"Ligne incomplète",IF(NOT(ISNUMBER(A216)),"Date invalide",IF(AND(B216&lt;&gt;"Entrée",B216&lt;&gt;"Sortie"),"Type inconnu",IF(ISNA(MATCH(C216,art_ref,0)),"Référence inconnue",IF(OR(NOT(ISNUMBER(E216)),N(E216)&lt;=0),"Quantité invalide",IF(K216&lt;0,"Stock négatif",IF(AND(ISNUMBER(A215),A216&lt;A215),"Date hors ordre","OK"))))))))</f>
        <v>OK</v>
      </c>
      <c r="M216" s="39" t="str">
        <f>IF(C216="","",C216&amp;"#"&amp;COUNTIF($C$5:C216,C216))</f>
        <v>RON-M6#14</v>
      </c>
    </row>
    <row r="217">
      <c r="A217" s="41" t="n">
        <v>46197</v>
      </c>
      <c r="B217" s="37" t="inlineStr">
        <is>
          <t>Sortie</t>
        </is>
      </c>
      <c r="C217" s="37" t="inlineStr">
        <is>
          <t>ROU-6204</t>
        </is>
      </c>
      <c r="D217" s="39" t="str">
        <f>IF(C217="","",IFERROR(INDEX(art_des,MATCH(C217,art_ref,0))&amp;"","Référence inconnue"))</f>
        <v>Roulement à billes 6204 2RS</v>
      </c>
      <c r="E217" s="37" t="n">
        <v>22</v>
      </c>
      <c r="F217" s="39" t="str">
        <f>IF(C217="","",IFERROR(INDEX(art_unit,MATCH(C217,art_ref,0))&amp;"",""))</f>
        <v>pièce</v>
      </c>
      <c r="G217" s="37" t="inlineStr">
        <is>
          <t>BS-2026-0188</t>
        </is>
      </c>
      <c r="H217" s="37" t="inlineStr">
        <is>
          <t>Expédition</t>
        </is>
      </c>
      <c r="I217" s="37" t="n"/>
      <c r="J217" s="40">
        <f>IF(OR(C217="",NOT(ISNUMBER(E217))),"",IFERROR(E217*N(INDEX(art_price,MATCH(C217,art_ref,0))),""))</f>
        <v>83.6</v>
      </c>
      <c r="K217" s="39">
        <f>IF(OR(C217="",NOT(ISNUMBER(E217))),"",IFERROR(ROUND(N(INDEX(art_init,MATCH(C217,art_ref,0)))+SUMIFS($E$5:E217,$C$5:C217,C217,$B$5:B217,"Entrée")-SUMIFS($E$5:E217,$C$5:C217,C217,$B$5:B217,"Sortie"),6),""))</f>
        <v>128.0</v>
      </c>
      <c r="L217" s="39" t="str">
        <f>IF(COUNTA(A217:C217,E217)=0,"",IF(COUNTA(A217:C217,E217)&lt;4,"Ligne incomplète",IF(NOT(ISNUMBER(A217)),"Date invalide",IF(AND(B217&lt;&gt;"Entrée",B217&lt;&gt;"Sortie"),"Type inconnu",IF(ISNA(MATCH(C217,art_ref,0)),"Référence inconnue",IF(OR(NOT(ISNUMBER(E217)),N(E217)&lt;=0),"Quantité invalide",IF(K217&lt;0,"Stock négatif",IF(AND(ISNUMBER(A216),A217&lt;A216),"Date hors ordre","OK"))))))))</f>
        <v>OK</v>
      </c>
      <c r="M217" s="39" t="str">
        <f>IF(C217="","",C217&amp;"#"&amp;COUNTIF($C$5:C217,C217))</f>
        <v>ROU-6204#14</v>
      </c>
    </row>
    <row r="218">
      <c r="A218" s="41" t="n">
        <v>46198</v>
      </c>
      <c r="B218" s="37" t="inlineStr">
        <is>
          <t>Sortie</t>
        </is>
      </c>
      <c r="C218" s="37" t="inlineStr">
        <is>
          <t>RUB-50</t>
        </is>
      </c>
      <c r="D218" s="39" t="str">
        <f>IF(C218="","",IFERROR(INDEX(art_des,MATCH(C218,art_ref,0))&amp;"","Référence inconnue"))</f>
        <v>Ruban adhésif 50 mm x 66 m</v>
      </c>
      <c r="E218" s="37" t="n">
        <v>11</v>
      </c>
      <c r="F218" s="39" t="str">
        <f>IF(C218="","",IFERROR(INDEX(art_unit,MATCH(C218,art_ref,0))&amp;"",""))</f>
        <v>rouleau</v>
      </c>
      <c r="G218" s="37" t="inlineStr">
        <is>
          <t>BS-2026-0189</t>
        </is>
      </c>
      <c r="H218" s="37" t="inlineStr">
        <is>
          <t>Atelier soudure</t>
        </is>
      </c>
      <c r="I218" s="37" t="n"/>
      <c r="J218" s="40">
        <f>IF(OR(C218="",NOT(ISNUMBER(E218))),"",IFERROR(E218*N(INDEX(art_price,MATCH(C218,art_ref,0))),""))</f>
        <v>15.4</v>
      </c>
      <c r="K218" s="39">
        <f>IF(OR(C218="",NOT(ISNUMBER(E218))),"",IFERROR(ROUND(N(INDEX(art_init,MATCH(C218,art_ref,0)))+SUMIFS($E$5:E218,$C$5:C218,C218,$B$5:B218,"Entrée")-SUMIFS($E$5:E218,$C$5:C218,C218,$B$5:B218,"Sortie"),6),""))</f>
        <v>109.0</v>
      </c>
      <c r="L218" s="39" t="str">
        <f>IF(COUNTA(A218:C218,E218)=0,"",IF(COUNTA(A218:C218,E218)&lt;4,"Ligne incomplète",IF(NOT(ISNUMBER(A218)),"Date invalide",IF(AND(B218&lt;&gt;"Entrée",B218&lt;&gt;"Sortie"),"Type inconnu",IF(ISNA(MATCH(C218,art_ref,0)),"Référence inconnue",IF(OR(NOT(ISNUMBER(E218)),N(E218)&lt;=0),"Quantité invalide",IF(K218&lt;0,"Stock négatif",IF(AND(ISNUMBER(A217),A218&lt;A217),"Date hors ordre","OK"))))))))</f>
        <v>OK</v>
      </c>
      <c r="M218" s="39" t="str">
        <f>IF(C218="","",C218&amp;"#"&amp;COUNTIF($C$5:C218,C218))</f>
        <v>RUB-50#14</v>
      </c>
    </row>
    <row r="219">
      <c r="A219" s="41" t="n">
        <v>46199</v>
      </c>
      <c r="B219" s="37" t="inlineStr">
        <is>
          <t>Entrée</t>
        </is>
      </c>
      <c r="C219" s="37" t="inlineStr">
        <is>
          <t>DIS-125</t>
        </is>
      </c>
      <c r="D219" s="39" t="str">
        <f>IF(C219="","",IFERROR(INDEX(art_des,MATCH(C219,art_ref,0))&amp;"","Référence inconnue"))</f>
        <v>Disque à tronçonner 125 mm</v>
      </c>
      <c r="E219" s="37" t="n">
        <v>161</v>
      </c>
      <c r="F219" s="39" t="str">
        <f>IF(C219="","",IFERROR(INDEX(art_unit,MATCH(C219,art_ref,0))&amp;"",""))</f>
        <v>pièce</v>
      </c>
      <c r="G219" s="37" t="inlineStr">
        <is>
          <t>BL-2026-026</t>
        </is>
      </c>
      <c r="H219" s="37" t="inlineStr">
        <is>
          <t>Outillage Pro</t>
        </is>
      </c>
      <c r="I219" s="37" t="inlineStr">
        <is>
          <t>Réception commande</t>
        </is>
      </c>
      <c r="J219" s="40">
        <f>IF(OR(C219="",NOT(ISNUMBER(E219))),"",IFERROR(E219*N(INDEX(art_price,MATCH(C219,art_ref,0))),""))</f>
        <v>305.9</v>
      </c>
      <c r="K219" s="39">
        <f>IF(OR(C219="",NOT(ISNUMBER(E219))),"",IFERROR(ROUND(N(INDEX(art_init,MATCH(C219,art_ref,0)))+SUMIFS($E$5:E219,$C$5:C219,C219,$B$5:B219,"Entrée")-SUMIFS($E$5:E219,$C$5:C219,C219,$B$5:B219,"Sortie"),6),""))</f>
        <v>200.0</v>
      </c>
      <c r="L219" s="39" t="str">
        <f>IF(COUNTA(A219:C219,E219)=0,"",IF(COUNTA(A219:C219,E219)&lt;4,"Ligne incomplète",IF(NOT(ISNUMBER(A219)),"Date invalide",IF(AND(B219&lt;&gt;"Entrée",B219&lt;&gt;"Sortie"),"Type inconnu",IF(ISNA(MATCH(C219,art_ref,0)),"Référence inconnue",IF(OR(NOT(ISNUMBER(E219)),N(E219)&lt;=0),"Quantité invalide",IF(K219&lt;0,"Stock négatif",IF(AND(ISNUMBER(A218),A219&lt;A218),"Date hors ordre","OK"))))))))</f>
        <v>OK</v>
      </c>
      <c r="M219" s="39" t="str">
        <f>IF(C219="","",C219&amp;"#"&amp;COUNTIF($C$5:C219,C219))</f>
        <v>DIS-125#14</v>
      </c>
    </row>
    <row r="220">
      <c r="A220" s="41" t="n">
        <v>46199</v>
      </c>
      <c r="B220" s="37" t="inlineStr">
        <is>
          <t>Sortie</t>
        </is>
      </c>
      <c r="C220" s="37" t="inlineStr">
        <is>
          <t>ECR-M6</t>
        </is>
      </c>
      <c r="D220" s="39" t="str">
        <f>IF(C220="","",IFERROR(INDEX(art_des,MATCH(C220,art_ref,0))&amp;"","Référence inconnue"))</f>
        <v>Écrou inox M6</v>
      </c>
      <c r="E220" s="37" t="n">
        <v>372</v>
      </c>
      <c r="F220" s="39" t="str">
        <f>IF(C220="","",IFERROR(INDEX(art_unit,MATCH(C220,art_ref,0))&amp;"",""))</f>
        <v>pièce</v>
      </c>
      <c r="G220" s="37" t="inlineStr">
        <is>
          <t>BS-2026-0190</t>
        </is>
      </c>
      <c r="H220" s="37" t="inlineStr">
        <is>
          <t>Atelier montage</t>
        </is>
      </c>
      <c r="I220" s="37" t="n"/>
      <c r="J220" s="40">
        <f>IF(OR(C220="",NOT(ISNUMBER(E220))),"",IFERROR(E220*N(INDEX(art_price,MATCH(C220,art_ref,0))),""))</f>
        <v>18.6</v>
      </c>
      <c r="K220" s="39">
        <f>IF(OR(C220="",NOT(ISNUMBER(E220))),"",IFERROR(ROUND(N(INDEX(art_init,MATCH(C220,art_ref,0)))+SUMIFS($E$5:E220,$C$5:C220,C220,$B$5:B220,"Entrée")-SUMIFS($E$5:E220,$C$5:C220,C220,$B$5:B220,"Sortie"),6),""))</f>
        <v>1041.0</v>
      </c>
      <c r="L220" s="39" t="str">
        <f>IF(COUNTA(A220:C220,E220)=0,"",IF(COUNTA(A220:C220,E220)&lt;4,"Ligne incomplète",IF(NOT(ISNUMBER(A220)),"Date invalide",IF(AND(B220&lt;&gt;"Entrée",B220&lt;&gt;"Sortie"),"Type inconnu",IF(ISNA(MATCH(C220,art_ref,0)),"Référence inconnue",IF(OR(NOT(ISNUMBER(E220)),N(E220)&lt;=0),"Quantité invalide",IF(K220&lt;0,"Stock négatif",IF(AND(ISNUMBER(A219),A220&lt;A219),"Date hors ordre","OK"))))))))</f>
        <v>OK</v>
      </c>
      <c r="M220" s="39" t="str">
        <f>IF(C220="","",C220&amp;"#"&amp;COUNTIF($C$5:C220,C220))</f>
        <v>ECR-M6#13</v>
      </c>
    </row>
    <row r="221">
      <c r="A221" s="41" t="n">
        <v>46199</v>
      </c>
      <c r="B221" s="37" t="inlineStr">
        <is>
          <t>Sortie</t>
        </is>
      </c>
      <c r="C221" s="37" t="inlineStr">
        <is>
          <t>GAN-NIT</t>
        </is>
      </c>
      <c r="D221" s="39" t="str">
        <f>IF(C221="","",IFERROR(INDEX(art_des,MATCH(C221,art_ref,0))&amp;"","Référence inconnue"))</f>
        <v>Gants nitrile, boîte de 100</v>
      </c>
      <c r="E221" s="37" t="n">
        <v>3</v>
      </c>
      <c r="F221" s="39" t="str">
        <f>IF(C221="","",IFERROR(INDEX(art_unit,MATCH(C221,art_ref,0))&amp;"",""))</f>
        <v>boîte</v>
      </c>
      <c r="G221" s="37" t="inlineStr">
        <is>
          <t>BS-2026-0191</t>
        </is>
      </c>
      <c r="H221" s="37" t="inlineStr">
        <is>
          <t>Atelier montage</t>
        </is>
      </c>
      <c r="I221" s="37" t="n"/>
      <c r="J221" s="40">
        <f>IF(OR(C221="",NOT(ISNUMBER(E221))),"",IFERROR(E221*N(INDEX(art_price,MATCH(C221,art_ref,0))),""))</f>
        <v>22.5</v>
      </c>
      <c r="K221" s="39">
        <f>IF(OR(C221="",NOT(ISNUMBER(E221))),"",IFERROR(ROUND(N(INDEX(art_init,MATCH(C221,art_ref,0)))+SUMIFS($E$5:E221,$C$5:C221,C221,$B$5:B221,"Entrée")-SUMIFS($E$5:E221,$C$5:C221,C221,$B$5:B221,"Sortie"),6),""))</f>
        <v>27.0</v>
      </c>
      <c r="L221" s="39" t="str">
        <f>IF(COUNTA(A221:C221,E221)=0,"",IF(COUNTA(A221:C221,E221)&lt;4,"Ligne incomplète",IF(NOT(ISNUMBER(A221)),"Date invalide",IF(AND(B221&lt;&gt;"Entrée",B221&lt;&gt;"Sortie"),"Type inconnu",IF(ISNA(MATCH(C221,art_ref,0)),"Référence inconnue",IF(OR(NOT(ISNUMBER(E221)),N(E221)&lt;=0),"Quantité invalide",IF(K221&lt;0,"Stock négatif",IF(AND(ISNUMBER(A220),A221&lt;A220),"Date hors ordre","OK"))))))))</f>
        <v>OK</v>
      </c>
      <c r="M221" s="39" t="str">
        <f>IF(C221="","",C221&amp;"#"&amp;COUNTIF($C$5:C221,C221))</f>
        <v>GAN-NIT#14</v>
      </c>
    </row>
    <row r="222">
      <c r="A222" s="41" t="n">
        <v>46199</v>
      </c>
      <c r="B222" s="37" t="inlineStr">
        <is>
          <t>Sortie</t>
        </is>
      </c>
      <c r="C222" s="37" t="inlineStr">
        <is>
          <t>TOL-ACI-2</t>
        </is>
      </c>
      <c r="D222" s="39" t="str">
        <f>IF(C222="","",IFERROR(INDEX(art_des,MATCH(C222,art_ref,0))&amp;"","Référence inconnue"))</f>
        <v>Tôle acier 2 mm 1000 x 2000</v>
      </c>
      <c r="E222" s="37" t="n">
        <v>8</v>
      </c>
      <c r="F222" s="39" t="str">
        <f>IF(C222="","",IFERROR(INDEX(art_unit,MATCH(C222,art_ref,0))&amp;"",""))</f>
        <v>feuille</v>
      </c>
      <c r="G222" s="37" t="inlineStr">
        <is>
          <t>BS-2026-0192</t>
        </is>
      </c>
      <c r="H222" s="37" t="inlineStr">
        <is>
          <t>Expédition</t>
        </is>
      </c>
      <c r="I222" s="37" t="n"/>
      <c r="J222" s="40">
        <f>IF(OR(C222="",NOT(ISNUMBER(E222))),"",IFERROR(E222*N(INDEX(art_price,MATCH(C222,art_ref,0))),""))</f>
        <v>388.0</v>
      </c>
      <c r="K222" s="39">
        <f>IF(OR(C222="",NOT(ISNUMBER(E222))),"",IFERROR(ROUND(N(INDEX(art_init,MATCH(C222,art_ref,0)))+SUMIFS($E$5:E222,$C$5:C222,C222,$B$5:B222,"Entrée")-SUMIFS($E$5:E222,$C$5:C222,C222,$B$5:B222,"Sortie"),6),""))</f>
        <v>43.0</v>
      </c>
      <c r="L222" s="39" t="str">
        <f>IF(COUNTA(A222:C222,E222)=0,"",IF(COUNTA(A222:C222,E222)&lt;4,"Ligne incomplète",IF(NOT(ISNUMBER(A222)),"Date invalide",IF(AND(B222&lt;&gt;"Entrée",B222&lt;&gt;"Sortie"),"Type inconnu",IF(ISNA(MATCH(C222,art_ref,0)),"Référence inconnue",IF(OR(NOT(ISNUMBER(E222)),N(E222)&lt;=0),"Quantité invalide",IF(K222&lt;0,"Stock négatif",IF(AND(ISNUMBER(A221),A222&lt;A221),"Date hors ordre","OK"))))))))</f>
        <v>OK</v>
      </c>
      <c r="M222" s="39" t="str">
        <f>IF(C222="","",C222&amp;"#"&amp;COUNTIF($C$5:C222,C222))</f>
        <v>TOL-ACI-2#14</v>
      </c>
    </row>
    <row r="223">
      <c r="A223" s="41" t="n">
        <v>46206</v>
      </c>
      <c r="B223" s="37" t="inlineStr">
        <is>
          <t>Sortie</t>
        </is>
      </c>
      <c r="C223" s="37" t="inlineStr">
        <is>
          <t>ECR-M6</t>
        </is>
      </c>
      <c r="D223" s="39" t="str">
        <f>IF(C223="","",IFERROR(INDEX(art_des,MATCH(C223,art_ref,0))&amp;"","Référence inconnue"))</f>
        <v>Écrou inox M6</v>
      </c>
      <c r="E223" s="37" t="n">
        <v>318</v>
      </c>
      <c r="F223" s="39" t="str">
        <f>IF(C223="","",IFERROR(INDEX(art_unit,MATCH(C223,art_ref,0))&amp;"",""))</f>
        <v>pièce</v>
      </c>
      <c r="G223" s="37" t="inlineStr">
        <is>
          <t>BS-2026-0193</t>
        </is>
      </c>
      <c r="H223" s="37" t="inlineStr">
        <is>
          <t>Atelier soudure</t>
        </is>
      </c>
      <c r="I223" s="37" t="n"/>
      <c r="J223" s="40">
        <f>IF(OR(C223="",NOT(ISNUMBER(E223))),"",IFERROR(E223*N(INDEX(art_price,MATCH(C223,art_ref,0))),""))</f>
        <v>15.9</v>
      </c>
      <c r="K223" s="39">
        <f>IF(OR(C223="",NOT(ISNUMBER(E223))),"",IFERROR(ROUND(N(INDEX(art_init,MATCH(C223,art_ref,0)))+SUMIFS($E$5:E223,$C$5:C223,C223,$B$5:B223,"Entrée")-SUMIFS($E$5:E223,$C$5:C223,C223,$B$5:B223,"Sortie"),6),""))</f>
        <v>723.0</v>
      </c>
      <c r="L223" s="39" t="str">
        <f>IF(COUNTA(A223:C223,E223)=0,"",IF(COUNTA(A223:C223,E223)&lt;4,"Ligne incomplète",IF(NOT(ISNUMBER(A223)),"Date invalide",IF(AND(B223&lt;&gt;"Entrée",B223&lt;&gt;"Sortie"),"Type inconnu",IF(ISNA(MATCH(C223,art_ref,0)),"Référence inconnue",IF(OR(NOT(ISNUMBER(E223)),N(E223)&lt;=0),"Quantité invalide",IF(K223&lt;0,"Stock négatif",IF(AND(ISNUMBER(A222),A223&lt;A222),"Date hors ordre","OK"))))))))</f>
        <v>OK</v>
      </c>
      <c r="M223" s="39" t="str">
        <f>IF(C223="","",C223&amp;"#"&amp;COUNTIF($C$5:C223,C223))</f>
        <v>ECR-M6#14</v>
      </c>
    </row>
    <row r="224">
      <c r="A224" s="41" t="n">
        <v>46206</v>
      </c>
      <c r="B224" s="37" t="inlineStr">
        <is>
          <t>Sortie</t>
        </is>
      </c>
      <c r="C224" s="37" t="inlineStr">
        <is>
          <t>TOL-ACI-2</t>
        </is>
      </c>
      <c r="D224" s="39" t="str">
        <f>IF(C224="","",IFERROR(INDEX(art_des,MATCH(C224,art_ref,0))&amp;"","Référence inconnue"))</f>
        <v>Tôle acier 2 mm 1000 x 2000</v>
      </c>
      <c r="E224" s="37" t="n">
        <v>8</v>
      </c>
      <c r="F224" s="39" t="str">
        <f>IF(C224="","",IFERROR(INDEX(art_unit,MATCH(C224,art_ref,0))&amp;"",""))</f>
        <v>feuille</v>
      </c>
      <c r="G224" s="37" t="inlineStr">
        <is>
          <t>BS-2026-0194</t>
        </is>
      </c>
      <c r="H224" s="37" t="inlineStr">
        <is>
          <t>Atelier soudure</t>
        </is>
      </c>
      <c r="I224" s="37" t="n"/>
      <c r="J224" s="40">
        <f>IF(OR(C224="",NOT(ISNUMBER(E224))),"",IFERROR(E224*N(INDEX(art_price,MATCH(C224,art_ref,0))),""))</f>
        <v>388.0</v>
      </c>
      <c r="K224" s="39">
        <f>IF(OR(C224="",NOT(ISNUMBER(E224))),"",IFERROR(ROUND(N(INDEX(art_init,MATCH(C224,art_ref,0)))+SUMIFS($E$5:E224,$C$5:C224,C224,$B$5:B224,"Entrée")-SUMIFS($E$5:E224,$C$5:C224,C224,$B$5:B224,"Sortie"),6),""))</f>
        <v>35.0</v>
      </c>
      <c r="L224" s="39" t="str">
        <f>IF(COUNTA(A224:C224,E224)=0,"",IF(COUNTA(A224:C224,E224)&lt;4,"Ligne incomplète",IF(NOT(ISNUMBER(A224)),"Date invalide",IF(AND(B224&lt;&gt;"Entrée",B224&lt;&gt;"Sortie"),"Type inconnu",IF(ISNA(MATCH(C224,art_ref,0)),"Référence inconnue",IF(OR(NOT(ISNUMBER(E224)),N(E224)&lt;=0),"Quantité invalide",IF(K224&lt;0,"Stock négatif",IF(AND(ISNUMBER(A223),A224&lt;A223),"Date hors ordre","OK"))))))))</f>
        <v>OK</v>
      </c>
      <c r="M224" s="39" t="str">
        <f>IF(C224="","",C224&amp;"#"&amp;COUNTIF($C$5:C224,C224))</f>
        <v>TOL-ACI-2#15</v>
      </c>
    </row>
    <row r="225">
      <c r="A225" s="41" t="n">
        <v>46208</v>
      </c>
      <c r="B225" s="37" t="inlineStr">
        <is>
          <t>Sortie</t>
        </is>
      </c>
      <c r="C225" s="37" t="inlineStr">
        <is>
          <t>FOR-HSS-8</t>
        </is>
      </c>
      <c r="D225" s="39" t="str">
        <f>IF(C225="","",IFERROR(INDEX(art_des,MATCH(C225,art_ref,0))&amp;"","Référence inconnue"))</f>
        <v>Foret HSS 8 mm</v>
      </c>
      <c r="E225" s="37" t="n">
        <v>3</v>
      </c>
      <c r="F225" s="39" t="str">
        <f>IF(C225="","",IFERROR(INDEX(art_unit,MATCH(C225,art_ref,0))&amp;"",""))</f>
        <v>pièce</v>
      </c>
      <c r="G225" s="37" t="inlineStr">
        <is>
          <t>BS-2026-0195</t>
        </is>
      </c>
      <c r="H225" s="37" t="inlineStr">
        <is>
          <t>Atelier soudure</t>
        </is>
      </c>
      <c r="I225" s="37" t="n"/>
      <c r="J225" s="40">
        <f>IF(OR(C225="",NOT(ISNUMBER(E225))),"",IFERROR(E225*N(INDEX(art_price,MATCH(C225,art_ref,0))),""))</f>
        <v>13.8</v>
      </c>
      <c r="K225" s="39">
        <f>IF(OR(C225="",NOT(ISNUMBER(E225))),"",IFERROR(ROUND(N(INDEX(art_init,MATCH(C225,art_ref,0)))+SUMIFS($E$5:E225,$C$5:C225,C225,$B$5:B225,"Entrée")-SUMIFS($E$5:E225,$C$5:C225,C225,$B$5:B225,"Sortie"),6),""))</f>
        <v>24.0</v>
      </c>
      <c r="L225" s="39" t="str">
        <f>IF(COUNTA(A225:C225,E225)=0,"",IF(COUNTA(A225:C225,E225)&lt;4,"Ligne incomplète",IF(NOT(ISNUMBER(A225)),"Date invalide",IF(AND(B225&lt;&gt;"Entrée",B225&lt;&gt;"Sortie"),"Type inconnu",IF(ISNA(MATCH(C225,art_ref,0)),"Référence inconnue",IF(OR(NOT(ISNUMBER(E225)),N(E225)&lt;=0),"Quantité invalide",IF(K225&lt;0,"Stock négatif",IF(AND(ISNUMBER(A224),A225&lt;A224),"Date hors ordre","OK"))))))))</f>
        <v>OK</v>
      </c>
      <c r="M225" s="39" t="str">
        <f>IF(C225="","",C225&amp;"#"&amp;COUNTIF($C$5:C225,C225))</f>
        <v>FOR-HSS-8#14</v>
      </c>
    </row>
    <row r="226">
      <c r="A226" s="41" t="n">
        <v>46209</v>
      </c>
      <c r="B226" s="37" t="inlineStr">
        <is>
          <t>Entrée</t>
        </is>
      </c>
      <c r="C226" s="37" t="inlineStr">
        <is>
          <t>ECR-M6</t>
        </is>
      </c>
      <c r="D226" s="39" t="str">
        <f>IF(C226="","",IFERROR(INDEX(art_des,MATCH(C226,art_ref,0))&amp;"","Référence inconnue"))</f>
        <v>Écrou inox M6</v>
      </c>
      <c r="E226" s="37" t="n">
        <v>3277</v>
      </c>
      <c r="F226" s="39" t="str">
        <f>IF(C226="","",IFERROR(INDEX(art_unit,MATCH(C226,art_ref,0))&amp;"",""))</f>
        <v>pièce</v>
      </c>
      <c r="G226" s="37" t="inlineStr">
        <is>
          <t>BL-2026-027</t>
        </is>
      </c>
      <c r="H226" s="37" t="inlineStr">
        <is>
          <t>Visserie du Centre</t>
        </is>
      </c>
      <c r="I226" s="37" t="inlineStr">
        <is>
          <t>Réception commande</t>
        </is>
      </c>
      <c r="J226" s="40">
        <f>IF(OR(C226="",NOT(ISNUMBER(E226))),"",IFERROR(E226*N(INDEX(art_price,MATCH(C226,art_ref,0))),""))</f>
        <v>163.85</v>
      </c>
      <c r="K226" s="39">
        <f>IF(OR(C226="",NOT(ISNUMBER(E226))),"",IFERROR(ROUND(N(INDEX(art_init,MATCH(C226,art_ref,0)))+SUMIFS($E$5:E226,$C$5:C226,C226,$B$5:B226,"Entrée")-SUMIFS($E$5:E226,$C$5:C226,C226,$B$5:B226,"Sortie"),6),""))</f>
        <v>4000.0</v>
      </c>
      <c r="L226" s="39" t="str">
        <f>IF(COUNTA(A226:C226,E226)=0,"",IF(COUNTA(A226:C226,E226)&lt;4,"Ligne incomplète",IF(NOT(ISNUMBER(A226)),"Date invalide",IF(AND(B226&lt;&gt;"Entrée",B226&lt;&gt;"Sortie"),"Type inconnu",IF(ISNA(MATCH(C226,art_ref,0)),"Référence inconnue",IF(OR(NOT(ISNUMBER(E226)),N(E226)&lt;=0),"Quantité invalide",IF(K226&lt;0,"Stock négatif",IF(AND(ISNUMBER(A225),A226&lt;A225),"Date hors ordre","OK"))))))))</f>
        <v>OK</v>
      </c>
      <c r="M226" s="39" t="str">
        <f>IF(C226="","",C226&amp;"#"&amp;COUNTIF($C$5:C226,C226))</f>
        <v>ECR-M6#15</v>
      </c>
    </row>
    <row r="227">
      <c r="A227" s="41" t="n">
        <v>46209</v>
      </c>
      <c r="B227" s="37" t="inlineStr">
        <is>
          <t>Sortie</t>
        </is>
      </c>
      <c r="C227" s="37" t="inlineStr">
        <is>
          <t>PAL-120</t>
        </is>
      </c>
      <c r="D227" s="39" t="str">
        <f>IF(C227="","",IFERROR(INDEX(art_des,MATCH(C227,art_ref,0))&amp;"","Référence inconnue"))</f>
        <v>Palette bois 120 x 80</v>
      </c>
      <c r="E227" s="37" t="n">
        <v>7</v>
      </c>
      <c r="F227" s="39" t="str">
        <f>IF(C227="","",IFERROR(INDEX(art_unit,MATCH(C227,art_ref,0))&amp;"",""))</f>
        <v>pièce</v>
      </c>
      <c r="G227" s="37" t="inlineStr">
        <is>
          <t>BS-2026-0196</t>
        </is>
      </c>
      <c r="H227" s="37" t="inlineStr">
        <is>
          <t>Maintenance</t>
        </is>
      </c>
      <c r="I227" s="37" t="n"/>
      <c r="J227" s="40">
        <f>IF(OR(C227="",NOT(ISNUMBER(E227))),"",IFERROR(E227*N(INDEX(art_price,MATCH(C227,art_ref,0))),""))</f>
        <v>63.0</v>
      </c>
      <c r="K227" s="39">
        <f>IF(OR(C227="",NOT(ISNUMBER(E227))),"",IFERROR(ROUND(N(INDEX(art_init,MATCH(C227,art_ref,0)))+SUMIFS($E$5:E227,$C$5:C227,C227,$B$5:B227,"Entrée")-SUMIFS($E$5:E227,$C$5:C227,C227,$B$5:B227,"Sortie"),6),""))</f>
        <v>37.0</v>
      </c>
      <c r="L227" s="39" t="str">
        <f>IF(COUNTA(A227:C227,E227)=0,"",IF(COUNTA(A227:C227,E227)&lt;4,"Ligne incomplète",IF(NOT(ISNUMBER(A227)),"Date invalide",IF(AND(B227&lt;&gt;"Entrée",B227&lt;&gt;"Sortie"),"Type inconnu",IF(ISNA(MATCH(C227,art_ref,0)),"Référence inconnue",IF(OR(NOT(ISNUMBER(E227)),N(E227)&lt;=0),"Quantité invalide",IF(K227&lt;0,"Stock négatif",IF(AND(ISNUMBER(A226),A227&lt;A226),"Date hors ordre","OK"))))))))</f>
        <v>OK</v>
      </c>
      <c r="M227" s="39" t="str">
        <f>IF(C227="","",C227&amp;"#"&amp;COUNTIF($C$5:C227,C227))</f>
        <v>PAL-120#15</v>
      </c>
    </row>
    <row r="228">
      <c r="A228" s="41" t="n">
        <v>46210</v>
      </c>
      <c r="B228" s="37" t="inlineStr">
        <is>
          <t>Sortie</t>
        </is>
      </c>
      <c r="C228" s="37" t="inlineStr">
        <is>
          <t>RON-M6</t>
        </is>
      </c>
      <c r="D228" s="39" t="str">
        <f>IF(C228="","",IFERROR(INDEX(art_des,MATCH(C228,art_ref,0))&amp;"","Référence inconnue"))</f>
        <v>Rondelle plate M6</v>
      </c>
      <c r="E228" s="37" t="n">
        <v>317</v>
      </c>
      <c r="F228" s="39" t="str">
        <f>IF(C228="","",IFERROR(INDEX(art_unit,MATCH(C228,art_ref,0))&amp;"",""))</f>
        <v>pièce</v>
      </c>
      <c r="G228" s="37" t="inlineStr">
        <is>
          <t>BS-2026-0197</t>
        </is>
      </c>
      <c r="H228" s="37" t="inlineStr">
        <is>
          <t>Expédition</t>
        </is>
      </c>
      <c r="I228" s="37" t="n"/>
      <c r="J228" s="40">
        <f>IF(OR(C228="",NOT(ISNUMBER(E228))),"",IFERROR(E228*N(INDEX(art_price,MATCH(C228,art_ref,0))),""))</f>
        <v>9.51</v>
      </c>
      <c r="K228" s="39">
        <f>IF(OR(C228="",NOT(ISNUMBER(E228))),"",IFERROR(ROUND(N(INDEX(art_init,MATCH(C228,art_ref,0)))+SUMIFS($E$5:E228,$C$5:C228,C228,$B$5:B228,"Entrée")-SUMIFS($E$5:E228,$C$5:C228,C228,$B$5:B228,"Sortie"),6),""))</f>
        <v>2395.0</v>
      </c>
      <c r="L228" s="39" t="str">
        <f>IF(COUNTA(A228:C228,E228)=0,"",IF(COUNTA(A228:C228,E228)&lt;4,"Ligne incomplète",IF(NOT(ISNUMBER(A228)),"Date invalide",IF(AND(B228&lt;&gt;"Entrée",B228&lt;&gt;"Sortie"),"Type inconnu",IF(ISNA(MATCH(C228,art_ref,0)),"Référence inconnue",IF(OR(NOT(ISNUMBER(E228)),N(E228)&lt;=0),"Quantité invalide",IF(K228&lt;0,"Stock négatif",IF(AND(ISNUMBER(A227),A228&lt;A227),"Date hors ordre","OK"))))))))</f>
        <v>OK</v>
      </c>
      <c r="M228" s="39" t="str">
        <f>IF(C228="","",C228&amp;"#"&amp;COUNTIF($C$5:C228,C228))</f>
        <v>RON-M6#15</v>
      </c>
    </row>
    <row r="229">
      <c r="A229" s="41" t="n">
        <v>46210</v>
      </c>
      <c r="B229" s="37" t="inlineStr">
        <is>
          <t>Sortie</t>
        </is>
      </c>
      <c r="C229" s="37" t="inlineStr">
        <is>
          <t>RUB-50</t>
        </is>
      </c>
      <c r="D229" s="39" t="str">
        <f>IF(C229="","",IFERROR(INDEX(art_des,MATCH(C229,art_ref,0))&amp;"","Référence inconnue"))</f>
        <v>Ruban adhésif 50 mm x 66 m</v>
      </c>
      <c r="E229" s="37" t="n">
        <v>13</v>
      </c>
      <c r="F229" s="39" t="str">
        <f>IF(C229="","",IFERROR(INDEX(art_unit,MATCH(C229,art_ref,0))&amp;"",""))</f>
        <v>rouleau</v>
      </c>
      <c r="G229" s="37" t="inlineStr">
        <is>
          <t>BS-2026-0198</t>
        </is>
      </c>
      <c r="H229" s="37" t="inlineStr">
        <is>
          <t>Atelier usinage</t>
        </is>
      </c>
      <c r="I229" s="37" t="n"/>
      <c r="J229" s="40">
        <f>IF(OR(C229="",NOT(ISNUMBER(E229))),"",IFERROR(E229*N(INDEX(art_price,MATCH(C229,art_ref,0))),""))</f>
        <v>18.2</v>
      </c>
      <c r="K229" s="39">
        <f>IF(OR(C229="",NOT(ISNUMBER(E229))),"",IFERROR(ROUND(N(INDEX(art_init,MATCH(C229,art_ref,0)))+SUMIFS($E$5:E229,$C$5:C229,C229,$B$5:B229,"Entrée")-SUMIFS($E$5:E229,$C$5:C229,C229,$B$5:B229,"Sortie"),6),""))</f>
        <v>96.0</v>
      </c>
      <c r="L229" s="39" t="str">
        <f>IF(COUNTA(A229:C229,E229)=0,"",IF(COUNTA(A229:C229,E229)&lt;4,"Ligne incomplète",IF(NOT(ISNUMBER(A229)),"Date invalide",IF(AND(B229&lt;&gt;"Entrée",B229&lt;&gt;"Sortie"),"Type inconnu",IF(ISNA(MATCH(C229,art_ref,0)),"Référence inconnue",IF(OR(NOT(ISNUMBER(E229)),N(E229)&lt;=0),"Quantité invalide",IF(K229&lt;0,"Stock négatif",IF(AND(ISNUMBER(A228),A229&lt;A228),"Date hors ordre","OK"))))))))</f>
        <v>OK</v>
      </c>
      <c r="M229" s="39" t="str">
        <f>IF(C229="","",C229&amp;"#"&amp;COUNTIF($C$5:C229,C229))</f>
        <v>RUB-50#15</v>
      </c>
    </row>
    <row r="230">
      <c r="A230" s="41" t="n">
        <v>46210</v>
      </c>
      <c r="B230" s="37" t="inlineStr">
        <is>
          <t>Sortie</t>
        </is>
      </c>
      <c r="C230" s="37" t="inlineStr">
        <is>
          <t>TUB-ACI-40</t>
        </is>
      </c>
      <c r="D230" s="39" t="str">
        <f>IF(C230="","",IFERROR(INDEX(art_des,MATCH(C230,art_ref,0))&amp;"","Référence inconnue"))</f>
        <v>Tube acier carré 40 x 40, 6 m</v>
      </c>
      <c r="E230" s="37" t="n">
        <v>4</v>
      </c>
      <c r="F230" s="39" t="str">
        <f>IF(C230="","",IFERROR(INDEX(art_unit,MATCH(C230,art_ref,0))&amp;"",""))</f>
        <v>barre</v>
      </c>
      <c r="G230" s="37" t="inlineStr">
        <is>
          <t>BS-2026-0199</t>
        </is>
      </c>
      <c r="H230" s="37" t="inlineStr">
        <is>
          <t>Atelier montage</t>
        </is>
      </c>
      <c r="I230" s="37" t="n"/>
      <c r="J230" s="40">
        <f>IF(OR(C230="",NOT(ISNUMBER(E230))),"",IFERROR(E230*N(INDEX(art_price,MATCH(C230,art_ref,0))),""))</f>
        <v>124.8</v>
      </c>
      <c r="K230" s="39">
        <f>IF(OR(C230="",NOT(ISNUMBER(E230))),"",IFERROR(ROUND(N(INDEX(art_init,MATCH(C230,art_ref,0)))+SUMIFS($E$5:E230,$C$5:C230,C230,$B$5:B230,"Entrée")-SUMIFS($E$5:E230,$C$5:C230,C230,$B$5:B230,"Sortie"),6),""))</f>
        <v>36.0</v>
      </c>
      <c r="L230" s="39" t="str">
        <f>IF(COUNTA(A230:C230,E230)=0,"",IF(COUNTA(A230:C230,E230)&lt;4,"Ligne incomplète",IF(NOT(ISNUMBER(A230)),"Date invalide",IF(AND(B230&lt;&gt;"Entrée",B230&lt;&gt;"Sortie"),"Type inconnu",IF(ISNA(MATCH(C230,art_ref,0)),"Référence inconnue",IF(OR(NOT(ISNUMBER(E230)),N(E230)&lt;=0),"Quantité invalide",IF(K230&lt;0,"Stock négatif",IF(AND(ISNUMBER(A229),A230&lt;A229),"Date hors ordre","OK"))))))))</f>
        <v>OK</v>
      </c>
      <c r="M230" s="39" t="str">
        <f>IF(C230="","",C230&amp;"#"&amp;COUNTIF($C$5:C230,C230))</f>
        <v>TUB-ACI-40#15</v>
      </c>
    </row>
    <row r="231">
      <c r="A231" s="41" t="n">
        <v>46211</v>
      </c>
      <c r="B231" s="37" t="inlineStr">
        <is>
          <t>Sortie</t>
        </is>
      </c>
      <c r="C231" s="37" t="inlineStr">
        <is>
          <t>DIS-125</t>
        </is>
      </c>
      <c r="D231" s="39" t="str">
        <f>IF(C231="","",IFERROR(INDEX(art_des,MATCH(C231,art_ref,0))&amp;"","Référence inconnue"))</f>
        <v>Disque à tronçonner 125 mm</v>
      </c>
      <c r="E231" s="37" t="n">
        <v>22</v>
      </c>
      <c r="F231" s="39" t="str">
        <f>IF(C231="","",IFERROR(INDEX(art_unit,MATCH(C231,art_ref,0))&amp;"",""))</f>
        <v>pièce</v>
      </c>
      <c r="G231" s="37" t="inlineStr">
        <is>
          <t>BS-2026-0200</t>
        </is>
      </c>
      <c r="H231" s="37" t="inlineStr">
        <is>
          <t>Expédition</t>
        </is>
      </c>
      <c r="I231" s="37" t="n"/>
      <c r="J231" s="40">
        <f>IF(OR(C231="",NOT(ISNUMBER(E231))),"",IFERROR(E231*N(INDEX(art_price,MATCH(C231,art_ref,0))),""))</f>
        <v>41.8</v>
      </c>
      <c r="K231" s="39">
        <f>IF(OR(C231="",NOT(ISNUMBER(E231))),"",IFERROR(ROUND(N(INDEX(art_init,MATCH(C231,art_ref,0)))+SUMIFS($E$5:E231,$C$5:C231,C231,$B$5:B231,"Entrée")-SUMIFS($E$5:E231,$C$5:C231,C231,$B$5:B231,"Sortie"),6),""))</f>
        <v>178.0</v>
      </c>
      <c r="L231" s="39" t="str">
        <f>IF(COUNTA(A231:C231,E231)=0,"",IF(COUNTA(A231:C231,E231)&lt;4,"Ligne incomplète",IF(NOT(ISNUMBER(A231)),"Date invalide",IF(AND(B231&lt;&gt;"Entrée",B231&lt;&gt;"Sortie"),"Type inconnu",IF(ISNA(MATCH(C231,art_ref,0)),"Référence inconnue",IF(OR(NOT(ISNUMBER(E231)),N(E231)&lt;=0),"Quantité invalide",IF(K231&lt;0,"Stock négatif",IF(AND(ISNUMBER(A230),A231&lt;A230),"Date hors ordre","OK"))))))))</f>
        <v>OK</v>
      </c>
      <c r="M231" s="39" t="str">
        <f>IF(C231="","",C231&amp;"#"&amp;COUNTIF($C$5:C231,C231))</f>
        <v>DIS-125#15</v>
      </c>
    </row>
    <row r="232">
      <c r="A232" s="41" t="n">
        <v>46211</v>
      </c>
      <c r="B232" s="37" t="inlineStr">
        <is>
          <t>Sortie</t>
        </is>
      </c>
      <c r="C232" s="37" t="inlineStr">
        <is>
          <t>HUI-COUP-5</t>
        </is>
      </c>
      <c r="D232" s="39" t="str">
        <f>IF(C232="","",IFERROR(INDEX(art_des,MATCH(C232,art_ref,0))&amp;"","Référence inconnue"))</f>
        <v>Huile de coupe soluble 5 L</v>
      </c>
      <c r="E232" s="37" t="n">
        <v>1</v>
      </c>
      <c r="F232" s="39" t="str">
        <f>IF(C232="","",IFERROR(INDEX(art_unit,MATCH(C232,art_ref,0))&amp;"",""))</f>
        <v>bidon</v>
      </c>
      <c r="G232" s="37" t="inlineStr">
        <is>
          <t>BS-2026-0201</t>
        </is>
      </c>
      <c r="H232" s="37" t="inlineStr">
        <is>
          <t>Expédition</t>
        </is>
      </c>
      <c r="I232" s="37" t="n"/>
      <c r="J232" s="40">
        <f>IF(OR(C232="",NOT(ISNUMBER(E232))),"",IFERROR(E232*N(INDEX(art_price,MATCH(C232,art_ref,0))),""))</f>
        <v>27.0</v>
      </c>
      <c r="K232" s="39">
        <f>IF(OR(C232="",NOT(ISNUMBER(E232))),"",IFERROR(ROUND(N(INDEX(art_init,MATCH(C232,art_ref,0)))+SUMIFS($E$5:E232,$C$5:C232,C232,$B$5:B232,"Entrée")-SUMIFS($E$5:E232,$C$5:C232,C232,$B$5:B232,"Sortie"),6),""))</f>
        <v>7.0</v>
      </c>
      <c r="L232" s="39" t="str">
        <f>IF(COUNTA(A232:C232,E232)=0,"",IF(COUNTA(A232:C232,E232)&lt;4,"Ligne incomplète",IF(NOT(ISNUMBER(A232)),"Date invalide",IF(AND(B232&lt;&gt;"Entrée",B232&lt;&gt;"Sortie"),"Type inconnu",IF(ISNA(MATCH(C232,art_ref,0)),"Référence inconnue",IF(OR(NOT(ISNUMBER(E232)),N(E232)&lt;=0),"Quantité invalide",IF(K232&lt;0,"Stock négatif",IF(AND(ISNUMBER(A231),A232&lt;A231),"Date hors ordre","OK"))))))))</f>
        <v>OK</v>
      </c>
      <c r="M232" s="39" t="str">
        <f>IF(C232="","",C232&amp;"#"&amp;COUNTIF($C$5:C232,C232))</f>
        <v>HUI-COUP-5#14</v>
      </c>
    </row>
    <row r="233">
      <c r="A233" s="41" t="n">
        <v>46212</v>
      </c>
      <c r="B233" s="37" t="inlineStr">
        <is>
          <t>Sortie</t>
        </is>
      </c>
      <c r="C233" s="37" t="inlineStr">
        <is>
          <t>GAN-NIT</t>
        </is>
      </c>
      <c r="D233" s="39" t="str">
        <f>IF(C233="","",IFERROR(INDEX(art_des,MATCH(C233,art_ref,0))&amp;"","Référence inconnue"))</f>
        <v>Gants nitrile, boîte de 100</v>
      </c>
      <c r="E233" s="37" t="n">
        <v>4</v>
      </c>
      <c r="F233" s="39" t="str">
        <f>IF(C233="","",IFERROR(INDEX(art_unit,MATCH(C233,art_ref,0))&amp;"",""))</f>
        <v>boîte</v>
      </c>
      <c r="G233" s="37" t="inlineStr">
        <is>
          <t>BS-2026-0202</t>
        </is>
      </c>
      <c r="H233" s="37" t="inlineStr">
        <is>
          <t>Maintenance</t>
        </is>
      </c>
      <c r="I233" s="37" t="n"/>
      <c r="J233" s="40">
        <f>IF(OR(C233="",NOT(ISNUMBER(E233))),"",IFERROR(E233*N(INDEX(art_price,MATCH(C233,art_ref,0))),""))</f>
        <v>30.0</v>
      </c>
      <c r="K233" s="39">
        <f>IF(OR(C233="",NOT(ISNUMBER(E233))),"",IFERROR(ROUND(N(INDEX(art_init,MATCH(C233,art_ref,0)))+SUMIFS($E$5:E233,$C$5:C233,C233,$B$5:B233,"Entrée")-SUMIFS($E$5:E233,$C$5:C233,C233,$B$5:B233,"Sortie"),6),""))</f>
        <v>23.0</v>
      </c>
      <c r="L233" s="39" t="str">
        <f>IF(COUNTA(A233:C233,E233)=0,"",IF(COUNTA(A233:C233,E233)&lt;4,"Ligne incomplète",IF(NOT(ISNUMBER(A233)),"Date invalide",IF(AND(B233&lt;&gt;"Entrée",B233&lt;&gt;"Sortie"),"Type inconnu",IF(ISNA(MATCH(C233,art_ref,0)),"Référence inconnue",IF(OR(NOT(ISNUMBER(E233)),N(E233)&lt;=0),"Quantité invalide",IF(K233&lt;0,"Stock négatif",IF(AND(ISNUMBER(A232),A233&lt;A232),"Date hors ordre","OK"))))))))</f>
        <v>OK</v>
      </c>
      <c r="M233" s="39" t="str">
        <f>IF(C233="","",C233&amp;"#"&amp;COUNTIF($C$5:C233,C233))</f>
        <v>GAN-NIT#15</v>
      </c>
    </row>
    <row r="234">
      <c r="A234" s="41" t="n">
        <v>46212</v>
      </c>
      <c r="B234" s="37" t="inlineStr">
        <is>
          <t>Sortie</t>
        </is>
      </c>
      <c r="C234" s="37" t="inlineStr">
        <is>
          <t>VIS-M6-20</t>
        </is>
      </c>
      <c r="D234" s="39" t="str">
        <f>IF(C234="","",IFERROR(INDEX(art_des,MATCH(C234,art_ref,0))&amp;"","Référence inconnue"))</f>
        <v>Vis inox M6 x 20</v>
      </c>
      <c r="E234" s="37" t="n">
        <v>373</v>
      </c>
      <c r="F234" s="39" t="str">
        <f>IF(C234="","",IFERROR(INDEX(art_unit,MATCH(C234,art_ref,0))&amp;"",""))</f>
        <v>pièce</v>
      </c>
      <c r="G234" s="37" t="inlineStr">
        <is>
          <t>BS-2026-0203</t>
        </is>
      </c>
      <c r="H234" s="37" t="inlineStr">
        <is>
          <t>Atelier soudure</t>
        </is>
      </c>
      <c r="I234" s="37" t="n"/>
      <c r="J234" s="40">
        <f>IF(OR(C234="",NOT(ISNUMBER(E234))),"",IFERROR(E234*N(INDEX(art_price,MATCH(C234,art_ref,0))),""))</f>
        <v>44.76</v>
      </c>
      <c r="K234" s="39">
        <f>IF(OR(C234="",NOT(ISNUMBER(E234))),"",IFERROR(ROUND(N(INDEX(art_init,MATCH(C234,art_ref,0)))+SUMIFS($E$5:E234,$C$5:C234,C234,$B$5:B234,"Entrée")-SUMIFS($E$5:E234,$C$5:C234,C234,$B$5:B234,"Sortie"),6),""))</f>
        <v>3627.0</v>
      </c>
      <c r="L234" s="39" t="str">
        <f>IF(COUNTA(A234:C234,E234)=0,"",IF(COUNTA(A234:C234,E234)&lt;4,"Ligne incomplète",IF(NOT(ISNUMBER(A234)),"Date invalide",IF(AND(B234&lt;&gt;"Entrée",B234&lt;&gt;"Sortie"),"Type inconnu",IF(ISNA(MATCH(C234,art_ref,0)),"Référence inconnue",IF(OR(NOT(ISNUMBER(E234)),N(E234)&lt;=0),"Quantité invalide",IF(K234&lt;0,"Stock négatif",IF(AND(ISNUMBER(A233),A234&lt;A233),"Date hors ordre","OK"))))))))</f>
        <v>OK</v>
      </c>
      <c r="M234" s="39" t="str">
        <f>IF(C234="","",C234&amp;"#"&amp;COUNTIF($C$5:C234,C234))</f>
        <v>VIS-M6-20#15</v>
      </c>
    </row>
    <row r="235">
      <c r="A235" s="41" t="n">
        <v>46213</v>
      </c>
      <c r="B235" s="37" t="inlineStr">
        <is>
          <t>Sortie</t>
        </is>
      </c>
      <c r="C235" s="37" t="inlineStr">
        <is>
          <t>CAR-40-30</t>
        </is>
      </c>
      <c r="D235" s="39" t="str">
        <f>IF(C235="","",IFERROR(INDEX(art_des,MATCH(C235,art_ref,0))&amp;"","Référence inconnue"))</f>
        <v>Carton double cannelure 40 x 30 x 20</v>
      </c>
      <c r="E235" s="37" t="n">
        <v>89</v>
      </c>
      <c r="F235" s="39" t="str">
        <f>IF(C235="","",IFERROR(INDEX(art_unit,MATCH(C235,art_ref,0))&amp;"",""))</f>
        <v>pièce</v>
      </c>
      <c r="G235" s="37" t="inlineStr">
        <is>
          <t>BS-2026-0204</t>
        </is>
      </c>
      <c r="H235" s="37" t="inlineStr">
        <is>
          <t>Expédition</t>
        </is>
      </c>
      <c r="I235" s="37" t="n"/>
      <c r="J235" s="40">
        <f>IF(OR(C235="",NOT(ISNUMBER(E235))),"",IFERROR(E235*N(INDEX(art_price,MATCH(C235,art_ref,0))),""))</f>
        <v>84.55</v>
      </c>
      <c r="K235" s="39">
        <f>IF(OR(C235="",NOT(ISNUMBER(E235))),"",IFERROR(ROUND(N(INDEX(art_init,MATCH(C235,art_ref,0)))+SUMIFS($E$5:E235,$C$5:C235,C235,$B$5:B235,"Entrée")-SUMIFS($E$5:E235,$C$5:C235,C235,$B$5:B235,"Sortie"),6),""))</f>
        <v>616.0</v>
      </c>
      <c r="L235" s="39" t="str">
        <f>IF(COUNTA(A235:C235,E235)=0,"",IF(COUNTA(A235:C235,E235)&lt;4,"Ligne incomplète",IF(NOT(ISNUMBER(A235)),"Date invalide",IF(AND(B235&lt;&gt;"Entrée",B235&lt;&gt;"Sortie"),"Type inconnu",IF(ISNA(MATCH(C235,art_ref,0)),"Référence inconnue",IF(OR(NOT(ISNUMBER(E235)),N(E235)&lt;=0),"Quantité invalide",IF(K235&lt;0,"Stock négatif",IF(AND(ISNUMBER(A234),A235&lt;A234),"Date hors ordre","OK"))))))))</f>
        <v>OK</v>
      </c>
      <c r="M235" s="39" t="str">
        <f>IF(C235="","",C235&amp;"#"&amp;COUNTIF($C$5:C235,C235))</f>
        <v>CAR-40-30#15</v>
      </c>
    </row>
    <row r="236">
      <c r="A236" s="41" t="n">
        <v>46213</v>
      </c>
      <c r="B236" s="37" t="inlineStr">
        <is>
          <t>Sortie</t>
        </is>
      </c>
      <c r="C236" s="37" t="inlineStr">
        <is>
          <t>ROU-6204</t>
        </is>
      </c>
      <c r="D236" s="39" t="str">
        <f>IF(C236="","",IFERROR(INDEX(art_des,MATCH(C236,art_ref,0))&amp;"","Référence inconnue"))</f>
        <v>Roulement à billes 6204 2RS</v>
      </c>
      <c r="E236" s="37" t="n">
        <v>14</v>
      </c>
      <c r="F236" s="39" t="str">
        <f>IF(C236="","",IFERROR(INDEX(art_unit,MATCH(C236,art_ref,0))&amp;"",""))</f>
        <v>pièce</v>
      </c>
      <c r="G236" s="37" t="inlineStr">
        <is>
          <t>BS-2026-0205</t>
        </is>
      </c>
      <c r="H236" s="37" t="inlineStr">
        <is>
          <t>Expédition</t>
        </is>
      </c>
      <c r="I236" s="37" t="n"/>
      <c r="J236" s="40">
        <f>IF(OR(C236="",NOT(ISNUMBER(E236))),"",IFERROR(E236*N(INDEX(art_price,MATCH(C236,art_ref,0))),""))</f>
        <v>53.2</v>
      </c>
      <c r="K236" s="39">
        <f>IF(OR(C236="",NOT(ISNUMBER(E236))),"",IFERROR(ROUND(N(INDEX(art_init,MATCH(C236,art_ref,0)))+SUMIFS($E$5:E236,$C$5:C236,C236,$B$5:B236,"Entrée")-SUMIFS($E$5:E236,$C$5:C236,C236,$B$5:B236,"Sortie"),6),""))</f>
        <v>114.0</v>
      </c>
      <c r="L236" s="39" t="str">
        <f>IF(COUNTA(A236:C236,E236)=0,"",IF(COUNTA(A236:C236,E236)&lt;4,"Ligne incomplète",IF(NOT(ISNUMBER(A236)),"Date invalide",IF(AND(B236&lt;&gt;"Entrée",B236&lt;&gt;"Sortie"),"Type inconnu",IF(ISNA(MATCH(C236,art_ref,0)),"Référence inconnue",IF(OR(NOT(ISNUMBER(E236)),N(E236)&lt;=0),"Quantité invalide",IF(K236&lt;0,"Stock négatif",IF(AND(ISNUMBER(A235),A236&lt;A235),"Date hors ordre","OK"))))))))</f>
        <v>OK</v>
      </c>
      <c r="M236" s="39" t="str">
        <f>IF(C236="","",C236&amp;"#"&amp;COUNTIF($C$5:C236,C236))</f>
        <v>ROU-6204#15</v>
      </c>
    </row>
    <row r="237">
      <c r="A237" s="41" t="n">
        <v>46214</v>
      </c>
      <c r="B237" s="37" t="inlineStr">
        <is>
          <t>Sortie</t>
        </is>
      </c>
      <c r="C237" s="37" t="inlineStr">
        <is>
          <t>BOR-WAGO-3</t>
        </is>
      </c>
      <c r="D237" s="39" t="str">
        <f>IF(C237="","",IFERROR(INDEX(art_des,MATCH(C237,art_ref,0))&amp;"","Référence inconnue"))</f>
        <v>Borne de connexion 3 entrées</v>
      </c>
      <c r="E237" s="37" t="n">
        <v>29</v>
      </c>
      <c r="F237" s="39" t="str">
        <f>IF(C237="","",IFERROR(INDEX(art_unit,MATCH(C237,art_ref,0))&amp;"",""))</f>
        <v>pièce</v>
      </c>
      <c r="G237" s="37" t="inlineStr">
        <is>
          <t>BS-2026-0206</t>
        </is>
      </c>
      <c r="H237" s="37" t="inlineStr">
        <is>
          <t>Maintenance</t>
        </is>
      </c>
      <c r="I237" s="37" t="n"/>
      <c r="J237" s="40">
        <f>IF(OR(C237="",NOT(ISNUMBER(E237))),"",IFERROR(E237*N(INDEX(art_price,MATCH(C237,art_ref,0))),""))</f>
        <v>12.18</v>
      </c>
      <c r="K237" s="39">
        <f>IF(OR(C237="",NOT(ISNUMBER(E237))),"",IFERROR(ROUND(N(INDEX(art_init,MATCH(C237,art_ref,0)))+SUMIFS($E$5:E237,$C$5:C237,C237,$B$5:B237,"Entrée")-SUMIFS($E$5:E237,$C$5:C237,C237,$B$5:B237,"Sortie"),6),""))</f>
        <v>75.0</v>
      </c>
      <c r="L237" s="39" t="str">
        <f>IF(COUNTA(A237:C237,E237)=0,"",IF(COUNTA(A237:C237,E237)&lt;4,"Ligne incomplète",IF(NOT(ISNUMBER(A237)),"Date invalide",IF(AND(B237&lt;&gt;"Entrée",B237&lt;&gt;"Sortie"),"Type inconnu",IF(ISNA(MATCH(C237,art_ref,0)),"Référence inconnue",IF(OR(NOT(ISNUMBER(E237)),N(E237)&lt;=0),"Quantité invalide",IF(K237&lt;0,"Stock négatif",IF(AND(ISNUMBER(A236),A237&lt;A236),"Date hors ordre","OK"))))))))</f>
        <v>OK</v>
      </c>
      <c r="M237" s="39" t="str">
        <f>IF(C237="","",C237&amp;"#"&amp;COUNTIF($C$5:C237,C237))</f>
        <v>BOR-WAGO-3#14</v>
      </c>
    </row>
    <row r="238">
      <c r="A238" s="41" t="n">
        <v>46214</v>
      </c>
      <c r="B238" s="37" t="inlineStr">
        <is>
          <t>Sortie</t>
        </is>
      </c>
      <c r="C238" s="37" t="inlineStr">
        <is>
          <t>CAB-2.5</t>
        </is>
      </c>
      <c r="D238" s="39" t="str">
        <f>IF(C238="","",IFERROR(INDEX(art_des,MATCH(C238,art_ref,0))&amp;"","Référence inconnue"))</f>
        <v>Câble électrique 2,5 mm²</v>
      </c>
      <c r="E238" s="37" t="n">
        <v>50</v>
      </c>
      <c r="F238" s="39" t="str">
        <f>IF(C238="","",IFERROR(INDEX(art_unit,MATCH(C238,art_ref,0))&amp;"",""))</f>
        <v>m</v>
      </c>
      <c r="G238" s="37" t="inlineStr">
        <is>
          <t>BS-2026-0207</t>
        </is>
      </c>
      <c r="H238" s="37" t="inlineStr">
        <is>
          <t>Maintenance</t>
        </is>
      </c>
      <c r="I238" s="37" t="n"/>
      <c r="J238" s="40">
        <f>IF(OR(C238="",NOT(ISNUMBER(E238))),"",IFERROR(E238*N(INDEX(art_price,MATCH(C238,art_ref,0))),""))</f>
        <v>34.0</v>
      </c>
      <c r="K238" s="39">
        <f>IF(OR(C238="",NOT(ISNUMBER(E238))),"",IFERROR(ROUND(N(INDEX(art_init,MATCH(C238,art_ref,0)))+SUMIFS($E$5:E238,$C$5:C238,C238,$B$5:B238,"Entrée")-SUMIFS($E$5:E238,$C$5:C238,C238,$B$5:B238,"Sortie"),6),""))</f>
        <v>164.0</v>
      </c>
      <c r="L238" s="39" t="str">
        <f>IF(COUNTA(A238:C238,E238)=0,"",IF(COUNTA(A238:C238,E238)&lt;4,"Ligne incomplète",IF(NOT(ISNUMBER(A238)),"Date invalide",IF(AND(B238&lt;&gt;"Entrée",B238&lt;&gt;"Sortie"),"Type inconnu",IF(ISNA(MATCH(C238,art_ref,0)),"Référence inconnue",IF(OR(NOT(ISNUMBER(E238)),N(E238)&lt;=0),"Quantité invalide",IF(K238&lt;0,"Stock négatif",IF(AND(ISNUMBER(A237),A238&lt;A237),"Date hors ordre","OK"))))))))</f>
        <v>OK</v>
      </c>
      <c r="M238" s="39" t="str">
        <f>IF(C238="","",C238&amp;"#"&amp;COUNTIF($C$5:C238,C238))</f>
        <v>CAB-2.5#14</v>
      </c>
    </row>
    <row r="239">
      <c r="A239" s="41" t="n">
        <v>46214</v>
      </c>
      <c r="B239" s="37" t="inlineStr">
        <is>
          <t>Sortie</t>
        </is>
      </c>
      <c r="C239" s="37" t="inlineStr">
        <is>
          <t>JOI-20-2</t>
        </is>
      </c>
      <c r="D239" s="39" t="str">
        <f>IF(C239="","",IFERROR(INDEX(art_des,MATCH(C239,art_ref,0))&amp;"","Référence inconnue"))</f>
        <v>Joint torique 20 x 2 NBR</v>
      </c>
      <c r="E239" s="37" t="n">
        <v>56</v>
      </c>
      <c r="F239" s="39" t="str">
        <f>IF(C239="","",IFERROR(INDEX(art_unit,MATCH(C239,art_ref,0))&amp;"",""))</f>
        <v>pièce</v>
      </c>
      <c r="G239" s="37" t="inlineStr">
        <is>
          <t>BS-2026-0208</t>
        </is>
      </c>
      <c r="H239" s="37" t="inlineStr">
        <is>
          <t>Atelier soudure</t>
        </is>
      </c>
      <c r="I239" s="37" t="n"/>
      <c r="J239" s="40">
        <f>IF(OR(C239="",NOT(ISNUMBER(E239))),"",IFERROR(E239*N(INDEX(art_price,MATCH(C239,art_ref,0))),""))</f>
        <v>19.6</v>
      </c>
      <c r="K239" s="39">
        <f>IF(OR(C239="",NOT(ISNUMBER(E239))),"",IFERROR(ROUND(N(INDEX(art_init,MATCH(C239,art_ref,0)))+SUMIFS($E$5:E239,$C$5:C239,C239,$B$5:B239,"Entrée")-SUMIFS($E$5:E239,$C$5:C239,C239,$B$5:B239,"Sortie"),6),""))</f>
        <v>110.0</v>
      </c>
      <c r="L239" s="39" t="str">
        <f>IF(COUNTA(A239:C239,E239)=0,"",IF(COUNTA(A239:C239,E239)&lt;4,"Ligne incomplète",IF(NOT(ISNUMBER(A239)),"Date invalide",IF(AND(B239&lt;&gt;"Entrée",B239&lt;&gt;"Sortie"),"Type inconnu",IF(ISNA(MATCH(C239,art_ref,0)),"Référence inconnue",IF(OR(NOT(ISNUMBER(E239)),N(E239)&lt;=0),"Quantité invalide",IF(K239&lt;0,"Stock négatif",IF(AND(ISNUMBER(A238),A239&lt;A238),"Date hors ordre","OK"))))))))</f>
        <v>OK</v>
      </c>
      <c r="M239" s="39" t="str">
        <f>IF(C239="","",C239&amp;"#"&amp;COUNTIF($C$5:C239,C239))</f>
        <v>JOI-20-2#14</v>
      </c>
    </row>
    <row r="240">
      <c r="A240" s="41" t="n">
        <v>46217</v>
      </c>
      <c r="B240" s="37" t="inlineStr">
        <is>
          <t>Entrée</t>
        </is>
      </c>
      <c r="C240" s="37" t="inlineStr">
        <is>
          <t>JOI-20-2</t>
        </is>
      </c>
      <c r="D240" s="39" t="str">
        <f>IF(C240="","",IFERROR(INDEX(art_des,MATCH(C240,art_ref,0))&amp;"","Référence inconnue"))</f>
        <v>Joint torique 20 x 2 NBR</v>
      </c>
      <c r="E240" s="37" t="n">
        <v>490</v>
      </c>
      <c r="F240" s="39" t="str">
        <f>IF(C240="","",IFERROR(INDEX(art_unit,MATCH(C240,art_ref,0))&amp;"",""))</f>
        <v>pièce</v>
      </c>
      <c r="G240" s="37" t="inlineStr">
        <is>
          <t>BL-2026-028</t>
        </is>
      </c>
      <c r="H240" s="37" t="inlineStr">
        <is>
          <t>Roulements Express</t>
        </is>
      </c>
      <c r="I240" s="37" t="inlineStr">
        <is>
          <t>Réception commande</t>
        </is>
      </c>
      <c r="J240" s="40">
        <f>IF(OR(C240="",NOT(ISNUMBER(E240))),"",IFERROR(E240*N(INDEX(art_price,MATCH(C240,art_ref,0))),""))</f>
        <v>171.5</v>
      </c>
      <c r="K240" s="39">
        <f>IF(OR(C240="",NOT(ISNUMBER(E240))),"",IFERROR(ROUND(N(INDEX(art_init,MATCH(C240,art_ref,0)))+SUMIFS($E$5:E240,$C$5:C240,C240,$B$5:B240,"Entrée")-SUMIFS($E$5:E240,$C$5:C240,C240,$B$5:B240,"Sortie"),6),""))</f>
        <v>600.0</v>
      </c>
      <c r="L240" s="39" t="str">
        <f>IF(COUNTA(A240:C240,E240)=0,"",IF(COUNTA(A240:C240,E240)&lt;4,"Ligne incomplète",IF(NOT(ISNUMBER(A240)),"Date invalide",IF(AND(B240&lt;&gt;"Entrée",B240&lt;&gt;"Sortie"),"Type inconnu",IF(ISNA(MATCH(C240,art_ref,0)),"Référence inconnue",IF(OR(NOT(ISNUMBER(E240)),N(E240)&lt;=0),"Quantité invalide",IF(K240&lt;0,"Stock négatif",IF(AND(ISNUMBER(A239),A240&lt;A239),"Date hors ordre","OK"))))))))</f>
        <v>OK</v>
      </c>
      <c r="M240" s="39" t="str">
        <f>IF(C240="","",C240&amp;"#"&amp;COUNTIF($C$5:C240,C240))</f>
        <v>JOI-20-2#15</v>
      </c>
    </row>
    <row r="241">
      <c r="A241" s="41" t="n">
        <v>46219</v>
      </c>
      <c r="B241" s="37" t="inlineStr">
        <is>
          <t>Sortie</t>
        </is>
      </c>
      <c r="C241" s="37" t="inlineStr">
        <is>
          <t>BOR-WAGO-3</t>
        </is>
      </c>
      <c r="D241" s="39" t="str">
        <f>IF(C241="","",IFERROR(INDEX(art_des,MATCH(C241,art_ref,0))&amp;"","Référence inconnue"))</f>
        <v>Borne de connexion 3 entrées</v>
      </c>
      <c r="E241" s="37" t="n">
        <v>20</v>
      </c>
      <c r="F241" s="39" t="str">
        <f>IF(C241="","",IFERROR(INDEX(art_unit,MATCH(C241,art_ref,0))&amp;"",""))</f>
        <v>pièce</v>
      </c>
      <c r="G241" s="37" t="inlineStr">
        <is>
          <t>BS-2026-0209</t>
        </is>
      </c>
      <c r="H241" s="37" t="inlineStr">
        <is>
          <t>Atelier montage</t>
        </is>
      </c>
      <c r="I241" s="37" t="n"/>
      <c r="J241" s="40">
        <f>IF(OR(C241="",NOT(ISNUMBER(E241))),"",IFERROR(E241*N(INDEX(art_price,MATCH(C241,art_ref,0))),""))</f>
        <v>8.4</v>
      </c>
      <c r="K241" s="39">
        <f>IF(OR(C241="",NOT(ISNUMBER(E241))),"",IFERROR(ROUND(N(INDEX(art_init,MATCH(C241,art_ref,0)))+SUMIFS($E$5:E241,$C$5:C241,C241,$B$5:B241,"Entrée")-SUMIFS($E$5:E241,$C$5:C241,C241,$B$5:B241,"Sortie"),6),""))</f>
        <v>55.0</v>
      </c>
      <c r="L241" s="39" t="str">
        <f>IF(COUNTA(A241:C241,E241)=0,"",IF(COUNTA(A241:C241,E241)&lt;4,"Ligne incomplète",IF(NOT(ISNUMBER(A241)),"Date invalide",IF(AND(B241&lt;&gt;"Entrée",B241&lt;&gt;"Sortie"),"Type inconnu",IF(ISNA(MATCH(C241,art_ref,0)),"Référence inconnue",IF(OR(NOT(ISNUMBER(E241)),N(E241)&lt;=0),"Quantité invalide",IF(K241&lt;0,"Stock négatif",IF(AND(ISNUMBER(A240),A241&lt;A240),"Date hors ordre","OK"))))))))</f>
        <v>OK</v>
      </c>
      <c r="M241" s="39" t="str">
        <f>IF(C241="","",C241&amp;"#"&amp;COUNTIF($C$5:C241,C241))</f>
        <v>BOR-WAGO-3#15</v>
      </c>
    </row>
    <row r="242">
      <c r="A242" s="41" t="n">
        <v>46219</v>
      </c>
      <c r="B242" s="37" t="inlineStr">
        <is>
          <t>Sortie</t>
        </is>
      </c>
      <c r="C242" s="37" t="inlineStr">
        <is>
          <t>TUB-ACI-40</t>
        </is>
      </c>
      <c r="D242" s="39" t="str">
        <f>IF(C242="","",IFERROR(INDEX(art_des,MATCH(C242,art_ref,0))&amp;"","Référence inconnue"))</f>
        <v>Tube acier carré 40 x 40, 6 m</v>
      </c>
      <c r="E242" s="37" t="n">
        <v>3</v>
      </c>
      <c r="F242" s="39" t="str">
        <f>IF(C242="","",IFERROR(INDEX(art_unit,MATCH(C242,art_ref,0))&amp;"",""))</f>
        <v>barre</v>
      </c>
      <c r="G242" s="37" t="inlineStr">
        <is>
          <t>BS-2026-0210</t>
        </is>
      </c>
      <c r="H242" s="37" t="inlineStr">
        <is>
          <t>Atelier usinage</t>
        </is>
      </c>
      <c r="I242" s="37" t="n"/>
      <c r="J242" s="40">
        <f>IF(OR(C242="",NOT(ISNUMBER(E242))),"",IFERROR(E242*N(INDEX(art_price,MATCH(C242,art_ref,0))),""))</f>
        <v>93.6</v>
      </c>
      <c r="K242" s="39">
        <f>IF(OR(C242="",NOT(ISNUMBER(E242))),"",IFERROR(ROUND(N(INDEX(art_init,MATCH(C242,art_ref,0)))+SUMIFS($E$5:E242,$C$5:C242,C242,$B$5:B242,"Entrée")-SUMIFS($E$5:E242,$C$5:C242,C242,$B$5:B242,"Sortie"),6),""))</f>
        <v>33.0</v>
      </c>
      <c r="L242" s="39" t="str">
        <f>IF(COUNTA(A242:C242,E242)=0,"",IF(COUNTA(A242:C242,E242)&lt;4,"Ligne incomplète",IF(NOT(ISNUMBER(A242)),"Date invalide",IF(AND(B242&lt;&gt;"Entrée",B242&lt;&gt;"Sortie"),"Type inconnu",IF(ISNA(MATCH(C242,art_ref,0)),"Référence inconnue",IF(OR(NOT(ISNUMBER(E242)),N(E242)&lt;=0),"Quantité invalide",IF(K242&lt;0,"Stock négatif",IF(AND(ISNUMBER(A241),A242&lt;A241),"Date hors ordre","OK"))))))))</f>
        <v>OK</v>
      </c>
      <c r="M242" s="39" t="str">
        <f>IF(C242="","",C242&amp;"#"&amp;COUNTIF($C$5:C242,C242))</f>
        <v>TUB-ACI-40#16</v>
      </c>
    </row>
    <row r="243">
      <c r="A243" s="41" t="n">
        <v>46220</v>
      </c>
      <c r="B243" s="37" t="inlineStr">
        <is>
          <t>Sortie</t>
        </is>
      </c>
      <c r="C243" s="37" t="inlineStr">
        <is>
          <t>JOI-20-2</t>
        </is>
      </c>
      <c r="D243" s="39" t="str">
        <f>IF(C243="","",IFERROR(INDEX(art_des,MATCH(C243,art_ref,0))&amp;"","Référence inconnue"))</f>
        <v>Joint torique 20 x 2 NBR</v>
      </c>
      <c r="E243" s="37" t="n">
        <v>75</v>
      </c>
      <c r="F243" s="39" t="str">
        <f>IF(C243="","",IFERROR(INDEX(art_unit,MATCH(C243,art_ref,0))&amp;"",""))</f>
        <v>pièce</v>
      </c>
      <c r="G243" s="37" t="inlineStr">
        <is>
          <t>BS-2026-0211</t>
        </is>
      </c>
      <c r="H243" s="37" t="inlineStr">
        <is>
          <t>Atelier soudure</t>
        </is>
      </c>
      <c r="I243" s="37" t="n"/>
      <c r="J243" s="40">
        <f>IF(OR(C243="",NOT(ISNUMBER(E243))),"",IFERROR(E243*N(INDEX(art_price,MATCH(C243,art_ref,0))),""))</f>
        <v>26.25</v>
      </c>
      <c r="K243" s="39">
        <f>IF(OR(C243="",NOT(ISNUMBER(E243))),"",IFERROR(ROUND(N(INDEX(art_init,MATCH(C243,art_ref,0)))+SUMIFS($E$5:E243,$C$5:C243,C243,$B$5:B243,"Entrée")-SUMIFS($E$5:E243,$C$5:C243,C243,$B$5:B243,"Sortie"),6),""))</f>
        <v>525.0</v>
      </c>
      <c r="L243" s="39" t="str">
        <f>IF(COUNTA(A243:C243,E243)=0,"",IF(COUNTA(A243:C243,E243)&lt;4,"Ligne incomplète",IF(NOT(ISNUMBER(A243)),"Date invalide",IF(AND(B243&lt;&gt;"Entrée",B243&lt;&gt;"Sortie"),"Type inconnu",IF(ISNA(MATCH(C243,art_ref,0)),"Référence inconnue",IF(OR(NOT(ISNUMBER(E243)),N(E243)&lt;=0),"Quantité invalide",IF(K243&lt;0,"Stock négatif",IF(AND(ISNUMBER(A242),A243&lt;A242),"Date hors ordre","OK"))))))))</f>
        <v>OK</v>
      </c>
      <c r="M243" s="39" t="str">
        <f>IF(C243="","",C243&amp;"#"&amp;COUNTIF($C$5:C243,C243))</f>
        <v>JOI-20-2#16</v>
      </c>
    </row>
    <row r="244">
      <c r="A244" s="41" t="n">
        <v>46221</v>
      </c>
      <c r="B244" s="37" t="inlineStr">
        <is>
          <t>Sortie</t>
        </is>
      </c>
      <c r="C244" s="37" t="inlineStr">
        <is>
          <t>CAB-2.5</t>
        </is>
      </c>
      <c r="D244" s="39" t="str">
        <f>IF(C244="","",IFERROR(INDEX(art_des,MATCH(C244,art_ref,0))&amp;"","Référence inconnue"))</f>
        <v>Câble électrique 2,5 mm²</v>
      </c>
      <c r="E244" s="37" t="n">
        <v>55</v>
      </c>
      <c r="F244" s="39" t="str">
        <f>IF(C244="","",IFERROR(INDEX(art_unit,MATCH(C244,art_ref,0))&amp;"",""))</f>
        <v>m</v>
      </c>
      <c r="G244" s="37" t="inlineStr">
        <is>
          <t>BS-2026-0212</t>
        </is>
      </c>
      <c r="H244" s="37" t="inlineStr">
        <is>
          <t>Atelier usinage</t>
        </is>
      </c>
      <c r="I244" s="37" t="n"/>
      <c r="J244" s="40">
        <f>IF(OR(C244="",NOT(ISNUMBER(E244))),"",IFERROR(E244*N(INDEX(art_price,MATCH(C244,art_ref,0))),""))</f>
        <v>37.4</v>
      </c>
      <c r="K244" s="39">
        <f>IF(OR(C244="",NOT(ISNUMBER(E244))),"",IFERROR(ROUND(N(INDEX(art_init,MATCH(C244,art_ref,0)))+SUMIFS($E$5:E244,$C$5:C244,C244,$B$5:B244,"Entrée")-SUMIFS($E$5:E244,$C$5:C244,C244,$B$5:B244,"Sortie"),6),""))</f>
        <v>109.0</v>
      </c>
      <c r="L244" s="39" t="str">
        <f>IF(COUNTA(A244:C244,E244)=0,"",IF(COUNTA(A244:C244,E244)&lt;4,"Ligne incomplète",IF(NOT(ISNUMBER(A244)),"Date invalide",IF(AND(B244&lt;&gt;"Entrée",B244&lt;&gt;"Sortie"),"Type inconnu",IF(ISNA(MATCH(C244,art_ref,0)),"Référence inconnue",IF(OR(NOT(ISNUMBER(E244)),N(E244)&lt;=0),"Quantité invalide",IF(K244&lt;0,"Stock négatif",IF(AND(ISNUMBER(A243),A244&lt;A243),"Date hors ordre","OK"))))))))</f>
        <v>OK</v>
      </c>
      <c r="M244" s="39" t="str">
        <f>IF(C244="","",C244&amp;"#"&amp;COUNTIF($C$5:C244,C244))</f>
        <v>CAB-2.5#15</v>
      </c>
    </row>
    <row r="245">
      <c r="A245" s="41" t="n">
        <v>46221</v>
      </c>
      <c r="B245" s="37" t="inlineStr">
        <is>
          <t>Sortie</t>
        </is>
      </c>
      <c r="C245" s="37" t="inlineStr">
        <is>
          <t>FOR-HSS-8</t>
        </is>
      </c>
      <c r="D245" s="39" t="str">
        <f>IF(C245="","",IFERROR(INDEX(art_des,MATCH(C245,art_ref,0))&amp;"","Référence inconnue"))</f>
        <v>Foret HSS 8 mm</v>
      </c>
      <c r="E245" s="37" t="n">
        <v>3</v>
      </c>
      <c r="F245" s="39" t="str">
        <f>IF(C245="","",IFERROR(INDEX(art_unit,MATCH(C245,art_ref,0))&amp;"",""))</f>
        <v>pièce</v>
      </c>
      <c r="G245" s="37" t="inlineStr">
        <is>
          <t>BS-2026-0213</t>
        </is>
      </c>
      <c r="H245" s="37" t="inlineStr">
        <is>
          <t>Atelier montage</t>
        </is>
      </c>
      <c r="I245" s="37" t="n"/>
      <c r="J245" s="40">
        <f>IF(OR(C245="",NOT(ISNUMBER(E245))),"",IFERROR(E245*N(INDEX(art_price,MATCH(C245,art_ref,0))),""))</f>
        <v>13.8</v>
      </c>
      <c r="K245" s="39">
        <f>IF(OR(C245="",NOT(ISNUMBER(E245))),"",IFERROR(ROUND(N(INDEX(art_init,MATCH(C245,art_ref,0)))+SUMIFS($E$5:E245,$C$5:C245,C245,$B$5:B245,"Entrée")-SUMIFS($E$5:E245,$C$5:C245,C245,$B$5:B245,"Sortie"),6),""))</f>
        <v>21.0</v>
      </c>
      <c r="L245" s="39" t="str">
        <f>IF(COUNTA(A245:C245,E245)=0,"",IF(COUNTA(A245:C245,E245)&lt;4,"Ligne incomplète",IF(NOT(ISNUMBER(A245)),"Date invalide",IF(AND(B245&lt;&gt;"Entrée",B245&lt;&gt;"Sortie"),"Type inconnu",IF(ISNA(MATCH(C245,art_ref,0)),"Référence inconnue",IF(OR(NOT(ISNUMBER(E245)),N(E245)&lt;=0),"Quantité invalide",IF(K245&lt;0,"Stock négatif",IF(AND(ISNUMBER(A244),A245&lt;A244),"Date hors ordre","OK"))))))))</f>
        <v>OK</v>
      </c>
      <c r="M245" s="39" t="str">
        <f>IF(C245="","",C245&amp;"#"&amp;COUNTIF($C$5:C245,C245))</f>
        <v>FOR-HSS-8#15</v>
      </c>
    </row>
    <row r="246">
      <c r="A246" s="41" t="n">
        <v>46222</v>
      </c>
      <c r="B246" s="37" t="inlineStr">
        <is>
          <t>Entrée</t>
        </is>
      </c>
      <c r="C246" s="37" t="inlineStr">
        <is>
          <t>BOR-WAGO-3</t>
        </is>
      </c>
      <c r="D246" s="39" t="str">
        <f>IF(C246="","",IFERROR(INDEX(art_des,MATCH(C246,art_ref,0))&amp;"","Référence inconnue"))</f>
        <v>Borne de connexion 3 entrées</v>
      </c>
      <c r="E246" s="37" t="n">
        <v>245</v>
      </c>
      <c r="F246" s="39" t="str">
        <f>IF(C246="","",IFERROR(INDEX(art_unit,MATCH(C246,art_ref,0))&amp;"",""))</f>
        <v>pièce</v>
      </c>
      <c r="G246" s="37" t="inlineStr">
        <is>
          <t>BL-2026-029</t>
        </is>
      </c>
      <c r="H246" s="37" t="inlineStr">
        <is>
          <t>Électro Distribution</t>
        </is>
      </c>
      <c r="I246" s="37" t="inlineStr">
        <is>
          <t>Réception commande</t>
        </is>
      </c>
      <c r="J246" s="40">
        <f>IF(OR(C246="",NOT(ISNUMBER(E246))),"",IFERROR(E246*N(INDEX(art_price,MATCH(C246,art_ref,0))),""))</f>
        <v>102.9</v>
      </c>
      <c r="K246" s="39">
        <f>IF(OR(C246="",NOT(ISNUMBER(E246))),"",IFERROR(ROUND(N(INDEX(art_init,MATCH(C246,art_ref,0)))+SUMIFS($E$5:E246,$C$5:C246,C246,$B$5:B246,"Entrée")-SUMIFS($E$5:E246,$C$5:C246,C246,$B$5:B246,"Sortie"),6),""))</f>
        <v>300.0</v>
      </c>
      <c r="L246" s="39" t="str">
        <f>IF(COUNTA(A246:C246,E246)=0,"",IF(COUNTA(A246:C246,E246)&lt;4,"Ligne incomplète",IF(NOT(ISNUMBER(A246)),"Date invalide",IF(AND(B246&lt;&gt;"Entrée",B246&lt;&gt;"Sortie"),"Type inconnu",IF(ISNA(MATCH(C246,art_ref,0)),"Référence inconnue",IF(OR(NOT(ISNUMBER(E246)),N(E246)&lt;=0),"Quantité invalide",IF(K246&lt;0,"Stock négatif",IF(AND(ISNUMBER(A245),A246&lt;A245),"Date hors ordre","OK"))))))))</f>
        <v>OK</v>
      </c>
      <c r="M246" s="39" t="str">
        <f>IF(C246="","",C246&amp;"#"&amp;COUNTIF($C$5:C246,C246))</f>
        <v>BOR-WAGO-3#16</v>
      </c>
    </row>
    <row r="247">
      <c r="A247" s="41" t="n">
        <v>46222</v>
      </c>
      <c r="B247" s="37" t="inlineStr">
        <is>
          <t>Sortie</t>
        </is>
      </c>
      <c r="C247" s="37" t="inlineStr">
        <is>
          <t>CAR-40-30</t>
        </is>
      </c>
      <c r="D247" s="39" t="str">
        <f>IF(C247="","",IFERROR(INDEX(art_des,MATCH(C247,art_ref,0))&amp;"","Référence inconnue"))</f>
        <v>Carton double cannelure 40 x 30 x 20</v>
      </c>
      <c r="E247" s="37" t="n">
        <v>115</v>
      </c>
      <c r="F247" s="39" t="str">
        <f>IF(C247="","",IFERROR(INDEX(art_unit,MATCH(C247,art_ref,0))&amp;"",""))</f>
        <v>pièce</v>
      </c>
      <c r="G247" s="37" t="inlineStr">
        <is>
          <t>BS-2026-0214</t>
        </is>
      </c>
      <c r="H247" s="37" t="inlineStr">
        <is>
          <t>Atelier montage</t>
        </is>
      </c>
      <c r="I247" s="37" t="n"/>
      <c r="J247" s="40">
        <f>IF(OR(C247="",NOT(ISNUMBER(E247))),"",IFERROR(E247*N(INDEX(art_price,MATCH(C247,art_ref,0))),""))</f>
        <v>109.25</v>
      </c>
      <c r="K247" s="39">
        <f>IF(OR(C247="",NOT(ISNUMBER(E247))),"",IFERROR(ROUND(N(INDEX(art_init,MATCH(C247,art_ref,0)))+SUMIFS($E$5:E247,$C$5:C247,C247,$B$5:B247,"Entrée")-SUMIFS($E$5:E247,$C$5:C247,C247,$B$5:B247,"Sortie"),6),""))</f>
        <v>501.0</v>
      </c>
      <c r="L247" s="39" t="str">
        <f>IF(COUNTA(A247:C247,E247)=0,"",IF(COUNTA(A247:C247,E247)&lt;4,"Ligne incomplète",IF(NOT(ISNUMBER(A247)),"Date invalide",IF(AND(B247&lt;&gt;"Entrée",B247&lt;&gt;"Sortie"),"Type inconnu",IF(ISNA(MATCH(C247,art_ref,0)),"Référence inconnue",IF(OR(NOT(ISNUMBER(E247)),N(E247)&lt;=0),"Quantité invalide",IF(K247&lt;0,"Stock négatif",IF(AND(ISNUMBER(A246),A247&lt;A246),"Date hors ordre","OK"))))))))</f>
        <v>OK</v>
      </c>
      <c r="M247" s="39" t="str">
        <f>IF(C247="","",C247&amp;"#"&amp;COUNTIF($C$5:C247,C247))</f>
        <v>CAR-40-30#16</v>
      </c>
    </row>
    <row r="248">
      <c r="A248" s="41" t="n">
        <v>46222</v>
      </c>
      <c r="B248" s="37" t="inlineStr">
        <is>
          <t>Sortie</t>
        </is>
      </c>
      <c r="C248" s="37" t="inlineStr">
        <is>
          <t>ROU-6204</t>
        </is>
      </c>
      <c r="D248" s="39" t="str">
        <f>IF(C248="","",IFERROR(INDEX(art_des,MATCH(C248,art_ref,0))&amp;"","Référence inconnue"))</f>
        <v>Roulement à billes 6204 2RS</v>
      </c>
      <c r="E248" s="37" t="n">
        <v>15</v>
      </c>
      <c r="F248" s="39" t="str">
        <f>IF(C248="","",IFERROR(INDEX(art_unit,MATCH(C248,art_ref,0))&amp;"",""))</f>
        <v>pièce</v>
      </c>
      <c r="G248" s="37" t="inlineStr">
        <is>
          <t>BS-2026-0215</t>
        </is>
      </c>
      <c r="H248" s="37" t="inlineStr">
        <is>
          <t>Atelier soudure</t>
        </is>
      </c>
      <c r="I248" s="37" t="n"/>
      <c r="J248" s="40">
        <f>IF(OR(C248="",NOT(ISNUMBER(E248))),"",IFERROR(E248*N(INDEX(art_price,MATCH(C248,art_ref,0))),""))</f>
        <v>57.0</v>
      </c>
      <c r="K248" s="39">
        <f>IF(OR(C248="",NOT(ISNUMBER(E248))),"",IFERROR(ROUND(N(INDEX(art_init,MATCH(C248,art_ref,0)))+SUMIFS($E$5:E248,$C$5:C248,C248,$B$5:B248,"Entrée")-SUMIFS($E$5:E248,$C$5:C248,C248,$B$5:B248,"Sortie"),6),""))</f>
        <v>99.0</v>
      </c>
      <c r="L248" s="39" t="str">
        <f>IF(COUNTA(A248:C248,E248)=0,"",IF(COUNTA(A248:C248,E248)&lt;4,"Ligne incomplète",IF(NOT(ISNUMBER(A248)),"Date invalide",IF(AND(B248&lt;&gt;"Entrée",B248&lt;&gt;"Sortie"),"Type inconnu",IF(ISNA(MATCH(C248,art_ref,0)),"Référence inconnue",IF(OR(NOT(ISNUMBER(E248)),N(E248)&lt;=0),"Quantité invalide",IF(K248&lt;0,"Stock négatif",IF(AND(ISNUMBER(A247),A248&lt;A247),"Date hors ordre","OK"))))))))</f>
        <v>OK</v>
      </c>
      <c r="M248" s="39" t="str">
        <f>IF(C248="","",C248&amp;"#"&amp;COUNTIF($C$5:C248,C248))</f>
        <v>ROU-6204#16</v>
      </c>
    </row>
    <row r="249">
      <c r="A249" s="41" t="n">
        <v>46223</v>
      </c>
      <c r="B249" s="37" t="inlineStr">
        <is>
          <t>Sortie</t>
        </is>
      </c>
      <c r="C249" s="37" t="inlineStr">
        <is>
          <t>DIS-125</t>
        </is>
      </c>
      <c r="D249" s="39" t="str">
        <f>IF(C249="","",IFERROR(INDEX(art_des,MATCH(C249,art_ref,0))&amp;"","Référence inconnue"))</f>
        <v>Disque à tronçonner 125 mm</v>
      </c>
      <c r="E249" s="37" t="n">
        <v>23</v>
      </c>
      <c r="F249" s="39" t="str">
        <f>IF(C249="","",IFERROR(INDEX(art_unit,MATCH(C249,art_ref,0))&amp;"",""))</f>
        <v>pièce</v>
      </c>
      <c r="G249" s="37" t="inlineStr">
        <is>
          <t>BS-2026-0216</t>
        </is>
      </c>
      <c r="H249" s="37" t="inlineStr">
        <is>
          <t>Atelier usinage</t>
        </is>
      </c>
      <c r="I249" s="37" t="n"/>
      <c r="J249" s="40">
        <f>IF(OR(C249="",NOT(ISNUMBER(E249))),"",IFERROR(E249*N(INDEX(art_price,MATCH(C249,art_ref,0))),""))</f>
        <v>43.7</v>
      </c>
      <c r="K249" s="39">
        <f>IF(OR(C249="",NOT(ISNUMBER(E249))),"",IFERROR(ROUND(N(INDEX(art_init,MATCH(C249,art_ref,0)))+SUMIFS($E$5:E249,$C$5:C249,C249,$B$5:B249,"Entrée")-SUMIFS($E$5:E249,$C$5:C249,C249,$B$5:B249,"Sortie"),6),""))</f>
        <v>155.0</v>
      </c>
      <c r="L249" s="39" t="str">
        <f>IF(COUNTA(A249:C249,E249)=0,"",IF(COUNTA(A249:C249,E249)&lt;4,"Ligne incomplète",IF(NOT(ISNUMBER(A249)),"Date invalide",IF(AND(B249&lt;&gt;"Entrée",B249&lt;&gt;"Sortie"),"Type inconnu",IF(ISNA(MATCH(C249,art_ref,0)),"Référence inconnue",IF(OR(NOT(ISNUMBER(E249)),N(E249)&lt;=0),"Quantité invalide",IF(K249&lt;0,"Stock négatif",IF(AND(ISNUMBER(A248),A249&lt;A248),"Date hors ordre","OK"))))))))</f>
        <v>OK</v>
      </c>
      <c r="M249" s="39" t="str">
        <f>IF(C249="","",C249&amp;"#"&amp;COUNTIF($C$5:C249,C249))</f>
        <v>DIS-125#16</v>
      </c>
    </row>
    <row r="250">
      <c r="A250" s="41" t="n">
        <v>46226</v>
      </c>
      <c r="B250" s="37" t="inlineStr">
        <is>
          <t>Sortie</t>
        </is>
      </c>
      <c r="C250" s="37" t="inlineStr">
        <is>
          <t>ECR-M6</t>
        </is>
      </c>
      <c r="D250" s="39" t="str">
        <f>IF(C250="","",IFERROR(INDEX(art_des,MATCH(C250,art_ref,0))&amp;"","Référence inconnue"))</f>
        <v>Écrou inox M6</v>
      </c>
      <c r="E250" s="37" t="n">
        <v>339</v>
      </c>
      <c r="F250" s="39" t="str">
        <f>IF(C250="","",IFERROR(INDEX(art_unit,MATCH(C250,art_ref,0))&amp;"",""))</f>
        <v>pièce</v>
      </c>
      <c r="G250" s="37" t="inlineStr">
        <is>
          <t>BS-2026-0217</t>
        </is>
      </c>
      <c r="H250" s="37" t="inlineStr">
        <is>
          <t>Atelier soudure</t>
        </is>
      </c>
      <c r="I250" s="37" t="n"/>
      <c r="J250" s="40">
        <f>IF(OR(C250="",NOT(ISNUMBER(E250))),"",IFERROR(E250*N(INDEX(art_price,MATCH(C250,art_ref,0))),""))</f>
        <v>16.95</v>
      </c>
      <c r="K250" s="39">
        <f>IF(OR(C250="",NOT(ISNUMBER(E250))),"",IFERROR(ROUND(N(INDEX(art_init,MATCH(C250,art_ref,0)))+SUMIFS($E$5:E250,$C$5:C250,C250,$B$5:B250,"Entrée")-SUMIFS($E$5:E250,$C$5:C250,C250,$B$5:B250,"Sortie"),6),""))</f>
        <v>3661.0</v>
      </c>
      <c r="L250" s="39" t="str">
        <f>IF(COUNTA(A250:C250,E250)=0,"",IF(COUNTA(A250:C250,E250)&lt;4,"Ligne incomplète",IF(NOT(ISNUMBER(A250)),"Date invalide",IF(AND(B250&lt;&gt;"Entrée",B250&lt;&gt;"Sortie"),"Type inconnu",IF(ISNA(MATCH(C250,art_ref,0)),"Référence inconnue",IF(OR(NOT(ISNUMBER(E250)),N(E250)&lt;=0),"Quantité invalide",IF(K250&lt;0,"Stock négatif",IF(AND(ISNUMBER(A249),A250&lt;A249),"Date hors ordre","OK"))))))))</f>
        <v>OK</v>
      </c>
      <c r="M250" s="39" t="str">
        <f>IF(C250="","",C250&amp;"#"&amp;COUNTIF($C$5:C250,C250))</f>
        <v>ECR-M6#16</v>
      </c>
    </row>
    <row r="251">
      <c r="A251" s="41" t="n">
        <v>46226</v>
      </c>
      <c r="B251" s="37" t="inlineStr">
        <is>
          <t>Sortie</t>
        </is>
      </c>
      <c r="C251" s="37" t="inlineStr">
        <is>
          <t>VIS-M6-20</t>
        </is>
      </c>
      <c r="D251" s="39" t="str">
        <f>IF(C251="","",IFERROR(INDEX(art_des,MATCH(C251,art_ref,0))&amp;"","Référence inconnue"))</f>
        <v>Vis inox M6 x 20</v>
      </c>
      <c r="E251" s="37" t="n">
        <v>389</v>
      </c>
      <c r="F251" s="39" t="str">
        <f>IF(C251="","",IFERROR(INDEX(art_unit,MATCH(C251,art_ref,0))&amp;"",""))</f>
        <v>pièce</v>
      </c>
      <c r="G251" s="37" t="inlineStr">
        <is>
          <t>BS-2026-0218</t>
        </is>
      </c>
      <c r="H251" s="37" t="inlineStr">
        <is>
          <t>Maintenance</t>
        </is>
      </c>
      <c r="I251" s="37" t="n"/>
      <c r="J251" s="40">
        <f>IF(OR(C251="",NOT(ISNUMBER(E251))),"",IFERROR(E251*N(INDEX(art_price,MATCH(C251,art_ref,0))),""))</f>
        <v>46.68</v>
      </c>
      <c r="K251" s="39">
        <f>IF(OR(C251="",NOT(ISNUMBER(E251))),"",IFERROR(ROUND(N(INDEX(art_init,MATCH(C251,art_ref,0)))+SUMIFS($E$5:E251,$C$5:C251,C251,$B$5:B251,"Entrée")-SUMIFS($E$5:E251,$C$5:C251,C251,$B$5:B251,"Sortie"),6),""))</f>
        <v>3238.0</v>
      </c>
      <c r="L251" s="39" t="str">
        <f>IF(COUNTA(A251:C251,E251)=0,"",IF(COUNTA(A251:C251,E251)&lt;4,"Ligne incomplète",IF(NOT(ISNUMBER(A251)),"Date invalide",IF(AND(B251&lt;&gt;"Entrée",B251&lt;&gt;"Sortie"),"Type inconnu",IF(ISNA(MATCH(C251,art_ref,0)),"Référence inconnue",IF(OR(NOT(ISNUMBER(E251)),N(E251)&lt;=0),"Quantité invalide",IF(K251&lt;0,"Stock négatif",IF(AND(ISNUMBER(A250),A251&lt;A250),"Date hors ordre","OK"))))))))</f>
        <v>OK</v>
      </c>
      <c r="M251" s="39" t="str">
        <f>IF(C251="","",C251&amp;"#"&amp;COUNTIF($C$5:C251,C251))</f>
        <v>VIS-M6-20#16</v>
      </c>
    </row>
    <row r="252">
      <c r="A252" s="41" t="n">
        <v>46229</v>
      </c>
      <c r="B252" s="37" t="inlineStr">
        <is>
          <t>Sortie</t>
        </is>
      </c>
      <c r="C252" s="37" t="inlineStr">
        <is>
          <t>GAN-NIT</t>
        </is>
      </c>
      <c r="D252" s="39" t="str">
        <f>IF(C252="","",IFERROR(INDEX(art_des,MATCH(C252,art_ref,0))&amp;"","Référence inconnue"))</f>
        <v>Gants nitrile, boîte de 100</v>
      </c>
      <c r="E252" s="37" t="n">
        <v>4</v>
      </c>
      <c r="F252" s="39" t="str">
        <f>IF(C252="","",IFERROR(INDEX(art_unit,MATCH(C252,art_ref,0))&amp;"",""))</f>
        <v>boîte</v>
      </c>
      <c r="G252" s="37" t="inlineStr">
        <is>
          <t>BS-2026-0219</t>
        </is>
      </c>
      <c r="H252" s="37" t="inlineStr">
        <is>
          <t>Atelier montage</t>
        </is>
      </c>
      <c r="I252" s="37" t="n"/>
      <c r="J252" s="40">
        <f>IF(OR(C252="",NOT(ISNUMBER(E252))),"",IFERROR(E252*N(INDEX(art_price,MATCH(C252,art_ref,0))),""))</f>
        <v>30.0</v>
      </c>
      <c r="K252" s="39">
        <f>IF(OR(C252="",NOT(ISNUMBER(E252))),"",IFERROR(ROUND(N(INDEX(art_init,MATCH(C252,art_ref,0)))+SUMIFS($E$5:E252,$C$5:C252,C252,$B$5:B252,"Entrée")-SUMIFS($E$5:E252,$C$5:C252,C252,$B$5:B252,"Sortie"),6),""))</f>
        <v>19.0</v>
      </c>
      <c r="L252" s="39" t="str">
        <f>IF(COUNTA(A252:C252,E252)=0,"",IF(COUNTA(A252:C252,E252)&lt;4,"Ligne incomplète",IF(NOT(ISNUMBER(A252)),"Date invalide",IF(AND(B252&lt;&gt;"Entrée",B252&lt;&gt;"Sortie"),"Type inconnu",IF(ISNA(MATCH(C252,art_ref,0)),"Référence inconnue",IF(OR(NOT(ISNUMBER(E252)),N(E252)&lt;=0),"Quantité invalide",IF(K252&lt;0,"Stock négatif",IF(AND(ISNUMBER(A251),A252&lt;A251),"Date hors ordre","OK"))))))))</f>
        <v>OK</v>
      </c>
      <c r="M252" s="39" t="str">
        <f>IF(C252="","",C252&amp;"#"&amp;COUNTIF($C$5:C252,C252))</f>
        <v>GAN-NIT#16</v>
      </c>
    </row>
    <row r="253">
      <c r="A253" s="41" t="n">
        <v>46230</v>
      </c>
      <c r="B253" s="37" t="inlineStr">
        <is>
          <t>Sortie</t>
        </is>
      </c>
      <c r="C253" s="37" t="inlineStr">
        <is>
          <t>HUI-COUP-5</t>
        </is>
      </c>
      <c r="D253" s="39" t="str">
        <f>IF(C253="","",IFERROR(INDEX(art_des,MATCH(C253,art_ref,0))&amp;"","Référence inconnue"))</f>
        <v>Huile de coupe soluble 5 L</v>
      </c>
      <c r="E253" s="37" t="n">
        <v>2</v>
      </c>
      <c r="F253" s="39" t="str">
        <f>IF(C253="","",IFERROR(INDEX(art_unit,MATCH(C253,art_ref,0))&amp;"",""))</f>
        <v>bidon</v>
      </c>
      <c r="G253" s="37" t="inlineStr">
        <is>
          <t>BS-2026-0220</t>
        </is>
      </c>
      <c r="H253" s="37" t="inlineStr">
        <is>
          <t>Expédition</t>
        </is>
      </c>
      <c r="I253" s="37" t="n"/>
      <c r="J253" s="40">
        <f>IF(OR(C253="",NOT(ISNUMBER(E253))),"",IFERROR(E253*N(INDEX(art_price,MATCH(C253,art_ref,0))),""))</f>
        <v>54.0</v>
      </c>
      <c r="K253" s="39">
        <f>IF(OR(C253="",NOT(ISNUMBER(E253))),"",IFERROR(ROUND(N(INDEX(art_init,MATCH(C253,art_ref,0)))+SUMIFS($E$5:E253,$C$5:C253,C253,$B$5:B253,"Entrée")-SUMIFS($E$5:E253,$C$5:C253,C253,$B$5:B253,"Sortie"),6),""))</f>
        <v>5.0</v>
      </c>
      <c r="L253" s="39" t="str">
        <f>IF(COUNTA(A253:C253,E253)=0,"",IF(COUNTA(A253:C253,E253)&lt;4,"Ligne incomplète",IF(NOT(ISNUMBER(A253)),"Date invalide",IF(AND(B253&lt;&gt;"Entrée",B253&lt;&gt;"Sortie"),"Type inconnu",IF(ISNA(MATCH(C253,art_ref,0)),"Référence inconnue",IF(OR(NOT(ISNUMBER(E253)),N(E253)&lt;=0),"Quantité invalide",IF(K253&lt;0,"Stock négatif",IF(AND(ISNUMBER(A252),A253&lt;A252),"Date hors ordre","OK"))))))))</f>
        <v>OK</v>
      </c>
      <c r="M253" s="39" t="str">
        <f>IF(C253="","",C253&amp;"#"&amp;COUNTIF($C$5:C253,C253))</f>
        <v>HUI-COUP-5#15</v>
      </c>
    </row>
    <row r="254">
      <c r="A254" s="41" t="n">
        <v>46230</v>
      </c>
      <c r="B254" s="37" t="inlineStr">
        <is>
          <t>Sortie</t>
        </is>
      </c>
      <c r="C254" s="37" t="inlineStr">
        <is>
          <t>PAL-120</t>
        </is>
      </c>
      <c r="D254" s="39" t="str">
        <f>IF(C254="","",IFERROR(INDEX(art_des,MATCH(C254,art_ref,0))&amp;"","Référence inconnue"))</f>
        <v>Palette bois 120 x 80</v>
      </c>
      <c r="E254" s="37" t="n">
        <v>5</v>
      </c>
      <c r="F254" s="39" t="str">
        <f>IF(C254="","",IFERROR(INDEX(art_unit,MATCH(C254,art_ref,0))&amp;"",""))</f>
        <v>pièce</v>
      </c>
      <c r="G254" s="37" t="inlineStr">
        <is>
          <t>BS-2026-0221</t>
        </is>
      </c>
      <c r="H254" s="37" t="inlineStr">
        <is>
          <t>Maintenance</t>
        </is>
      </c>
      <c r="I254" s="37" t="n"/>
      <c r="J254" s="40">
        <f>IF(OR(C254="",NOT(ISNUMBER(E254))),"",IFERROR(E254*N(INDEX(art_price,MATCH(C254,art_ref,0))),""))</f>
        <v>45.0</v>
      </c>
      <c r="K254" s="39">
        <f>IF(OR(C254="",NOT(ISNUMBER(E254))),"",IFERROR(ROUND(N(INDEX(art_init,MATCH(C254,art_ref,0)))+SUMIFS($E$5:E254,$C$5:C254,C254,$B$5:B254,"Entrée")-SUMIFS($E$5:E254,$C$5:C254,C254,$B$5:B254,"Sortie"),6),""))</f>
        <v>32.0</v>
      </c>
      <c r="L254" s="39" t="str">
        <f>IF(COUNTA(A254:C254,E254)=0,"",IF(COUNTA(A254:C254,E254)&lt;4,"Ligne incomplète",IF(NOT(ISNUMBER(A254)),"Date invalide",IF(AND(B254&lt;&gt;"Entrée",B254&lt;&gt;"Sortie"),"Type inconnu",IF(ISNA(MATCH(C254,art_ref,0)),"Référence inconnue",IF(OR(NOT(ISNUMBER(E254)),N(E254)&lt;=0),"Quantité invalide",IF(K254&lt;0,"Stock négatif",IF(AND(ISNUMBER(A253),A254&lt;A253),"Date hors ordre","OK"))))))))</f>
        <v>OK</v>
      </c>
      <c r="M254" s="39" t="str">
        <f>IF(C254="","",C254&amp;"#"&amp;COUNTIF($C$5:C254,C254))</f>
        <v>PAL-120#16</v>
      </c>
    </row>
    <row r="255">
      <c r="A255" s="41" t="n">
        <v>46230</v>
      </c>
      <c r="B255" s="37" t="inlineStr">
        <is>
          <t>Sortie</t>
        </is>
      </c>
      <c r="C255" s="37" t="inlineStr">
        <is>
          <t>RON-M6</t>
        </is>
      </c>
      <c r="D255" s="39" t="str">
        <f>IF(C255="","",IFERROR(INDEX(art_des,MATCH(C255,art_ref,0))&amp;"","Référence inconnue"))</f>
        <v>Rondelle plate M6</v>
      </c>
      <c r="E255" s="37" t="n">
        <v>359</v>
      </c>
      <c r="F255" s="39" t="str">
        <f>IF(C255="","",IFERROR(INDEX(art_unit,MATCH(C255,art_ref,0))&amp;"",""))</f>
        <v>pièce</v>
      </c>
      <c r="G255" s="37" t="inlineStr">
        <is>
          <t>BS-2026-0222</t>
        </is>
      </c>
      <c r="H255" s="37" t="inlineStr">
        <is>
          <t>Expédition</t>
        </is>
      </c>
      <c r="I255" s="37" t="n"/>
      <c r="J255" s="40">
        <f>IF(OR(C255="",NOT(ISNUMBER(E255))),"",IFERROR(E255*N(INDEX(art_price,MATCH(C255,art_ref,0))),""))</f>
        <v>10.77</v>
      </c>
      <c r="K255" s="39">
        <f>IF(OR(C255="",NOT(ISNUMBER(E255))),"",IFERROR(ROUND(N(INDEX(art_init,MATCH(C255,art_ref,0)))+SUMIFS($E$5:E255,$C$5:C255,C255,$B$5:B255,"Entrée")-SUMIFS($E$5:E255,$C$5:C255,C255,$B$5:B255,"Sortie"),6),""))</f>
        <v>2036.0</v>
      </c>
      <c r="L255" s="39" t="str">
        <f>IF(COUNTA(A255:C255,E255)=0,"",IF(COUNTA(A255:C255,E255)&lt;4,"Ligne incomplète",IF(NOT(ISNUMBER(A255)),"Date invalide",IF(AND(B255&lt;&gt;"Entrée",B255&lt;&gt;"Sortie"),"Type inconnu",IF(ISNA(MATCH(C255,art_ref,0)),"Référence inconnue",IF(OR(NOT(ISNUMBER(E255)),N(E255)&lt;=0),"Quantité invalide",IF(K255&lt;0,"Stock négatif",IF(AND(ISNUMBER(A254),A255&lt;A254),"Date hors ordre","OK"))))))))</f>
        <v>OK</v>
      </c>
      <c r="M255" s="39" t="str">
        <f>IF(C255="","",C255&amp;"#"&amp;COUNTIF($C$5:C255,C255))</f>
        <v>RON-M6#16</v>
      </c>
    </row>
    <row r="256">
      <c r="A256" s="41" t="n">
        <v>46230</v>
      </c>
      <c r="B256" s="37" t="inlineStr">
        <is>
          <t>Sortie</t>
        </is>
      </c>
      <c r="C256" s="37" t="inlineStr">
        <is>
          <t>RUB-50</t>
        </is>
      </c>
      <c r="D256" s="39" t="str">
        <f>IF(C256="","",IFERROR(INDEX(art_des,MATCH(C256,art_ref,0))&amp;"","Référence inconnue"))</f>
        <v>Ruban adhésif 50 mm x 66 m</v>
      </c>
      <c r="E256" s="37" t="n">
        <v>11</v>
      </c>
      <c r="F256" s="39" t="str">
        <f>IF(C256="","",IFERROR(INDEX(art_unit,MATCH(C256,art_ref,0))&amp;"",""))</f>
        <v>rouleau</v>
      </c>
      <c r="G256" s="37" t="inlineStr">
        <is>
          <t>BS-2026-0223</t>
        </is>
      </c>
      <c r="H256" s="37" t="inlineStr">
        <is>
          <t>Atelier montage</t>
        </is>
      </c>
      <c r="I256" s="37" t="n"/>
      <c r="J256" s="40">
        <f>IF(OR(C256="",NOT(ISNUMBER(E256))),"",IFERROR(E256*N(INDEX(art_price,MATCH(C256,art_ref,0))),""))</f>
        <v>15.4</v>
      </c>
      <c r="K256" s="39">
        <f>IF(OR(C256="",NOT(ISNUMBER(E256))),"",IFERROR(ROUND(N(INDEX(art_init,MATCH(C256,art_ref,0)))+SUMIFS($E$5:E256,$C$5:C256,C256,$B$5:B256,"Entrée")-SUMIFS($E$5:E256,$C$5:C256,C256,$B$5:B256,"Sortie"),6),""))</f>
        <v>85.0</v>
      </c>
      <c r="L256" s="39" t="str">
        <f>IF(COUNTA(A256:C256,E256)=0,"",IF(COUNTA(A256:C256,E256)&lt;4,"Ligne incomplète",IF(NOT(ISNUMBER(A256)),"Date invalide",IF(AND(B256&lt;&gt;"Entrée",B256&lt;&gt;"Sortie"),"Type inconnu",IF(ISNA(MATCH(C256,art_ref,0)),"Référence inconnue",IF(OR(NOT(ISNUMBER(E256)),N(E256)&lt;=0),"Quantité invalide",IF(K256&lt;0,"Stock négatif",IF(AND(ISNUMBER(A255),A256&lt;A255),"Date hors ordre","OK"))))))))</f>
        <v>OK</v>
      </c>
      <c r="M256" s="39" t="str">
        <f>IF(C256="","",C256&amp;"#"&amp;COUNTIF($C$5:C256,C256))</f>
        <v>RUB-50#16</v>
      </c>
    </row>
    <row r="257">
      <c r="A257" s="41" t="n">
        <v>46230</v>
      </c>
      <c r="B257" s="37" t="inlineStr">
        <is>
          <t>Sortie</t>
        </is>
      </c>
      <c r="C257" s="37" t="inlineStr">
        <is>
          <t>TOL-ACI-2</t>
        </is>
      </c>
      <c r="D257" s="39" t="str">
        <f>IF(C257="","",IFERROR(INDEX(art_des,MATCH(C257,art_ref,0))&amp;"","Référence inconnue"))</f>
        <v>Tôle acier 2 mm 1000 x 2000</v>
      </c>
      <c r="E257" s="37" t="n">
        <v>7</v>
      </c>
      <c r="F257" s="39" t="str">
        <f>IF(C257="","",IFERROR(INDEX(art_unit,MATCH(C257,art_ref,0))&amp;"",""))</f>
        <v>feuille</v>
      </c>
      <c r="G257" s="37" t="inlineStr">
        <is>
          <t>BS-2026-0224</t>
        </is>
      </c>
      <c r="H257" s="37" t="inlineStr">
        <is>
          <t>Expédition</t>
        </is>
      </c>
      <c r="I257" s="37" t="n"/>
      <c r="J257" s="40">
        <f>IF(OR(C257="",NOT(ISNUMBER(E257))),"",IFERROR(E257*N(INDEX(art_price,MATCH(C257,art_ref,0))),""))</f>
        <v>339.5</v>
      </c>
      <c r="K257" s="39">
        <f>IF(OR(C257="",NOT(ISNUMBER(E257))),"",IFERROR(ROUND(N(INDEX(art_init,MATCH(C257,art_ref,0)))+SUMIFS($E$5:E257,$C$5:C257,C257,$B$5:B257,"Entrée")-SUMIFS($E$5:E257,$C$5:C257,C257,$B$5:B257,"Sortie"),6),""))</f>
        <v>28.0</v>
      </c>
      <c r="L257" s="39" t="str">
        <f>IF(COUNTA(A257:C257,E257)=0,"",IF(COUNTA(A257:C257,E257)&lt;4,"Ligne incomplète",IF(NOT(ISNUMBER(A257)),"Date invalide",IF(AND(B257&lt;&gt;"Entrée",B257&lt;&gt;"Sortie"),"Type inconnu",IF(ISNA(MATCH(C257,art_ref,0)),"Référence inconnue",IF(OR(NOT(ISNUMBER(E257)),N(E257)&lt;=0),"Quantité invalide",IF(K257&lt;0,"Stock négatif",IF(AND(ISNUMBER(A256),A257&lt;A256),"Date hors ordre","OK"))))))))</f>
        <v>OK</v>
      </c>
      <c r="M257" s="39" t="str">
        <f>IF(C257="","",C257&amp;"#"&amp;COUNTIF($C$5:C257,C257))</f>
        <v>TOL-ACI-2#16</v>
      </c>
    </row>
    <row r="258">
      <c r="A258" s="41" t="n">
        <v>46237</v>
      </c>
      <c r="B258" s="37" t="inlineStr">
        <is>
          <t>Sortie</t>
        </is>
      </c>
      <c r="C258" s="37" t="inlineStr">
        <is>
          <t>CAR-40-30</t>
        </is>
      </c>
      <c r="D258" s="39" t="str">
        <f>IF(C258="","",IFERROR(INDEX(art_des,MATCH(C258,art_ref,0))&amp;"","Référence inconnue"))</f>
        <v>Carton double cannelure 40 x 30 x 20</v>
      </c>
      <c r="E258" s="37" t="n">
        <v>110</v>
      </c>
      <c r="F258" s="39" t="str">
        <f>IF(C258="","",IFERROR(INDEX(art_unit,MATCH(C258,art_ref,0))&amp;"",""))</f>
        <v>pièce</v>
      </c>
      <c r="G258" s="37" t="inlineStr">
        <is>
          <t>BS-2026-0225</t>
        </is>
      </c>
      <c r="H258" s="37" t="inlineStr">
        <is>
          <t>Atelier soudure</t>
        </is>
      </c>
      <c r="I258" s="37" t="n"/>
      <c r="J258" s="40">
        <f>IF(OR(C258="",NOT(ISNUMBER(E258))),"",IFERROR(E258*N(INDEX(art_price,MATCH(C258,art_ref,0))),""))</f>
        <v>104.5</v>
      </c>
      <c r="K258" s="39">
        <f>IF(OR(C258="",NOT(ISNUMBER(E258))),"",IFERROR(ROUND(N(INDEX(art_init,MATCH(C258,art_ref,0)))+SUMIFS($E$5:E258,$C$5:C258,C258,$B$5:B258,"Entrée")-SUMIFS($E$5:E258,$C$5:C258,C258,$B$5:B258,"Sortie"),6),""))</f>
        <v>391.0</v>
      </c>
      <c r="L258" s="39" t="str">
        <f>IF(COUNTA(A258:C258,E258)=0,"",IF(COUNTA(A258:C258,E258)&lt;4,"Ligne incomplète",IF(NOT(ISNUMBER(A258)),"Date invalide",IF(AND(B258&lt;&gt;"Entrée",B258&lt;&gt;"Sortie"),"Type inconnu",IF(ISNA(MATCH(C258,art_ref,0)),"Référence inconnue",IF(OR(NOT(ISNUMBER(E258)),N(E258)&lt;=0),"Quantité invalide",IF(K258&lt;0,"Stock négatif",IF(AND(ISNUMBER(A257),A258&lt;A257),"Date hors ordre","OK"))))))))</f>
        <v>OK</v>
      </c>
      <c r="M258" s="39" t="str">
        <f>IF(C258="","",C258&amp;"#"&amp;COUNTIF($C$5:C258,C258))</f>
        <v>CAR-40-30#17</v>
      </c>
    </row>
    <row r="259">
      <c r="A259" s="41" t="n">
        <v>46238</v>
      </c>
      <c r="B259" s="37" t="inlineStr">
        <is>
          <t>Sortie</t>
        </is>
      </c>
      <c r="C259" s="37" t="inlineStr">
        <is>
          <t>FOR-HSS-8</t>
        </is>
      </c>
      <c r="D259" s="39" t="str">
        <f>IF(C259="","",IFERROR(INDEX(art_des,MATCH(C259,art_ref,0))&amp;"","Référence inconnue"))</f>
        <v>Foret HSS 8 mm</v>
      </c>
      <c r="E259" s="37" t="n">
        <v>3</v>
      </c>
      <c r="F259" s="39" t="str">
        <f>IF(C259="","",IFERROR(INDEX(art_unit,MATCH(C259,art_ref,0))&amp;"",""))</f>
        <v>pièce</v>
      </c>
      <c r="G259" s="37" t="inlineStr">
        <is>
          <t>BS-2026-0226</t>
        </is>
      </c>
      <c r="H259" s="37" t="inlineStr">
        <is>
          <t>Atelier montage</t>
        </is>
      </c>
      <c r="I259" s="37" t="n"/>
      <c r="J259" s="40">
        <f>IF(OR(C259="",NOT(ISNUMBER(E259))),"",IFERROR(E259*N(INDEX(art_price,MATCH(C259,art_ref,0))),""))</f>
        <v>13.8</v>
      </c>
      <c r="K259" s="39">
        <f>IF(OR(C259="",NOT(ISNUMBER(E259))),"",IFERROR(ROUND(N(INDEX(art_init,MATCH(C259,art_ref,0)))+SUMIFS($E$5:E259,$C$5:C259,C259,$B$5:B259,"Entrée")-SUMIFS($E$5:E259,$C$5:C259,C259,$B$5:B259,"Sortie"),6),""))</f>
        <v>18.0</v>
      </c>
      <c r="L259" s="39" t="str">
        <f>IF(COUNTA(A259:C259,E259)=0,"",IF(COUNTA(A259:C259,E259)&lt;4,"Ligne incomplète",IF(NOT(ISNUMBER(A259)),"Date invalide",IF(AND(B259&lt;&gt;"Entrée",B259&lt;&gt;"Sortie"),"Type inconnu",IF(ISNA(MATCH(C259,art_ref,0)),"Référence inconnue",IF(OR(NOT(ISNUMBER(E259)),N(E259)&lt;=0),"Quantité invalide",IF(K259&lt;0,"Stock négatif",IF(AND(ISNUMBER(A258),A259&lt;A258),"Date hors ordre","OK"))))))))</f>
        <v>OK</v>
      </c>
      <c r="M259" s="39" t="str">
        <f>IF(C259="","",C259&amp;"#"&amp;COUNTIF($C$5:C259,C259))</f>
        <v>FOR-HSS-8#16</v>
      </c>
    </row>
    <row r="260">
      <c r="A260" s="41" t="n">
        <v>46240</v>
      </c>
      <c r="B260" s="37" t="inlineStr">
        <is>
          <t>Sortie</t>
        </is>
      </c>
      <c r="C260" s="37" t="inlineStr">
        <is>
          <t>JOI-20-2</t>
        </is>
      </c>
      <c r="D260" s="39" t="str">
        <f>IF(C260="","",IFERROR(INDEX(art_des,MATCH(C260,art_ref,0))&amp;"","Référence inconnue"))</f>
        <v>Joint torique 20 x 2 NBR</v>
      </c>
      <c r="E260" s="37" t="n">
        <v>48</v>
      </c>
      <c r="F260" s="39" t="str">
        <f>IF(C260="","",IFERROR(INDEX(art_unit,MATCH(C260,art_ref,0))&amp;"",""))</f>
        <v>pièce</v>
      </c>
      <c r="G260" s="37" t="inlineStr">
        <is>
          <t>BS-2026-0227</t>
        </is>
      </c>
      <c r="H260" s="37" t="inlineStr">
        <is>
          <t>Expédition</t>
        </is>
      </c>
      <c r="I260" s="37" t="n"/>
      <c r="J260" s="40">
        <f>IF(OR(C260="",NOT(ISNUMBER(E260))),"",IFERROR(E260*N(INDEX(art_price,MATCH(C260,art_ref,0))),""))</f>
        <v>16.8</v>
      </c>
      <c r="K260" s="39">
        <f>IF(OR(C260="",NOT(ISNUMBER(E260))),"",IFERROR(ROUND(N(INDEX(art_init,MATCH(C260,art_ref,0)))+SUMIFS($E$5:E260,$C$5:C260,C260,$B$5:B260,"Entrée")-SUMIFS($E$5:E260,$C$5:C260,C260,$B$5:B260,"Sortie"),6),""))</f>
        <v>477.0</v>
      </c>
      <c r="L260" s="39" t="str">
        <f>IF(COUNTA(A260:C260,E260)=0,"",IF(COUNTA(A260:C260,E260)&lt;4,"Ligne incomplète",IF(NOT(ISNUMBER(A260)),"Date invalide",IF(AND(B260&lt;&gt;"Entrée",B260&lt;&gt;"Sortie"),"Type inconnu",IF(ISNA(MATCH(C260,art_ref,0)),"Référence inconnue",IF(OR(NOT(ISNUMBER(E260)),N(E260)&lt;=0),"Quantité invalide",IF(K260&lt;0,"Stock négatif",IF(AND(ISNUMBER(A259),A260&lt;A259),"Date hors ordre","OK"))))))))</f>
        <v>OK</v>
      </c>
      <c r="M260" s="39" t="str">
        <f>IF(C260="","",C260&amp;"#"&amp;COUNTIF($C$5:C260,C260))</f>
        <v>JOI-20-2#17</v>
      </c>
    </row>
    <row r="261">
      <c r="A261" s="41" t="n">
        <v>46240</v>
      </c>
      <c r="B261" s="37" t="inlineStr">
        <is>
          <t>Sortie</t>
        </is>
      </c>
      <c r="C261" s="37" t="inlineStr">
        <is>
          <t>TUB-ACI-40</t>
        </is>
      </c>
      <c r="D261" s="39" t="str">
        <f>IF(C261="","",IFERROR(INDEX(art_des,MATCH(C261,art_ref,0))&amp;"","Référence inconnue"))</f>
        <v>Tube acier carré 40 x 40, 6 m</v>
      </c>
      <c r="E261" s="37" t="n">
        <v>6</v>
      </c>
      <c r="F261" s="39" t="str">
        <f>IF(C261="","",IFERROR(INDEX(art_unit,MATCH(C261,art_ref,0))&amp;"",""))</f>
        <v>barre</v>
      </c>
      <c r="G261" s="37" t="inlineStr">
        <is>
          <t>BS-2026-0228</t>
        </is>
      </c>
      <c r="H261" s="37" t="inlineStr">
        <is>
          <t>Expédition</t>
        </is>
      </c>
      <c r="I261" s="37" t="n"/>
      <c r="J261" s="40">
        <f>IF(OR(C261="",NOT(ISNUMBER(E261))),"",IFERROR(E261*N(INDEX(art_price,MATCH(C261,art_ref,0))),""))</f>
        <v>187.2</v>
      </c>
      <c r="K261" s="39">
        <f>IF(OR(C261="",NOT(ISNUMBER(E261))),"",IFERROR(ROUND(N(INDEX(art_init,MATCH(C261,art_ref,0)))+SUMIFS($E$5:E261,$C$5:C261,C261,$B$5:B261,"Entrée")-SUMIFS($E$5:E261,$C$5:C261,C261,$B$5:B261,"Sortie"),6),""))</f>
        <v>27.0</v>
      </c>
      <c r="L261" s="39" t="str">
        <f>IF(COUNTA(A261:C261,E261)=0,"",IF(COUNTA(A261:C261,E261)&lt;4,"Ligne incomplète",IF(NOT(ISNUMBER(A261)),"Date invalide",IF(AND(B261&lt;&gt;"Entrée",B261&lt;&gt;"Sortie"),"Type inconnu",IF(ISNA(MATCH(C261,art_ref,0)),"Référence inconnue",IF(OR(NOT(ISNUMBER(E261)),N(E261)&lt;=0),"Quantité invalide",IF(K261&lt;0,"Stock négatif",IF(AND(ISNUMBER(A260),A261&lt;A260),"Date hors ordre","OK"))))))))</f>
        <v>OK</v>
      </c>
      <c r="M261" s="39" t="str">
        <f>IF(C261="","",C261&amp;"#"&amp;COUNTIF($C$5:C261,C261))</f>
        <v>TUB-ACI-40#17</v>
      </c>
    </row>
    <row r="262">
      <c r="A262" s="41" t="n">
        <v>46241</v>
      </c>
      <c r="B262" s="37" t="inlineStr">
        <is>
          <t>Sortie</t>
        </is>
      </c>
      <c r="C262" s="37" t="inlineStr">
        <is>
          <t>PAL-120</t>
        </is>
      </c>
      <c r="D262" s="39" t="str">
        <f>IF(C262="","",IFERROR(INDEX(art_des,MATCH(C262,art_ref,0))&amp;"","Référence inconnue"))</f>
        <v>Palette bois 120 x 80</v>
      </c>
      <c r="E262" s="37" t="n">
        <v>6</v>
      </c>
      <c r="F262" s="39" t="str">
        <f>IF(C262="","",IFERROR(INDEX(art_unit,MATCH(C262,art_ref,0))&amp;"",""))</f>
        <v>pièce</v>
      </c>
      <c r="G262" s="37" t="inlineStr">
        <is>
          <t>BS-2026-0229</t>
        </is>
      </c>
      <c r="H262" s="37" t="inlineStr">
        <is>
          <t>Atelier montage</t>
        </is>
      </c>
      <c r="I262" s="37" t="n"/>
      <c r="J262" s="40">
        <f>IF(OR(C262="",NOT(ISNUMBER(E262))),"",IFERROR(E262*N(INDEX(art_price,MATCH(C262,art_ref,0))),""))</f>
        <v>54.0</v>
      </c>
      <c r="K262" s="39">
        <f>IF(OR(C262="",NOT(ISNUMBER(E262))),"",IFERROR(ROUND(N(INDEX(art_init,MATCH(C262,art_ref,0)))+SUMIFS($E$5:E262,$C$5:C262,C262,$B$5:B262,"Entrée")-SUMIFS($E$5:E262,$C$5:C262,C262,$B$5:B262,"Sortie"),6),""))</f>
        <v>26.0</v>
      </c>
      <c r="L262" s="39" t="str">
        <f>IF(COUNTA(A262:C262,E262)=0,"",IF(COUNTA(A262:C262,E262)&lt;4,"Ligne incomplète",IF(NOT(ISNUMBER(A262)),"Date invalide",IF(AND(B262&lt;&gt;"Entrée",B262&lt;&gt;"Sortie"),"Type inconnu",IF(ISNA(MATCH(C262,art_ref,0)),"Référence inconnue",IF(OR(NOT(ISNUMBER(E262)),N(E262)&lt;=0),"Quantité invalide",IF(K262&lt;0,"Stock négatif",IF(AND(ISNUMBER(A261),A262&lt;A261),"Date hors ordre","OK"))))))))</f>
        <v>OK</v>
      </c>
      <c r="M262" s="39" t="str">
        <f>IF(C262="","",C262&amp;"#"&amp;COUNTIF($C$5:C262,C262))</f>
        <v>PAL-120#17</v>
      </c>
    </row>
    <row r="263">
      <c r="A263" s="41" t="n">
        <v>46241</v>
      </c>
      <c r="B263" s="37" t="inlineStr">
        <is>
          <t>Sortie</t>
        </is>
      </c>
      <c r="C263" s="37" t="inlineStr">
        <is>
          <t>ROU-6204</t>
        </is>
      </c>
      <c r="D263" s="39" t="str">
        <f>IF(C263="","",IFERROR(INDEX(art_des,MATCH(C263,art_ref,0))&amp;"","Référence inconnue"))</f>
        <v>Roulement à billes 6204 2RS</v>
      </c>
      <c r="E263" s="37" t="n">
        <v>22</v>
      </c>
      <c r="F263" s="39" t="str">
        <f>IF(C263="","",IFERROR(INDEX(art_unit,MATCH(C263,art_ref,0))&amp;"",""))</f>
        <v>pièce</v>
      </c>
      <c r="G263" s="37" t="inlineStr">
        <is>
          <t>BS-2026-0230</t>
        </is>
      </c>
      <c r="H263" s="37" t="inlineStr">
        <is>
          <t>Maintenance</t>
        </is>
      </c>
      <c r="I263" s="37" t="n"/>
      <c r="J263" s="40">
        <f>IF(OR(C263="",NOT(ISNUMBER(E263))),"",IFERROR(E263*N(INDEX(art_price,MATCH(C263,art_ref,0))),""))</f>
        <v>83.6</v>
      </c>
      <c r="K263" s="39">
        <f>IF(OR(C263="",NOT(ISNUMBER(E263))),"",IFERROR(ROUND(N(INDEX(art_init,MATCH(C263,art_ref,0)))+SUMIFS($E$5:E263,$C$5:C263,C263,$B$5:B263,"Entrée")-SUMIFS($E$5:E263,$C$5:C263,C263,$B$5:B263,"Sortie"),6),""))</f>
        <v>77.0</v>
      </c>
      <c r="L263" s="39" t="str">
        <f>IF(COUNTA(A263:C263,E263)=0,"",IF(COUNTA(A263:C263,E263)&lt;4,"Ligne incomplète",IF(NOT(ISNUMBER(A263)),"Date invalide",IF(AND(B263&lt;&gt;"Entrée",B263&lt;&gt;"Sortie"),"Type inconnu",IF(ISNA(MATCH(C263,art_ref,0)),"Référence inconnue",IF(OR(NOT(ISNUMBER(E263)),N(E263)&lt;=0),"Quantité invalide",IF(K263&lt;0,"Stock négatif",IF(AND(ISNUMBER(A262),A263&lt;A262),"Date hors ordre","OK"))))))))</f>
        <v>OK</v>
      </c>
      <c r="M263" s="39" t="str">
        <f>IF(C263="","",C263&amp;"#"&amp;COUNTIF($C$5:C263,C263))</f>
        <v>ROU-6204#17</v>
      </c>
    </row>
    <row r="264">
      <c r="A264" s="41" t="n">
        <v>46241</v>
      </c>
      <c r="B264" s="37" t="inlineStr">
        <is>
          <t>Sortie</t>
        </is>
      </c>
      <c r="C264" s="37" t="inlineStr">
        <is>
          <t>TOL-ACI-2</t>
        </is>
      </c>
      <c r="D264" s="39" t="str">
        <f>IF(C264="","",IFERROR(INDEX(art_des,MATCH(C264,art_ref,0))&amp;"","Référence inconnue"))</f>
        <v>Tôle acier 2 mm 1000 x 2000</v>
      </c>
      <c r="E264" s="37" t="n">
        <v>9</v>
      </c>
      <c r="F264" s="39" t="str">
        <f>IF(C264="","",IFERROR(INDEX(art_unit,MATCH(C264,art_ref,0))&amp;"",""))</f>
        <v>feuille</v>
      </c>
      <c r="G264" s="37" t="inlineStr">
        <is>
          <t>BS-2026-0231</t>
        </is>
      </c>
      <c r="H264" s="37" t="inlineStr">
        <is>
          <t>Atelier usinage</t>
        </is>
      </c>
      <c r="I264" s="37" t="n"/>
      <c r="J264" s="40">
        <f>IF(OR(C264="",NOT(ISNUMBER(E264))),"",IFERROR(E264*N(INDEX(art_price,MATCH(C264,art_ref,0))),""))</f>
        <v>436.5</v>
      </c>
      <c r="K264" s="39">
        <f>IF(OR(C264="",NOT(ISNUMBER(E264))),"",IFERROR(ROUND(N(INDEX(art_init,MATCH(C264,art_ref,0)))+SUMIFS($E$5:E264,$C$5:C264,C264,$B$5:B264,"Entrée")-SUMIFS($E$5:E264,$C$5:C264,C264,$B$5:B264,"Sortie"),6),""))</f>
        <v>19.0</v>
      </c>
      <c r="L264" s="39" t="str">
        <f>IF(COUNTA(A264:C264,E264)=0,"",IF(COUNTA(A264:C264,E264)&lt;4,"Ligne incomplète",IF(NOT(ISNUMBER(A264)),"Date invalide",IF(AND(B264&lt;&gt;"Entrée",B264&lt;&gt;"Sortie"),"Type inconnu",IF(ISNA(MATCH(C264,art_ref,0)),"Référence inconnue",IF(OR(NOT(ISNUMBER(E264)),N(E264)&lt;=0),"Quantité invalide",IF(K264&lt;0,"Stock négatif",IF(AND(ISNUMBER(A263),A264&lt;A263),"Date hors ordre","OK"))))))))</f>
        <v>OK</v>
      </c>
      <c r="M264" s="39" t="str">
        <f>IF(C264="","",C264&amp;"#"&amp;COUNTIF($C$5:C264,C264))</f>
        <v>TOL-ACI-2#17</v>
      </c>
    </row>
    <row r="265">
      <c r="A265" s="41" t="n">
        <v>46243</v>
      </c>
      <c r="B265" s="37" t="inlineStr">
        <is>
          <t>Sortie</t>
        </is>
      </c>
      <c r="C265" s="37" t="inlineStr">
        <is>
          <t>DIS-125</t>
        </is>
      </c>
      <c r="D265" s="39" t="str">
        <f>IF(C265="","",IFERROR(INDEX(art_des,MATCH(C265,art_ref,0))&amp;"","Référence inconnue"))</f>
        <v>Disque à tronçonner 125 mm</v>
      </c>
      <c r="E265" s="37" t="n">
        <v>20</v>
      </c>
      <c r="F265" s="39" t="str">
        <f>IF(C265="","",IFERROR(INDEX(art_unit,MATCH(C265,art_ref,0))&amp;"",""))</f>
        <v>pièce</v>
      </c>
      <c r="G265" s="37" t="inlineStr">
        <is>
          <t>BS-2026-0232</t>
        </is>
      </c>
      <c r="H265" s="37" t="inlineStr">
        <is>
          <t>Atelier soudure</t>
        </is>
      </c>
      <c r="I265" s="37" t="n"/>
      <c r="J265" s="40">
        <f>IF(OR(C265="",NOT(ISNUMBER(E265))),"",IFERROR(E265*N(INDEX(art_price,MATCH(C265,art_ref,0))),""))</f>
        <v>38.0</v>
      </c>
      <c r="K265" s="39">
        <f>IF(OR(C265="",NOT(ISNUMBER(E265))),"",IFERROR(ROUND(N(INDEX(art_init,MATCH(C265,art_ref,0)))+SUMIFS($E$5:E265,$C$5:C265,C265,$B$5:B265,"Entrée")-SUMIFS($E$5:E265,$C$5:C265,C265,$B$5:B265,"Sortie"),6),""))</f>
        <v>135.0</v>
      </c>
      <c r="L265" s="39" t="str">
        <f>IF(COUNTA(A265:C265,E265)=0,"",IF(COUNTA(A265:C265,E265)&lt;4,"Ligne incomplète",IF(NOT(ISNUMBER(A265)),"Date invalide",IF(AND(B265&lt;&gt;"Entrée",B265&lt;&gt;"Sortie"),"Type inconnu",IF(ISNA(MATCH(C265,art_ref,0)),"Référence inconnue",IF(OR(NOT(ISNUMBER(E265)),N(E265)&lt;=0),"Quantité invalide",IF(K265&lt;0,"Stock négatif",IF(AND(ISNUMBER(A264),A265&lt;A264),"Date hors ordre","OK"))))))))</f>
        <v>OK</v>
      </c>
      <c r="M265" s="39" t="str">
        <f>IF(C265="","",C265&amp;"#"&amp;COUNTIF($C$5:C265,C265))</f>
        <v>DIS-125#17</v>
      </c>
    </row>
    <row r="266">
      <c r="A266" s="41" t="n">
        <v>46243</v>
      </c>
      <c r="B266" s="37" t="inlineStr">
        <is>
          <t>Sortie</t>
        </is>
      </c>
      <c r="C266" s="37" t="inlineStr">
        <is>
          <t>RON-M6</t>
        </is>
      </c>
      <c r="D266" s="39" t="str">
        <f>IF(C266="","",IFERROR(INDEX(art_des,MATCH(C266,art_ref,0))&amp;"","Référence inconnue"))</f>
        <v>Rondelle plate M6</v>
      </c>
      <c r="E266" s="37" t="n">
        <v>355</v>
      </c>
      <c r="F266" s="39" t="str">
        <f>IF(C266="","",IFERROR(INDEX(art_unit,MATCH(C266,art_ref,0))&amp;"",""))</f>
        <v>pièce</v>
      </c>
      <c r="G266" s="37" t="inlineStr">
        <is>
          <t>BS-2026-0233</t>
        </is>
      </c>
      <c r="H266" s="37" t="inlineStr">
        <is>
          <t>Atelier usinage</t>
        </is>
      </c>
      <c r="I266" s="37" t="n"/>
      <c r="J266" s="40">
        <f>IF(OR(C266="",NOT(ISNUMBER(E266))),"",IFERROR(E266*N(INDEX(art_price,MATCH(C266,art_ref,0))),""))</f>
        <v>10.65</v>
      </c>
      <c r="K266" s="39">
        <f>IF(OR(C266="",NOT(ISNUMBER(E266))),"",IFERROR(ROUND(N(INDEX(art_init,MATCH(C266,art_ref,0)))+SUMIFS($E$5:E266,$C$5:C266,C266,$B$5:B266,"Entrée")-SUMIFS($E$5:E266,$C$5:C266,C266,$B$5:B266,"Sortie"),6),""))</f>
        <v>1681.0</v>
      </c>
      <c r="L266" s="39" t="str">
        <f>IF(COUNTA(A266:C266,E266)=0,"",IF(COUNTA(A266:C266,E266)&lt;4,"Ligne incomplète",IF(NOT(ISNUMBER(A266)),"Date invalide",IF(AND(B266&lt;&gt;"Entrée",B266&lt;&gt;"Sortie"),"Type inconnu",IF(ISNA(MATCH(C266,art_ref,0)),"Référence inconnue",IF(OR(NOT(ISNUMBER(E266)),N(E266)&lt;=0),"Quantité invalide",IF(K266&lt;0,"Stock négatif",IF(AND(ISNUMBER(A265),A266&lt;A265),"Date hors ordre","OK"))))))))</f>
        <v>OK</v>
      </c>
      <c r="M266" s="39" t="str">
        <f>IF(C266="","",C266&amp;"#"&amp;COUNTIF($C$5:C266,C266))</f>
        <v>RON-M6#17</v>
      </c>
    </row>
    <row r="267">
      <c r="A267" s="41" t="n">
        <v>46243</v>
      </c>
      <c r="B267" s="37" t="inlineStr">
        <is>
          <t>Sortie</t>
        </is>
      </c>
      <c r="C267" s="37" t="inlineStr">
        <is>
          <t>RUB-50</t>
        </is>
      </c>
      <c r="D267" s="39" t="str">
        <f>IF(C267="","",IFERROR(INDEX(art_des,MATCH(C267,art_ref,0))&amp;"","Référence inconnue"))</f>
        <v>Ruban adhésif 50 mm x 66 m</v>
      </c>
      <c r="E267" s="37" t="n">
        <v>13</v>
      </c>
      <c r="F267" s="39" t="str">
        <f>IF(C267="","",IFERROR(INDEX(art_unit,MATCH(C267,art_ref,0))&amp;"",""))</f>
        <v>rouleau</v>
      </c>
      <c r="G267" s="37" t="inlineStr">
        <is>
          <t>BS-2026-0234</t>
        </is>
      </c>
      <c r="H267" s="37" t="inlineStr">
        <is>
          <t>Maintenance</t>
        </is>
      </c>
      <c r="I267" s="37" t="n"/>
      <c r="J267" s="40">
        <f>IF(OR(C267="",NOT(ISNUMBER(E267))),"",IFERROR(E267*N(INDEX(art_price,MATCH(C267,art_ref,0))),""))</f>
        <v>18.2</v>
      </c>
      <c r="K267" s="39">
        <f>IF(OR(C267="",NOT(ISNUMBER(E267))),"",IFERROR(ROUND(N(INDEX(art_init,MATCH(C267,art_ref,0)))+SUMIFS($E$5:E267,$C$5:C267,C267,$B$5:B267,"Entrée")-SUMIFS($E$5:E267,$C$5:C267,C267,$B$5:B267,"Sortie"),6),""))</f>
        <v>72.0</v>
      </c>
      <c r="L267" s="39" t="str">
        <f>IF(COUNTA(A267:C267,E267)=0,"",IF(COUNTA(A267:C267,E267)&lt;4,"Ligne incomplète",IF(NOT(ISNUMBER(A267)),"Date invalide",IF(AND(B267&lt;&gt;"Entrée",B267&lt;&gt;"Sortie"),"Type inconnu",IF(ISNA(MATCH(C267,art_ref,0)),"Référence inconnue",IF(OR(NOT(ISNUMBER(E267)),N(E267)&lt;=0),"Quantité invalide",IF(K267&lt;0,"Stock négatif",IF(AND(ISNUMBER(A266),A267&lt;A266),"Date hors ordre","OK"))))))))</f>
        <v>OK</v>
      </c>
      <c r="M267" s="39" t="str">
        <f>IF(C267="","",C267&amp;"#"&amp;COUNTIF($C$5:C267,C267))</f>
        <v>RUB-50#17</v>
      </c>
    </row>
    <row r="268">
      <c r="A268" s="41" t="n">
        <v>46244</v>
      </c>
      <c r="B268" s="37" t="inlineStr">
        <is>
          <t>Sortie</t>
        </is>
      </c>
      <c r="C268" s="37" t="inlineStr">
        <is>
          <t>BOR-WAGO-3</t>
        </is>
      </c>
      <c r="D268" s="39" t="str">
        <f>IF(C268="","",IFERROR(INDEX(art_des,MATCH(C268,art_ref,0))&amp;"","Référence inconnue"))</f>
        <v>Borne de connexion 3 entrées</v>
      </c>
      <c r="E268" s="37" t="n">
        <v>24</v>
      </c>
      <c r="F268" s="39" t="str">
        <f>IF(C268="","",IFERROR(INDEX(art_unit,MATCH(C268,art_ref,0))&amp;"",""))</f>
        <v>pièce</v>
      </c>
      <c r="G268" s="37" t="inlineStr">
        <is>
          <t>BS-2026-0235</t>
        </is>
      </c>
      <c r="H268" s="37" t="inlineStr">
        <is>
          <t>Atelier soudure</t>
        </is>
      </c>
      <c r="I268" s="37" t="n"/>
      <c r="J268" s="40">
        <f>IF(OR(C268="",NOT(ISNUMBER(E268))),"",IFERROR(E268*N(INDEX(art_price,MATCH(C268,art_ref,0))),""))</f>
        <v>10.08</v>
      </c>
      <c r="K268" s="39">
        <f>IF(OR(C268="",NOT(ISNUMBER(E268))),"",IFERROR(ROUND(N(INDEX(art_init,MATCH(C268,art_ref,0)))+SUMIFS($E$5:E268,$C$5:C268,C268,$B$5:B268,"Entrée")-SUMIFS($E$5:E268,$C$5:C268,C268,$B$5:B268,"Sortie"),6),""))</f>
        <v>276.0</v>
      </c>
      <c r="L268" s="39" t="str">
        <f>IF(COUNTA(A268:C268,E268)=0,"",IF(COUNTA(A268:C268,E268)&lt;4,"Ligne incomplète",IF(NOT(ISNUMBER(A268)),"Date invalide",IF(AND(B268&lt;&gt;"Entrée",B268&lt;&gt;"Sortie"),"Type inconnu",IF(ISNA(MATCH(C268,art_ref,0)),"Référence inconnue",IF(OR(NOT(ISNUMBER(E268)),N(E268)&lt;=0),"Quantité invalide",IF(K268&lt;0,"Stock négatif",IF(AND(ISNUMBER(A267),A268&lt;A267),"Date hors ordre","OK"))))))))</f>
        <v>OK</v>
      </c>
      <c r="M268" s="39" t="str">
        <f>IF(C268="","",C268&amp;"#"&amp;COUNTIF($C$5:C268,C268))</f>
        <v>BOR-WAGO-3#17</v>
      </c>
    </row>
    <row r="269">
      <c r="A269" s="41" t="n">
        <v>46244</v>
      </c>
      <c r="B269" s="37" t="inlineStr">
        <is>
          <t>Sortie</t>
        </is>
      </c>
      <c r="C269" s="37" t="inlineStr">
        <is>
          <t>GAN-NIT</t>
        </is>
      </c>
      <c r="D269" s="39" t="str">
        <f>IF(C269="","",IFERROR(INDEX(art_des,MATCH(C269,art_ref,0))&amp;"","Référence inconnue"))</f>
        <v>Gants nitrile, boîte de 100</v>
      </c>
      <c r="E269" s="37" t="n">
        <v>4</v>
      </c>
      <c r="F269" s="39" t="str">
        <f>IF(C269="","",IFERROR(INDEX(art_unit,MATCH(C269,art_ref,0))&amp;"",""))</f>
        <v>boîte</v>
      </c>
      <c r="G269" s="37" t="inlineStr">
        <is>
          <t>BS-2026-0236</t>
        </is>
      </c>
      <c r="H269" s="37" t="inlineStr">
        <is>
          <t>Maintenance</t>
        </is>
      </c>
      <c r="I269" s="37" t="n"/>
      <c r="J269" s="40">
        <f>IF(OR(C269="",NOT(ISNUMBER(E269))),"",IFERROR(E269*N(INDEX(art_price,MATCH(C269,art_ref,0))),""))</f>
        <v>30.0</v>
      </c>
      <c r="K269" s="39">
        <f>IF(OR(C269="",NOT(ISNUMBER(E269))),"",IFERROR(ROUND(N(INDEX(art_init,MATCH(C269,art_ref,0)))+SUMIFS($E$5:E269,$C$5:C269,C269,$B$5:B269,"Entrée")-SUMIFS($E$5:E269,$C$5:C269,C269,$B$5:B269,"Sortie"),6),""))</f>
        <v>15.0</v>
      </c>
      <c r="L269" s="39" t="str">
        <f>IF(COUNTA(A269:C269,E269)=0,"",IF(COUNTA(A269:C269,E269)&lt;4,"Ligne incomplète",IF(NOT(ISNUMBER(A269)),"Date invalide",IF(AND(B269&lt;&gt;"Entrée",B269&lt;&gt;"Sortie"),"Type inconnu",IF(ISNA(MATCH(C269,art_ref,0)),"Référence inconnue",IF(OR(NOT(ISNUMBER(E269)),N(E269)&lt;=0),"Quantité invalide",IF(K269&lt;0,"Stock négatif",IF(AND(ISNUMBER(A268),A269&lt;A268),"Date hors ordre","OK"))))))))</f>
        <v>OK</v>
      </c>
      <c r="M269" s="39" t="str">
        <f>IF(C269="","",C269&amp;"#"&amp;COUNTIF($C$5:C269,C269))</f>
        <v>GAN-NIT#17</v>
      </c>
    </row>
    <row r="270">
      <c r="A270" s="41" t="n">
        <v>46244</v>
      </c>
      <c r="B270" s="37" t="inlineStr">
        <is>
          <t>Sortie</t>
        </is>
      </c>
      <c r="C270" s="37" t="inlineStr">
        <is>
          <t>VIS-M6-20</t>
        </is>
      </c>
      <c r="D270" s="39" t="str">
        <f>IF(C270="","",IFERROR(INDEX(art_des,MATCH(C270,art_ref,0))&amp;"","Référence inconnue"))</f>
        <v>Vis inox M6 x 20</v>
      </c>
      <c r="E270" s="37" t="n">
        <v>515</v>
      </c>
      <c r="F270" s="39" t="str">
        <f>IF(C270="","",IFERROR(INDEX(art_unit,MATCH(C270,art_ref,0))&amp;"",""))</f>
        <v>pièce</v>
      </c>
      <c r="G270" s="37" t="inlineStr">
        <is>
          <t>BS-2026-0237</t>
        </is>
      </c>
      <c r="H270" s="37" t="inlineStr">
        <is>
          <t>Atelier montage</t>
        </is>
      </c>
      <c r="I270" s="37" t="n"/>
      <c r="J270" s="40">
        <f>IF(OR(C270="",NOT(ISNUMBER(E270))),"",IFERROR(E270*N(INDEX(art_price,MATCH(C270,art_ref,0))),""))</f>
        <v>61.8</v>
      </c>
      <c r="K270" s="39">
        <f>IF(OR(C270="",NOT(ISNUMBER(E270))),"",IFERROR(ROUND(N(INDEX(art_init,MATCH(C270,art_ref,0)))+SUMIFS($E$5:E270,$C$5:C270,C270,$B$5:B270,"Entrée")-SUMIFS($E$5:E270,$C$5:C270,C270,$B$5:B270,"Sortie"),6),""))</f>
        <v>2723.0</v>
      </c>
      <c r="L270" s="39" t="str">
        <f>IF(COUNTA(A270:C270,E270)=0,"",IF(COUNTA(A270:C270,E270)&lt;4,"Ligne incomplète",IF(NOT(ISNUMBER(A270)),"Date invalide",IF(AND(B270&lt;&gt;"Entrée",B270&lt;&gt;"Sortie"),"Type inconnu",IF(ISNA(MATCH(C270,art_ref,0)),"Référence inconnue",IF(OR(NOT(ISNUMBER(E270)),N(E270)&lt;=0),"Quantité invalide",IF(K270&lt;0,"Stock négatif",IF(AND(ISNUMBER(A269),A270&lt;A269),"Date hors ordre","OK"))))))))</f>
        <v>OK</v>
      </c>
      <c r="M270" s="39" t="str">
        <f>IF(C270="","",C270&amp;"#"&amp;COUNTIF($C$5:C270,C270))</f>
        <v>VIS-M6-20#17</v>
      </c>
    </row>
    <row r="271">
      <c r="A271" s="41" t="n">
        <v>46245</v>
      </c>
      <c r="B271" s="37" t="inlineStr">
        <is>
          <t>Sortie</t>
        </is>
      </c>
      <c r="C271" s="37" t="inlineStr">
        <is>
          <t>CAB-2.5</t>
        </is>
      </c>
      <c r="D271" s="39" t="str">
        <f>IF(C271="","",IFERROR(INDEX(art_des,MATCH(C271,art_ref,0))&amp;"","Référence inconnue"))</f>
        <v>Câble électrique 2,5 mm²</v>
      </c>
      <c r="E271" s="37" t="n">
        <v>48</v>
      </c>
      <c r="F271" s="39" t="str">
        <f>IF(C271="","",IFERROR(INDEX(art_unit,MATCH(C271,art_ref,0))&amp;"",""))</f>
        <v>m</v>
      </c>
      <c r="G271" s="37" t="inlineStr">
        <is>
          <t>BS-2026-0238</t>
        </is>
      </c>
      <c r="H271" s="37" t="inlineStr">
        <is>
          <t>Expédition</t>
        </is>
      </c>
      <c r="I271" s="37" t="n"/>
      <c r="J271" s="40">
        <f>IF(OR(C271="",NOT(ISNUMBER(E271))),"",IFERROR(E271*N(INDEX(art_price,MATCH(C271,art_ref,0))),""))</f>
        <v>32.64</v>
      </c>
      <c r="K271" s="39">
        <f>IF(OR(C271="",NOT(ISNUMBER(E271))),"",IFERROR(ROUND(N(INDEX(art_init,MATCH(C271,art_ref,0)))+SUMIFS($E$5:E271,$C$5:C271,C271,$B$5:B271,"Entrée")-SUMIFS($E$5:E271,$C$5:C271,C271,$B$5:B271,"Sortie"),6),""))</f>
        <v>61.0</v>
      </c>
      <c r="L271" s="39" t="str">
        <f>IF(COUNTA(A271:C271,E271)=0,"",IF(COUNTA(A271:C271,E271)&lt;4,"Ligne incomplète",IF(NOT(ISNUMBER(A271)),"Date invalide",IF(AND(B271&lt;&gt;"Entrée",B271&lt;&gt;"Sortie"),"Type inconnu",IF(ISNA(MATCH(C271,art_ref,0)),"Référence inconnue",IF(OR(NOT(ISNUMBER(E271)),N(E271)&lt;=0),"Quantité invalide",IF(K271&lt;0,"Stock négatif",IF(AND(ISNUMBER(A270),A271&lt;A270),"Date hors ordre","OK"))))))))</f>
        <v>OK</v>
      </c>
      <c r="M271" s="39" t="str">
        <f>IF(C271="","",C271&amp;"#"&amp;COUNTIF($C$5:C271,C271))</f>
        <v>CAB-2.5#16</v>
      </c>
    </row>
    <row r="272">
      <c r="A272" s="41" t="n">
        <v>46245</v>
      </c>
      <c r="B272" s="37" t="inlineStr">
        <is>
          <t>Sortie</t>
        </is>
      </c>
      <c r="C272" s="37" t="inlineStr">
        <is>
          <t>HUI-COUP-5</t>
        </is>
      </c>
      <c r="D272" s="39" t="str">
        <f>IF(C272="","",IFERROR(INDEX(art_des,MATCH(C272,art_ref,0))&amp;"","Référence inconnue"))</f>
        <v>Huile de coupe soluble 5 L</v>
      </c>
      <c r="E272" s="37" t="n">
        <v>2</v>
      </c>
      <c r="F272" s="39" t="str">
        <f>IF(C272="","",IFERROR(INDEX(art_unit,MATCH(C272,art_ref,0))&amp;"",""))</f>
        <v>bidon</v>
      </c>
      <c r="G272" s="37" t="inlineStr">
        <is>
          <t>BS-2026-0239</t>
        </is>
      </c>
      <c r="H272" s="37" t="inlineStr">
        <is>
          <t>Maintenance</t>
        </is>
      </c>
      <c r="I272" s="37" t="n"/>
      <c r="J272" s="40">
        <f>IF(OR(C272="",NOT(ISNUMBER(E272))),"",IFERROR(E272*N(INDEX(art_price,MATCH(C272,art_ref,0))),""))</f>
        <v>54.0</v>
      </c>
      <c r="K272" s="39">
        <f>IF(OR(C272="",NOT(ISNUMBER(E272))),"",IFERROR(ROUND(N(INDEX(art_init,MATCH(C272,art_ref,0)))+SUMIFS($E$5:E272,$C$5:C272,C272,$B$5:B272,"Entrée")-SUMIFS($E$5:E272,$C$5:C272,C272,$B$5:B272,"Sortie"),6),""))</f>
        <v>3.0</v>
      </c>
      <c r="L272" s="39" t="str">
        <f>IF(COUNTA(A272:C272,E272)=0,"",IF(COUNTA(A272:C272,E272)&lt;4,"Ligne incomplète",IF(NOT(ISNUMBER(A272)),"Date invalide",IF(AND(B272&lt;&gt;"Entrée",B272&lt;&gt;"Sortie"),"Type inconnu",IF(ISNA(MATCH(C272,art_ref,0)),"Référence inconnue",IF(OR(NOT(ISNUMBER(E272)),N(E272)&lt;=0),"Quantité invalide",IF(K272&lt;0,"Stock négatif",IF(AND(ISNUMBER(A271),A272&lt;A271),"Date hors ordre","OK"))))))))</f>
        <v>OK</v>
      </c>
      <c r="M272" s="39" t="str">
        <f>IF(C272="","",C272&amp;"#"&amp;COUNTIF($C$5:C272,C272))</f>
        <v>HUI-COUP-5#16</v>
      </c>
    </row>
    <row r="273">
      <c r="A273" s="41" t="n">
        <v>46247</v>
      </c>
      <c r="B273" s="37" t="inlineStr">
        <is>
          <t>Sortie</t>
        </is>
      </c>
      <c r="C273" s="37" t="inlineStr">
        <is>
          <t>ECR-M6</t>
        </is>
      </c>
      <c r="D273" s="39" t="str">
        <f>IF(C273="","",IFERROR(INDEX(art_des,MATCH(C273,art_ref,0))&amp;"","Référence inconnue"))</f>
        <v>Écrou inox M6</v>
      </c>
      <c r="E273" s="37" t="n">
        <v>458</v>
      </c>
      <c r="F273" s="39" t="str">
        <f>IF(C273="","",IFERROR(INDEX(art_unit,MATCH(C273,art_ref,0))&amp;"",""))</f>
        <v>pièce</v>
      </c>
      <c r="G273" s="37" t="inlineStr">
        <is>
          <t>BS-2026-0240</t>
        </is>
      </c>
      <c r="H273" s="37" t="inlineStr">
        <is>
          <t>Expédition</t>
        </is>
      </c>
      <c r="I273" s="37" t="n"/>
      <c r="J273" s="40">
        <f>IF(OR(C273="",NOT(ISNUMBER(E273))),"",IFERROR(E273*N(INDEX(art_price,MATCH(C273,art_ref,0))),""))</f>
        <v>22.9</v>
      </c>
      <c r="K273" s="39">
        <f>IF(OR(C273="",NOT(ISNUMBER(E273))),"",IFERROR(ROUND(N(INDEX(art_init,MATCH(C273,art_ref,0)))+SUMIFS($E$5:E273,$C$5:C273,C273,$B$5:B273,"Entrée")-SUMIFS($E$5:E273,$C$5:C273,C273,$B$5:B273,"Sortie"),6),""))</f>
        <v>3203.0</v>
      </c>
      <c r="L273" s="39" t="str">
        <f>IF(COUNTA(A273:C273,E273)=0,"",IF(COUNTA(A273:C273,E273)&lt;4,"Ligne incomplète",IF(NOT(ISNUMBER(A273)),"Date invalide",IF(AND(B273&lt;&gt;"Entrée",B273&lt;&gt;"Sortie"),"Type inconnu",IF(ISNA(MATCH(C273,art_ref,0)),"Référence inconnue",IF(OR(NOT(ISNUMBER(E273)),N(E273)&lt;=0),"Quantité invalide",IF(K273&lt;0,"Stock négatif",IF(AND(ISNUMBER(A272),A273&lt;A272),"Date hors ordre","OK"))))))))</f>
        <v>OK</v>
      </c>
      <c r="M273" s="39" t="str">
        <f>IF(C273="","",C273&amp;"#"&amp;COUNTIF($C$5:C273,C273))</f>
        <v>ECR-M6#17</v>
      </c>
    </row>
    <row r="274">
      <c r="A274" s="41" t="n">
        <v>46248</v>
      </c>
      <c r="B274" s="37" t="inlineStr">
        <is>
          <t>Entrée</t>
        </is>
      </c>
      <c r="C274" s="37" t="inlineStr">
        <is>
          <t>CAB-2.5</t>
        </is>
      </c>
      <c r="D274" s="39" t="str">
        <f>IF(C274="","",IFERROR(INDEX(art_des,MATCH(C274,art_ref,0))&amp;"","Référence inconnue"))</f>
        <v>Câble électrique 2,5 mm²</v>
      </c>
      <c r="E274" s="37" t="n">
        <v>439</v>
      </c>
      <c r="F274" s="39" t="str">
        <f>IF(C274="","",IFERROR(INDEX(art_unit,MATCH(C274,art_ref,0))&amp;"",""))</f>
        <v>m</v>
      </c>
      <c r="G274" s="37" t="inlineStr">
        <is>
          <t>BL-2026-030</t>
        </is>
      </c>
      <c r="H274" s="37" t="inlineStr">
        <is>
          <t>Électro Distribution</t>
        </is>
      </c>
      <c r="I274" s="37" t="inlineStr">
        <is>
          <t>Réception commande</t>
        </is>
      </c>
      <c r="J274" s="40">
        <f>IF(OR(C274="",NOT(ISNUMBER(E274))),"",IFERROR(E274*N(INDEX(art_price,MATCH(C274,art_ref,0))),""))</f>
        <v>298.52</v>
      </c>
      <c r="K274" s="39">
        <f>IF(OR(C274="",NOT(ISNUMBER(E274))),"",IFERROR(ROUND(N(INDEX(art_init,MATCH(C274,art_ref,0)))+SUMIFS($E$5:E274,$C$5:C274,C274,$B$5:B274,"Entrée")-SUMIFS($E$5:E274,$C$5:C274,C274,$B$5:B274,"Sortie"),6),""))</f>
        <v>500.0</v>
      </c>
      <c r="L274" s="39" t="str">
        <f>IF(COUNTA(A274:C274,E274)=0,"",IF(COUNTA(A274:C274,E274)&lt;4,"Ligne incomplète",IF(NOT(ISNUMBER(A274)),"Date invalide",IF(AND(B274&lt;&gt;"Entrée",B274&lt;&gt;"Sortie"),"Type inconnu",IF(ISNA(MATCH(C274,art_ref,0)),"Référence inconnue",IF(OR(NOT(ISNUMBER(E274)),N(E274)&lt;=0),"Quantité invalide",IF(K274&lt;0,"Stock négatif",IF(AND(ISNUMBER(A273),A274&lt;A273),"Date hors ordre","OK"))))))))</f>
        <v>OK</v>
      </c>
      <c r="M274" s="39" t="str">
        <f>IF(C274="","",C274&amp;"#"&amp;COUNTIF($C$5:C274,C274))</f>
        <v>CAB-2.5#17</v>
      </c>
    </row>
    <row r="275">
      <c r="A275" s="41" t="n">
        <v>46248</v>
      </c>
      <c r="B275" s="37" t="inlineStr">
        <is>
          <t>Entrée</t>
        </is>
      </c>
      <c r="C275" s="37" t="inlineStr">
        <is>
          <t>HUI-COUP-5</t>
        </is>
      </c>
      <c r="D275" s="39" t="str">
        <f>IF(C275="","",IFERROR(INDEX(art_des,MATCH(C275,art_ref,0))&amp;"","Référence inconnue"))</f>
        <v>Huile de coupe soluble 5 L</v>
      </c>
      <c r="E275" s="37" t="n">
        <v>12</v>
      </c>
      <c r="F275" s="39" t="str">
        <f>IF(C275="","",IFERROR(INDEX(art_unit,MATCH(C275,art_ref,0))&amp;"",""))</f>
        <v>bidon</v>
      </c>
      <c r="G275" s="37" t="inlineStr">
        <is>
          <t>BL-2026-031</t>
        </is>
      </c>
      <c r="H275" s="37" t="inlineStr">
        <is>
          <t>Lubrifiants Pro</t>
        </is>
      </c>
      <c r="I275" s="37" t="inlineStr">
        <is>
          <t>Réception commande</t>
        </is>
      </c>
      <c r="J275" s="40">
        <f>IF(OR(C275="",NOT(ISNUMBER(E275))),"",IFERROR(E275*N(INDEX(art_price,MATCH(C275,art_ref,0))),""))</f>
        <v>324.0</v>
      </c>
      <c r="K275" s="39">
        <f>IF(OR(C275="",NOT(ISNUMBER(E275))),"",IFERROR(ROUND(N(INDEX(art_init,MATCH(C275,art_ref,0)))+SUMIFS($E$5:E275,$C$5:C275,C275,$B$5:B275,"Entrée")-SUMIFS($E$5:E275,$C$5:C275,C275,$B$5:B275,"Sortie"),6),""))</f>
        <v>15.0</v>
      </c>
      <c r="L275" s="39" t="str">
        <f>IF(COUNTA(A275:C275,E275)=0,"",IF(COUNTA(A275:C275,E275)&lt;4,"Ligne incomplète",IF(NOT(ISNUMBER(A275)),"Date invalide",IF(AND(B275&lt;&gt;"Entrée",B275&lt;&gt;"Sortie"),"Type inconnu",IF(ISNA(MATCH(C275,art_ref,0)),"Référence inconnue",IF(OR(NOT(ISNUMBER(E275)),N(E275)&lt;=0),"Quantité invalide",IF(K275&lt;0,"Stock négatif",IF(AND(ISNUMBER(A274),A275&lt;A274),"Date hors ordre","OK"))))))))</f>
        <v>OK</v>
      </c>
      <c r="M275" s="39" t="str">
        <f>IF(C275="","",C275&amp;"#"&amp;COUNTIF($C$5:C275,C275))</f>
        <v>HUI-COUP-5#17</v>
      </c>
    </row>
    <row r="276">
      <c r="A276" s="41" t="n">
        <v>46252</v>
      </c>
      <c r="B276" s="37" t="inlineStr">
        <is>
          <t>Sortie</t>
        </is>
      </c>
      <c r="C276" s="37" t="inlineStr">
        <is>
          <t>CAR-40-30</t>
        </is>
      </c>
      <c r="D276" s="39" t="str">
        <f>IF(C276="","",IFERROR(INDEX(art_des,MATCH(C276,art_ref,0))&amp;"","Référence inconnue"))</f>
        <v>Carton double cannelure 40 x 30 x 20</v>
      </c>
      <c r="E276" s="37" t="n">
        <v>98</v>
      </c>
      <c r="F276" s="39" t="str">
        <f>IF(C276="","",IFERROR(INDEX(art_unit,MATCH(C276,art_ref,0))&amp;"",""))</f>
        <v>pièce</v>
      </c>
      <c r="G276" s="37" t="inlineStr">
        <is>
          <t>BS-2026-0241</t>
        </is>
      </c>
      <c r="H276" s="37" t="inlineStr">
        <is>
          <t>Expédition</t>
        </is>
      </c>
      <c r="I276" s="37" t="n"/>
      <c r="J276" s="40">
        <f>IF(OR(C276="",NOT(ISNUMBER(E276))),"",IFERROR(E276*N(INDEX(art_price,MATCH(C276,art_ref,0))),""))</f>
        <v>93.1</v>
      </c>
      <c r="K276" s="39">
        <f>IF(OR(C276="",NOT(ISNUMBER(E276))),"",IFERROR(ROUND(N(INDEX(art_init,MATCH(C276,art_ref,0)))+SUMIFS($E$5:E276,$C$5:C276,C276,$B$5:B276,"Entrée")-SUMIFS($E$5:E276,$C$5:C276,C276,$B$5:B276,"Sortie"),6),""))</f>
        <v>293.0</v>
      </c>
      <c r="L276" s="39" t="str">
        <f>IF(COUNTA(A276:C276,E276)=0,"",IF(COUNTA(A276:C276,E276)&lt;4,"Ligne incomplète",IF(NOT(ISNUMBER(A276)),"Date invalide",IF(AND(B276&lt;&gt;"Entrée",B276&lt;&gt;"Sortie"),"Type inconnu",IF(ISNA(MATCH(C276,art_ref,0)),"Référence inconnue",IF(OR(NOT(ISNUMBER(E276)),N(E276)&lt;=0),"Quantité invalide",IF(K276&lt;0,"Stock négatif",IF(AND(ISNUMBER(A275),A276&lt;A275),"Date hors ordre","OK"))))))))</f>
        <v>OK</v>
      </c>
      <c r="M276" s="39" t="str">
        <f>IF(C276="","",C276&amp;"#"&amp;COUNTIF($C$5:C276,C276))</f>
        <v>CAR-40-30#18</v>
      </c>
    </row>
    <row r="277">
      <c r="A277" s="41" t="n">
        <v>46252</v>
      </c>
      <c r="B277" s="37" t="inlineStr">
        <is>
          <t>Sortie</t>
        </is>
      </c>
      <c r="C277" s="37" t="inlineStr">
        <is>
          <t>ROU-6204</t>
        </is>
      </c>
      <c r="D277" s="39" t="str">
        <f>IF(C277="","",IFERROR(INDEX(art_des,MATCH(C277,art_ref,0))&amp;"","Référence inconnue"))</f>
        <v>Roulement à billes 6204 2RS</v>
      </c>
      <c r="E277" s="37" t="n">
        <v>19</v>
      </c>
      <c r="F277" s="39" t="str">
        <f>IF(C277="","",IFERROR(INDEX(art_unit,MATCH(C277,art_ref,0))&amp;"",""))</f>
        <v>pièce</v>
      </c>
      <c r="G277" s="37" t="inlineStr">
        <is>
          <t>BS-2026-0242</t>
        </is>
      </c>
      <c r="H277" s="37" t="inlineStr">
        <is>
          <t>Expédition</t>
        </is>
      </c>
      <c r="I277" s="37" t="n"/>
      <c r="J277" s="40">
        <f>IF(OR(C277="",NOT(ISNUMBER(E277))),"",IFERROR(E277*N(INDEX(art_price,MATCH(C277,art_ref,0))),""))</f>
        <v>72.2</v>
      </c>
      <c r="K277" s="39">
        <f>IF(OR(C277="",NOT(ISNUMBER(E277))),"",IFERROR(ROUND(N(INDEX(art_init,MATCH(C277,art_ref,0)))+SUMIFS($E$5:E277,$C$5:C277,C277,$B$5:B277,"Entrée")-SUMIFS($E$5:E277,$C$5:C277,C277,$B$5:B277,"Sortie"),6),""))</f>
        <v>58.0</v>
      </c>
      <c r="L277" s="39" t="str">
        <f>IF(COUNTA(A277:C277,E277)=0,"",IF(COUNTA(A277:C277,E277)&lt;4,"Ligne incomplète",IF(NOT(ISNUMBER(A277)),"Date invalide",IF(AND(B277&lt;&gt;"Entrée",B277&lt;&gt;"Sortie"),"Type inconnu",IF(ISNA(MATCH(C277,art_ref,0)),"Référence inconnue",IF(OR(NOT(ISNUMBER(E277)),N(E277)&lt;=0),"Quantité invalide",IF(K277&lt;0,"Stock négatif",IF(AND(ISNUMBER(A276),A277&lt;A276),"Date hors ordre","OK"))))))))</f>
        <v>OK</v>
      </c>
      <c r="M277" s="39" t="str">
        <f>IF(C277="","",C277&amp;"#"&amp;COUNTIF($C$5:C277,C277))</f>
        <v>ROU-6204#18</v>
      </c>
    </row>
    <row r="278">
      <c r="A278" s="41" t="n">
        <v>46252</v>
      </c>
      <c r="B278" s="37" t="inlineStr">
        <is>
          <t>Sortie</t>
        </is>
      </c>
      <c r="C278" s="37" t="inlineStr">
        <is>
          <t>TUB-ACI-40</t>
        </is>
      </c>
      <c r="D278" s="39" t="str">
        <f>IF(C278="","",IFERROR(INDEX(art_des,MATCH(C278,art_ref,0))&amp;"","Référence inconnue"))</f>
        <v>Tube acier carré 40 x 40, 6 m</v>
      </c>
      <c r="E278" s="37" t="n">
        <v>4</v>
      </c>
      <c r="F278" s="39" t="str">
        <f>IF(C278="","",IFERROR(INDEX(art_unit,MATCH(C278,art_ref,0))&amp;"",""))</f>
        <v>barre</v>
      </c>
      <c r="G278" s="37" t="inlineStr">
        <is>
          <t>BS-2026-0243</t>
        </is>
      </c>
      <c r="H278" s="37" t="inlineStr">
        <is>
          <t>Expédition</t>
        </is>
      </c>
      <c r="I278" s="37" t="n"/>
      <c r="J278" s="40">
        <f>IF(OR(C278="",NOT(ISNUMBER(E278))),"",IFERROR(E278*N(INDEX(art_price,MATCH(C278,art_ref,0))),""))</f>
        <v>124.8</v>
      </c>
      <c r="K278" s="39">
        <f>IF(OR(C278="",NOT(ISNUMBER(E278))),"",IFERROR(ROUND(N(INDEX(art_init,MATCH(C278,art_ref,0)))+SUMIFS($E$5:E278,$C$5:C278,C278,$B$5:B278,"Entrée")-SUMIFS($E$5:E278,$C$5:C278,C278,$B$5:B278,"Sortie"),6),""))</f>
        <v>23.0</v>
      </c>
      <c r="L278" s="39" t="str">
        <f>IF(COUNTA(A278:C278,E278)=0,"",IF(COUNTA(A278:C278,E278)&lt;4,"Ligne incomplète",IF(NOT(ISNUMBER(A278)),"Date invalide",IF(AND(B278&lt;&gt;"Entrée",B278&lt;&gt;"Sortie"),"Type inconnu",IF(ISNA(MATCH(C278,art_ref,0)),"Référence inconnue",IF(OR(NOT(ISNUMBER(E278)),N(E278)&lt;=0),"Quantité invalide",IF(K278&lt;0,"Stock négatif",IF(AND(ISNUMBER(A277),A278&lt;A277),"Date hors ordre","OK"))))))))</f>
        <v>OK</v>
      </c>
      <c r="M278" s="39" t="str">
        <f>IF(C278="","",C278&amp;"#"&amp;COUNTIF($C$5:C278,C278))</f>
        <v>TUB-ACI-40#18</v>
      </c>
    </row>
    <row r="279">
      <c r="A279" s="41" t="n">
        <v>46253</v>
      </c>
      <c r="B279" s="37" t="inlineStr">
        <is>
          <t>Sortie</t>
        </is>
      </c>
      <c r="C279" s="37" t="inlineStr">
        <is>
          <t>BOR-WAGO-3</t>
        </is>
      </c>
      <c r="D279" s="39" t="str">
        <f>IF(C279="","",IFERROR(INDEX(art_des,MATCH(C279,art_ref,0))&amp;"","Référence inconnue"))</f>
        <v>Borne de connexion 3 entrées</v>
      </c>
      <c r="E279" s="37" t="n">
        <v>25</v>
      </c>
      <c r="F279" s="39" t="str">
        <f>IF(C279="","",IFERROR(INDEX(art_unit,MATCH(C279,art_ref,0))&amp;"",""))</f>
        <v>pièce</v>
      </c>
      <c r="G279" s="37" t="inlineStr">
        <is>
          <t>BS-2026-0244</t>
        </is>
      </c>
      <c r="H279" s="37" t="inlineStr">
        <is>
          <t>Atelier usinage</t>
        </is>
      </c>
      <c r="I279" s="37" t="n"/>
      <c r="J279" s="40">
        <f>IF(OR(C279="",NOT(ISNUMBER(E279))),"",IFERROR(E279*N(INDEX(art_price,MATCH(C279,art_ref,0))),""))</f>
        <v>10.5</v>
      </c>
      <c r="K279" s="39">
        <f>IF(OR(C279="",NOT(ISNUMBER(E279))),"",IFERROR(ROUND(N(INDEX(art_init,MATCH(C279,art_ref,0)))+SUMIFS($E$5:E279,$C$5:C279,C279,$B$5:B279,"Entrée")-SUMIFS($E$5:E279,$C$5:C279,C279,$B$5:B279,"Sortie"),6),""))</f>
        <v>251.0</v>
      </c>
      <c r="L279" s="39" t="str">
        <f>IF(COUNTA(A279:C279,E279)=0,"",IF(COUNTA(A279:C279,E279)&lt;4,"Ligne incomplète",IF(NOT(ISNUMBER(A279)),"Date invalide",IF(AND(B279&lt;&gt;"Entrée",B279&lt;&gt;"Sortie"),"Type inconnu",IF(ISNA(MATCH(C279,art_ref,0)),"Référence inconnue",IF(OR(NOT(ISNUMBER(E279)),N(E279)&lt;=0),"Quantité invalide",IF(K279&lt;0,"Stock négatif",IF(AND(ISNUMBER(A278),A279&lt;A278),"Date hors ordre","OK"))))))))</f>
        <v>OK</v>
      </c>
      <c r="M279" s="39" t="str">
        <f>IF(C279="","",C279&amp;"#"&amp;COUNTIF($C$5:C279,C279))</f>
        <v>BOR-WAGO-3#18</v>
      </c>
    </row>
    <row r="280">
      <c r="A280" s="41" t="n">
        <v>46253</v>
      </c>
      <c r="B280" s="37" t="inlineStr">
        <is>
          <t>Sortie</t>
        </is>
      </c>
      <c r="C280" s="37" t="inlineStr">
        <is>
          <t>ECR-M6</t>
        </is>
      </c>
      <c r="D280" s="39" t="str">
        <f>IF(C280="","",IFERROR(INDEX(art_des,MATCH(C280,art_ref,0))&amp;"","Référence inconnue"))</f>
        <v>Écrou inox M6</v>
      </c>
      <c r="E280" s="37" t="n">
        <v>525</v>
      </c>
      <c r="F280" s="39" t="str">
        <f>IF(C280="","",IFERROR(INDEX(art_unit,MATCH(C280,art_ref,0))&amp;"",""))</f>
        <v>pièce</v>
      </c>
      <c r="G280" s="37" t="inlineStr">
        <is>
          <t>BS-2026-0245</t>
        </is>
      </c>
      <c r="H280" s="37" t="inlineStr">
        <is>
          <t>Atelier soudure</t>
        </is>
      </c>
      <c r="I280" s="37" t="n"/>
      <c r="J280" s="40">
        <f>IF(OR(C280="",NOT(ISNUMBER(E280))),"",IFERROR(E280*N(INDEX(art_price,MATCH(C280,art_ref,0))),""))</f>
        <v>26.25</v>
      </c>
      <c r="K280" s="39">
        <f>IF(OR(C280="",NOT(ISNUMBER(E280))),"",IFERROR(ROUND(N(INDEX(art_init,MATCH(C280,art_ref,0)))+SUMIFS($E$5:E280,$C$5:C280,C280,$B$5:B280,"Entrée")-SUMIFS($E$5:E280,$C$5:C280,C280,$B$5:B280,"Sortie"),6),""))</f>
        <v>2678.0</v>
      </c>
      <c r="L280" s="39" t="str">
        <f>IF(COUNTA(A280:C280,E280)=0,"",IF(COUNTA(A280:C280,E280)&lt;4,"Ligne incomplète",IF(NOT(ISNUMBER(A280)),"Date invalide",IF(AND(B280&lt;&gt;"Entrée",B280&lt;&gt;"Sortie"),"Type inconnu",IF(ISNA(MATCH(C280,art_ref,0)),"Référence inconnue",IF(OR(NOT(ISNUMBER(E280)),N(E280)&lt;=0),"Quantité invalide",IF(K280&lt;0,"Stock négatif",IF(AND(ISNUMBER(A279),A280&lt;A279),"Date hors ordre","OK"))))))))</f>
        <v>OK</v>
      </c>
      <c r="M280" s="39" t="str">
        <f>IF(C280="","",C280&amp;"#"&amp;COUNTIF($C$5:C280,C280))</f>
        <v>ECR-M6#18</v>
      </c>
    </row>
    <row r="281">
      <c r="A281" s="41" t="n">
        <v>46253</v>
      </c>
      <c r="B281" s="37" t="inlineStr">
        <is>
          <t>Sortie</t>
        </is>
      </c>
      <c r="C281" s="37" t="inlineStr">
        <is>
          <t>HUI-COUP-5</t>
        </is>
      </c>
      <c r="D281" s="39" t="str">
        <f>IF(C281="","",IFERROR(INDEX(art_des,MATCH(C281,art_ref,0))&amp;"","Référence inconnue"))</f>
        <v>Huile de coupe soluble 5 L</v>
      </c>
      <c r="E281" s="37" t="n">
        <v>1</v>
      </c>
      <c r="F281" s="39" t="str">
        <f>IF(C281="","",IFERROR(INDEX(art_unit,MATCH(C281,art_ref,0))&amp;"",""))</f>
        <v>bidon</v>
      </c>
      <c r="G281" s="37" t="inlineStr">
        <is>
          <t>BS-2026-0246</t>
        </is>
      </c>
      <c r="H281" s="37" t="inlineStr">
        <is>
          <t>Maintenance</t>
        </is>
      </c>
      <c r="I281" s="37" t="n"/>
      <c r="J281" s="40">
        <f>IF(OR(C281="",NOT(ISNUMBER(E281))),"",IFERROR(E281*N(INDEX(art_price,MATCH(C281,art_ref,0))),""))</f>
        <v>27.0</v>
      </c>
      <c r="K281" s="39">
        <f>IF(OR(C281="",NOT(ISNUMBER(E281))),"",IFERROR(ROUND(N(INDEX(art_init,MATCH(C281,art_ref,0)))+SUMIFS($E$5:E281,$C$5:C281,C281,$B$5:B281,"Entrée")-SUMIFS($E$5:E281,$C$5:C281,C281,$B$5:B281,"Sortie"),6),""))</f>
        <v>14.0</v>
      </c>
      <c r="L281" s="39" t="str">
        <f>IF(COUNTA(A281:C281,E281)=0,"",IF(COUNTA(A281:C281,E281)&lt;4,"Ligne incomplète",IF(NOT(ISNUMBER(A281)),"Date invalide",IF(AND(B281&lt;&gt;"Entrée",B281&lt;&gt;"Sortie"),"Type inconnu",IF(ISNA(MATCH(C281,art_ref,0)),"Référence inconnue",IF(OR(NOT(ISNUMBER(E281)),N(E281)&lt;=0),"Quantité invalide",IF(K281&lt;0,"Stock négatif",IF(AND(ISNUMBER(A280),A281&lt;A280),"Date hors ordre","OK"))))))))</f>
        <v>OK</v>
      </c>
      <c r="M281" s="39" t="str">
        <f>IF(C281="","",C281&amp;"#"&amp;COUNTIF($C$5:C281,C281))</f>
        <v>HUI-COUP-5#18</v>
      </c>
    </row>
    <row r="282">
      <c r="A282" s="41" t="n">
        <v>46254</v>
      </c>
      <c r="B282" s="37" t="inlineStr">
        <is>
          <t>Sortie</t>
        </is>
      </c>
      <c r="C282" s="37" t="inlineStr">
        <is>
          <t>GAN-NIT</t>
        </is>
      </c>
      <c r="D282" s="39" t="str">
        <f>IF(C282="","",IFERROR(INDEX(art_des,MATCH(C282,art_ref,0))&amp;"","Référence inconnue"))</f>
        <v>Gants nitrile, boîte de 100</v>
      </c>
      <c r="E282" s="37" t="n">
        <v>3</v>
      </c>
      <c r="F282" s="39" t="str">
        <f>IF(C282="","",IFERROR(INDEX(art_unit,MATCH(C282,art_ref,0))&amp;"",""))</f>
        <v>boîte</v>
      </c>
      <c r="G282" s="37" t="inlineStr">
        <is>
          <t>BS-2026-0247</t>
        </is>
      </c>
      <c r="H282" s="37" t="inlineStr">
        <is>
          <t>Atelier soudure</t>
        </is>
      </c>
      <c r="I282" s="37" t="n"/>
      <c r="J282" s="40">
        <f>IF(OR(C282="",NOT(ISNUMBER(E282))),"",IFERROR(E282*N(INDEX(art_price,MATCH(C282,art_ref,0))),""))</f>
        <v>22.5</v>
      </c>
      <c r="K282" s="39">
        <f>IF(OR(C282="",NOT(ISNUMBER(E282))),"",IFERROR(ROUND(N(INDEX(art_init,MATCH(C282,art_ref,0)))+SUMIFS($E$5:E282,$C$5:C282,C282,$B$5:B282,"Entrée")-SUMIFS($E$5:E282,$C$5:C282,C282,$B$5:B282,"Sortie"),6),""))</f>
        <v>12.0</v>
      </c>
      <c r="L282" s="39" t="str">
        <f>IF(COUNTA(A282:C282,E282)=0,"",IF(COUNTA(A282:C282,E282)&lt;4,"Ligne incomplète",IF(NOT(ISNUMBER(A282)),"Date invalide",IF(AND(B282&lt;&gt;"Entrée",B282&lt;&gt;"Sortie"),"Type inconnu",IF(ISNA(MATCH(C282,art_ref,0)),"Référence inconnue",IF(OR(NOT(ISNUMBER(E282)),N(E282)&lt;=0),"Quantité invalide",IF(K282&lt;0,"Stock négatif",IF(AND(ISNUMBER(A281),A282&lt;A281),"Date hors ordre","OK"))))))))</f>
        <v>OK</v>
      </c>
      <c r="M282" s="39" t="str">
        <f>IF(C282="","",C282&amp;"#"&amp;COUNTIF($C$5:C282,C282))</f>
        <v>GAN-NIT#18</v>
      </c>
    </row>
    <row r="283">
      <c r="A283" s="41" t="n">
        <v>46256</v>
      </c>
      <c r="B283" s="37" t="inlineStr">
        <is>
          <t>Sortie</t>
        </is>
      </c>
      <c r="C283" s="37" t="inlineStr">
        <is>
          <t>VIS-M6-20</t>
        </is>
      </c>
      <c r="D283" s="39" t="str">
        <f>IF(C283="","",IFERROR(INDEX(art_des,MATCH(C283,art_ref,0))&amp;"","Référence inconnue"))</f>
        <v>Vis inox M6 x 20</v>
      </c>
      <c r="E283" s="37" t="n">
        <v>436</v>
      </c>
      <c r="F283" s="39" t="str">
        <f>IF(C283="","",IFERROR(INDEX(art_unit,MATCH(C283,art_ref,0))&amp;"",""))</f>
        <v>pièce</v>
      </c>
      <c r="G283" s="37" t="inlineStr">
        <is>
          <t>BS-2026-0248</t>
        </is>
      </c>
      <c r="H283" s="37" t="inlineStr">
        <is>
          <t>Expédition</t>
        </is>
      </c>
      <c r="I283" s="37" t="n"/>
      <c r="J283" s="40">
        <f>IF(OR(C283="",NOT(ISNUMBER(E283))),"",IFERROR(E283*N(INDEX(art_price,MATCH(C283,art_ref,0))),""))</f>
        <v>52.32</v>
      </c>
      <c r="K283" s="39">
        <f>IF(OR(C283="",NOT(ISNUMBER(E283))),"",IFERROR(ROUND(N(INDEX(art_init,MATCH(C283,art_ref,0)))+SUMIFS($E$5:E283,$C$5:C283,C283,$B$5:B283,"Entrée")-SUMIFS($E$5:E283,$C$5:C283,C283,$B$5:B283,"Sortie"),6),""))</f>
        <v>2287.0</v>
      </c>
      <c r="L283" s="39" t="str">
        <f>IF(COUNTA(A283:C283,E283)=0,"",IF(COUNTA(A283:C283,E283)&lt;4,"Ligne incomplète",IF(NOT(ISNUMBER(A283)),"Date invalide",IF(AND(B283&lt;&gt;"Entrée",B283&lt;&gt;"Sortie"),"Type inconnu",IF(ISNA(MATCH(C283,art_ref,0)),"Référence inconnue",IF(OR(NOT(ISNUMBER(E283)),N(E283)&lt;=0),"Quantité invalide",IF(K283&lt;0,"Stock négatif",IF(AND(ISNUMBER(A282),A283&lt;A282),"Date hors ordre","OK"))))))))</f>
        <v>OK</v>
      </c>
      <c r="M283" s="39" t="str">
        <f>IF(C283="","",C283&amp;"#"&amp;COUNTIF($C$5:C283,C283))</f>
        <v>VIS-M6-20#18</v>
      </c>
    </row>
    <row r="284">
      <c r="A284" s="41" t="n">
        <v>46257</v>
      </c>
      <c r="B284" s="37" t="inlineStr">
        <is>
          <t>Sortie</t>
        </is>
      </c>
      <c r="C284" s="37" t="inlineStr">
        <is>
          <t>JOI-20-2</t>
        </is>
      </c>
      <c r="D284" s="39" t="str">
        <f>IF(C284="","",IFERROR(INDEX(art_des,MATCH(C284,art_ref,0))&amp;"","Référence inconnue"))</f>
        <v>Joint torique 20 x 2 NBR</v>
      </c>
      <c r="E284" s="37" t="n">
        <v>60</v>
      </c>
      <c r="F284" s="39" t="str">
        <f>IF(C284="","",IFERROR(INDEX(art_unit,MATCH(C284,art_ref,0))&amp;"",""))</f>
        <v>pièce</v>
      </c>
      <c r="G284" s="37" t="inlineStr">
        <is>
          <t>BS-2026-0249</t>
        </is>
      </c>
      <c r="H284" s="37" t="inlineStr">
        <is>
          <t>Atelier usinage</t>
        </is>
      </c>
      <c r="I284" s="37" t="n"/>
      <c r="J284" s="40">
        <f>IF(OR(C284="",NOT(ISNUMBER(E284))),"",IFERROR(E284*N(INDEX(art_price,MATCH(C284,art_ref,0))),""))</f>
        <v>21.0</v>
      </c>
      <c r="K284" s="39">
        <f>IF(OR(C284="",NOT(ISNUMBER(E284))),"",IFERROR(ROUND(N(INDEX(art_init,MATCH(C284,art_ref,0)))+SUMIFS($E$5:E284,$C$5:C284,C284,$B$5:B284,"Entrée")-SUMIFS($E$5:E284,$C$5:C284,C284,$B$5:B284,"Sortie"),6),""))</f>
        <v>417.0</v>
      </c>
      <c r="L284" s="39" t="str">
        <f>IF(COUNTA(A284:C284,E284)=0,"",IF(COUNTA(A284:C284,E284)&lt;4,"Ligne incomplète",IF(NOT(ISNUMBER(A284)),"Date invalide",IF(AND(B284&lt;&gt;"Entrée",B284&lt;&gt;"Sortie"),"Type inconnu",IF(ISNA(MATCH(C284,art_ref,0)),"Référence inconnue",IF(OR(NOT(ISNUMBER(E284)),N(E284)&lt;=0),"Quantité invalide",IF(K284&lt;0,"Stock négatif",IF(AND(ISNUMBER(A283),A284&lt;A283),"Date hors ordre","OK"))))))))</f>
        <v>OK</v>
      </c>
      <c r="M284" s="39" t="str">
        <f>IF(C284="","",C284&amp;"#"&amp;COUNTIF($C$5:C284,C284))</f>
        <v>JOI-20-2#18</v>
      </c>
    </row>
    <row r="285">
      <c r="A285" s="41" t="n">
        <v>46257</v>
      </c>
      <c r="B285" s="37" t="inlineStr">
        <is>
          <t>Sortie</t>
        </is>
      </c>
      <c r="C285" s="37" t="inlineStr">
        <is>
          <t>PAL-120</t>
        </is>
      </c>
      <c r="D285" s="39" t="str">
        <f>IF(C285="","",IFERROR(INDEX(art_des,MATCH(C285,art_ref,0))&amp;"","Référence inconnue"))</f>
        <v>Palette bois 120 x 80</v>
      </c>
      <c r="E285" s="37" t="n">
        <v>7</v>
      </c>
      <c r="F285" s="39" t="str">
        <f>IF(C285="","",IFERROR(INDEX(art_unit,MATCH(C285,art_ref,0))&amp;"",""))</f>
        <v>pièce</v>
      </c>
      <c r="G285" s="37" t="inlineStr">
        <is>
          <t>BS-2026-0250</t>
        </is>
      </c>
      <c r="H285" s="37" t="inlineStr">
        <is>
          <t>Expédition</t>
        </is>
      </c>
      <c r="I285" s="37" t="n"/>
      <c r="J285" s="40">
        <f>IF(OR(C285="",NOT(ISNUMBER(E285))),"",IFERROR(E285*N(INDEX(art_price,MATCH(C285,art_ref,0))),""))</f>
        <v>63.0</v>
      </c>
      <c r="K285" s="39">
        <f>IF(OR(C285="",NOT(ISNUMBER(E285))),"",IFERROR(ROUND(N(INDEX(art_init,MATCH(C285,art_ref,0)))+SUMIFS($E$5:E285,$C$5:C285,C285,$B$5:B285,"Entrée")-SUMIFS($E$5:E285,$C$5:C285,C285,$B$5:B285,"Sortie"),6),""))</f>
        <v>19.0</v>
      </c>
      <c r="L285" s="39" t="str">
        <f>IF(COUNTA(A285:C285,E285)=0,"",IF(COUNTA(A285:C285,E285)&lt;4,"Ligne incomplète",IF(NOT(ISNUMBER(A285)),"Date invalide",IF(AND(B285&lt;&gt;"Entrée",B285&lt;&gt;"Sortie"),"Type inconnu",IF(ISNA(MATCH(C285,art_ref,0)),"Référence inconnue",IF(OR(NOT(ISNUMBER(E285)),N(E285)&lt;=0),"Quantité invalide",IF(K285&lt;0,"Stock négatif",IF(AND(ISNUMBER(A284),A285&lt;A284),"Date hors ordre","OK"))))))))</f>
        <v>OK</v>
      </c>
      <c r="M285" s="39" t="str">
        <f>IF(C285="","",C285&amp;"#"&amp;COUNTIF($C$5:C285,C285))</f>
        <v>PAL-120#18</v>
      </c>
    </row>
    <row r="286">
      <c r="A286" s="41" t="n">
        <v>46258</v>
      </c>
      <c r="B286" s="37" t="inlineStr">
        <is>
          <t>Sortie</t>
        </is>
      </c>
      <c r="C286" s="37" t="inlineStr">
        <is>
          <t>DIS-125</t>
        </is>
      </c>
      <c r="D286" s="39" t="str">
        <f>IF(C286="","",IFERROR(INDEX(art_des,MATCH(C286,art_ref,0))&amp;"","Référence inconnue"))</f>
        <v>Disque à tronçonner 125 mm</v>
      </c>
      <c r="E286" s="37" t="n">
        <v>27</v>
      </c>
      <c r="F286" s="39" t="str">
        <f>IF(C286="","",IFERROR(INDEX(art_unit,MATCH(C286,art_ref,0))&amp;"",""))</f>
        <v>pièce</v>
      </c>
      <c r="G286" s="37" t="inlineStr">
        <is>
          <t>BS-2026-0251</t>
        </is>
      </c>
      <c r="H286" s="37" t="inlineStr">
        <is>
          <t>Atelier soudure</t>
        </is>
      </c>
      <c r="I286" s="37" t="n"/>
      <c r="J286" s="40">
        <f>IF(OR(C286="",NOT(ISNUMBER(E286))),"",IFERROR(E286*N(INDEX(art_price,MATCH(C286,art_ref,0))),""))</f>
        <v>51.3</v>
      </c>
      <c r="K286" s="39">
        <f>IF(OR(C286="",NOT(ISNUMBER(E286))),"",IFERROR(ROUND(N(INDEX(art_init,MATCH(C286,art_ref,0)))+SUMIFS($E$5:E286,$C$5:C286,C286,$B$5:B286,"Entrée")-SUMIFS($E$5:E286,$C$5:C286,C286,$B$5:B286,"Sortie"),6),""))</f>
        <v>108.0</v>
      </c>
      <c r="L286" s="39" t="str">
        <f>IF(COUNTA(A286:C286,E286)=0,"",IF(COUNTA(A286:C286,E286)&lt;4,"Ligne incomplète",IF(NOT(ISNUMBER(A286)),"Date invalide",IF(AND(B286&lt;&gt;"Entrée",B286&lt;&gt;"Sortie"),"Type inconnu",IF(ISNA(MATCH(C286,art_ref,0)),"Référence inconnue",IF(OR(NOT(ISNUMBER(E286)),N(E286)&lt;=0),"Quantité invalide",IF(K286&lt;0,"Stock négatif",IF(AND(ISNUMBER(A285),A286&lt;A285),"Date hors ordre","OK"))))))))</f>
        <v>OK</v>
      </c>
      <c r="M286" s="39" t="str">
        <f>IF(C286="","",C286&amp;"#"&amp;COUNTIF($C$5:C286,C286))</f>
        <v>DIS-125#18</v>
      </c>
    </row>
    <row r="287">
      <c r="A287" s="41" t="n">
        <v>46258</v>
      </c>
      <c r="B287" s="37" t="inlineStr">
        <is>
          <t>Sortie</t>
        </is>
      </c>
      <c r="C287" s="37" t="inlineStr">
        <is>
          <t>FOR-HSS-8</t>
        </is>
      </c>
      <c r="D287" s="39" t="str">
        <f>IF(C287="","",IFERROR(INDEX(art_des,MATCH(C287,art_ref,0))&amp;"","Référence inconnue"))</f>
        <v>Foret HSS 8 mm</v>
      </c>
      <c r="E287" s="37" t="n">
        <v>4</v>
      </c>
      <c r="F287" s="39" t="str">
        <f>IF(C287="","",IFERROR(INDEX(art_unit,MATCH(C287,art_ref,0))&amp;"",""))</f>
        <v>pièce</v>
      </c>
      <c r="G287" s="37" t="inlineStr">
        <is>
          <t>BS-2026-0252</t>
        </is>
      </c>
      <c r="H287" s="37" t="inlineStr">
        <is>
          <t>Atelier soudure</t>
        </is>
      </c>
      <c r="I287" s="37" t="n"/>
      <c r="J287" s="40">
        <f>IF(OR(C287="",NOT(ISNUMBER(E287))),"",IFERROR(E287*N(INDEX(art_price,MATCH(C287,art_ref,0))),""))</f>
        <v>18.4</v>
      </c>
      <c r="K287" s="39">
        <f>IF(OR(C287="",NOT(ISNUMBER(E287))),"",IFERROR(ROUND(N(INDEX(art_init,MATCH(C287,art_ref,0)))+SUMIFS($E$5:E287,$C$5:C287,C287,$B$5:B287,"Entrée")-SUMIFS($E$5:E287,$C$5:C287,C287,$B$5:B287,"Sortie"),6),""))</f>
        <v>14.0</v>
      </c>
      <c r="L287" s="39" t="str">
        <f>IF(COUNTA(A287:C287,E287)=0,"",IF(COUNTA(A287:C287,E287)&lt;4,"Ligne incomplète",IF(NOT(ISNUMBER(A287)),"Date invalide",IF(AND(B287&lt;&gt;"Entrée",B287&lt;&gt;"Sortie"),"Type inconnu",IF(ISNA(MATCH(C287,art_ref,0)),"Référence inconnue",IF(OR(NOT(ISNUMBER(E287)),N(E287)&lt;=0),"Quantité invalide",IF(K287&lt;0,"Stock négatif",IF(AND(ISNUMBER(A286),A287&lt;A286),"Date hors ordre","OK"))))))))</f>
        <v>OK</v>
      </c>
      <c r="M287" s="39" t="str">
        <f>IF(C287="","",C287&amp;"#"&amp;COUNTIF($C$5:C287,C287))</f>
        <v>FOR-HSS-8#17</v>
      </c>
    </row>
    <row r="288">
      <c r="A288" s="41" t="n">
        <v>46259</v>
      </c>
      <c r="B288" s="37" t="inlineStr">
        <is>
          <t>Sortie</t>
        </is>
      </c>
      <c r="C288" s="37" t="inlineStr">
        <is>
          <t>RON-M6</t>
        </is>
      </c>
      <c r="D288" s="39" t="str">
        <f>IF(C288="","",IFERROR(INDEX(art_des,MATCH(C288,art_ref,0))&amp;"","Référence inconnue"))</f>
        <v>Rondelle plate M6</v>
      </c>
      <c r="E288" s="37" t="n">
        <v>436</v>
      </c>
      <c r="F288" s="39" t="str">
        <f>IF(C288="","",IFERROR(INDEX(art_unit,MATCH(C288,art_ref,0))&amp;"",""))</f>
        <v>pièce</v>
      </c>
      <c r="G288" s="37" t="inlineStr">
        <is>
          <t>BS-2026-0253</t>
        </is>
      </c>
      <c r="H288" s="37" t="inlineStr">
        <is>
          <t>Maintenance</t>
        </is>
      </c>
      <c r="I288" s="37" t="n"/>
      <c r="J288" s="40">
        <f>IF(OR(C288="",NOT(ISNUMBER(E288))),"",IFERROR(E288*N(INDEX(art_price,MATCH(C288,art_ref,0))),""))</f>
        <v>13.08</v>
      </c>
      <c r="K288" s="39">
        <f>IF(OR(C288="",NOT(ISNUMBER(E288))),"",IFERROR(ROUND(N(INDEX(art_init,MATCH(C288,art_ref,0)))+SUMIFS($E$5:E288,$C$5:C288,C288,$B$5:B288,"Entrée")-SUMIFS($E$5:E288,$C$5:C288,C288,$B$5:B288,"Sortie"),6),""))</f>
        <v>1245.0</v>
      </c>
      <c r="L288" s="39" t="str">
        <f>IF(COUNTA(A288:C288,E288)=0,"",IF(COUNTA(A288:C288,E288)&lt;4,"Ligne incomplète",IF(NOT(ISNUMBER(A288)),"Date invalide",IF(AND(B288&lt;&gt;"Entrée",B288&lt;&gt;"Sortie"),"Type inconnu",IF(ISNA(MATCH(C288,art_ref,0)),"Référence inconnue",IF(OR(NOT(ISNUMBER(E288)),N(E288)&lt;=0),"Quantité invalide",IF(K288&lt;0,"Stock négatif",IF(AND(ISNUMBER(A287),A288&lt;A287),"Date hors ordre","OK"))))))))</f>
        <v>OK</v>
      </c>
      <c r="M288" s="39" t="str">
        <f>IF(C288="","",C288&amp;"#"&amp;COUNTIF($C$5:C288,C288))</f>
        <v>RON-M6#18</v>
      </c>
    </row>
    <row r="289">
      <c r="A289" s="41" t="n">
        <v>46260</v>
      </c>
      <c r="B289" s="37" t="inlineStr">
        <is>
          <t>Sortie</t>
        </is>
      </c>
      <c r="C289" s="37" t="inlineStr">
        <is>
          <t>CAB-2.5</t>
        </is>
      </c>
      <c r="D289" s="39" t="str">
        <f>IF(C289="","",IFERROR(INDEX(art_des,MATCH(C289,art_ref,0))&amp;"","Référence inconnue"))</f>
        <v>Câble électrique 2,5 mm²</v>
      </c>
      <c r="E289" s="37" t="n">
        <v>49</v>
      </c>
      <c r="F289" s="39" t="str">
        <f>IF(C289="","",IFERROR(INDEX(art_unit,MATCH(C289,art_ref,0))&amp;"",""))</f>
        <v>m</v>
      </c>
      <c r="G289" s="37" t="inlineStr">
        <is>
          <t>BS-2026-0254</t>
        </is>
      </c>
      <c r="H289" s="37" t="inlineStr">
        <is>
          <t>Atelier usinage</t>
        </is>
      </c>
      <c r="I289" s="37" t="n"/>
      <c r="J289" s="40">
        <f>IF(OR(C289="",NOT(ISNUMBER(E289))),"",IFERROR(E289*N(INDEX(art_price,MATCH(C289,art_ref,0))),""))</f>
        <v>33.32</v>
      </c>
      <c r="K289" s="39">
        <f>IF(OR(C289="",NOT(ISNUMBER(E289))),"",IFERROR(ROUND(N(INDEX(art_init,MATCH(C289,art_ref,0)))+SUMIFS($E$5:E289,$C$5:C289,C289,$B$5:B289,"Entrée")-SUMIFS($E$5:E289,$C$5:C289,C289,$B$5:B289,"Sortie"),6),""))</f>
        <v>451.0</v>
      </c>
      <c r="L289" s="39" t="str">
        <f>IF(COUNTA(A289:C289,E289)=0,"",IF(COUNTA(A289:C289,E289)&lt;4,"Ligne incomplète",IF(NOT(ISNUMBER(A289)),"Date invalide",IF(AND(B289&lt;&gt;"Entrée",B289&lt;&gt;"Sortie"),"Type inconnu",IF(ISNA(MATCH(C289,art_ref,0)),"Référence inconnue",IF(OR(NOT(ISNUMBER(E289)),N(E289)&lt;=0),"Quantité invalide",IF(K289&lt;0,"Stock négatif",IF(AND(ISNUMBER(A288),A289&lt;A288),"Date hors ordre","OK"))))))))</f>
        <v>OK</v>
      </c>
      <c r="M289" s="39" t="str">
        <f>IF(C289="","",C289&amp;"#"&amp;COUNTIF($C$5:C289,C289))</f>
        <v>CAB-2.5#18</v>
      </c>
    </row>
    <row r="290">
      <c r="A290" s="41" t="n">
        <v>46260</v>
      </c>
      <c r="B290" s="37" t="inlineStr">
        <is>
          <t>Sortie</t>
        </is>
      </c>
      <c r="C290" s="37" t="inlineStr">
        <is>
          <t>TOL-ACI-2</t>
        </is>
      </c>
      <c r="D290" s="39" t="str">
        <f>IF(C290="","",IFERROR(INDEX(art_des,MATCH(C290,art_ref,0))&amp;"","Référence inconnue"))</f>
        <v>Tôle acier 2 mm 1000 x 2000</v>
      </c>
      <c r="E290" s="37" t="n">
        <v>6</v>
      </c>
      <c r="F290" s="39" t="str">
        <f>IF(C290="","",IFERROR(INDEX(art_unit,MATCH(C290,art_ref,0))&amp;"",""))</f>
        <v>feuille</v>
      </c>
      <c r="G290" s="37" t="inlineStr">
        <is>
          <t>BS-2026-0255</t>
        </is>
      </c>
      <c r="H290" s="37" t="inlineStr">
        <is>
          <t>Maintenance</t>
        </is>
      </c>
      <c r="I290" s="37" t="n"/>
      <c r="J290" s="40">
        <f>IF(OR(C290="",NOT(ISNUMBER(E290))),"",IFERROR(E290*N(INDEX(art_price,MATCH(C290,art_ref,0))),""))</f>
        <v>291.0</v>
      </c>
      <c r="K290" s="39">
        <f>IF(OR(C290="",NOT(ISNUMBER(E290))),"",IFERROR(ROUND(N(INDEX(art_init,MATCH(C290,art_ref,0)))+SUMIFS($E$5:E290,$C$5:C290,C290,$B$5:B290,"Entrée")-SUMIFS($E$5:E290,$C$5:C290,C290,$B$5:B290,"Sortie"),6),""))</f>
        <v>13.0</v>
      </c>
      <c r="L290" s="39" t="str">
        <f>IF(COUNTA(A290:C290,E290)=0,"",IF(COUNTA(A290:C290,E290)&lt;4,"Ligne incomplète",IF(NOT(ISNUMBER(A290)),"Date invalide",IF(AND(B290&lt;&gt;"Entrée",B290&lt;&gt;"Sortie"),"Type inconnu",IF(ISNA(MATCH(C290,art_ref,0)),"Référence inconnue",IF(OR(NOT(ISNUMBER(E290)),N(E290)&lt;=0),"Quantité invalide",IF(K290&lt;0,"Stock négatif",IF(AND(ISNUMBER(A289),A290&lt;A289),"Date hors ordre","OK"))))))))</f>
        <v>OK</v>
      </c>
      <c r="M290" s="39" t="str">
        <f>IF(C290="","",C290&amp;"#"&amp;COUNTIF($C$5:C290,C290))</f>
        <v>TOL-ACI-2#18</v>
      </c>
    </row>
    <row r="291">
      <c r="A291" s="41" t="n">
        <v>46261</v>
      </c>
      <c r="B291" s="37" t="inlineStr">
        <is>
          <t>Sortie</t>
        </is>
      </c>
      <c r="C291" s="37" t="inlineStr">
        <is>
          <t>RUB-50</t>
        </is>
      </c>
      <c r="D291" s="39" t="str">
        <f>IF(C291="","",IFERROR(INDEX(art_des,MATCH(C291,art_ref,0))&amp;"","Référence inconnue"))</f>
        <v>Ruban adhésif 50 mm x 66 m</v>
      </c>
      <c r="E291" s="37" t="n">
        <v>16</v>
      </c>
      <c r="F291" s="39" t="str">
        <f>IF(C291="","",IFERROR(INDEX(art_unit,MATCH(C291,art_ref,0))&amp;"",""))</f>
        <v>rouleau</v>
      </c>
      <c r="G291" s="37" t="inlineStr">
        <is>
          <t>BS-2026-0256</t>
        </is>
      </c>
      <c r="H291" s="37" t="inlineStr">
        <is>
          <t>Maintenance</t>
        </is>
      </c>
      <c r="I291" s="37" t="n"/>
      <c r="J291" s="40">
        <f>IF(OR(C291="",NOT(ISNUMBER(E291))),"",IFERROR(E291*N(INDEX(art_price,MATCH(C291,art_ref,0))),""))</f>
        <v>22.4</v>
      </c>
      <c r="K291" s="39">
        <f>IF(OR(C291="",NOT(ISNUMBER(E291))),"",IFERROR(ROUND(N(INDEX(art_init,MATCH(C291,art_ref,0)))+SUMIFS($E$5:E291,$C$5:C291,C291,$B$5:B291,"Entrée")-SUMIFS($E$5:E291,$C$5:C291,C291,$B$5:B291,"Sortie"),6),""))</f>
        <v>56.0</v>
      </c>
      <c r="L291" s="39" t="str">
        <f>IF(COUNTA(A291:C291,E291)=0,"",IF(COUNTA(A291:C291,E291)&lt;4,"Ligne incomplète",IF(NOT(ISNUMBER(A291)),"Date invalide",IF(AND(B291&lt;&gt;"Entrée",B291&lt;&gt;"Sortie"),"Type inconnu",IF(ISNA(MATCH(C291,art_ref,0)),"Référence inconnue",IF(OR(NOT(ISNUMBER(E291)),N(E291)&lt;=0),"Quantité invalide",IF(K291&lt;0,"Stock négatif",IF(AND(ISNUMBER(A290),A291&lt;A290),"Date hors ordre","OK"))))))))</f>
        <v>OK</v>
      </c>
      <c r="M291" s="39" t="str">
        <f>IF(C291="","",C291&amp;"#"&amp;COUNTIF($C$5:C291,C291))</f>
        <v>RUB-50#18</v>
      </c>
    </row>
    <row r="292">
      <c r="A292" s="41" t="n">
        <v>46263</v>
      </c>
      <c r="B292" s="37" t="inlineStr">
        <is>
          <t>Entrée</t>
        </is>
      </c>
      <c r="C292" s="37" t="inlineStr">
        <is>
          <t>TOL-ACI-2</t>
        </is>
      </c>
      <c r="D292" s="39" t="str">
        <f>IF(C292="","",IFERROR(INDEX(art_des,MATCH(C292,art_ref,0))&amp;"","Référence inconnue"))</f>
        <v>Tôle acier 2 mm 1000 x 2000</v>
      </c>
      <c r="E292" s="37" t="n">
        <v>47</v>
      </c>
      <c r="F292" s="39" t="str">
        <f>IF(C292="","",IFERROR(INDEX(art_unit,MATCH(C292,art_ref,0))&amp;"",""))</f>
        <v>feuille</v>
      </c>
      <c r="G292" s="37" t="inlineStr">
        <is>
          <t>BL-2026-032</t>
        </is>
      </c>
      <c r="H292" s="37" t="inlineStr">
        <is>
          <t>Aciers Service</t>
        </is>
      </c>
      <c r="I292" s="37" t="inlineStr">
        <is>
          <t>Réception commande</t>
        </is>
      </c>
      <c r="J292" s="40">
        <f>IF(OR(C292="",NOT(ISNUMBER(E292))),"",IFERROR(E292*N(INDEX(art_price,MATCH(C292,art_ref,0))),""))</f>
        <v>2279.5</v>
      </c>
      <c r="K292" s="39">
        <f>IF(OR(C292="",NOT(ISNUMBER(E292))),"",IFERROR(ROUND(N(INDEX(art_init,MATCH(C292,art_ref,0)))+SUMIFS($E$5:E292,$C$5:C292,C292,$B$5:B292,"Entrée")-SUMIFS($E$5:E292,$C$5:C292,C292,$B$5:B292,"Sortie"),6),""))</f>
        <v>60.0</v>
      </c>
      <c r="L292" s="39" t="str">
        <f>IF(COUNTA(A292:C292,E292)=0,"",IF(COUNTA(A292:C292,E292)&lt;4,"Ligne incomplète",IF(NOT(ISNUMBER(A292)),"Date invalide",IF(AND(B292&lt;&gt;"Entrée",B292&lt;&gt;"Sortie"),"Type inconnu",IF(ISNA(MATCH(C292,art_ref,0)),"Référence inconnue",IF(OR(NOT(ISNUMBER(E292)),N(E292)&lt;=0),"Quantité invalide",IF(K292&lt;0,"Stock négatif",IF(AND(ISNUMBER(A291),A292&lt;A291),"Date hors ordre","OK"))))))))</f>
        <v>OK</v>
      </c>
      <c r="M292" s="39" t="str">
        <f>IF(C292="","",C292&amp;"#"&amp;COUNTIF($C$5:C292,C292))</f>
        <v>TOL-ACI-2#19</v>
      </c>
    </row>
    <row r="293">
      <c r="A293" s="41" t="n">
        <v>46269</v>
      </c>
      <c r="B293" s="37" t="inlineStr">
        <is>
          <t>Sortie</t>
        </is>
      </c>
      <c r="C293" s="37" t="inlineStr">
        <is>
          <t>GAN-NIT</t>
        </is>
      </c>
      <c r="D293" s="39" t="str">
        <f>IF(C293="","",IFERROR(INDEX(art_des,MATCH(C293,art_ref,0))&amp;"","Référence inconnue"))</f>
        <v>Gants nitrile, boîte de 100</v>
      </c>
      <c r="E293" s="37" t="n">
        <v>4</v>
      </c>
      <c r="F293" s="39" t="str">
        <f>IF(C293="","",IFERROR(INDEX(art_unit,MATCH(C293,art_ref,0))&amp;"",""))</f>
        <v>boîte</v>
      </c>
      <c r="G293" s="37" t="inlineStr">
        <is>
          <t>BS-2026-0257</t>
        </is>
      </c>
      <c r="H293" s="37" t="inlineStr">
        <is>
          <t>Expédition</t>
        </is>
      </c>
      <c r="I293" s="37" t="n"/>
      <c r="J293" s="40">
        <f>IF(OR(C293="",NOT(ISNUMBER(E293))),"",IFERROR(E293*N(INDEX(art_price,MATCH(C293,art_ref,0))),""))</f>
        <v>30.0</v>
      </c>
      <c r="K293" s="39">
        <f>IF(OR(C293="",NOT(ISNUMBER(E293))),"",IFERROR(ROUND(N(INDEX(art_init,MATCH(C293,art_ref,0)))+SUMIFS($E$5:E293,$C$5:C293,C293,$B$5:B293,"Entrée")-SUMIFS($E$5:E293,$C$5:C293,C293,$B$5:B293,"Sortie"),6),""))</f>
        <v>8.0</v>
      </c>
      <c r="L293" s="39" t="str">
        <f>IF(COUNTA(A293:C293,E293)=0,"",IF(COUNTA(A293:C293,E293)&lt;4,"Ligne incomplète",IF(NOT(ISNUMBER(A293)),"Date invalide",IF(AND(B293&lt;&gt;"Entrée",B293&lt;&gt;"Sortie"),"Type inconnu",IF(ISNA(MATCH(C293,art_ref,0)),"Référence inconnue",IF(OR(NOT(ISNUMBER(E293)),N(E293)&lt;=0),"Quantité invalide",IF(K293&lt;0,"Stock négatif",IF(AND(ISNUMBER(A292),A293&lt;A292),"Date hors ordre","OK"))))))))</f>
        <v>OK</v>
      </c>
      <c r="M293" s="39" t="str">
        <f>IF(C293="","",C293&amp;"#"&amp;COUNTIF($C$5:C293,C293))</f>
        <v>GAN-NIT#19</v>
      </c>
    </row>
    <row r="294">
      <c r="A294" s="41" t="n">
        <v>46271</v>
      </c>
      <c r="B294" s="37" t="inlineStr">
        <is>
          <t>Sortie</t>
        </is>
      </c>
      <c r="C294" s="37" t="inlineStr">
        <is>
          <t>ECR-M6</t>
        </is>
      </c>
      <c r="D294" s="39" t="str">
        <f>IF(C294="","",IFERROR(INDEX(art_des,MATCH(C294,art_ref,0))&amp;"","Référence inconnue"))</f>
        <v>Écrou inox M6</v>
      </c>
      <c r="E294" s="37" t="n">
        <v>388</v>
      </c>
      <c r="F294" s="39" t="str">
        <f>IF(C294="","",IFERROR(INDEX(art_unit,MATCH(C294,art_ref,0))&amp;"",""))</f>
        <v>pièce</v>
      </c>
      <c r="G294" s="37" t="inlineStr">
        <is>
          <t>BS-2026-0258</t>
        </is>
      </c>
      <c r="H294" s="37" t="inlineStr">
        <is>
          <t>Atelier usinage</t>
        </is>
      </c>
      <c r="I294" s="37" t="n"/>
      <c r="J294" s="40">
        <f>IF(OR(C294="",NOT(ISNUMBER(E294))),"",IFERROR(E294*N(INDEX(art_price,MATCH(C294,art_ref,0))),""))</f>
        <v>19.4</v>
      </c>
      <c r="K294" s="39">
        <f>IF(OR(C294="",NOT(ISNUMBER(E294))),"",IFERROR(ROUND(N(INDEX(art_init,MATCH(C294,art_ref,0)))+SUMIFS($E$5:E294,$C$5:C294,C294,$B$5:B294,"Entrée")-SUMIFS($E$5:E294,$C$5:C294,C294,$B$5:B294,"Sortie"),6),""))</f>
        <v>2290.0</v>
      </c>
      <c r="L294" s="39" t="str">
        <f>IF(COUNTA(A294:C294,E294)=0,"",IF(COUNTA(A294:C294,E294)&lt;4,"Ligne incomplète",IF(NOT(ISNUMBER(A294)),"Date invalide",IF(AND(B294&lt;&gt;"Entrée",B294&lt;&gt;"Sortie"),"Type inconnu",IF(ISNA(MATCH(C294,art_ref,0)),"Référence inconnue",IF(OR(NOT(ISNUMBER(E294)),N(E294)&lt;=0),"Quantité invalide",IF(K294&lt;0,"Stock négatif",IF(AND(ISNUMBER(A293),A294&lt;A293),"Date hors ordre","OK"))))))))</f>
        <v>OK</v>
      </c>
      <c r="M294" s="39" t="str">
        <f>IF(C294="","",C294&amp;"#"&amp;COUNTIF($C$5:C294,C294))</f>
        <v>ECR-M6#19</v>
      </c>
    </row>
    <row r="295">
      <c r="A295" s="41" t="n">
        <v>46271</v>
      </c>
      <c r="B295" s="37" t="inlineStr">
        <is>
          <t>Sortie</t>
        </is>
      </c>
      <c r="C295" s="37" t="inlineStr">
        <is>
          <t>FOR-HSS-8</t>
        </is>
      </c>
      <c r="D295" s="39" t="str">
        <f>IF(C295="","",IFERROR(INDEX(art_des,MATCH(C295,art_ref,0))&amp;"","Référence inconnue"))</f>
        <v>Foret HSS 8 mm</v>
      </c>
      <c r="E295" s="37" t="n">
        <v>3</v>
      </c>
      <c r="F295" s="39" t="str">
        <f>IF(C295="","",IFERROR(INDEX(art_unit,MATCH(C295,art_ref,0))&amp;"",""))</f>
        <v>pièce</v>
      </c>
      <c r="G295" s="37" t="inlineStr">
        <is>
          <t>BS-2026-0259</t>
        </is>
      </c>
      <c r="H295" s="37" t="inlineStr">
        <is>
          <t>Atelier usinage</t>
        </is>
      </c>
      <c r="I295" s="37" t="n"/>
      <c r="J295" s="40">
        <f>IF(OR(C295="",NOT(ISNUMBER(E295))),"",IFERROR(E295*N(INDEX(art_price,MATCH(C295,art_ref,0))),""))</f>
        <v>13.8</v>
      </c>
      <c r="K295" s="39">
        <f>IF(OR(C295="",NOT(ISNUMBER(E295))),"",IFERROR(ROUND(N(INDEX(art_init,MATCH(C295,art_ref,0)))+SUMIFS($E$5:E295,$C$5:C295,C295,$B$5:B295,"Entrée")-SUMIFS($E$5:E295,$C$5:C295,C295,$B$5:B295,"Sortie"),6),""))</f>
        <v>11.0</v>
      </c>
      <c r="L295" s="39" t="str">
        <f>IF(COUNTA(A295:C295,E295)=0,"",IF(COUNTA(A295:C295,E295)&lt;4,"Ligne incomplète",IF(NOT(ISNUMBER(A295)),"Date invalide",IF(AND(B295&lt;&gt;"Entrée",B295&lt;&gt;"Sortie"),"Type inconnu",IF(ISNA(MATCH(C295,art_ref,0)),"Référence inconnue",IF(OR(NOT(ISNUMBER(E295)),N(E295)&lt;=0),"Quantité invalide",IF(K295&lt;0,"Stock négatif",IF(AND(ISNUMBER(A294),A295&lt;A294),"Date hors ordre","OK"))))))))</f>
        <v>OK</v>
      </c>
      <c r="M295" s="39" t="str">
        <f>IF(C295="","",C295&amp;"#"&amp;COUNTIF($C$5:C295,C295))</f>
        <v>FOR-HSS-8#18</v>
      </c>
    </row>
    <row r="296">
      <c r="A296" s="41" t="n">
        <v>46271</v>
      </c>
      <c r="B296" s="37" t="inlineStr">
        <is>
          <t>Sortie</t>
        </is>
      </c>
      <c r="C296" s="37" t="inlineStr">
        <is>
          <t>RON-M6</t>
        </is>
      </c>
      <c r="D296" s="39" t="str">
        <f>IF(C296="","",IFERROR(INDEX(art_des,MATCH(C296,art_ref,0))&amp;"","Référence inconnue"))</f>
        <v>Rondelle plate M6</v>
      </c>
      <c r="E296" s="37" t="n">
        <v>290</v>
      </c>
      <c r="F296" s="39" t="str">
        <f>IF(C296="","",IFERROR(INDEX(art_unit,MATCH(C296,art_ref,0))&amp;"",""))</f>
        <v>pièce</v>
      </c>
      <c r="G296" s="37" t="inlineStr">
        <is>
          <t>BS-2026-0260</t>
        </is>
      </c>
      <c r="H296" s="37" t="inlineStr">
        <is>
          <t>Atelier usinage</t>
        </is>
      </c>
      <c r="I296" s="37" t="n"/>
      <c r="J296" s="40">
        <f>IF(OR(C296="",NOT(ISNUMBER(E296))),"",IFERROR(E296*N(INDEX(art_price,MATCH(C296,art_ref,0))),""))</f>
        <v>8.7</v>
      </c>
      <c r="K296" s="39">
        <f>IF(OR(C296="",NOT(ISNUMBER(E296))),"",IFERROR(ROUND(N(INDEX(art_init,MATCH(C296,art_ref,0)))+SUMIFS($E$5:E296,$C$5:C296,C296,$B$5:B296,"Entrée")-SUMIFS($E$5:E296,$C$5:C296,C296,$B$5:B296,"Sortie"),6),""))</f>
        <v>955.0</v>
      </c>
      <c r="L296" s="39" t="str">
        <f>IF(COUNTA(A296:C296,E296)=0,"",IF(COUNTA(A296:C296,E296)&lt;4,"Ligne incomplète",IF(NOT(ISNUMBER(A296)),"Date invalide",IF(AND(B296&lt;&gt;"Entrée",B296&lt;&gt;"Sortie"),"Type inconnu",IF(ISNA(MATCH(C296,art_ref,0)),"Référence inconnue",IF(OR(NOT(ISNUMBER(E296)),N(E296)&lt;=0),"Quantité invalide",IF(K296&lt;0,"Stock négatif",IF(AND(ISNUMBER(A295),A296&lt;A295),"Date hors ordre","OK"))))))))</f>
        <v>OK</v>
      </c>
      <c r="M296" s="39" t="str">
        <f>IF(C296="","",C296&amp;"#"&amp;COUNTIF($C$5:C296,C296))</f>
        <v>RON-M6#19</v>
      </c>
    </row>
    <row r="297">
      <c r="A297" s="41" t="n">
        <v>46271</v>
      </c>
      <c r="B297" s="37" t="inlineStr">
        <is>
          <t>Sortie</t>
        </is>
      </c>
      <c r="C297" s="37" t="inlineStr">
        <is>
          <t>TOL-ACI-2</t>
        </is>
      </c>
      <c r="D297" s="39" t="str">
        <f>IF(C297="","",IFERROR(INDEX(art_des,MATCH(C297,art_ref,0))&amp;"","Référence inconnue"))</f>
        <v>Tôle acier 2 mm 1000 x 2000</v>
      </c>
      <c r="E297" s="37" t="n">
        <v>7</v>
      </c>
      <c r="F297" s="39" t="str">
        <f>IF(C297="","",IFERROR(INDEX(art_unit,MATCH(C297,art_ref,0))&amp;"",""))</f>
        <v>feuille</v>
      </c>
      <c r="G297" s="37" t="inlineStr">
        <is>
          <t>BS-2026-0261</t>
        </is>
      </c>
      <c r="H297" s="37" t="inlineStr">
        <is>
          <t>Maintenance</t>
        </is>
      </c>
      <c r="I297" s="37" t="n"/>
      <c r="J297" s="40">
        <f>IF(OR(C297="",NOT(ISNUMBER(E297))),"",IFERROR(E297*N(INDEX(art_price,MATCH(C297,art_ref,0))),""))</f>
        <v>339.5</v>
      </c>
      <c r="K297" s="39">
        <f>IF(OR(C297="",NOT(ISNUMBER(E297))),"",IFERROR(ROUND(N(INDEX(art_init,MATCH(C297,art_ref,0)))+SUMIFS($E$5:E297,$C$5:C297,C297,$B$5:B297,"Entrée")-SUMIFS($E$5:E297,$C$5:C297,C297,$B$5:B297,"Sortie"),6),""))</f>
        <v>53.0</v>
      </c>
      <c r="L297" s="39" t="str">
        <f>IF(COUNTA(A297:C297,E297)=0,"",IF(COUNTA(A297:C297,E297)&lt;4,"Ligne incomplète",IF(NOT(ISNUMBER(A297)),"Date invalide",IF(AND(B297&lt;&gt;"Entrée",B297&lt;&gt;"Sortie"),"Type inconnu",IF(ISNA(MATCH(C297,art_ref,0)),"Référence inconnue",IF(OR(NOT(ISNUMBER(E297)),N(E297)&lt;=0),"Quantité invalide",IF(K297&lt;0,"Stock négatif",IF(AND(ISNUMBER(A296),A297&lt;A296),"Date hors ordre","OK"))))))))</f>
        <v>OK</v>
      </c>
      <c r="M297" s="39" t="str">
        <f>IF(C297="","",C297&amp;"#"&amp;COUNTIF($C$5:C297,C297))</f>
        <v>TOL-ACI-2#20</v>
      </c>
    </row>
    <row r="298">
      <c r="A298" s="41" t="n">
        <v>46272</v>
      </c>
      <c r="B298" s="37" t="inlineStr">
        <is>
          <t>Entrée</t>
        </is>
      </c>
      <c r="C298" s="37" t="inlineStr">
        <is>
          <t>GAN-NIT</t>
        </is>
      </c>
      <c r="D298" s="39" t="str">
        <f>IF(C298="","",IFERROR(INDEX(art_des,MATCH(C298,art_ref,0))&amp;"","Référence inconnue"))</f>
        <v>Gants nitrile, boîte de 100</v>
      </c>
      <c r="E298" s="37" t="n">
        <v>22</v>
      </c>
      <c r="F298" s="39" t="str">
        <f>IF(C298="","",IFERROR(INDEX(art_unit,MATCH(C298,art_ref,0))&amp;"",""))</f>
        <v>boîte</v>
      </c>
      <c r="G298" s="37" t="inlineStr">
        <is>
          <t>BL-2026-033</t>
        </is>
      </c>
      <c r="H298" s="37" t="inlineStr">
        <is>
          <t>EPI Fournitures</t>
        </is>
      </c>
      <c r="I298" s="37" t="inlineStr">
        <is>
          <t>Réception commande</t>
        </is>
      </c>
      <c r="J298" s="40">
        <f>IF(OR(C298="",NOT(ISNUMBER(E298))),"",IFERROR(E298*N(INDEX(art_price,MATCH(C298,art_ref,0))),""))</f>
        <v>165.0</v>
      </c>
      <c r="K298" s="39">
        <f>IF(OR(C298="",NOT(ISNUMBER(E298))),"",IFERROR(ROUND(N(INDEX(art_init,MATCH(C298,art_ref,0)))+SUMIFS($E$5:E298,$C$5:C298,C298,$B$5:B298,"Entrée")-SUMIFS($E$5:E298,$C$5:C298,C298,$B$5:B298,"Sortie"),6),""))</f>
        <v>30.0</v>
      </c>
      <c r="L298" s="39" t="str">
        <f>IF(COUNTA(A298:C298,E298)=0,"",IF(COUNTA(A298:C298,E298)&lt;4,"Ligne incomplète",IF(NOT(ISNUMBER(A298)),"Date invalide",IF(AND(B298&lt;&gt;"Entrée",B298&lt;&gt;"Sortie"),"Type inconnu",IF(ISNA(MATCH(C298,art_ref,0)),"Référence inconnue",IF(OR(NOT(ISNUMBER(E298)),N(E298)&lt;=0),"Quantité invalide",IF(K298&lt;0,"Stock négatif",IF(AND(ISNUMBER(A297),A298&lt;A297),"Date hors ordre","OK"))))))))</f>
        <v>OK</v>
      </c>
      <c r="M298" s="39" t="str">
        <f>IF(C298="","",C298&amp;"#"&amp;COUNTIF($C$5:C298,C298))</f>
        <v>GAN-NIT#20</v>
      </c>
    </row>
    <row r="299">
      <c r="A299" s="41" t="n">
        <v>46272</v>
      </c>
      <c r="B299" s="37" t="inlineStr">
        <is>
          <t>Sortie</t>
        </is>
      </c>
      <c r="C299" s="37" t="inlineStr">
        <is>
          <t>BOR-WAGO-3</t>
        </is>
      </c>
      <c r="D299" s="39" t="str">
        <f>IF(C299="","",IFERROR(INDEX(art_des,MATCH(C299,art_ref,0))&amp;"","Référence inconnue"))</f>
        <v>Borne de connexion 3 entrées</v>
      </c>
      <c r="E299" s="37" t="n">
        <v>31</v>
      </c>
      <c r="F299" s="39" t="str">
        <f>IF(C299="","",IFERROR(INDEX(art_unit,MATCH(C299,art_ref,0))&amp;"",""))</f>
        <v>pièce</v>
      </c>
      <c r="G299" s="37" t="inlineStr">
        <is>
          <t>BS-2026-0262</t>
        </is>
      </c>
      <c r="H299" s="37" t="inlineStr">
        <is>
          <t>Atelier usinage</t>
        </is>
      </c>
      <c r="I299" s="37" t="n"/>
      <c r="J299" s="40">
        <f>IF(OR(C299="",NOT(ISNUMBER(E299))),"",IFERROR(E299*N(INDEX(art_price,MATCH(C299,art_ref,0))),""))</f>
        <v>13.02</v>
      </c>
      <c r="K299" s="39">
        <f>IF(OR(C299="",NOT(ISNUMBER(E299))),"",IFERROR(ROUND(N(INDEX(art_init,MATCH(C299,art_ref,0)))+SUMIFS($E$5:E299,$C$5:C299,C299,$B$5:B299,"Entrée")-SUMIFS($E$5:E299,$C$5:C299,C299,$B$5:B299,"Sortie"),6),""))</f>
        <v>220.0</v>
      </c>
      <c r="L299" s="39" t="str">
        <f>IF(COUNTA(A299:C299,E299)=0,"",IF(COUNTA(A299:C299,E299)&lt;4,"Ligne incomplète",IF(NOT(ISNUMBER(A299)),"Date invalide",IF(AND(B299&lt;&gt;"Entrée",B299&lt;&gt;"Sortie"),"Type inconnu",IF(ISNA(MATCH(C299,art_ref,0)),"Référence inconnue",IF(OR(NOT(ISNUMBER(E299)),N(E299)&lt;=0),"Quantité invalide",IF(K299&lt;0,"Stock négatif",IF(AND(ISNUMBER(A298),A299&lt;A298),"Date hors ordre","OK"))))))))</f>
        <v>OK</v>
      </c>
      <c r="M299" s="39" t="str">
        <f>IF(C299="","",C299&amp;"#"&amp;COUNTIF($C$5:C299,C299))</f>
        <v>BOR-WAGO-3#19</v>
      </c>
    </row>
    <row r="300">
      <c r="A300" s="41" t="n">
        <v>46272</v>
      </c>
      <c r="B300" s="37" t="inlineStr">
        <is>
          <t>Sortie</t>
        </is>
      </c>
      <c r="C300" s="37" t="inlineStr">
        <is>
          <t>DIS-125</t>
        </is>
      </c>
      <c r="D300" s="39" t="str">
        <f>IF(C300="","",IFERROR(INDEX(art_des,MATCH(C300,art_ref,0))&amp;"","Référence inconnue"))</f>
        <v>Disque à tronçonner 125 mm</v>
      </c>
      <c r="E300" s="37" t="n">
        <v>20</v>
      </c>
      <c r="F300" s="39" t="str">
        <f>IF(C300="","",IFERROR(INDEX(art_unit,MATCH(C300,art_ref,0))&amp;"",""))</f>
        <v>pièce</v>
      </c>
      <c r="G300" s="37" t="inlineStr">
        <is>
          <t>BS-2026-0263</t>
        </is>
      </c>
      <c r="H300" s="37" t="inlineStr">
        <is>
          <t>Expédition</t>
        </is>
      </c>
      <c r="I300" s="37" t="n"/>
      <c r="J300" s="40">
        <f>IF(OR(C300="",NOT(ISNUMBER(E300))),"",IFERROR(E300*N(INDEX(art_price,MATCH(C300,art_ref,0))),""))</f>
        <v>38.0</v>
      </c>
      <c r="K300" s="39">
        <f>IF(OR(C300="",NOT(ISNUMBER(E300))),"",IFERROR(ROUND(N(INDEX(art_init,MATCH(C300,art_ref,0)))+SUMIFS($E$5:E300,$C$5:C300,C300,$B$5:B300,"Entrée")-SUMIFS($E$5:E300,$C$5:C300,C300,$B$5:B300,"Sortie"),6),""))</f>
        <v>88.0</v>
      </c>
      <c r="L300" s="39" t="str">
        <f>IF(COUNTA(A300:C300,E300)=0,"",IF(COUNTA(A300:C300,E300)&lt;4,"Ligne incomplète",IF(NOT(ISNUMBER(A300)),"Date invalide",IF(AND(B300&lt;&gt;"Entrée",B300&lt;&gt;"Sortie"),"Type inconnu",IF(ISNA(MATCH(C300,art_ref,0)),"Référence inconnue",IF(OR(NOT(ISNUMBER(E300)),N(E300)&lt;=0),"Quantité invalide",IF(K300&lt;0,"Stock négatif",IF(AND(ISNUMBER(A299),A300&lt;A299),"Date hors ordre","OK"))))))))</f>
        <v>OK</v>
      </c>
      <c r="M300" s="39" t="str">
        <f>IF(C300="","",C300&amp;"#"&amp;COUNTIF($C$5:C300,C300))</f>
        <v>DIS-125#19</v>
      </c>
    </row>
    <row r="301">
      <c r="A301" s="41" t="n">
        <v>46273</v>
      </c>
      <c r="B301" s="37" t="inlineStr">
        <is>
          <t>Sortie</t>
        </is>
      </c>
      <c r="C301" s="37" t="inlineStr">
        <is>
          <t>PAL-120</t>
        </is>
      </c>
      <c r="D301" s="39" t="str">
        <f>IF(C301="","",IFERROR(INDEX(art_des,MATCH(C301,art_ref,0))&amp;"","Référence inconnue"))</f>
        <v>Palette bois 120 x 80</v>
      </c>
      <c r="E301" s="37" t="n">
        <v>7</v>
      </c>
      <c r="F301" s="39" t="str">
        <f>IF(C301="","",IFERROR(INDEX(art_unit,MATCH(C301,art_ref,0))&amp;"",""))</f>
        <v>pièce</v>
      </c>
      <c r="G301" s="37" t="inlineStr">
        <is>
          <t>BS-2026-0264</t>
        </is>
      </c>
      <c r="H301" s="37" t="inlineStr">
        <is>
          <t>Atelier montage</t>
        </is>
      </c>
      <c r="I301" s="37" t="n"/>
      <c r="J301" s="40">
        <f>IF(OR(C301="",NOT(ISNUMBER(E301))),"",IFERROR(E301*N(INDEX(art_price,MATCH(C301,art_ref,0))),""))</f>
        <v>63.0</v>
      </c>
      <c r="K301" s="39">
        <f>IF(OR(C301="",NOT(ISNUMBER(E301))),"",IFERROR(ROUND(N(INDEX(art_init,MATCH(C301,art_ref,0)))+SUMIFS($E$5:E301,$C$5:C301,C301,$B$5:B301,"Entrée")-SUMIFS($E$5:E301,$C$5:C301,C301,$B$5:B301,"Sortie"),6),""))</f>
        <v>12.0</v>
      </c>
      <c r="L301" s="39" t="str">
        <f>IF(COUNTA(A301:C301,E301)=0,"",IF(COUNTA(A301:C301,E301)&lt;4,"Ligne incomplète",IF(NOT(ISNUMBER(A301)),"Date invalide",IF(AND(B301&lt;&gt;"Entrée",B301&lt;&gt;"Sortie"),"Type inconnu",IF(ISNA(MATCH(C301,art_ref,0)),"Référence inconnue",IF(OR(NOT(ISNUMBER(E301)),N(E301)&lt;=0),"Quantité invalide",IF(K301&lt;0,"Stock négatif",IF(AND(ISNUMBER(A300),A301&lt;A300),"Date hors ordre","OK"))))))))</f>
        <v>OK</v>
      </c>
      <c r="M301" s="39" t="str">
        <f>IF(C301="","",C301&amp;"#"&amp;COUNTIF($C$5:C301,C301))</f>
        <v>PAL-120#19</v>
      </c>
    </row>
    <row r="302">
      <c r="A302" s="41" t="n">
        <v>46273</v>
      </c>
      <c r="B302" s="37" t="inlineStr">
        <is>
          <t>Sortie</t>
        </is>
      </c>
      <c r="C302" s="37" t="inlineStr">
        <is>
          <t>VIS-M6-20</t>
        </is>
      </c>
      <c r="D302" s="39" t="str">
        <f>IF(C302="","",IFERROR(INDEX(art_des,MATCH(C302,art_ref,0))&amp;"","Référence inconnue"))</f>
        <v>Vis inox M6 x 20</v>
      </c>
      <c r="E302" s="37" t="n">
        <v>368</v>
      </c>
      <c r="F302" s="39" t="str">
        <f>IF(C302="","",IFERROR(INDEX(art_unit,MATCH(C302,art_ref,0))&amp;"",""))</f>
        <v>pièce</v>
      </c>
      <c r="G302" s="37" t="inlineStr">
        <is>
          <t>BS-2026-0265</t>
        </is>
      </c>
      <c r="H302" s="37" t="inlineStr">
        <is>
          <t>Atelier montage</t>
        </is>
      </c>
      <c r="I302" s="37" t="n"/>
      <c r="J302" s="40">
        <f>IF(OR(C302="",NOT(ISNUMBER(E302))),"",IFERROR(E302*N(INDEX(art_price,MATCH(C302,art_ref,0))),""))</f>
        <v>44.16</v>
      </c>
      <c r="K302" s="39">
        <f>IF(OR(C302="",NOT(ISNUMBER(E302))),"",IFERROR(ROUND(N(INDEX(art_init,MATCH(C302,art_ref,0)))+SUMIFS($E$5:E302,$C$5:C302,C302,$B$5:B302,"Entrée")-SUMIFS($E$5:E302,$C$5:C302,C302,$B$5:B302,"Sortie"),6),""))</f>
        <v>1919.0</v>
      </c>
      <c r="L302" s="39" t="str">
        <f>IF(COUNTA(A302:C302,E302)=0,"",IF(COUNTA(A302:C302,E302)&lt;4,"Ligne incomplète",IF(NOT(ISNUMBER(A302)),"Date invalide",IF(AND(B302&lt;&gt;"Entrée",B302&lt;&gt;"Sortie"),"Type inconnu",IF(ISNA(MATCH(C302,art_ref,0)),"Référence inconnue",IF(OR(NOT(ISNUMBER(E302)),N(E302)&lt;=0),"Quantité invalide",IF(K302&lt;0,"Stock négatif",IF(AND(ISNUMBER(A301),A302&lt;A301),"Date hors ordre","OK"))))))))</f>
        <v>OK</v>
      </c>
      <c r="M302" s="39" t="str">
        <f>IF(C302="","",C302&amp;"#"&amp;COUNTIF($C$5:C302,C302))</f>
        <v>VIS-M6-20#19</v>
      </c>
    </row>
    <row r="303">
      <c r="A303" s="41" t="n">
        <v>46275</v>
      </c>
      <c r="B303" s="37" t="inlineStr">
        <is>
          <t>Sortie</t>
        </is>
      </c>
      <c r="C303" s="37" t="inlineStr">
        <is>
          <t>ROU-6204</t>
        </is>
      </c>
      <c r="D303" s="39" t="str">
        <f>IF(C303="","",IFERROR(INDEX(art_des,MATCH(C303,art_ref,0))&amp;"","Référence inconnue"))</f>
        <v>Roulement à billes 6204 2RS</v>
      </c>
      <c r="E303" s="37" t="n">
        <v>15</v>
      </c>
      <c r="F303" s="39" t="str">
        <f>IF(C303="","",IFERROR(INDEX(art_unit,MATCH(C303,art_ref,0))&amp;"",""))</f>
        <v>pièce</v>
      </c>
      <c r="G303" s="37" t="inlineStr">
        <is>
          <t>BS-2026-0266</t>
        </is>
      </c>
      <c r="H303" s="37" t="inlineStr">
        <is>
          <t>Expédition</t>
        </is>
      </c>
      <c r="I303" s="37" t="n"/>
      <c r="J303" s="40">
        <f>IF(OR(C303="",NOT(ISNUMBER(E303))),"",IFERROR(E303*N(INDEX(art_price,MATCH(C303,art_ref,0))),""))</f>
        <v>57.0</v>
      </c>
      <c r="K303" s="39">
        <f>IF(OR(C303="",NOT(ISNUMBER(E303))),"",IFERROR(ROUND(N(INDEX(art_init,MATCH(C303,art_ref,0)))+SUMIFS($E$5:E303,$C$5:C303,C303,$B$5:B303,"Entrée")-SUMIFS($E$5:E303,$C$5:C303,C303,$B$5:B303,"Sortie"),6),""))</f>
        <v>43.0</v>
      </c>
      <c r="L303" s="39" t="str">
        <f>IF(COUNTA(A303:C303,E303)=0,"",IF(COUNTA(A303:C303,E303)&lt;4,"Ligne incomplète",IF(NOT(ISNUMBER(A303)),"Date invalide",IF(AND(B303&lt;&gt;"Entrée",B303&lt;&gt;"Sortie"),"Type inconnu",IF(ISNA(MATCH(C303,art_ref,0)),"Référence inconnue",IF(OR(NOT(ISNUMBER(E303)),N(E303)&lt;=0),"Quantité invalide",IF(K303&lt;0,"Stock négatif",IF(AND(ISNUMBER(A302),A303&lt;A302),"Date hors ordre","OK"))))))))</f>
        <v>OK</v>
      </c>
      <c r="M303" s="39" t="str">
        <f>IF(C303="","",C303&amp;"#"&amp;COUNTIF($C$5:C303,C303))</f>
        <v>ROU-6204#19</v>
      </c>
    </row>
    <row r="304">
      <c r="A304" s="41" t="n">
        <v>46275</v>
      </c>
      <c r="B304" s="37" t="inlineStr">
        <is>
          <t>Sortie</t>
        </is>
      </c>
      <c r="C304" s="37" t="inlineStr">
        <is>
          <t>RUB-50</t>
        </is>
      </c>
      <c r="D304" s="39" t="str">
        <f>IF(C304="","",IFERROR(INDEX(art_des,MATCH(C304,art_ref,0))&amp;"","Référence inconnue"))</f>
        <v>Ruban adhésif 50 mm x 66 m</v>
      </c>
      <c r="E304" s="37" t="n">
        <v>10</v>
      </c>
      <c r="F304" s="39" t="str">
        <f>IF(C304="","",IFERROR(INDEX(art_unit,MATCH(C304,art_ref,0))&amp;"",""))</f>
        <v>rouleau</v>
      </c>
      <c r="G304" s="37" t="inlineStr">
        <is>
          <t>BS-2026-0267</t>
        </is>
      </c>
      <c r="H304" s="37" t="inlineStr">
        <is>
          <t>Atelier montage</t>
        </is>
      </c>
      <c r="I304" s="37" t="n"/>
      <c r="J304" s="40">
        <f>IF(OR(C304="",NOT(ISNUMBER(E304))),"",IFERROR(E304*N(INDEX(art_price,MATCH(C304,art_ref,0))),""))</f>
        <v>14.0</v>
      </c>
      <c r="K304" s="39">
        <f>IF(OR(C304="",NOT(ISNUMBER(E304))),"",IFERROR(ROUND(N(INDEX(art_init,MATCH(C304,art_ref,0)))+SUMIFS($E$5:E304,$C$5:C304,C304,$B$5:B304,"Entrée")-SUMIFS($E$5:E304,$C$5:C304,C304,$B$5:B304,"Sortie"),6),""))</f>
        <v>46.0</v>
      </c>
      <c r="L304" s="39" t="str">
        <f>IF(COUNTA(A304:C304,E304)=0,"",IF(COUNTA(A304:C304,E304)&lt;4,"Ligne incomplète",IF(NOT(ISNUMBER(A304)),"Date invalide",IF(AND(B304&lt;&gt;"Entrée",B304&lt;&gt;"Sortie"),"Type inconnu",IF(ISNA(MATCH(C304,art_ref,0)),"Référence inconnue",IF(OR(NOT(ISNUMBER(E304)),N(E304)&lt;=0),"Quantité invalide",IF(K304&lt;0,"Stock négatif",IF(AND(ISNUMBER(A303),A304&lt;A303),"Date hors ordre","OK"))))))))</f>
        <v>OK</v>
      </c>
      <c r="M304" s="39" t="str">
        <f>IF(C304="","",C304&amp;"#"&amp;COUNTIF($C$5:C304,C304))</f>
        <v>RUB-50#19</v>
      </c>
    </row>
    <row r="305">
      <c r="A305" s="41" t="n">
        <v>46276</v>
      </c>
      <c r="B305" s="37" t="inlineStr">
        <is>
          <t>Entrée</t>
        </is>
      </c>
      <c r="C305" s="37" t="inlineStr">
        <is>
          <t>PAL-120</t>
        </is>
      </c>
      <c r="D305" s="39" t="str">
        <f>IF(C305="","",IFERROR(INDEX(art_des,MATCH(C305,art_ref,0))&amp;"","Référence inconnue"))</f>
        <v>Palette bois 120 x 80</v>
      </c>
      <c r="E305" s="37" t="n">
        <v>38</v>
      </c>
      <c r="F305" s="39" t="str">
        <f>IF(C305="","",IFERROR(INDEX(art_unit,MATCH(C305,art_ref,0))&amp;"",""))</f>
        <v>pièce</v>
      </c>
      <c r="G305" s="37" t="inlineStr">
        <is>
          <t>BL-2026-034</t>
        </is>
      </c>
      <c r="H305" s="37" t="inlineStr">
        <is>
          <t>Emballages Atlas</t>
        </is>
      </c>
      <c r="I305" s="37" t="inlineStr">
        <is>
          <t>Réception commande</t>
        </is>
      </c>
      <c r="J305" s="40">
        <f>IF(OR(C305="",NOT(ISNUMBER(E305))),"",IFERROR(E305*N(INDEX(art_price,MATCH(C305,art_ref,0))),""))</f>
        <v>342.0</v>
      </c>
      <c r="K305" s="39">
        <f>IF(OR(C305="",NOT(ISNUMBER(E305))),"",IFERROR(ROUND(N(INDEX(art_init,MATCH(C305,art_ref,0)))+SUMIFS($E$5:E305,$C$5:C305,C305,$B$5:B305,"Entrée")-SUMIFS($E$5:E305,$C$5:C305,C305,$B$5:B305,"Sortie"),6),""))</f>
        <v>50.0</v>
      </c>
      <c r="L305" s="39" t="str">
        <f>IF(COUNTA(A305:C305,E305)=0,"",IF(COUNTA(A305:C305,E305)&lt;4,"Ligne incomplète",IF(NOT(ISNUMBER(A305)),"Date invalide",IF(AND(B305&lt;&gt;"Entrée",B305&lt;&gt;"Sortie"),"Type inconnu",IF(ISNA(MATCH(C305,art_ref,0)),"Référence inconnue",IF(OR(NOT(ISNUMBER(E305)),N(E305)&lt;=0),"Quantité invalide",IF(K305&lt;0,"Stock négatif",IF(AND(ISNUMBER(A304),A305&lt;A304),"Date hors ordre","OK"))))))))</f>
        <v>OK</v>
      </c>
      <c r="M305" s="39" t="str">
        <f>IF(C305="","",C305&amp;"#"&amp;COUNTIF($C$5:C305,C305))</f>
        <v>PAL-120#20</v>
      </c>
    </row>
    <row r="306">
      <c r="A306" s="41" t="n">
        <v>46276</v>
      </c>
      <c r="B306" s="37" t="inlineStr">
        <is>
          <t>Sortie</t>
        </is>
      </c>
      <c r="C306" s="37" t="inlineStr">
        <is>
          <t>HUI-COUP-5</t>
        </is>
      </c>
      <c r="D306" s="39" t="str">
        <f>IF(C306="","",IFERROR(INDEX(art_des,MATCH(C306,art_ref,0))&amp;"","Référence inconnue"))</f>
        <v>Huile de coupe soluble 5 L</v>
      </c>
      <c r="E306" s="37" t="n">
        <v>1</v>
      </c>
      <c r="F306" s="39" t="str">
        <f>IF(C306="","",IFERROR(INDEX(art_unit,MATCH(C306,art_ref,0))&amp;"",""))</f>
        <v>bidon</v>
      </c>
      <c r="G306" s="37" t="inlineStr">
        <is>
          <t>BS-2026-0268</t>
        </is>
      </c>
      <c r="H306" s="37" t="inlineStr">
        <is>
          <t>Maintenance</t>
        </is>
      </c>
      <c r="I306" s="37" t="n"/>
      <c r="J306" s="40">
        <f>IF(OR(C306="",NOT(ISNUMBER(E306))),"",IFERROR(E306*N(INDEX(art_price,MATCH(C306,art_ref,0))),""))</f>
        <v>27.0</v>
      </c>
      <c r="K306" s="39">
        <f>IF(OR(C306="",NOT(ISNUMBER(E306))),"",IFERROR(ROUND(N(INDEX(art_init,MATCH(C306,art_ref,0)))+SUMIFS($E$5:E306,$C$5:C306,C306,$B$5:B306,"Entrée")-SUMIFS($E$5:E306,$C$5:C306,C306,$B$5:B306,"Sortie"),6),""))</f>
        <v>13.0</v>
      </c>
      <c r="L306" s="39" t="str">
        <f>IF(COUNTA(A306:C306,E306)=0,"",IF(COUNTA(A306:C306,E306)&lt;4,"Ligne incomplète",IF(NOT(ISNUMBER(A306)),"Date invalide",IF(AND(B306&lt;&gt;"Entrée",B306&lt;&gt;"Sortie"),"Type inconnu",IF(ISNA(MATCH(C306,art_ref,0)),"Référence inconnue",IF(OR(NOT(ISNUMBER(E306)),N(E306)&lt;=0),"Quantité invalide",IF(K306&lt;0,"Stock négatif",IF(AND(ISNUMBER(A305),A306&lt;A305),"Date hors ordre","OK"))))))))</f>
        <v>OK</v>
      </c>
      <c r="M306" s="39" t="str">
        <f>IF(C306="","",C306&amp;"#"&amp;COUNTIF($C$5:C306,C306))</f>
        <v>HUI-COUP-5#19</v>
      </c>
    </row>
    <row r="307">
      <c r="A307" s="41" t="n">
        <v>46276</v>
      </c>
      <c r="B307" s="37" t="inlineStr">
        <is>
          <t>Sortie</t>
        </is>
      </c>
      <c r="C307" s="37" t="inlineStr">
        <is>
          <t>JOI-20-2</t>
        </is>
      </c>
      <c r="D307" s="39" t="str">
        <f>IF(C307="","",IFERROR(INDEX(art_des,MATCH(C307,art_ref,0))&amp;"","Référence inconnue"))</f>
        <v>Joint torique 20 x 2 NBR</v>
      </c>
      <c r="E307" s="37" t="n">
        <v>45</v>
      </c>
      <c r="F307" s="39" t="str">
        <f>IF(C307="","",IFERROR(INDEX(art_unit,MATCH(C307,art_ref,0))&amp;"",""))</f>
        <v>pièce</v>
      </c>
      <c r="G307" s="37" t="inlineStr">
        <is>
          <t>BS-2026-0269</t>
        </is>
      </c>
      <c r="H307" s="37" t="inlineStr">
        <is>
          <t>Atelier soudure</t>
        </is>
      </c>
      <c r="I307" s="37" t="n"/>
      <c r="J307" s="40">
        <f>IF(OR(C307="",NOT(ISNUMBER(E307))),"",IFERROR(E307*N(INDEX(art_price,MATCH(C307,art_ref,0))),""))</f>
        <v>15.75</v>
      </c>
      <c r="K307" s="39">
        <f>IF(OR(C307="",NOT(ISNUMBER(E307))),"",IFERROR(ROUND(N(INDEX(art_init,MATCH(C307,art_ref,0)))+SUMIFS($E$5:E307,$C$5:C307,C307,$B$5:B307,"Entrée")-SUMIFS($E$5:E307,$C$5:C307,C307,$B$5:B307,"Sortie"),6),""))</f>
        <v>372.0</v>
      </c>
      <c r="L307" s="39" t="str">
        <f>IF(COUNTA(A307:C307,E307)=0,"",IF(COUNTA(A307:C307,E307)&lt;4,"Ligne incomplète",IF(NOT(ISNUMBER(A307)),"Date invalide",IF(AND(B307&lt;&gt;"Entrée",B307&lt;&gt;"Sortie"),"Type inconnu",IF(ISNA(MATCH(C307,art_ref,0)),"Référence inconnue",IF(OR(NOT(ISNUMBER(E307)),N(E307)&lt;=0),"Quantité invalide",IF(K307&lt;0,"Stock négatif",IF(AND(ISNUMBER(A306),A307&lt;A306),"Date hors ordre","OK"))))))))</f>
        <v>OK</v>
      </c>
      <c r="M307" s="39" t="str">
        <f>IF(C307="","",C307&amp;"#"&amp;COUNTIF($C$5:C307,C307))</f>
        <v>JOI-20-2#19</v>
      </c>
    </row>
    <row r="308">
      <c r="A308" s="41" t="n">
        <v>46276</v>
      </c>
      <c r="B308" s="37" t="inlineStr">
        <is>
          <t>Sortie</t>
        </is>
      </c>
      <c r="C308" s="37" t="inlineStr">
        <is>
          <t>TUB-ACI-40</t>
        </is>
      </c>
      <c r="D308" s="39" t="str">
        <f>IF(C308="","",IFERROR(INDEX(art_des,MATCH(C308,art_ref,0))&amp;"","Référence inconnue"))</f>
        <v>Tube acier carré 40 x 40, 6 m</v>
      </c>
      <c r="E308" s="37" t="n">
        <v>4</v>
      </c>
      <c r="F308" s="39" t="str">
        <f>IF(C308="","",IFERROR(INDEX(art_unit,MATCH(C308,art_ref,0))&amp;"",""))</f>
        <v>barre</v>
      </c>
      <c r="G308" s="37" t="inlineStr">
        <is>
          <t>BS-2026-0270</t>
        </is>
      </c>
      <c r="H308" s="37" t="inlineStr">
        <is>
          <t>Atelier soudure</t>
        </is>
      </c>
      <c r="I308" s="37" t="n"/>
      <c r="J308" s="40">
        <f>IF(OR(C308="",NOT(ISNUMBER(E308))),"",IFERROR(E308*N(INDEX(art_price,MATCH(C308,art_ref,0))),""))</f>
        <v>124.8</v>
      </c>
      <c r="K308" s="39">
        <f>IF(OR(C308="",NOT(ISNUMBER(E308))),"",IFERROR(ROUND(N(INDEX(art_init,MATCH(C308,art_ref,0)))+SUMIFS($E$5:E308,$C$5:C308,C308,$B$5:B308,"Entrée")-SUMIFS($E$5:E308,$C$5:C308,C308,$B$5:B308,"Sortie"),6),""))</f>
        <v>19.0</v>
      </c>
      <c r="L308" s="39" t="str">
        <f>IF(COUNTA(A308:C308,E308)=0,"",IF(COUNTA(A308:C308,E308)&lt;4,"Ligne incomplète",IF(NOT(ISNUMBER(A308)),"Date invalide",IF(AND(B308&lt;&gt;"Entrée",B308&lt;&gt;"Sortie"),"Type inconnu",IF(ISNA(MATCH(C308,art_ref,0)),"Référence inconnue",IF(OR(NOT(ISNUMBER(E308)),N(E308)&lt;=0),"Quantité invalide",IF(K308&lt;0,"Stock négatif",IF(AND(ISNUMBER(A307),A308&lt;A307),"Date hors ordre","OK"))))))))</f>
        <v>OK</v>
      </c>
      <c r="M308" s="39" t="str">
        <f>IF(C308="","",C308&amp;"#"&amp;COUNTIF($C$5:C308,C308))</f>
        <v>TUB-ACI-40#19</v>
      </c>
    </row>
    <row r="309">
      <c r="A309" s="41" t="n">
        <v>46278</v>
      </c>
      <c r="B309" s="37" t="inlineStr">
        <is>
          <t>Sortie</t>
        </is>
      </c>
      <c r="C309" s="37" t="inlineStr">
        <is>
          <t>CAB-2.5</t>
        </is>
      </c>
      <c r="D309" s="39" t="str">
        <f>IF(C309="","",IFERROR(INDEX(art_des,MATCH(C309,art_ref,0))&amp;"","Référence inconnue"))</f>
        <v>Câble électrique 2,5 mm²</v>
      </c>
      <c r="E309" s="37" t="n">
        <v>43</v>
      </c>
      <c r="F309" s="39" t="str">
        <f>IF(C309="","",IFERROR(INDEX(art_unit,MATCH(C309,art_ref,0))&amp;"",""))</f>
        <v>m</v>
      </c>
      <c r="G309" s="37" t="inlineStr">
        <is>
          <t>BS-2026-0271</t>
        </is>
      </c>
      <c r="H309" s="37" t="inlineStr">
        <is>
          <t>Atelier montage</t>
        </is>
      </c>
      <c r="I309" s="37" t="n"/>
      <c r="J309" s="40">
        <f>IF(OR(C309="",NOT(ISNUMBER(E309))),"",IFERROR(E309*N(INDEX(art_price,MATCH(C309,art_ref,0))),""))</f>
        <v>29.24</v>
      </c>
      <c r="K309" s="39">
        <f>IF(OR(C309="",NOT(ISNUMBER(E309))),"",IFERROR(ROUND(N(INDEX(art_init,MATCH(C309,art_ref,0)))+SUMIFS($E$5:E309,$C$5:C309,C309,$B$5:B309,"Entrée")-SUMIFS($E$5:E309,$C$5:C309,C309,$B$5:B309,"Sortie"),6),""))</f>
        <v>408.0</v>
      </c>
      <c r="L309" s="39" t="str">
        <f>IF(COUNTA(A309:C309,E309)=0,"",IF(COUNTA(A309:C309,E309)&lt;4,"Ligne incomplète",IF(NOT(ISNUMBER(A309)),"Date invalide",IF(AND(B309&lt;&gt;"Entrée",B309&lt;&gt;"Sortie"),"Type inconnu",IF(ISNA(MATCH(C309,art_ref,0)),"Référence inconnue",IF(OR(NOT(ISNUMBER(E309)),N(E309)&lt;=0),"Quantité invalide",IF(K309&lt;0,"Stock négatif",IF(AND(ISNUMBER(A308),A309&lt;A308),"Date hors ordre","OK"))))))))</f>
        <v>OK</v>
      </c>
      <c r="M309" s="39" t="str">
        <f>IF(C309="","",C309&amp;"#"&amp;COUNTIF($C$5:C309,C309))</f>
        <v>CAB-2.5#19</v>
      </c>
    </row>
    <row r="310">
      <c r="A310" s="41" t="n">
        <v>46278</v>
      </c>
      <c r="B310" s="37" t="inlineStr">
        <is>
          <t>Sortie</t>
        </is>
      </c>
      <c r="C310" s="37" t="inlineStr">
        <is>
          <t>CAR-40-30</t>
        </is>
      </c>
      <c r="D310" s="39" t="str">
        <f>IF(C310="","",IFERROR(INDEX(art_des,MATCH(C310,art_ref,0))&amp;"","Référence inconnue"))</f>
        <v>Carton double cannelure 40 x 30 x 20</v>
      </c>
      <c r="E310" s="37" t="n">
        <v>102</v>
      </c>
      <c r="F310" s="39" t="str">
        <f>IF(C310="","",IFERROR(INDEX(art_unit,MATCH(C310,art_ref,0))&amp;"",""))</f>
        <v>pièce</v>
      </c>
      <c r="G310" s="37" t="inlineStr">
        <is>
          <t>BS-2026-0272</t>
        </is>
      </c>
      <c r="H310" s="37" t="inlineStr">
        <is>
          <t>Expédition</t>
        </is>
      </c>
      <c r="I310" s="37" t="n"/>
      <c r="J310" s="40">
        <f>IF(OR(C310="",NOT(ISNUMBER(E310))),"",IFERROR(E310*N(INDEX(art_price,MATCH(C310,art_ref,0))),""))</f>
        <v>96.9</v>
      </c>
      <c r="K310" s="39">
        <f>IF(OR(C310="",NOT(ISNUMBER(E310))),"",IFERROR(ROUND(N(INDEX(art_init,MATCH(C310,art_ref,0)))+SUMIFS($E$5:E310,$C$5:C310,C310,$B$5:B310,"Entrée")-SUMIFS($E$5:E310,$C$5:C310,C310,$B$5:B310,"Sortie"),6),""))</f>
        <v>191.0</v>
      </c>
      <c r="L310" s="39" t="str">
        <f>IF(COUNTA(A310:C310,E310)=0,"",IF(COUNTA(A310:C310,E310)&lt;4,"Ligne incomplète",IF(NOT(ISNUMBER(A310)),"Date invalide",IF(AND(B310&lt;&gt;"Entrée",B310&lt;&gt;"Sortie"),"Type inconnu",IF(ISNA(MATCH(C310,art_ref,0)),"Référence inconnue",IF(OR(NOT(ISNUMBER(E310)),N(E310)&lt;=0),"Quantité invalide",IF(K310&lt;0,"Stock négatif",IF(AND(ISNUMBER(A309),A310&lt;A309),"Date hors ordre","OK"))))))))</f>
        <v>OK</v>
      </c>
      <c r="M310" s="39" t="str">
        <f>IF(C310="","",C310&amp;"#"&amp;COUNTIF($C$5:C310,C310))</f>
        <v>CAR-40-30#19</v>
      </c>
    </row>
    <row r="311">
      <c r="A311" s="41" t="n">
        <v>46281</v>
      </c>
      <c r="B311" s="37" t="inlineStr">
        <is>
          <t>Entrée</t>
        </is>
      </c>
      <c r="C311" s="37" t="inlineStr">
        <is>
          <t>CAR-40-30</t>
        </is>
      </c>
      <c r="D311" s="39" t="str">
        <f>IF(C311="","",IFERROR(INDEX(art_des,MATCH(C311,art_ref,0))&amp;"","Référence inconnue"))</f>
        <v>Carton double cannelure 40 x 30 x 20</v>
      </c>
      <c r="E311" s="37" t="n">
        <v>609</v>
      </c>
      <c r="F311" s="39" t="str">
        <f>IF(C311="","",IFERROR(INDEX(art_unit,MATCH(C311,art_ref,0))&amp;"",""))</f>
        <v>pièce</v>
      </c>
      <c r="G311" s="37" t="inlineStr">
        <is>
          <t>BL-2026-035</t>
        </is>
      </c>
      <c r="H311" s="37" t="inlineStr">
        <is>
          <t>Emballages Atlas</t>
        </is>
      </c>
      <c r="I311" s="37" t="inlineStr">
        <is>
          <t>Réception commande</t>
        </is>
      </c>
      <c r="J311" s="40">
        <f>IF(OR(C311="",NOT(ISNUMBER(E311))),"",IFERROR(E311*N(INDEX(art_price,MATCH(C311,art_ref,0))),""))</f>
        <v>578.55</v>
      </c>
      <c r="K311" s="39">
        <f>IF(OR(C311="",NOT(ISNUMBER(E311))),"",IFERROR(ROUND(N(INDEX(art_init,MATCH(C311,art_ref,0)))+SUMIFS($E$5:E311,$C$5:C311,C311,$B$5:B311,"Entrée")-SUMIFS($E$5:E311,$C$5:C311,C311,$B$5:B311,"Sortie"),6),""))</f>
        <v>800.0</v>
      </c>
      <c r="L311" s="39" t="str">
        <f>IF(COUNTA(A311:C311,E311)=0,"",IF(COUNTA(A311:C311,E311)&lt;4,"Ligne incomplète",IF(NOT(ISNUMBER(A311)),"Date invalide",IF(AND(B311&lt;&gt;"Entrée",B311&lt;&gt;"Sortie"),"Type inconnu",IF(ISNA(MATCH(C311,art_ref,0)),"Référence inconnue",IF(OR(NOT(ISNUMBER(E311)),N(E311)&lt;=0),"Quantité invalide",IF(K311&lt;0,"Stock négatif",IF(AND(ISNUMBER(A310),A311&lt;A310),"Date hors ordre","OK"))))))))</f>
        <v>OK</v>
      </c>
      <c r="M311" s="39" t="str">
        <f>IF(C311="","",C311&amp;"#"&amp;COUNTIF($C$5:C311,C311))</f>
        <v>CAR-40-30#20</v>
      </c>
    </row>
    <row r="312">
      <c r="A312" s="41" t="n">
        <v>46281</v>
      </c>
      <c r="B312" s="37" t="inlineStr">
        <is>
          <t>Sortie</t>
        </is>
      </c>
      <c r="C312" s="37" t="inlineStr">
        <is>
          <t>TOL-ACI-2</t>
        </is>
      </c>
      <c r="D312" s="39" t="str">
        <f>IF(C312="","",IFERROR(INDEX(art_des,MATCH(C312,art_ref,0))&amp;"","Référence inconnue"))</f>
        <v>Tôle acier 2 mm 1000 x 2000</v>
      </c>
      <c r="E312" s="37" t="n">
        <v>8</v>
      </c>
      <c r="F312" s="39" t="str">
        <f>IF(C312="","",IFERROR(INDEX(art_unit,MATCH(C312,art_ref,0))&amp;"",""))</f>
        <v>feuille</v>
      </c>
      <c r="G312" s="37" t="inlineStr">
        <is>
          <t>BS-2026-0273</t>
        </is>
      </c>
      <c r="H312" s="37" t="inlineStr">
        <is>
          <t>Atelier montage</t>
        </is>
      </c>
      <c r="I312" s="37" t="n"/>
      <c r="J312" s="40">
        <f>IF(OR(C312="",NOT(ISNUMBER(E312))),"",IFERROR(E312*N(INDEX(art_price,MATCH(C312,art_ref,0))),""))</f>
        <v>388.0</v>
      </c>
      <c r="K312" s="39">
        <f>IF(OR(C312="",NOT(ISNUMBER(E312))),"",IFERROR(ROUND(N(INDEX(art_init,MATCH(C312,art_ref,0)))+SUMIFS($E$5:E312,$C$5:C312,C312,$B$5:B312,"Entrée")-SUMIFS($E$5:E312,$C$5:C312,C312,$B$5:B312,"Sortie"),6),""))</f>
        <v>45.0</v>
      </c>
      <c r="L312" s="39" t="str">
        <f>IF(COUNTA(A312:C312,E312)=0,"",IF(COUNTA(A312:C312,E312)&lt;4,"Ligne incomplète",IF(NOT(ISNUMBER(A312)),"Date invalide",IF(AND(B312&lt;&gt;"Entrée",B312&lt;&gt;"Sortie"),"Type inconnu",IF(ISNA(MATCH(C312,art_ref,0)),"Référence inconnue",IF(OR(NOT(ISNUMBER(E312)),N(E312)&lt;=0),"Quantité invalide",IF(K312&lt;0,"Stock négatif",IF(AND(ISNUMBER(A311),A312&lt;A311),"Date hors ordre","OK"))))))))</f>
        <v>OK</v>
      </c>
      <c r="M312" s="39" t="str">
        <f>IF(C312="","",C312&amp;"#"&amp;COUNTIF($C$5:C312,C312))</f>
        <v>TOL-ACI-2#21</v>
      </c>
    </row>
    <row r="313">
      <c r="A313" s="41" t="n">
        <v>46283</v>
      </c>
      <c r="B313" s="37" t="inlineStr">
        <is>
          <t>Sortie</t>
        </is>
      </c>
      <c r="C313" s="37" t="inlineStr">
        <is>
          <t>DIS-125</t>
        </is>
      </c>
      <c r="D313" s="39" t="str">
        <f>IF(C313="","",IFERROR(INDEX(art_des,MATCH(C313,art_ref,0))&amp;"","Référence inconnue"))</f>
        <v>Disque à tronçonner 125 mm</v>
      </c>
      <c r="E313" s="37" t="n">
        <v>28</v>
      </c>
      <c r="F313" s="39" t="str">
        <f>IF(C313="","",IFERROR(INDEX(art_unit,MATCH(C313,art_ref,0))&amp;"",""))</f>
        <v>pièce</v>
      </c>
      <c r="G313" s="37" t="inlineStr">
        <is>
          <t>BS-2026-0274</t>
        </is>
      </c>
      <c r="H313" s="37" t="inlineStr">
        <is>
          <t>Atelier soudure</t>
        </is>
      </c>
      <c r="I313" s="37" t="n"/>
      <c r="J313" s="40">
        <f>IF(OR(C313="",NOT(ISNUMBER(E313))),"",IFERROR(E313*N(INDEX(art_price,MATCH(C313,art_ref,0))),""))</f>
        <v>53.2</v>
      </c>
      <c r="K313" s="39">
        <f>IF(OR(C313="",NOT(ISNUMBER(E313))),"",IFERROR(ROUND(N(INDEX(art_init,MATCH(C313,art_ref,0)))+SUMIFS($E$5:E313,$C$5:C313,C313,$B$5:B313,"Entrée")-SUMIFS($E$5:E313,$C$5:C313,C313,$B$5:B313,"Sortie"),6),""))</f>
        <v>60.0</v>
      </c>
      <c r="L313" s="39" t="str">
        <f>IF(COUNTA(A313:C313,E313)=0,"",IF(COUNTA(A313:C313,E313)&lt;4,"Ligne incomplète",IF(NOT(ISNUMBER(A313)),"Date invalide",IF(AND(B313&lt;&gt;"Entrée",B313&lt;&gt;"Sortie"),"Type inconnu",IF(ISNA(MATCH(C313,art_ref,0)),"Référence inconnue",IF(OR(NOT(ISNUMBER(E313)),N(E313)&lt;=0),"Quantité invalide",IF(K313&lt;0,"Stock négatif",IF(AND(ISNUMBER(A312),A313&lt;A312),"Date hors ordre","OK"))))))))</f>
        <v>OK</v>
      </c>
      <c r="M313" s="39" t="str">
        <f>IF(C313="","",C313&amp;"#"&amp;COUNTIF($C$5:C313,C313))</f>
        <v>DIS-125#20</v>
      </c>
    </row>
    <row r="314">
      <c r="A314" s="41" t="n">
        <v>46284</v>
      </c>
      <c r="B314" s="37" t="inlineStr">
        <is>
          <t>Sortie</t>
        </is>
      </c>
      <c r="C314" s="37" t="inlineStr">
        <is>
          <t>CAR-40-30</t>
        </is>
      </c>
      <c r="D314" s="39" t="str">
        <f>IF(C314="","",IFERROR(INDEX(art_des,MATCH(C314,art_ref,0))&amp;"","Référence inconnue"))</f>
        <v>Carton double cannelure 40 x 30 x 20</v>
      </c>
      <c r="E314" s="37" t="n">
        <v>84</v>
      </c>
      <c r="F314" s="39" t="str">
        <f>IF(C314="","",IFERROR(INDEX(art_unit,MATCH(C314,art_ref,0))&amp;"",""))</f>
        <v>pièce</v>
      </c>
      <c r="G314" s="37" t="inlineStr">
        <is>
          <t>BS-2026-0275</t>
        </is>
      </c>
      <c r="H314" s="37" t="inlineStr">
        <is>
          <t>Expédition</t>
        </is>
      </c>
      <c r="I314" s="37" t="n"/>
      <c r="J314" s="40">
        <f>IF(OR(C314="",NOT(ISNUMBER(E314))),"",IFERROR(E314*N(INDEX(art_price,MATCH(C314,art_ref,0))),""))</f>
        <v>79.8</v>
      </c>
      <c r="K314" s="39">
        <f>IF(OR(C314="",NOT(ISNUMBER(E314))),"",IFERROR(ROUND(N(INDEX(art_init,MATCH(C314,art_ref,0)))+SUMIFS($E$5:E314,$C$5:C314,C314,$B$5:B314,"Entrée")-SUMIFS($E$5:E314,$C$5:C314,C314,$B$5:B314,"Sortie"),6),""))</f>
        <v>716.0</v>
      </c>
      <c r="L314" s="39" t="str">
        <f>IF(COUNTA(A314:C314,E314)=0,"",IF(COUNTA(A314:C314,E314)&lt;4,"Ligne incomplète",IF(NOT(ISNUMBER(A314)),"Date invalide",IF(AND(B314&lt;&gt;"Entrée",B314&lt;&gt;"Sortie"),"Type inconnu",IF(ISNA(MATCH(C314,art_ref,0)),"Référence inconnue",IF(OR(NOT(ISNUMBER(E314)),N(E314)&lt;=0),"Quantité invalide",IF(K314&lt;0,"Stock négatif",IF(AND(ISNUMBER(A313),A314&lt;A313),"Date hors ordre","OK"))))))))</f>
        <v>OK</v>
      </c>
      <c r="M314" s="39" t="str">
        <f>IF(C314="","",C314&amp;"#"&amp;COUNTIF($C$5:C314,C314))</f>
        <v>CAR-40-30#21</v>
      </c>
    </row>
    <row r="315">
      <c r="A315" s="41" t="n">
        <v>46284</v>
      </c>
      <c r="B315" s="37" t="inlineStr">
        <is>
          <t>Sortie</t>
        </is>
      </c>
      <c r="C315" s="37" t="inlineStr">
        <is>
          <t>ECR-M6</t>
        </is>
      </c>
      <c r="D315" s="39" t="str">
        <f>IF(C315="","",IFERROR(INDEX(art_des,MATCH(C315,art_ref,0))&amp;"","Référence inconnue"))</f>
        <v>Écrou inox M6</v>
      </c>
      <c r="E315" s="37" t="n">
        <v>327</v>
      </c>
      <c r="F315" s="39" t="str">
        <f>IF(C315="","",IFERROR(INDEX(art_unit,MATCH(C315,art_ref,0))&amp;"",""))</f>
        <v>pièce</v>
      </c>
      <c r="G315" s="37" t="inlineStr">
        <is>
          <t>BS-2026-0276</t>
        </is>
      </c>
      <c r="H315" s="37" t="inlineStr">
        <is>
          <t>Atelier soudure</t>
        </is>
      </c>
      <c r="I315" s="37" t="n"/>
      <c r="J315" s="40">
        <f>IF(OR(C315="",NOT(ISNUMBER(E315))),"",IFERROR(E315*N(INDEX(art_price,MATCH(C315,art_ref,0))),""))</f>
        <v>16.35</v>
      </c>
      <c r="K315" s="39">
        <f>IF(OR(C315="",NOT(ISNUMBER(E315))),"",IFERROR(ROUND(N(INDEX(art_init,MATCH(C315,art_ref,0)))+SUMIFS($E$5:E315,$C$5:C315,C315,$B$5:B315,"Entrée")-SUMIFS($E$5:E315,$C$5:C315,C315,$B$5:B315,"Sortie"),6),""))</f>
        <v>1963.0</v>
      </c>
      <c r="L315" s="39" t="str">
        <f>IF(COUNTA(A315:C315,E315)=0,"",IF(COUNTA(A315:C315,E315)&lt;4,"Ligne incomplète",IF(NOT(ISNUMBER(A315)),"Date invalide",IF(AND(B315&lt;&gt;"Entrée",B315&lt;&gt;"Sortie"),"Type inconnu",IF(ISNA(MATCH(C315,art_ref,0)),"Référence inconnue",IF(OR(NOT(ISNUMBER(E315)),N(E315)&lt;=0),"Quantité invalide",IF(K315&lt;0,"Stock négatif",IF(AND(ISNUMBER(A314),A315&lt;A314),"Date hors ordre","OK"))))))))</f>
        <v>OK</v>
      </c>
      <c r="M315" s="39" t="str">
        <f>IF(C315="","",C315&amp;"#"&amp;COUNTIF($C$5:C315,C315))</f>
        <v>ECR-M6#20</v>
      </c>
    </row>
    <row r="316">
      <c r="A316" s="41" t="n">
        <v>46284</v>
      </c>
      <c r="B316" s="37" t="inlineStr">
        <is>
          <t>Sortie</t>
        </is>
      </c>
      <c r="C316" s="37" t="inlineStr">
        <is>
          <t>RON-M6</t>
        </is>
      </c>
      <c r="D316" s="39" t="str">
        <f>IF(C316="","",IFERROR(INDEX(art_des,MATCH(C316,art_ref,0))&amp;"","Référence inconnue"))</f>
        <v>Rondelle plate M6</v>
      </c>
      <c r="E316" s="37" t="n">
        <v>307</v>
      </c>
      <c r="F316" s="39" t="str">
        <f>IF(C316="","",IFERROR(INDEX(art_unit,MATCH(C316,art_ref,0))&amp;"",""))</f>
        <v>pièce</v>
      </c>
      <c r="G316" s="37" t="inlineStr">
        <is>
          <t>BS-2026-0277</t>
        </is>
      </c>
      <c r="H316" s="37" t="inlineStr">
        <is>
          <t>Atelier usinage</t>
        </is>
      </c>
      <c r="I316" s="37" t="n"/>
      <c r="J316" s="40">
        <f>IF(OR(C316="",NOT(ISNUMBER(E316))),"",IFERROR(E316*N(INDEX(art_price,MATCH(C316,art_ref,0))),""))</f>
        <v>9.21</v>
      </c>
      <c r="K316" s="39">
        <f>IF(OR(C316="",NOT(ISNUMBER(E316))),"",IFERROR(ROUND(N(INDEX(art_init,MATCH(C316,art_ref,0)))+SUMIFS($E$5:E316,$C$5:C316,C316,$B$5:B316,"Entrée")-SUMIFS($E$5:E316,$C$5:C316,C316,$B$5:B316,"Sortie"),6),""))</f>
        <v>648.0</v>
      </c>
      <c r="L316" s="39" t="str">
        <f>IF(COUNTA(A316:C316,E316)=0,"",IF(COUNTA(A316:C316,E316)&lt;4,"Ligne incomplète",IF(NOT(ISNUMBER(A316)),"Date invalide",IF(AND(B316&lt;&gt;"Entrée",B316&lt;&gt;"Sortie"),"Type inconnu",IF(ISNA(MATCH(C316,art_ref,0)),"Référence inconnue",IF(OR(NOT(ISNUMBER(E316)),N(E316)&lt;=0),"Quantité invalide",IF(K316&lt;0,"Stock négatif",IF(AND(ISNUMBER(A315),A316&lt;A315),"Date hors ordre","OK"))))))))</f>
        <v>OK</v>
      </c>
      <c r="M316" s="39" t="str">
        <f>IF(C316="","",C316&amp;"#"&amp;COUNTIF($C$5:C316,C316))</f>
        <v>RON-M6#20</v>
      </c>
    </row>
    <row r="317">
      <c r="A317" s="41" t="n">
        <v>46287</v>
      </c>
      <c r="B317" s="37" t="inlineStr">
        <is>
          <t>Entrée</t>
        </is>
      </c>
      <c r="C317" s="37" t="inlineStr">
        <is>
          <t>RON-M6</t>
        </is>
      </c>
      <c r="D317" s="39" t="str">
        <f>IF(C317="","",IFERROR(INDEX(art_des,MATCH(C317,art_ref,0))&amp;"","Référence inconnue"))</f>
        <v>Rondelle plate M6</v>
      </c>
      <c r="E317" s="37" t="n">
        <v>2352</v>
      </c>
      <c r="F317" s="39" t="str">
        <f>IF(C317="","",IFERROR(INDEX(art_unit,MATCH(C317,art_ref,0))&amp;"",""))</f>
        <v>pièce</v>
      </c>
      <c r="G317" s="37" t="inlineStr">
        <is>
          <t>BL-2026-036</t>
        </is>
      </c>
      <c r="H317" s="37" t="inlineStr">
        <is>
          <t>Visserie du Centre</t>
        </is>
      </c>
      <c r="I317" s="37" t="inlineStr">
        <is>
          <t>Réception commande</t>
        </is>
      </c>
      <c r="J317" s="40">
        <f>IF(OR(C317="",NOT(ISNUMBER(E317))),"",IFERROR(E317*N(INDEX(art_price,MATCH(C317,art_ref,0))),""))</f>
        <v>70.56</v>
      </c>
      <c r="K317" s="39">
        <f>IF(OR(C317="",NOT(ISNUMBER(E317))),"",IFERROR(ROUND(N(INDEX(art_init,MATCH(C317,art_ref,0)))+SUMIFS($E$5:E317,$C$5:C317,C317,$B$5:B317,"Entrée")-SUMIFS($E$5:E317,$C$5:C317,C317,$B$5:B317,"Sortie"),6),""))</f>
        <v>3000.0</v>
      </c>
      <c r="L317" s="39" t="str">
        <f>IF(COUNTA(A317:C317,E317)=0,"",IF(COUNTA(A317:C317,E317)&lt;4,"Ligne incomplète",IF(NOT(ISNUMBER(A317)),"Date invalide",IF(AND(B317&lt;&gt;"Entrée",B317&lt;&gt;"Sortie"),"Type inconnu",IF(ISNA(MATCH(C317,art_ref,0)),"Référence inconnue",IF(OR(NOT(ISNUMBER(E317)),N(E317)&lt;=0),"Quantité invalide",IF(K317&lt;0,"Stock négatif",IF(AND(ISNUMBER(A316),A317&lt;A316),"Date hors ordre","OK"))))))))</f>
        <v>OK</v>
      </c>
      <c r="M317" s="39" t="str">
        <f>IF(C317="","",C317&amp;"#"&amp;COUNTIF($C$5:C317,C317))</f>
        <v>RON-M6#21</v>
      </c>
    </row>
    <row r="318">
      <c r="A318" s="41" t="n">
        <v>46287</v>
      </c>
      <c r="B318" s="37" t="inlineStr">
        <is>
          <t>Sortie</t>
        </is>
      </c>
      <c r="C318" s="37" t="inlineStr">
        <is>
          <t>TUB-ACI-40</t>
        </is>
      </c>
      <c r="D318" s="39" t="str">
        <f>IF(C318="","",IFERROR(INDEX(art_des,MATCH(C318,art_ref,0))&amp;"","Référence inconnue"))</f>
        <v>Tube acier carré 40 x 40, 6 m</v>
      </c>
      <c r="E318" s="37" t="n">
        <v>3</v>
      </c>
      <c r="F318" s="39" t="str">
        <f>IF(C318="","",IFERROR(INDEX(art_unit,MATCH(C318,art_ref,0))&amp;"",""))</f>
        <v>barre</v>
      </c>
      <c r="G318" s="37" t="inlineStr">
        <is>
          <t>BS-2026-0278</t>
        </is>
      </c>
      <c r="H318" s="37" t="inlineStr">
        <is>
          <t>Atelier usinage</t>
        </is>
      </c>
      <c r="I318" s="37" t="n"/>
      <c r="J318" s="40">
        <f>IF(OR(C318="",NOT(ISNUMBER(E318))),"",IFERROR(E318*N(INDEX(art_price,MATCH(C318,art_ref,0))),""))</f>
        <v>93.6</v>
      </c>
      <c r="K318" s="39">
        <f>IF(OR(C318="",NOT(ISNUMBER(E318))),"",IFERROR(ROUND(N(INDEX(art_init,MATCH(C318,art_ref,0)))+SUMIFS($E$5:E318,$C$5:C318,C318,$B$5:B318,"Entrée")-SUMIFS($E$5:E318,$C$5:C318,C318,$B$5:B318,"Sortie"),6),""))</f>
        <v>16.0</v>
      </c>
      <c r="L318" s="39" t="str">
        <f>IF(COUNTA(A318:C318,E318)=0,"",IF(COUNTA(A318:C318,E318)&lt;4,"Ligne incomplète",IF(NOT(ISNUMBER(A318)),"Date invalide",IF(AND(B318&lt;&gt;"Entrée",B318&lt;&gt;"Sortie"),"Type inconnu",IF(ISNA(MATCH(C318,art_ref,0)),"Référence inconnue",IF(OR(NOT(ISNUMBER(E318)),N(E318)&lt;=0),"Quantité invalide",IF(K318&lt;0,"Stock négatif",IF(AND(ISNUMBER(A317),A318&lt;A317),"Date hors ordre","OK"))))))))</f>
        <v>OK</v>
      </c>
      <c r="M318" s="39" t="str">
        <f>IF(C318="","",C318&amp;"#"&amp;COUNTIF($C$5:C318,C318))</f>
        <v>TUB-ACI-40#20</v>
      </c>
    </row>
    <row r="319">
      <c r="A319" s="41" t="n">
        <v>46289</v>
      </c>
      <c r="B319" s="37" t="inlineStr">
        <is>
          <t>Sortie</t>
        </is>
      </c>
      <c r="C319" s="37" t="inlineStr">
        <is>
          <t>CAB-2.5</t>
        </is>
      </c>
      <c r="D319" s="39" t="str">
        <f>IF(C319="","",IFERROR(INDEX(art_des,MATCH(C319,art_ref,0))&amp;"","Référence inconnue"))</f>
        <v>Câble électrique 2,5 mm²</v>
      </c>
      <c r="E319" s="37" t="n">
        <v>42</v>
      </c>
      <c r="F319" s="39" t="str">
        <f>IF(C319="","",IFERROR(INDEX(art_unit,MATCH(C319,art_ref,0))&amp;"",""))</f>
        <v>m</v>
      </c>
      <c r="G319" s="37" t="inlineStr">
        <is>
          <t>BS-2026-0279</t>
        </is>
      </c>
      <c r="H319" s="37" t="inlineStr">
        <is>
          <t>Expédition</t>
        </is>
      </c>
      <c r="I319" s="37" t="n"/>
      <c r="J319" s="40">
        <f>IF(OR(C319="",NOT(ISNUMBER(E319))),"",IFERROR(E319*N(INDEX(art_price,MATCH(C319,art_ref,0))),""))</f>
        <v>28.56</v>
      </c>
      <c r="K319" s="39">
        <f>IF(OR(C319="",NOT(ISNUMBER(E319))),"",IFERROR(ROUND(N(INDEX(art_init,MATCH(C319,art_ref,0)))+SUMIFS($E$5:E319,$C$5:C319,C319,$B$5:B319,"Entrée")-SUMIFS($E$5:E319,$C$5:C319,C319,$B$5:B319,"Sortie"),6),""))</f>
        <v>366.0</v>
      </c>
      <c r="L319" s="39" t="str">
        <f>IF(COUNTA(A319:C319,E319)=0,"",IF(COUNTA(A319:C319,E319)&lt;4,"Ligne incomplète",IF(NOT(ISNUMBER(A319)),"Date invalide",IF(AND(B319&lt;&gt;"Entrée",B319&lt;&gt;"Sortie"),"Type inconnu",IF(ISNA(MATCH(C319,art_ref,0)),"Référence inconnue",IF(OR(NOT(ISNUMBER(E319)),N(E319)&lt;=0),"Quantité invalide",IF(K319&lt;0,"Stock négatif",IF(AND(ISNUMBER(A318),A319&lt;A318),"Date hors ordre","OK"))))))))</f>
        <v>OK</v>
      </c>
      <c r="M319" s="39" t="str">
        <f>IF(C319="","",C319&amp;"#"&amp;COUNTIF($C$5:C319,C319))</f>
        <v>CAB-2.5#20</v>
      </c>
    </row>
    <row r="320">
      <c r="A320" s="41" t="n">
        <v>46289</v>
      </c>
      <c r="B320" s="37" t="inlineStr">
        <is>
          <t>Sortie</t>
        </is>
      </c>
      <c r="C320" s="37" t="inlineStr">
        <is>
          <t>FOR-HSS-8</t>
        </is>
      </c>
      <c r="D320" s="39" t="str">
        <f>IF(C320="","",IFERROR(INDEX(art_des,MATCH(C320,art_ref,0))&amp;"","Référence inconnue"))</f>
        <v>Foret HSS 8 mm</v>
      </c>
      <c r="E320" s="37" t="n">
        <v>4</v>
      </c>
      <c r="F320" s="39" t="str">
        <f>IF(C320="","",IFERROR(INDEX(art_unit,MATCH(C320,art_ref,0))&amp;"",""))</f>
        <v>pièce</v>
      </c>
      <c r="G320" s="37" t="inlineStr">
        <is>
          <t>BS-2026-0280</t>
        </is>
      </c>
      <c r="H320" s="37" t="inlineStr">
        <is>
          <t>Atelier usinage</t>
        </is>
      </c>
      <c r="I320" s="37" t="n"/>
      <c r="J320" s="40">
        <f>IF(OR(C320="",NOT(ISNUMBER(E320))),"",IFERROR(E320*N(INDEX(art_price,MATCH(C320,art_ref,0))),""))</f>
        <v>18.4</v>
      </c>
      <c r="K320" s="39">
        <f>IF(OR(C320="",NOT(ISNUMBER(E320))),"",IFERROR(ROUND(N(INDEX(art_init,MATCH(C320,art_ref,0)))+SUMIFS($E$5:E320,$C$5:C320,C320,$B$5:B320,"Entrée")-SUMIFS($E$5:E320,$C$5:C320,C320,$B$5:B320,"Sortie"),6),""))</f>
        <v>7.0</v>
      </c>
      <c r="L320" s="39" t="str">
        <f>IF(COUNTA(A320:C320,E320)=0,"",IF(COUNTA(A320:C320,E320)&lt;4,"Ligne incomplète",IF(NOT(ISNUMBER(A320)),"Date invalide",IF(AND(B320&lt;&gt;"Entrée",B320&lt;&gt;"Sortie"),"Type inconnu",IF(ISNA(MATCH(C320,art_ref,0)),"Référence inconnue",IF(OR(NOT(ISNUMBER(E320)),N(E320)&lt;=0),"Quantité invalide",IF(K320&lt;0,"Stock négatif",IF(AND(ISNUMBER(A319),A320&lt;A319),"Date hors ordre","OK"))))))))</f>
        <v>OK</v>
      </c>
      <c r="M320" s="39" t="str">
        <f>IF(C320="","",C320&amp;"#"&amp;COUNTIF($C$5:C320,C320))</f>
        <v>FOR-HSS-8#19</v>
      </c>
    </row>
    <row r="321">
      <c r="A321" s="41" t="n">
        <v>46290</v>
      </c>
      <c r="B321" s="37" t="inlineStr">
        <is>
          <t>Sortie</t>
        </is>
      </c>
      <c r="C321" s="37" t="inlineStr">
        <is>
          <t>JOI-20-2</t>
        </is>
      </c>
      <c r="D321" s="39" t="str">
        <f>IF(C321="","",IFERROR(INDEX(art_des,MATCH(C321,art_ref,0))&amp;"","Référence inconnue"))</f>
        <v>Joint torique 20 x 2 NBR</v>
      </c>
      <c r="E321" s="37" t="n">
        <v>77</v>
      </c>
      <c r="F321" s="39" t="str">
        <f>IF(C321="","",IFERROR(INDEX(art_unit,MATCH(C321,art_ref,0))&amp;"",""))</f>
        <v>pièce</v>
      </c>
      <c r="G321" s="37" t="inlineStr">
        <is>
          <t>BS-2026-0281</t>
        </is>
      </c>
      <c r="H321" s="37" t="inlineStr">
        <is>
          <t>Maintenance</t>
        </is>
      </c>
      <c r="I321" s="37" t="n"/>
      <c r="J321" s="40">
        <f>IF(OR(C321="",NOT(ISNUMBER(E321))),"",IFERROR(E321*N(INDEX(art_price,MATCH(C321,art_ref,0))),""))</f>
        <v>26.95</v>
      </c>
      <c r="K321" s="39">
        <f>IF(OR(C321="",NOT(ISNUMBER(E321))),"",IFERROR(ROUND(N(INDEX(art_init,MATCH(C321,art_ref,0)))+SUMIFS($E$5:E321,$C$5:C321,C321,$B$5:B321,"Entrée")-SUMIFS($E$5:E321,$C$5:C321,C321,$B$5:B321,"Sortie"),6),""))</f>
        <v>295.0</v>
      </c>
      <c r="L321" s="39" t="str">
        <f>IF(COUNTA(A321:C321,E321)=0,"",IF(COUNTA(A321:C321,E321)&lt;4,"Ligne incomplète",IF(NOT(ISNUMBER(A321)),"Date invalide",IF(AND(B321&lt;&gt;"Entrée",B321&lt;&gt;"Sortie"),"Type inconnu",IF(ISNA(MATCH(C321,art_ref,0)),"Référence inconnue",IF(OR(NOT(ISNUMBER(E321)),N(E321)&lt;=0),"Quantité invalide",IF(K321&lt;0,"Stock négatif",IF(AND(ISNUMBER(A320),A321&lt;A320),"Date hors ordre","OK"))))))))</f>
        <v>OK</v>
      </c>
      <c r="M321" s="39" t="str">
        <f>IF(C321="","",C321&amp;"#"&amp;COUNTIF($C$5:C321,C321))</f>
        <v>JOI-20-2#20</v>
      </c>
    </row>
    <row r="322">
      <c r="A322" s="41" t="n">
        <v>46290</v>
      </c>
      <c r="B322" s="37" t="inlineStr">
        <is>
          <t>Sortie</t>
        </is>
      </c>
      <c r="C322" s="37" t="inlineStr">
        <is>
          <t>ROU-6204</t>
        </is>
      </c>
      <c r="D322" s="39" t="str">
        <f>IF(C322="","",IFERROR(INDEX(art_des,MATCH(C322,art_ref,0))&amp;"","Référence inconnue"))</f>
        <v>Roulement à billes 6204 2RS</v>
      </c>
      <c r="E322" s="37" t="n">
        <v>16</v>
      </c>
      <c r="F322" s="39" t="str">
        <f>IF(C322="","",IFERROR(INDEX(art_unit,MATCH(C322,art_ref,0))&amp;"",""))</f>
        <v>pièce</v>
      </c>
      <c r="G322" s="37" t="inlineStr">
        <is>
          <t>BS-2026-0282</t>
        </is>
      </c>
      <c r="H322" s="37" t="inlineStr">
        <is>
          <t>Atelier usinage</t>
        </is>
      </c>
      <c r="I322" s="37" t="n"/>
      <c r="J322" s="40">
        <f>IF(OR(C322="",NOT(ISNUMBER(E322))),"",IFERROR(E322*N(INDEX(art_price,MATCH(C322,art_ref,0))),""))</f>
        <v>60.8</v>
      </c>
      <c r="K322" s="39">
        <f>IF(OR(C322="",NOT(ISNUMBER(E322))),"",IFERROR(ROUND(N(INDEX(art_init,MATCH(C322,art_ref,0)))+SUMIFS($E$5:E322,$C$5:C322,C322,$B$5:B322,"Entrée")-SUMIFS($E$5:E322,$C$5:C322,C322,$B$5:B322,"Sortie"),6),""))</f>
        <v>27.0</v>
      </c>
      <c r="L322" s="39" t="str">
        <f>IF(COUNTA(A322:C322,E322)=0,"",IF(COUNTA(A322:C322,E322)&lt;4,"Ligne incomplète",IF(NOT(ISNUMBER(A322)),"Date invalide",IF(AND(B322&lt;&gt;"Entrée",B322&lt;&gt;"Sortie"),"Type inconnu",IF(ISNA(MATCH(C322,art_ref,0)),"Référence inconnue",IF(OR(NOT(ISNUMBER(E322)),N(E322)&lt;=0),"Quantité invalide",IF(K322&lt;0,"Stock négatif",IF(AND(ISNUMBER(A321),A322&lt;A321),"Date hors ordre","OK"))))))))</f>
        <v>OK</v>
      </c>
      <c r="M322" s="39" t="str">
        <f>IF(C322="","",C322&amp;"#"&amp;COUNTIF($C$5:C322,C322))</f>
        <v>ROU-6204#20</v>
      </c>
    </row>
    <row r="323">
      <c r="A323" s="41" t="n">
        <v>46291</v>
      </c>
      <c r="B323" s="37" t="inlineStr">
        <is>
          <t>Sortie</t>
        </is>
      </c>
      <c r="C323" s="37" t="inlineStr">
        <is>
          <t>BOR-WAGO-3</t>
        </is>
      </c>
      <c r="D323" s="39" t="str">
        <f>IF(C323="","",IFERROR(INDEX(art_des,MATCH(C323,art_ref,0))&amp;"","Référence inconnue"))</f>
        <v>Borne de connexion 3 entrées</v>
      </c>
      <c r="E323" s="37" t="n">
        <v>34</v>
      </c>
      <c r="F323" s="39" t="str">
        <f>IF(C323="","",IFERROR(INDEX(art_unit,MATCH(C323,art_ref,0))&amp;"",""))</f>
        <v>pièce</v>
      </c>
      <c r="G323" s="37" t="inlineStr">
        <is>
          <t>BS-2026-0283</t>
        </is>
      </c>
      <c r="H323" s="37" t="inlineStr">
        <is>
          <t>Maintenance</t>
        </is>
      </c>
      <c r="I323" s="37" t="n"/>
      <c r="J323" s="40">
        <f>IF(OR(C323="",NOT(ISNUMBER(E323))),"",IFERROR(E323*N(INDEX(art_price,MATCH(C323,art_ref,0))),""))</f>
        <v>14.28</v>
      </c>
      <c r="K323" s="39">
        <f>IF(OR(C323="",NOT(ISNUMBER(E323))),"",IFERROR(ROUND(N(INDEX(art_init,MATCH(C323,art_ref,0)))+SUMIFS($E$5:E323,$C$5:C323,C323,$B$5:B323,"Entrée")-SUMIFS($E$5:E323,$C$5:C323,C323,$B$5:B323,"Sortie"),6),""))</f>
        <v>186.0</v>
      </c>
      <c r="L323" s="39" t="str">
        <f>IF(COUNTA(A323:C323,E323)=0,"",IF(COUNTA(A323:C323,E323)&lt;4,"Ligne incomplète",IF(NOT(ISNUMBER(A323)),"Date invalide",IF(AND(B323&lt;&gt;"Entrée",B323&lt;&gt;"Sortie"),"Type inconnu",IF(ISNA(MATCH(C323,art_ref,0)),"Référence inconnue",IF(OR(NOT(ISNUMBER(E323)),N(E323)&lt;=0),"Quantité invalide",IF(K323&lt;0,"Stock négatif",IF(AND(ISNUMBER(A322),A323&lt;A322),"Date hors ordre","OK"))))))))</f>
        <v>OK</v>
      </c>
      <c r="M323" s="39" t="str">
        <f>IF(C323="","",C323&amp;"#"&amp;COUNTIF($C$5:C323,C323))</f>
        <v>BOR-WAGO-3#20</v>
      </c>
    </row>
    <row r="324">
      <c r="A324" s="41" t="n">
        <v>46291</v>
      </c>
      <c r="B324" s="37" t="inlineStr">
        <is>
          <t>Sortie</t>
        </is>
      </c>
      <c r="C324" s="37" t="inlineStr">
        <is>
          <t>GAN-NIT</t>
        </is>
      </c>
      <c r="D324" s="39" t="str">
        <f>IF(C324="","",IFERROR(INDEX(art_des,MATCH(C324,art_ref,0))&amp;"","Référence inconnue"))</f>
        <v>Gants nitrile, boîte de 100</v>
      </c>
      <c r="E324" s="37" t="n">
        <v>3</v>
      </c>
      <c r="F324" s="39" t="str">
        <f>IF(C324="","",IFERROR(INDEX(art_unit,MATCH(C324,art_ref,0))&amp;"",""))</f>
        <v>boîte</v>
      </c>
      <c r="G324" s="37" t="inlineStr">
        <is>
          <t>BS-2026-0284</t>
        </is>
      </c>
      <c r="H324" s="37" t="inlineStr">
        <is>
          <t>Maintenance</t>
        </is>
      </c>
      <c r="I324" s="37" t="n"/>
      <c r="J324" s="40">
        <f>IF(OR(C324="",NOT(ISNUMBER(E324))),"",IFERROR(E324*N(INDEX(art_price,MATCH(C324,art_ref,0))),""))</f>
        <v>22.5</v>
      </c>
      <c r="K324" s="39">
        <f>IF(OR(C324="",NOT(ISNUMBER(E324))),"",IFERROR(ROUND(N(INDEX(art_init,MATCH(C324,art_ref,0)))+SUMIFS($E$5:E324,$C$5:C324,C324,$B$5:B324,"Entrée")-SUMIFS($E$5:E324,$C$5:C324,C324,$B$5:B324,"Sortie"),6),""))</f>
        <v>27.0</v>
      </c>
      <c r="L324" s="39" t="str">
        <f>IF(COUNTA(A324:C324,E324)=0,"",IF(COUNTA(A324:C324,E324)&lt;4,"Ligne incomplète",IF(NOT(ISNUMBER(A324)),"Date invalide",IF(AND(B324&lt;&gt;"Entrée",B324&lt;&gt;"Sortie"),"Type inconnu",IF(ISNA(MATCH(C324,art_ref,0)),"Référence inconnue",IF(OR(NOT(ISNUMBER(E324)),N(E324)&lt;=0),"Quantité invalide",IF(K324&lt;0,"Stock négatif",IF(AND(ISNUMBER(A323),A324&lt;A323),"Date hors ordre","OK"))))))))</f>
        <v>OK</v>
      </c>
      <c r="M324" s="39" t="str">
        <f>IF(C324="","",C324&amp;"#"&amp;COUNTIF($C$5:C324,C324))</f>
        <v>GAN-NIT#21</v>
      </c>
    </row>
    <row r="325">
      <c r="A325" s="41" t="n">
        <v>46291</v>
      </c>
      <c r="B325" s="37" t="inlineStr">
        <is>
          <t>Sortie</t>
        </is>
      </c>
      <c r="C325" s="37" t="inlineStr">
        <is>
          <t>PAL-120</t>
        </is>
      </c>
      <c r="D325" s="39" t="str">
        <f>IF(C325="","",IFERROR(INDEX(art_des,MATCH(C325,art_ref,0))&amp;"","Référence inconnue"))</f>
        <v>Palette bois 120 x 80</v>
      </c>
      <c r="E325" s="37" t="n">
        <v>6</v>
      </c>
      <c r="F325" s="39" t="str">
        <f>IF(C325="","",IFERROR(INDEX(art_unit,MATCH(C325,art_ref,0))&amp;"",""))</f>
        <v>pièce</v>
      </c>
      <c r="G325" s="37" t="inlineStr">
        <is>
          <t>BS-2026-0285</t>
        </is>
      </c>
      <c r="H325" s="37" t="inlineStr">
        <is>
          <t>Atelier usinage</t>
        </is>
      </c>
      <c r="I325" s="37" t="n"/>
      <c r="J325" s="40">
        <f>IF(OR(C325="",NOT(ISNUMBER(E325))),"",IFERROR(E325*N(INDEX(art_price,MATCH(C325,art_ref,0))),""))</f>
        <v>54.0</v>
      </c>
      <c r="K325" s="39">
        <f>IF(OR(C325="",NOT(ISNUMBER(E325))),"",IFERROR(ROUND(N(INDEX(art_init,MATCH(C325,art_ref,0)))+SUMIFS($E$5:E325,$C$5:C325,C325,$B$5:B325,"Entrée")-SUMIFS($E$5:E325,$C$5:C325,C325,$B$5:B325,"Sortie"),6),""))</f>
        <v>44.0</v>
      </c>
      <c r="L325" s="39" t="str">
        <f>IF(COUNTA(A325:C325,E325)=0,"",IF(COUNTA(A325:C325,E325)&lt;4,"Ligne incomplète",IF(NOT(ISNUMBER(A325)),"Date invalide",IF(AND(B325&lt;&gt;"Entrée",B325&lt;&gt;"Sortie"),"Type inconnu",IF(ISNA(MATCH(C325,art_ref,0)),"Référence inconnue",IF(OR(NOT(ISNUMBER(E325)),N(E325)&lt;=0),"Quantité invalide",IF(K325&lt;0,"Stock négatif",IF(AND(ISNUMBER(A324),A325&lt;A324),"Date hors ordre","OK"))))))))</f>
        <v>OK</v>
      </c>
      <c r="M325" s="39" t="str">
        <f>IF(C325="","",C325&amp;"#"&amp;COUNTIF($C$5:C325,C325))</f>
        <v>PAL-120#21</v>
      </c>
    </row>
    <row r="326">
      <c r="A326" s="41" t="n">
        <v>46291</v>
      </c>
      <c r="B326" s="37" t="inlineStr">
        <is>
          <t>Sortie</t>
        </is>
      </c>
      <c r="C326" s="37" t="inlineStr">
        <is>
          <t>RUB-50</t>
        </is>
      </c>
      <c r="D326" s="39" t="str">
        <f>IF(C326="","",IFERROR(INDEX(art_des,MATCH(C326,art_ref,0))&amp;"","Référence inconnue"))</f>
        <v>Ruban adhésif 50 mm x 66 m</v>
      </c>
      <c r="E326" s="37" t="n">
        <v>13</v>
      </c>
      <c r="F326" s="39" t="str">
        <f>IF(C326="","",IFERROR(INDEX(art_unit,MATCH(C326,art_ref,0))&amp;"",""))</f>
        <v>rouleau</v>
      </c>
      <c r="G326" s="37" t="inlineStr">
        <is>
          <t>BS-2026-0286</t>
        </is>
      </c>
      <c r="H326" s="37" t="inlineStr">
        <is>
          <t>Atelier usinage</t>
        </is>
      </c>
      <c r="I326" s="37" t="n"/>
      <c r="J326" s="40">
        <f>IF(OR(C326="",NOT(ISNUMBER(E326))),"",IFERROR(E326*N(INDEX(art_price,MATCH(C326,art_ref,0))),""))</f>
        <v>18.2</v>
      </c>
      <c r="K326" s="39">
        <f>IF(OR(C326="",NOT(ISNUMBER(E326))),"",IFERROR(ROUND(N(INDEX(art_init,MATCH(C326,art_ref,0)))+SUMIFS($E$5:E326,$C$5:C326,C326,$B$5:B326,"Entrée")-SUMIFS($E$5:E326,$C$5:C326,C326,$B$5:B326,"Sortie"),6),""))</f>
        <v>33.0</v>
      </c>
      <c r="L326" s="39" t="str">
        <f>IF(COUNTA(A326:C326,E326)=0,"",IF(COUNTA(A326:C326,E326)&lt;4,"Ligne incomplète",IF(NOT(ISNUMBER(A326)),"Date invalide",IF(AND(B326&lt;&gt;"Entrée",B326&lt;&gt;"Sortie"),"Type inconnu",IF(ISNA(MATCH(C326,art_ref,0)),"Référence inconnue",IF(OR(NOT(ISNUMBER(E326)),N(E326)&lt;=0),"Quantité invalide",IF(K326&lt;0,"Stock négatif",IF(AND(ISNUMBER(A325),A326&lt;A325),"Date hors ordre","OK"))))))))</f>
        <v>OK</v>
      </c>
      <c r="M326" s="39" t="str">
        <f>IF(C326="","",C326&amp;"#"&amp;COUNTIF($C$5:C326,C326))</f>
        <v>RUB-50#20</v>
      </c>
    </row>
    <row r="327">
      <c r="A327" s="41" t="n">
        <v>46291</v>
      </c>
      <c r="B327" s="37" t="inlineStr">
        <is>
          <t>Sortie</t>
        </is>
      </c>
      <c r="C327" s="37" t="inlineStr">
        <is>
          <t>VIS-M6-20</t>
        </is>
      </c>
      <c r="D327" s="39" t="str">
        <f>IF(C327="","",IFERROR(INDEX(art_des,MATCH(C327,art_ref,0))&amp;"","Référence inconnue"))</f>
        <v>Vis inox M6 x 20</v>
      </c>
      <c r="E327" s="37" t="n">
        <v>485</v>
      </c>
      <c r="F327" s="39" t="str">
        <f>IF(C327="","",IFERROR(INDEX(art_unit,MATCH(C327,art_ref,0))&amp;"",""))</f>
        <v>pièce</v>
      </c>
      <c r="G327" s="37" t="inlineStr">
        <is>
          <t>BS-2026-0287</t>
        </is>
      </c>
      <c r="H327" s="37" t="inlineStr">
        <is>
          <t>Atelier montage</t>
        </is>
      </c>
      <c r="I327" s="37" t="n"/>
      <c r="J327" s="40">
        <f>IF(OR(C327="",NOT(ISNUMBER(E327))),"",IFERROR(E327*N(INDEX(art_price,MATCH(C327,art_ref,0))),""))</f>
        <v>58.2</v>
      </c>
      <c r="K327" s="39">
        <f>IF(OR(C327="",NOT(ISNUMBER(E327))),"",IFERROR(ROUND(N(INDEX(art_init,MATCH(C327,art_ref,0)))+SUMIFS($E$5:E327,$C$5:C327,C327,$B$5:B327,"Entrée")-SUMIFS($E$5:E327,$C$5:C327,C327,$B$5:B327,"Sortie"),6),""))</f>
        <v>1434.0</v>
      </c>
      <c r="L327" s="39" t="str">
        <f>IF(COUNTA(A327:C327,E327)=0,"",IF(COUNTA(A327:C327,E327)&lt;4,"Ligne incomplète",IF(NOT(ISNUMBER(A327)),"Date invalide",IF(AND(B327&lt;&gt;"Entrée",B327&lt;&gt;"Sortie"),"Type inconnu",IF(ISNA(MATCH(C327,art_ref,0)),"Référence inconnue",IF(OR(NOT(ISNUMBER(E327)),N(E327)&lt;=0),"Quantité invalide",IF(K327&lt;0,"Stock négatif",IF(AND(ISNUMBER(A326),A327&lt;A326),"Date hors ordre","OK"))))))))</f>
        <v>OK</v>
      </c>
      <c r="M327" s="39" t="str">
        <f>IF(C327="","",C327&amp;"#"&amp;COUNTIF($C$5:C327,C327))</f>
        <v>VIS-M6-20#20</v>
      </c>
    </row>
    <row r="328">
      <c r="A328" s="41" t="n">
        <v>46292</v>
      </c>
      <c r="B328" s="37" t="inlineStr">
        <is>
          <t>Entrée</t>
        </is>
      </c>
      <c r="C328" s="37" t="inlineStr">
        <is>
          <t>FOR-HSS-8</t>
        </is>
      </c>
      <c r="D328" s="39" t="str">
        <f>IF(C328="","",IFERROR(INDEX(art_des,MATCH(C328,art_ref,0))&amp;"","Référence inconnue"))</f>
        <v>Foret HSS 8 mm</v>
      </c>
      <c r="E328" s="37" t="n">
        <v>33</v>
      </c>
      <c r="F328" s="39" t="str">
        <f>IF(C328="","",IFERROR(INDEX(art_unit,MATCH(C328,art_ref,0))&amp;"",""))</f>
        <v>pièce</v>
      </c>
      <c r="G328" s="37" t="inlineStr">
        <is>
          <t>BL-2026-037</t>
        </is>
      </c>
      <c r="H328" s="37" t="inlineStr">
        <is>
          <t>Outillage Pro</t>
        </is>
      </c>
      <c r="I328" s="37" t="inlineStr">
        <is>
          <t>Réception commande</t>
        </is>
      </c>
      <c r="J328" s="40">
        <f>IF(OR(C328="",NOT(ISNUMBER(E328))),"",IFERROR(E328*N(INDEX(art_price,MATCH(C328,art_ref,0))),""))</f>
        <v>151.8</v>
      </c>
      <c r="K328" s="39">
        <f>IF(OR(C328="",NOT(ISNUMBER(E328))),"",IFERROR(ROUND(N(INDEX(art_init,MATCH(C328,art_ref,0)))+SUMIFS($E$5:E328,$C$5:C328,C328,$B$5:B328,"Entrée")-SUMIFS($E$5:E328,$C$5:C328,C328,$B$5:B328,"Sortie"),6),""))</f>
        <v>40.0</v>
      </c>
      <c r="L328" s="39" t="str">
        <f>IF(COUNTA(A328:C328,E328)=0,"",IF(COUNTA(A328:C328,E328)&lt;4,"Ligne incomplète",IF(NOT(ISNUMBER(A328)),"Date invalide",IF(AND(B328&lt;&gt;"Entrée",B328&lt;&gt;"Sortie"),"Type inconnu",IF(ISNA(MATCH(C328,art_ref,0)),"Référence inconnue",IF(OR(NOT(ISNUMBER(E328)),N(E328)&lt;=0),"Quantité invalide",IF(K328&lt;0,"Stock négatif",IF(AND(ISNUMBER(A327),A328&lt;A327),"Date hors ordre","OK"))))))))</f>
        <v>OK</v>
      </c>
      <c r="M328" s="39" t="str">
        <f>IF(C328="","",C328&amp;"#"&amp;COUNTIF($C$5:C328,C328))</f>
        <v>FOR-HSS-8#20</v>
      </c>
    </row>
    <row r="329">
      <c r="A329" s="41" t="n">
        <v>46292</v>
      </c>
      <c r="B329" s="37" t="inlineStr">
        <is>
          <t>Sortie</t>
        </is>
      </c>
      <c r="C329" s="37" t="inlineStr">
        <is>
          <t>HUI-COUP-5</t>
        </is>
      </c>
      <c r="D329" s="39" t="str">
        <f>IF(C329="","",IFERROR(INDEX(art_des,MATCH(C329,art_ref,0))&amp;"","Référence inconnue"))</f>
        <v>Huile de coupe soluble 5 L</v>
      </c>
      <c r="E329" s="37" t="n">
        <v>2</v>
      </c>
      <c r="F329" s="39" t="str">
        <f>IF(C329="","",IFERROR(INDEX(art_unit,MATCH(C329,art_ref,0))&amp;"",""))</f>
        <v>bidon</v>
      </c>
      <c r="G329" s="37" t="inlineStr">
        <is>
          <t>BS-2026-0288</t>
        </is>
      </c>
      <c r="H329" s="37" t="inlineStr">
        <is>
          <t>Expédition</t>
        </is>
      </c>
      <c r="I329" s="37" t="n"/>
      <c r="J329" s="40">
        <f>IF(OR(C329="",NOT(ISNUMBER(E329))),"",IFERROR(E329*N(INDEX(art_price,MATCH(C329,art_ref,0))),""))</f>
        <v>54.0</v>
      </c>
      <c r="K329" s="39">
        <f>IF(OR(C329="",NOT(ISNUMBER(E329))),"",IFERROR(ROUND(N(INDEX(art_init,MATCH(C329,art_ref,0)))+SUMIFS($E$5:E329,$C$5:C329,C329,$B$5:B329,"Entrée")-SUMIFS($E$5:E329,$C$5:C329,C329,$B$5:B329,"Sortie"),6),""))</f>
        <v>11.0</v>
      </c>
      <c r="L329" s="39" t="str">
        <f>IF(COUNTA(A329:C329,E329)=0,"",IF(COUNTA(A329:C329,E329)&lt;4,"Ligne incomplète",IF(NOT(ISNUMBER(A329)),"Date invalide",IF(AND(B329&lt;&gt;"Entrée",B329&lt;&gt;"Sortie"),"Type inconnu",IF(ISNA(MATCH(C329,art_ref,0)),"Référence inconnue",IF(OR(NOT(ISNUMBER(E329)),N(E329)&lt;=0),"Quantité invalide",IF(K329&lt;0,"Stock négatif",IF(AND(ISNUMBER(A328),A329&lt;A328),"Date hors ordre","OK"))))))))</f>
        <v>OK</v>
      </c>
      <c r="M329" s="39" t="str">
        <f>IF(C329="","",C329&amp;"#"&amp;COUNTIF($C$5:C329,C329))</f>
        <v>HUI-COUP-5#20</v>
      </c>
    </row>
    <row r="330">
      <c r="A330" s="41" t="n">
        <v>46293</v>
      </c>
      <c r="B330" s="37" t="inlineStr">
        <is>
          <t>Entrée</t>
        </is>
      </c>
      <c r="C330" s="37" t="inlineStr">
        <is>
          <t>ROU-6204</t>
        </is>
      </c>
      <c r="D330" s="39" t="str">
        <f>IF(C330="","",IFERROR(INDEX(art_des,MATCH(C330,art_ref,0))&amp;"","Référence inconnue"))</f>
        <v>Roulement à billes 6204 2RS</v>
      </c>
      <c r="E330" s="37" t="n">
        <v>123</v>
      </c>
      <c r="F330" s="39" t="str">
        <f>IF(C330="","",IFERROR(INDEX(art_unit,MATCH(C330,art_ref,0))&amp;"",""))</f>
        <v>pièce</v>
      </c>
      <c r="G330" s="37" t="inlineStr">
        <is>
          <t>BL-2026-038</t>
        </is>
      </c>
      <c r="H330" s="37" t="inlineStr">
        <is>
          <t>Roulements Express</t>
        </is>
      </c>
      <c r="I330" s="37" t="inlineStr">
        <is>
          <t>Réception commande</t>
        </is>
      </c>
      <c r="J330" s="40">
        <f>IF(OR(C330="",NOT(ISNUMBER(E330))),"",IFERROR(E330*N(INDEX(art_price,MATCH(C330,art_ref,0))),""))</f>
        <v>467.4</v>
      </c>
      <c r="K330" s="39">
        <f>IF(OR(C330="",NOT(ISNUMBER(E330))),"",IFERROR(ROUND(N(INDEX(art_init,MATCH(C330,art_ref,0)))+SUMIFS($E$5:E330,$C$5:C330,C330,$B$5:B330,"Entrée")-SUMIFS($E$5:E330,$C$5:C330,C330,$B$5:B330,"Sortie"),6),""))</f>
        <v>150.0</v>
      </c>
      <c r="L330" s="39" t="str">
        <f>IF(COUNTA(A330:C330,E330)=0,"",IF(COUNTA(A330:C330,E330)&lt;4,"Ligne incomplète",IF(NOT(ISNUMBER(A330)),"Date invalide",IF(AND(B330&lt;&gt;"Entrée",B330&lt;&gt;"Sortie"),"Type inconnu",IF(ISNA(MATCH(C330,art_ref,0)),"Référence inconnue",IF(OR(NOT(ISNUMBER(E330)),N(E330)&lt;=0),"Quantité invalide",IF(K330&lt;0,"Stock négatif",IF(AND(ISNUMBER(A329),A330&lt;A329),"Date hors ordre","OK"))))))))</f>
        <v>OK</v>
      </c>
      <c r="M330" s="39" t="str">
        <f>IF(C330="","",C330&amp;"#"&amp;COUNTIF($C$5:C330,C330))</f>
        <v>ROU-6204#21</v>
      </c>
    </row>
    <row r="331">
      <c r="A331" s="41" t="n">
        <v>46297</v>
      </c>
      <c r="B331" s="37" t="inlineStr">
        <is>
          <t>Sortie</t>
        </is>
      </c>
      <c r="C331" s="37" t="inlineStr">
        <is>
          <t>DIS-125</t>
        </is>
      </c>
      <c r="D331" s="39" t="str">
        <f>IF(C331="","",IFERROR(INDEX(art_des,MATCH(C331,art_ref,0))&amp;"","Référence inconnue"))</f>
        <v>Disque à tronçonner 125 mm</v>
      </c>
      <c r="E331" s="37" t="n">
        <v>20</v>
      </c>
      <c r="F331" s="39" t="str">
        <f>IF(C331="","",IFERROR(INDEX(art_unit,MATCH(C331,art_ref,0))&amp;"",""))</f>
        <v>pièce</v>
      </c>
      <c r="G331" s="37" t="inlineStr">
        <is>
          <t>BS-2026-0289</t>
        </is>
      </c>
      <c r="H331" s="37" t="inlineStr">
        <is>
          <t>Atelier usinage</t>
        </is>
      </c>
      <c r="I331" s="37" t="n"/>
      <c r="J331" s="40">
        <f>IF(OR(C331="",NOT(ISNUMBER(E331))),"",IFERROR(E331*N(INDEX(art_price,MATCH(C331,art_ref,0))),""))</f>
        <v>38.0</v>
      </c>
      <c r="K331" s="39">
        <f>IF(OR(C331="",NOT(ISNUMBER(E331))),"",IFERROR(ROUND(N(INDEX(art_init,MATCH(C331,art_ref,0)))+SUMIFS($E$5:E331,$C$5:C331,C331,$B$5:B331,"Entrée")-SUMIFS($E$5:E331,$C$5:C331,C331,$B$5:B331,"Sortie"),6),""))</f>
        <v>40.0</v>
      </c>
      <c r="L331" s="39" t="str">
        <f>IF(COUNTA(A331:C331,E331)=0,"",IF(COUNTA(A331:C331,E331)&lt;4,"Ligne incomplète",IF(NOT(ISNUMBER(A331)),"Date invalide",IF(AND(B331&lt;&gt;"Entrée",B331&lt;&gt;"Sortie"),"Type inconnu",IF(ISNA(MATCH(C331,art_ref,0)),"Référence inconnue",IF(OR(NOT(ISNUMBER(E331)),N(E331)&lt;=0),"Quantité invalide",IF(K331&lt;0,"Stock négatif",IF(AND(ISNUMBER(A330),A331&lt;A330),"Date hors ordre","OK"))))))))</f>
        <v>OK</v>
      </c>
      <c r="M331" s="39" t="str">
        <f>IF(C331="","",C331&amp;"#"&amp;COUNTIF($C$5:C331,C331))</f>
        <v>DIS-125#21</v>
      </c>
    </row>
    <row r="332">
      <c r="A332" s="41" t="n">
        <v>46297</v>
      </c>
      <c r="B332" s="37" t="inlineStr">
        <is>
          <t>Sortie</t>
        </is>
      </c>
      <c r="C332" s="37" t="inlineStr">
        <is>
          <t>TUB-ACI-40</t>
        </is>
      </c>
      <c r="D332" s="39" t="str">
        <f>IF(C332="","",IFERROR(INDEX(art_des,MATCH(C332,art_ref,0))&amp;"","Référence inconnue"))</f>
        <v>Tube acier carré 40 x 40, 6 m</v>
      </c>
      <c r="E332" s="37" t="n">
        <v>4</v>
      </c>
      <c r="F332" s="39" t="str">
        <f>IF(C332="","",IFERROR(INDEX(art_unit,MATCH(C332,art_ref,0))&amp;"",""))</f>
        <v>barre</v>
      </c>
      <c r="G332" s="37" t="inlineStr">
        <is>
          <t>BS-2026-0290</t>
        </is>
      </c>
      <c r="H332" s="37" t="inlineStr">
        <is>
          <t>Atelier soudure</t>
        </is>
      </c>
      <c r="I332" s="37" t="n"/>
      <c r="J332" s="40">
        <f>IF(OR(C332="",NOT(ISNUMBER(E332))),"",IFERROR(E332*N(INDEX(art_price,MATCH(C332,art_ref,0))),""))</f>
        <v>124.8</v>
      </c>
      <c r="K332" s="39">
        <f>IF(OR(C332="",NOT(ISNUMBER(E332))),"",IFERROR(ROUND(N(INDEX(art_init,MATCH(C332,art_ref,0)))+SUMIFS($E$5:E332,$C$5:C332,C332,$B$5:B332,"Entrée")-SUMIFS($E$5:E332,$C$5:C332,C332,$B$5:B332,"Sortie"),6),""))</f>
        <v>12.0</v>
      </c>
      <c r="L332" s="39" t="str">
        <f>IF(COUNTA(A332:C332,E332)=0,"",IF(COUNTA(A332:C332,E332)&lt;4,"Ligne incomplète",IF(NOT(ISNUMBER(A332)),"Date invalide",IF(AND(B332&lt;&gt;"Entrée",B332&lt;&gt;"Sortie"),"Type inconnu",IF(ISNA(MATCH(C332,art_ref,0)),"Référence inconnue",IF(OR(NOT(ISNUMBER(E332)),N(E332)&lt;=0),"Quantité invalide",IF(K332&lt;0,"Stock négatif",IF(AND(ISNUMBER(A331),A332&lt;A331),"Date hors ordre","OK"))))))))</f>
        <v>OK</v>
      </c>
      <c r="M332" s="39" t="str">
        <f>IF(C332="","",C332&amp;"#"&amp;COUNTIF($C$5:C332,C332))</f>
        <v>TUB-ACI-40#21</v>
      </c>
    </row>
    <row r="333">
      <c r="A333" s="41" t="n">
        <v>46299</v>
      </c>
      <c r="B333" s="37" t="inlineStr">
        <is>
          <t>Sortie</t>
        </is>
      </c>
      <c r="C333" s="37" t="inlineStr">
        <is>
          <t>RUB-50</t>
        </is>
      </c>
      <c r="D333" s="39" t="str">
        <f>IF(C333="","",IFERROR(INDEX(art_des,MATCH(C333,art_ref,0))&amp;"","Référence inconnue"))</f>
        <v>Ruban adhésif 50 mm x 66 m</v>
      </c>
      <c r="E333" s="37" t="n">
        <v>11</v>
      </c>
      <c r="F333" s="39" t="str">
        <f>IF(C333="","",IFERROR(INDEX(art_unit,MATCH(C333,art_ref,0))&amp;"",""))</f>
        <v>rouleau</v>
      </c>
      <c r="G333" s="37" t="inlineStr">
        <is>
          <t>BS-2026-0291</t>
        </is>
      </c>
      <c r="H333" s="37" t="inlineStr">
        <is>
          <t>Expédition</t>
        </is>
      </c>
      <c r="I333" s="37" t="n"/>
      <c r="J333" s="40">
        <f>IF(OR(C333="",NOT(ISNUMBER(E333))),"",IFERROR(E333*N(INDEX(art_price,MATCH(C333,art_ref,0))),""))</f>
        <v>15.4</v>
      </c>
      <c r="K333" s="39">
        <f>IF(OR(C333="",NOT(ISNUMBER(E333))),"",IFERROR(ROUND(N(INDEX(art_init,MATCH(C333,art_ref,0)))+SUMIFS($E$5:E333,$C$5:C333,C333,$B$5:B333,"Entrée")-SUMIFS($E$5:E333,$C$5:C333,C333,$B$5:B333,"Sortie"),6),""))</f>
        <v>22.0</v>
      </c>
      <c r="L333" s="39" t="str">
        <f>IF(COUNTA(A333:C333,E333)=0,"",IF(COUNTA(A333:C333,E333)&lt;4,"Ligne incomplète",IF(NOT(ISNUMBER(A333)),"Date invalide",IF(AND(B333&lt;&gt;"Entrée",B333&lt;&gt;"Sortie"),"Type inconnu",IF(ISNA(MATCH(C333,art_ref,0)),"Référence inconnue",IF(OR(NOT(ISNUMBER(E333)),N(E333)&lt;=0),"Quantité invalide",IF(K333&lt;0,"Stock négatif",IF(AND(ISNUMBER(A332),A333&lt;A332),"Date hors ordre","OK"))))))))</f>
        <v>OK</v>
      </c>
      <c r="M333" s="39" t="str">
        <f>IF(C333="","",C333&amp;"#"&amp;COUNTIF($C$5:C333,C333))</f>
        <v>RUB-50#21</v>
      </c>
    </row>
    <row r="334">
      <c r="A334" s="41" t="n">
        <v>46300</v>
      </c>
      <c r="B334" s="37" t="inlineStr">
        <is>
          <t>Entrée</t>
        </is>
      </c>
      <c r="C334" s="37" t="inlineStr">
        <is>
          <t>DIS-125</t>
        </is>
      </c>
      <c r="D334" s="39" t="str">
        <f>IF(C334="","",IFERROR(INDEX(art_des,MATCH(C334,art_ref,0))&amp;"","Référence inconnue"))</f>
        <v>Disque à tronçonner 125 mm</v>
      </c>
      <c r="E334" s="37" t="n">
        <v>160</v>
      </c>
      <c r="F334" s="39" t="str">
        <f>IF(C334="","",IFERROR(INDEX(art_unit,MATCH(C334,art_ref,0))&amp;"",""))</f>
        <v>pièce</v>
      </c>
      <c r="G334" s="37" t="inlineStr">
        <is>
          <t>BL-2026-039</t>
        </is>
      </c>
      <c r="H334" s="37" t="inlineStr">
        <is>
          <t>Outillage Pro</t>
        </is>
      </c>
      <c r="I334" s="37" t="inlineStr">
        <is>
          <t>Réception commande</t>
        </is>
      </c>
      <c r="J334" s="40">
        <f>IF(OR(C334="",NOT(ISNUMBER(E334))),"",IFERROR(E334*N(INDEX(art_price,MATCH(C334,art_ref,0))),""))</f>
        <v>304.0</v>
      </c>
      <c r="K334" s="39">
        <f>IF(OR(C334="",NOT(ISNUMBER(E334))),"",IFERROR(ROUND(N(INDEX(art_init,MATCH(C334,art_ref,0)))+SUMIFS($E$5:E334,$C$5:C334,C334,$B$5:B334,"Entrée")-SUMIFS($E$5:E334,$C$5:C334,C334,$B$5:B334,"Sortie"),6),""))</f>
        <v>200.0</v>
      </c>
      <c r="L334" s="39" t="str">
        <f>IF(COUNTA(A334:C334,E334)=0,"",IF(COUNTA(A334:C334,E334)&lt;4,"Ligne incomplète",IF(NOT(ISNUMBER(A334)),"Date invalide",IF(AND(B334&lt;&gt;"Entrée",B334&lt;&gt;"Sortie"),"Type inconnu",IF(ISNA(MATCH(C334,art_ref,0)),"Référence inconnue",IF(OR(NOT(ISNUMBER(E334)),N(E334)&lt;=0),"Quantité invalide",IF(K334&lt;0,"Stock négatif",IF(AND(ISNUMBER(A333),A334&lt;A333),"Date hors ordre","OK"))))))))</f>
        <v>OK</v>
      </c>
      <c r="M334" s="39" t="str">
        <f>IF(C334="","",C334&amp;"#"&amp;COUNTIF($C$5:C334,C334))</f>
        <v>DIS-125#22</v>
      </c>
    </row>
    <row r="335">
      <c r="A335" s="41" t="n">
        <v>46300</v>
      </c>
      <c r="B335" s="37" t="inlineStr">
        <is>
          <t>Sortie</t>
        </is>
      </c>
      <c r="C335" s="37" t="inlineStr">
        <is>
          <t>ECR-M6</t>
        </is>
      </c>
      <c r="D335" s="39" t="str">
        <f>IF(C335="","",IFERROR(INDEX(art_des,MATCH(C335,art_ref,0))&amp;"","Référence inconnue"))</f>
        <v>Écrou inox M6</v>
      </c>
      <c r="E335" s="37" t="n">
        <v>522</v>
      </c>
      <c r="F335" s="39" t="str">
        <f>IF(C335="","",IFERROR(INDEX(art_unit,MATCH(C335,art_ref,0))&amp;"",""))</f>
        <v>pièce</v>
      </c>
      <c r="G335" s="37" t="inlineStr">
        <is>
          <t>BS-2026-0292</t>
        </is>
      </c>
      <c r="H335" s="37" t="inlineStr">
        <is>
          <t>Atelier usinage</t>
        </is>
      </c>
      <c r="I335" s="37" t="n"/>
      <c r="J335" s="40">
        <f>IF(OR(C335="",NOT(ISNUMBER(E335))),"",IFERROR(E335*N(INDEX(art_price,MATCH(C335,art_ref,0))),""))</f>
        <v>26.1</v>
      </c>
      <c r="K335" s="39">
        <f>IF(OR(C335="",NOT(ISNUMBER(E335))),"",IFERROR(ROUND(N(INDEX(art_init,MATCH(C335,art_ref,0)))+SUMIFS($E$5:E335,$C$5:C335,C335,$B$5:B335,"Entrée")-SUMIFS($E$5:E335,$C$5:C335,C335,$B$5:B335,"Sortie"),6),""))</f>
        <v>1441.0</v>
      </c>
      <c r="L335" s="39" t="str">
        <f>IF(COUNTA(A335:C335,E335)=0,"",IF(COUNTA(A335:C335,E335)&lt;4,"Ligne incomplète",IF(NOT(ISNUMBER(A335)),"Date invalide",IF(AND(B335&lt;&gt;"Entrée",B335&lt;&gt;"Sortie"),"Type inconnu",IF(ISNA(MATCH(C335,art_ref,0)),"Référence inconnue",IF(OR(NOT(ISNUMBER(E335)),N(E335)&lt;=0),"Quantité invalide",IF(K335&lt;0,"Stock négatif",IF(AND(ISNUMBER(A334),A335&lt;A334),"Date hors ordre","OK"))))))))</f>
        <v>OK</v>
      </c>
      <c r="M335" s="39" t="str">
        <f>IF(C335="","",C335&amp;"#"&amp;COUNTIF($C$5:C335,C335))</f>
        <v>ECR-M6#21</v>
      </c>
    </row>
    <row r="336">
      <c r="A336" s="41" t="n">
        <v>46302</v>
      </c>
      <c r="B336" s="37" t="inlineStr">
        <is>
          <t>Entrée</t>
        </is>
      </c>
      <c r="C336" s="37" t="inlineStr">
        <is>
          <t>RUB-50</t>
        </is>
      </c>
      <c r="D336" s="39" t="str">
        <f>IF(C336="","",IFERROR(INDEX(art_des,MATCH(C336,art_ref,0))&amp;"","Référence inconnue"))</f>
        <v>Ruban adhésif 50 mm x 66 m</v>
      </c>
      <c r="E336" s="37" t="n">
        <v>98</v>
      </c>
      <c r="F336" s="39" t="str">
        <f>IF(C336="","",IFERROR(INDEX(art_unit,MATCH(C336,art_ref,0))&amp;"",""))</f>
        <v>rouleau</v>
      </c>
      <c r="G336" s="37" t="inlineStr">
        <is>
          <t>BL-2026-040</t>
        </is>
      </c>
      <c r="H336" s="37" t="inlineStr">
        <is>
          <t>Emballages Atlas</t>
        </is>
      </c>
      <c r="I336" s="37" t="inlineStr">
        <is>
          <t>Réception commande</t>
        </is>
      </c>
      <c r="J336" s="40">
        <f>IF(OR(C336="",NOT(ISNUMBER(E336))),"",IFERROR(E336*N(INDEX(art_price,MATCH(C336,art_ref,0))),""))</f>
        <v>137.2</v>
      </c>
      <c r="K336" s="39">
        <f>IF(OR(C336="",NOT(ISNUMBER(E336))),"",IFERROR(ROUND(N(INDEX(art_init,MATCH(C336,art_ref,0)))+SUMIFS($E$5:E336,$C$5:C336,C336,$B$5:B336,"Entrée")-SUMIFS($E$5:E336,$C$5:C336,C336,$B$5:B336,"Sortie"),6),""))</f>
        <v>120.0</v>
      </c>
      <c r="L336" s="39" t="str">
        <f>IF(COUNTA(A336:C336,E336)=0,"",IF(COUNTA(A336:C336,E336)&lt;4,"Ligne incomplète",IF(NOT(ISNUMBER(A336)),"Date invalide",IF(AND(B336&lt;&gt;"Entrée",B336&lt;&gt;"Sortie"),"Type inconnu",IF(ISNA(MATCH(C336,art_ref,0)),"Référence inconnue",IF(OR(NOT(ISNUMBER(E336)),N(E336)&lt;=0),"Quantité invalide",IF(K336&lt;0,"Stock négatif",IF(AND(ISNUMBER(A335),A336&lt;A335),"Date hors ordre","OK"))))))))</f>
        <v>OK</v>
      </c>
      <c r="M336" s="39" t="str">
        <f>IF(C336="","",C336&amp;"#"&amp;COUNTIF($C$5:C336,C336))</f>
        <v>RUB-50#22</v>
      </c>
    </row>
    <row r="337">
      <c r="A337" s="41" t="n">
        <v>46303</v>
      </c>
      <c r="B337" s="37" t="inlineStr">
        <is>
          <t>Sortie</t>
        </is>
      </c>
      <c r="C337" s="37" t="inlineStr">
        <is>
          <t>CAR-40-30</t>
        </is>
      </c>
      <c r="D337" s="39" t="str">
        <f>IF(C337="","",IFERROR(INDEX(art_des,MATCH(C337,art_ref,0))&amp;"","Référence inconnue"))</f>
        <v>Carton double cannelure 40 x 30 x 20</v>
      </c>
      <c r="E337" s="37" t="n">
        <v>74</v>
      </c>
      <c r="F337" s="39" t="str">
        <f>IF(C337="","",IFERROR(INDEX(art_unit,MATCH(C337,art_ref,0))&amp;"",""))</f>
        <v>pièce</v>
      </c>
      <c r="G337" s="37" t="inlineStr">
        <is>
          <t>BS-2026-0293</t>
        </is>
      </c>
      <c r="H337" s="37" t="inlineStr">
        <is>
          <t>Atelier montage</t>
        </is>
      </c>
      <c r="I337" s="37" t="n"/>
      <c r="J337" s="40">
        <f>IF(OR(C337="",NOT(ISNUMBER(E337))),"",IFERROR(E337*N(INDEX(art_price,MATCH(C337,art_ref,0))),""))</f>
        <v>70.3</v>
      </c>
      <c r="K337" s="39">
        <f>IF(OR(C337="",NOT(ISNUMBER(E337))),"",IFERROR(ROUND(N(INDEX(art_init,MATCH(C337,art_ref,0)))+SUMIFS($E$5:E337,$C$5:C337,C337,$B$5:B337,"Entrée")-SUMIFS($E$5:E337,$C$5:C337,C337,$B$5:B337,"Sortie"),6),""))</f>
        <v>642.0</v>
      </c>
      <c r="L337" s="39" t="str">
        <f>IF(COUNTA(A337:C337,E337)=0,"",IF(COUNTA(A337:C337,E337)&lt;4,"Ligne incomplète",IF(NOT(ISNUMBER(A337)),"Date invalide",IF(AND(B337&lt;&gt;"Entrée",B337&lt;&gt;"Sortie"),"Type inconnu",IF(ISNA(MATCH(C337,art_ref,0)),"Référence inconnue",IF(OR(NOT(ISNUMBER(E337)),N(E337)&lt;=0),"Quantité invalide",IF(K337&lt;0,"Stock négatif",IF(AND(ISNUMBER(A336),A337&lt;A336),"Date hors ordre","OK"))))))))</f>
        <v>OK</v>
      </c>
      <c r="M337" s="39" t="str">
        <f>IF(C337="","",C337&amp;"#"&amp;COUNTIF($C$5:C337,C337))</f>
        <v>CAR-40-30#22</v>
      </c>
    </row>
    <row r="338">
      <c r="A338" s="41" t="n">
        <v>46304</v>
      </c>
      <c r="B338" s="37" t="inlineStr">
        <is>
          <t>Sortie</t>
        </is>
      </c>
      <c r="C338" s="37" t="inlineStr">
        <is>
          <t>CAB-2.5</t>
        </is>
      </c>
      <c r="D338" s="39" t="str">
        <f>IF(C338="","",IFERROR(INDEX(art_des,MATCH(C338,art_ref,0))&amp;"","Référence inconnue"))</f>
        <v>Câble électrique 2,5 mm²</v>
      </c>
      <c r="E338" s="37" t="n">
        <v>33</v>
      </c>
      <c r="F338" s="39" t="str">
        <f>IF(C338="","",IFERROR(INDEX(art_unit,MATCH(C338,art_ref,0))&amp;"",""))</f>
        <v>m</v>
      </c>
      <c r="G338" s="37" t="inlineStr">
        <is>
          <t>BS-2026-0294</t>
        </is>
      </c>
      <c r="H338" s="37" t="inlineStr">
        <is>
          <t>Maintenance</t>
        </is>
      </c>
      <c r="I338" s="37" t="n"/>
      <c r="J338" s="40">
        <f>IF(OR(C338="",NOT(ISNUMBER(E338))),"",IFERROR(E338*N(INDEX(art_price,MATCH(C338,art_ref,0))),""))</f>
        <v>22.44</v>
      </c>
      <c r="K338" s="39">
        <f>IF(OR(C338="",NOT(ISNUMBER(E338))),"",IFERROR(ROUND(N(INDEX(art_init,MATCH(C338,art_ref,0)))+SUMIFS($E$5:E338,$C$5:C338,C338,$B$5:B338,"Entrée")-SUMIFS($E$5:E338,$C$5:C338,C338,$B$5:B338,"Sortie"),6),""))</f>
        <v>333.0</v>
      </c>
      <c r="L338" s="39" t="str">
        <f>IF(COUNTA(A338:C338,E338)=0,"",IF(COUNTA(A338:C338,E338)&lt;4,"Ligne incomplète",IF(NOT(ISNUMBER(A338)),"Date invalide",IF(AND(B338&lt;&gt;"Entrée",B338&lt;&gt;"Sortie"),"Type inconnu",IF(ISNA(MATCH(C338,art_ref,0)),"Référence inconnue",IF(OR(NOT(ISNUMBER(E338)),N(E338)&lt;=0),"Quantité invalide",IF(K338&lt;0,"Stock négatif",IF(AND(ISNUMBER(A337),A338&lt;A337),"Date hors ordre","OK"))))))))</f>
        <v>OK</v>
      </c>
      <c r="M338" s="39" t="str">
        <f>IF(C338="","",C338&amp;"#"&amp;COUNTIF($C$5:C338,C338))</f>
        <v>CAB-2.5#21</v>
      </c>
    </row>
    <row r="339">
      <c r="A339" s="41" t="n">
        <v>46304</v>
      </c>
      <c r="B339" s="37" t="inlineStr">
        <is>
          <t>Sortie</t>
        </is>
      </c>
      <c r="C339" s="37" t="inlineStr">
        <is>
          <t>JOI-20-2</t>
        </is>
      </c>
      <c r="D339" s="39" t="str">
        <f>IF(C339="","",IFERROR(INDEX(art_des,MATCH(C339,art_ref,0))&amp;"","Référence inconnue"))</f>
        <v>Joint torique 20 x 2 NBR</v>
      </c>
      <c r="E339" s="37" t="n">
        <v>74</v>
      </c>
      <c r="F339" s="39" t="str">
        <f>IF(C339="","",IFERROR(INDEX(art_unit,MATCH(C339,art_ref,0))&amp;"",""))</f>
        <v>pièce</v>
      </c>
      <c r="G339" s="37" t="inlineStr">
        <is>
          <t>BS-2026-0295</t>
        </is>
      </c>
      <c r="H339" s="37" t="inlineStr">
        <is>
          <t>Expédition</t>
        </is>
      </c>
      <c r="I339" s="37" t="n"/>
      <c r="J339" s="40">
        <f>IF(OR(C339="",NOT(ISNUMBER(E339))),"",IFERROR(E339*N(INDEX(art_price,MATCH(C339,art_ref,0))),""))</f>
        <v>25.9</v>
      </c>
      <c r="K339" s="39">
        <f>IF(OR(C339="",NOT(ISNUMBER(E339))),"",IFERROR(ROUND(N(INDEX(art_init,MATCH(C339,art_ref,0)))+SUMIFS($E$5:E339,$C$5:C339,C339,$B$5:B339,"Entrée")-SUMIFS($E$5:E339,$C$5:C339,C339,$B$5:B339,"Sortie"),6),""))</f>
        <v>221.0</v>
      </c>
      <c r="L339" s="39" t="str">
        <f>IF(COUNTA(A339:C339,E339)=0,"",IF(COUNTA(A339:C339,E339)&lt;4,"Ligne incomplète",IF(NOT(ISNUMBER(A339)),"Date invalide",IF(AND(B339&lt;&gt;"Entrée",B339&lt;&gt;"Sortie"),"Type inconnu",IF(ISNA(MATCH(C339,art_ref,0)),"Référence inconnue",IF(OR(NOT(ISNUMBER(E339)),N(E339)&lt;=0),"Quantité invalide",IF(K339&lt;0,"Stock négatif",IF(AND(ISNUMBER(A338),A339&lt;A338),"Date hors ordre","OK"))))))))</f>
        <v>OK</v>
      </c>
      <c r="M339" s="39" t="str">
        <f>IF(C339="","",C339&amp;"#"&amp;COUNTIF($C$5:C339,C339))</f>
        <v>JOI-20-2#21</v>
      </c>
    </row>
    <row r="340">
      <c r="A340" s="41" t="n">
        <v>46305</v>
      </c>
      <c r="B340" s="37" t="inlineStr">
        <is>
          <t>Sortie</t>
        </is>
      </c>
      <c r="C340" s="37" t="inlineStr">
        <is>
          <t>BOR-WAGO-3</t>
        </is>
      </c>
      <c r="D340" s="39" t="str">
        <f>IF(C340="","",IFERROR(INDEX(art_des,MATCH(C340,art_ref,0))&amp;"","Référence inconnue"))</f>
        <v>Borne de connexion 3 entrées</v>
      </c>
      <c r="E340" s="37" t="n">
        <v>31</v>
      </c>
      <c r="F340" s="39" t="str">
        <f>IF(C340="","",IFERROR(INDEX(art_unit,MATCH(C340,art_ref,0))&amp;"",""))</f>
        <v>pièce</v>
      </c>
      <c r="G340" s="37" t="inlineStr">
        <is>
          <t>BS-2026-0296</t>
        </is>
      </c>
      <c r="H340" s="37" t="inlineStr">
        <is>
          <t>Atelier montage</t>
        </is>
      </c>
      <c r="I340" s="37" t="n"/>
      <c r="J340" s="40">
        <f>IF(OR(C340="",NOT(ISNUMBER(E340))),"",IFERROR(E340*N(INDEX(art_price,MATCH(C340,art_ref,0))),""))</f>
        <v>13.02</v>
      </c>
      <c r="K340" s="39">
        <f>IF(OR(C340="",NOT(ISNUMBER(E340))),"",IFERROR(ROUND(N(INDEX(art_init,MATCH(C340,art_ref,0)))+SUMIFS($E$5:E340,$C$5:C340,C340,$B$5:B340,"Entrée")-SUMIFS($E$5:E340,$C$5:C340,C340,$B$5:B340,"Sortie"),6),""))</f>
        <v>155.0</v>
      </c>
      <c r="L340" s="39" t="str">
        <f>IF(COUNTA(A340:C340,E340)=0,"",IF(COUNTA(A340:C340,E340)&lt;4,"Ligne incomplète",IF(NOT(ISNUMBER(A340)),"Date invalide",IF(AND(B340&lt;&gt;"Entrée",B340&lt;&gt;"Sortie"),"Type inconnu",IF(ISNA(MATCH(C340,art_ref,0)),"Référence inconnue",IF(OR(NOT(ISNUMBER(E340)),N(E340)&lt;=0),"Quantité invalide",IF(K340&lt;0,"Stock négatif",IF(AND(ISNUMBER(A339),A340&lt;A339),"Date hors ordre","OK"))))))))</f>
        <v>OK</v>
      </c>
      <c r="M340" s="39" t="str">
        <f>IF(C340="","",C340&amp;"#"&amp;COUNTIF($C$5:C340,C340))</f>
        <v>BOR-WAGO-3#21</v>
      </c>
    </row>
    <row r="341">
      <c r="A341" s="41" t="n">
        <v>46305</v>
      </c>
      <c r="B341" s="37" t="inlineStr">
        <is>
          <t>Sortie</t>
        </is>
      </c>
      <c r="C341" s="37" t="inlineStr">
        <is>
          <t>FOR-HSS-8</t>
        </is>
      </c>
      <c r="D341" s="39" t="str">
        <f>IF(C341="","",IFERROR(INDEX(art_des,MATCH(C341,art_ref,0))&amp;"","Référence inconnue"))</f>
        <v>Foret HSS 8 mm</v>
      </c>
      <c r="E341" s="37" t="n">
        <v>3</v>
      </c>
      <c r="F341" s="39" t="str">
        <f>IF(C341="","",IFERROR(INDEX(art_unit,MATCH(C341,art_ref,0))&amp;"",""))</f>
        <v>pièce</v>
      </c>
      <c r="G341" s="37" t="inlineStr">
        <is>
          <t>BS-2026-0297</t>
        </is>
      </c>
      <c r="H341" s="37" t="inlineStr">
        <is>
          <t>Expédition</t>
        </is>
      </c>
      <c r="I341" s="37" t="n"/>
      <c r="J341" s="40">
        <f>IF(OR(C341="",NOT(ISNUMBER(E341))),"",IFERROR(E341*N(INDEX(art_price,MATCH(C341,art_ref,0))),""))</f>
        <v>13.8</v>
      </c>
      <c r="K341" s="39">
        <f>IF(OR(C341="",NOT(ISNUMBER(E341))),"",IFERROR(ROUND(N(INDEX(art_init,MATCH(C341,art_ref,0)))+SUMIFS($E$5:E341,$C$5:C341,C341,$B$5:B341,"Entrée")-SUMIFS($E$5:E341,$C$5:C341,C341,$B$5:B341,"Sortie"),6),""))</f>
        <v>37.0</v>
      </c>
      <c r="L341" s="39" t="str">
        <f>IF(COUNTA(A341:C341,E341)=0,"",IF(COUNTA(A341:C341,E341)&lt;4,"Ligne incomplète",IF(NOT(ISNUMBER(A341)),"Date invalide",IF(AND(B341&lt;&gt;"Entrée",B341&lt;&gt;"Sortie"),"Type inconnu",IF(ISNA(MATCH(C341,art_ref,0)),"Référence inconnue",IF(OR(NOT(ISNUMBER(E341)),N(E341)&lt;=0),"Quantité invalide",IF(K341&lt;0,"Stock négatif",IF(AND(ISNUMBER(A340),A341&lt;A340),"Date hors ordre","OK"))))))))</f>
        <v>OK</v>
      </c>
      <c r="M341" s="39" t="str">
        <f>IF(C341="","",C341&amp;"#"&amp;COUNTIF($C$5:C341,C341))</f>
        <v>FOR-HSS-8#21</v>
      </c>
    </row>
    <row r="342">
      <c r="A342" s="41" t="n">
        <v>46305</v>
      </c>
      <c r="B342" s="37" t="inlineStr">
        <is>
          <t>Sortie</t>
        </is>
      </c>
      <c r="C342" s="37" t="inlineStr">
        <is>
          <t>PAL-120</t>
        </is>
      </c>
      <c r="D342" s="39" t="str">
        <f>IF(C342="","",IFERROR(INDEX(art_des,MATCH(C342,art_ref,0))&amp;"","Référence inconnue"))</f>
        <v>Palette bois 120 x 80</v>
      </c>
      <c r="E342" s="37" t="n">
        <v>6</v>
      </c>
      <c r="F342" s="39" t="str">
        <f>IF(C342="","",IFERROR(INDEX(art_unit,MATCH(C342,art_ref,0))&amp;"",""))</f>
        <v>pièce</v>
      </c>
      <c r="G342" s="37" t="inlineStr">
        <is>
          <t>BS-2026-0298</t>
        </is>
      </c>
      <c r="H342" s="37" t="inlineStr">
        <is>
          <t>Atelier soudure</t>
        </is>
      </c>
      <c r="I342" s="37" t="n"/>
      <c r="J342" s="40">
        <f>IF(OR(C342="",NOT(ISNUMBER(E342))),"",IFERROR(E342*N(INDEX(art_price,MATCH(C342,art_ref,0))),""))</f>
        <v>54.0</v>
      </c>
      <c r="K342" s="39">
        <f>IF(OR(C342="",NOT(ISNUMBER(E342))),"",IFERROR(ROUND(N(INDEX(art_init,MATCH(C342,art_ref,0)))+SUMIFS($E$5:E342,$C$5:C342,C342,$B$5:B342,"Entrée")-SUMIFS($E$5:E342,$C$5:C342,C342,$B$5:B342,"Sortie"),6),""))</f>
        <v>38.0</v>
      </c>
      <c r="L342" s="39" t="str">
        <f>IF(COUNTA(A342:C342,E342)=0,"",IF(COUNTA(A342:C342,E342)&lt;4,"Ligne incomplète",IF(NOT(ISNUMBER(A342)),"Date invalide",IF(AND(B342&lt;&gt;"Entrée",B342&lt;&gt;"Sortie"),"Type inconnu",IF(ISNA(MATCH(C342,art_ref,0)),"Référence inconnue",IF(OR(NOT(ISNUMBER(E342)),N(E342)&lt;=0),"Quantité invalide",IF(K342&lt;0,"Stock négatif",IF(AND(ISNUMBER(A341),A342&lt;A341),"Date hors ordre","OK"))))))))</f>
        <v>OK</v>
      </c>
      <c r="M342" s="39" t="str">
        <f>IF(C342="","",C342&amp;"#"&amp;COUNTIF($C$5:C342,C342))</f>
        <v>PAL-120#22</v>
      </c>
    </row>
    <row r="343">
      <c r="A343" s="41" t="n">
        <v>46305</v>
      </c>
      <c r="B343" s="37" t="inlineStr">
        <is>
          <t>Sortie</t>
        </is>
      </c>
      <c r="C343" s="37" t="inlineStr">
        <is>
          <t>VIS-M6-20</t>
        </is>
      </c>
      <c r="D343" s="39" t="str">
        <f>IF(C343="","",IFERROR(INDEX(art_des,MATCH(C343,art_ref,0))&amp;"","Référence inconnue"))</f>
        <v>Vis inox M6 x 20</v>
      </c>
      <c r="E343" s="37" t="n">
        <v>471</v>
      </c>
      <c r="F343" s="39" t="str">
        <f>IF(C343="","",IFERROR(INDEX(art_unit,MATCH(C343,art_ref,0))&amp;"",""))</f>
        <v>pièce</v>
      </c>
      <c r="G343" s="37" t="inlineStr">
        <is>
          <t>BS-2026-0299</t>
        </is>
      </c>
      <c r="H343" s="37" t="inlineStr">
        <is>
          <t>Maintenance</t>
        </is>
      </c>
      <c r="I343" s="37" t="n"/>
      <c r="J343" s="40">
        <f>IF(OR(C343="",NOT(ISNUMBER(E343))),"",IFERROR(E343*N(INDEX(art_price,MATCH(C343,art_ref,0))),""))</f>
        <v>56.52</v>
      </c>
      <c r="K343" s="39">
        <f>IF(OR(C343="",NOT(ISNUMBER(E343))),"",IFERROR(ROUND(N(INDEX(art_init,MATCH(C343,art_ref,0)))+SUMIFS($E$5:E343,$C$5:C343,C343,$B$5:B343,"Entrée")-SUMIFS($E$5:E343,$C$5:C343,C343,$B$5:B343,"Sortie"),6),""))</f>
        <v>963.0</v>
      </c>
      <c r="L343" s="39" t="str">
        <f>IF(COUNTA(A343:C343,E343)=0,"",IF(COUNTA(A343:C343,E343)&lt;4,"Ligne incomplète",IF(NOT(ISNUMBER(A343)),"Date invalide",IF(AND(B343&lt;&gt;"Entrée",B343&lt;&gt;"Sortie"),"Type inconnu",IF(ISNA(MATCH(C343,art_ref,0)),"Référence inconnue",IF(OR(NOT(ISNUMBER(E343)),N(E343)&lt;=0),"Quantité invalide",IF(K343&lt;0,"Stock négatif",IF(AND(ISNUMBER(A342),A343&lt;A342),"Date hors ordre","OK"))))))))</f>
        <v>OK</v>
      </c>
      <c r="M343" s="39" t="str">
        <f>IF(C343="","",C343&amp;"#"&amp;COUNTIF($C$5:C343,C343))</f>
        <v>VIS-M6-20#21</v>
      </c>
    </row>
    <row r="344">
      <c r="A344" s="41" t="n">
        <v>46306</v>
      </c>
      <c r="B344" s="37" t="inlineStr">
        <is>
          <t>Sortie</t>
        </is>
      </c>
      <c r="C344" s="37" t="inlineStr">
        <is>
          <t>GAN-NIT</t>
        </is>
      </c>
      <c r="D344" s="39" t="str">
        <f>IF(C344="","",IFERROR(INDEX(art_des,MATCH(C344,art_ref,0))&amp;"","Référence inconnue"))</f>
        <v>Gants nitrile, boîte de 100</v>
      </c>
      <c r="E344" s="37" t="n">
        <v>3</v>
      </c>
      <c r="F344" s="39" t="str">
        <f>IF(C344="","",IFERROR(INDEX(art_unit,MATCH(C344,art_ref,0))&amp;"",""))</f>
        <v>boîte</v>
      </c>
      <c r="G344" s="37" t="inlineStr">
        <is>
          <t>BS-2026-0300</t>
        </is>
      </c>
      <c r="H344" s="37" t="inlineStr">
        <is>
          <t>Atelier montage</t>
        </is>
      </c>
      <c r="I344" s="37" t="n"/>
      <c r="J344" s="40">
        <f>IF(OR(C344="",NOT(ISNUMBER(E344))),"",IFERROR(E344*N(INDEX(art_price,MATCH(C344,art_ref,0))),""))</f>
        <v>22.5</v>
      </c>
      <c r="K344" s="39">
        <f>IF(OR(C344="",NOT(ISNUMBER(E344))),"",IFERROR(ROUND(N(INDEX(art_init,MATCH(C344,art_ref,0)))+SUMIFS($E$5:E344,$C$5:C344,C344,$B$5:B344,"Entrée")-SUMIFS($E$5:E344,$C$5:C344,C344,$B$5:B344,"Sortie"),6),""))</f>
        <v>24.0</v>
      </c>
      <c r="L344" s="39" t="str">
        <f>IF(COUNTA(A344:C344,E344)=0,"",IF(COUNTA(A344:C344,E344)&lt;4,"Ligne incomplète",IF(NOT(ISNUMBER(A344)),"Date invalide",IF(AND(B344&lt;&gt;"Entrée",B344&lt;&gt;"Sortie"),"Type inconnu",IF(ISNA(MATCH(C344,art_ref,0)),"Référence inconnue",IF(OR(NOT(ISNUMBER(E344)),N(E344)&lt;=0),"Quantité invalide",IF(K344&lt;0,"Stock négatif",IF(AND(ISNUMBER(A343),A344&lt;A343),"Date hors ordre","OK"))))))))</f>
        <v>OK</v>
      </c>
      <c r="M344" s="39" t="str">
        <f>IF(C344="","",C344&amp;"#"&amp;COUNTIF($C$5:C344,C344))</f>
        <v>GAN-NIT#22</v>
      </c>
    </row>
    <row r="345">
      <c r="A345" s="41" t="n">
        <v>46307</v>
      </c>
      <c r="B345" s="37" t="inlineStr">
        <is>
          <t>Sortie</t>
        </is>
      </c>
      <c r="C345" s="37" t="inlineStr">
        <is>
          <t>HUI-COUP-5</t>
        </is>
      </c>
      <c r="D345" s="39" t="str">
        <f>IF(C345="","",IFERROR(INDEX(art_des,MATCH(C345,art_ref,0))&amp;"","Référence inconnue"))</f>
        <v>Huile de coupe soluble 5 L</v>
      </c>
      <c r="E345" s="37" t="n">
        <v>1</v>
      </c>
      <c r="F345" s="39" t="str">
        <f>IF(C345="","",IFERROR(INDEX(art_unit,MATCH(C345,art_ref,0))&amp;"",""))</f>
        <v>bidon</v>
      </c>
      <c r="G345" s="37" t="inlineStr">
        <is>
          <t>BS-2026-0301</t>
        </is>
      </c>
      <c r="H345" s="37" t="inlineStr">
        <is>
          <t>Atelier montage</t>
        </is>
      </c>
      <c r="I345" s="37" t="n"/>
      <c r="J345" s="40">
        <f>IF(OR(C345="",NOT(ISNUMBER(E345))),"",IFERROR(E345*N(INDEX(art_price,MATCH(C345,art_ref,0))),""))</f>
        <v>27.0</v>
      </c>
      <c r="K345" s="39">
        <f>IF(OR(C345="",NOT(ISNUMBER(E345))),"",IFERROR(ROUND(N(INDEX(art_init,MATCH(C345,art_ref,0)))+SUMIFS($E$5:E345,$C$5:C345,C345,$B$5:B345,"Entrée")-SUMIFS($E$5:E345,$C$5:C345,C345,$B$5:B345,"Sortie"),6),""))</f>
        <v>10.0</v>
      </c>
      <c r="L345" s="39" t="str">
        <f>IF(COUNTA(A345:C345,E345)=0,"",IF(COUNTA(A345:C345,E345)&lt;4,"Ligne incomplète",IF(NOT(ISNUMBER(A345)),"Date invalide",IF(AND(B345&lt;&gt;"Entrée",B345&lt;&gt;"Sortie"),"Type inconnu",IF(ISNA(MATCH(C345,art_ref,0)),"Référence inconnue",IF(OR(NOT(ISNUMBER(E345)),N(E345)&lt;=0),"Quantité invalide",IF(K345&lt;0,"Stock négatif",IF(AND(ISNUMBER(A344),A345&lt;A344),"Date hors ordre","OK"))))))))</f>
        <v>OK</v>
      </c>
      <c r="M345" s="39" t="str">
        <f>IF(C345="","",C345&amp;"#"&amp;COUNTIF($C$5:C345,C345))</f>
        <v>HUI-COUP-5#21</v>
      </c>
    </row>
    <row r="346">
      <c r="A346" s="41" t="n">
        <v>46307</v>
      </c>
      <c r="B346" s="37" t="inlineStr">
        <is>
          <t>Sortie</t>
        </is>
      </c>
      <c r="C346" s="37" t="inlineStr">
        <is>
          <t>ROU-6204</t>
        </is>
      </c>
      <c r="D346" s="39" t="str">
        <f>IF(C346="","",IFERROR(INDEX(art_des,MATCH(C346,art_ref,0))&amp;"","Référence inconnue"))</f>
        <v>Roulement à billes 6204 2RS</v>
      </c>
      <c r="E346" s="37" t="n">
        <v>17</v>
      </c>
      <c r="F346" s="39" t="str">
        <f>IF(C346="","",IFERROR(INDEX(art_unit,MATCH(C346,art_ref,0))&amp;"",""))</f>
        <v>pièce</v>
      </c>
      <c r="G346" s="37" t="inlineStr">
        <is>
          <t>BS-2026-0302</t>
        </is>
      </c>
      <c r="H346" s="37" t="inlineStr">
        <is>
          <t>Expédition</t>
        </is>
      </c>
      <c r="I346" s="37" t="n"/>
      <c r="J346" s="40">
        <f>IF(OR(C346="",NOT(ISNUMBER(E346))),"",IFERROR(E346*N(INDEX(art_price,MATCH(C346,art_ref,0))),""))</f>
        <v>64.6</v>
      </c>
      <c r="K346" s="39">
        <f>IF(OR(C346="",NOT(ISNUMBER(E346))),"",IFERROR(ROUND(N(INDEX(art_init,MATCH(C346,art_ref,0)))+SUMIFS($E$5:E346,$C$5:C346,C346,$B$5:B346,"Entrée")-SUMIFS($E$5:E346,$C$5:C346,C346,$B$5:B346,"Sortie"),6),""))</f>
        <v>133.0</v>
      </c>
      <c r="L346" s="39" t="str">
        <f>IF(COUNTA(A346:C346,E346)=0,"",IF(COUNTA(A346:C346,E346)&lt;4,"Ligne incomplète",IF(NOT(ISNUMBER(A346)),"Date invalide",IF(AND(B346&lt;&gt;"Entrée",B346&lt;&gt;"Sortie"),"Type inconnu",IF(ISNA(MATCH(C346,art_ref,0)),"Référence inconnue",IF(OR(NOT(ISNUMBER(E346)),N(E346)&lt;=0),"Quantité invalide",IF(K346&lt;0,"Stock négatif",IF(AND(ISNUMBER(A345),A346&lt;A345),"Date hors ordre","OK"))))))))</f>
        <v>OK</v>
      </c>
      <c r="M346" s="39" t="str">
        <f>IF(C346="","",C346&amp;"#"&amp;COUNTIF($C$5:C346,C346))</f>
        <v>ROU-6204#22</v>
      </c>
    </row>
    <row r="347">
      <c r="A347" s="41" t="n">
        <v>46307</v>
      </c>
      <c r="B347" s="37" t="inlineStr">
        <is>
          <t>Sortie</t>
        </is>
      </c>
      <c r="C347" s="37" t="inlineStr">
        <is>
          <t>TOL-ACI-2</t>
        </is>
      </c>
      <c r="D347" s="39" t="str">
        <f>IF(C347="","",IFERROR(INDEX(art_des,MATCH(C347,art_ref,0))&amp;"","Référence inconnue"))</f>
        <v>Tôle acier 2 mm 1000 x 2000</v>
      </c>
      <c r="E347" s="37" t="n">
        <v>7</v>
      </c>
      <c r="F347" s="39" t="str">
        <f>IF(C347="","",IFERROR(INDEX(art_unit,MATCH(C347,art_ref,0))&amp;"",""))</f>
        <v>feuille</v>
      </c>
      <c r="G347" s="37" t="inlineStr">
        <is>
          <t>BS-2026-0303</t>
        </is>
      </c>
      <c r="H347" s="37" t="inlineStr">
        <is>
          <t>Maintenance</t>
        </is>
      </c>
      <c r="I347" s="37" t="n"/>
      <c r="J347" s="40">
        <f>IF(OR(C347="",NOT(ISNUMBER(E347))),"",IFERROR(E347*N(INDEX(art_price,MATCH(C347,art_ref,0))),""))</f>
        <v>339.5</v>
      </c>
      <c r="K347" s="39">
        <f>IF(OR(C347="",NOT(ISNUMBER(E347))),"",IFERROR(ROUND(N(INDEX(art_init,MATCH(C347,art_ref,0)))+SUMIFS($E$5:E347,$C$5:C347,C347,$B$5:B347,"Entrée")-SUMIFS($E$5:E347,$C$5:C347,C347,$B$5:B347,"Sortie"),6),""))</f>
        <v>38.0</v>
      </c>
      <c r="L347" s="39" t="str">
        <f>IF(COUNTA(A347:C347,E347)=0,"",IF(COUNTA(A347:C347,E347)&lt;4,"Ligne incomplète",IF(NOT(ISNUMBER(A347)),"Date invalide",IF(AND(B347&lt;&gt;"Entrée",B347&lt;&gt;"Sortie"),"Type inconnu",IF(ISNA(MATCH(C347,art_ref,0)),"Référence inconnue",IF(OR(NOT(ISNUMBER(E347)),N(E347)&lt;=0),"Quantité invalide",IF(K347&lt;0,"Stock négatif",IF(AND(ISNUMBER(A346),A347&lt;A346),"Date hors ordre","OK"))))))))</f>
        <v>OK</v>
      </c>
      <c r="M347" s="39" t="str">
        <f>IF(C347="","",C347&amp;"#"&amp;COUNTIF($C$5:C347,C347))</f>
        <v>TOL-ACI-2#22</v>
      </c>
    </row>
    <row r="348">
      <c r="A348" s="41" t="n">
        <v>46308</v>
      </c>
      <c r="B348" s="37" t="inlineStr">
        <is>
          <t>Entrée</t>
        </is>
      </c>
      <c r="C348" s="37" t="inlineStr">
        <is>
          <t>VIS-M6-20</t>
        </is>
      </c>
      <c r="D348" s="39" t="str">
        <f>IF(C348="","",IFERROR(INDEX(art_des,MATCH(C348,art_ref,0))&amp;"","Référence inconnue"))</f>
        <v>Vis inox M6 x 20</v>
      </c>
      <c r="E348" s="37" t="n">
        <v>3037</v>
      </c>
      <c r="F348" s="39" t="str">
        <f>IF(C348="","",IFERROR(INDEX(art_unit,MATCH(C348,art_ref,0))&amp;"",""))</f>
        <v>pièce</v>
      </c>
      <c r="G348" s="37" t="inlineStr">
        <is>
          <t>BL-2026-041</t>
        </is>
      </c>
      <c r="H348" s="37" t="inlineStr">
        <is>
          <t>Visserie du Centre</t>
        </is>
      </c>
      <c r="I348" s="37" t="inlineStr">
        <is>
          <t>Réception commande</t>
        </is>
      </c>
      <c r="J348" s="40">
        <f>IF(OR(C348="",NOT(ISNUMBER(E348))),"",IFERROR(E348*N(INDEX(art_price,MATCH(C348,art_ref,0))),""))</f>
        <v>364.44</v>
      </c>
      <c r="K348" s="39">
        <f>IF(OR(C348="",NOT(ISNUMBER(E348))),"",IFERROR(ROUND(N(INDEX(art_init,MATCH(C348,art_ref,0)))+SUMIFS($E$5:E348,$C$5:C348,C348,$B$5:B348,"Entrée")-SUMIFS($E$5:E348,$C$5:C348,C348,$B$5:B348,"Sortie"),6),""))</f>
        <v>4000.0</v>
      </c>
      <c r="L348" s="39" t="str">
        <f>IF(COUNTA(A348:C348,E348)=0,"",IF(COUNTA(A348:C348,E348)&lt;4,"Ligne incomplète",IF(NOT(ISNUMBER(A348)),"Date invalide",IF(AND(B348&lt;&gt;"Entrée",B348&lt;&gt;"Sortie"),"Type inconnu",IF(ISNA(MATCH(C348,art_ref,0)),"Référence inconnue",IF(OR(NOT(ISNUMBER(E348)),N(E348)&lt;=0),"Quantité invalide",IF(K348&lt;0,"Stock négatif",IF(AND(ISNUMBER(A347),A348&lt;A347),"Date hors ordre","OK"))))))))</f>
        <v>OK</v>
      </c>
      <c r="M348" s="39" t="str">
        <f>IF(C348="","",C348&amp;"#"&amp;COUNTIF($C$5:C348,C348))</f>
        <v>VIS-M6-20#22</v>
      </c>
    </row>
    <row r="349">
      <c r="A349" s="41" t="n">
        <v>46308</v>
      </c>
      <c r="B349" s="37" t="inlineStr">
        <is>
          <t>Sortie</t>
        </is>
      </c>
      <c r="C349" s="37" t="inlineStr">
        <is>
          <t>RON-M6</t>
        </is>
      </c>
      <c r="D349" s="39" t="str">
        <f>IF(C349="","",IFERROR(INDEX(art_des,MATCH(C349,art_ref,0))&amp;"","Référence inconnue"))</f>
        <v>Rondelle plate M6</v>
      </c>
      <c r="E349" s="37" t="n">
        <v>324</v>
      </c>
      <c r="F349" s="39" t="str">
        <f>IF(C349="","",IFERROR(INDEX(art_unit,MATCH(C349,art_ref,0))&amp;"",""))</f>
        <v>pièce</v>
      </c>
      <c r="G349" s="37" t="inlineStr">
        <is>
          <t>BS-2026-0304</t>
        </is>
      </c>
      <c r="H349" s="37" t="inlineStr">
        <is>
          <t>Atelier montage</t>
        </is>
      </c>
      <c r="I349" s="37" t="n"/>
      <c r="J349" s="40">
        <f>IF(OR(C349="",NOT(ISNUMBER(E349))),"",IFERROR(E349*N(INDEX(art_price,MATCH(C349,art_ref,0))),""))</f>
        <v>9.72</v>
      </c>
      <c r="K349" s="39">
        <f>IF(OR(C349="",NOT(ISNUMBER(E349))),"",IFERROR(ROUND(N(INDEX(art_init,MATCH(C349,art_ref,0)))+SUMIFS($E$5:E349,$C$5:C349,C349,$B$5:B349,"Entrée")-SUMIFS($E$5:E349,$C$5:C349,C349,$B$5:B349,"Sortie"),6),""))</f>
        <v>2676.0</v>
      </c>
      <c r="L349" s="39" t="str">
        <f>IF(COUNTA(A349:C349,E349)=0,"",IF(COUNTA(A349:C349,E349)&lt;4,"Ligne incomplète",IF(NOT(ISNUMBER(A349)),"Date invalide",IF(AND(B349&lt;&gt;"Entrée",B349&lt;&gt;"Sortie"),"Type inconnu",IF(ISNA(MATCH(C349,art_ref,0)),"Référence inconnue",IF(OR(NOT(ISNUMBER(E349)),N(E349)&lt;=0),"Quantité invalide",IF(K349&lt;0,"Stock négatif",IF(AND(ISNUMBER(A348),A349&lt;A348),"Date hors ordre","OK"))))))))</f>
        <v>OK</v>
      </c>
      <c r="M349" s="39" t="str">
        <f>IF(C349="","",C349&amp;"#"&amp;COUNTIF($C$5:C349,C349))</f>
        <v>RON-M6#22</v>
      </c>
    </row>
    <row r="350">
      <c r="A350" s="41" t="n">
        <v>46312</v>
      </c>
      <c r="B350" s="37" t="inlineStr">
        <is>
          <t>Sortie</t>
        </is>
      </c>
      <c r="C350" s="37" t="inlineStr">
        <is>
          <t>TOL-ACI-2</t>
        </is>
      </c>
      <c r="D350" s="39" t="str">
        <f>IF(C350="","",IFERROR(INDEX(art_des,MATCH(C350,art_ref,0))&amp;"","Référence inconnue"))</f>
        <v>Tôle acier 2 mm 1000 x 2000</v>
      </c>
      <c r="E350" s="37" t="n">
        <v>9</v>
      </c>
      <c r="F350" s="39" t="str">
        <f>IF(C350="","",IFERROR(INDEX(art_unit,MATCH(C350,art_ref,0))&amp;"",""))</f>
        <v>feuille</v>
      </c>
      <c r="G350" s="37" t="inlineStr">
        <is>
          <t>BS-2026-0305</t>
        </is>
      </c>
      <c r="H350" s="37" t="inlineStr">
        <is>
          <t>Atelier soudure</t>
        </is>
      </c>
      <c r="I350" s="37" t="n"/>
      <c r="J350" s="40">
        <f>IF(OR(C350="",NOT(ISNUMBER(E350))),"",IFERROR(E350*N(INDEX(art_price,MATCH(C350,art_ref,0))),""))</f>
        <v>436.5</v>
      </c>
      <c r="K350" s="39">
        <f>IF(OR(C350="",NOT(ISNUMBER(E350))),"",IFERROR(ROUND(N(INDEX(art_init,MATCH(C350,art_ref,0)))+SUMIFS($E$5:E350,$C$5:C350,C350,$B$5:B350,"Entrée")-SUMIFS($E$5:E350,$C$5:C350,C350,$B$5:B350,"Sortie"),6),""))</f>
        <v>29.0</v>
      </c>
      <c r="L350" s="39" t="str">
        <f>IF(COUNTA(A350:C350,E350)=0,"",IF(COUNTA(A350:C350,E350)&lt;4,"Ligne incomplète",IF(NOT(ISNUMBER(A350)),"Date invalide",IF(AND(B350&lt;&gt;"Entrée",B350&lt;&gt;"Sortie"),"Type inconnu",IF(ISNA(MATCH(C350,art_ref,0)),"Référence inconnue",IF(OR(NOT(ISNUMBER(E350)),N(E350)&lt;=0),"Quantité invalide",IF(K350&lt;0,"Stock négatif",IF(AND(ISNUMBER(A349),A350&lt;A349),"Date hors ordre","OK"))))))))</f>
        <v>OK</v>
      </c>
      <c r="M350" s="39" t="str">
        <f>IF(C350="","",C350&amp;"#"&amp;COUNTIF($C$5:C350,C350))</f>
        <v>TOL-ACI-2#23</v>
      </c>
    </row>
    <row r="351">
      <c r="A351" s="41" t="n">
        <v>46314</v>
      </c>
      <c r="B351" s="37" t="inlineStr">
        <is>
          <t>Sortie</t>
        </is>
      </c>
      <c r="C351" s="37" t="inlineStr">
        <is>
          <t>ROU-6204</t>
        </is>
      </c>
      <c r="D351" s="39" t="str">
        <f>IF(C351="","",IFERROR(INDEX(art_des,MATCH(C351,art_ref,0))&amp;"","Référence inconnue"))</f>
        <v>Roulement à billes 6204 2RS</v>
      </c>
      <c r="E351" s="37" t="n">
        <v>24</v>
      </c>
      <c r="F351" s="39" t="str">
        <f>IF(C351="","",IFERROR(INDEX(art_unit,MATCH(C351,art_ref,0))&amp;"",""))</f>
        <v>pièce</v>
      </c>
      <c r="G351" s="37" t="inlineStr">
        <is>
          <t>BS-2026-0306</t>
        </is>
      </c>
      <c r="H351" s="37" t="inlineStr">
        <is>
          <t>Atelier montage</t>
        </is>
      </c>
      <c r="I351" s="37" t="n"/>
      <c r="J351" s="40">
        <f>IF(OR(C351="",NOT(ISNUMBER(E351))),"",IFERROR(E351*N(INDEX(art_price,MATCH(C351,art_ref,0))),""))</f>
        <v>91.2</v>
      </c>
      <c r="K351" s="39">
        <f>IF(OR(C351="",NOT(ISNUMBER(E351))),"",IFERROR(ROUND(N(INDEX(art_init,MATCH(C351,art_ref,0)))+SUMIFS($E$5:E351,$C$5:C351,C351,$B$5:B351,"Entrée")-SUMIFS($E$5:E351,$C$5:C351,C351,$B$5:B351,"Sortie"),6),""))</f>
        <v>109.0</v>
      </c>
      <c r="L351" s="39" t="str">
        <f>IF(COUNTA(A351:C351,E351)=0,"",IF(COUNTA(A351:C351,E351)&lt;4,"Ligne incomplète",IF(NOT(ISNUMBER(A351)),"Date invalide",IF(AND(B351&lt;&gt;"Entrée",B351&lt;&gt;"Sortie"),"Type inconnu",IF(ISNA(MATCH(C351,art_ref,0)),"Référence inconnue",IF(OR(NOT(ISNUMBER(E351)),N(E351)&lt;=0),"Quantité invalide",IF(K351&lt;0,"Stock négatif",IF(AND(ISNUMBER(A350),A351&lt;A350),"Date hors ordre","OK"))))))))</f>
        <v>OK</v>
      </c>
      <c r="M351" s="39" t="str">
        <f>IF(C351="","",C351&amp;"#"&amp;COUNTIF($C$5:C351,C351))</f>
        <v>ROU-6204#23</v>
      </c>
    </row>
    <row r="352">
      <c r="A352" s="41" t="n">
        <v>46314</v>
      </c>
      <c r="B352" s="37" t="inlineStr">
        <is>
          <t>Sortie</t>
        </is>
      </c>
      <c r="C352" s="37" t="inlineStr">
        <is>
          <t>RUB-50</t>
        </is>
      </c>
      <c r="D352" s="39" t="str">
        <f>IF(C352="","",IFERROR(INDEX(art_des,MATCH(C352,art_ref,0))&amp;"","Référence inconnue"))</f>
        <v>Ruban adhésif 50 mm x 66 m</v>
      </c>
      <c r="E352" s="37" t="n">
        <v>11</v>
      </c>
      <c r="F352" s="39" t="str">
        <f>IF(C352="","",IFERROR(INDEX(art_unit,MATCH(C352,art_ref,0))&amp;"",""))</f>
        <v>rouleau</v>
      </c>
      <c r="G352" s="37" t="inlineStr">
        <is>
          <t>BS-2026-0307</t>
        </is>
      </c>
      <c r="H352" s="37" t="inlineStr">
        <is>
          <t>Atelier usinage</t>
        </is>
      </c>
      <c r="I352" s="37" t="n"/>
      <c r="J352" s="40">
        <f>IF(OR(C352="",NOT(ISNUMBER(E352))),"",IFERROR(E352*N(INDEX(art_price,MATCH(C352,art_ref,0))),""))</f>
        <v>15.4</v>
      </c>
      <c r="K352" s="39">
        <f>IF(OR(C352="",NOT(ISNUMBER(E352))),"",IFERROR(ROUND(N(INDEX(art_init,MATCH(C352,art_ref,0)))+SUMIFS($E$5:E352,$C$5:C352,C352,$B$5:B352,"Entrée")-SUMIFS($E$5:E352,$C$5:C352,C352,$B$5:B352,"Sortie"),6),""))</f>
        <v>109.0</v>
      </c>
      <c r="L352" s="39" t="str">
        <f>IF(COUNTA(A352:C352,E352)=0,"",IF(COUNTA(A352:C352,E352)&lt;4,"Ligne incomplète",IF(NOT(ISNUMBER(A352)),"Date invalide",IF(AND(B352&lt;&gt;"Entrée",B352&lt;&gt;"Sortie"),"Type inconnu",IF(ISNA(MATCH(C352,art_ref,0)),"Référence inconnue",IF(OR(NOT(ISNUMBER(E352)),N(E352)&lt;=0),"Quantité invalide",IF(K352&lt;0,"Stock négatif",IF(AND(ISNUMBER(A351),A352&lt;A351),"Date hors ordre","OK"))))))))</f>
        <v>OK</v>
      </c>
      <c r="M352" s="39" t="str">
        <f>IF(C352="","",C352&amp;"#"&amp;COUNTIF($C$5:C352,C352))</f>
        <v>RUB-50#23</v>
      </c>
    </row>
    <row r="353">
      <c r="A353" s="41" t="n">
        <v>46316</v>
      </c>
      <c r="B353" s="37" t="inlineStr">
        <is>
          <t>Sortie</t>
        </is>
      </c>
      <c r="C353" s="37" t="inlineStr">
        <is>
          <t>GAN-NIT</t>
        </is>
      </c>
      <c r="D353" s="39" t="str">
        <f>IF(C353="","",IFERROR(INDEX(art_des,MATCH(C353,art_ref,0))&amp;"","Référence inconnue"))</f>
        <v>Gants nitrile, boîte de 100</v>
      </c>
      <c r="E353" s="37" t="n">
        <v>4</v>
      </c>
      <c r="F353" s="39" t="str">
        <f>IF(C353="","",IFERROR(INDEX(art_unit,MATCH(C353,art_ref,0))&amp;"",""))</f>
        <v>boîte</v>
      </c>
      <c r="G353" s="37" t="inlineStr">
        <is>
          <t>BS-2026-0308</t>
        </is>
      </c>
      <c r="H353" s="37" t="inlineStr">
        <is>
          <t>Maintenance</t>
        </is>
      </c>
      <c r="I353" s="37" t="n"/>
      <c r="J353" s="40">
        <f>IF(OR(C353="",NOT(ISNUMBER(E353))),"",IFERROR(E353*N(INDEX(art_price,MATCH(C353,art_ref,0))),""))</f>
        <v>30.0</v>
      </c>
      <c r="K353" s="39">
        <f>IF(OR(C353="",NOT(ISNUMBER(E353))),"",IFERROR(ROUND(N(INDEX(art_init,MATCH(C353,art_ref,0)))+SUMIFS($E$5:E353,$C$5:C353,C353,$B$5:B353,"Entrée")-SUMIFS($E$5:E353,$C$5:C353,C353,$B$5:B353,"Sortie"),6),""))</f>
        <v>20.0</v>
      </c>
      <c r="L353" s="39" t="str">
        <f>IF(COUNTA(A353:C353,E353)=0,"",IF(COUNTA(A353:C353,E353)&lt;4,"Ligne incomplète",IF(NOT(ISNUMBER(A353)),"Date invalide",IF(AND(B353&lt;&gt;"Entrée",B353&lt;&gt;"Sortie"),"Type inconnu",IF(ISNA(MATCH(C353,art_ref,0)),"Référence inconnue",IF(OR(NOT(ISNUMBER(E353)),N(E353)&lt;=0),"Quantité invalide",IF(K353&lt;0,"Stock négatif",IF(AND(ISNUMBER(A352),A353&lt;A352),"Date hors ordre","OK"))))))))</f>
        <v>OK</v>
      </c>
      <c r="M353" s="39" t="str">
        <f>IF(C353="","",C353&amp;"#"&amp;COUNTIF($C$5:C353,C353))</f>
        <v>GAN-NIT#23</v>
      </c>
    </row>
    <row r="354">
      <c r="A354" s="41" t="n">
        <v>46316</v>
      </c>
      <c r="B354" s="37" t="inlineStr">
        <is>
          <t>Sortie</t>
        </is>
      </c>
      <c r="C354" s="37" t="inlineStr">
        <is>
          <t>TUB-ACI-40</t>
        </is>
      </c>
      <c r="D354" s="39" t="str">
        <f>IF(C354="","",IFERROR(INDEX(art_des,MATCH(C354,art_ref,0))&amp;"","Référence inconnue"))</f>
        <v>Tube acier carré 40 x 40, 6 m</v>
      </c>
      <c r="E354" s="37" t="n">
        <v>4</v>
      </c>
      <c r="F354" s="39" t="str">
        <f>IF(C354="","",IFERROR(INDEX(art_unit,MATCH(C354,art_ref,0))&amp;"",""))</f>
        <v>barre</v>
      </c>
      <c r="G354" s="37" t="inlineStr">
        <is>
          <t>BS-2026-0309</t>
        </is>
      </c>
      <c r="H354" s="37" t="inlineStr">
        <is>
          <t>Atelier montage</t>
        </is>
      </c>
      <c r="I354" s="37" t="n"/>
      <c r="J354" s="40">
        <f>IF(OR(C354="",NOT(ISNUMBER(E354))),"",IFERROR(E354*N(INDEX(art_price,MATCH(C354,art_ref,0))),""))</f>
        <v>124.8</v>
      </c>
      <c r="K354" s="39">
        <f>IF(OR(C354="",NOT(ISNUMBER(E354))),"",IFERROR(ROUND(N(INDEX(art_init,MATCH(C354,art_ref,0)))+SUMIFS($E$5:E354,$C$5:C354,C354,$B$5:B354,"Entrée")-SUMIFS($E$5:E354,$C$5:C354,C354,$B$5:B354,"Sortie"),6),""))</f>
        <v>8.0</v>
      </c>
      <c r="L354" s="39" t="str">
        <f>IF(COUNTA(A354:C354,E354)=0,"",IF(COUNTA(A354:C354,E354)&lt;4,"Ligne incomplète",IF(NOT(ISNUMBER(A354)),"Date invalide",IF(AND(B354&lt;&gt;"Entrée",B354&lt;&gt;"Sortie"),"Type inconnu",IF(ISNA(MATCH(C354,art_ref,0)),"Référence inconnue",IF(OR(NOT(ISNUMBER(E354)),N(E354)&lt;=0),"Quantité invalide",IF(K354&lt;0,"Stock négatif",IF(AND(ISNUMBER(A353),A354&lt;A353),"Date hors ordre","OK"))))))))</f>
        <v>OK</v>
      </c>
      <c r="M354" s="39" t="str">
        <f>IF(C354="","",C354&amp;"#"&amp;COUNTIF($C$5:C354,C354))</f>
        <v>TUB-ACI-40#22</v>
      </c>
    </row>
    <row r="355">
      <c r="A355" s="41" t="n">
        <v>46316</v>
      </c>
      <c r="B355" s="37" t="inlineStr">
        <is>
          <t>Sortie</t>
        </is>
      </c>
      <c r="C355" s="37" t="inlineStr">
        <is>
          <t>VIS-M6-20</t>
        </is>
      </c>
      <c r="D355" s="39" t="str">
        <f>IF(C355="","",IFERROR(INDEX(art_des,MATCH(C355,art_ref,0))&amp;"","Référence inconnue"))</f>
        <v>Vis inox M6 x 20</v>
      </c>
      <c r="E355" s="37" t="n">
        <v>389</v>
      </c>
      <c r="F355" s="39" t="str">
        <f>IF(C355="","",IFERROR(INDEX(art_unit,MATCH(C355,art_ref,0))&amp;"",""))</f>
        <v>pièce</v>
      </c>
      <c r="G355" s="37" t="inlineStr">
        <is>
          <t>BS-2026-0310</t>
        </is>
      </c>
      <c r="H355" s="37" t="inlineStr">
        <is>
          <t>Expédition</t>
        </is>
      </c>
      <c r="I355" s="37" t="n"/>
      <c r="J355" s="40">
        <f>IF(OR(C355="",NOT(ISNUMBER(E355))),"",IFERROR(E355*N(INDEX(art_price,MATCH(C355,art_ref,0))),""))</f>
        <v>46.68</v>
      </c>
      <c r="K355" s="39">
        <f>IF(OR(C355="",NOT(ISNUMBER(E355))),"",IFERROR(ROUND(N(INDEX(art_init,MATCH(C355,art_ref,0)))+SUMIFS($E$5:E355,$C$5:C355,C355,$B$5:B355,"Entrée")-SUMIFS($E$5:E355,$C$5:C355,C355,$B$5:B355,"Sortie"),6),""))</f>
        <v>3611.0</v>
      </c>
      <c r="L355" s="39" t="str">
        <f>IF(COUNTA(A355:C355,E355)=0,"",IF(COUNTA(A355:C355,E355)&lt;4,"Ligne incomplète",IF(NOT(ISNUMBER(A355)),"Date invalide",IF(AND(B355&lt;&gt;"Entrée",B355&lt;&gt;"Sortie"),"Type inconnu",IF(ISNA(MATCH(C355,art_ref,0)),"Référence inconnue",IF(OR(NOT(ISNUMBER(E355)),N(E355)&lt;=0),"Quantité invalide",IF(K355&lt;0,"Stock négatif",IF(AND(ISNUMBER(A354),A355&lt;A354),"Date hors ordre","OK"))))))))</f>
        <v>OK</v>
      </c>
      <c r="M355" s="39" t="str">
        <f>IF(C355="","",C355&amp;"#"&amp;COUNTIF($C$5:C355,C355))</f>
        <v>VIS-M6-20#23</v>
      </c>
    </row>
    <row r="356">
      <c r="A356" s="41" t="n">
        <v>46318</v>
      </c>
      <c r="B356" s="37" t="inlineStr">
        <is>
          <t>Sortie</t>
        </is>
      </c>
      <c r="C356" s="37" t="inlineStr">
        <is>
          <t>BOR-WAGO-3</t>
        </is>
      </c>
      <c r="D356" s="39" t="str">
        <f>IF(C356="","",IFERROR(INDEX(art_des,MATCH(C356,art_ref,0))&amp;"","Référence inconnue"))</f>
        <v>Borne de connexion 3 entrées</v>
      </c>
      <c r="E356" s="37" t="n">
        <v>34</v>
      </c>
      <c r="F356" s="39" t="str">
        <f>IF(C356="","",IFERROR(INDEX(art_unit,MATCH(C356,art_ref,0))&amp;"",""))</f>
        <v>pièce</v>
      </c>
      <c r="G356" s="37" t="inlineStr">
        <is>
          <t>BS-2026-0311</t>
        </is>
      </c>
      <c r="H356" s="37" t="inlineStr">
        <is>
          <t>Atelier soudure</t>
        </is>
      </c>
      <c r="I356" s="37" t="n"/>
      <c r="J356" s="40">
        <f>IF(OR(C356="",NOT(ISNUMBER(E356))),"",IFERROR(E356*N(INDEX(art_price,MATCH(C356,art_ref,0))),""))</f>
        <v>14.28</v>
      </c>
      <c r="K356" s="39">
        <f>IF(OR(C356="",NOT(ISNUMBER(E356))),"",IFERROR(ROUND(N(INDEX(art_init,MATCH(C356,art_ref,0)))+SUMIFS($E$5:E356,$C$5:C356,C356,$B$5:B356,"Entrée")-SUMIFS($E$5:E356,$C$5:C356,C356,$B$5:B356,"Sortie"),6),""))</f>
        <v>121.0</v>
      </c>
      <c r="L356" s="39" t="str">
        <f>IF(COUNTA(A356:C356,E356)=0,"",IF(COUNTA(A356:C356,E356)&lt;4,"Ligne incomplète",IF(NOT(ISNUMBER(A356)),"Date invalide",IF(AND(B356&lt;&gt;"Entrée",B356&lt;&gt;"Sortie"),"Type inconnu",IF(ISNA(MATCH(C356,art_ref,0)),"Référence inconnue",IF(OR(NOT(ISNUMBER(E356)),N(E356)&lt;=0),"Quantité invalide",IF(K356&lt;0,"Stock négatif",IF(AND(ISNUMBER(A355),A356&lt;A355),"Date hors ordre","OK"))))))))</f>
        <v>OK</v>
      </c>
      <c r="M356" s="39" t="str">
        <f>IF(C356="","",C356&amp;"#"&amp;COUNTIF($C$5:C356,C356))</f>
        <v>BOR-WAGO-3#22</v>
      </c>
    </row>
    <row r="357">
      <c r="A357" s="41" t="n">
        <v>46318</v>
      </c>
      <c r="B357" s="37" t="inlineStr">
        <is>
          <t>Sortie</t>
        </is>
      </c>
      <c r="C357" s="37" t="inlineStr">
        <is>
          <t>ECR-M6</t>
        </is>
      </c>
      <c r="D357" s="39" t="str">
        <f>IF(C357="","",IFERROR(INDEX(art_des,MATCH(C357,art_ref,0))&amp;"","Référence inconnue"))</f>
        <v>Écrou inox M6</v>
      </c>
      <c r="E357" s="37" t="n">
        <v>545</v>
      </c>
      <c r="F357" s="39" t="str">
        <f>IF(C357="","",IFERROR(INDEX(art_unit,MATCH(C357,art_ref,0))&amp;"",""))</f>
        <v>pièce</v>
      </c>
      <c r="G357" s="37" t="inlineStr">
        <is>
          <t>BS-2026-0312</t>
        </is>
      </c>
      <c r="H357" s="37" t="inlineStr">
        <is>
          <t>Atelier montage</t>
        </is>
      </c>
      <c r="I357" s="37" t="n"/>
      <c r="J357" s="40">
        <f>IF(OR(C357="",NOT(ISNUMBER(E357))),"",IFERROR(E357*N(INDEX(art_price,MATCH(C357,art_ref,0))),""))</f>
        <v>27.25</v>
      </c>
      <c r="K357" s="39">
        <f>IF(OR(C357="",NOT(ISNUMBER(E357))),"",IFERROR(ROUND(N(INDEX(art_init,MATCH(C357,art_ref,0)))+SUMIFS($E$5:E357,$C$5:C357,C357,$B$5:B357,"Entrée")-SUMIFS($E$5:E357,$C$5:C357,C357,$B$5:B357,"Sortie"),6),""))</f>
        <v>896.0</v>
      </c>
      <c r="L357" s="39" t="str">
        <f>IF(COUNTA(A357:C357,E357)=0,"",IF(COUNTA(A357:C357,E357)&lt;4,"Ligne incomplète",IF(NOT(ISNUMBER(A357)),"Date invalide",IF(AND(B357&lt;&gt;"Entrée",B357&lt;&gt;"Sortie"),"Type inconnu",IF(ISNA(MATCH(C357,art_ref,0)),"Référence inconnue",IF(OR(NOT(ISNUMBER(E357)),N(E357)&lt;=0),"Quantité invalide",IF(K357&lt;0,"Stock négatif",IF(AND(ISNUMBER(A356),A357&lt;A356),"Date hors ordre","OK"))))))))</f>
        <v>OK</v>
      </c>
      <c r="M357" s="39" t="str">
        <f>IF(C357="","",C357&amp;"#"&amp;COUNTIF($C$5:C357,C357))</f>
        <v>ECR-M6#22</v>
      </c>
    </row>
    <row r="358">
      <c r="A358" s="41" t="n">
        <v>46318</v>
      </c>
      <c r="B358" s="37" t="inlineStr">
        <is>
          <t>Sortie</t>
        </is>
      </c>
      <c r="C358" s="37" t="inlineStr">
        <is>
          <t>JOI-20-2</t>
        </is>
      </c>
      <c r="D358" s="39" t="str">
        <f>IF(C358="","",IFERROR(INDEX(art_des,MATCH(C358,art_ref,0))&amp;"","Référence inconnue"))</f>
        <v>Joint torique 20 x 2 NBR</v>
      </c>
      <c r="E358" s="37" t="n">
        <v>44</v>
      </c>
      <c r="F358" s="39" t="str">
        <f>IF(C358="","",IFERROR(INDEX(art_unit,MATCH(C358,art_ref,0))&amp;"",""))</f>
        <v>pièce</v>
      </c>
      <c r="G358" s="37" t="inlineStr">
        <is>
          <t>BS-2026-0313</t>
        </is>
      </c>
      <c r="H358" s="37" t="inlineStr">
        <is>
          <t>Maintenance</t>
        </is>
      </c>
      <c r="I358" s="37" t="n"/>
      <c r="J358" s="40">
        <f>IF(OR(C358="",NOT(ISNUMBER(E358))),"",IFERROR(E358*N(INDEX(art_price,MATCH(C358,art_ref,0))),""))</f>
        <v>15.4</v>
      </c>
      <c r="K358" s="39">
        <f>IF(OR(C358="",NOT(ISNUMBER(E358))),"",IFERROR(ROUND(N(INDEX(art_init,MATCH(C358,art_ref,0)))+SUMIFS($E$5:E358,$C$5:C358,C358,$B$5:B358,"Entrée")-SUMIFS($E$5:E358,$C$5:C358,C358,$B$5:B358,"Sortie"),6),""))</f>
        <v>177.0</v>
      </c>
      <c r="L358" s="39" t="str">
        <f>IF(COUNTA(A358:C358,E358)=0,"",IF(COUNTA(A358:C358,E358)&lt;4,"Ligne incomplète",IF(NOT(ISNUMBER(A358)),"Date invalide",IF(AND(B358&lt;&gt;"Entrée",B358&lt;&gt;"Sortie"),"Type inconnu",IF(ISNA(MATCH(C358,art_ref,0)),"Référence inconnue",IF(OR(NOT(ISNUMBER(E358)),N(E358)&lt;=0),"Quantité invalide",IF(K358&lt;0,"Stock négatif",IF(AND(ISNUMBER(A357),A358&lt;A357),"Date hors ordre","OK"))))))))</f>
        <v>OK</v>
      </c>
      <c r="M358" s="39" t="str">
        <f>IF(C358="","",C358&amp;"#"&amp;COUNTIF($C$5:C358,C358))</f>
        <v>JOI-20-2#22</v>
      </c>
    </row>
    <row r="359">
      <c r="A359" s="41" t="n">
        <v>46318</v>
      </c>
      <c r="B359" s="37" t="inlineStr">
        <is>
          <t>Sortie</t>
        </is>
      </c>
      <c r="C359" s="37" t="inlineStr">
        <is>
          <t>PAL-120</t>
        </is>
      </c>
      <c r="D359" s="39" t="str">
        <f>IF(C359="","",IFERROR(INDEX(art_des,MATCH(C359,art_ref,0))&amp;"","Référence inconnue"))</f>
        <v>Palette bois 120 x 80</v>
      </c>
      <c r="E359" s="37" t="n">
        <v>5</v>
      </c>
      <c r="F359" s="39" t="str">
        <f>IF(C359="","",IFERROR(INDEX(art_unit,MATCH(C359,art_ref,0))&amp;"",""))</f>
        <v>pièce</v>
      </c>
      <c r="G359" s="37" t="inlineStr">
        <is>
          <t>BS-2026-0314</t>
        </is>
      </c>
      <c r="H359" s="37" t="inlineStr">
        <is>
          <t>Expédition</t>
        </is>
      </c>
      <c r="I359" s="37" t="n"/>
      <c r="J359" s="40">
        <f>IF(OR(C359="",NOT(ISNUMBER(E359))),"",IFERROR(E359*N(INDEX(art_price,MATCH(C359,art_ref,0))),""))</f>
        <v>45.0</v>
      </c>
      <c r="K359" s="39">
        <f>IF(OR(C359="",NOT(ISNUMBER(E359))),"",IFERROR(ROUND(N(INDEX(art_init,MATCH(C359,art_ref,0)))+SUMIFS($E$5:E359,$C$5:C359,C359,$B$5:B359,"Entrée")-SUMIFS($E$5:E359,$C$5:C359,C359,$B$5:B359,"Sortie"),6),""))</f>
        <v>33.0</v>
      </c>
      <c r="L359" s="39" t="str">
        <f>IF(COUNTA(A359:C359,E359)=0,"",IF(COUNTA(A359:C359,E359)&lt;4,"Ligne incomplète",IF(NOT(ISNUMBER(A359)),"Date invalide",IF(AND(B359&lt;&gt;"Entrée",B359&lt;&gt;"Sortie"),"Type inconnu",IF(ISNA(MATCH(C359,art_ref,0)),"Référence inconnue",IF(OR(NOT(ISNUMBER(E359)),N(E359)&lt;=0),"Quantité invalide",IF(K359&lt;0,"Stock négatif",IF(AND(ISNUMBER(A358),A359&lt;A358),"Date hors ordre","OK"))))))))</f>
        <v>OK</v>
      </c>
      <c r="M359" s="39" t="str">
        <f>IF(C359="","",C359&amp;"#"&amp;COUNTIF($C$5:C359,C359))</f>
        <v>PAL-120#23</v>
      </c>
    </row>
    <row r="360">
      <c r="A360" s="41" t="n">
        <v>46319</v>
      </c>
      <c r="B360" s="37" t="inlineStr">
        <is>
          <t>Sortie</t>
        </is>
      </c>
      <c r="C360" s="37" t="inlineStr">
        <is>
          <t>CAB-2.5</t>
        </is>
      </c>
      <c r="D360" s="39" t="str">
        <f>IF(C360="","",IFERROR(INDEX(art_des,MATCH(C360,art_ref,0))&amp;"","Référence inconnue"))</f>
        <v>Câble électrique 2,5 mm²</v>
      </c>
      <c r="E360" s="37" t="n">
        <v>52</v>
      </c>
      <c r="F360" s="39" t="str">
        <f>IF(C360="","",IFERROR(INDEX(art_unit,MATCH(C360,art_ref,0))&amp;"",""))</f>
        <v>m</v>
      </c>
      <c r="G360" s="37" t="inlineStr">
        <is>
          <t>BS-2026-0315</t>
        </is>
      </c>
      <c r="H360" s="37" t="inlineStr">
        <is>
          <t>Atelier soudure</t>
        </is>
      </c>
      <c r="I360" s="37" t="n"/>
      <c r="J360" s="40">
        <f>IF(OR(C360="",NOT(ISNUMBER(E360))),"",IFERROR(E360*N(INDEX(art_price,MATCH(C360,art_ref,0))),""))</f>
        <v>35.36</v>
      </c>
      <c r="K360" s="39">
        <f>IF(OR(C360="",NOT(ISNUMBER(E360))),"",IFERROR(ROUND(N(INDEX(art_init,MATCH(C360,art_ref,0)))+SUMIFS($E$5:E360,$C$5:C360,C360,$B$5:B360,"Entrée")-SUMIFS($E$5:E360,$C$5:C360,C360,$B$5:B360,"Sortie"),6),""))</f>
        <v>281.0</v>
      </c>
      <c r="L360" s="39" t="str">
        <f>IF(COUNTA(A360:C360,E360)=0,"",IF(COUNTA(A360:C360,E360)&lt;4,"Ligne incomplète",IF(NOT(ISNUMBER(A360)),"Date invalide",IF(AND(B360&lt;&gt;"Entrée",B360&lt;&gt;"Sortie"),"Type inconnu",IF(ISNA(MATCH(C360,art_ref,0)),"Référence inconnue",IF(OR(NOT(ISNUMBER(E360)),N(E360)&lt;=0),"Quantité invalide",IF(K360&lt;0,"Stock négatif",IF(AND(ISNUMBER(A359),A360&lt;A359),"Date hors ordre","OK"))))))))</f>
        <v>OK</v>
      </c>
      <c r="M360" s="39" t="str">
        <f>IF(C360="","",C360&amp;"#"&amp;COUNTIF($C$5:C360,C360))</f>
        <v>CAB-2.5#22</v>
      </c>
    </row>
    <row r="361">
      <c r="A361" s="41" t="n">
        <v>46320</v>
      </c>
      <c r="B361" s="37" t="inlineStr">
        <is>
          <t>Sortie</t>
        </is>
      </c>
      <c r="C361" s="37" t="inlineStr">
        <is>
          <t>CAR-40-30</t>
        </is>
      </c>
      <c r="D361" s="39" t="str">
        <f>IF(C361="","",IFERROR(INDEX(art_des,MATCH(C361,art_ref,0))&amp;"","Référence inconnue"))</f>
        <v>Carton double cannelure 40 x 30 x 20</v>
      </c>
      <c r="E361" s="37" t="n">
        <v>77</v>
      </c>
      <c r="F361" s="39" t="str">
        <f>IF(C361="","",IFERROR(INDEX(art_unit,MATCH(C361,art_ref,0))&amp;"",""))</f>
        <v>pièce</v>
      </c>
      <c r="G361" s="37" t="inlineStr">
        <is>
          <t>BS-2026-0316</t>
        </is>
      </c>
      <c r="H361" s="37" t="inlineStr">
        <is>
          <t>Atelier usinage</t>
        </is>
      </c>
      <c r="I361" s="37" t="n"/>
      <c r="J361" s="40">
        <f>IF(OR(C361="",NOT(ISNUMBER(E361))),"",IFERROR(E361*N(INDEX(art_price,MATCH(C361,art_ref,0))),""))</f>
        <v>73.15</v>
      </c>
      <c r="K361" s="39">
        <f>IF(OR(C361="",NOT(ISNUMBER(E361))),"",IFERROR(ROUND(N(INDEX(art_init,MATCH(C361,art_ref,0)))+SUMIFS($E$5:E361,$C$5:C361,C361,$B$5:B361,"Entrée")-SUMIFS($E$5:E361,$C$5:C361,C361,$B$5:B361,"Sortie"),6),""))</f>
        <v>565.0</v>
      </c>
      <c r="L361" s="39" t="str">
        <f>IF(COUNTA(A361:C361,E361)=0,"",IF(COUNTA(A361:C361,E361)&lt;4,"Ligne incomplète",IF(NOT(ISNUMBER(A361)),"Date invalide",IF(AND(B361&lt;&gt;"Entrée",B361&lt;&gt;"Sortie"),"Type inconnu",IF(ISNA(MATCH(C361,art_ref,0)),"Référence inconnue",IF(OR(NOT(ISNUMBER(E361)),N(E361)&lt;=0),"Quantité invalide",IF(K361&lt;0,"Stock négatif",IF(AND(ISNUMBER(A360),A361&lt;A360),"Date hors ordre","OK"))))))))</f>
        <v>OK</v>
      </c>
      <c r="M361" s="39" t="str">
        <f>IF(C361="","",C361&amp;"#"&amp;COUNTIF($C$5:C361,C361))</f>
        <v>CAR-40-30#23</v>
      </c>
    </row>
    <row r="362">
      <c r="A362" s="41" t="n">
        <v>46321</v>
      </c>
      <c r="B362" s="37" t="inlineStr">
        <is>
          <t>Sortie</t>
        </is>
      </c>
      <c r="C362" s="37" t="inlineStr">
        <is>
          <t>DIS-125</t>
        </is>
      </c>
      <c r="D362" s="39" t="str">
        <f>IF(C362="","",IFERROR(INDEX(art_des,MATCH(C362,art_ref,0))&amp;"","Référence inconnue"))</f>
        <v>Disque à tronçonner 125 mm</v>
      </c>
      <c r="E362" s="37" t="n">
        <v>20</v>
      </c>
      <c r="F362" s="39" t="str">
        <f>IF(C362="","",IFERROR(INDEX(art_unit,MATCH(C362,art_ref,0))&amp;"",""))</f>
        <v>pièce</v>
      </c>
      <c r="G362" s="37" t="inlineStr">
        <is>
          <t>BS-2026-0317</t>
        </is>
      </c>
      <c r="H362" s="37" t="inlineStr">
        <is>
          <t>Atelier montage</t>
        </is>
      </c>
      <c r="I362" s="37" t="n"/>
      <c r="J362" s="40">
        <f>IF(OR(C362="",NOT(ISNUMBER(E362))),"",IFERROR(E362*N(INDEX(art_price,MATCH(C362,art_ref,0))),""))</f>
        <v>38.0</v>
      </c>
      <c r="K362" s="39">
        <f>IF(OR(C362="",NOT(ISNUMBER(E362))),"",IFERROR(ROUND(N(INDEX(art_init,MATCH(C362,art_ref,0)))+SUMIFS($E$5:E362,$C$5:C362,C362,$B$5:B362,"Entrée")-SUMIFS($E$5:E362,$C$5:C362,C362,$B$5:B362,"Sortie"),6),""))</f>
        <v>180.0</v>
      </c>
      <c r="L362" s="39" t="str">
        <f>IF(COUNTA(A362:C362,E362)=0,"",IF(COUNTA(A362:C362,E362)&lt;4,"Ligne incomplète",IF(NOT(ISNUMBER(A362)),"Date invalide",IF(AND(B362&lt;&gt;"Entrée",B362&lt;&gt;"Sortie"),"Type inconnu",IF(ISNA(MATCH(C362,art_ref,0)),"Référence inconnue",IF(OR(NOT(ISNUMBER(E362)),N(E362)&lt;=0),"Quantité invalide",IF(K362&lt;0,"Stock négatif",IF(AND(ISNUMBER(A361),A362&lt;A361),"Date hors ordre","OK"))))))))</f>
        <v>OK</v>
      </c>
      <c r="M362" s="39" t="str">
        <f>IF(C362="","",C362&amp;"#"&amp;COUNTIF($C$5:C362,C362))</f>
        <v>DIS-125#23</v>
      </c>
    </row>
    <row r="363">
      <c r="A363" s="41" t="n">
        <v>46321</v>
      </c>
      <c r="B363" s="37" t="inlineStr">
        <is>
          <t>Sortie</t>
        </is>
      </c>
      <c r="C363" s="37" t="inlineStr">
        <is>
          <t>HUI-COUP-5</t>
        </is>
      </c>
      <c r="D363" s="39" t="str">
        <f>IF(C363="","",IFERROR(INDEX(art_des,MATCH(C363,art_ref,0))&amp;"","Référence inconnue"))</f>
        <v>Huile de coupe soluble 5 L</v>
      </c>
      <c r="E363" s="37" t="n">
        <v>2</v>
      </c>
      <c r="F363" s="39" t="str">
        <f>IF(C363="","",IFERROR(INDEX(art_unit,MATCH(C363,art_ref,0))&amp;"",""))</f>
        <v>bidon</v>
      </c>
      <c r="G363" s="37" t="inlineStr">
        <is>
          <t>BS-2026-0318</t>
        </is>
      </c>
      <c r="H363" s="37" t="inlineStr">
        <is>
          <t>Atelier soudure</t>
        </is>
      </c>
      <c r="I363" s="37" t="n"/>
      <c r="J363" s="40">
        <f>IF(OR(C363="",NOT(ISNUMBER(E363))),"",IFERROR(E363*N(INDEX(art_price,MATCH(C363,art_ref,0))),""))</f>
        <v>54.0</v>
      </c>
      <c r="K363" s="39">
        <f>IF(OR(C363="",NOT(ISNUMBER(E363))),"",IFERROR(ROUND(N(INDEX(art_init,MATCH(C363,art_ref,0)))+SUMIFS($E$5:E363,$C$5:C363,C363,$B$5:B363,"Entrée")-SUMIFS($E$5:E363,$C$5:C363,C363,$B$5:B363,"Sortie"),6),""))</f>
        <v>8.0</v>
      </c>
      <c r="L363" s="39" t="str">
        <f>IF(COUNTA(A363:C363,E363)=0,"",IF(COUNTA(A363:C363,E363)&lt;4,"Ligne incomplète",IF(NOT(ISNUMBER(A363)),"Date invalide",IF(AND(B363&lt;&gt;"Entrée",B363&lt;&gt;"Sortie"),"Type inconnu",IF(ISNA(MATCH(C363,art_ref,0)),"Référence inconnue",IF(OR(NOT(ISNUMBER(E363)),N(E363)&lt;=0),"Quantité invalide",IF(K363&lt;0,"Stock négatif",IF(AND(ISNUMBER(A362),A363&lt;A362),"Date hors ordre","OK"))))))))</f>
        <v>OK</v>
      </c>
      <c r="M363" s="39" t="str">
        <f>IF(C363="","",C363&amp;"#"&amp;COUNTIF($C$5:C363,C363))</f>
        <v>HUI-COUP-5#22</v>
      </c>
    </row>
    <row r="364">
      <c r="A364" s="41" t="n">
        <v>46322</v>
      </c>
      <c r="B364" s="37" t="inlineStr">
        <is>
          <t>Sortie</t>
        </is>
      </c>
      <c r="C364" s="37" t="inlineStr">
        <is>
          <t>FOR-HSS-8</t>
        </is>
      </c>
      <c r="D364" s="39" t="str">
        <f>IF(C364="","",IFERROR(INDEX(art_des,MATCH(C364,art_ref,0))&amp;"","Référence inconnue"))</f>
        <v>Foret HSS 8 mm</v>
      </c>
      <c r="E364" s="37" t="n">
        <v>37</v>
      </c>
      <c r="F364" s="39" t="str">
        <f>IF(C364="","",IFERROR(INDEX(art_unit,MATCH(C364,art_ref,0))&amp;"",""))</f>
        <v>pièce</v>
      </c>
      <c r="G364" s="37" t="inlineStr">
        <is>
          <t>BS-2026-0319</t>
        </is>
      </c>
      <c r="H364" s="37" t="inlineStr">
        <is>
          <t>Expédition</t>
        </is>
      </c>
      <c r="I364" s="37" t="n"/>
      <c r="J364" s="40">
        <f>IF(OR(C364="",NOT(ISNUMBER(E364))),"",IFERROR(E364*N(INDEX(art_price,MATCH(C364,art_ref,0))),""))</f>
        <v>170.2</v>
      </c>
      <c r="K364" s="39">
        <f>IF(OR(C364="",NOT(ISNUMBER(E364))),"",IFERROR(ROUND(N(INDEX(art_init,MATCH(C364,art_ref,0)))+SUMIFS($E$5:E364,$C$5:C364,C364,$B$5:B364,"Entrée")-SUMIFS($E$5:E364,$C$5:C364,C364,$B$5:B364,"Sortie"),6),""))</f>
        <v>0.0</v>
      </c>
      <c r="L364" s="39" t="str">
        <f>IF(COUNTA(A364:C364,E364)=0,"",IF(COUNTA(A364:C364,E364)&lt;4,"Ligne incomplète",IF(NOT(ISNUMBER(A364)),"Date invalide",IF(AND(B364&lt;&gt;"Entrée",B364&lt;&gt;"Sortie"),"Type inconnu",IF(ISNA(MATCH(C364,art_ref,0)),"Référence inconnue",IF(OR(NOT(ISNUMBER(E364)),N(E364)&lt;=0),"Quantité invalide",IF(K364&lt;0,"Stock négatif",IF(AND(ISNUMBER(A363),A364&lt;A363),"Date hors ordre","OK"))))))))</f>
        <v>OK</v>
      </c>
      <c r="M364" s="39" t="str">
        <f>IF(C364="","",C364&amp;"#"&amp;COUNTIF($C$5:C364,C364))</f>
        <v>FOR-HSS-8#22</v>
      </c>
    </row>
    <row r="365">
      <c r="A365" s="41" t="n">
        <v>46322</v>
      </c>
      <c r="B365" s="37" t="inlineStr">
        <is>
          <t>Sortie</t>
        </is>
      </c>
      <c r="C365" s="37" t="inlineStr">
        <is>
          <t>RON-M6</t>
        </is>
      </c>
      <c r="D365" s="39" t="str">
        <f>IF(C365="","",IFERROR(INDEX(art_des,MATCH(C365,art_ref,0))&amp;"","Référence inconnue"))</f>
        <v>Rondelle plate M6</v>
      </c>
      <c r="E365" s="37" t="n">
        <v>410</v>
      </c>
      <c r="F365" s="39" t="str">
        <f>IF(C365="","",IFERROR(INDEX(art_unit,MATCH(C365,art_ref,0))&amp;"",""))</f>
        <v>pièce</v>
      </c>
      <c r="G365" s="37" t="inlineStr">
        <is>
          <t>BS-2026-0320</t>
        </is>
      </c>
      <c r="H365" s="37" t="inlineStr">
        <is>
          <t>Atelier usinage</t>
        </is>
      </c>
      <c r="I365" s="37" t="n"/>
      <c r="J365" s="40">
        <f>IF(OR(C365="",NOT(ISNUMBER(E365))),"",IFERROR(E365*N(INDEX(art_price,MATCH(C365,art_ref,0))),""))</f>
        <v>12.3</v>
      </c>
      <c r="K365" s="39">
        <f>IF(OR(C365="",NOT(ISNUMBER(E365))),"",IFERROR(ROUND(N(INDEX(art_init,MATCH(C365,art_ref,0)))+SUMIFS($E$5:E365,$C$5:C365,C365,$B$5:B365,"Entrée")-SUMIFS($E$5:E365,$C$5:C365,C365,$B$5:B365,"Sortie"),6),""))</f>
        <v>2266.0</v>
      </c>
      <c r="L365" s="39" t="str">
        <f>IF(COUNTA(A365:C365,E365)=0,"",IF(COUNTA(A365:C365,E365)&lt;4,"Ligne incomplète",IF(NOT(ISNUMBER(A365)),"Date invalide",IF(AND(B365&lt;&gt;"Entrée",B365&lt;&gt;"Sortie"),"Type inconnu",IF(ISNA(MATCH(C365,art_ref,0)),"Référence inconnue",IF(OR(NOT(ISNUMBER(E365)),N(E365)&lt;=0),"Quantité invalide",IF(K365&lt;0,"Stock négatif",IF(AND(ISNUMBER(A364),A365&lt;A364),"Date hors ordre","OK"))))))))</f>
        <v>OK</v>
      </c>
      <c r="M365" s="39" t="str">
        <f>IF(C365="","",C365&amp;"#"&amp;COUNTIF($C$5:C365,C365))</f>
        <v>RON-M6#23</v>
      </c>
    </row>
    <row r="366">
      <c r="A366" s="41" t="n">
        <v>46325</v>
      </c>
      <c r="B366" s="37" t="inlineStr">
        <is>
          <t>Entrée</t>
        </is>
      </c>
      <c r="C366" s="37" t="inlineStr">
        <is>
          <t>GAN-NIT</t>
        </is>
      </c>
      <c r="D366" s="39" t="str">
        <f>IF(C366="","",IFERROR(INDEX(art_des,MATCH(C366,art_ref,0))&amp;"","Référence inconnue"))</f>
        <v>Gants nitrile, boîte de 100</v>
      </c>
      <c r="E366" s="37" t="n">
        <v>1</v>
      </c>
      <c r="F366" s="39" t="str">
        <f>IF(C366="","",IFERROR(INDEX(art_unit,MATCH(C366,art_ref,0))&amp;"",""))</f>
        <v>boîte</v>
      </c>
      <c r="G366" s="37" t="inlineStr">
        <is>
          <t>INV-2026-10</t>
        </is>
      </c>
      <c r="H366" s="37" t="n"/>
      <c r="I366" s="37" t="inlineStr">
        <is>
          <t>Écart d'inventaire</t>
        </is>
      </c>
      <c r="J366" s="40">
        <f>IF(OR(C366="",NOT(ISNUMBER(E366))),"",IFERROR(E366*N(INDEX(art_price,MATCH(C366,art_ref,0))),""))</f>
        <v>7.5</v>
      </c>
      <c r="K366" s="39">
        <f>IF(OR(C366="",NOT(ISNUMBER(E366))),"",IFERROR(ROUND(N(INDEX(art_init,MATCH(C366,art_ref,0)))+SUMIFS($E$5:E366,$C$5:C366,C366,$B$5:B366,"Entrée")-SUMIFS($E$5:E366,$C$5:C366,C366,$B$5:B366,"Sortie"),6),""))</f>
        <v>21.0</v>
      </c>
      <c r="L366" s="39" t="str">
        <f>IF(COUNTA(A366:C366,E366)=0,"",IF(COUNTA(A366:C366,E366)&lt;4,"Ligne incomplète",IF(NOT(ISNUMBER(A366)),"Date invalide",IF(AND(B366&lt;&gt;"Entrée",B366&lt;&gt;"Sortie"),"Type inconnu",IF(ISNA(MATCH(C366,art_ref,0)),"Référence inconnue",IF(OR(NOT(ISNUMBER(E366)),N(E366)&lt;=0),"Quantité invalide",IF(K366&lt;0,"Stock négatif",IF(AND(ISNUMBER(A365),A366&lt;A365),"Date hors ordre","OK"))))))))</f>
        <v>OK</v>
      </c>
      <c r="M366" s="39" t="str">
        <f>IF(C366="","",C366&amp;"#"&amp;COUNTIF($C$5:C366,C366))</f>
        <v>GAN-NIT#24</v>
      </c>
    </row>
    <row r="367">
      <c r="A367" s="41" t="n"/>
      <c r="B367" s="37" t="n"/>
      <c r="C367" s="37" t="n"/>
      <c r="D367" s="39" t="str">
        <f>IF(C367="","",IFERROR(INDEX(art_des,MATCH(C367,art_ref,0))&amp;"","Référence inconnue"))</f>
        <v/>
      </c>
      <c r="E367" s="37" t="n"/>
      <c r="F367" s="39" t="str">
        <f>IF(C367="","",IFERROR(INDEX(art_unit,MATCH(C367,art_ref,0))&amp;"",""))</f>
        <v/>
      </c>
      <c r="G367" s="37" t="n"/>
      <c r="H367" s="37" t="n"/>
      <c r="I367" s="37" t="n"/>
      <c r="J367" s="40" t="str">
        <f>IF(OR(C367="",NOT(ISNUMBER(E367))),"",IFERROR(E367*N(INDEX(art_price,MATCH(C367,art_ref,0))),""))</f>
        <v/>
      </c>
      <c r="K367" s="39" t="str">
        <f>IF(OR(C367="",NOT(ISNUMBER(E367))),"",IFERROR(ROUND(N(INDEX(art_init,MATCH(C367,art_ref,0)))+SUMIFS($E$5:E367,$C$5:C367,C367,$B$5:B367,"Entrée")-SUMIFS($E$5:E367,$C$5:C367,C367,$B$5:B367,"Sortie"),6),""))</f>
        <v/>
      </c>
      <c r="L367" s="39" t="str">
        <f>IF(COUNTA(A367:C367,E367)=0,"",IF(COUNTA(A367:C367,E367)&lt;4,"Ligne incomplète",IF(NOT(ISNUMBER(A367)),"Date invalide",IF(AND(B367&lt;&gt;"Entrée",B367&lt;&gt;"Sortie"),"Type inconnu",IF(ISNA(MATCH(C367,art_ref,0)),"Référence inconnue",IF(OR(NOT(ISNUMBER(E367)),N(E367)&lt;=0),"Quantité invalide",IF(K367&lt;0,"Stock négatif",IF(AND(ISNUMBER(A366),A367&lt;A366),"Date hors ordre","OK"))))))))</f>
        <v/>
      </c>
      <c r="M367" s="39" t="str">
        <f>IF(C367="","",C367&amp;"#"&amp;COUNTIF($C$5:C367,C367))</f>
        <v/>
      </c>
    </row>
    <row r="368">
      <c r="A368" s="41" t="n"/>
      <c r="B368" s="37" t="n"/>
      <c r="C368" s="37" t="n"/>
      <c r="D368" s="39" t="str">
        <f>IF(C368="","",IFERROR(INDEX(art_des,MATCH(C368,art_ref,0))&amp;"","Référence inconnue"))</f>
        <v/>
      </c>
      <c r="E368" s="37" t="n"/>
      <c r="F368" s="39" t="str">
        <f>IF(C368="","",IFERROR(INDEX(art_unit,MATCH(C368,art_ref,0))&amp;"",""))</f>
        <v/>
      </c>
      <c r="G368" s="37" t="n"/>
      <c r="H368" s="37" t="n"/>
      <c r="I368" s="37" t="n"/>
      <c r="J368" s="40" t="str">
        <f>IF(OR(C368="",NOT(ISNUMBER(E368))),"",IFERROR(E368*N(INDEX(art_price,MATCH(C368,art_ref,0))),""))</f>
        <v/>
      </c>
      <c r="K368" s="39" t="str">
        <f>IF(OR(C368="",NOT(ISNUMBER(E368))),"",IFERROR(ROUND(N(INDEX(art_init,MATCH(C368,art_ref,0)))+SUMIFS($E$5:E368,$C$5:C368,C368,$B$5:B368,"Entrée")-SUMIFS($E$5:E368,$C$5:C368,C368,$B$5:B368,"Sortie"),6),""))</f>
        <v/>
      </c>
      <c r="L368" s="39" t="str">
        <f>IF(COUNTA(A368:C368,E368)=0,"",IF(COUNTA(A368:C368,E368)&lt;4,"Ligne incomplète",IF(NOT(ISNUMBER(A368)),"Date invalide",IF(AND(B368&lt;&gt;"Entrée",B368&lt;&gt;"Sortie"),"Type inconnu",IF(ISNA(MATCH(C368,art_ref,0)),"Référence inconnue",IF(OR(NOT(ISNUMBER(E368)),N(E368)&lt;=0),"Quantité invalide",IF(K368&lt;0,"Stock négatif",IF(AND(ISNUMBER(A367),A368&lt;A367),"Date hors ordre","OK"))))))))</f>
        <v/>
      </c>
      <c r="M368" s="39" t="str">
        <f>IF(C368="","",C368&amp;"#"&amp;COUNTIF($C$5:C368,C368))</f>
        <v/>
      </c>
    </row>
    <row r="369">
      <c r="A369" s="41" t="n"/>
      <c r="B369" s="37" t="n"/>
      <c r="C369" s="37" t="n"/>
      <c r="D369" s="39" t="str">
        <f>IF(C369="","",IFERROR(INDEX(art_des,MATCH(C369,art_ref,0))&amp;"","Référence inconnue"))</f>
        <v/>
      </c>
      <c r="E369" s="37" t="n"/>
      <c r="F369" s="39" t="str">
        <f>IF(C369="","",IFERROR(INDEX(art_unit,MATCH(C369,art_ref,0))&amp;"",""))</f>
        <v/>
      </c>
      <c r="G369" s="37" t="n"/>
      <c r="H369" s="37" t="n"/>
      <c r="I369" s="37" t="n"/>
      <c r="J369" s="40" t="str">
        <f>IF(OR(C369="",NOT(ISNUMBER(E369))),"",IFERROR(E369*N(INDEX(art_price,MATCH(C369,art_ref,0))),""))</f>
        <v/>
      </c>
      <c r="K369" s="39" t="str">
        <f>IF(OR(C369="",NOT(ISNUMBER(E369))),"",IFERROR(ROUND(N(INDEX(art_init,MATCH(C369,art_ref,0)))+SUMIFS($E$5:E369,$C$5:C369,C369,$B$5:B369,"Entrée")-SUMIFS($E$5:E369,$C$5:C369,C369,$B$5:B369,"Sortie"),6),""))</f>
        <v/>
      </c>
      <c r="L369" s="39" t="str">
        <f>IF(COUNTA(A369:C369,E369)=0,"",IF(COUNTA(A369:C369,E369)&lt;4,"Ligne incomplète",IF(NOT(ISNUMBER(A369)),"Date invalide",IF(AND(B369&lt;&gt;"Entrée",B369&lt;&gt;"Sortie"),"Type inconnu",IF(ISNA(MATCH(C369,art_ref,0)),"Référence inconnue",IF(OR(NOT(ISNUMBER(E369)),N(E369)&lt;=0),"Quantité invalide",IF(K369&lt;0,"Stock négatif",IF(AND(ISNUMBER(A368),A369&lt;A368),"Date hors ordre","OK"))))))))</f>
        <v/>
      </c>
      <c r="M369" s="39" t="str">
        <f>IF(C369="","",C369&amp;"#"&amp;COUNTIF($C$5:C369,C369))</f>
        <v/>
      </c>
    </row>
    <row r="370">
      <c r="A370" s="41" t="n"/>
      <c r="B370" s="37" t="n"/>
      <c r="C370" s="37" t="n"/>
      <c r="D370" s="39" t="str">
        <f>IF(C370="","",IFERROR(INDEX(art_des,MATCH(C370,art_ref,0))&amp;"","Référence inconnue"))</f>
        <v/>
      </c>
      <c r="E370" s="37" t="n"/>
      <c r="F370" s="39" t="str">
        <f>IF(C370="","",IFERROR(INDEX(art_unit,MATCH(C370,art_ref,0))&amp;"",""))</f>
        <v/>
      </c>
      <c r="G370" s="37" t="n"/>
      <c r="H370" s="37" t="n"/>
      <c r="I370" s="37" t="n"/>
      <c r="J370" s="40" t="str">
        <f>IF(OR(C370="",NOT(ISNUMBER(E370))),"",IFERROR(E370*N(INDEX(art_price,MATCH(C370,art_ref,0))),""))</f>
        <v/>
      </c>
      <c r="K370" s="39" t="str">
        <f>IF(OR(C370="",NOT(ISNUMBER(E370))),"",IFERROR(ROUND(N(INDEX(art_init,MATCH(C370,art_ref,0)))+SUMIFS($E$5:E370,$C$5:C370,C370,$B$5:B370,"Entrée")-SUMIFS($E$5:E370,$C$5:C370,C370,$B$5:B370,"Sortie"),6),""))</f>
        <v/>
      </c>
      <c r="L370" s="39" t="str">
        <f>IF(COUNTA(A370:C370,E370)=0,"",IF(COUNTA(A370:C370,E370)&lt;4,"Ligne incomplète",IF(NOT(ISNUMBER(A370)),"Date invalide",IF(AND(B370&lt;&gt;"Entrée",B370&lt;&gt;"Sortie"),"Type inconnu",IF(ISNA(MATCH(C370,art_ref,0)),"Référence inconnue",IF(OR(NOT(ISNUMBER(E370)),N(E370)&lt;=0),"Quantité invalide",IF(K370&lt;0,"Stock négatif",IF(AND(ISNUMBER(A369),A370&lt;A369),"Date hors ordre","OK"))))))))</f>
        <v/>
      </c>
      <c r="M370" s="39" t="str">
        <f>IF(C370="","",C370&amp;"#"&amp;COUNTIF($C$5:C370,C370))</f>
        <v/>
      </c>
    </row>
    <row r="371">
      <c r="A371" s="41" t="n"/>
      <c r="B371" s="37" t="n"/>
      <c r="C371" s="37" t="n"/>
      <c r="D371" s="39" t="str">
        <f>IF(C371="","",IFERROR(INDEX(art_des,MATCH(C371,art_ref,0))&amp;"","Référence inconnue"))</f>
        <v/>
      </c>
      <c r="E371" s="37" t="n"/>
      <c r="F371" s="39" t="str">
        <f>IF(C371="","",IFERROR(INDEX(art_unit,MATCH(C371,art_ref,0))&amp;"",""))</f>
        <v/>
      </c>
      <c r="G371" s="37" t="n"/>
      <c r="H371" s="37" t="n"/>
      <c r="I371" s="37" t="n"/>
      <c r="J371" s="40" t="str">
        <f>IF(OR(C371="",NOT(ISNUMBER(E371))),"",IFERROR(E371*N(INDEX(art_price,MATCH(C371,art_ref,0))),""))</f>
        <v/>
      </c>
      <c r="K371" s="39" t="str">
        <f>IF(OR(C371="",NOT(ISNUMBER(E371))),"",IFERROR(ROUND(N(INDEX(art_init,MATCH(C371,art_ref,0)))+SUMIFS($E$5:E371,$C$5:C371,C371,$B$5:B371,"Entrée")-SUMIFS($E$5:E371,$C$5:C371,C371,$B$5:B371,"Sortie"),6),""))</f>
        <v/>
      </c>
      <c r="L371" s="39" t="str">
        <f>IF(COUNTA(A371:C371,E371)=0,"",IF(COUNTA(A371:C371,E371)&lt;4,"Ligne incomplète",IF(NOT(ISNUMBER(A371)),"Date invalide",IF(AND(B371&lt;&gt;"Entrée",B371&lt;&gt;"Sortie"),"Type inconnu",IF(ISNA(MATCH(C371,art_ref,0)),"Référence inconnue",IF(OR(NOT(ISNUMBER(E371)),N(E371)&lt;=0),"Quantité invalide",IF(K371&lt;0,"Stock négatif",IF(AND(ISNUMBER(A370),A371&lt;A370),"Date hors ordre","OK"))))))))</f>
        <v/>
      </c>
      <c r="M371" s="39" t="str">
        <f>IF(C371="","",C371&amp;"#"&amp;COUNTIF($C$5:C371,C371))</f>
        <v/>
      </c>
    </row>
    <row r="372">
      <c r="A372" s="41" t="n"/>
      <c r="B372" s="37" t="n"/>
      <c r="C372" s="37" t="n"/>
      <c r="D372" s="39" t="str">
        <f>IF(C372="","",IFERROR(INDEX(art_des,MATCH(C372,art_ref,0))&amp;"","Référence inconnue"))</f>
        <v/>
      </c>
      <c r="E372" s="37" t="n"/>
      <c r="F372" s="39" t="str">
        <f>IF(C372="","",IFERROR(INDEX(art_unit,MATCH(C372,art_ref,0))&amp;"",""))</f>
        <v/>
      </c>
      <c r="G372" s="37" t="n"/>
      <c r="H372" s="37" t="n"/>
      <c r="I372" s="37" t="n"/>
      <c r="J372" s="40" t="str">
        <f>IF(OR(C372="",NOT(ISNUMBER(E372))),"",IFERROR(E372*N(INDEX(art_price,MATCH(C372,art_ref,0))),""))</f>
        <v/>
      </c>
      <c r="K372" s="39" t="str">
        <f>IF(OR(C372="",NOT(ISNUMBER(E372))),"",IFERROR(ROUND(N(INDEX(art_init,MATCH(C372,art_ref,0)))+SUMIFS($E$5:E372,$C$5:C372,C372,$B$5:B372,"Entrée")-SUMIFS($E$5:E372,$C$5:C372,C372,$B$5:B372,"Sortie"),6),""))</f>
        <v/>
      </c>
      <c r="L372" s="39" t="str">
        <f>IF(COUNTA(A372:C372,E372)=0,"",IF(COUNTA(A372:C372,E372)&lt;4,"Ligne incomplète",IF(NOT(ISNUMBER(A372)),"Date invalide",IF(AND(B372&lt;&gt;"Entrée",B372&lt;&gt;"Sortie"),"Type inconnu",IF(ISNA(MATCH(C372,art_ref,0)),"Référence inconnue",IF(OR(NOT(ISNUMBER(E372)),N(E372)&lt;=0),"Quantité invalide",IF(K372&lt;0,"Stock négatif",IF(AND(ISNUMBER(A371),A372&lt;A371),"Date hors ordre","OK"))))))))</f>
        <v/>
      </c>
      <c r="M372" s="39" t="str">
        <f>IF(C372="","",C372&amp;"#"&amp;COUNTIF($C$5:C372,C372))</f>
        <v/>
      </c>
    </row>
    <row r="373">
      <c r="A373" s="41" t="n"/>
      <c r="B373" s="37" t="n"/>
      <c r="C373" s="37" t="n"/>
      <c r="D373" s="39" t="str">
        <f>IF(C373="","",IFERROR(INDEX(art_des,MATCH(C373,art_ref,0))&amp;"","Référence inconnue"))</f>
        <v/>
      </c>
      <c r="E373" s="37" t="n"/>
      <c r="F373" s="39" t="str">
        <f>IF(C373="","",IFERROR(INDEX(art_unit,MATCH(C373,art_ref,0))&amp;"",""))</f>
        <v/>
      </c>
      <c r="G373" s="37" t="n"/>
      <c r="H373" s="37" t="n"/>
      <c r="I373" s="37" t="n"/>
      <c r="J373" s="40" t="str">
        <f>IF(OR(C373="",NOT(ISNUMBER(E373))),"",IFERROR(E373*N(INDEX(art_price,MATCH(C373,art_ref,0))),""))</f>
        <v/>
      </c>
      <c r="K373" s="39" t="str">
        <f>IF(OR(C373="",NOT(ISNUMBER(E373))),"",IFERROR(ROUND(N(INDEX(art_init,MATCH(C373,art_ref,0)))+SUMIFS($E$5:E373,$C$5:C373,C373,$B$5:B373,"Entrée")-SUMIFS($E$5:E373,$C$5:C373,C373,$B$5:B373,"Sortie"),6),""))</f>
        <v/>
      </c>
      <c r="L373" s="39" t="str">
        <f>IF(COUNTA(A373:C373,E373)=0,"",IF(COUNTA(A373:C373,E373)&lt;4,"Ligne incomplète",IF(NOT(ISNUMBER(A373)),"Date invalide",IF(AND(B373&lt;&gt;"Entrée",B373&lt;&gt;"Sortie"),"Type inconnu",IF(ISNA(MATCH(C373,art_ref,0)),"Référence inconnue",IF(OR(NOT(ISNUMBER(E373)),N(E373)&lt;=0),"Quantité invalide",IF(K373&lt;0,"Stock négatif",IF(AND(ISNUMBER(A372),A373&lt;A372),"Date hors ordre","OK"))))))))</f>
        <v/>
      </c>
      <c r="M373" s="39" t="str">
        <f>IF(C373="","",C373&amp;"#"&amp;COUNTIF($C$5:C373,C373))</f>
        <v/>
      </c>
    </row>
    <row r="374">
      <c r="A374" s="41" t="n"/>
      <c r="B374" s="37" t="n"/>
      <c r="C374" s="37" t="n"/>
      <c r="D374" s="39" t="str">
        <f>IF(C374="","",IFERROR(INDEX(art_des,MATCH(C374,art_ref,0))&amp;"","Référence inconnue"))</f>
        <v/>
      </c>
      <c r="E374" s="37" t="n"/>
      <c r="F374" s="39" t="str">
        <f>IF(C374="","",IFERROR(INDEX(art_unit,MATCH(C374,art_ref,0))&amp;"",""))</f>
        <v/>
      </c>
      <c r="G374" s="37" t="n"/>
      <c r="H374" s="37" t="n"/>
      <c r="I374" s="37" t="n"/>
      <c r="J374" s="40" t="str">
        <f>IF(OR(C374="",NOT(ISNUMBER(E374))),"",IFERROR(E374*N(INDEX(art_price,MATCH(C374,art_ref,0))),""))</f>
        <v/>
      </c>
      <c r="K374" s="39" t="str">
        <f>IF(OR(C374="",NOT(ISNUMBER(E374))),"",IFERROR(ROUND(N(INDEX(art_init,MATCH(C374,art_ref,0)))+SUMIFS($E$5:E374,$C$5:C374,C374,$B$5:B374,"Entrée")-SUMIFS($E$5:E374,$C$5:C374,C374,$B$5:B374,"Sortie"),6),""))</f>
        <v/>
      </c>
      <c r="L374" s="39" t="str">
        <f>IF(COUNTA(A374:C374,E374)=0,"",IF(COUNTA(A374:C374,E374)&lt;4,"Ligne incomplète",IF(NOT(ISNUMBER(A374)),"Date invalide",IF(AND(B374&lt;&gt;"Entrée",B374&lt;&gt;"Sortie"),"Type inconnu",IF(ISNA(MATCH(C374,art_ref,0)),"Référence inconnue",IF(OR(NOT(ISNUMBER(E374)),N(E374)&lt;=0),"Quantité invalide",IF(K374&lt;0,"Stock négatif",IF(AND(ISNUMBER(A373),A374&lt;A373),"Date hors ordre","OK"))))))))</f>
        <v/>
      </c>
      <c r="M374" s="39" t="str">
        <f>IF(C374="","",C374&amp;"#"&amp;COUNTIF($C$5:C374,C374))</f>
        <v/>
      </c>
    </row>
    <row r="375">
      <c r="A375" s="41" t="n"/>
      <c r="B375" s="37" t="n"/>
      <c r="C375" s="37" t="n"/>
      <c r="D375" s="39" t="str">
        <f>IF(C375="","",IFERROR(INDEX(art_des,MATCH(C375,art_ref,0))&amp;"","Référence inconnue"))</f>
        <v/>
      </c>
      <c r="E375" s="37" t="n"/>
      <c r="F375" s="39" t="str">
        <f>IF(C375="","",IFERROR(INDEX(art_unit,MATCH(C375,art_ref,0))&amp;"",""))</f>
        <v/>
      </c>
      <c r="G375" s="37" t="n"/>
      <c r="H375" s="37" t="n"/>
      <c r="I375" s="37" t="n"/>
      <c r="J375" s="40" t="str">
        <f>IF(OR(C375="",NOT(ISNUMBER(E375))),"",IFERROR(E375*N(INDEX(art_price,MATCH(C375,art_ref,0))),""))</f>
        <v/>
      </c>
      <c r="K375" s="39" t="str">
        <f>IF(OR(C375="",NOT(ISNUMBER(E375))),"",IFERROR(ROUND(N(INDEX(art_init,MATCH(C375,art_ref,0)))+SUMIFS($E$5:E375,$C$5:C375,C375,$B$5:B375,"Entrée")-SUMIFS($E$5:E375,$C$5:C375,C375,$B$5:B375,"Sortie"),6),""))</f>
        <v/>
      </c>
      <c r="L375" s="39" t="str">
        <f>IF(COUNTA(A375:C375,E375)=0,"",IF(COUNTA(A375:C375,E375)&lt;4,"Ligne incomplète",IF(NOT(ISNUMBER(A375)),"Date invalide",IF(AND(B375&lt;&gt;"Entrée",B375&lt;&gt;"Sortie"),"Type inconnu",IF(ISNA(MATCH(C375,art_ref,0)),"Référence inconnue",IF(OR(NOT(ISNUMBER(E375)),N(E375)&lt;=0),"Quantité invalide",IF(K375&lt;0,"Stock négatif",IF(AND(ISNUMBER(A374),A375&lt;A374),"Date hors ordre","OK"))))))))</f>
        <v/>
      </c>
      <c r="M375" s="39" t="str">
        <f>IF(C375="","",C375&amp;"#"&amp;COUNTIF($C$5:C375,C375))</f>
        <v/>
      </c>
    </row>
    <row r="376">
      <c r="A376" s="41" t="n"/>
      <c r="B376" s="37" t="n"/>
      <c r="C376" s="37" t="n"/>
      <c r="D376" s="39" t="str">
        <f>IF(C376="","",IFERROR(INDEX(art_des,MATCH(C376,art_ref,0))&amp;"","Référence inconnue"))</f>
        <v/>
      </c>
      <c r="E376" s="37" t="n"/>
      <c r="F376" s="39" t="str">
        <f>IF(C376="","",IFERROR(INDEX(art_unit,MATCH(C376,art_ref,0))&amp;"",""))</f>
        <v/>
      </c>
      <c r="G376" s="37" t="n"/>
      <c r="H376" s="37" t="n"/>
      <c r="I376" s="37" t="n"/>
      <c r="J376" s="40" t="str">
        <f>IF(OR(C376="",NOT(ISNUMBER(E376))),"",IFERROR(E376*N(INDEX(art_price,MATCH(C376,art_ref,0))),""))</f>
        <v/>
      </c>
      <c r="K376" s="39" t="str">
        <f>IF(OR(C376="",NOT(ISNUMBER(E376))),"",IFERROR(ROUND(N(INDEX(art_init,MATCH(C376,art_ref,0)))+SUMIFS($E$5:E376,$C$5:C376,C376,$B$5:B376,"Entrée")-SUMIFS($E$5:E376,$C$5:C376,C376,$B$5:B376,"Sortie"),6),""))</f>
        <v/>
      </c>
      <c r="L376" s="39" t="str">
        <f>IF(COUNTA(A376:C376,E376)=0,"",IF(COUNTA(A376:C376,E376)&lt;4,"Ligne incomplète",IF(NOT(ISNUMBER(A376)),"Date invalide",IF(AND(B376&lt;&gt;"Entrée",B376&lt;&gt;"Sortie"),"Type inconnu",IF(ISNA(MATCH(C376,art_ref,0)),"Référence inconnue",IF(OR(NOT(ISNUMBER(E376)),N(E376)&lt;=0),"Quantité invalide",IF(K376&lt;0,"Stock négatif",IF(AND(ISNUMBER(A375),A376&lt;A375),"Date hors ordre","OK"))))))))</f>
        <v/>
      </c>
      <c r="M376" s="39" t="str">
        <f>IF(C376="","",C376&amp;"#"&amp;COUNTIF($C$5:C376,C376))</f>
        <v/>
      </c>
    </row>
    <row r="377">
      <c r="A377" s="41" t="n"/>
      <c r="B377" s="37" t="n"/>
      <c r="C377" s="37" t="n"/>
      <c r="D377" s="39" t="str">
        <f>IF(C377="","",IFERROR(INDEX(art_des,MATCH(C377,art_ref,0))&amp;"","Référence inconnue"))</f>
        <v/>
      </c>
      <c r="E377" s="37" t="n"/>
      <c r="F377" s="39" t="str">
        <f>IF(C377="","",IFERROR(INDEX(art_unit,MATCH(C377,art_ref,0))&amp;"",""))</f>
        <v/>
      </c>
      <c r="G377" s="37" t="n"/>
      <c r="H377" s="37" t="n"/>
      <c r="I377" s="37" t="n"/>
      <c r="J377" s="40" t="str">
        <f>IF(OR(C377="",NOT(ISNUMBER(E377))),"",IFERROR(E377*N(INDEX(art_price,MATCH(C377,art_ref,0))),""))</f>
        <v/>
      </c>
      <c r="K377" s="39" t="str">
        <f>IF(OR(C377="",NOT(ISNUMBER(E377))),"",IFERROR(ROUND(N(INDEX(art_init,MATCH(C377,art_ref,0)))+SUMIFS($E$5:E377,$C$5:C377,C377,$B$5:B377,"Entrée")-SUMIFS($E$5:E377,$C$5:C377,C377,$B$5:B377,"Sortie"),6),""))</f>
        <v/>
      </c>
      <c r="L377" s="39" t="str">
        <f>IF(COUNTA(A377:C377,E377)=0,"",IF(COUNTA(A377:C377,E377)&lt;4,"Ligne incomplète",IF(NOT(ISNUMBER(A377)),"Date invalide",IF(AND(B377&lt;&gt;"Entrée",B377&lt;&gt;"Sortie"),"Type inconnu",IF(ISNA(MATCH(C377,art_ref,0)),"Référence inconnue",IF(OR(NOT(ISNUMBER(E377)),N(E377)&lt;=0),"Quantité invalide",IF(K377&lt;0,"Stock négatif",IF(AND(ISNUMBER(A376),A377&lt;A376),"Date hors ordre","OK"))))))))</f>
        <v/>
      </c>
      <c r="M377" s="39" t="str">
        <f>IF(C377="","",C377&amp;"#"&amp;COUNTIF($C$5:C377,C377))</f>
        <v/>
      </c>
    </row>
    <row r="378">
      <c r="A378" s="41" t="n"/>
      <c r="B378" s="37" t="n"/>
      <c r="C378" s="37" t="n"/>
      <c r="D378" s="39" t="str">
        <f>IF(C378="","",IFERROR(INDEX(art_des,MATCH(C378,art_ref,0))&amp;"","Référence inconnue"))</f>
        <v/>
      </c>
      <c r="E378" s="37" t="n"/>
      <c r="F378" s="39" t="str">
        <f>IF(C378="","",IFERROR(INDEX(art_unit,MATCH(C378,art_ref,0))&amp;"",""))</f>
        <v/>
      </c>
      <c r="G378" s="37" t="n"/>
      <c r="H378" s="37" t="n"/>
      <c r="I378" s="37" t="n"/>
      <c r="J378" s="40" t="str">
        <f>IF(OR(C378="",NOT(ISNUMBER(E378))),"",IFERROR(E378*N(INDEX(art_price,MATCH(C378,art_ref,0))),""))</f>
        <v/>
      </c>
      <c r="K378" s="39" t="str">
        <f>IF(OR(C378="",NOT(ISNUMBER(E378))),"",IFERROR(ROUND(N(INDEX(art_init,MATCH(C378,art_ref,0)))+SUMIFS($E$5:E378,$C$5:C378,C378,$B$5:B378,"Entrée")-SUMIFS($E$5:E378,$C$5:C378,C378,$B$5:B378,"Sortie"),6),""))</f>
        <v/>
      </c>
      <c r="L378" s="39" t="str">
        <f>IF(COUNTA(A378:C378,E378)=0,"",IF(COUNTA(A378:C378,E378)&lt;4,"Ligne incomplète",IF(NOT(ISNUMBER(A378)),"Date invalide",IF(AND(B378&lt;&gt;"Entrée",B378&lt;&gt;"Sortie"),"Type inconnu",IF(ISNA(MATCH(C378,art_ref,0)),"Référence inconnue",IF(OR(NOT(ISNUMBER(E378)),N(E378)&lt;=0),"Quantité invalide",IF(K378&lt;0,"Stock négatif",IF(AND(ISNUMBER(A377),A378&lt;A377),"Date hors ordre","OK"))))))))</f>
        <v/>
      </c>
      <c r="M378" s="39" t="str">
        <f>IF(C378="","",C378&amp;"#"&amp;COUNTIF($C$5:C378,C378))</f>
        <v/>
      </c>
    </row>
    <row r="379">
      <c r="A379" s="41" t="n"/>
      <c r="B379" s="37" t="n"/>
      <c r="C379" s="37" t="n"/>
      <c r="D379" s="39" t="str">
        <f>IF(C379="","",IFERROR(INDEX(art_des,MATCH(C379,art_ref,0))&amp;"","Référence inconnue"))</f>
        <v/>
      </c>
      <c r="E379" s="37" t="n"/>
      <c r="F379" s="39" t="str">
        <f>IF(C379="","",IFERROR(INDEX(art_unit,MATCH(C379,art_ref,0))&amp;"",""))</f>
        <v/>
      </c>
      <c r="G379" s="37" t="n"/>
      <c r="H379" s="37" t="n"/>
      <c r="I379" s="37" t="n"/>
      <c r="J379" s="40" t="str">
        <f>IF(OR(C379="",NOT(ISNUMBER(E379))),"",IFERROR(E379*N(INDEX(art_price,MATCH(C379,art_ref,0))),""))</f>
        <v/>
      </c>
      <c r="K379" s="39" t="str">
        <f>IF(OR(C379="",NOT(ISNUMBER(E379))),"",IFERROR(ROUND(N(INDEX(art_init,MATCH(C379,art_ref,0)))+SUMIFS($E$5:E379,$C$5:C379,C379,$B$5:B379,"Entrée")-SUMIFS($E$5:E379,$C$5:C379,C379,$B$5:B379,"Sortie"),6),""))</f>
        <v/>
      </c>
      <c r="L379" s="39" t="str">
        <f>IF(COUNTA(A379:C379,E379)=0,"",IF(COUNTA(A379:C379,E379)&lt;4,"Ligne incomplète",IF(NOT(ISNUMBER(A379)),"Date invalide",IF(AND(B379&lt;&gt;"Entrée",B379&lt;&gt;"Sortie"),"Type inconnu",IF(ISNA(MATCH(C379,art_ref,0)),"Référence inconnue",IF(OR(NOT(ISNUMBER(E379)),N(E379)&lt;=0),"Quantité invalide",IF(K379&lt;0,"Stock négatif",IF(AND(ISNUMBER(A378),A379&lt;A378),"Date hors ordre","OK"))))))))</f>
        <v/>
      </c>
      <c r="M379" s="39" t="str">
        <f>IF(C379="","",C379&amp;"#"&amp;COUNTIF($C$5:C379,C379))</f>
        <v/>
      </c>
    </row>
    <row r="380">
      <c r="A380" s="41" t="n"/>
      <c r="B380" s="37" t="n"/>
      <c r="C380" s="37" t="n"/>
      <c r="D380" s="39" t="str">
        <f>IF(C380="","",IFERROR(INDEX(art_des,MATCH(C380,art_ref,0))&amp;"","Référence inconnue"))</f>
        <v/>
      </c>
      <c r="E380" s="37" t="n"/>
      <c r="F380" s="39" t="str">
        <f>IF(C380="","",IFERROR(INDEX(art_unit,MATCH(C380,art_ref,0))&amp;"",""))</f>
        <v/>
      </c>
      <c r="G380" s="37" t="n"/>
      <c r="H380" s="37" t="n"/>
      <c r="I380" s="37" t="n"/>
      <c r="J380" s="40" t="str">
        <f>IF(OR(C380="",NOT(ISNUMBER(E380))),"",IFERROR(E380*N(INDEX(art_price,MATCH(C380,art_ref,0))),""))</f>
        <v/>
      </c>
      <c r="K380" s="39" t="str">
        <f>IF(OR(C380="",NOT(ISNUMBER(E380))),"",IFERROR(ROUND(N(INDEX(art_init,MATCH(C380,art_ref,0)))+SUMIFS($E$5:E380,$C$5:C380,C380,$B$5:B380,"Entrée")-SUMIFS($E$5:E380,$C$5:C380,C380,$B$5:B380,"Sortie"),6),""))</f>
        <v/>
      </c>
      <c r="L380" s="39" t="str">
        <f>IF(COUNTA(A380:C380,E380)=0,"",IF(COUNTA(A380:C380,E380)&lt;4,"Ligne incomplète",IF(NOT(ISNUMBER(A380)),"Date invalide",IF(AND(B380&lt;&gt;"Entrée",B380&lt;&gt;"Sortie"),"Type inconnu",IF(ISNA(MATCH(C380,art_ref,0)),"Référence inconnue",IF(OR(NOT(ISNUMBER(E380)),N(E380)&lt;=0),"Quantité invalide",IF(K380&lt;0,"Stock négatif",IF(AND(ISNUMBER(A379),A380&lt;A379),"Date hors ordre","OK"))))))))</f>
        <v/>
      </c>
      <c r="M380" s="39" t="str">
        <f>IF(C380="","",C380&amp;"#"&amp;COUNTIF($C$5:C380,C380))</f>
        <v/>
      </c>
    </row>
    <row r="381">
      <c r="A381" s="41" t="n"/>
      <c r="B381" s="37" t="n"/>
      <c r="C381" s="37" t="n"/>
      <c r="D381" s="39" t="str">
        <f>IF(C381="","",IFERROR(INDEX(art_des,MATCH(C381,art_ref,0))&amp;"","Référence inconnue"))</f>
        <v/>
      </c>
      <c r="E381" s="37" t="n"/>
      <c r="F381" s="39" t="str">
        <f>IF(C381="","",IFERROR(INDEX(art_unit,MATCH(C381,art_ref,0))&amp;"",""))</f>
        <v/>
      </c>
      <c r="G381" s="37" t="n"/>
      <c r="H381" s="37" t="n"/>
      <c r="I381" s="37" t="n"/>
      <c r="J381" s="40" t="str">
        <f>IF(OR(C381="",NOT(ISNUMBER(E381))),"",IFERROR(E381*N(INDEX(art_price,MATCH(C381,art_ref,0))),""))</f>
        <v/>
      </c>
      <c r="K381" s="39" t="str">
        <f>IF(OR(C381="",NOT(ISNUMBER(E381))),"",IFERROR(ROUND(N(INDEX(art_init,MATCH(C381,art_ref,0)))+SUMIFS($E$5:E381,$C$5:C381,C381,$B$5:B381,"Entrée")-SUMIFS($E$5:E381,$C$5:C381,C381,$B$5:B381,"Sortie"),6),""))</f>
        <v/>
      </c>
      <c r="L381" s="39" t="str">
        <f>IF(COUNTA(A381:C381,E381)=0,"",IF(COUNTA(A381:C381,E381)&lt;4,"Ligne incomplète",IF(NOT(ISNUMBER(A381)),"Date invalide",IF(AND(B381&lt;&gt;"Entrée",B381&lt;&gt;"Sortie"),"Type inconnu",IF(ISNA(MATCH(C381,art_ref,0)),"Référence inconnue",IF(OR(NOT(ISNUMBER(E381)),N(E381)&lt;=0),"Quantité invalide",IF(K381&lt;0,"Stock négatif",IF(AND(ISNUMBER(A380),A381&lt;A380),"Date hors ordre","OK"))))))))</f>
        <v/>
      </c>
      <c r="M381" s="39" t="str">
        <f>IF(C381="","",C381&amp;"#"&amp;COUNTIF($C$5:C381,C381))</f>
        <v/>
      </c>
    </row>
    <row r="382">
      <c r="A382" s="41" t="n"/>
      <c r="B382" s="37" t="n"/>
      <c r="C382" s="37" t="n"/>
      <c r="D382" s="39" t="str">
        <f>IF(C382="","",IFERROR(INDEX(art_des,MATCH(C382,art_ref,0))&amp;"","Référence inconnue"))</f>
        <v/>
      </c>
      <c r="E382" s="37" t="n"/>
      <c r="F382" s="39" t="str">
        <f>IF(C382="","",IFERROR(INDEX(art_unit,MATCH(C382,art_ref,0))&amp;"",""))</f>
        <v/>
      </c>
      <c r="G382" s="37" t="n"/>
      <c r="H382" s="37" t="n"/>
      <c r="I382" s="37" t="n"/>
      <c r="J382" s="40" t="str">
        <f>IF(OR(C382="",NOT(ISNUMBER(E382))),"",IFERROR(E382*N(INDEX(art_price,MATCH(C382,art_ref,0))),""))</f>
        <v/>
      </c>
      <c r="K382" s="39" t="str">
        <f>IF(OR(C382="",NOT(ISNUMBER(E382))),"",IFERROR(ROUND(N(INDEX(art_init,MATCH(C382,art_ref,0)))+SUMIFS($E$5:E382,$C$5:C382,C382,$B$5:B382,"Entrée")-SUMIFS($E$5:E382,$C$5:C382,C382,$B$5:B382,"Sortie"),6),""))</f>
        <v/>
      </c>
      <c r="L382" s="39" t="str">
        <f>IF(COUNTA(A382:C382,E382)=0,"",IF(COUNTA(A382:C382,E382)&lt;4,"Ligne incomplète",IF(NOT(ISNUMBER(A382)),"Date invalide",IF(AND(B382&lt;&gt;"Entrée",B382&lt;&gt;"Sortie"),"Type inconnu",IF(ISNA(MATCH(C382,art_ref,0)),"Référence inconnue",IF(OR(NOT(ISNUMBER(E382)),N(E382)&lt;=0),"Quantité invalide",IF(K382&lt;0,"Stock négatif",IF(AND(ISNUMBER(A381),A382&lt;A381),"Date hors ordre","OK"))))))))</f>
        <v/>
      </c>
      <c r="M382" s="39" t="str">
        <f>IF(C382="","",C382&amp;"#"&amp;COUNTIF($C$5:C382,C382))</f>
        <v/>
      </c>
    </row>
    <row r="383">
      <c r="A383" s="41" t="n"/>
      <c r="B383" s="37" t="n"/>
      <c r="C383" s="37" t="n"/>
      <c r="D383" s="39" t="str">
        <f>IF(C383="","",IFERROR(INDEX(art_des,MATCH(C383,art_ref,0))&amp;"","Référence inconnue"))</f>
        <v/>
      </c>
      <c r="E383" s="37" t="n"/>
      <c r="F383" s="39" t="str">
        <f>IF(C383="","",IFERROR(INDEX(art_unit,MATCH(C383,art_ref,0))&amp;"",""))</f>
        <v/>
      </c>
      <c r="G383" s="37" t="n"/>
      <c r="H383" s="37" t="n"/>
      <c r="I383" s="37" t="n"/>
      <c r="J383" s="40" t="str">
        <f>IF(OR(C383="",NOT(ISNUMBER(E383))),"",IFERROR(E383*N(INDEX(art_price,MATCH(C383,art_ref,0))),""))</f>
        <v/>
      </c>
      <c r="K383" s="39" t="str">
        <f>IF(OR(C383="",NOT(ISNUMBER(E383))),"",IFERROR(ROUND(N(INDEX(art_init,MATCH(C383,art_ref,0)))+SUMIFS($E$5:E383,$C$5:C383,C383,$B$5:B383,"Entrée")-SUMIFS($E$5:E383,$C$5:C383,C383,$B$5:B383,"Sortie"),6),""))</f>
        <v/>
      </c>
      <c r="L383" s="39" t="str">
        <f>IF(COUNTA(A383:C383,E383)=0,"",IF(COUNTA(A383:C383,E383)&lt;4,"Ligne incomplète",IF(NOT(ISNUMBER(A383)),"Date invalide",IF(AND(B383&lt;&gt;"Entrée",B383&lt;&gt;"Sortie"),"Type inconnu",IF(ISNA(MATCH(C383,art_ref,0)),"Référence inconnue",IF(OR(NOT(ISNUMBER(E383)),N(E383)&lt;=0),"Quantité invalide",IF(K383&lt;0,"Stock négatif",IF(AND(ISNUMBER(A382),A383&lt;A382),"Date hors ordre","OK"))))))))</f>
        <v/>
      </c>
      <c r="M383" s="39" t="str">
        <f>IF(C383="","",C383&amp;"#"&amp;COUNTIF($C$5:C383,C383))</f>
        <v/>
      </c>
    </row>
    <row r="384">
      <c r="A384" s="41" t="n"/>
      <c r="B384" s="37" t="n"/>
      <c r="C384" s="37" t="n"/>
      <c r="D384" s="39" t="str">
        <f>IF(C384="","",IFERROR(INDEX(art_des,MATCH(C384,art_ref,0))&amp;"","Référence inconnue"))</f>
        <v/>
      </c>
      <c r="E384" s="37" t="n"/>
      <c r="F384" s="39" t="str">
        <f>IF(C384="","",IFERROR(INDEX(art_unit,MATCH(C384,art_ref,0))&amp;"",""))</f>
        <v/>
      </c>
      <c r="G384" s="37" t="n"/>
      <c r="H384" s="37" t="n"/>
      <c r="I384" s="37" t="n"/>
      <c r="J384" s="40" t="str">
        <f>IF(OR(C384="",NOT(ISNUMBER(E384))),"",IFERROR(E384*N(INDEX(art_price,MATCH(C384,art_ref,0))),""))</f>
        <v/>
      </c>
      <c r="K384" s="39" t="str">
        <f>IF(OR(C384="",NOT(ISNUMBER(E384))),"",IFERROR(ROUND(N(INDEX(art_init,MATCH(C384,art_ref,0)))+SUMIFS($E$5:E384,$C$5:C384,C384,$B$5:B384,"Entrée")-SUMIFS($E$5:E384,$C$5:C384,C384,$B$5:B384,"Sortie"),6),""))</f>
        <v/>
      </c>
      <c r="L384" s="39" t="str">
        <f>IF(COUNTA(A384:C384,E384)=0,"",IF(COUNTA(A384:C384,E384)&lt;4,"Ligne incomplète",IF(NOT(ISNUMBER(A384)),"Date invalide",IF(AND(B384&lt;&gt;"Entrée",B384&lt;&gt;"Sortie"),"Type inconnu",IF(ISNA(MATCH(C384,art_ref,0)),"Référence inconnue",IF(OR(NOT(ISNUMBER(E384)),N(E384)&lt;=0),"Quantité invalide",IF(K384&lt;0,"Stock négatif",IF(AND(ISNUMBER(A383),A384&lt;A383),"Date hors ordre","OK"))))))))</f>
        <v/>
      </c>
      <c r="M384" s="39" t="str">
        <f>IF(C384="","",C384&amp;"#"&amp;COUNTIF($C$5:C384,C384))</f>
        <v/>
      </c>
    </row>
    <row r="385">
      <c r="A385" s="41" t="n"/>
      <c r="B385" s="37" t="n"/>
      <c r="C385" s="37" t="n"/>
      <c r="D385" s="39" t="str">
        <f>IF(C385="","",IFERROR(INDEX(art_des,MATCH(C385,art_ref,0))&amp;"","Référence inconnue"))</f>
        <v/>
      </c>
      <c r="E385" s="37" t="n"/>
      <c r="F385" s="39" t="str">
        <f>IF(C385="","",IFERROR(INDEX(art_unit,MATCH(C385,art_ref,0))&amp;"",""))</f>
        <v/>
      </c>
      <c r="G385" s="37" t="n"/>
      <c r="H385" s="37" t="n"/>
      <c r="I385" s="37" t="n"/>
      <c r="J385" s="40" t="str">
        <f>IF(OR(C385="",NOT(ISNUMBER(E385))),"",IFERROR(E385*N(INDEX(art_price,MATCH(C385,art_ref,0))),""))</f>
        <v/>
      </c>
      <c r="K385" s="39" t="str">
        <f>IF(OR(C385="",NOT(ISNUMBER(E385))),"",IFERROR(ROUND(N(INDEX(art_init,MATCH(C385,art_ref,0)))+SUMIFS($E$5:E385,$C$5:C385,C385,$B$5:B385,"Entrée")-SUMIFS($E$5:E385,$C$5:C385,C385,$B$5:B385,"Sortie"),6),""))</f>
        <v/>
      </c>
      <c r="L385" s="39" t="str">
        <f>IF(COUNTA(A385:C385,E385)=0,"",IF(COUNTA(A385:C385,E385)&lt;4,"Ligne incomplète",IF(NOT(ISNUMBER(A385)),"Date invalide",IF(AND(B385&lt;&gt;"Entrée",B385&lt;&gt;"Sortie"),"Type inconnu",IF(ISNA(MATCH(C385,art_ref,0)),"Référence inconnue",IF(OR(NOT(ISNUMBER(E385)),N(E385)&lt;=0),"Quantité invalide",IF(K385&lt;0,"Stock négatif",IF(AND(ISNUMBER(A384),A385&lt;A384),"Date hors ordre","OK"))))))))</f>
        <v/>
      </c>
      <c r="M385" s="39" t="str">
        <f>IF(C385="","",C385&amp;"#"&amp;COUNTIF($C$5:C385,C385))</f>
        <v/>
      </c>
    </row>
    <row r="386">
      <c r="A386" s="41" t="n"/>
      <c r="B386" s="37" t="n"/>
      <c r="C386" s="37" t="n"/>
      <c r="D386" s="39" t="str">
        <f>IF(C386="","",IFERROR(INDEX(art_des,MATCH(C386,art_ref,0))&amp;"","Référence inconnue"))</f>
        <v/>
      </c>
      <c r="E386" s="37" t="n"/>
      <c r="F386" s="39" t="str">
        <f>IF(C386="","",IFERROR(INDEX(art_unit,MATCH(C386,art_ref,0))&amp;"",""))</f>
        <v/>
      </c>
      <c r="G386" s="37" t="n"/>
      <c r="H386" s="37" t="n"/>
      <c r="I386" s="37" t="n"/>
      <c r="J386" s="40" t="str">
        <f>IF(OR(C386="",NOT(ISNUMBER(E386))),"",IFERROR(E386*N(INDEX(art_price,MATCH(C386,art_ref,0))),""))</f>
        <v/>
      </c>
      <c r="K386" s="39" t="str">
        <f>IF(OR(C386="",NOT(ISNUMBER(E386))),"",IFERROR(ROUND(N(INDEX(art_init,MATCH(C386,art_ref,0)))+SUMIFS($E$5:E386,$C$5:C386,C386,$B$5:B386,"Entrée")-SUMIFS($E$5:E386,$C$5:C386,C386,$B$5:B386,"Sortie"),6),""))</f>
        <v/>
      </c>
      <c r="L386" s="39" t="str">
        <f>IF(COUNTA(A386:C386,E386)=0,"",IF(COUNTA(A386:C386,E386)&lt;4,"Ligne incomplète",IF(NOT(ISNUMBER(A386)),"Date invalide",IF(AND(B386&lt;&gt;"Entrée",B386&lt;&gt;"Sortie"),"Type inconnu",IF(ISNA(MATCH(C386,art_ref,0)),"Référence inconnue",IF(OR(NOT(ISNUMBER(E386)),N(E386)&lt;=0),"Quantité invalide",IF(K386&lt;0,"Stock négatif",IF(AND(ISNUMBER(A385),A386&lt;A385),"Date hors ordre","OK"))))))))</f>
        <v/>
      </c>
      <c r="M386" s="39" t="str">
        <f>IF(C386="","",C386&amp;"#"&amp;COUNTIF($C$5:C386,C386))</f>
        <v/>
      </c>
    </row>
    <row r="387">
      <c r="A387" s="41" t="n"/>
      <c r="B387" s="37" t="n"/>
      <c r="C387" s="37" t="n"/>
      <c r="D387" s="39" t="str">
        <f>IF(C387="","",IFERROR(INDEX(art_des,MATCH(C387,art_ref,0))&amp;"","Référence inconnue"))</f>
        <v/>
      </c>
      <c r="E387" s="37" t="n"/>
      <c r="F387" s="39" t="str">
        <f>IF(C387="","",IFERROR(INDEX(art_unit,MATCH(C387,art_ref,0))&amp;"",""))</f>
        <v/>
      </c>
      <c r="G387" s="37" t="n"/>
      <c r="H387" s="37" t="n"/>
      <c r="I387" s="37" t="n"/>
      <c r="J387" s="40" t="str">
        <f>IF(OR(C387="",NOT(ISNUMBER(E387))),"",IFERROR(E387*N(INDEX(art_price,MATCH(C387,art_ref,0))),""))</f>
        <v/>
      </c>
      <c r="K387" s="39" t="str">
        <f>IF(OR(C387="",NOT(ISNUMBER(E387))),"",IFERROR(ROUND(N(INDEX(art_init,MATCH(C387,art_ref,0)))+SUMIFS($E$5:E387,$C$5:C387,C387,$B$5:B387,"Entrée")-SUMIFS($E$5:E387,$C$5:C387,C387,$B$5:B387,"Sortie"),6),""))</f>
        <v/>
      </c>
      <c r="L387" s="39" t="str">
        <f>IF(COUNTA(A387:C387,E387)=0,"",IF(COUNTA(A387:C387,E387)&lt;4,"Ligne incomplète",IF(NOT(ISNUMBER(A387)),"Date invalide",IF(AND(B387&lt;&gt;"Entrée",B387&lt;&gt;"Sortie"),"Type inconnu",IF(ISNA(MATCH(C387,art_ref,0)),"Référence inconnue",IF(OR(NOT(ISNUMBER(E387)),N(E387)&lt;=0),"Quantité invalide",IF(K387&lt;0,"Stock négatif",IF(AND(ISNUMBER(A386),A387&lt;A386),"Date hors ordre","OK"))))))))</f>
        <v/>
      </c>
      <c r="M387" s="39" t="str">
        <f>IF(C387="","",C387&amp;"#"&amp;COUNTIF($C$5:C387,C387))</f>
        <v/>
      </c>
    </row>
    <row r="388">
      <c r="A388" s="41" t="n"/>
      <c r="B388" s="37" t="n"/>
      <c r="C388" s="37" t="n"/>
      <c r="D388" s="39" t="str">
        <f>IF(C388="","",IFERROR(INDEX(art_des,MATCH(C388,art_ref,0))&amp;"","Référence inconnue"))</f>
        <v/>
      </c>
      <c r="E388" s="37" t="n"/>
      <c r="F388" s="39" t="str">
        <f>IF(C388="","",IFERROR(INDEX(art_unit,MATCH(C388,art_ref,0))&amp;"",""))</f>
        <v/>
      </c>
      <c r="G388" s="37" t="n"/>
      <c r="H388" s="37" t="n"/>
      <c r="I388" s="37" t="n"/>
      <c r="J388" s="40" t="str">
        <f>IF(OR(C388="",NOT(ISNUMBER(E388))),"",IFERROR(E388*N(INDEX(art_price,MATCH(C388,art_ref,0))),""))</f>
        <v/>
      </c>
      <c r="K388" s="39" t="str">
        <f>IF(OR(C388="",NOT(ISNUMBER(E388))),"",IFERROR(ROUND(N(INDEX(art_init,MATCH(C388,art_ref,0)))+SUMIFS($E$5:E388,$C$5:C388,C388,$B$5:B388,"Entrée")-SUMIFS($E$5:E388,$C$5:C388,C388,$B$5:B388,"Sortie"),6),""))</f>
        <v/>
      </c>
      <c r="L388" s="39" t="str">
        <f>IF(COUNTA(A388:C388,E388)=0,"",IF(COUNTA(A388:C388,E388)&lt;4,"Ligne incomplète",IF(NOT(ISNUMBER(A388)),"Date invalide",IF(AND(B388&lt;&gt;"Entrée",B388&lt;&gt;"Sortie"),"Type inconnu",IF(ISNA(MATCH(C388,art_ref,0)),"Référence inconnue",IF(OR(NOT(ISNUMBER(E388)),N(E388)&lt;=0),"Quantité invalide",IF(K388&lt;0,"Stock négatif",IF(AND(ISNUMBER(A387),A388&lt;A387),"Date hors ordre","OK"))))))))</f>
        <v/>
      </c>
      <c r="M388" s="39" t="str">
        <f>IF(C388="","",C388&amp;"#"&amp;COUNTIF($C$5:C388,C388))</f>
        <v/>
      </c>
    </row>
    <row r="389">
      <c r="A389" s="41" t="n"/>
      <c r="B389" s="37" t="n"/>
      <c r="C389" s="37" t="n"/>
      <c r="D389" s="39" t="str">
        <f>IF(C389="","",IFERROR(INDEX(art_des,MATCH(C389,art_ref,0))&amp;"","Référence inconnue"))</f>
        <v/>
      </c>
      <c r="E389" s="37" t="n"/>
      <c r="F389" s="39" t="str">
        <f>IF(C389="","",IFERROR(INDEX(art_unit,MATCH(C389,art_ref,0))&amp;"",""))</f>
        <v/>
      </c>
      <c r="G389" s="37" t="n"/>
      <c r="H389" s="37" t="n"/>
      <c r="I389" s="37" t="n"/>
      <c r="J389" s="40" t="str">
        <f>IF(OR(C389="",NOT(ISNUMBER(E389))),"",IFERROR(E389*N(INDEX(art_price,MATCH(C389,art_ref,0))),""))</f>
        <v/>
      </c>
      <c r="K389" s="39" t="str">
        <f>IF(OR(C389="",NOT(ISNUMBER(E389))),"",IFERROR(ROUND(N(INDEX(art_init,MATCH(C389,art_ref,0)))+SUMIFS($E$5:E389,$C$5:C389,C389,$B$5:B389,"Entrée")-SUMIFS($E$5:E389,$C$5:C389,C389,$B$5:B389,"Sortie"),6),""))</f>
        <v/>
      </c>
      <c r="L389" s="39" t="str">
        <f>IF(COUNTA(A389:C389,E389)=0,"",IF(COUNTA(A389:C389,E389)&lt;4,"Ligne incomplète",IF(NOT(ISNUMBER(A389)),"Date invalide",IF(AND(B389&lt;&gt;"Entrée",B389&lt;&gt;"Sortie"),"Type inconnu",IF(ISNA(MATCH(C389,art_ref,0)),"Référence inconnue",IF(OR(NOT(ISNUMBER(E389)),N(E389)&lt;=0),"Quantité invalide",IF(K389&lt;0,"Stock négatif",IF(AND(ISNUMBER(A388),A389&lt;A388),"Date hors ordre","OK"))))))))</f>
        <v/>
      </c>
      <c r="M389" s="39" t="str">
        <f>IF(C389="","",C389&amp;"#"&amp;COUNTIF($C$5:C389,C389))</f>
        <v/>
      </c>
    </row>
    <row r="390">
      <c r="A390" s="41" t="n"/>
      <c r="B390" s="37" t="n"/>
      <c r="C390" s="37" t="n"/>
      <c r="D390" s="39" t="str">
        <f>IF(C390="","",IFERROR(INDEX(art_des,MATCH(C390,art_ref,0))&amp;"","Référence inconnue"))</f>
        <v/>
      </c>
      <c r="E390" s="37" t="n"/>
      <c r="F390" s="39" t="str">
        <f>IF(C390="","",IFERROR(INDEX(art_unit,MATCH(C390,art_ref,0))&amp;"",""))</f>
        <v/>
      </c>
      <c r="G390" s="37" t="n"/>
      <c r="H390" s="37" t="n"/>
      <c r="I390" s="37" t="n"/>
      <c r="J390" s="40" t="str">
        <f>IF(OR(C390="",NOT(ISNUMBER(E390))),"",IFERROR(E390*N(INDEX(art_price,MATCH(C390,art_ref,0))),""))</f>
        <v/>
      </c>
      <c r="K390" s="39" t="str">
        <f>IF(OR(C390="",NOT(ISNUMBER(E390))),"",IFERROR(ROUND(N(INDEX(art_init,MATCH(C390,art_ref,0)))+SUMIFS($E$5:E390,$C$5:C390,C390,$B$5:B390,"Entrée")-SUMIFS($E$5:E390,$C$5:C390,C390,$B$5:B390,"Sortie"),6),""))</f>
        <v/>
      </c>
      <c r="L390" s="39" t="str">
        <f>IF(COUNTA(A390:C390,E390)=0,"",IF(COUNTA(A390:C390,E390)&lt;4,"Ligne incomplète",IF(NOT(ISNUMBER(A390)),"Date invalide",IF(AND(B390&lt;&gt;"Entrée",B390&lt;&gt;"Sortie"),"Type inconnu",IF(ISNA(MATCH(C390,art_ref,0)),"Référence inconnue",IF(OR(NOT(ISNUMBER(E390)),N(E390)&lt;=0),"Quantité invalide",IF(K390&lt;0,"Stock négatif",IF(AND(ISNUMBER(A389),A390&lt;A389),"Date hors ordre","OK"))))))))</f>
        <v/>
      </c>
      <c r="M390" s="39" t="str">
        <f>IF(C390="","",C390&amp;"#"&amp;COUNTIF($C$5:C390,C390))</f>
        <v/>
      </c>
    </row>
    <row r="391">
      <c r="A391" s="41" t="n"/>
      <c r="B391" s="37" t="n"/>
      <c r="C391" s="37" t="n"/>
      <c r="D391" s="39" t="str">
        <f>IF(C391="","",IFERROR(INDEX(art_des,MATCH(C391,art_ref,0))&amp;"","Référence inconnue"))</f>
        <v/>
      </c>
      <c r="E391" s="37" t="n"/>
      <c r="F391" s="39" t="str">
        <f>IF(C391="","",IFERROR(INDEX(art_unit,MATCH(C391,art_ref,0))&amp;"",""))</f>
        <v/>
      </c>
      <c r="G391" s="37" t="n"/>
      <c r="H391" s="37" t="n"/>
      <c r="I391" s="37" t="n"/>
      <c r="J391" s="40" t="str">
        <f>IF(OR(C391="",NOT(ISNUMBER(E391))),"",IFERROR(E391*N(INDEX(art_price,MATCH(C391,art_ref,0))),""))</f>
        <v/>
      </c>
      <c r="K391" s="39" t="str">
        <f>IF(OR(C391="",NOT(ISNUMBER(E391))),"",IFERROR(ROUND(N(INDEX(art_init,MATCH(C391,art_ref,0)))+SUMIFS($E$5:E391,$C$5:C391,C391,$B$5:B391,"Entrée")-SUMIFS($E$5:E391,$C$5:C391,C391,$B$5:B391,"Sortie"),6),""))</f>
        <v/>
      </c>
      <c r="L391" s="39" t="str">
        <f>IF(COUNTA(A391:C391,E391)=0,"",IF(COUNTA(A391:C391,E391)&lt;4,"Ligne incomplète",IF(NOT(ISNUMBER(A391)),"Date invalide",IF(AND(B391&lt;&gt;"Entrée",B391&lt;&gt;"Sortie"),"Type inconnu",IF(ISNA(MATCH(C391,art_ref,0)),"Référence inconnue",IF(OR(NOT(ISNUMBER(E391)),N(E391)&lt;=0),"Quantité invalide",IF(K391&lt;0,"Stock négatif",IF(AND(ISNUMBER(A390),A391&lt;A390),"Date hors ordre","OK"))))))))</f>
        <v/>
      </c>
      <c r="M391" s="39" t="str">
        <f>IF(C391="","",C391&amp;"#"&amp;COUNTIF($C$5:C391,C391))</f>
        <v/>
      </c>
    </row>
    <row r="392">
      <c r="A392" s="41" t="n"/>
      <c r="B392" s="37" t="n"/>
      <c r="C392" s="37" t="n"/>
      <c r="D392" s="39" t="str">
        <f>IF(C392="","",IFERROR(INDEX(art_des,MATCH(C392,art_ref,0))&amp;"","Référence inconnue"))</f>
        <v/>
      </c>
      <c r="E392" s="37" t="n"/>
      <c r="F392" s="39" t="str">
        <f>IF(C392="","",IFERROR(INDEX(art_unit,MATCH(C392,art_ref,0))&amp;"",""))</f>
        <v/>
      </c>
      <c r="G392" s="37" t="n"/>
      <c r="H392" s="37" t="n"/>
      <c r="I392" s="37" t="n"/>
      <c r="J392" s="40" t="str">
        <f>IF(OR(C392="",NOT(ISNUMBER(E392))),"",IFERROR(E392*N(INDEX(art_price,MATCH(C392,art_ref,0))),""))</f>
        <v/>
      </c>
      <c r="K392" s="39" t="str">
        <f>IF(OR(C392="",NOT(ISNUMBER(E392))),"",IFERROR(ROUND(N(INDEX(art_init,MATCH(C392,art_ref,0)))+SUMIFS($E$5:E392,$C$5:C392,C392,$B$5:B392,"Entrée")-SUMIFS($E$5:E392,$C$5:C392,C392,$B$5:B392,"Sortie"),6),""))</f>
        <v/>
      </c>
      <c r="L392" s="39" t="str">
        <f>IF(COUNTA(A392:C392,E392)=0,"",IF(COUNTA(A392:C392,E392)&lt;4,"Ligne incomplète",IF(NOT(ISNUMBER(A392)),"Date invalide",IF(AND(B392&lt;&gt;"Entrée",B392&lt;&gt;"Sortie"),"Type inconnu",IF(ISNA(MATCH(C392,art_ref,0)),"Référence inconnue",IF(OR(NOT(ISNUMBER(E392)),N(E392)&lt;=0),"Quantité invalide",IF(K392&lt;0,"Stock négatif",IF(AND(ISNUMBER(A391),A392&lt;A391),"Date hors ordre","OK"))))))))</f>
        <v/>
      </c>
      <c r="M392" s="39" t="str">
        <f>IF(C392="","",C392&amp;"#"&amp;COUNTIF($C$5:C392,C392))</f>
        <v/>
      </c>
    </row>
    <row r="393">
      <c r="A393" s="41" t="n"/>
      <c r="B393" s="37" t="n"/>
      <c r="C393" s="37" t="n"/>
      <c r="D393" s="39" t="str">
        <f>IF(C393="","",IFERROR(INDEX(art_des,MATCH(C393,art_ref,0))&amp;"","Référence inconnue"))</f>
        <v/>
      </c>
      <c r="E393" s="37" t="n"/>
      <c r="F393" s="39" t="str">
        <f>IF(C393="","",IFERROR(INDEX(art_unit,MATCH(C393,art_ref,0))&amp;"",""))</f>
        <v/>
      </c>
      <c r="G393" s="37" t="n"/>
      <c r="H393" s="37" t="n"/>
      <c r="I393" s="37" t="n"/>
      <c r="J393" s="40" t="str">
        <f>IF(OR(C393="",NOT(ISNUMBER(E393))),"",IFERROR(E393*N(INDEX(art_price,MATCH(C393,art_ref,0))),""))</f>
        <v/>
      </c>
      <c r="K393" s="39" t="str">
        <f>IF(OR(C393="",NOT(ISNUMBER(E393))),"",IFERROR(ROUND(N(INDEX(art_init,MATCH(C393,art_ref,0)))+SUMIFS($E$5:E393,$C$5:C393,C393,$B$5:B393,"Entrée")-SUMIFS($E$5:E393,$C$5:C393,C393,$B$5:B393,"Sortie"),6),""))</f>
        <v/>
      </c>
      <c r="L393" s="39" t="str">
        <f>IF(COUNTA(A393:C393,E393)=0,"",IF(COUNTA(A393:C393,E393)&lt;4,"Ligne incomplète",IF(NOT(ISNUMBER(A393)),"Date invalide",IF(AND(B393&lt;&gt;"Entrée",B393&lt;&gt;"Sortie"),"Type inconnu",IF(ISNA(MATCH(C393,art_ref,0)),"Référence inconnue",IF(OR(NOT(ISNUMBER(E393)),N(E393)&lt;=0),"Quantité invalide",IF(K393&lt;0,"Stock négatif",IF(AND(ISNUMBER(A392),A393&lt;A392),"Date hors ordre","OK"))))))))</f>
        <v/>
      </c>
      <c r="M393" s="39" t="str">
        <f>IF(C393="","",C393&amp;"#"&amp;COUNTIF($C$5:C393,C393))</f>
        <v/>
      </c>
    </row>
    <row r="394">
      <c r="A394" s="41" t="n"/>
      <c r="B394" s="37" t="n"/>
      <c r="C394" s="37" t="n"/>
      <c r="D394" s="39" t="str">
        <f>IF(C394="","",IFERROR(INDEX(art_des,MATCH(C394,art_ref,0))&amp;"","Référence inconnue"))</f>
        <v/>
      </c>
      <c r="E394" s="37" t="n"/>
      <c r="F394" s="39" t="str">
        <f>IF(C394="","",IFERROR(INDEX(art_unit,MATCH(C394,art_ref,0))&amp;"",""))</f>
        <v/>
      </c>
      <c r="G394" s="37" t="n"/>
      <c r="H394" s="37" t="n"/>
      <c r="I394" s="37" t="n"/>
      <c r="J394" s="40" t="str">
        <f>IF(OR(C394="",NOT(ISNUMBER(E394))),"",IFERROR(E394*N(INDEX(art_price,MATCH(C394,art_ref,0))),""))</f>
        <v/>
      </c>
      <c r="K394" s="39" t="str">
        <f>IF(OR(C394="",NOT(ISNUMBER(E394))),"",IFERROR(ROUND(N(INDEX(art_init,MATCH(C394,art_ref,0)))+SUMIFS($E$5:E394,$C$5:C394,C394,$B$5:B394,"Entrée")-SUMIFS($E$5:E394,$C$5:C394,C394,$B$5:B394,"Sortie"),6),""))</f>
        <v/>
      </c>
      <c r="L394" s="39" t="str">
        <f>IF(COUNTA(A394:C394,E394)=0,"",IF(COUNTA(A394:C394,E394)&lt;4,"Ligne incomplète",IF(NOT(ISNUMBER(A394)),"Date invalide",IF(AND(B394&lt;&gt;"Entrée",B394&lt;&gt;"Sortie"),"Type inconnu",IF(ISNA(MATCH(C394,art_ref,0)),"Référence inconnue",IF(OR(NOT(ISNUMBER(E394)),N(E394)&lt;=0),"Quantité invalide",IF(K394&lt;0,"Stock négatif",IF(AND(ISNUMBER(A393),A394&lt;A393),"Date hors ordre","OK"))))))))</f>
        <v/>
      </c>
      <c r="M394" s="39" t="str">
        <f>IF(C394="","",C394&amp;"#"&amp;COUNTIF($C$5:C394,C394))</f>
        <v/>
      </c>
    </row>
    <row r="395">
      <c r="A395" s="41" t="n"/>
      <c r="B395" s="37" t="n"/>
      <c r="C395" s="37" t="n"/>
      <c r="D395" s="39" t="str">
        <f>IF(C395="","",IFERROR(INDEX(art_des,MATCH(C395,art_ref,0))&amp;"","Référence inconnue"))</f>
        <v/>
      </c>
      <c r="E395" s="37" t="n"/>
      <c r="F395" s="39" t="str">
        <f>IF(C395="","",IFERROR(INDEX(art_unit,MATCH(C395,art_ref,0))&amp;"",""))</f>
        <v/>
      </c>
      <c r="G395" s="37" t="n"/>
      <c r="H395" s="37" t="n"/>
      <c r="I395" s="37" t="n"/>
      <c r="J395" s="40" t="str">
        <f>IF(OR(C395="",NOT(ISNUMBER(E395))),"",IFERROR(E395*N(INDEX(art_price,MATCH(C395,art_ref,0))),""))</f>
        <v/>
      </c>
      <c r="K395" s="39" t="str">
        <f>IF(OR(C395="",NOT(ISNUMBER(E395))),"",IFERROR(ROUND(N(INDEX(art_init,MATCH(C395,art_ref,0)))+SUMIFS($E$5:E395,$C$5:C395,C395,$B$5:B395,"Entrée")-SUMIFS($E$5:E395,$C$5:C395,C395,$B$5:B395,"Sortie"),6),""))</f>
        <v/>
      </c>
      <c r="L395" s="39" t="str">
        <f>IF(COUNTA(A395:C395,E395)=0,"",IF(COUNTA(A395:C395,E395)&lt;4,"Ligne incomplète",IF(NOT(ISNUMBER(A395)),"Date invalide",IF(AND(B395&lt;&gt;"Entrée",B395&lt;&gt;"Sortie"),"Type inconnu",IF(ISNA(MATCH(C395,art_ref,0)),"Référence inconnue",IF(OR(NOT(ISNUMBER(E395)),N(E395)&lt;=0),"Quantité invalide",IF(K395&lt;0,"Stock négatif",IF(AND(ISNUMBER(A394),A395&lt;A394),"Date hors ordre","OK"))))))))</f>
        <v/>
      </c>
      <c r="M395" s="39" t="str">
        <f>IF(C395="","",C395&amp;"#"&amp;COUNTIF($C$5:C395,C395))</f>
        <v/>
      </c>
    </row>
    <row r="396">
      <c r="A396" s="41" t="n"/>
      <c r="B396" s="37" t="n"/>
      <c r="C396" s="37" t="n"/>
      <c r="D396" s="39" t="str">
        <f>IF(C396="","",IFERROR(INDEX(art_des,MATCH(C396,art_ref,0))&amp;"","Référence inconnue"))</f>
        <v/>
      </c>
      <c r="E396" s="37" t="n"/>
      <c r="F396" s="39" t="str">
        <f>IF(C396="","",IFERROR(INDEX(art_unit,MATCH(C396,art_ref,0))&amp;"",""))</f>
        <v/>
      </c>
      <c r="G396" s="37" t="n"/>
      <c r="H396" s="37" t="n"/>
      <c r="I396" s="37" t="n"/>
      <c r="J396" s="40" t="str">
        <f>IF(OR(C396="",NOT(ISNUMBER(E396))),"",IFERROR(E396*N(INDEX(art_price,MATCH(C396,art_ref,0))),""))</f>
        <v/>
      </c>
      <c r="K396" s="39" t="str">
        <f>IF(OR(C396="",NOT(ISNUMBER(E396))),"",IFERROR(ROUND(N(INDEX(art_init,MATCH(C396,art_ref,0)))+SUMIFS($E$5:E396,$C$5:C396,C396,$B$5:B396,"Entrée")-SUMIFS($E$5:E396,$C$5:C396,C396,$B$5:B396,"Sortie"),6),""))</f>
        <v/>
      </c>
      <c r="L396" s="39" t="str">
        <f>IF(COUNTA(A396:C396,E396)=0,"",IF(COUNTA(A396:C396,E396)&lt;4,"Ligne incomplète",IF(NOT(ISNUMBER(A396)),"Date invalide",IF(AND(B396&lt;&gt;"Entrée",B396&lt;&gt;"Sortie"),"Type inconnu",IF(ISNA(MATCH(C396,art_ref,0)),"Référence inconnue",IF(OR(NOT(ISNUMBER(E396)),N(E396)&lt;=0),"Quantité invalide",IF(K396&lt;0,"Stock négatif",IF(AND(ISNUMBER(A395),A396&lt;A395),"Date hors ordre","OK"))))))))</f>
        <v/>
      </c>
      <c r="M396" s="39" t="str">
        <f>IF(C396="","",C396&amp;"#"&amp;COUNTIF($C$5:C396,C396))</f>
        <v/>
      </c>
    </row>
    <row r="397">
      <c r="A397" s="41" t="n"/>
      <c r="B397" s="37" t="n"/>
      <c r="C397" s="37" t="n"/>
      <c r="D397" s="39" t="str">
        <f>IF(C397="","",IFERROR(INDEX(art_des,MATCH(C397,art_ref,0))&amp;"","Référence inconnue"))</f>
        <v/>
      </c>
      <c r="E397" s="37" t="n"/>
      <c r="F397" s="39" t="str">
        <f>IF(C397="","",IFERROR(INDEX(art_unit,MATCH(C397,art_ref,0))&amp;"",""))</f>
        <v/>
      </c>
      <c r="G397" s="37" t="n"/>
      <c r="H397" s="37" t="n"/>
      <c r="I397" s="37" t="n"/>
      <c r="J397" s="40" t="str">
        <f>IF(OR(C397="",NOT(ISNUMBER(E397))),"",IFERROR(E397*N(INDEX(art_price,MATCH(C397,art_ref,0))),""))</f>
        <v/>
      </c>
      <c r="K397" s="39" t="str">
        <f>IF(OR(C397="",NOT(ISNUMBER(E397))),"",IFERROR(ROUND(N(INDEX(art_init,MATCH(C397,art_ref,0)))+SUMIFS($E$5:E397,$C$5:C397,C397,$B$5:B397,"Entrée")-SUMIFS($E$5:E397,$C$5:C397,C397,$B$5:B397,"Sortie"),6),""))</f>
        <v/>
      </c>
      <c r="L397" s="39" t="str">
        <f>IF(COUNTA(A397:C397,E397)=0,"",IF(COUNTA(A397:C397,E397)&lt;4,"Ligne incomplète",IF(NOT(ISNUMBER(A397)),"Date invalide",IF(AND(B397&lt;&gt;"Entrée",B397&lt;&gt;"Sortie"),"Type inconnu",IF(ISNA(MATCH(C397,art_ref,0)),"Référence inconnue",IF(OR(NOT(ISNUMBER(E397)),N(E397)&lt;=0),"Quantité invalide",IF(K397&lt;0,"Stock négatif",IF(AND(ISNUMBER(A396),A397&lt;A396),"Date hors ordre","OK"))))))))</f>
        <v/>
      </c>
      <c r="M397" s="39" t="str">
        <f>IF(C397="","",C397&amp;"#"&amp;COUNTIF($C$5:C397,C397))</f>
        <v/>
      </c>
    </row>
    <row r="398">
      <c r="A398" s="41" t="n"/>
      <c r="B398" s="37" t="n"/>
      <c r="C398" s="37" t="n"/>
      <c r="D398" s="39" t="str">
        <f>IF(C398="","",IFERROR(INDEX(art_des,MATCH(C398,art_ref,0))&amp;"","Référence inconnue"))</f>
        <v/>
      </c>
      <c r="E398" s="37" t="n"/>
      <c r="F398" s="39" t="str">
        <f>IF(C398="","",IFERROR(INDEX(art_unit,MATCH(C398,art_ref,0))&amp;"",""))</f>
        <v/>
      </c>
      <c r="G398" s="37" t="n"/>
      <c r="H398" s="37" t="n"/>
      <c r="I398" s="37" t="n"/>
      <c r="J398" s="40" t="str">
        <f>IF(OR(C398="",NOT(ISNUMBER(E398))),"",IFERROR(E398*N(INDEX(art_price,MATCH(C398,art_ref,0))),""))</f>
        <v/>
      </c>
      <c r="K398" s="39" t="str">
        <f>IF(OR(C398="",NOT(ISNUMBER(E398))),"",IFERROR(ROUND(N(INDEX(art_init,MATCH(C398,art_ref,0)))+SUMIFS($E$5:E398,$C$5:C398,C398,$B$5:B398,"Entrée")-SUMIFS($E$5:E398,$C$5:C398,C398,$B$5:B398,"Sortie"),6),""))</f>
        <v/>
      </c>
      <c r="L398" s="39" t="str">
        <f>IF(COUNTA(A398:C398,E398)=0,"",IF(COUNTA(A398:C398,E398)&lt;4,"Ligne incomplète",IF(NOT(ISNUMBER(A398)),"Date invalide",IF(AND(B398&lt;&gt;"Entrée",B398&lt;&gt;"Sortie"),"Type inconnu",IF(ISNA(MATCH(C398,art_ref,0)),"Référence inconnue",IF(OR(NOT(ISNUMBER(E398)),N(E398)&lt;=0),"Quantité invalide",IF(K398&lt;0,"Stock négatif",IF(AND(ISNUMBER(A397),A398&lt;A397),"Date hors ordre","OK"))))))))</f>
        <v/>
      </c>
      <c r="M398" s="39" t="str">
        <f>IF(C398="","",C398&amp;"#"&amp;COUNTIF($C$5:C398,C398))</f>
        <v/>
      </c>
    </row>
    <row r="399">
      <c r="A399" s="41" t="n"/>
      <c r="B399" s="37" t="n"/>
      <c r="C399" s="37" t="n"/>
      <c r="D399" s="39" t="str">
        <f>IF(C399="","",IFERROR(INDEX(art_des,MATCH(C399,art_ref,0))&amp;"","Référence inconnue"))</f>
        <v/>
      </c>
      <c r="E399" s="37" t="n"/>
      <c r="F399" s="39" t="str">
        <f>IF(C399="","",IFERROR(INDEX(art_unit,MATCH(C399,art_ref,0))&amp;"",""))</f>
        <v/>
      </c>
      <c r="G399" s="37" t="n"/>
      <c r="H399" s="37" t="n"/>
      <c r="I399" s="37" t="n"/>
      <c r="J399" s="40" t="str">
        <f>IF(OR(C399="",NOT(ISNUMBER(E399))),"",IFERROR(E399*N(INDEX(art_price,MATCH(C399,art_ref,0))),""))</f>
        <v/>
      </c>
      <c r="K399" s="39" t="str">
        <f>IF(OR(C399="",NOT(ISNUMBER(E399))),"",IFERROR(ROUND(N(INDEX(art_init,MATCH(C399,art_ref,0)))+SUMIFS($E$5:E399,$C$5:C399,C399,$B$5:B399,"Entrée")-SUMIFS($E$5:E399,$C$5:C399,C399,$B$5:B399,"Sortie"),6),""))</f>
        <v/>
      </c>
      <c r="L399" s="39" t="str">
        <f>IF(COUNTA(A399:C399,E399)=0,"",IF(COUNTA(A399:C399,E399)&lt;4,"Ligne incomplète",IF(NOT(ISNUMBER(A399)),"Date invalide",IF(AND(B399&lt;&gt;"Entrée",B399&lt;&gt;"Sortie"),"Type inconnu",IF(ISNA(MATCH(C399,art_ref,0)),"Référence inconnue",IF(OR(NOT(ISNUMBER(E399)),N(E399)&lt;=0),"Quantité invalide",IF(K399&lt;0,"Stock négatif",IF(AND(ISNUMBER(A398),A399&lt;A398),"Date hors ordre","OK"))))))))</f>
        <v/>
      </c>
      <c r="M399" s="39" t="str">
        <f>IF(C399="","",C399&amp;"#"&amp;COUNTIF($C$5:C399,C399))</f>
        <v/>
      </c>
    </row>
    <row r="400">
      <c r="A400" s="41" t="n"/>
      <c r="B400" s="37" t="n"/>
      <c r="C400" s="37" t="n"/>
      <c r="D400" s="39" t="str">
        <f>IF(C400="","",IFERROR(INDEX(art_des,MATCH(C400,art_ref,0))&amp;"","Référence inconnue"))</f>
        <v/>
      </c>
      <c r="E400" s="37" t="n"/>
      <c r="F400" s="39" t="str">
        <f>IF(C400="","",IFERROR(INDEX(art_unit,MATCH(C400,art_ref,0))&amp;"",""))</f>
        <v/>
      </c>
      <c r="G400" s="37" t="n"/>
      <c r="H400" s="37" t="n"/>
      <c r="I400" s="37" t="n"/>
      <c r="J400" s="40" t="str">
        <f>IF(OR(C400="",NOT(ISNUMBER(E400))),"",IFERROR(E400*N(INDEX(art_price,MATCH(C400,art_ref,0))),""))</f>
        <v/>
      </c>
      <c r="K400" s="39" t="str">
        <f>IF(OR(C400="",NOT(ISNUMBER(E400))),"",IFERROR(ROUND(N(INDEX(art_init,MATCH(C400,art_ref,0)))+SUMIFS($E$5:E400,$C$5:C400,C400,$B$5:B400,"Entrée")-SUMIFS($E$5:E400,$C$5:C400,C400,$B$5:B400,"Sortie"),6),""))</f>
        <v/>
      </c>
      <c r="L400" s="39" t="str">
        <f>IF(COUNTA(A400:C400,E400)=0,"",IF(COUNTA(A400:C400,E400)&lt;4,"Ligne incomplète",IF(NOT(ISNUMBER(A400)),"Date invalide",IF(AND(B400&lt;&gt;"Entrée",B400&lt;&gt;"Sortie"),"Type inconnu",IF(ISNA(MATCH(C400,art_ref,0)),"Référence inconnue",IF(OR(NOT(ISNUMBER(E400)),N(E400)&lt;=0),"Quantité invalide",IF(K400&lt;0,"Stock négatif",IF(AND(ISNUMBER(A399),A400&lt;A399),"Date hors ordre","OK"))))))))</f>
        <v/>
      </c>
      <c r="M400" s="39" t="str">
        <f>IF(C400="","",C400&amp;"#"&amp;COUNTIF($C$5:C400,C400))</f>
        <v/>
      </c>
    </row>
    <row r="401">
      <c r="A401" s="41" t="n"/>
      <c r="B401" s="37" t="n"/>
      <c r="C401" s="37" t="n"/>
      <c r="D401" s="39" t="str">
        <f>IF(C401="","",IFERROR(INDEX(art_des,MATCH(C401,art_ref,0))&amp;"","Référence inconnue"))</f>
        <v/>
      </c>
      <c r="E401" s="37" t="n"/>
      <c r="F401" s="39" t="str">
        <f>IF(C401="","",IFERROR(INDEX(art_unit,MATCH(C401,art_ref,0))&amp;"",""))</f>
        <v/>
      </c>
      <c r="G401" s="37" t="n"/>
      <c r="H401" s="37" t="n"/>
      <c r="I401" s="37" t="n"/>
      <c r="J401" s="40" t="str">
        <f>IF(OR(C401="",NOT(ISNUMBER(E401))),"",IFERROR(E401*N(INDEX(art_price,MATCH(C401,art_ref,0))),""))</f>
        <v/>
      </c>
      <c r="K401" s="39" t="str">
        <f>IF(OR(C401="",NOT(ISNUMBER(E401))),"",IFERROR(ROUND(N(INDEX(art_init,MATCH(C401,art_ref,0)))+SUMIFS($E$5:E401,$C$5:C401,C401,$B$5:B401,"Entrée")-SUMIFS($E$5:E401,$C$5:C401,C401,$B$5:B401,"Sortie"),6),""))</f>
        <v/>
      </c>
      <c r="L401" s="39" t="str">
        <f>IF(COUNTA(A401:C401,E401)=0,"",IF(COUNTA(A401:C401,E401)&lt;4,"Ligne incomplète",IF(NOT(ISNUMBER(A401)),"Date invalide",IF(AND(B401&lt;&gt;"Entrée",B401&lt;&gt;"Sortie"),"Type inconnu",IF(ISNA(MATCH(C401,art_ref,0)),"Référence inconnue",IF(OR(NOT(ISNUMBER(E401)),N(E401)&lt;=0),"Quantité invalide",IF(K401&lt;0,"Stock négatif",IF(AND(ISNUMBER(A400),A401&lt;A400),"Date hors ordre","OK"))))))))</f>
        <v/>
      </c>
      <c r="M401" s="39" t="str">
        <f>IF(C401="","",C401&amp;"#"&amp;COUNTIF($C$5:C401,C401))</f>
        <v/>
      </c>
    </row>
    <row r="402">
      <c r="A402" s="41" t="n"/>
      <c r="B402" s="37" t="n"/>
      <c r="C402" s="37" t="n"/>
      <c r="D402" s="39" t="str">
        <f>IF(C402="","",IFERROR(INDEX(art_des,MATCH(C402,art_ref,0))&amp;"","Référence inconnue"))</f>
        <v/>
      </c>
      <c r="E402" s="37" t="n"/>
      <c r="F402" s="39" t="str">
        <f>IF(C402="","",IFERROR(INDEX(art_unit,MATCH(C402,art_ref,0))&amp;"",""))</f>
        <v/>
      </c>
      <c r="G402" s="37" t="n"/>
      <c r="H402" s="37" t="n"/>
      <c r="I402" s="37" t="n"/>
      <c r="J402" s="40" t="str">
        <f>IF(OR(C402="",NOT(ISNUMBER(E402))),"",IFERROR(E402*N(INDEX(art_price,MATCH(C402,art_ref,0))),""))</f>
        <v/>
      </c>
      <c r="K402" s="39" t="str">
        <f>IF(OR(C402="",NOT(ISNUMBER(E402))),"",IFERROR(ROUND(N(INDEX(art_init,MATCH(C402,art_ref,0)))+SUMIFS($E$5:E402,$C$5:C402,C402,$B$5:B402,"Entrée")-SUMIFS($E$5:E402,$C$5:C402,C402,$B$5:B402,"Sortie"),6),""))</f>
        <v/>
      </c>
      <c r="L402" s="39" t="str">
        <f>IF(COUNTA(A402:C402,E402)=0,"",IF(COUNTA(A402:C402,E402)&lt;4,"Ligne incomplète",IF(NOT(ISNUMBER(A402)),"Date invalide",IF(AND(B402&lt;&gt;"Entrée",B402&lt;&gt;"Sortie"),"Type inconnu",IF(ISNA(MATCH(C402,art_ref,0)),"Référence inconnue",IF(OR(NOT(ISNUMBER(E402)),N(E402)&lt;=0),"Quantité invalide",IF(K402&lt;0,"Stock négatif",IF(AND(ISNUMBER(A401),A402&lt;A401),"Date hors ordre","OK"))))))))</f>
        <v/>
      </c>
      <c r="M402" s="39" t="str">
        <f>IF(C402="","",C402&amp;"#"&amp;COUNTIF($C$5:C402,C402))</f>
        <v/>
      </c>
    </row>
    <row r="403">
      <c r="A403" s="41" t="n"/>
      <c r="B403" s="37" t="n"/>
      <c r="C403" s="37" t="n"/>
      <c r="D403" s="39" t="str">
        <f>IF(C403="","",IFERROR(INDEX(art_des,MATCH(C403,art_ref,0))&amp;"","Référence inconnue"))</f>
        <v/>
      </c>
      <c r="E403" s="37" t="n"/>
      <c r="F403" s="39" t="str">
        <f>IF(C403="","",IFERROR(INDEX(art_unit,MATCH(C403,art_ref,0))&amp;"",""))</f>
        <v/>
      </c>
      <c r="G403" s="37" t="n"/>
      <c r="H403" s="37" t="n"/>
      <c r="I403" s="37" t="n"/>
      <c r="J403" s="40" t="str">
        <f>IF(OR(C403="",NOT(ISNUMBER(E403))),"",IFERROR(E403*N(INDEX(art_price,MATCH(C403,art_ref,0))),""))</f>
        <v/>
      </c>
      <c r="K403" s="39" t="str">
        <f>IF(OR(C403="",NOT(ISNUMBER(E403))),"",IFERROR(ROUND(N(INDEX(art_init,MATCH(C403,art_ref,0)))+SUMIFS($E$5:E403,$C$5:C403,C403,$B$5:B403,"Entrée")-SUMIFS($E$5:E403,$C$5:C403,C403,$B$5:B403,"Sortie"),6),""))</f>
        <v/>
      </c>
      <c r="L403" s="39" t="str">
        <f>IF(COUNTA(A403:C403,E403)=0,"",IF(COUNTA(A403:C403,E403)&lt;4,"Ligne incomplète",IF(NOT(ISNUMBER(A403)),"Date invalide",IF(AND(B403&lt;&gt;"Entrée",B403&lt;&gt;"Sortie"),"Type inconnu",IF(ISNA(MATCH(C403,art_ref,0)),"Référence inconnue",IF(OR(NOT(ISNUMBER(E403)),N(E403)&lt;=0),"Quantité invalide",IF(K403&lt;0,"Stock négatif",IF(AND(ISNUMBER(A402),A403&lt;A402),"Date hors ordre","OK"))))))))</f>
        <v/>
      </c>
      <c r="M403" s="39" t="str">
        <f>IF(C403="","",C403&amp;"#"&amp;COUNTIF($C$5:C403,C403))</f>
        <v/>
      </c>
    </row>
    <row r="404">
      <c r="A404" s="41" t="n"/>
      <c r="B404" s="37" t="n"/>
      <c r="C404" s="37" t="n"/>
      <c r="D404" s="39" t="str">
        <f>IF(C404="","",IFERROR(INDEX(art_des,MATCH(C404,art_ref,0))&amp;"","Référence inconnue"))</f>
        <v/>
      </c>
      <c r="E404" s="37" t="n"/>
      <c r="F404" s="39" t="str">
        <f>IF(C404="","",IFERROR(INDEX(art_unit,MATCH(C404,art_ref,0))&amp;"",""))</f>
        <v/>
      </c>
      <c r="G404" s="37" t="n"/>
      <c r="H404" s="37" t="n"/>
      <c r="I404" s="37" t="n"/>
      <c r="J404" s="40" t="str">
        <f>IF(OR(C404="",NOT(ISNUMBER(E404))),"",IFERROR(E404*N(INDEX(art_price,MATCH(C404,art_ref,0))),""))</f>
        <v/>
      </c>
      <c r="K404" s="39" t="str">
        <f>IF(OR(C404="",NOT(ISNUMBER(E404))),"",IFERROR(ROUND(N(INDEX(art_init,MATCH(C404,art_ref,0)))+SUMIFS($E$5:E404,$C$5:C404,C404,$B$5:B404,"Entrée")-SUMIFS($E$5:E404,$C$5:C404,C404,$B$5:B404,"Sortie"),6),""))</f>
        <v/>
      </c>
      <c r="L404" s="39" t="str">
        <f>IF(COUNTA(A404:C404,E404)=0,"",IF(COUNTA(A404:C404,E404)&lt;4,"Ligne incomplète",IF(NOT(ISNUMBER(A404)),"Date invalide",IF(AND(B404&lt;&gt;"Entrée",B404&lt;&gt;"Sortie"),"Type inconnu",IF(ISNA(MATCH(C404,art_ref,0)),"Référence inconnue",IF(OR(NOT(ISNUMBER(E404)),N(E404)&lt;=0),"Quantité invalide",IF(K404&lt;0,"Stock négatif",IF(AND(ISNUMBER(A403),A404&lt;A403),"Date hors ordre","OK"))))))))</f>
        <v/>
      </c>
      <c r="M404" s="39" t="str">
        <f>IF(C404="","",C404&amp;"#"&amp;COUNTIF($C$5:C404,C404))</f>
        <v/>
      </c>
    </row>
    <row r="405">
      <c r="A405" s="41" t="n"/>
      <c r="B405" s="37" t="n"/>
      <c r="C405" s="37" t="n"/>
      <c r="D405" s="39" t="str">
        <f>IF(C405="","",IFERROR(INDEX(art_des,MATCH(C405,art_ref,0))&amp;"","Référence inconnue"))</f>
        <v/>
      </c>
      <c r="E405" s="37" t="n"/>
      <c r="F405" s="39" t="str">
        <f>IF(C405="","",IFERROR(INDEX(art_unit,MATCH(C405,art_ref,0))&amp;"",""))</f>
        <v/>
      </c>
      <c r="G405" s="37" t="n"/>
      <c r="H405" s="37" t="n"/>
      <c r="I405" s="37" t="n"/>
      <c r="J405" s="40" t="str">
        <f>IF(OR(C405="",NOT(ISNUMBER(E405))),"",IFERROR(E405*N(INDEX(art_price,MATCH(C405,art_ref,0))),""))</f>
        <v/>
      </c>
      <c r="K405" s="39" t="str">
        <f>IF(OR(C405="",NOT(ISNUMBER(E405))),"",IFERROR(ROUND(N(INDEX(art_init,MATCH(C405,art_ref,0)))+SUMIFS($E$5:E405,$C$5:C405,C405,$B$5:B405,"Entrée")-SUMIFS($E$5:E405,$C$5:C405,C405,$B$5:B405,"Sortie"),6),""))</f>
        <v/>
      </c>
      <c r="L405" s="39" t="str">
        <f>IF(COUNTA(A405:C405,E405)=0,"",IF(COUNTA(A405:C405,E405)&lt;4,"Ligne incomplète",IF(NOT(ISNUMBER(A405)),"Date invalide",IF(AND(B405&lt;&gt;"Entrée",B405&lt;&gt;"Sortie"),"Type inconnu",IF(ISNA(MATCH(C405,art_ref,0)),"Référence inconnue",IF(OR(NOT(ISNUMBER(E405)),N(E405)&lt;=0),"Quantité invalide",IF(K405&lt;0,"Stock négatif",IF(AND(ISNUMBER(A404),A405&lt;A404),"Date hors ordre","OK"))))))))</f>
        <v/>
      </c>
      <c r="M405" s="39" t="str">
        <f>IF(C405="","",C405&amp;"#"&amp;COUNTIF($C$5:C405,C405))</f>
        <v/>
      </c>
    </row>
    <row r="406">
      <c r="A406" s="41" t="n"/>
      <c r="B406" s="37" t="n"/>
      <c r="C406" s="37" t="n"/>
      <c r="D406" s="39" t="str">
        <f>IF(C406="","",IFERROR(INDEX(art_des,MATCH(C406,art_ref,0))&amp;"","Référence inconnue"))</f>
        <v/>
      </c>
      <c r="E406" s="37" t="n"/>
      <c r="F406" s="39" t="str">
        <f>IF(C406="","",IFERROR(INDEX(art_unit,MATCH(C406,art_ref,0))&amp;"",""))</f>
        <v/>
      </c>
      <c r="G406" s="37" t="n"/>
      <c r="H406" s="37" t="n"/>
      <c r="I406" s="37" t="n"/>
      <c r="J406" s="40" t="str">
        <f>IF(OR(C406="",NOT(ISNUMBER(E406))),"",IFERROR(E406*N(INDEX(art_price,MATCH(C406,art_ref,0))),""))</f>
        <v/>
      </c>
      <c r="K406" s="39" t="str">
        <f>IF(OR(C406="",NOT(ISNUMBER(E406))),"",IFERROR(ROUND(N(INDEX(art_init,MATCH(C406,art_ref,0)))+SUMIFS($E$5:E406,$C$5:C406,C406,$B$5:B406,"Entrée")-SUMIFS($E$5:E406,$C$5:C406,C406,$B$5:B406,"Sortie"),6),""))</f>
        <v/>
      </c>
      <c r="L406" s="39" t="str">
        <f>IF(COUNTA(A406:C406,E406)=0,"",IF(COUNTA(A406:C406,E406)&lt;4,"Ligne incomplète",IF(NOT(ISNUMBER(A406)),"Date invalide",IF(AND(B406&lt;&gt;"Entrée",B406&lt;&gt;"Sortie"),"Type inconnu",IF(ISNA(MATCH(C406,art_ref,0)),"Référence inconnue",IF(OR(NOT(ISNUMBER(E406)),N(E406)&lt;=0),"Quantité invalide",IF(K406&lt;0,"Stock négatif",IF(AND(ISNUMBER(A405),A406&lt;A405),"Date hors ordre","OK"))))))))</f>
        <v/>
      </c>
      <c r="M406" s="39" t="str">
        <f>IF(C406="","",C406&amp;"#"&amp;COUNTIF($C$5:C406,C406))</f>
        <v/>
      </c>
    </row>
    <row r="407">
      <c r="A407" s="41" t="n"/>
      <c r="B407" s="37" t="n"/>
      <c r="C407" s="37" t="n"/>
      <c r="D407" s="39" t="str">
        <f>IF(C407="","",IFERROR(INDEX(art_des,MATCH(C407,art_ref,0))&amp;"","Référence inconnue"))</f>
        <v/>
      </c>
      <c r="E407" s="37" t="n"/>
      <c r="F407" s="39" t="str">
        <f>IF(C407="","",IFERROR(INDEX(art_unit,MATCH(C407,art_ref,0))&amp;"",""))</f>
        <v/>
      </c>
      <c r="G407" s="37" t="n"/>
      <c r="H407" s="37" t="n"/>
      <c r="I407" s="37" t="n"/>
      <c r="J407" s="40" t="str">
        <f>IF(OR(C407="",NOT(ISNUMBER(E407))),"",IFERROR(E407*N(INDEX(art_price,MATCH(C407,art_ref,0))),""))</f>
        <v/>
      </c>
      <c r="K407" s="39" t="str">
        <f>IF(OR(C407="",NOT(ISNUMBER(E407))),"",IFERROR(ROUND(N(INDEX(art_init,MATCH(C407,art_ref,0)))+SUMIFS($E$5:E407,$C$5:C407,C407,$B$5:B407,"Entrée")-SUMIFS($E$5:E407,$C$5:C407,C407,$B$5:B407,"Sortie"),6),""))</f>
        <v/>
      </c>
      <c r="L407" s="39" t="str">
        <f>IF(COUNTA(A407:C407,E407)=0,"",IF(COUNTA(A407:C407,E407)&lt;4,"Ligne incomplète",IF(NOT(ISNUMBER(A407)),"Date invalide",IF(AND(B407&lt;&gt;"Entrée",B407&lt;&gt;"Sortie"),"Type inconnu",IF(ISNA(MATCH(C407,art_ref,0)),"Référence inconnue",IF(OR(NOT(ISNUMBER(E407)),N(E407)&lt;=0),"Quantité invalide",IF(K407&lt;0,"Stock négatif",IF(AND(ISNUMBER(A406),A407&lt;A406),"Date hors ordre","OK"))))))))</f>
        <v/>
      </c>
      <c r="M407" s="39" t="str">
        <f>IF(C407="","",C407&amp;"#"&amp;COUNTIF($C$5:C407,C407))</f>
        <v/>
      </c>
    </row>
    <row r="408">
      <c r="A408" s="41" t="n"/>
      <c r="B408" s="37" t="n"/>
      <c r="C408" s="37" t="n"/>
      <c r="D408" s="39" t="str">
        <f>IF(C408="","",IFERROR(INDEX(art_des,MATCH(C408,art_ref,0))&amp;"","Référence inconnue"))</f>
        <v/>
      </c>
      <c r="E408" s="37" t="n"/>
      <c r="F408" s="39" t="str">
        <f>IF(C408="","",IFERROR(INDEX(art_unit,MATCH(C408,art_ref,0))&amp;"",""))</f>
        <v/>
      </c>
      <c r="G408" s="37" t="n"/>
      <c r="H408" s="37" t="n"/>
      <c r="I408" s="37" t="n"/>
      <c r="J408" s="40" t="str">
        <f>IF(OR(C408="",NOT(ISNUMBER(E408))),"",IFERROR(E408*N(INDEX(art_price,MATCH(C408,art_ref,0))),""))</f>
        <v/>
      </c>
      <c r="K408" s="39" t="str">
        <f>IF(OR(C408="",NOT(ISNUMBER(E408))),"",IFERROR(ROUND(N(INDEX(art_init,MATCH(C408,art_ref,0)))+SUMIFS($E$5:E408,$C$5:C408,C408,$B$5:B408,"Entrée")-SUMIFS($E$5:E408,$C$5:C408,C408,$B$5:B408,"Sortie"),6),""))</f>
        <v/>
      </c>
      <c r="L408" s="39" t="str">
        <f>IF(COUNTA(A408:C408,E408)=0,"",IF(COUNTA(A408:C408,E408)&lt;4,"Ligne incomplète",IF(NOT(ISNUMBER(A408)),"Date invalide",IF(AND(B408&lt;&gt;"Entrée",B408&lt;&gt;"Sortie"),"Type inconnu",IF(ISNA(MATCH(C408,art_ref,0)),"Référence inconnue",IF(OR(NOT(ISNUMBER(E408)),N(E408)&lt;=0),"Quantité invalide",IF(K408&lt;0,"Stock négatif",IF(AND(ISNUMBER(A407),A408&lt;A407),"Date hors ordre","OK"))))))))</f>
        <v/>
      </c>
      <c r="M408" s="39" t="str">
        <f>IF(C408="","",C408&amp;"#"&amp;COUNTIF($C$5:C408,C408))</f>
        <v/>
      </c>
    </row>
    <row r="409">
      <c r="A409" s="41" t="n"/>
      <c r="B409" s="37" t="n"/>
      <c r="C409" s="37" t="n"/>
      <c r="D409" s="39" t="str">
        <f>IF(C409="","",IFERROR(INDEX(art_des,MATCH(C409,art_ref,0))&amp;"","Référence inconnue"))</f>
        <v/>
      </c>
      <c r="E409" s="37" t="n"/>
      <c r="F409" s="39" t="str">
        <f>IF(C409="","",IFERROR(INDEX(art_unit,MATCH(C409,art_ref,0))&amp;"",""))</f>
        <v/>
      </c>
      <c r="G409" s="37" t="n"/>
      <c r="H409" s="37" t="n"/>
      <c r="I409" s="37" t="n"/>
      <c r="J409" s="40" t="str">
        <f>IF(OR(C409="",NOT(ISNUMBER(E409))),"",IFERROR(E409*N(INDEX(art_price,MATCH(C409,art_ref,0))),""))</f>
        <v/>
      </c>
      <c r="K409" s="39" t="str">
        <f>IF(OR(C409="",NOT(ISNUMBER(E409))),"",IFERROR(ROUND(N(INDEX(art_init,MATCH(C409,art_ref,0)))+SUMIFS($E$5:E409,$C$5:C409,C409,$B$5:B409,"Entrée")-SUMIFS($E$5:E409,$C$5:C409,C409,$B$5:B409,"Sortie"),6),""))</f>
        <v/>
      </c>
      <c r="L409" s="39" t="str">
        <f>IF(COUNTA(A409:C409,E409)=0,"",IF(COUNTA(A409:C409,E409)&lt;4,"Ligne incomplète",IF(NOT(ISNUMBER(A409)),"Date invalide",IF(AND(B409&lt;&gt;"Entrée",B409&lt;&gt;"Sortie"),"Type inconnu",IF(ISNA(MATCH(C409,art_ref,0)),"Référence inconnue",IF(OR(NOT(ISNUMBER(E409)),N(E409)&lt;=0),"Quantité invalide",IF(K409&lt;0,"Stock négatif",IF(AND(ISNUMBER(A408),A409&lt;A408),"Date hors ordre","OK"))))))))</f>
        <v/>
      </c>
      <c r="M409" s="39" t="str">
        <f>IF(C409="","",C409&amp;"#"&amp;COUNTIF($C$5:C409,C409))</f>
        <v/>
      </c>
    </row>
    <row r="410">
      <c r="A410" s="41" t="n"/>
      <c r="B410" s="37" t="n"/>
      <c r="C410" s="37" t="n"/>
      <c r="D410" s="39" t="str">
        <f>IF(C410="","",IFERROR(INDEX(art_des,MATCH(C410,art_ref,0))&amp;"","Référence inconnue"))</f>
        <v/>
      </c>
      <c r="E410" s="37" t="n"/>
      <c r="F410" s="39" t="str">
        <f>IF(C410="","",IFERROR(INDEX(art_unit,MATCH(C410,art_ref,0))&amp;"",""))</f>
        <v/>
      </c>
      <c r="G410" s="37" t="n"/>
      <c r="H410" s="37" t="n"/>
      <c r="I410" s="37" t="n"/>
      <c r="J410" s="40" t="str">
        <f>IF(OR(C410="",NOT(ISNUMBER(E410))),"",IFERROR(E410*N(INDEX(art_price,MATCH(C410,art_ref,0))),""))</f>
        <v/>
      </c>
      <c r="K410" s="39" t="str">
        <f>IF(OR(C410="",NOT(ISNUMBER(E410))),"",IFERROR(ROUND(N(INDEX(art_init,MATCH(C410,art_ref,0)))+SUMIFS($E$5:E410,$C$5:C410,C410,$B$5:B410,"Entrée")-SUMIFS($E$5:E410,$C$5:C410,C410,$B$5:B410,"Sortie"),6),""))</f>
        <v/>
      </c>
      <c r="L410" s="39" t="str">
        <f>IF(COUNTA(A410:C410,E410)=0,"",IF(COUNTA(A410:C410,E410)&lt;4,"Ligne incomplète",IF(NOT(ISNUMBER(A410)),"Date invalide",IF(AND(B410&lt;&gt;"Entrée",B410&lt;&gt;"Sortie"),"Type inconnu",IF(ISNA(MATCH(C410,art_ref,0)),"Référence inconnue",IF(OR(NOT(ISNUMBER(E410)),N(E410)&lt;=0),"Quantité invalide",IF(K410&lt;0,"Stock négatif",IF(AND(ISNUMBER(A409),A410&lt;A409),"Date hors ordre","OK"))))))))</f>
        <v/>
      </c>
      <c r="M410" s="39" t="str">
        <f>IF(C410="","",C410&amp;"#"&amp;COUNTIF($C$5:C410,C410))</f>
        <v/>
      </c>
    </row>
    <row r="411">
      <c r="A411" s="41" t="n"/>
      <c r="B411" s="37" t="n"/>
      <c r="C411" s="37" t="n"/>
      <c r="D411" s="39" t="str">
        <f>IF(C411="","",IFERROR(INDEX(art_des,MATCH(C411,art_ref,0))&amp;"","Référence inconnue"))</f>
        <v/>
      </c>
      <c r="E411" s="37" t="n"/>
      <c r="F411" s="39" t="str">
        <f>IF(C411="","",IFERROR(INDEX(art_unit,MATCH(C411,art_ref,0))&amp;"",""))</f>
        <v/>
      </c>
      <c r="G411" s="37" t="n"/>
      <c r="H411" s="37" t="n"/>
      <c r="I411" s="37" t="n"/>
      <c r="J411" s="40" t="str">
        <f>IF(OR(C411="",NOT(ISNUMBER(E411))),"",IFERROR(E411*N(INDEX(art_price,MATCH(C411,art_ref,0))),""))</f>
        <v/>
      </c>
      <c r="K411" s="39" t="str">
        <f>IF(OR(C411="",NOT(ISNUMBER(E411))),"",IFERROR(ROUND(N(INDEX(art_init,MATCH(C411,art_ref,0)))+SUMIFS($E$5:E411,$C$5:C411,C411,$B$5:B411,"Entrée")-SUMIFS($E$5:E411,$C$5:C411,C411,$B$5:B411,"Sortie"),6),""))</f>
        <v/>
      </c>
      <c r="L411" s="39" t="str">
        <f>IF(COUNTA(A411:C411,E411)=0,"",IF(COUNTA(A411:C411,E411)&lt;4,"Ligne incomplète",IF(NOT(ISNUMBER(A411)),"Date invalide",IF(AND(B411&lt;&gt;"Entrée",B411&lt;&gt;"Sortie"),"Type inconnu",IF(ISNA(MATCH(C411,art_ref,0)),"Référence inconnue",IF(OR(NOT(ISNUMBER(E411)),N(E411)&lt;=0),"Quantité invalide",IF(K411&lt;0,"Stock négatif",IF(AND(ISNUMBER(A410),A411&lt;A410),"Date hors ordre","OK"))))))))</f>
        <v/>
      </c>
      <c r="M411" s="39" t="str">
        <f>IF(C411="","",C411&amp;"#"&amp;COUNTIF($C$5:C411,C411))</f>
        <v/>
      </c>
    </row>
    <row r="412">
      <c r="A412" s="41" t="n"/>
      <c r="B412" s="37" t="n"/>
      <c r="C412" s="37" t="n"/>
      <c r="D412" s="39" t="str">
        <f>IF(C412="","",IFERROR(INDEX(art_des,MATCH(C412,art_ref,0))&amp;"","Référence inconnue"))</f>
        <v/>
      </c>
      <c r="E412" s="37" t="n"/>
      <c r="F412" s="39" t="str">
        <f>IF(C412="","",IFERROR(INDEX(art_unit,MATCH(C412,art_ref,0))&amp;"",""))</f>
        <v/>
      </c>
      <c r="G412" s="37" t="n"/>
      <c r="H412" s="37" t="n"/>
      <c r="I412" s="37" t="n"/>
      <c r="J412" s="40" t="str">
        <f>IF(OR(C412="",NOT(ISNUMBER(E412))),"",IFERROR(E412*N(INDEX(art_price,MATCH(C412,art_ref,0))),""))</f>
        <v/>
      </c>
      <c r="K412" s="39" t="str">
        <f>IF(OR(C412="",NOT(ISNUMBER(E412))),"",IFERROR(ROUND(N(INDEX(art_init,MATCH(C412,art_ref,0)))+SUMIFS($E$5:E412,$C$5:C412,C412,$B$5:B412,"Entrée")-SUMIFS($E$5:E412,$C$5:C412,C412,$B$5:B412,"Sortie"),6),""))</f>
        <v/>
      </c>
      <c r="L412" s="39" t="str">
        <f>IF(COUNTA(A412:C412,E412)=0,"",IF(COUNTA(A412:C412,E412)&lt;4,"Ligne incomplète",IF(NOT(ISNUMBER(A412)),"Date invalide",IF(AND(B412&lt;&gt;"Entrée",B412&lt;&gt;"Sortie"),"Type inconnu",IF(ISNA(MATCH(C412,art_ref,0)),"Référence inconnue",IF(OR(NOT(ISNUMBER(E412)),N(E412)&lt;=0),"Quantité invalide",IF(K412&lt;0,"Stock négatif",IF(AND(ISNUMBER(A411),A412&lt;A411),"Date hors ordre","OK"))))))))</f>
        <v/>
      </c>
      <c r="M412" s="39" t="str">
        <f>IF(C412="","",C412&amp;"#"&amp;COUNTIF($C$5:C412,C412))</f>
        <v/>
      </c>
    </row>
    <row r="413">
      <c r="A413" s="41" t="n"/>
      <c r="B413" s="37" t="n"/>
      <c r="C413" s="37" t="n"/>
      <c r="D413" s="39" t="str">
        <f>IF(C413="","",IFERROR(INDEX(art_des,MATCH(C413,art_ref,0))&amp;"","Référence inconnue"))</f>
        <v/>
      </c>
      <c r="E413" s="37" t="n"/>
      <c r="F413" s="39" t="str">
        <f>IF(C413="","",IFERROR(INDEX(art_unit,MATCH(C413,art_ref,0))&amp;"",""))</f>
        <v/>
      </c>
      <c r="G413" s="37" t="n"/>
      <c r="H413" s="37" t="n"/>
      <c r="I413" s="37" t="n"/>
      <c r="J413" s="40" t="str">
        <f>IF(OR(C413="",NOT(ISNUMBER(E413))),"",IFERROR(E413*N(INDEX(art_price,MATCH(C413,art_ref,0))),""))</f>
        <v/>
      </c>
      <c r="K413" s="39" t="str">
        <f>IF(OR(C413="",NOT(ISNUMBER(E413))),"",IFERROR(ROUND(N(INDEX(art_init,MATCH(C413,art_ref,0)))+SUMIFS($E$5:E413,$C$5:C413,C413,$B$5:B413,"Entrée")-SUMIFS($E$5:E413,$C$5:C413,C413,$B$5:B413,"Sortie"),6),""))</f>
        <v/>
      </c>
      <c r="L413" s="39" t="str">
        <f>IF(COUNTA(A413:C413,E413)=0,"",IF(COUNTA(A413:C413,E413)&lt;4,"Ligne incomplète",IF(NOT(ISNUMBER(A413)),"Date invalide",IF(AND(B413&lt;&gt;"Entrée",B413&lt;&gt;"Sortie"),"Type inconnu",IF(ISNA(MATCH(C413,art_ref,0)),"Référence inconnue",IF(OR(NOT(ISNUMBER(E413)),N(E413)&lt;=0),"Quantité invalide",IF(K413&lt;0,"Stock négatif",IF(AND(ISNUMBER(A412),A413&lt;A412),"Date hors ordre","OK"))))))))</f>
        <v/>
      </c>
      <c r="M413" s="39" t="str">
        <f>IF(C413="","",C413&amp;"#"&amp;COUNTIF($C$5:C413,C413))</f>
        <v/>
      </c>
    </row>
    <row r="414">
      <c r="A414" s="41" t="n"/>
      <c r="B414" s="37" t="n"/>
      <c r="C414" s="37" t="n"/>
      <c r="D414" s="39" t="str">
        <f>IF(C414="","",IFERROR(INDEX(art_des,MATCH(C414,art_ref,0))&amp;"","Référence inconnue"))</f>
        <v/>
      </c>
      <c r="E414" s="37" t="n"/>
      <c r="F414" s="39" t="str">
        <f>IF(C414="","",IFERROR(INDEX(art_unit,MATCH(C414,art_ref,0))&amp;"",""))</f>
        <v/>
      </c>
      <c r="G414" s="37" t="n"/>
      <c r="H414" s="37" t="n"/>
      <c r="I414" s="37" t="n"/>
      <c r="J414" s="40" t="str">
        <f>IF(OR(C414="",NOT(ISNUMBER(E414))),"",IFERROR(E414*N(INDEX(art_price,MATCH(C414,art_ref,0))),""))</f>
        <v/>
      </c>
      <c r="K414" s="39" t="str">
        <f>IF(OR(C414="",NOT(ISNUMBER(E414))),"",IFERROR(ROUND(N(INDEX(art_init,MATCH(C414,art_ref,0)))+SUMIFS($E$5:E414,$C$5:C414,C414,$B$5:B414,"Entrée")-SUMIFS($E$5:E414,$C$5:C414,C414,$B$5:B414,"Sortie"),6),""))</f>
        <v/>
      </c>
      <c r="L414" s="39" t="str">
        <f>IF(COUNTA(A414:C414,E414)=0,"",IF(COUNTA(A414:C414,E414)&lt;4,"Ligne incomplète",IF(NOT(ISNUMBER(A414)),"Date invalide",IF(AND(B414&lt;&gt;"Entrée",B414&lt;&gt;"Sortie"),"Type inconnu",IF(ISNA(MATCH(C414,art_ref,0)),"Référence inconnue",IF(OR(NOT(ISNUMBER(E414)),N(E414)&lt;=0),"Quantité invalide",IF(K414&lt;0,"Stock négatif",IF(AND(ISNUMBER(A413),A414&lt;A413),"Date hors ordre","OK"))))))))</f>
        <v/>
      </c>
      <c r="M414" s="39" t="str">
        <f>IF(C414="","",C414&amp;"#"&amp;COUNTIF($C$5:C414,C414))</f>
        <v/>
      </c>
    </row>
    <row r="415">
      <c r="A415" s="41" t="n"/>
      <c r="B415" s="37" t="n"/>
      <c r="C415" s="37" t="n"/>
      <c r="D415" s="39" t="str">
        <f>IF(C415="","",IFERROR(INDEX(art_des,MATCH(C415,art_ref,0))&amp;"","Référence inconnue"))</f>
        <v/>
      </c>
      <c r="E415" s="37" t="n"/>
      <c r="F415" s="39" t="str">
        <f>IF(C415="","",IFERROR(INDEX(art_unit,MATCH(C415,art_ref,0))&amp;"",""))</f>
        <v/>
      </c>
      <c r="G415" s="37" t="n"/>
      <c r="H415" s="37" t="n"/>
      <c r="I415" s="37" t="n"/>
      <c r="J415" s="40" t="str">
        <f>IF(OR(C415="",NOT(ISNUMBER(E415))),"",IFERROR(E415*N(INDEX(art_price,MATCH(C415,art_ref,0))),""))</f>
        <v/>
      </c>
      <c r="K415" s="39" t="str">
        <f>IF(OR(C415="",NOT(ISNUMBER(E415))),"",IFERROR(ROUND(N(INDEX(art_init,MATCH(C415,art_ref,0)))+SUMIFS($E$5:E415,$C$5:C415,C415,$B$5:B415,"Entrée")-SUMIFS($E$5:E415,$C$5:C415,C415,$B$5:B415,"Sortie"),6),""))</f>
        <v/>
      </c>
      <c r="L415" s="39" t="str">
        <f>IF(COUNTA(A415:C415,E415)=0,"",IF(COUNTA(A415:C415,E415)&lt;4,"Ligne incomplète",IF(NOT(ISNUMBER(A415)),"Date invalide",IF(AND(B415&lt;&gt;"Entrée",B415&lt;&gt;"Sortie"),"Type inconnu",IF(ISNA(MATCH(C415,art_ref,0)),"Référence inconnue",IF(OR(NOT(ISNUMBER(E415)),N(E415)&lt;=0),"Quantité invalide",IF(K415&lt;0,"Stock négatif",IF(AND(ISNUMBER(A414),A415&lt;A414),"Date hors ordre","OK"))))))))</f>
        <v/>
      </c>
      <c r="M415" s="39" t="str">
        <f>IF(C415="","",C415&amp;"#"&amp;COUNTIF($C$5:C415,C415))</f>
        <v/>
      </c>
    </row>
    <row r="416">
      <c r="A416" s="41" t="n"/>
      <c r="B416" s="37" t="n"/>
      <c r="C416" s="37" t="n"/>
      <c r="D416" s="39" t="str">
        <f>IF(C416="","",IFERROR(INDEX(art_des,MATCH(C416,art_ref,0))&amp;"","Référence inconnue"))</f>
        <v/>
      </c>
      <c r="E416" s="37" t="n"/>
      <c r="F416" s="39" t="str">
        <f>IF(C416="","",IFERROR(INDEX(art_unit,MATCH(C416,art_ref,0))&amp;"",""))</f>
        <v/>
      </c>
      <c r="G416" s="37" t="n"/>
      <c r="H416" s="37" t="n"/>
      <c r="I416" s="37" t="n"/>
      <c r="J416" s="40" t="str">
        <f>IF(OR(C416="",NOT(ISNUMBER(E416))),"",IFERROR(E416*N(INDEX(art_price,MATCH(C416,art_ref,0))),""))</f>
        <v/>
      </c>
      <c r="K416" s="39" t="str">
        <f>IF(OR(C416="",NOT(ISNUMBER(E416))),"",IFERROR(ROUND(N(INDEX(art_init,MATCH(C416,art_ref,0)))+SUMIFS($E$5:E416,$C$5:C416,C416,$B$5:B416,"Entrée")-SUMIFS($E$5:E416,$C$5:C416,C416,$B$5:B416,"Sortie"),6),""))</f>
        <v/>
      </c>
      <c r="L416" s="39" t="str">
        <f>IF(COUNTA(A416:C416,E416)=0,"",IF(COUNTA(A416:C416,E416)&lt;4,"Ligne incomplète",IF(NOT(ISNUMBER(A416)),"Date invalide",IF(AND(B416&lt;&gt;"Entrée",B416&lt;&gt;"Sortie"),"Type inconnu",IF(ISNA(MATCH(C416,art_ref,0)),"Référence inconnue",IF(OR(NOT(ISNUMBER(E416)),N(E416)&lt;=0),"Quantité invalide",IF(K416&lt;0,"Stock négatif",IF(AND(ISNUMBER(A415),A416&lt;A415),"Date hors ordre","OK"))))))))</f>
        <v/>
      </c>
      <c r="M416" s="39" t="str">
        <f>IF(C416="","",C416&amp;"#"&amp;COUNTIF($C$5:C416,C416))</f>
        <v/>
      </c>
    </row>
    <row r="417">
      <c r="A417" s="41" t="n"/>
      <c r="B417" s="37" t="n"/>
      <c r="C417" s="37" t="n"/>
      <c r="D417" s="39" t="str">
        <f>IF(C417="","",IFERROR(INDEX(art_des,MATCH(C417,art_ref,0))&amp;"","Référence inconnue"))</f>
        <v/>
      </c>
      <c r="E417" s="37" t="n"/>
      <c r="F417" s="39" t="str">
        <f>IF(C417="","",IFERROR(INDEX(art_unit,MATCH(C417,art_ref,0))&amp;"",""))</f>
        <v/>
      </c>
      <c r="G417" s="37" t="n"/>
      <c r="H417" s="37" t="n"/>
      <c r="I417" s="37" t="n"/>
      <c r="J417" s="40" t="str">
        <f>IF(OR(C417="",NOT(ISNUMBER(E417))),"",IFERROR(E417*N(INDEX(art_price,MATCH(C417,art_ref,0))),""))</f>
        <v/>
      </c>
      <c r="K417" s="39" t="str">
        <f>IF(OR(C417="",NOT(ISNUMBER(E417))),"",IFERROR(ROUND(N(INDEX(art_init,MATCH(C417,art_ref,0)))+SUMIFS($E$5:E417,$C$5:C417,C417,$B$5:B417,"Entrée")-SUMIFS($E$5:E417,$C$5:C417,C417,$B$5:B417,"Sortie"),6),""))</f>
        <v/>
      </c>
      <c r="L417" s="39" t="str">
        <f>IF(COUNTA(A417:C417,E417)=0,"",IF(COUNTA(A417:C417,E417)&lt;4,"Ligne incomplète",IF(NOT(ISNUMBER(A417)),"Date invalide",IF(AND(B417&lt;&gt;"Entrée",B417&lt;&gt;"Sortie"),"Type inconnu",IF(ISNA(MATCH(C417,art_ref,0)),"Référence inconnue",IF(OR(NOT(ISNUMBER(E417)),N(E417)&lt;=0),"Quantité invalide",IF(K417&lt;0,"Stock négatif",IF(AND(ISNUMBER(A416),A417&lt;A416),"Date hors ordre","OK"))))))))</f>
        <v/>
      </c>
      <c r="M417" s="39" t="str">
        <f>IF(C417="","",C417&amp;"#"&amp;COUNTIF($C$5:C417,C417))</f>
        <v/>
      </c>
    </row>
    <row r="418">
      <c r="A418" s="41" t="n"/>
      <c r="B418" s="37" t="n"/>
      <c r="C418" s="37" t="n"/>
      <c r="D418" s="39" t="str">
        <f>IF(C418="","",IFERROR(INDEX(art_des,MATCH(C418,art_ref,0))&amp;"","Référence inconnue"))</f>
        <v/>
      </c>
      <c r="E418" s="37" t="n"/>
      <c r="F418" s="39" t="str">
        <f>IF(C418="","",IFERROR(INDEX(art_unit,MATCH(C418,art_ref,0))&amp;"",""))</f>
        <v/>
      </c>
      <c r="G418" s="37" t="n"/>
      <c r="H418" s="37" t="n"/>
      <c r="I418" s="37" t="n"/>
      <c r="J418" s="40" t="str">
        <f>IF(OR(C418="",NOT(ISNUMBER(E418))),"",IFERROR(E418*N(INDEX(art_price,MATCH(C418,art_ref,0))),""))</f>
        <v/>
      </c>
      <c r="K418" s="39" t="str">
        <f>IF(OR(C418="",NOT(ISNUMBER(E418))),"",IFERROR(ROUND(N(INDEX(art_init,MATCH(C418,art_ref,0)))+SUMIFS($E$5:E418,$C$5:C418,C418,$B$5:B418,"Entrée")-SUMIFS($E$5:E418,$C$5:C418,C418,$B$5:B418,"Sortie"),6),""))</f>
        <v/>
      </c>
      <c r="L418" s="39" t="str">
        <f>IF(COUNTA(A418:C418,E418)=0,"",IF(COUNTA(A418:C418,E418)&lt;4,"Ligne incomplète",IF(NOT(ISNUMBER(A418)),"Date invalide",IF(AND(B418&lt;&gt;"Entrée",B418&lt;&gt;"Sortie"),"Type inconnu",IF(ISNA(MATCH(C418,art_ref,0)),"Référence inconnue",IF(OR(NOT(ISNUMBER(E418)),N(E418)&lt;=0),"Quantité invalide",IF(K418&lt;0,"Stock négatif",IF(AND(ISNUMBER(A417),A418&lt;A417),"Date hors ordre","OK"))))))))</f>
        <v/>
      </c>
      <c r="M418" s="39" t="str">
        <f>IF(C418="","",C418&amp;"#"&amp;COUNTIF($C$5:C418,C418))</f>
        <v/>
      </c>
    </row>
    <row r="419">
      <c r="A419" s="41" t="n"/>
      <c r="B419" s="37" t="n"/>
      <c r="C419" s="37" t="n"/>
      <c r="D419" s="39" t="str">
        <f>IF(C419="","",IFERROR(INDEX(art_des,MATCH(C419,art_ref,0))&amp;"","Référence inconnue"))</f>
        <v/>
      </c>
      <c r="E419" s="37" t="n"/>
      <c r="F419" s="39" t="str">
        <f>IF(C419="","",IFERROR(INDEX(art_unit,MATCH(C419,art_ref,0))&amp;"",""))</f>
        <v/>
      </c>
      <c r="G419" s="37" t="n"/>
      <c r="H419" s="37" t="n"/>
      <c r="I419" s="37" t="n"/>
      <c r="J419" s="40" t="str">
        <f>IF(OR(C419="",NOT(ISNUMBER(E419))),"",IFERROR(E419*N(INDEX(art_price,MATCH(C419,art_ref,0))),""))</f>
        <v/>
      </c>
      <c r="K419" s="39" t="str">
        <f>IF(OR(C419="",NOT(ISNUMBER(E419))),"",IFERROR(ROUND(N(INDEX(art_init,MATCH(C419,art_ref,0)))+SUMIFS($E$5:E419,$C$5:C419,C419,$B$5:B419,"Entrée")-SUMIFS($E$5:E419,$C$5:C419,C419,$B$5:B419,"Sortie"),6),""))</f>
        <v/>
      </c>
      <c r="L419" s="39" t="str">
        <f>IF(COUNTA(A419:C419,E419)=0,"",IF(COUNTA(A419:C419,E419)&lt;4,"Ligne incomplète",IF(NOT(ISNUMBER(A419)),"Date invalide",IF(AND(B419&lt;&gt;"Entrée",B419&lt;&gt;"Sortie"),"Type inconnu",IF(ISNA(MATCH(C419,art_ref,0)),"Référence inconnue",IF(OR(NOT(ISNUMBER(E419)),N(E419)&lt;=0),"Quantité invalide",IF(K419&lt;0,"Stock négatif",IF(AND(ISNUMBER(A418),A419&lt;A418),"Date hors ordre","OK"))))))))</f>
        <v/>
      </c>
      <c r="M419" s="39" t="str">
        <f>IF(C419="","",C419&amp;"#"&amp;COUNTIF($C$5:C419,C419))</f>
        <v/>
      </c>
    </row>
    <row r="420">
      <c r="A420" s="41" t="n"/>
      <c r="B420" s="37" t="n"/>
      <c r="C420" s="37" t="n"/>
      <c r="D420" s="39" t="str">
        <f>IF(C420="","",IFERROR(INDEX(art_des,MATCH(C420,art_ref,0))&amp;"","Référence inconnue"))</f>
        <v/>
      </c>
      <c r="E420" s="37" t="n"/>
      <c r="F420" s="39" t="str">
        <f>IF(C420="","",IFERROR(INDEX(art_unit,MATCH(C420,art_ref,0))&amp;"",""))</f>
        <v/>
      </c>
      <c r="G420" s="37" t="n"/>
      <c r="H420" s="37" t="n"/>
      <c r="I420" s="37" t="n"/>
      <c r="J420" s="40" t="str">
        <f>IF(OR(C420="",NOT(ISNUMBER(E420))),"",IFERROR(E420*N(INDEX(art_price,MATCH(C420,art_ref,0))),""))</f>
        <v/>
      </c>
      <c r="K420" s="39" t="str">
        <f>IF(OR(C420="",NOT(ISNUMBER(E420))),"",IFERROR(ROUND(N(INDEX(art_init,MATCH(C420,art_ref,0)))+SUMIFS($E$5:E420,$C$5:C420,C420,$B$5:B420,"Entrée")-SUMIFS($E$5:E420,$C$5:C420,C420,$B$5:B420,"Sortie"),6),""))</f>
        <v/>
      </c>
      <c r="L420" s="39" t="str">
        <f>IF(COUNTA(A420:C420,E420)=0,"",IF(COUNTA(A420:C420,E420)&lt;4,"Ligne incomplète",IF(NOT(ISNUMBER(A420)),"Date invalide",IF(AND(B420&lt;&gt;"Entrée",B420&lt;&gt;"Sortie"),"Type inconnu",IF(ISNA(MATCH(C420,art_ref,0)),"Référence inconnue",IF(OR(NOT(ISNUMBER(E420)),N(E420)&lt;=0),"Quantité invalide",IF(K420&lt;0,"Stock négatif",IF(AND(ISNUMBER(A419),A420&lt;A419),"Date hors ordre","OK"))))))))</f>
        <v/>
      </c>
      <c r="M420" s="39" t="str">
        <f>IF(C420="","",C420&amp;"#"&amp;COUNTIF($C$5:C420,C420))</f>
        <v/>
      </c>
    </row>
    <row r="421">
      <c r="A421" s="41" t="n"/>
      <c r="B421" s="37" t="n"/>
      <c r="C421" s="37" t="n"/>
      <c r="D421" s="39" t="str">
        <f>IF(C421="","",IFERROR(INDEX(art_des,MATCH(C421,art_ref,0))&amp;"","Référence inconnue"))</f>
        <v/>
      </c>
      <c r="E421" s="37" t="n"/>
      <c r="F421" s="39" t="str">
        <f>IF(C421="","",IFERROR(INDEX(art_unit,MATCH(C421,art_ref,0))&amp;"",""))</f>
        <v/>
      </c>
      <c r="G421" s="37" t="n"/>
      <c r="H421" s="37" t="n"/>
      <c r="I421" s="37" t="n"/>
      <c r="J421" s="40" t="str">
        <f>IF(OR(C421="",NOT(ISNUMBER(E421))),"",IFERROR(E421*N(INDEX(art_price,MATCH(C421,art_ref,0))),""))</f>
        <v/>
      </c>
      <c r="K421" s="39" t="str">
        <f>IF(OR(C421="",NOT(ISNUMBER(E421))),"",IFERROR(ROUND(N(INDEX(art_init,MATCH(C421,art_ref,0)))+SUMIFS($E$5:E421,$C$5:C421,C421,$B$5:B421,"Entrée")-SUMIFS($E$5:E421,$C$5:C421,C421,$B$5:B421,"Sortie"),6),""))</f>
        <v/>
      </c>
      <c r="L421" s="39" t="str">
        <f>IF(COUNTA(A421:C421,E421)=0,"",IF(COUNTA(A421:C421,E421)&lt;4,"Ligne incomplète",IF(NOT(ISNUMBER(A421)),"Date invalide",IF(AND(B421&lt;&gt;"Entrée",B421&lt;&gt;"Sortie"),"Type inconnu",IF(ISNA(MATCH(C421,art_ref,0)),"Référence inconnue",IF(OR(NOT(ISNUMBER(E421)),N(E421)&lt;=0),"Quantité invalide",IF(K421&lt;0,"Stock négatif",IF(AND(ISNUMBER(A420),A421&lt;A420),"Date hors ordre","OK"))))))))</f>
        <v/>
      </c>
      <c r="M421" s="39" t="str">
        <f>IF(C421="","",C421&amp;"#"&amp;COUNTIF($C$5:C421,C421))</f>
        <v/>
      </c>
    </row>
    <row r="422">
      <c r="A422" s="41" t="n"/>
      <c r="B422" s="37" t="n"/>
      <c r="C422" s="37" t="n"/>
      <c r="D422" s="39" t="str">
        <f>IF(C422="","",IFERROR(INDEX(art_des,MATCH(C422,art_ref,0))&amp;"","Référence inconnue"))</f>
        <v/>
      </c>
      <c r="E422" s="37" t="n"/>
      <c r="F422" s="39" t="str">
        <f>IF(C422="","",IFERROR(INDEX(art_unit,MATCH(C422,art_ref,0))&amp;"",""))</f>
        <v/>
      </c>
      <c r="G422" s="37" t="n"/>
      <c r="H422" s="37" t="n"/>
      <c r="I422" s="37" t="n"/>
      <c r="J422" s="40" t="str">
        <f>IF(OR(C422="",NOT(ISNUMBER(E422))),"",IFERROR(E422*N(INDEX(art_price,MATCH(C422,art_ref,0))),""))</f>
        <v/>
      </c>
      <c r="K422" s="39" t="str">
        <f>IF(OR(C422="",NOT(ISNUMBER(E422))),"",IFERROR(ROUND(N(INDEX(art_init,MATCH(C422,art_ref,0)))+SUMIFS($E$5:E422,$C$5:C422,C422,$B$5:B422,"Entrée")-SUMIFS($E$5:E422,$C$5:C422,C422,$B$5:B422,"Sortie"),6),""))</f>
        <v/>
      </c>
      <c r="L422" s="39" t="str">
        <f>IF(COUNTA(A422:C422,E422)=0,"",IF(COUNTA(A422:C422,E422)&lt;4,"Ligne incomplète",IF(NOT(ISNUMBER(A422)),"Date invalide",IF(AND(B422&lt;&gt;"Entrée",B422&lt;&gt;"Sortie"),"Type inconnu",IF(ISNA(MATCH(C422,art_ref,0)),"Référence inconnue",IF(OR(NOT(ISNUMBER(E422)),N(E422)&lt;=0),"Quantité invalide",IF(K422&lt;0,"Stock négatif",IF(AND(ISNUMBER(A421),A422&lt;A421),"Date hors ordre","OK"))))))))</f>
        <v/>
      </c>
      <c r="M422" s="39" t="str">
        <f>IF(C422="","",C422&amp;"#"&amp;COUNTIF($C$5:C422,C422))</f>
        <v/>
      </c>
    </row>
    <row r="423">
      <c r="A423" s="41" t="n"/>
      <c r="B423" s="37" t="n"/>
      <c r="C423" s="37" t="n"/>
      <c r="D423" s="39" t="str">
        <f>IF(C423="","",IFERROR(INDEX(art_des,MATCH(C423,art_ref,0))&amp;"","Référence inconnue"))</f>
        <v/>
      </c>
      <c r="E423" s="37" t="n"/>
      <c r="F423" s="39" t="str">
        <f>IF(C423="","",IFERROR(INDEX(art_unit,MATCH(C423,art_ref,0))&amp;"",""))</f>
        <v/>
      </c>
      <c r="G423" s="37" t="n"/>
      <c r="H423" s="37" t="n"/>
      <c r="I423" s="37" t="n"/>
      <c r="J423" s="40" t="str">
        <f>IF(OR(C423="",NOT(ISNUMBER(E423))),"",IFERROR(E423*N(INDEX(art_price,MATCH(C423,art_ref,0))),""))</f>
        <v/>
      </c>
      <c r="K423" s="39" t="str">
        <f>IF(OR(C423="",NOT(ISNUMBER(E423))),"",IFERROR(ROUND(N(INDEX(art_init,MATCH(C423,art_ref,0)))+SUMIFS($E$5:E423,$C$5:C423,C423,$B$5:B423,"Entrée")-SUMIFS($E$5:E423,$C$5:C423,C423,$B$5:B423,"Sortie"),6),""))</f>
        <v/>
      </c>
      <c r="L423" s="39" t="str">
        <f>IF(COUNTA(A423:C423,E423)=0,"",IF(COUNTA(A423:C423,E423)&lt;4,"Ligne incomplète",IF(NOT(ISNUMBER(A423)),"Date invalide",IF(AND(B423&lt;&gt;"Entrée",B423&lt;&gt;"Sortie"),"Type inconnu",IF(ISNA(MATCH(C423,art_ref,0)),"Référence inconnue",IF(OR(NOT(ISNUMBER(E423)),N(E423)&lt;=0),"Quantité invalide",IF(K423&lt;0,"Stock négatif",IF(AND(ISNUMBER(A422),A423&lt;A422),"Date hors ordre","OK"))))))))</f>
        <v/>
      </c>
      <c r="M423" s="39" t="str">
        <f>IF(C423="","",C423&amp;"#"&amp;COUNTIF($C$5:C423,C423))</f>
        <v/>
      </c>
    </row>
    <row r="424">
      <c r="A424" s="41" t="n"/>
      <c r="B424" s="37" t="n"/>
      <c r="C424" s="37" t="n"/>
      <c r="D424" s="39" t="str">
        <f>IF(C424="","",IFERROR(INDEX(art_des,MATCH(C424,art_ref,0))&amp;"","Référence inconnue"))</f>
        <v/>
      </c>
      <c r="E424" s="37" t="n"/>
      <c r="F424" s="39" t="str">
        <f>IF(C424="","",IFERROR(INDEX(art_unit,MATCH(C424,art_ref,0))&amp;"",""))</f>
        <v/>
      </c>
      <c r="G424" s="37" t="n"/>
      <c r="H424" s="37" t="n"/>
      <c r="I424" s="37" t="n"/>
      <c r="J424" s="40" t="str">
        <f>IF(OR(C424="",NOT(ISNUMBER(E424))),"",IFERROR(E424*N(INDEX(art_price,MATCH(C424,art_ref,0))),""))</f>
        <v/>
      </c>
      <c r="K424" s="39" t="str">
        <f>IF(OR(C424="",NOT(ISNUMBER(E424))),"",IFERROR(ROUND(N(INDEX(art_init,MATCH(C424,art_ref,0)))+SUMIFS($E$5:E424,$C$5:C424,C424,$B$5:B424,"Entrée")-SUMIFS($E$5:E424,$C$5:C424,C424,$B$5:B424,"Sortie"),6),""))</f>
        <v/>
      </c>
      <c r="L424" s="39" t="str">
        <f>IF(COUNTA(A424:C424,E424)=0,"",IF(COUNTA(A424:C424,E424)&lt;4,"Ligne incomplète",IF(NOT(ISNUMBER(A424)),"Date invalide",IF(AND(B424&lt;&gt;"Entrée",B424&lt;&gt;"Sortie"),"Type inconnu",IF(ISNA(MATCH(C424,art_ref,0)),"Référence inconnue",IF(OR(NOT(ISNUMBER(E424)),N(E424)&lt;=0),"Quantité invalide",IF(K424&lt;0,"Stock négatif",IF(AND(ISNUMBER(A423),A424&lt;A423),"Date hors ordre","OK"))))))))</f>
        <v/>
      </c>
      <c r="M424" s="39" t="str">
        <f>IF(C424="","",C424&amp;"#"&amp;COUNTIF($C$5:C424,C424))</f>
        <v/>
      </c>
    </row>
    <row r="425">
      <c r="A425" s="41" t="n"/>
      <c r="B425" s="37" t="n"/>
      <c r="C425" s="37" t="n"/>
      <c r="D425" s="39" t="str">
        <f>IF(C425="","",IFERROR(INDEX(art_des,MATCH(C425,art_ref,0))&amp;"","Référence inconnue"))</f>
        <v/>
      </c>
      <c r="E425" s="37" t="n"/>
      <c r="F425" s="39" t="str">
        <f>IF(C425="","",IFERROR(INDEX(art_unit,MATCH(C425,art_ref,0))&amp;"",""))</f>
        <v/>
      </c>
      <c r="G425" s="37" t="n"/>
      <c r="H425" s="37" t="n"/>
      <c r="I425" s="37" t="n"/>
      <c r="J425" s="40" t="str">
        <f>IF(OR(C425="",NOT(ISNUMBER(E425))),"",IFERROR(E425*N(INDEX(art_price,MATCH(C425,art_ref,0))),""))</f>
        <v/>
      </c>
      <c r="K425" s="39" t="str">
        <f>IF(OR(C425="",NOT(ISNUMBER(E425))),"",IFERROR(ROUND(N(INDEX(art_init,MATCH(C425,art_ref,0)))+SUMIFS($E$5:E425,$C$5:C425,C425,$B$5:B425,"Entrée")-SUMIFS($E$5:E425,$C$5:C425,C425,$B$5:B425,"Sortie"),6),""))</f>
        <v/>
      </c>
      <c r="L425" s="39" t="str">
        <f>IF(COUNTA(A425:C425,E425)=0,"",IF(COUNTA(A425:C425,E425)&lt;4,"Ligne incomplète",IF(NOT(ISNUMBER(A425)),"Date invalide",IF(AND(B425&lt;&gt;"Entrée",B425&lt;&gt;"Sortie"),"Type inconnu",IF(ISNA(MATCH(C425,art_ref,0)),"Référence inconnue",IF(OR(NOT(ISNUMBER(E425)),N(E425)&lt;=0),"Quantité invalide",IF(K425&lt;0,"Stock négatif",IF(AND(ISNUMBER(A424),A425&lt;A424),"Date hors ordre","OK"))))))))</f>
        <v/>
      </c>
      <c r="M425" s="39" t="str">
        <f>IF(C425="","",C425&amp;"#"&amp;COUNTIF($C$5:C425,C425))</f>
        <v/>
      </c>
    </row>
    <row r="426">
      <c r="A426" s="41" t="n"/>
      <c r="B426" s="37" t="n"/>
      <c r="C426" s="37" t="n"/>
      <c r="D426" s="39" t="str">
        <f>IF(C426="","",IFERROR(INDEX(art_des,MATCH(C426,art_ref,0))&amp;"","Référence inconnue"))</f>
        <v/>
      </c>
      <c r="E426" s="37" t="n"/>
      <c r="F426" s="39" t="str">
        <f>IF(C426="","",IFERROR(INDEX(art_unit,MATCH(C426,art_ref,0))&amp;"",""))</f>
        <v/>
      </c>
      <c r="G426" s="37" t="n"/>
      <c r="H426" s="37" t="n"/>
      <c r="I426" s="37" t="n"/>
      <c r="J426" s="40" t="str">
        <f>IF(OR(C426="",NOT(ISNUMBER(E426))),"",IFERROR(E426*N(INDEX(art_price,MATCH(C426,art_ref,0))),""))</f>
        <v/>
      </c>
      <c r="K426" s="39" t="str">
        <f>IF(OR(C426="",NOT(ISNUMBER(E426))),"",IFERROR(ROUND(N(INDEX(art_init,MATCH(C426,art_ref,0)))+SUMIFS($E$5:E426,$C$5:C426,C426,$B$5:B426,"Entrée")-SUMIFS($E$5:E426,$C$5:C426,C426,$B$5:B426,"Sortie"),6),""))</f>
        <v/>
      </c>
      <c r="L426" s="39" t="str">
        <f>IF(COUNTA(A426:C426,E426)=0,"",IF(COUNTA(A426:C426,E426)&lt;4,"Ligne incomplète",IF(NOT(ISNUMBER(A426)),"Date invalide",IF(AND(B426&lt;&gt;"Entrée",B426&lt;&gt;"Sortie"),"Type inconnu",IF(ISNA(MATCH(C426,art_ref,0)),"Référence inconnue",IF(OR(NOT(ISNUMBER(E426)),N(E426)&lt;=0),"Quantité invalide",IF(K426&lt;0,"Stock négatif",IF(AND(ISNUMBER(A425),A426&lt;A425),"Date hors ordre","OK"))))))))</f>
        <v/>
      </c>
      <c r="M426" s="39" t="str">
        <f>IF(C426="","",C426&amp;"#"&amp;COUNTIF($C$5:C426,C426))</f>
        <v/>
      </c>
    </row>
    <row r="427">
      <c r="A427" s="41" t="n"/>
      <c r="B427" s="37" t="n"/>
      <c r="C427" s="37" t="n"/>
      <c r="D427" s="39" t="str">
        <f>IF(C427="","",IFERROR(INDEX(art_des,MATCH(C427,art_ref,0))&amp;"","Référence inconnue"))</f>
        <v/>
      </c>
      <c r="E427" s="37" t="n"/>
      <c r="F427" s="39" t="str">
        <f>IF(C427="","",IFERROR(INDEX(art_unit,MATCH(C427,art_ref,0))&amp;"",""))</f>
        <v/>
      </c>
      <c r="G427" s="37" t="n"/>
      <c r="H427" s="37" t="n"/>
      <c r="I427" s="37" t="n"/>
      <c r="J427" s="40" t="str">
        <f>IF(OR(C427="",NOT(ISNUMBER(E427))),"",IFERROR(E427*N(INDEX(art_price,MATCH(C427,art_ref,0))),""))</f>
        <v/>
      </c>
      <c r="K427" s="39" t="str">
        <f>IF(OR(C427="",NOT(ISNUMBER(E427))),"",IFERROR(ROUND(N(INDEX(art_init,MATCH(C427,art_ref,0)))+SUMIFS($E$5:E427,$C$5:C427,C427,$B$5:B427,"Entrée")-SUMIFS($E$5:E427,$C$5:C427,C427,$B$5:B427,"Sortie"),6),""))</f>
        <v/>
      </c>
      <c r="L427" s="39" t="str">
        <f>IF(COUNTA(A427:C427,E427)=0,"",IF(COUNTA(A427:C427,E427)&lt;4,"Ligne incomplète",IF(NOT(ISNUMBER(A427)),"Date invalide",IF(AND(B427&lt;&gt;"Entrée",B427&lt;&gt;"Sortie"),"Type inconnu",IF(ISNA(MATCH(C427,art_ref,0)),"Référence inconnue",IF(OR(NOT(ISNUMBER(E427)),N(E427)&lt;=0),"Quantité invalide",IF(K427&lt;0,"Stock négatif",IF(AND(ISNUMBER(A426),A427&lt;A426),"Date hors ordre","OK"))))))))</f>
        <v/>
      </c>
      <c r="M427" s="39" t="str">
        <f>IF(C427="","",C427&amp;"#"&amp;COUNTIF($C$5:C427,C427))</f>
        <v/>
      </c>
    </row>
    <row r="428">
      <c r="A428" s="41" t="n"/>
      <c r="B428" s="37" t="n"/>
      <c r="C428" s="37" t="n"/>
      <c r="D428" s="39" t="str">
        <f>IF(C428="","",IFERROR(INDEX(art_des,MATCH(C428,art_ref,0))&amp;"","Référence inconnue"))</f>
        <v/>
      </c>
      <c r="E428" s="37" t="n"/>
      <c r="F428" s="39" t="str">
        <f>IF(C428="","",IFERROR(INDEX(art_unit,MATCH(C428,art_ref,0))&amp;"",""))</f>
        <v/>
      </c>
      <c r="G428" s="37" t="n"/>
      <c r="H428" s="37" t="n"/>
      <c r="I428" s="37" t="n"/>
      <c r="J428" s="40" t="str">
        <f>IF(OR(C428="",NOT(ISNUMBER(E428))),"",IFERROR(E428*N(INDEX(art_price,MATCH(C428,art_ref,0))),""))</f>
        <v/>
      </c>
      <c r="K428" s="39" t="str">
        <f>IF(OR(C428="",NOT(ISNUMBER(E428))),"",IFERROR(ROUND(N(INDEX(art_init,MATCH(C428,art_ref,0)))+SUMIFS($E$5:E428,$C$5:C428,C428,$B$5:B428,"Entrée")-SUMIFS($E$5:E428,$C$5:C428,C428,$B$5:B428,"Sortie"),6),""))</f>
        <v/>
      </c>
      <c r="L428" s="39" t="str">
        <f>IF(COUNTA(A428:C428,E428)=0,"",IF(COUNTA(A428:C428,E428)&lt;4,"Ligne incomplète",IF(NOT(ISNUMBER(A428)),"Date invalide",IF(AND(B428&lt;&gt;"Entrée",B428&lt;&gt;"Sortie"),"Type inconnu",IF(ISNA(MATCH(C428,art_ref,0)),"Référence inconnue",IF(OR(NOT(ISNUMBER(E428)),N(E428)&lt;=0),"Quantité invalide",IF(K428&lt;0,"Stock négatif",IF(AND(ISNUMBER(A427),A428&lt;A427),"Date hors ordre","OK"))))))))</f>
        <v/>
      </c>
      <c r="M428" s="39" t="str">
        <f>IF(C428="","",C428&amp;"#"&amp;COUNTIF($C$5:C428,C428))</f>
        <v/>
      </c>
    </row>
    <row r="429">
      <c r="A429" s="41" t="n"/>
      <c r="B429" s="37" t="n"/>
      <c r="C429" s="37" t="n"/>
      <c r="D429" s="39" t="str">
        <f>IF(C429="","",IFERROR(INDEX(art_des,MATCH(C429,art_ref,0))&amp;"","Référence inconnue"))</f>
        <v/>
      </c>
      <c r="E429" s="37" t="n"/>
      <c r="F429" s="39" t="str">
        <f>IF(C429="","",IFERROR(INDEX(art_unit,MATCH(C429,art_ref,0))&amp;"",""))</f>
        <v/>
      </c>
      <c r="G429" s="37" t="n"/>
      <c r="H429" s="37" t="n"/>
      <c r="I429" s="37" t="n"/>
      <c r="J429" s="40" t="str">
        <f>IF(OR(C429="",NOT(ISNUMBER(E429))),"",IFERROR(E429*N(INDEX(art_price,MATCH(C429,art_ref,0))),""))</f>
        <v/>
      </c>
      <c r="K429" s="39" t="str">
        <f>IF(OR(C429="",NOT(ISNUMBER(E429))),"",IFERROR(ROUND(N(INDEX(art_init,MATCH(C429,art_ref,0)))+SUMIFS($E$5:E429,$C$5:C429,C429,$B$5:B429,"Entrée")-SUMIFS($E$5:E429,$C$5:C429,C429,$B$5:B429,"Sortie"),6),""))</f>
        <v/>
      </c>
      <c r="L429" s="39" t="str">
        <f>IF(COUNTA(A429:C429,E429)=0,"",IF(COUNTA(A429:C429,E429)&lt;4,"Ligne incomplète",IF(NOT(ISNUMBER(A429)),"Date invalide",IF(AND(B429&lt;&gt;"Entrée",B429&lt;&gt;"Sortie"),"Type inconnu",IF(ISNA(MATCH(C429,art_ref,0)),"Référence inconnue",IF(OR(NOT(ISNUMBER(E429)),N(E429)&lt;=0),"Quantité invalide",IF(K429&lt;0,"Stock négatif",IF(AND(ISNUMBER(A428),A429&lt;A428),"Date hors ordre","OK"))))))))</f>
        <v/>
      </c>
      <c r="M429" s="39" t="str">
        <f>IF(C429="","",C429&amp;"#"&amp;COUNTIF($C$5:C429,C429))</f>
        <v/>
      </c>
    </row>
    <row r="430">
      <c r="A430" s="41" t="n"/>
      <c r="B430" s="37" t="n"/>
      <c r="C430" s="37" t="n"/>
      <c r="D430" s="39" t="str">
        <f>IF(C430="","",IFERROR(INDEX(art_des,MATCH(C430,art_ref,0))&amp;"","Référence inconnue"))</f>
        <v/>
      </c>
      <c r="E430" s="37" t="n"/>
      <c r="F430" s="39" t="str">
        <f>IF(C430="","",IFERROR(INDEX(art_unit,MATCH(C430,art_ref,0))&amp;"",""))</f>
        <v/>
      </c>
      <c r="G430" s="37" t="n"/>
      <c r="H430" s="37" t="n"/>
      <c r="I430" s="37" t="n"/>
      <c r="J430" s="40" t="str">
        <f>IF(OR(C430="",NOT(ISNUMBER(E430))),"",IFERROR(E430*N(INDEX(art_price,MATCH(C430,art_ref,0))),""))</f>
        <v/>
      </c>
      <c r="K430" s="39" t="str">
        <f>IF(OR(C430="",NOT(ISNUMBER(E430))),"",IFERROR(ROUND(N(INDEX(art_init,MATCH(C430,art_ref,0)))+SUMIFS($E$5:E430,$C$5:C430,C430,$B$5:B430,"Entrée")-SUMIFS($E$5:E430,$C$5:C430,C430,$B$5:B430,"Sortie"),6),""))</f>
        <v/>
      </c>
      <c r="L430" s="39" t="str">
        <f>IF(COUNTA(A430:C430,E430)=0,"",IF(COUNTA(A430:C430,E430)&lt;4,"Ligne incomplète",IF(NOT(ISNUMBER(A430)),"Date invalide",IF(AND(B430&lt;&gt;"Entrée",B430&lt;&gt;"Sortie"),"Type inconnu",IF(ISNA(MATCH(C430,art_ref,0)),"Référence inconnue",IF(OR(NOT(ISNUMBER(E430)),N(E430)&lt;=0),"Quantité invalide",IF(K430&lt;0,"Stock négatif",IF(AND(ISNUMBER(A429),A430&lt;A429),"Date hors ordre","OK"))))))))</f>
        <v/>
      </c>
      <c r="M430" s="39" t="str">
        <f>IF(C430="","",C430&amp;"#"&amp;COUNTIF($C$5:C430,C430))</f>
        <v/>
      </c>
    </row>
    <row r="431">
      <c r="A431" s="41" t="n"/>
      <c r="B431" s="37" t="n"/>
      <c r="C431" s="37" t="n"/>
      <c r="D431" s="39" t="str">
        <f>IF(C431="","",IFERROR(INDEX(art_des,MATCH(C431,art_ref,0))&amp;"","Référence inconnue"))</f>
        <v/>
      </c>
      <c r="E431" s="37" t="n"/>
      <c r="F431" s="39" t="str">
        <f>IF(C431="","",IFERROR(INDEX(art_unit,MATCH(C431,art_ref,0))&amp;"",""))</f>
        <v/>
      </c>
      <c r="G431" s="37" t="n"/>
      <c r="H431" s="37" t="n"/>
      <c r="I431" s="37" t="n"/>
      <c r="J431" s="40" t="str">
        <f>IF(OR(C431="",NOT(ISNUMBER(E431))),"",IFERROR(E431*N(INDEX(art_price,MATCH(C431,art_ref,0))),""))</f>
        <v/>
      </c>
      <c r="K431" s="39" t="str">
        <f>IF(OR(C431="",NOT(ISNUMBER(E431))),"",IFERROR(ROUND(N(INDEX(art_init,MATCH(C431,art_ref,0)))+SUMIFS($E$5:E431,$C$5:C431,C431,$B$5:B431,"Entrée")-SUMIFS($E$5:E431,$C$5:C431,C431,$B$5:B431,"Sortie"),6),""))</f>
        <v/>
      </c>
      <c r="L431" s="39" t="str">
        <f>IF(COUNTA(A431:C431,E431)=0,"",IF(COUNTA(A431:C431,E431)&lt;4,"Ligne incomplète",IF(NOT(ISNUMBER(A431)),"Date invalide",IF(AND(B431&lt;&gt;"Entrée",B431&lt;&gt;"Sortie"),"Type inconnu",IF(ISNA(MATCH(C431,art_ref,0)),"Référence inconnue",IF(OR(NOT(ISNUMBER(E431)),N(E431)&lt;=0),"Quantité invalide",IF(K431&lt;0,"Stock négatif",IF(AND(ISNUMBER(A430),A431&lt;A430),"Date hors ordre","OK"))))))))</f>
        <v/>
      </c>
      <c r="M431" s="39" t="str">
        <f>IF(C431="","",C431&amp;"#"&amp;COUNTIF($C$5:C431,C431))</f>
        <v/>
      </c>
    </row>
    <row r="432">
      <c r="A432" s="41" t="n"/>
      <c r="B432" s="37" t="n"/>
      <c r="C432" s="37" t="n"/>
      <c r="D432" s="39" t="str">
        <f>IF(C432="","",IFERROR(INDEX(art_des,MATCH(C432,art_ref,0))&amp;"","Référence inconnue"))</f>
        <v/>
      </c>
      <c r="E432" s="37" t="n"/>
      <c r="F432" s="39" t="str">
        <f>IF(C432="","",IFERROR(INDEX(art_unit,MATCH(C432,art_ref,0))&amp;"",""))</f>
        <v/>
      </c>
      <c r="G432" s="37" t="n"/>
      <c r="H432" s="37" t="n"/>
      <c r="I432" s="37" t="n"/>
      <c r="J432" s="40" t="str">
        <f>IF(OR(C432="",NOT(ISNUMBER(E432))),"",IFERROR(E432*N(INDEX(art_price,MATCH(C432,art_ref,0))),""))</f>
        <v/>
      </c>
      <c r="K432" s="39" t="str">
        <f>IF(OR(C432="",NOT(ISNUMBER(E432))),"",IFERROR(ROUND(N(INDEX(art_init,MATCH(C432,art_ref,0)))+SUMIFS($E$5:E432,$C$5:C432,C432,$B$5:B432,"Entrée")-SUMIFS($E$5:E432,$C$5:C432,C432,$B$5:B432,"Sortie"),6),""))</f>
        <v/>
      </c>
      <c r="L432" s="39" t="str">
        <f>IF(COUNTA(A432:C432,E432)=0,"",IF(COUNTA(A432:C432,E432)&lt;4,"Ligne incomplète",IF(NOT(ISNUMBER(A432)),"Date invalide",IF(AND(B432&lt;&gt;"Entrée",B432&lt;&gt;"Sortie"),"Type inconnu",IF(ISNA(MATCH(C432,art_ref,0)),"Référence inconnue",IF(OR(NOT(ISNUMBER(E432)),N(E432)&lt;=0),"Quantité invalide",IF(K432&lt;0,"Stock négatif",IF(AND(ISNUMBER(A431),A432&lt;A431),"Date hors ordre","OK"))))))))</f>
        <v/>
      </c>
      <c r="M432" s="39" t="str">
        <f>IF(C432="","",C432&amp;"#"&amp;COUNTIF($C$5:C432,C432))</f>
        <v/>
      </c>
    </row>
    <row r="433">
      <c r="A433" s="41" t="n"/>
      <c r="B433" s="37" t="n"/>
      <c r="C433" s="37" t="n"/>
      <c r="D433" s="39" t="str">
        <f>IF(C433="","",IFERROR(INDEX(art_des,MATCH(C433,art_ref,0))&amp;"","Référence inconnue"))</f>
        <v/>
      </c>
      <c r="E433" s="37" t="n"/>
      <c r="F433" s="39" t="str">
        <f>IF(C433="","",IFERROR(INDEX(art_unit,MATCH(C433,art_ref,0))&amp;"",""))</f>
        <v/>
      </c>
      <c r="G433" s="37" t="n"/>
      <c r="H433" s="37" t="n"/>
      <c r="I433" s="37" t="n"/>
      <c r="J433" s="40" t="str">
        <f>IF(OR(C433="",NOT(ISNUMBER(E433))),"",IFERROR(E433*N(INDEX(art_price,MATCH(C433,art_ref,0))),""))</f>
        <v/>
      </c>
      <c r="K433" s="39" t="str">
        <f>IF(OR(C433="",NOT(ISNUMBER(E433))),"",IFERROR(ROUND(N(INDEX(art_init,MATCH(C433,art_ref,0)))+SUMIFS($E$5:E433,$C$5:C433,C433,$B$5:B433,"Entrée")-SUMIFS($E$5:E433,$C$5:C433,C433,$B$5:B433,"Sortie"),6),""))</f>
        <v/>
      </c>
      <c r="L433" s="39" t="str">
        <f>IF(COUNTA(A433:C433,E433)=0,"",IF(COUNTA(A433:C433,E433)&lt;4,"Ligne incomplète",IF(NOT(ISNUMBER(A433)),"Date invalide",IF(AND(B433&lt;&gt;"Entrée",B433&lt;&gt;"Sortie"),"Type inconnu",IF(ISNA(MATCH(C433,art_ref,0)),"Référence inconnue",IF(OR(NOT(ISNUMBER(E433)),N(E433)&lt;=0),"Quantité invalide",IF(K433&lt;0,"Stock négatif",IF(AND(ISNUMBER(A432),A433&lt;A432),"Date hors ordre","OK"))))))))</f>
        <v/>
      </c>
      <c r="M433" s="39" t="str">
        <f>IF(C433="","",C433&amp;"#"&amp;COUNTIF($C$5:C433,C433))</f>
        <v/>
      </c>
    </row>
    <row r="434">
      <c r="A434" s="41" t="n"/>
      <c r="B434" s="37" t="n"/>
      <c r="C434" s="37" t="n"/>
      <c r="D434" s="39" t="str">
        <f>IF(C434="","",IFERROR(INDEX(art_des,MATCH(C434,art_ref,0))&amp;"","Référence inconnue"))</f>
        <v/>
      </c>
      <c r="E434" s="37" t="n"/>
      <c r="F434" s="39" t="str">
        <f>IF(C434="","",IFERROR(INDEX(art_unit,MATCH(C434,art_ref,0))&amp;"",""))</f>
        <v/>
      </c>
      <c r="G434" s="37" t="n"/>
      <c r="H434" s="37" t="n"/>
      <c r="I434" s="37" t="n"/>
      <c r="J434" s="40" t="str">
        <f>IF(OR(C434="",NOT(ISNUMBER(E434))),"",IFERROR(E434*N(INDEX(art_price,MATCH(C434,art_ref,0))),""))</f>
        <v/>
      </c>
      <c r="K434" s="39" t="str">
        <f>IF(OR(C434="",NOT(ISNUMBER(E434))),"",IFERROR(ROUND(N(INDEX(art_init,MATCH(C434,art_ref,0)))+SUMIFS($E$5:E434,$C$5:C434,C434,$B$5:B434,"Entrée")-SUMIFS($E$5:E434,$C$5:C434,C434,$B$5:B434,"Sortie"),6),""))</f>
        <v/>
      </c>
      <c r="L434" s="39" t="str">
        <f>IF(COUNTA(A434:C434,E434)=0,"",IF(COUNTA(A434:C434,E434)&lt;4,"Ligne incomplète",IF(NOT(ISNUMBER(A434)),"Date invalide",IF(AND(B434&lt;&gt;"Entrée",B434&lt;&gt;"Sortie"),"Type inconnu",IF(ISNA(MATCH(C434,art_ref,0)),"Référence inconnue",IF(OR(NOT(ISNUMBER(E434)),N(E434)&lt;=0),"Quantité invalide",IF(K434&lt;0,"Stock négatif",IF(AND(ISNUMBER(A433),A434&lt;A433),"Date hors ordre","OK"))))))))</f>
        <v/>
      </c>
      <c r="M434" s="39" t="str">
        <f>IF(C434="","",C434&amp;"#"&amp;COUNTIF($C$5:C434,C434))</f>
        <v/>
      </c>
    </row>
    <row r="435">
      <c r="A435" s="41" t="n"/>
      <c r="B435" s="37" t="n"/>
      <c r="C435" s="37" t="n"/>
      <c r="D435" s="39" t="str">
        <f>IF(C435="","",IFERROR(INDEX(art_des,MATCH(C435,art_ref,0))&amp;"","Référence inconnue"))</f>
        <v/>
      </c>
      <c r="E435" s="37" t="n"/>
      <c r="F435" s="39" t="str">
        <f>IF(C435="","",IFERROR(INDEX(art_unit,MATCH(C435,art_ref,0))&amp;"",""))</f>
        <v/>
      </c>
      <c r="G435" s="37" t="n"/>
      <c r="H435" s="37" t="n"/>
      <c r="I435" s="37" t="n"/>
      <c r="J435" s="40" t="str">
        <f>IF(OR(C435="",NOT(ISNUMBER(E435))),"",IFERROR(E435*N(INDEX(art_price,MATCH(C435,art_ref,0))),""))</f>
        <v/>
      </c>
      <c r="K435" s="39" t="str">
        <f>IF(OR(C435="",NOT(ISNUMBER(E435))),"",IFERROR(ROUND(N(INDEX(art_init,MATCH(C435,art_ref,0)))+SUMIFS($E$5:E435,$C$5:C435,C435,$B$5:B435,"Entrée")-SUMIFS($E$5:E435,$C$5:C435,C435,$B$5:B435,"Sortie"),6),""))</f>
        <v/>
      </c>
      <c r="L435" s="39" t="str">
        <f>IF(COUNTA(A435:C435,E435)=0,"",IF(COUNTA(A435:C435,E435)&lt;4,"Ligne incomplète",IF(NOT(ISNUMBER(A435)),"Date invalide",IF(AND(B435&lt;&gt;"Entrée",B435&lt;&gt;"Sortie"),"Type inconnu",IF(ISNA(MATCH(C435,art_ref,0)),"Référence inconnue",IF(OR(NOT(ISNUMBER(E435)),N(E435)&lt;=0),"Quantité invalide",IF(K435&lt;0,"Stock négatif",IF(AND(ISNUMBER(A434),A435&lt;A434),"Date hors ordre","OK"))))))))</f>
        <v/>
      </c>
      <c r="M435" s="39" t="str">
        <f>IF(C435="","",C435&amp;"#"&amp;COUNTIF($C$5:C435,C435))</f>
        <v/>
      </c>
    </row>
    <row r="436">
      <c r="A436" s="41" t="n"/>
      <c r="B436" s="37" t="n"/>
      <c r="C436" s="37" t="n"/>
      <c r="D436" s="39" t="str">
        <f>IF(C436="","",IFERROR(INDEX(art_des,MATCH(C436,art_ref,0))&amp;"","Référence inconnue"))</f>
        <v/>
      </c>
      <c r="E436" s="37" t="n"/>
      <c r="F436" s="39" t="str">
        <f>IF(C436="","",IFERROR(INDEX(art_unit,MATCH(C436,art_ref,0))&amp;"",""))</f>
        <v/>
      </c>
      <c r="G436" s="37" t="n"/>
      <c r="H436" s="37" t="n"/>
      <c r="I436" s="37" t="n"/>
      <c r="J436" s="40" t="str">
        <f>IF(OR(C436="",NOT(ISNUMBER(E436))),"",IFERROR(E436*N(INDEX(art_price,MATCH(C436,art_ref,0))),""))</f>
        <v/>
      </c>
      <c r="K436" s="39" t="str">
        <f>IF(OR(C436="",NOT(ISNUMBER(E436))),"",IFERROR(ROUND(N(INDEX(art_init,MATCH(C436,art_ref,0)))+SUMIFS($E$5:E436,$C$5:C436,C436,$B$5:B436,"Entrée")-SUMIFS($E$5:E436,$C$5:C436,C436,$B$5:B436,"Sortie"),6),""))</f>
        <v/>
      </c>
      <c r="L436" s="39" t="str">
        <f>IF(COUNTA(A436:C436,E436)=0,"",IF(COUNTA(A436:C436,E436)&lt;4,"Ligne incomplète",IF(NOT(ISNUMBER(A436)),"Date invalide",IF(AND(B436&lt;&gt;"Entrée",B436&lt;&gt;"Sortie"),"Type inconnu",IF(ISNA(MATCH(C436,art_ref,0)),"Référence inconnue",IF(OR(NOT(ISNUMBER(E436)),N(E436)&lt;=0),"Quantité invalide",IF(K436&lt;0,"Stock négatif",IF(AND(ISNUMBER(A435),A436&lt;A435),"Date hors ordre","OK"))))))))</f>
        <v/>
      </c>
      <c r="M436" s="39" t="str">
        <f>IF(C436="","",C436&amp;"#"&amp;COUNTIF($C$5:C436,C436))</f>
        <v/>
      </c>
    </row>
    <row r="437">
      <c r="A437" s="41" t="n"/>
      <c r="B437" s="37" t="n"/>
      <c r="C437" s="37" t="n"/>
      <c r="D437" s="39" t="str">
        <f>IF(C437="","",IFERROR(INDEX(art_des,MATCH(C437,art_ref,0))&amp;"","Référence inconnue"))</f>
        <v/>
      </c>
      <c r="E437" s="37" t="n"/>
      <c r="F437" s="39" t="str">
        <f>IF(C437="","",IFERROR(INDEX(art_unit,MATCH(C437,art_ref,0))&amp;"",""))</f>
        <v/>
      </c>
      <c r="G437" s="37" t="n"/>
      <c r="H437" s="37" t="n"/>
      <c r="I437" s="37" t="n"/>
      <c r="J437" s="40" t="str">
        <f>IF(OR(C437="",NOT(ISNUMBER(E437))),"",IFERROR(E437*N(INDEX(art_price,MATCH(C437,art_ref,0))),""))</f>
        <v/>
      </c>
      <c r="K437" s="39" t="str">
        <f>IF(OR(C437="",NOT(ISNUMBER(E437))),"",IFERROR(ROUND(N(INDEX(art_init,MATCH(C437,art_ref,0)))+SUMIFS($E$5:E437,$C$5:C437,C437,$B$5:B437,"Entrée")-SUMIFS($E$5:E437,$C$5:C437,C437,$B$5:B437,"Sortie"),6),""))</f>
        <v/>
      </c>
      <c r="L437" s="39" t="str">
        <f>IF(COUNTA(A437:C437,E437)=0,"",IF(COUNTA(A437:C437,E437)&lt;4,"Ligne incomplète",IF(NOT(ISNUMBER(A437)),"Date invalide",IF(AND(B437&lt;&gt;"Entrée",B437&lt;&gt;"Sortie"),"Type inconnu",IF(ISNA(MATCH(C437,art_ref,0)),"Référence inconnue",IF(OR(NOT(ISNUMBER(E437)),N(E437)&lt;=0),"Quantité invalide",IF(K437&lt;0,"Stock négatif",IF(AND(ISNUMBER(A436),A437&lt;A436),"Date hors ordre","OK"))))))))</f>
        <v/>
      </c>
      <c r="M437" s="39" t="str">
        <f>IF(C437="","",C437&amp;"#"&amp;COUNTIF($C$5:C437,C437))</f>
        <v/>
      </c>
    </row>
    <row r="438">
      <c r="A438" s="41" t="n"/>
      <c r="B438" s="37" t="n"/>
      <c r="C438" s="37" t="n"/>
      <c r="D438" s="39" t="str">
        <f>IF(C438="","",IFERROR(INDEX(art_des,MATCH(C438,art_ref,0))&amp;"","Référence inconnue"))</f>
        <v/>
      </c>
      <c r="E438" s="37" t="n"/>
      <c r="F438" s="39" t="str">
        <f>IF(C438="","",IFERROR(INDEX(art_unit,MATCH(C438,art_ref,0))&amp;"",""))</f>
        <v/>
      </c>
      <c r="G438" s="37" t="n"/>
      <c r="H438" s="37" t="n"/>
      <c r="I438" s="37" t="n"/>
      <c r="J438" s="40" t="str">
        <f>IF(OR(C438="",NOT(ISNUMBER(E438))),"",IFERROR(E438*N(INDEX(art_price,MATCH(C438,art_ref,0))),""))</f>
        <v/>
      </c>
      <c r="K438" s="39" t="str">
        <f>IF(OR(C438="",NOT(ISNUMBER(E438))),"",IFERROR(ROUND(N(INDEX(art_init,MATCH(C438,art_ref,0)))+SUMIFS($E$5:E438,$C$5:C438,C438,$B$5:B438,"Entrée")-SUMIFS($E$5:E438,$C$5:C438,C438,$B$5:B438,"Sortie"),6),""))</f>
        <v/>
      </c>
      <c r="L438" s="39" t="str">
        <f>IF(COUNTA(A438:C438,E438)=0,"",IF(COUNTA(A438:C438,E438)&lt;4,"Ligne incomplète",IF(NOT(ISNUMBER(A438)),"Date invalide",IF(AND(B438&lt;&gt;"Entrée",B438&lt;&gt;"Sortie"),"Type inconnu",IF(ISNA(MATCH(C438,art_ref,0)),"Référence inconnue",IF(OR(NOT(ISNUMBER(E438)),N(E438)&lt;=0),"Quantité invalide",IF(K438&lt;0,"Stock négatif",IF(AND(ISNUMBER(A437),A438&lt;A437),"Date hors ordre","OK"))))))))</f>
        <v/>
      </c>
      <c r="M438" s="39" t="str">
        <f>IF(C438="","",C438&amp;"#"&amp;COUNTIF($C$5:C438,C438))</f>
        <v/>
      </c>
    </row>
    <row r="439">
      <c r="A439" s="41" t="n"/>
      <c r="B439" s="37" t="n"/>
      <c r="C439" s="37" t="n"/>
      <c r="D439" s="39" t="str">
        <f>IF(C439="","",IFERROR(INDEX(art_des,MATCH(C439,art_ref,0))&amp;"","Référence inconnue"))</f>
        <v/>
      </c>
      <c r="E439" s="37" t="n"/>
      <c r="F439" s="39" t="str">
        <f>IF(C439="","",IFERROR(INDEX(art_unit,MATCH(C439,art_ref,0))&amp;"",""))</f>
        <v/>
      </c>
      <c r="G439" s="37" t="n"/>
      <c r="H439" s="37" t="n"/>
      <c r="I439" s="37" t="n"/>
      <c r="J439" s="40" t="str">
        <f>IF(OR(C439="",NOT(ISNUMBER(E439))),"",IFERROR(E439*N(INDEX(art_price,MATCH(C439,art_ref,0))),""))</f>
        <v/>
      </c>
      <c r="K439" s="39" t="str">
        <f>IF(OR(C439="",NOT(ISNUMBER(E439))),"",IFERROR(ROUND(N(INDEX(art_init,MATCH(C439,art_ref,0)))+SUMIFS($E$5:E439,$C$5:C439,C439,$B$5:B439,"Entrée")-SUMIFS($E$5:E439,$C$5:C439,C439,$B$5:B439,"Sortie"),6),""))</f>
        <v/>
      </c>
      <c r="L439" s="39" t="str">
        <f>IF(COUNTA(A439:C439,E439)=0,"",IF(COUNTA(A439:C439,E439)&lt;4,"Ligne incomplète",IF(NOT(ISNUMBER(A439)),"Date invalide",IF(AND(B439&lt;&gt;"Entrée",B439&lt;&gt;"Sortie"),"Type inconnu",IF(ISNA(MATCH(C439,art_ref,0)),"Référence inconnue",IF(OR(NOT(ISNUMBER(E439)),N(E439)&lt;=0),"Quantité invalide",IF(K439&lt;0,"Stock négatif",IF(AND(ISNUMBER(A438),A439&lt;A438),"Date hors ordre","OK"))))))))</f>
        <v/>
      </c>
      <c r="M439" s="39" t="str">
        <f>IF(C439="","",C439&amp;"#"&amp;COUNTIF($C$5:C439,C439))</f>
        <v/>
      </c>
    </row>
    <row r="440">
      <c r="A440" s="41" t="n"/>
      <c r="B440" s="37" t="n"/>
      <c r="C440" s="37" t="n"/>
      <c r="D440" s="39" t="str">
        <f>IF(C440="","",IFERROR(INDEX(art_des,MATCH(C440,art_ref,0))&amp;"","Référence inconnue"))</f>
        <v/>
      </c>
      <c r="E440" s="37" t="n"/>
      <c r="F440" s="39" t="str">
        <f>IF(C440="","",IFERROR(INDEX(art_unit,MATCH(C440,art_ref,0))&amp;"",""))</f>
        <v/>
      </c>
      <c r="G440" s="37" t="n"/>
      <c r="H440" s="37" t="n"/>
      <c r="I440" s="37" t="n"/>
      <c r="J440" s="40" t="str">
        <f>IF(OR(C440="",NOT(ISNUMBER(E440))),"",IFERROR(E440*N(INDEX(art_price,MATCH(C440,art_ref,0))),""))</f>
        <v/>
      </c>
      <c r="K440" s="39" t="str">
        <f>IF(OR(C440="",NOT(ISNUMBER(E440))),"",IFERROR(ROUND(N(INDEX(art_init,MATCH(C440,art_ref,0)))+SUMIFS($E$5:E440,$C$5:C440,C440,$B$5:B440,"Entrée")-SUMIFS($E$5:E440,$C$5:C440,C440,$B$5:B440,"Sortie"),6),""))</f>
        <v/>
      </c>
      <c r="L440" s="39" t="str">
        <f>IF(COUNTA(A440:C440,E440)=0,"",IF(COUNTA(A440:C440,E440)&lt;4,"Ligne incomplète",IF(NOT(ISNUMBER(A440)),"Date invalide",IF(AND(B440&lt;&gt;"Entrée",B440&lt;&gt;"Sortie"),"Type inconnu",IF(ISNA(MATCH(C440,art_ref,0)),"Référence inconnue",IF(OR(NOT(ISNUMBER(E440)),N(E440)&lt;=0),"Quantité invalide",IF(K440&lt;0,"Stock négatif",IF(AND(ISNUMBER(A439),A440&lt;A439),"Date hors ordre","OK"))))))))</f>
        <v/>
      </c>
      <c r="M440" s="39" t="str">
        <f>IF(C440="","",C440&amp;"#"&amp;COUNTIF($C$5:C440,C440))</f>
        <v/>
      </c>
    </row>
    <row r="441">
      <c r="A441" s="41" t="n"/>
      <c r="B441" s="37" t="n"/>
      <c r="C441" s="37" t="n"/>
      <c r="D441" s="39" t="str">
        <f>IF(C441="","",IFERROR(INDEX(art_des,MATCH(C441,art_ref,0))&amp;"","Référence inconnue"))</f>
        <v/>
      </c>
      <c r="E441" s="37" t="n"/>
      <c r="F441" s="39" t="str">
        <f>IF(C441="","",IFERROR(INDEX(art_unit,MATCH(C441,art_ref,0))&amp;"",""))</f>
        <v/>
      </c>
      <c r="G441" s="37" t="n"/>
      <c r="H441" s="37" t="n"/>
      <c r="I441" s="37" t="n"/>
      <c r="J441" s="40" t="str">
        <f>IF(OR(C441="",NOT(ISNUMBER(E441))),"",IFERROR(E441*N(INDEX(art_price,MATCH(C441,art_ref,0))),""))</f>
        <v/>
      </c>
      <c r="K441" s="39" t="str">
        <f>IF(OR(C441="",NOT(ISNUMBER(E441))),"",IFERROR(ROUND(N(INDEX(art_init,MATCH(C441,art_ref,0)))+SUMIFS($E$5:E441,$C$5:C441,C441,$B$5:B441,"Entrée")-SUMIFS($E$5:E441,$C$5:C441,C441,$B$5:B441,"Sortie"),6),""))</f>
        <v/>
      </c>
      <c r="L441" s="39" t="str">
        <f>IF(COUNTA(A441:C441,E441)=0,"",IF(COUNTA(A441:C441,E441)&lt;4,"Ligne incomplète",IF(NOT(ISNUMBER(A441)),"Date invalide",IF(AND(B441&lt;&gt;"Entrée",B441&lt;&gt;"Sortie"),"Type inconnu",IF(ISNA(MATCH(C441,art_ref,0)),"Référence inconnue",IF(OR(NOT(ISNUMBER(E441)),N(E441)&lt;=0),"Quantité invalide",IF(K441&lt;0,"Stock négatif",IF(AND(ISNUMBER(A440),A441&lt;A440),"Date hors ordre","OK"))))))))</f>
        <v/>
      </c>
      <c r="M441" s="39" t="str">
        <f>IF(C441="","",C441&amp;"#"&amp;COUNTIF($C$5:C441,C441))</f>
        <v/>
      </c>
    </row>
    <row r="442">
      <c r="A442" s="41" t="n"/>
      <c r="B442" s="37" t="n"/>
      <c r="C442" s="37" t="n"/>
      <c r="D442" s="39" t="str">
        <f>IF(C442="","",IFERROR(INDEX(art_des,MATCH(C442,art_ref,0))&amp;"","Référence inconnue"))</f>
        <v/>
      </c>
      <c r="E442" s="37" t="n"/>
      <c r="F442" s="39" t="str">
        <f>IF(C442="","",IFERROR(INDEX(art_unit,MATCH(C442,art_ref,0))&amp;"",""))</f>
        <v/>
      </c>
      <c r="G442" s="37" t="n"/>
      <c r="H442" s="37" t="n"/>
      <c r="I442" s="37" t="n"/>
      <c r="J442" s="40" t="str">
        <f>IF(OR(C442="",NOT(ISNUMBER(E442))),"",IFERROR(E442*N(INDEX(art_price,MATCH(C442,art_ref,0))),""))</f>
        <v/>
      </c>
      <c r="K442" s="39" t="str">
        <f>IF(OR(C442="",NOT(ISNUMBER(E442))),"",IFERROR(ROUND(N(INDEX(art_init,MATCH(C442,art_ref,0)))+SUMIFS($E$5:E442,$C$5:C442,C442,$B$5:B442,"Entrée")-SUMIFS($E$5:E442,$C$5:C442,C442,$B$5:B442,"Sortie"),6),""))</f>
        <v/>
      </c>
      <c r="L442" s="39" t="str">
        <f>IF(COUNTA(A442:C442,E442)=0,"",IF(COUNTA(A442:C442,E442)&lt;4,"Ligne incomplète",IF(NOT(ISNUMBER(A442)),"Date invalide",IF(AND(B442&lt;&gt;"Entrée",B442&lt;&gt;"Sortie"),"Type inconnu",IF(ISNA(MATCH(C442,art_ref,0)),"Référence inconnue",IF(OR(NOT(ISNUMBER(E442)),N(E442)&lt;=0),"Quantité invalide",IF(K442&lt;0,"Stock négatif",IF(AND(ISNUMBER(A441),A442&lt;A441),"Date hors ordre","OK"))))))))</f>
        <v/>
      </c>
      <c r="M442" s="39" t="str">
        <f>IF(C442="","",C442&amp;"#"&amp;COUNTIF($C$5:C442,C442))</f>
        <v/>
      </c>
    </row>
    <row r="443">
      <c r="A443" s="41" t="n"/>
      <c r="B443" s="37" t="n"/>
      <c r="C443" s="37" t="n"/>
      <c r="D443" s="39" t="str">
        <f>IF(C443="","",IFERROR(INDEX(art_des,MATCH(C443,art_ref,0))&amp;"","Référence inconnue"))</f>
        <v/>
      </c>
      <c r="E443" s="37" t="n"/>
      <c r="F443" s="39" t="str">
        <f>IF(C443="","",IFERROR(INDEX(art_unit,MATCH(C443,art_ref,0))&amp;"",""))</f>
        <v/>
      </c>
      <c r="G443" s="37" t="n"/>
      <c r="H443" s="37" t="n"/>
      <c r="I443" s="37" t="n"/>
      <c r="J443" s="40" t="str">
        <f>IF(OR(C443="",NOT(ISNUMBER(E443))),"",IFERROR(E443*N(INDEX(art_price,MATCH(C443,art_ref,0))),""))</f>
        <v/>
      </c>
      <c r="K443" s="39" t="str">
        <f>IF(OR(C443="",NOT(ISNUMBER(E443))),"",IFERROR(ROUND(N(INDEX(art_init,MATCH(C443,art_ref,0)))+SUMIFS($E$5:E443,$C$5:C443,C443,$B$5:B443,"Entrée")-SUMIFS($E$5:E443,$C$5:C443,C443,$B$5:B443,"Sortie"),6),""))</f>
        <v/>
      </c>
      <c r="L443" s="39" t="str">
        <f>IF(COUNTA(A443:C443,E443)=0,"",IF(COUNTA(A443:C443,E443)&lt;4,"Ligne incomplète",IF(NOT(ISNUMBER(A443)),"Date invalide",IF(AND(B443&lt;&gt;"Entrée",B443&lt;&gt;"Sortie"),"Type inconnu",IF(ISNA(MATCH(C443,art_ref,0)),"Référence inconnue",IF(OR(NOT(ISNUMBER(E443)),N(E443)&lt;=0),"Quantité invalide",IF(K443&lt;0,"Stock négatif",IF(AND(ISNUMBER(A442),A443&lt;A442),"Date hors ordre","OK"))))))))</f>
        <v/>
      </c>
      <c r="M443" s="39" t="str">
        <f>IF(C443="","",C443&amp;"#"&amp;COUNTIF($C$5:C443,C443))</f>
        <v/>
      </c>
    </row>
    <row r="444">
      <c r="A444" s="41" t="n"/>
      <c r="B444" s="37" t="n"/>
      <c r="C444" s="37" t="n"/>
      <c r="D444" s="39" t="str">
        <f>IF(C444="","",IFERROR(INDEX(art_des,MATCH(C444,art_ref,0))&amp;"","Référence inconnue"))</f>
        <v/>
      </c>
      <c r="E444" s="37" t="n"/>
      <c r="F444" s="39" t="str">
        <f>IF(C444="","",IFERROR(INDEX(art_unit,MATCH(C444,art_ref,0))&amp;"",""))</f>
        <v/>
      </c>
      <c r="G444" s="37" t="n"/>
      <c r="H444" s="37" t="n"/>
      <c r="I444" s="37" t="n"/>
      <c r="J444" s="40" t="str">
        <f>IF(OR(C444="",NOT(ISNUMBER(E444))),"",IFERROR(E444*N(INDEX(art_price,MATCH(C444,art_ref,0))),""))</f>
        <v/>
      </c>
      <c r="K444" s="39" t="str">
        <f>IF(OR(C444="",NOT(ISNUMBER(E444))),"",IFERROR(ROUND(N(INDEX(art_init,MATCH(C444,art_ref,0)))+SUMIFS($E$5:E444,$C$5:C444,C444,$B$5:B444,"Entrée")-SUMIFS($E$5:E444,$C$5:C444,C444,$B$5:B444,"Sortie"),6),""))</f>
        <v/>
      </c>
      <c r="L444" s="39" t="str">
        <f>IF(COUNTA(A444:C444,E444)=0,"",IF(COUNTA(A444:C444,E444)&lt;4,"Ligne incomplète",IF(NOT(ISNUMBER(A444)),"Date invalide",IF(AND(B444&lt;&gt;"Entrée",B444&lt;&gt;"Sortie"),"Type inconnu",IF(ISNA(MATCH(C444,art_ref,0)),"Référence inconnue",IF(OR(NOT(ISNUMBER(E444)),N(E444)&lt;=0),"Quantité invalide",IF(K444&lt;0,"Stock négatif",IF(AND(ISNUMBER(A443),A444&lt;A443),"Date hors ordre","OK"))))))))</f>
        <v/>
      </c>
      <c r="M444" s="39" t="str">
        <f>IF(C444="","",C444&amp;"#"&amp;COUNTIF($C$5:C444,C444))</f>
        <v/>
      </c>
    </row>
    <row r="445">
      <c r="A445" s="41" t="n"/>
      <c r="B445" s="37" t="n"/>
      <c r="C445" s="37" t="n"/>
      <c r="D445" s="39" t="str">
        <f>IF(C445="","",IFERROR(INDEX(art_des,MATCH(C445,art_ref,0))&amp;"","Référence inconnue"))</f>
        <v/>
      </c>
      <c r="E445" s="37" t="n"/>
      <c r="F445" s="39" t="str">
        <f>IF(C445="","",IFERROR(INDEX(art_unit,MATCH(C445,art_ref,0))&amp;"",""))</f>
        <v/>
      </c>
      <c r="G445" s="37" t="n"/>
      <c r="H445" s="37" t="n"/>
      <c r="I445" s="37" t="n"/>
      <c r="J445" s="40" t="str">
        <f>IF(OR(C445="",NOT(ISNUMBER(E445))),"",IFERROR(E445*N(INDEX(art_price,MATCH(C445,art_ref,0))),""))</f>
        <v/>
      </c>
      <c r="K445" s="39" t="str">
        <f>IF(OR(C445="",NOT(ISNUMBER(E445))),"",IFERROR(ROUND(N(INDEX(art_init,MATCH(C445,art_ref,0)))+SUMIFS($E$5:E445,$C$5:C445,C445,$B$5:B445,"Entrée")-SUMIFS($E$5:E445,$C$5:C445,C445,$B$5:B445,"Sortie"),6),""))</f>
        <v/>
      </c>
      <c r="L445" s="39" t="str">
        <f>IF(COUNTA(A445:C445,E445)=0,"",IF(COUNTA(A445:C445,E445)&lt;4,"Ligne incomplète",IF(NOT(ISNUMBER(A445)),"Date invalide",IF(AND(B445&lt;&gt;"Entrée",B445&lt;&gt;"Sortie"),"Type inconnu",IF(ISNA(MATCH(C445,art_ref,0)),"Référence inconnue",IF(OR(NOT(ISNUMBER(E445)),N(E445)&lt;=0),"Quantité invalide",IF(K445&lt;0,"Stock négatif",IF(AND(ISNUMBER(A444),A445&lt;A444),"Date hors ordre","OK"))))))))</f>
        <v/>
      </c>
      <c r="M445" s="39" t="str">
        <f>IF(C445="","",C445&amp;"#"&amp;COUNTIF($C$5:C445,C445))</f>
        <v/>
      </c>
    </row>
    <row r="446">
      <c r="A446" s="41" t="n"/>
      <c r="B446" s="37" t="n"/>
      <c r="C446" s="37" t="n"/>
      <c r="D446" s="39" t="str">
        <f>IF(C446="","",IFERROR(INDEX(art_des,MATCH(C446,art_ref,0))&amp;"","Référence inconnue"))</f>
        <v/>
      </c>
      <c r="E446" s="37" t="n"/>
      <c r="F446" s="39" t="str">
        <f>IF(C446="","",IFERROR(INDEX(art_unit,MATCH(C446,art_ref,0))&amp;"",""))</f>
        <v/>
      </c>
      <c r="G446" s="37" t="n"/>
      <c r="H446" s="37" t="n"/>
      <c r="I446" s="37" t="n"/>
      <c r="J446" s="40" t="str">
        <f>IF(OR(C446="",NOT(ISNUMBER(E446))),"",IFERROR(E446*N(INDEX(art_price,MATCH(C446,art_ref,0))),""))</f>
        <v/>
      </c>
      <c r="K446" s="39" t="str">
        <f>IF(OR(C446="",NOT(ISNUMBER(E446))),"",IFERROR(ROUND(N(INDEX(art_init,MATCH(C446,art_ref,0)))+SUMIFS($E$5:E446,$C$5:C446,C446,$B$5:B446,"Entrée")-SUMIFS($E$5:E446,$C$5:C446,C446,$B$5:B446,"Sortie"),6),""))</f>
        <v/>
      </c>
      <c r="L446" s="39" t="str">
        <f>IF(COUNTA(A446:C446,E446)=0,"",IF(COUNTA(A446:C446,E446)&lt;4,"Ligne incomplète",IF(NOT(ISNUMBER(A446)),"Date invalide",IF(AND(B446&lt;&gt;"Entrée",B446&lt;&gt;"Sortie"),"Type inconnu",IF(ISNA(MATCH(C446,art_ref,0)),"Référence inconnue",IF(OR(NOT(ISNUMBER(E446)),N(E446)&lt;=0),"Quantité invalide",IF(K446&lt;0,"Stock négatif",IF(AND(ISNUMBER(A445),A446&lt;A445),"Date hors ordre","OK"))))))))</f>
        <v/>
      </c>
      <c r="M446" s="39" t="str">
        <f>IF(C446="","",C446&amp;"#"&amp;COUNTIF($C$5:C446,C446))</f>
        <v/>
      </c>
    </row>
    <row r="447">
      <c r="A447" s="41" t="n"/>
      <c r="B447" s="37" t="n"/>
      <c r="C447" s="37" t="n"/>
      <c r="D447" s="39" t="str">
        <f>IF(C447="","",IFERROR(INDEX(art_des,MATCH(C447,art_ref,0))&amp;"","Référence inconnue"))</f>
        <v/>
      </c>
      <c r="E447" s="37" t="n"/>
      <c r="F447" s="39" t="str">
        <f>IF(C447="","",IFERROR(INDEX(art_unit,MATCH(C447,art_ref,0))&amp;"",""))</f>
        <v/>
      </c>
      <c r="G447" s="37" t="n"/>
      <c r="H447" s="37" t="n"/>
      <c r="I447" s="37" t="n"/>
      <c r="J447" s="40" t="str">
        <f>IF(OR(C447="",NOT(ISNUMBER(E447))),"",IFERROR(E447*N(INDEX(art_price,MATCH(C447,art_ref,0))),""))</f>
        <v/>
      </c>
      <c r="K447" s="39" t="str">
        <f>IF(OR(C447="",NOT(ISNUMBER(E447))),"",IFERROR(ROUND(N(INDEX(art_init,MATCH(C447,art_ref,0)))+SUMIFS($E$5:E447,$C$5:C447,C447,$B$5:B447,"Entrée")-SUMIFS($E$5:E447,$C$5:C447,C447,$B$5:B447,"Sortie"),6),""))</f>
        <v/>
      </c>
      <c r="L447" s="39" t="str">
        <f>IF(COUNTA(A447:C447,E447)=0,"",IF(COUNTA(A447:C447,E447)&lt;4,"Ligne incomplète",IF(NOT(ISNUMBER(A447)),"Date invalide",IF(AND(B447&lt;&gt;"Entrée",B447&lt;&gt;"Sortie"),"Type inconnu",IF(ISNA(MATCH(C447,art_ref,0)),"Référence inconnue",IF(OR(NOT(ISNUMBER(E447)),N(E447)&lt;=0),"Quantité invalide",IF(K447&lt;0,"Stock négatif",IF(AND(ISNUMBER(A446),A447&lt;A446),"Date hors ordre","OK"))))))))</f>
        <v/>
      </c>
      <c r="M447" s="39" t="str">
        <f>IF(C447="","",C447&amp;"#"&amp;COUNTIF($C$5:C447,C447))</f>
        <v/>
      </c>
    </row>
    <row r="448">
      <c r="A448" s="41" t="n"/>
      <c r="B448" s="37" t="n"/>
      <c r="C448" s="37" t="n"/>
      <c r="D448" s="39" t="str">
        <f>IF(C448="","",IFERROR(INDEX(art_des,MATCH(C448,art_ref,0))&amp;"","Référence inconnue"))</f>
        <v/>
      </c>
      <c r="E448" s="37" t="n"/>
      <c r="F448" s="39" t="str">
        <f>IF(C448="","",IFERROR(INDEX(art_unit,MATCH(C448,art_ref,0))&amp;"",""))</f>
        <v/>
      </c>
      <c r="G448" s="37" t="n"/>
      <c r="H448" s="37" t="n"/>
      <c r="I448" s="37" t="n"/>
      <c r="J448" s="40" t="str">
        <f>IF(OR(C448="",NOT(ISNUMBER(E448))),"",IFERROR(E448*N(INDEX(art_price,MATCH(C448,art_ref,0))),""))</f>
        <v/>
      </c>
      <c r="K448" s="39" t="str">
        <f>IF(OR(C448="",NOT(ISNUMBER(E448))),"",IFERROR(ROUND(N(INDEX(art_init,MATCH(C448,art_ref,0)))+SUMIFS($E$5:E448,$C$5:C448,C448,$B$5:B448,"Entrée")-SUMIFS($E$5:E448,$C$5:C448,C448,$B$5:B448,"Sortie"),6),""))</f>
        <v/>
      </c>
      <c r="L448" s="39" t="str">
        <f>IF(COUNTA(A448:C448,E448)=0,"",IF(COUNTA(A448:C448,E448)&lt;4,"Ligne incomplète",IF(NOT(ISNUMBER(A448)),"Date invalide",IF(AND(B448&lt;&gt;"Entrée",B448&lt;&gt;"Sortie"),"Type inconnu",IF(ISNA(MATCH(C448,art_ref,0)),"Référence inconnue",IF(OR(NOT(ISNUMBER(E448)),N(E448)&lt;=0),"Quantité invalide",IF(K448&lt;0,"Stock négatif",IF(AND(ISNUMBER(A447),A448&lt;A447),"Date hors ordre","OK"))))))))</f>
        <v/>
      </c>
      <c r="M448" s="39" t="str">
        <f>IF(C448="","",C448&amp;"#"&amp;COUNTIF($C$5:C448,C448))</f>
        <v/>
      </c>
    </row>
    <row r="449">
      <c r="A449" s="41" t="n"/>
      <c r="B449" s="37" t="n"/>
      <c r="C449" s="37" t="n"/>
      <c r="D449" s="39" t="str">
        <f>IF(C449="","",IFERROR(INDEX(art_des,MATCH(C449,art_ref,0))&amp;"","Référence inconnue"))</f>
        <v/>
      </c>
      <c r="E449" s="37" t="n"/>
      <c r="F449" s="39" t="str">
        <f>IF(C449="","",IFERROR(INDEX(art_unit,MATCH(C449,art_ref,0))&amp;"",""))</f>
        <v/>
      </c>
      <c r="G449" s="37" t="n"/>
      <c r="H449" s="37" t="n"/>
      <c r="I449" s="37" t="n"/>
      <c r="J449" s="40" t="str">
        <f>IF(OR(C449="",NOT(ISNUMBER(E449))),"",IFERROR(E449*N(INDEX(art_price,MATCH(C449,art_ref,0))),""))</f>
        <v/>
      </c>
      <c r="K449" s="39" t="str">
        <f>IF(OR(C449="",NOT(ISNUMBER(E449))),"",IFERROR(ROUND(N(INDEX(art_init,MATCH(C449,art_ref,0)))+SUMIFS($E$5:E449,$C$5:C449,C449,$B$5:B449,"Entrée")-SUMIFS($E$5:E449,$C$5:C449,C449,$B$5:B449,"Sortie"),6),""))</f>
        <v/>
      </c>
      <c r="L449" s="39" t="str">
        <f>IF(COUNTA(A449:C449,E449)=0,"",IF(COUNTA(A449:C449,E449)&lt;4,"Ligne incomplète",IF(NOT(ISNUMBER(A449)),"Date invalide",IF(AND(B449&lt;&gt;"Entrée",B449&lt;&gt;"Sortie"),"Type inconnu",IF(ISNA(MATCH(C449,art_ref,0)),"Référence inconnue",IF(OR(NOT(ISNUMBER(E449)),N(E449)&lt;=0),"Quantité invalide",IF(K449&lt;0,"Stock négatif",IF(AND(ISNUMBER(A448),A449&lt;A448),"Date hors ordre","OK"))))))))</f>
        <v/>
      </c>
      <c r="M449" s="39" t="str">
        <f>IF(C449="","",C449&amp;"#"&amp;COUNTIF($C$5:C449,C449))</f>
        <v/>
      </c>
    </row>
    <row r="450">
      <c r="A450" s="41" t="n"/>
      <c r="B450" s="37" t="n"/>
      <c r="C450" s="37" t="n"/>
      <c r="D450" s="39" t="str">
        <f>IF(C450="","",IFERROR(INDEX(art_des,MATCH(C450,art_ref,0))&amp;"","Référence inconnue"))</f>
        <v/>
      </c>
      <c r="E450" s="37" t="n"/>
      <c r="F450" s="39" t="str">
        <f>IF(C450="","",IFERROR(INDEX(art_unit,MATCH(C450,art_ref,0))&amp;"",""))</f>
        <v/>
      </c>
      <c r="G450" s="37" t="n"/>
      <c r="H450" s="37" t="n"/>
      <c r="I450" s="37" t="n"/>
      <c r="J450" s="40" t="str">
        <f>IF(OR(C450="",NOT(ISNUMBER(E450))),"",IFERROR(E450*N(INDEX(art_price,MATCH(C450,art_ref,0))),""))</f>
        <v/>
      </c>
      <c r="K450" s="39" t="str">
        <f>IF(OR(C450="",NOT(ISNUMBER(E450))),"",IFERROR(ROUND(N(INDEX(art_init,MATCH(C450,art_ref,0)))+SUMIFS($E$5:E450,$C$5:C450,C450,$B$5:B450,"Entrée")-SUMIFS($E$5:E450,$C$5:C450,C450,$B$5:B450,"Sortie"),6),""))</f>
        <v/>
      </c>
      <c r="L450" s="39" t="str">
        <f>IF(COUNTA(A450:C450,E450)=0,"",IF(COUNTA(A450:C450,E450)&lt;4,"Ligne incomplète",IF(NOT(ISNUMBER(A450)),"Date invalide",IF(AND(B450&lt;&gt;"Entrée",B450&lt;&gt;"Sortie"),"Type inconnu",IF(ISNA(MATCH(C450,art_ref,0)),"Référence inconnue",IF(OR(NOT(ISNUMBER(E450)),N(E450)&lt;=0),"Quantité invalide",IF(K450&lt;0,"Stock négatif",IF(AND(ISNUMBER(A449),A450&lt;A449),"Date hors ordre","OK"))))))))</f>
        <v/>
      </c>
      <c r="M450" s="39" t="str">
        <f>IF(C450="","",C450&amp;"#"&amp;COUNTIF($C$5:C450,C450))</f>
        <v/>
      </c>
    </row>
    <row r="451">
      <c r="A451" s="41" t="n"/>
      <c r="B451" s="37" t="n"/>
      <c r="C451" s="37" t="n"/>
      <c r="D451" s="39" t="str">
        <f>IF(C451="","",IFERROR(INDEX(art_des,MATCH(C451,art_ref,0))&amp;"","Référence inconnue"))</f>
        <v/>
      </c>
      <c r="E451" s="37" t="n"/>
      <c r="F451" s="39" t="str">
        <f>IF(C451="","",IFERROR(INDEX(art_unit,MATCH(C451,art_ref,0))&amp;"",""))</f>
        <v/>
      </c>
      <c r="G451" s="37" t="n"/>
      <c r="H451" s="37" t="n"/>
      <c r="I451" s="37" t="n"/>
      <c r="J451" s="40" t="str">
        <f>IF(OR(C451="",NOT(ISNUMBER(E451))),"",IFERROR(E451*N(INDEX(art_price,MATCH(C451,art_ref,0))),""))</f>
        <v/>
      </c>
      <c r="K451" s="39" t="str">
        <f>IF(OR(C451="",NOT(ISNUMBER(E451))),"",IFERROR(ROUND(N(INDEX(art_init,MATCH(C451,art_ref,0)))+SUMIFS($E$5:E451,$C$5:C451,C451,$B$5:B451,"Entrée")-SUMIFS($E$5:E451,$C$5:C451,C451,$B$5:B451,"Sortie"),6),""))</f>
        <v/>
      </c>
      <c r="L451" s="39" t="str">
        <f>IF(COUNTA(A451:C451,E451)=0,"",IF(COUNTA(A451:C451,E451)&lt;4,"Ligne incomplète",IF(NOT(ISNUMBER(A451)),"Date invalide",IF(AND(B451&lt;&gt;"Entrée",B451&lt;&gt;"Sortie"),"Type inconnu",IF(ISNA(MATCH(C451,art_ref,0)),"Référence inconnue",IF(OR(NOT(ISNUMBER(E451)),N(E451)&lt;=0),"Quantité invalide",IF(K451&lt;0,"Stock négatif",IF(AND(ISNUMBER(A450),A451&lt;A450),"Date hors ordre","OK"))))))))</f>
        <v/>
      </c>
      <c r="M451" s="39" t="str">
        <f>IF(C451="","",C451&amp;"#"&amp;COUNTIF($C$5:C451,C451))</f>
        <v/>
      </c>
    </row>
    <row r="452">
      <c r="A452" s="41" t="n"/>
      <c r="B452" s="37" t="n"/>
      <c r="C452" s="37" t="n"/>
      <c r="D452" s="39" t="str">
        <f>IF(C452="","",IFERROR(INDEX(art_des,MATCH(C452,art_ref,0))&amp;"","Référence inconnue"))</f>
        <v/>
      </c>
      <c r="E452" s="37" t="n"/>
      <c r="F452" s="39" t="str">
        <f>IF(C452="","",IFERROR(INDEX(art_unit,MATCH(C452,art_ref,0))&amp;"",""))</f>
        <v/>
      </c>
      <c r="G452" s="37" t="n"/>
      <c r="H452" s="37" t="n"/>
      <c r="I452" s="37" t="n"/>
      <c r="J452" s="40" t="str">
        <f>IF(OR(C452="",NOT(ISNUMBER(E452))),"",IFERROR(E452*N(INDEX(art_price,MATCH(C452,art_ref,0))),""))</f>
        <v/>
      </c>
      <c r="K452" s="39" t="str">
        <f>IF(OR(C452="",NOT(ISNUMBER(E452))),"",IFERROR(ROUND(N(INDEX(art_init,MATCH(C452,art_ref,0)))+SUMIFS($E$5:E452,$C$5:C452,C452,$B$5:B452,"Entrée")-SUMIFS($E$5:E452,$C$5:C452,C452,$B$5:B452,"Sortie"),6),""))</f>
        <v/>
      </c>
      <c r="L452" s="39" t="str">
        <f>IF(COUNTA(A452:C452,E452)=0,"",IF(COUNTA(A452:C452,E452)&lt;4,"Ligne incomplète",IF(NOT(ISNUMBER(A452)),"Date invalide",IF(AND(B452&lt;&gt;"Entrée",B452&lt;&gt;"Sortie"),"Type inconnu",IF(ISNA(MATCH(C452,art_ref,0)),"Référence inconnue",IF(OR(NOT(ISNUMBER(E452)),N(E452)&lt;=0),"Quantité invalide",IF(K452&lt;0,"Stock négatif",IF(AND(ISNUMBER(A451),A452&lt;A451),"Date hors ordre","OK"))))))))</f>
        <v/>
      </c>
      <c r="M452" s="39" t="str">
        <f>IF(C452="","",C452&amp;"#"&amp;COUNTIF($C$5:C452,C452))</f>
        <v/>
      </c>
    </row>
    <row r="453">
      <c r="A453" s="41" t="n"/>
      <c r="B453" s="37" t="n"/>
      <c r="C453" s="37" t="n"/>
      <c r="D453" s="39" t="str">
        <f>IF(C453="","",IFERROR(INDEX(art_des,MATCH(C453,art_ref,0))&amp;"","Référence inconnue"))</f>
        <v/>
      </c>
      <c r="E453" s="37" t="n"/>
      <c r="F453" s="39" t="str">
        <f>IF(C453="","",IFERROR(INDEX(art_unit,MATCH(C453,art_ref,0))&amp;"",""))</f>
        <v/>
      </c>
      <c r="G453" s="37" t="n"/>
      <c r="H453" s="37" t="n"/>
      <c r="I453" s="37" t="n"/>
      <c r="J453" s="40" t="str">
        <f>IF(OR(C453="",NOT(ISNUMBER(E453))),"",IFERROR(E453*N(INDEX(art_price,MATCH(C453,art_ref,0))),""))</f>
        <v/>
      </c>
      <c r="K453" s="39" t="str">
        <f>IF(OR(C453="",NOT(ISNUMBER(E453))),"",IFERROR(ROUND(N(INDEX(art_init,MATCH(C453,art_ref,0)))+SUMIFS($E$5:E453,$C$5:C453,C453,$B$5:B453,"Entrée")-SUMIFS($E$5:E453,$C$5:C453,C453,$B$5:B453,"Sortie"),6),""))</f>
        <v/>
      </c>
      <c r="L453" s="39" t="str">
        <f>IF(COUNTA(A453:C453,E453)=0,"",IF(COUNTA(A453:C453,E453)&lt;4,"Ligne incomplète",IF(NOT(ISNUMBER(A453)),"Date invalide",IF(AND(B453&lt;&gt;"Entrée",B453&lt;&gt;"Sortie"),"Type inconnu",IF(ISNA(MATCH(C453,art_ref,0)),"Référence inconnue",IF(OR(NOT(ISNUMBER(E453)),N(E453)&lt;=0),"Quantité invalide",IF(K453&lt;0,"Stock négatif",IF(AND(ISNUMBER(A452),A453&lt;A452),"Date hors ordre","OK"))))))))</f>
        <v/>
      </c>
      <c r="M453" s="39" t="str">
        <f>IF(C453="","",C453&amp;"#"&amp;COUNTIF($C$5:C453,C453))</f>
        <v/>
      </c>
    </row>
    <row r="454">
      <c r="A454" s="41" t="n"/>
      <c r="B454" s="37" t="n"/>
      <c r="C454" s="37" t="n"/>
      <c r="D454" s="39" t="str">
        <f>IF(C454="","",IFERROR(INDEX(art_des,MATCH(C454,art_ref,0))&amp;"","Référence inconnue"))</f>
        <v/>
      </c>
      <c r="E454" s="37" t="n"/>
      <c r="F454" s="39" t="str">
        <f>IF(C454="","",IFERROR(INDEX(art_unit,MATCH(C454,art_ref,0))&amp;"",""))</f>
        <v/>
      </c>
      <c r="G454" s="37" t="n"/>
      <c r="H454" s="37" t="n"/>
      <c r="I454" s="37" t="n"/>
      <c r="J454" s="40" t="str">
        <f>IF(OR(C454="",NOT(ISNUMBER(E454))),"",IFERROR(E454*N(INDEX(art_price,MATCH(C454,art_ref,0))),""))</f>
        <v/>
      </c>
      <c r="K454" s="39" t="str">
        <f>IF(OR(C454="",NOT(ISNUMBER(E454))),"",IFERROR(ROUND(N(INDEX(art_init,MATCH(C454,art_ref,0)))+SUMIFS($E$5:E454,$C$5:C454,C454,$B$5:B454,"Entrée")-SUMIFS($E$5:E454,$C$5:C454,C454,$B$5:B454,"Sortie"),6),""))</f>
        <v/>
      </c>
      <c r="L454" s="39" t="str">
        <f>IF(COUNTA(A454:C454,E454)=0,"",IF(COUNTA(A454:C454,E454)&lt;4,"Ligne incomplète",IF(NOT(ISNUMBER(A454)),"Date invalide",IF(AND(B454&lt;&gt;"Entrée",B454&lt;&gt;"Sortie"),"Type inconnu",IF(ISNA(MATCH(C454,art_ref,0)),"Référence inconnue",IF(OR(NOT(ISNUMBER(E454)),N(E454)&lt;=0),"Quantité invalide",IF(K454&lt;0,"Stock négatif",IF(AND(ISNUMBER(A453),A454&lt;A453),"Date hors ordre","OK"))))))))</f>
        <v/>
      </c>
      <c r="M454" s="39" t="str">
        <f>IF(C454="","",C454&amp;"#"&amp;COUNTIF($C$5:C454,C454))</f>
        <v/>
      </c>
    </row>
    <row r="455">
      <c r="A455" s="41" t="n"/>
      <c r="B455" s="37" t="n"/>
      <c r="C455" s="37" t="n"/>
      <c r="D455" s="39" t="str">
        <f>IF(C455="","",IFERROR(INDEX(art_des,MATCH(C455,art_ref,0))&amp;"","Référence inconnue"))</f>
        <v/>
      </c>
      <c r="E455" s="37" t="n"/>
      <c r="F455" s="39" t="str">
        <f>IF(C455="","",IFERROR(INDEX(art_unit,MATCH(C455,art_ref,0))&amp;"",""))</f>
        <v/>
      </c>
      <c r="G455" s="37" t="n"/>
      <c r="H455" s="37" t="n"/>
      <c r="I455" s="37" t="n"/>
      <c r="J455" s="40" t="str">
        <f>IF(OR(C455="",NOT(ISNUMBER(E455))),"",IFERROR(E455*N(INDEX(art_price,MATCH(C455,art_ref,0))),""))</f>
        <v/>
      </c>
      <c r="K455" s="39" t="str">
        <f>IF(OR(C455="",NOT(ISNUMBER(E455))),"",IFERROR(ROUND(N(INDEX(art_init,MATCH(C455,art_ref,0)))+SUMIFS($E$5:E455,$C$5:C455,C455,$B$5:B455,"Entrée")-SUMIFS($E$5:E455,$C$5:C455,C455,$B$5:B455,"Sortie"),6),""))</f>
        <v/>
      </c>
      <c r="L455" s="39" t="str">
        <f>IF(COUNTA(A455:C455,E455)=0,"",IF(COUNTA(A455:C455,E455)&lt;4,"Ligne incomplète",IF(NOT(ISNUMBER(A455)),"Date invalide",IF(AND(B455&lt;&gt;"Entrée",B455&lt;&gt;"Sortie"),"Type inconnu",IF(ISNA(MATCH(C455,art_ref,0)),"Référence inconnue",IF(OR(NOT(ISNUMBER(E455)),N(E455)&lt;=0),"Quantité invalide",IF(K455&lt;0,"Stock négatif",IF(AND(ISNUMBER(A454),A455&lt;A454),"Date hors ordre","OK"))))))))</f>
        <v/>
      </c>
      <c r="M455" s="39" t="str">
        <f>IF(C455="","",C455&amp;"#"&amp;COUNTIF($C$5:C455,C455))</f>
        <v/>
      </c>
    </row>
    <row r="456">
      <c r="A456" s="41" t="n"/>
      <c r="B456" s="37" t="n"/>
      <c r="C456" s="37" t="n"/>
      <c r="D456" s="39" t="str">
        <f>IF(C456="","",IFERROR(INDEX(art_des,MATCH(C456,art_ref,0))&amp;"","Référence inconnue"))</f>
        <v/>
      </c>
      <c r="E456" s="37" t="n"/>
      <c r="F456" s="39" t="str">
        <f>IF(C456="","",IFERROR(INDEX(art_unit,MATCH(C456,art_ref,0))&amp;"",""))</f>
        <v/>
      </c>
      <c r="G456" s="37" t="n"/>
      <c r="H456" s="37" t="n"/>
      <c r="I456" s="37" t="n"/>
      <c r="J456" s="40" t="str">
        <f>IF(OR(C456="",NOT(ISNUMBER(E456))),"",IFERROR(E456*N(INDEX(art_price,MATCH(C456,art_ref,0))),""))</f>
        <v/>
      </c>
      <c r="K456" s="39" t="str">
        <f>IF(OR(C456="",NOT(ISNUMBER(E456))),"",IFERROR(ROUND(N(INDEX(art_init,MATCH(C456,art_ref,0)))+SUMIFS($E$5:E456,$C$5:C456,C456,$B$5:B456,"Entrée")-SUMIFS($E$5:E456,$C$5:C456,C456,$B$5:B456,"Sortie"),6),""))</f>
        <v/>
      </c>
      <c r="L456" s="39" t="str">
        <f>IF(COUNTA(A456:C456,E456)=0,"",IF(COUNTA(A456:C456,E456)&lt;4,"Ligne incomplète",IF(NOT(ISNUMBER(A456)),"Date invalide",IF(AND(B456&lt;&gt;"Entrée",B456&lt;&gt;"Sortie"),"Type inconnu",IF(ISNA(MATCH(C456,art_ref,0)),"Référence inconnue",IF(OR(NOT(ISNUMBER(E456)),N(E456)&lt;=0),"Quantité invalide",IF(K456&lt;0,"Stock négatif",IF(AND(ISNUMBER(A455),A456&lt;A455),"Date hors ordre","OK"))))))))</f>
        <v/>
      </c>
      <c r="M456" s="39" t="str">
        <f>IF(C456="","",C456&amp;"#"&amp;COUNTIF($C$5:C456,C456))</f>
        <v/>
      </c>
    </row>
    <row r="457">
      <c r="A457" s="41" t="n"/>
      <c r="B457" s="37" t="n"/>
      <c r="C457" s="37" t="n"/>
      <c r="D457" s="39" t="str">
        <f>IF(C457="","",IFERROR(INDEX(art_des,MATCH(C457,art_ref,0))&amp;"","Référence inconnue"))</f>
        <v/>
      </c>
      <c r="E457" s="37" t="n"/>
      <c r="F457" s="39" t="str">
        <f>IF(C457="","",IFERROR(INDEX(art_unit,MATCH(C457,art_ref,0))&amp;"",""))</f>
        <v/>
      </c>
      <c r="G457" s="37" t="n"/>
      <c r="H457" s="37" t="n"/>
      <c r="I457" s="37" t="n"/>
      <c r="J457" s="40" t="str">
        <f>IF(OR(C457="",NOT(ISNUMBER(E457))),"",IFERROR(E457*N(INDEX(art_price,MATCH(C457,art_ref,0))),""))</f>
        <v/>
      </c>
      <c r="K457" s="39" t="str">
        <f>IF(OR(C457="",NOT(ISNUMBER(E457))),"",IFERROR(ROUND(N(INDEX(art_init,MATCH(C457,art_ref,0)))+SUMIFS($E$5:E457,$C$5:C457,C457,$B$5:B457,"Entrée")-SUMIFS($E$5:E457,$C$5:C457,C457,$B$5:B457,"Sortie"),6),""))</f>
        <v/>
      </c>
      <c r="L457" s="39" t="str">
        <f>IF(COUNTA(A457:C457,E457)=0,"",IF(COUNTA(A457:C457,E457)&lt;4,"Ligne incomplète",IF(NOT(ISNUMBER(A457)),"Date invalide",IF(AND(B457&lt;&gt;"Entrée",B457&lt;&gt;"Sortie"),"Type inconnu",IF(ISNA(MATCH(C457,art_ref,0)),"Référence inconnue",IF(OR(NOT(ISNUMBER(E457)),N(E457)&lt;=0),"Quantité invalide",IF(K457&lt;0,"Stock négatif",IF(AND(ISNUMBER(A456),A457&lt;A456),"Date hors ordre","OK"))))))))</f>
        <v/>
      </c>
      <c r="M457" s="39" t="str">
        <f>IF(C457="","",C457&amp;"#"&amp;COUNTIF($C$5:C457,C457))</f>
        <v/>
      </c>
    </row>
    <row r="458">
      <c r="A458" s="41" t="n"/>
      <c r="B458" s="37" t="n"/>
      <c r="C458" s="37" t="n"/>
      <c r="D458" s="39" t="str">
        <f>IF(C458="","",IFERROR(INDEX(art_des,MATCH(C458,art_ref,0))&amp;"","Référence inconnue"))</f>
        <v/>
      </c>
      <c r="E458" s="37" t="n"/>
      <c r="F458" s="39" t="str">
        <f>IF(C458="","",IFERROR(INDEX(art_unit,MATCH(C458,art_ref,0))&amp;"",""))</f>
        <v/>
      </c>
      <c r="G458" s="37" t="n"/>
      <c r="H458" s="37" t="n"/>
      <c r="I458" s="37" t="n"/>
      <c r="J458" s="40" t="str">
        <f>IF(OR(C458="",NOT(ISNUMBER(E458))),"",IFERROR(E458*N(INDEX(art_price,MATCH(C458,art_ref,0))),""))</f>
        <v/>
      </c>
      <c r="K458" s="39" t="str">
        <f>IF(OR(C458="",NOT(ISNUMBER(E458))),"",IFERROR(ROUND(N(INDEX(art_init,MATCH(C458,art_ref,0)))+SUMIFS($E$5:E458,$C$5:C458,C458,$B$5:B458,"Entrée")-SUMIFS($E$5:E458,$C$5:C458,C458,$B$5:B458,"Sortie"),6),""))</f>
        <v/>
      </c>
      <c r="L458" s="39" t="str">
        <f>IF(COUNTA(A458:C458,E458)=0,"",IF(COUNTA(A458:C458,E458)&lt;4,"Ligne incomplète",IF(NOT(ISNUMBER(A458)),"Date invalide",IF(AND(B458&lt;&gt;"Entrée",B458&lt;&gt;"Sortie"),"Type inconnu",IF(ISNA(MATCH(C458,art_ref,0)),"Référence inconnue",IF(OR(NOT(ISNUMBER(E458)),N(E458)&lt;=0),"Quantité invalide",IF(K458&lt;0,"Stock négatif",IF(AND(ISNUMBER(A457),A458&lt;A457),"Date hors ordre","OK"))))))))</f>
        <v/>
      </c>
      <c r="M458" s="39" t="str">
        <f>IF(C458="","",C458&amp;"#"&amp;COUNTIF($C$5:C458,C458))</f>
        <v/>
      </c>
    </row>
    <row r="459">
      <c r="A459" s="41" t="n"/>
      <c r="B459" s="37" t="n"/>
      <c r="C459" s="37" t="n"/>
      <c r="D459" s="39" t="str">
        <f>IF(C459="","",IFERROR(INDEX(art_des,MATCH(C459,art_ref,0))&amp;"","Référence inconnue"))</f>
        <v/>
      </c>
      <c r="E459" s="37" t="n"/>
      <c r="F459" s="39" t="str">
        <f>IF(C459="","",IFERROR(INDEX(art_unit,MATCH(C459,art_ref,0))&amp;"",""))</f>
        <v/>
      </c>
      <c r="G459" s="37" t="n"/>
      <c r="H459" s="37" t="n"/>
      <c r="I459" s="37" t="n"/>
      <c r="J459" s="40" t="str">
        <f>IF(OR(C459="",NOT(ISNUMBER(E459))),"",IFERROR(E459*N(INDEX(art_price,MATCH(C459,art_ref,0))),""))</f>
        <v/>
      </c>
      <c r="K459" s="39" t="str">
        <f>IF(OR(C459="",NOT(ISNUMBER(E459))),"",IFERROR(ROUND(N(INDEX(art_init,MATCH(C459,art_ref,0)))+SUMIFS($E$5:E459,$C$5:C459,C459,$B$5:B459,"Entrée")-SUMIFS($E$5:E459,$C$5:C459,C459,$B$5:B459,"Sortie"),6),""))</f>
        <v/>
      </c>
      <c r="L459" s="39" t="str">
        <f>IF(COUNTA(A459:C459,E459)=0,"",IF(COUNTA(A459:C459,E459)&lt;4,"Ligne incomplète",IF(NOT(ISNUMBER(A459)),"Date invalide",IF(AND(B459&lt;&gt;"Entrée",B459&lt;&gt;"Sortie"),"Type inconnu",IF(ISNA(MATCH(C459,art_ref,0)),"Référence inconnue",IF(OR(NOT(ISNUMBER(E459)),N(E459)&lt;=0),"Quantité invalide",IF(K459&lt;0,"Stock négatif",IF(AND(ISNUMBER(A458),A459&lt;A458),"Date hors ordre","OK"))))))))</f>
        <v/>
      </c>
      <c r="M459" s="39" t="str">
        <f>IF(C459="","",C459&amp;"#"&amp;COUNTIF($C$5:C459,C459))</f>
        <v/>
      </c>
    </row>
    <row r="460">
      <c r="A460" s="41" t="n"/>
      <c r="B460" s="37" t="n"/>
      <c r="C460" s="37" t="n"/>
      <c r="D460" s="39" t="str">
        <f>IF(C460="","",IFERROR(INDEX(art_des,MATCH(C460,art_ref,0))&amp;"","Référence inconnue"))</f>
        <v/>
      </c>
      <c r="E460" s="37" t="n"/>
      <c r="F460" s="39" t="str">
        <f>IF(C460="","",IFERROR(INDEX(art_unit,MATCH(C460,art_ref,0))&amp;"",""))</f>
        <v/>
      </c>
      <c r="G460" s="37" t="n"/>
      <c r="H460" s="37" t="n"/>
      <c r="I460" s="37" t="n"/>
      <c r="J460" s="40" t="str">
        <f>IF(OR(C460="",NOT(ISNUMBER(E460))),"",IFERROR(E460*N(INDEX(art_price,MATCH(C460,art_ref,0))),""))</f>
        <v/>
      </c>
      <c r="K460" s="39" t="str">
        <f>IF(OR(C460="",NOT(ISNUMBER(E460))),"",IFERROR(ROUND(N(INDEX(art_init,MATCH(C460,art_ref,0)))+SUMIFS($E$5:E460,$C$5:C460,C460,$B$5:B460,"Entrée")-SUMIFS($E$5:E460,$C$5:C460,C460,$B$5:B460,"Sortie"),6),""))</f>
        <v/>
      </c>
      <c r="L460" s="39" t="str">
        <f>IF(COUNTA(A460:C460,E460)=0,"",IF(COUNTA(A460:C460,E460)&lt;4,"Ligne incomplète",IF(NOT(ISNUMBER(A460)),"Date invalide",IF(AND(B460&lt;&gt;"Entrée",B460&lt;&gt;"Sortie"),"Type inconnu",IF(ISNA(MATCH(C460,art_ref,0)),"Référence inconnue",IF(OR(NOT(ISNUMBER(E460)),N(E460)&lt;=0),"Quantité invalide",IF(K460&lt;0,"Stock négatif",IF(AND(ISNUMBER(A459),A460&lt;A459),"Date hors ordre","OK"))))))))</f>
        <v/>
      </c>
      <c r="M460" s="39" t="str">
        <f>IF(C460="","",C460&amp;"#"&amp;COUNTIF($C$5:C460,C460))</f>
        <v/>
      </c>
    </row>
    <row r="461">
      <c r="A461" s="41" t="n"/>
      <c r="B461" s="37" t="n"/>
      <c r="C461" s="37" t="n"/>
      <c r="D461" s="39" t="str">
        <f>IF(C461="","",IFERROR(INDEX(art_des,MATCH(C461,art_ref,0))&amp;"","Référence inconnue"))</f>
        <v/>
      </c>
      <c r="E461" s="37" t="n"/>
      <c r="F461" s="39" t="str">
        <f>IF(C461="","",IFERROR(INDEX(art_unit,MATCH(C461,art_ref,0))&amp;"",""))</f>
        <v/>
      </c>
      <c r="G461" s="37" t="n"/>
      <c r="H461" s="37" t="n"/>
      <c r="I461" s="37" t="n"/>
      <c r="J461" s="40" t="str">
        <f>IF(OR(C461="",NOT(ISNUMBER(E461))),"",IFERROR(E461*N(INDEX(art_price,MATCH(C461,art_ref,0))),""))</f>
        <v/>
      </c>
      <c r="K461" s="39" t="str">
        <f>IF(OR(C461="",NOT(ISNUMBER(E461))),"",IFERROR(ROUND(N(INDEX(art_init,MATCH(C461,art_ref,0)))+SUMIFS($E$5:E461,$C$5:C461,C461,$B$5:B461,"Entrée")-SUMIFS($E$5:E461,$C$5:C461,C461,$B$5:B461,"Sortie"),6),""))</f>
        <v/>
      </c>
      <c r="L461" s="39" t="str">
        <f>IF(COUNTA(A461:C461,E461)=0,"",IF(COUNTA(A461:C461,E461)&lt;4,"Ligne incomplète",IF(NOT(ISNUMBER(A461)),"Date invalide",IF(AND(B461&lt;&gt;"Entrée",B461&lt;&gt;"Sortie"),"Type inconnu",IF(ISNA(MATCH(C461,art_ref,0)),"Référence inconnue",IF(OR(NOT(ISNUMBER(E461)),N(E461)&lt;=0),"Quantité invalide",IF(K461&lt;0,"Stock négatif",IF(AND(ISNUMBER(A460),A461&lt;A460),"Date hors ordre","OK"))))))))</f>
        <v/>
      </c>
      <c r="M461" s="39" t="str">
        <f>IF(C461="","",C461&amp;"#"&amp;COUNTIF($C$5:C461,C461))</f>
        <v/>
      </c>
    </row>
    <row r="462">
      <c r="A462" s="41" t="n"/>
      <c r="B462" s="37" t="n"/>
      <c r="C462" s="37" t="n"/>
      <c r="D462" s="39" t="str">
        <f>IF(C462="","",IFERROR(INDEX(art_des,MATCH(C462,art_ref,0))&amp;"","Référence inconnue"))</f>
        <v/>
      </c>
      <c r="E462" s="37" t="n"/>
      <c r="F462" s="39" t="str">
        <f>IF(C462="","",IFERROR(INDEX(art_unit,MATCH(C462,art_ref,0))&amp;"",""))</f>
        <v/>
      </c>
      <c r="G462" s="37" t="n"/>
      <c r="H462" s="37" t="n"/>
      <c r="I462" s="37" t="n"/>
      <c r="J462" s="40" t="str">
        <f>IF(OR(C462="",NOT(ISNUMBER(E462))),"",IFERROR(E462*N(INDEX(art_price,MATCH(C462,art_ref,0))),""))</f>
        <v/>
      </c>
      <c r="K462" s="39" t="str">
        <f>IF(OR(C462="",NOT(ISNUMBER(E462))),"",IFERROR(ROUND(N(INDEX(art_init,MATCH(C462,art_ref,0)))+SUMIFS($E$5:E462,$C$5:C462,C462,$B$5:B462,"Entrée")-SUMIFS($E$5:E462,$C$5:C462,C462,$B$5:B462,"Sortie"),6),""))</f>
        <v/>
      </c>
      <c r="L462" s="39" t="str">
        <f>IF(COUNTA(A462:C462,E462)=0,"",IF(COUNTA(A462:C462,E462)&lt;4,"Ligne incomplète",IF(NOT(ISNUMBER(A462)),"Date invalide",IF(AND(B462&lt;&gt;"Entrée",B462&lt;&gt;"Sortie"),"Type inconnu",IF(ISNA(MATCH(C462,art_ref,0)),"Référence inconnue",IF(OR(NOT(ISNUMBER(E462)),N(E462)&lt;=0),"Quantité invalide",IF(K462&lt;0,"Stock négatif",IF(AND(ISNUMBER(A461),A462&lt;A461),"Date hors ordre","OK"))))))))</f>
        <v/>
      </c>
      <c r="M462" s="39" t="str">
        <f>IF(C462="","",C462&amp;"#"&amp;COUNTIF($C$5:C462,C462))</f>
        <v/>
      </c>
    </row>
    <row r="463">
      <c r="A463" s="41" t="n"/>
      <c r="B463" s="37" t="n"/>
      <c r="C463" s="37" t="n"/>
      <c r="D463" s="39" t="str">
        <f>IF(C463="","",IFERROR(INDEX(art_des,MATCH(C463,art_ref,0))&amp;"","Référence inconnue"))</f>
        <v/>
      </c>
      <c r="E463" s="37" t="n"/>
      <c r="F463" s="39" t="str">
        <f>IF(C463="","",IFERROR(INDEX(art_unit,MATCH(C463,art_ref,0))&amp;"",""))</f>
        <v/>
      </c>
      <c r="G463" s="37" t="n"/>
      <c r="H463" s="37" t="n"/>
      <c r="I463" s="37" t="n"/>
      <c r="J463" s="40" t="str">
        <f>IF(OR(C463="",NOT(ISNUMBER(E463))),"",IFERROR(E463*N(INDEX(art_price,MATCH(C463,art_ref,0))),""))</f>
        <v/>
      </c>
      <c r="K463" s="39" t="str">
        <f>IF(OR(C463="",NOT(ISNUMBER(E463))),"",IFERROR(ROUND(N(INDEX(art_init,MATCH(C463,art_ref,0)))+SUMIFS($E$5:E463,$C$5:C463,C463,$B$5:B463,"Entrée")-SUMIFS($E$5:E463,$C$5:C463,C463,$B$5:B463,"Sortie"),6),""))</f>
        <v/>
      </c>
      <c r="L463" s="39" t="str">
        <f>IF(COUNTA(A463:C463,E463)=0,"",IF(COUNTA(A463:C463,E463)&lt;4,"Ligne incomplète",IF(NOT(ISNUMBER(A463)),"Date invalide",IF(AND(B463&lt;&gt;"Entrée",B463&lt;&gt;"Sortie"),"Type inconnu",IF(ISNA(MATCH(C463,art_ref,0)),"Référence inconnue",IF(OR(NOT(ISNUMBER(E463)),N(E463)&lt;=0),"Quantité invalide",IF(K463&lt;0,"Stock négatif",IF(AND(ISNUMBER(A462),A463&lt;A462),"Date hors ordre","OK"))))))))</f>
        <v/>
      </c>
      <c r="M463" s="39" t="str">
        <f>IF(C463="","",C463&amp;"#"&amp;COUNTIF($C$5:C463,C463))</f>
        <v/>
      </c>
    </row>
    <row r="464">
      <c r="A464" s="41" t="n"/>
      <c r="B464" s="37" t="n"/>
      <c r="C464" s="37" t="n"/>
      <c r="D464" s="39" t="str">
        <f>IF(C464="","",IFERROR(INDEX(art_des,MATCH(C464,art_ref,0))&amp;"","Référence inconnue"))</f>
        <v/>
      </c>
      <c r="E464" s="37" t="n"/>
      <c r="F464" s="39" t="str">
        <f>IF(C464="","",IFERROR(INDEX(art_unit,MATCH(C464,art_ref,0))&amp;"",""))</f>
        <v/>
      </c>
      <c r="G464" s="37" t="n"/>
      <c r="H464" s="37" t="n"/>
      <c r="I464" s="37" t="n"/>
      <c r="J464" s="40" t="str">
        <f>IF(OR(C464="",NOT(ISNUMBER(E464))),"",IFERROR(E464*N(INDEX(art_price,MATCH(C464,art_ref,0))),""))</f>
        <v/>
      </c>
      <c r="K464" s="39" t="str">
        <f>IF(OR(C464="",NOT(ISNUMBER(E464))),"",IFERROR(ROUND(N(INDEX(art_init,MATCH(C464,art_ref,0)))+SUMIFS($E$5:E464,$C$5:C464,C464,$B$5:B464,"Entrée")-SUMIFS($E$5:E464,$C$5:C464,C464,$B$5:B464,"Sortie"),6),""))</f>
        <v/>
      </c>
      <c r="L464" s="39" t="str">
        <f>IF(COUNTA(A464:C464,E464)=0,"",IF(COUNTA(A464:C464,E464)&lt;4,"Ligne incomplète",IF(NOT(ISNUMBER(A464)),"Date invalide",IF(AND(B464&lt;&gt;"Entrée",B464&lt;&gt;"Sortie"),"Type inconnu",IF(ISNA(MATCH(C464,art_ref,0)),"Référence inconnue",IF(OR(NOT(ISNUMBER(E464)),N(E464)&lt;=0),"Quantité invalide",IF(K464&lt;0,"Stock négatif",IF(AND(ISNUMBER(A463),A464&lt;A463),"Date hors ordre","OK"))))))))</f>
        <v/>
      </c>
      <c r="M464" s="39" t="str">
        <f>IF(C464="","",C464&amp;"#"&amp;COUNTIF($C$5:C464,C464))</f>
        <v/>
      </c>
    </row>
    <row r="465">
      <c r="A465" s="41" t="n"/>
      <c r="B465" s="37" t="n"/>
      <c r="C465" s="37" t="n"/>
      <c r="D465" s="39" t="str">
        <f>IF(C465="","",IFERROR(INDEX(art_des,MATCH(C465,art_ref,0))&amp;"","Référence inconnue"))</f>
        <v/>
      </c>
      <c r="E465" s="37" t="n"/>
      <c r="F465" s="39" t="str">
        <f>IF(C465="","",IFERROR(INDEX(art_unit,MATCH(C465,art_ref,0))&amp;"",""))</f>
        <v/>
      </c>
      <c r="G465" s="37" t="n"/>
      <c r="H465" s="37" t="n"/>
      <c r="I465" s="37" t="n"/>
      <c r="J465" s="40" t="str">
        <f>IF(OR(C465="",NOT(ISNUMBER(E465))),"",IFERROR(E465*N(INDEX(art_price,MATCH(C465,art_ref,0))),""))</f>
        <v/>
      </c>
      <c r="K465" s="39" t="str">
        <f>IF(OR(C465="",NOT(ISNUMBER(E465))),"",IFERROR(ROUND(N(INDEX(art_init,MATCH(C465,art_ref,0)))+SUMIFS($E$5:E465,$C$5:C465,C465,$B$5:B465,"Entrée")-SUMIFS($E$5:E465,$C$5:C465,C465,$B$5:B465,"Sortie"),6),""))</f>
        <v/>
      </c>
      <c r="L465" s="39" t="str">
        <f>IF(COUNTA(A465:C465,E465)=0,"",IF(COUNTA(A465:C465,E465)&lt;4,"Ligne incomplète",IF(NOT(ISNUMBER(A465)),"Date invalide",IF(AND(B465&lt;&gt;"Entrée",B465&lt;&gt;"Sortie"),"Type inconnu",IF(ISNA(MATCH(C465,art_ref,0)),"Référence inconnue",IF(OR(NOT(ISNUMBER(E465)),N(E465)&lt;=0),"Quantité invalide",IF(K465&lt;0,"Stock négatif",IF(AND(ISNUMBER(A464),A465&lt;A464),"Date hors ordre","OK"))))))))</f>
        <v/>
      </c>
      <c r="M465" s="39" t="str">
        <f>IF(C465="","",C465&amp;"#"&amp;COUNTIF($C$5:C465,C465))</f>
        <v/>
      </c>
    </row>
    <row r="466">
      <c r="A466" s="41" t="n"/>
      <c r="B466" s="37" t="n"/>
      <c r="C466" s="37" t="n"/>
      <c r="D466" s="39" t="str">
        <f>IF(C466="","",IFERROR(INDEX(art_des,MATCH(C466,art_ref,0))&amp;"","Référence inconnue"))</f>
        <v/>
      </c>
      <c r="E466" s="37" t="n"/>
      <c r="F466" s="39" t="str">
        <f>IF(C466="","",IFERROR(INDEX(art_unit,MATCH(C466,art_ref,0))&amp;"",""))</f>
        <v/>
      </c>
      <c r="G466" s="37" t="n"/>
      <c r="H466" s="37" t="n"/>
      <c r="I466" s="37" t="n"/>
      <c r="J466" s="40" t="str">
        <f>IF(OR(C466="",NOT(ISNUMBER(E466))),"",IFERROR(E466*N(INDEX(art_price,MATCH(C466,art_ref,0))),""))</f>
        <v/>
      </c>
      <c r="K466" s="39" t="str">
        <f>IF(OR(C466="",NOT(ISNUMBER(E466))),"",IFERROR(ROUND(N(INDEX(art_init,MATCH(C466,art_ref,0)))+SUMIFS($E$5:E466,$C$5:C466,C466,$B$5:B466,"Entrée")-SUMIFS($E$5:E466,$C$5:C466,C466,$B$5:B466,"Sortie"),6),""))</f>
        <v/>
      </c>
      <c r="L466" s="39" t="str">
        <f>IF(COUNTA(A466:C466,E466)=0,"",IF(COUNTA(A466:C466,E466)&lt;4,"Ligne incomplète",IF(NOT(ISNUMBER(A466)),"Date invalide",IF(AND(B466&lt;&gt;"Entrée",B466&lt;&gt;"Sortie"),"Type inconnu",IF(ISNA(MATCH(C466,art_ref,0)),"Référence inconnue",IF(OR(NOT(ISNUMBER(E466)),N(E466)&lt;=0),"Quantité invalide",IF(K466&lt;0,"Stock négatif",IF(AND(ISNUMBER(A465),A466&lt;A465),"Date hors ordre","OK"))))))))</f>
        <v/>
      </c>
      <c r="M466" s="39" t="str">
        <f>IF(C466="","",C466&amp;"#"&amp;COUNTIF($C$5:C466,C466))</f>
        <v/>
      </c>
    </row>
    <row r="467">
      <c r="A467" s="41" t="n"/>
      <c r="B467" s="37" t="n"/>
      <c r="C467" s="37" t="n"/>
      <c r="D467" s="39" t="str">
        <f>IF(C467="","",IFERROR(INDEX(art_des,MATCH(C467,art_ref,0))&amp;"","Référence inconnue"))</f>
        <v/>
      </c>
      <c r="E467" s="37" t="n"/>
      <c r="F467" s="39" t="str">
        <f>IF(C467="","",IFERROR(INDEX(art_unit,MATCH(C467,art_ref,0))&amp;"",""))</f>
        <v/>
      </c>
      <c r="G467" s="37" t="n"/>
      <c r="H467" s="37" t="n"/>
      <c r="I467" s="37" t="n"/>
      <c r="J467" s="40" t="str">
        <f>IF(OR(C467="",NOT(ISNUMBER(E467))),"",IFERROR(E467*N(INDEX(art_price,MATCH(C467,art_ref,0))),""))</f>
        <v/>
      </c>
      <c r="K467" s="39" t="str">
        <f>IF(OR(C467="",NOT(ISNUMBER(E467))),"",IFERROR(ROUND(N(INDEX(art_init,MATCH(C467,art_ref,0)))+SUMIFS($E$5:E467,$C$5:C467,C467,$B$5:B467,"Entrée")-SUMIFS($E$5:E467,$C$5:C467,C467,$B$5:B467,"Sortie"),6),""))</f>
        <v/>
      </c>
      <c r="L467" s="39" t="str">
        <f>IF(COUNTA(A467:C467,E467)=0,"",IF(COUNTA(A467:C467,E467)&lt;4,"Ligne incomplète",IF(NOT(ISNUMBER(A467)),"Date invalide",IF(AND(B467&lt;&gt;"Entrée",B467&lt;&gt;"Sortie"),"Type inconnu",IF(ISNA(MATCH(C467,art_ref,0)),"Référence inconnue",IF(OR(NOT(ISNUMBER(E467)),N(E467)&lt;=0),"Quantité invalide",IF(K467&lt;0,"Stock négatif",IF(AND(ISNUMBER(A466),A467&lt;A466),"Date hors ordre","OK"))))))))</f>
        <v/>
      </c>
      <c r="M467" s="39" t="str">
        <f>IF(C467="","",C467&amp;"#"&amp;COUNTIF($C$5:C467,C467))</f>
        <v/>
      </c>
    </row>
    <row r="468">
      <c r="A468" s="41" t="n"/>
      <c r="B468" s="37" t="n"/>
      <c r="C468" s="37" t="n"/>
      <c r="D468" s="39" t="str">
        <f>IF(C468="","",IFERROR(INDEX(art_des,MATCH(C468,art_ref,0))&amp;"","Référence inconnue"))</f>
        <v/>
      </c>
      <c r="E468" s="37" t="n"/>
      <c r="F468" s="39" t="str">
        <f>IF(C468="","",IFERROR(INDEX(art_unit,MATCH(C468,art_ref,0))&amp;"",""))</f>
        <v/>
      </c>
      <c r="G468" s="37" t="n"/>
      <c r="H468" s="37" t="n"/>
      <c r="I468" s="37" t="n"/>
      <c r="J468" s="40" t="str">
        <f>IF(OR(C468="",NOT(ISNUMBER(E468))),"",IFERROR(E468*N(INDEX(art_price,MATCH(C468,art_ref,0))),""))</f>
        <v/>
      </c>
      <c r="K468" s="39" t="str">
        <f>IF(OR(C468="",NOT(ISNUMBER(E468))),"",IFERROR(ROUND(N(INDEX(art_init,MATCH(C468,art_ref,0)))+SUMIFS($E$5:E468,$C$5:C468,C468,$B$5:B468,"Entrée")-SUMIFS($E$5:E468,$C$5:C468,C468,$B$5:B468,"Sortie"),6),""))</f>
        <v/>
      </c>
      <c r="L468" s="39" t="str">
        <f>IF(COUNTA(A468:C468,E468)=0,"",IF(COUNTA(A468:C468,E468)&lt;4,"Ligne incomplète",IF(NOT(ISNUMBER(A468)),"Date invalide",IF(AND(B468&lt;&gt;"Entrée",B468&lt;&gt;"Sortie"),"Type inconnu",IF(ISNA(MATCH(C468,art_ref,0)),"Référence inconnue",IF(OR(NOT(ISNUMBER(E468)),N(E468)&lt;=0),"Quantité invalide",IF(K468&lt;0,"Stock négatif",IF(AND(ISNUMBER(A467),A468&lt;A467),"Date hors ordre","OK"))))))))</f>
        <v/>
      </c>
      <c r="M468" s="39" t="str">
        <f>IF(C468="","",C468&amp;"#"&amp;COUNTIF($C$5:C468,C468))</f>
        <v/>
      </c>
    </row>
    <row r="469">
      <c r="A469" s="41" t="n"/>
      <c r="B469" s="37" t="n"/>
      <c r="C469" s="37" t="n"/>
      <c r="D469" s="39" t="str">
        <f>IF(C469="","",IFERROR(INDEX(art_des,MATCH(C469,art_ref,0))&amp;"","Référence inconnue"))</f>
        <v/>
      </c>
      <c r="E469" s="37" t="n"/>
      <c r="F469" s="39" t="str">
        <f>IF(C469="","",IFERROR(INDEX(art_unit,MATCH(C469,art_ref,0))&amp;"",""))</f>
        <v/>
      </c>
      <c r="G469" s="37" t="n"/>
      <c r="H469" s="37" t="n"/>
      <c r="I469" s="37" t="n"/>
      <c r="J469" s="40" t="str">
        <f>IF(OR(C469="",NOT(ISNUMBER(E469))),"",IFERROR(E469*N(INDEX(art_price,MATCH(C469,art_ref,0))),""))</f>
        <v/>
      </c>
      <c r="K469" s="39" t="str">
        <f>IF(OR(C469="",NOT(ISNUMBER(E469))),"",IFERROR(ROUND(N(INDEX(art_init,MATCH(C469,art_ref,0)))+SUMIFS($E$5:E469,$C$5:C469,C469,$B$5:B469,"Entrée")-SUMIFS($E$5:E469,$C$5:C469,C469,$B$5:B469,"Sortie"),6),""))</f>
        <v/>
      </c>
      <c r="L469" s="39" t="str">
        <f>IF(COUNTA(A469:C469,E469)=0,"",IF(COUNTA(A469:C469,E469)&lt;4,"Ligne incomplète",IF(NOT(ISNUMBER(A469)),"Date invalide",IF(AND(B469&lt;&gt;"Entrée",B469&lt;&gt;"Sortie"),"Type inconnu",IF(ISNA(MATCH(C469,art_ref,0)),"Référence inconnue",IF(OR(NOT(ISNUMBER(E469)),N(E469)&lt;=0),"Quantité invalide",IF(K469&lt;0,"Stock négatif",IF(AND(ISNUMBER(A468),A469&lt;A468),"Date hors ordre","OK"))))))))</f>
        <v/>
      </c>
      <c r="M469" s="39" t="str">
        <f>IF(C469="","",C469&amp;"#"&amp;COUNTIF($C$5:C469,C469))</f>
        <v/>
      </c>
    </row>
    <row r="470">
      <c r="A470" s="41" t="n"/>
      <c r="B470" s="37" t="n"/>
      <c r="C470" s="37" t="n"/>
      <c r="D470" s="39" t="str">
        <f>IF(C470="","",IFERROR(INDEX(art_des,MATCH(C470,art_ref,0))&amp;"","Référence inconnue"))</f>
        <v/>
      </c>
      <c r="E470" s="37" t="n"/>
      <c r="F470" s="39" t="str">
        <f>IF(C470="","",IFERROR(INDEX(art_unit,MATCH(C470,art_ref,0))&amp;"",""))</f>
        <v/>
      </c>
      <c r="G470" s="37" t="n"/>
      <c r="H470" s="37" t="n"/>
      <c r="I470" s="37" t="n"/>
      <c r="J470" s="40" t="str">
        <f>IF(OR(C470="",NOT(ISNUMBER(E470))),"",IFERROR(E470*N(INDEX(art_price,MATCH(C470,art_ref,0))),""))</f>
        <v/>
      </c>
      <c r="K470" s="39" t="str">
        <f>IF(OR(C470="",NOT(ISNUMBER(E470))),"",IFERROR(ROUND(N(INDEX(art_init,MATCH(C470,art_ref,0)))+SUMIFS($E$5:E470,$C$5:C470,C470,$B$5:B470,"Entrée")-SUMIFS($E$5:E470,$C$5:C470,C470,$B$5:B470,"Sortie"),6),""))</f>
        <v/>
      </c>
      <c r="L470" s="39" t="str">
        <f>IF(COUNTA(A470:C470,E470)=0,"",IF(COUNTA(A470:C470,E470)&lt;4,"Ligne incomplète",IF(NOT(ISNUMBER(A470)),"Date invalide",IF(AND(B470&lt;&gt;"Entrée",B470&lt;&gt;"Sortie"),"Type inconnu",IF(ISNA(MATCH(C470,art_ref,0)),"Référence inconnue",IF(OR(NOT(ISNUMBER(E470)),N(E470)&lt;=0),"Quantité invalide",IF(K470&lt;0,"Stock négatif",IF(AND(ISNUMBER(A469),A470&lt;A469),"Date hors ordre","OK"))))))))</f>
        <v/>
      </c>
      <c r="M470" s="39" t="str">
        <f>IF(C470="","",C470&amp;"#"&amp;COUNTIF($C$5:C470,C470))</f>
        <v/>
      </c>
    </row>
    <row r="471">
      <c r="A471" s="41" t="n"/>
      <c r="B471" s="37" t="n"/>
      <c r="C471" s="37" t="n"/>
      <c r="D471" s="39" t="str">
        <f>IF(C471="","",IFERROR(INDEX(art_des,MATCH(C471,art_ref,0))&amp;"","Référence inconnue"))</f>
        <v/>
      </c>
      <c r="E471" s="37" t="n"/>
      <c r="F471" s="39" t="str">
        <f>IF(C471="","",IFERROR(INDEX(art_unit,MATCH(C471,art_ref,0))&amp;"",""))</f>
        <v/>
      </c>
      <c r="G471" s="37" t="n"/>
      <c r="H471" s="37" t="n"/>
      <c r="I471" s="37" t="n"/>
      <c r="J471" s="40" t="str">
        <f>IF(OR(C471="",NOT(ISNUMBER(E471))),"",IFERROR(E471*N(INDEX(art_price,MATCH(C471,art_ref,0))),""))</f>
        <v/>
      </c>
      <c r="K471" s="39" t="str">
        <f>IF(OR(C471="",NOT(ISNUMBER(E471))),"",IFERROR(ROUND(N(INDEX(art_init,MATCH(C471,art_ref,0)))+SUMIFS($E$5:E471,$C$5:C471,C471,$B$5:B471,"Entrée")-SUMIFS($E$5:E471,$C$5:C471,C471,$B$5:B471,"Sortie"),6),""))</f>
        <v/>
      </c>
      <c r="L471" s="39" t="str">
        <f>IF(COUNTA(A471:C471,E471)=0,"",IF(COUNTA(A471:C471,E471)&lt;4,"Ligne incomplète",IF(NOT(ISNUMBER(A471)),"Date invalide",IF(AND(B471&lt;&gt;"Entrée",B471&lt;&gt;"Sortie"),"Type inconnu",IF(ISNA(MATCH(C471,art_ref,0)),"Référence inconnue",IF(OR(NOT(ISNUMBER(E471)),N(E471)&lt;=0),"Quantité invalide",IF(K471&lt;0,"Stock négatif",IF(AND(ISNUMBER(A470),A471&lt;A470),"Date hors ordre","OK"))))))))</f>
        <v/>
      </c>
      <c r="M471" s="39" t="str">
        <f>IF(C471="","",C471&amp;"#"&amp;COUNTIF($C$5:C471,C471))</f>
        <v/>
      </c>
    </row>
    <row r="472">
      <c r="A472" s="41" t="n"/>
      <c r="B472" s="37" t="n"/>
      <c r="C472" s="37" t="n"/>
      <c r="D472" s="39" t="str">
        <f>IF(C472="","",IFERROR(INDEX(art_des,MATCH(C472,art_ref,0))&amp;"","Référence inconnue"))</f>
        <v/>
      </c>
      <c r="E472" s="37" t="n"/>
      <c r="F472" s="39" t="str">
        <f>IF(C472="","",IFERROR(INDEX(art_unit,MATCH(C472,art_ref,0))&amp;"",""))</f>
        <v/>
      </c>
      <c r="G472" s="37" t="n"/>
      <c r="H472" s="37" t="n"/>
      <c r="I472" s="37" t="n"/>
      <c r="J472" s="40" t="str">
        <f>IF(OR(C472="",NOT(ISNUMBER(E472))),"",IFERROR(E472*N(INDEX(art_price,MATCH(C472,art_ref,0))),""))</f>
        <v/>
      </c>
      <c r="K472" s="39" t="str">
        <f>IF(OR(C472="",NOT(ISNUMBER(E472))),"",IFERROR(ROUND(N(INDEX(art_init,MATCH(C472,art_ref,0)))+SUMIFS($E$5:E472,$C$5:C472,C472,$B$5:B472,"Entrée")-SUMIFS($E$5:E472,$C$5:C472,C472,$B$5:B472,"Sortie"),6),""))</f>
        <v/>
      </c>
      <c r="L472" s="39" t="str">
        <f>IF(COUNTA(A472:C472,E472)=0,"",IF(COUNTA(A472:C472,E472)&lt;4,"Ligne incomplète",IF(NOT(ISNUMBER(A472)),"Date invalide",IF(AND(B472&lt;&gt;"Entrée",B472&lt;&gt;"Sortie"),"Type inconnu",IF(ISNA(MATCH(C472,art_ref,0)),"Référence inconnue",IF(OR(NOT(ISNUMBER(E472)),N(E472)&lt;=0),"Quantité invalide",IF(K472&lt;0,"Stock négatif",IF(AND(ISNUMBER(A471),A472&lt;A471),"Date hors ordre","OK"))))))))</f>
        <v/>
      </c>
      <c r="M472" s="39" t="str">
        <f>IF(C472="","",C472&amp;"#"&amp;COUNTIF($C$5:C472,C472))</f>
        <v/>
      </c>
    </row>
    <row r="473">
      <c r="A473" s="41" t="n"/>
      <c r="B473" s="37" t="n"/>
      <c r="C473" s="37" t="n"/>
      <c r="D473" s="39" t="str">
        <f>IF(C473="","",IFERROR(INDEX(art_des,MATCH(C473,art_ref,0))&amp;"","Référence inconnue"))</f>
        <v/>
      </c>
      <c r="E473" s="37" t="n"/>
      <c r="F473" s="39" t="str">
        <f>IF(C473="","",IFERROR(INDEX(art_unit,MATCH(C473,art_ref,0))&amp;"",""))</f>
        <v/>
      </c>
      <c r="G473" s="37" t="n"/>
      <c r="H473" s="37" t="n"/>
      <c r="I473" s="37" t="n"/>
      <c r="J473" s="40" t="str">
        <f>IF(OR(C473="",NOT(ISNUMBER(E473))),"",IFERROR(E473*N(INDEX(art_price,MATCH(C473,art_ref,0))),""))</f>
        <v/>
      </c>
      <c r="K473" s="39" t="str">
        <f>IF(OR(C473="",NOT(ISNUMBER(E473))),"",IFERROR(ROUND(N(INDEX(art_init,MATCH(C473,art_ref,0)))+SUMIFS($E$5:E473,$C$5:C473,C473,$B$5:B473,"Entrée")-SUMIFS($E$5:E473,$C$5:C473,C473,$B$5:B473,"Sortie"),6),""))</f>
        <v/>
      </c>
      <c r="L473" s="39" t="str">
        <f>IF(COUNTA(A473:C473,E473)=0,"",IF(COUNTA(A473:C473,E473)&lt;4,"Ligne incomplète",IF(NOT(ISNUMBER(A473)),"Date invalide",IF(AND(B473&lt;&gt;"Entrée",B473&lt;&gt;"Sortie"),"Type inconnu",IF(ISNA(MATCH(C473,art_ref,0)),"Référence inconnue",IF(OR(NOT(ISNUMBER(E473)),N(E473)&lt;=0),"Quantité invalide",IF(K473&lt;0,"Stock négatif",IF(AND(ISNUMBER(A472),A473&lt;A472),"Date hors ordre","OK"))))))))</f>
        <v/>
      </c>
      <c r="M473" s="39" t="str">
        <f>IF(C473="","",C473&amp;"#"&amp;COUNTIF($C$5:C473,C473))</f>
        <v/>
      </c>
    </row>
    <row r="474">
      <c r="A474" s="41" t="n"/>
      <c r="B474" s="37" t="n"/>
      <c r="C474" s="37" t="n"/>
      <c r="D474" s="39" t="str">
        <f>IF(C474="","",IFERROR(INDEX(art_des,MATCH(C474,art_ref,0))&amp;"","Référence inconnue"))</f>
        <v/>
      </c>
      <c r="E474" s="37" t="n"/>
      <c r="F474" s="39" t="str">
        <f>IF(C474="","",IFERROR(INDEX(art_unit,MATCH(C474,art_ref,0))&amp;"",""))</f>
        <v/>
      </c>
      <c r="G474" s="37" t="n"/>
      <c r="H474" s="37" t="n"/>
      <c r="I474" s="37" t="n"/>
      <c r="J474" s="40" t="str">
        <f>IF(OR(C474="",NOT(ISNUMBER(E474))),"",IFERROR(E474*N(INDEX(art_price,MATCH(C474,art_ref,0))),""))</f>
        <v/>
      </c>
      <c r="K474" s="39" t="str">
        <f>IF(OR(C474="",NOT(ISNUMBER(E474))),"",IFERROR(ROUND(N(INDEX(art_init,MATCH(C474,art_ref,0)))+SUMIFS($E$5:E474,$C$5:C474,C474,$B$5:B474,"Entrée")-SUMIFS($E$5:E474,$C$5:C474,C474,$B$5:B474,"Sortie"),6),""))</f>
        <v/>
      </c>
      <c r="L474" s="39" t="str">
        <f>IF(COUNTA(A474:C474,E474)=0,"",IF(COUNTA(A474:C474,E474)&lt;4,"Ligne incomplète",IF(NOT(ISNUMBER(A474)),"Date invalide",IF(AND(B474&lt;&gt;"Entrée",B474&lt;&gt;"Sortie"),"Type inconnu",IF(ISNA(MATCH(C474,art_ref,0)),"Référence inconnue",IF(OR(NOT(ISNUMBER(E474)),N(E474)&lt;=0),"Quantité invalide",IF(K474&lt;0,"Stock négatif",IF(AND(ISNUMBER(A473),A474&lt;A473),"Date hors ordre","OK"))))))))</f>
        <v/>
      </c>
      <c r="M474" s="39" t="str">
        <f>IF(C474="","",C474&amp;"#"&amp;COUNTIF($C$5:C474,C474))</f>
        <v/>
      </c>
    </row>
    <row r="475">
      <c r="A475" s="41" t="n"/>
      <c r="B475" s="37" t="n"/>
      <c r="C475" s="37" t="n"/>
      <c r="D475" s="39" t="str">
        <f>IF(C475="","",IFERROR(INDEX(art_des,MATCH(C475,art_ref,0))&amp;"","Référence inconnue"))</f>
        <v/>
      </c>
      <c r="E475" s="37" t="n"/>
      <c r="F475" s="39" t="str">
        <f>IF(C475="","",IFERROR(INDEX(art_unit,MATCH(C475,art_ref,0))&amp;"",""))</f>
        <v/>
      </c>
      <c r="G475" s="37" t="n"/>
      <c r="H475" s="37" t="n"/>
      <c r="I475" s="37" t="n"/>
      <c r="J475" s="40" t="str">
        <f>IF(OR(C475="",NOT(ISNUMBER(E475))),"",IFERROR(E475*N(INDEX(art_price,MATCH(C475,art_ref,0))),""))</f>
        <v/>
      </c>
      <c r="K475" s="39" t="str">
        <f>IF(OR(C475="",NOT(ISNUMBER(E475))),"",IFERROR(ROUND(N(INDEX(art_init,MATCH(C475,art_ref,0)))+SUMIFS($E$5:E475,$C$5:C475,C475,$B$5:B475,"Entrée")-SUMIFS($E$5:E475,$C$5:C475,C475,$B$5:B475,"Sortie"),6),""))</f>
        <v/>
      </c>
      <c r="L475" s="39" t="str">
        <f>IF(COUNTA(A475:C475,E475)=0,"",IF(COUNTA(A475:C475,E475)&lt;4,"Ligne incomplète",IF(NOT(ISNUMBER(A475)),"Date invalide",IF(AND(B475&lt;&gt;"Entrée",B475&lt;&gt;"Sortie"),"Type inconnu",IF(ISNA(MATCH(C475,art_ref,0)),"Référence inconnue",IF(OR(NOT(ISNUMBER(E475)),N(E475)&lt;=0),"Quantité invalide",IF(K475&lt;0,"Stock négatif",IF(AND(ISNUMBER(A474),A475&lt;A474),"Date hors ordre","OK"))))))))</f>
        <v/>
      </c>
      <c r="M475" s="39" t="str">
        <f>IF(C475="","",C475&amp;"#"&amp;COUNTIF($C$5:C475,C475))</f>
        <v/>
      </c>
    </row>
    <row r="476">
      <c r="A476" s="41" t="n"/>
      <c r="B476" s="37" t="n"/>
      <c r="C476" s="37" t="n"/>
      <c r="D476" s="39" t="str">
        <f>IF(C476="","",IFERROR(INDEX(art_des,MATCH(C476,art_ref,0))&amp;"","Référence inconnue"))</f>
        <v/>
      </c>
      <c r="E476" s="37" t="n"/>
      <c r="F476" s="39" t="str">
        <f>IF(C476="","",IFERROR(INDEX(art_unit,MATCH(C476,art_ref,0))&amp;"",""))</f>
        <v/>
      </c>
      <c r="G476" s="37" t="n"/>
      <c r="H476" s="37" t="n"/>
      <c r="I476" s="37" t="n"/>
      <c r="J476" s="40" t="str">
        <f>IF(OR(C476="",NOT(ISNUMBER(E476))),"",IFERROR(E476*N(INDEX(art_price,MATCH(C476,art_ref,0))),""))</f>
        <v/>
      </c>
      <c r="K476" s="39" t="str">
        <f>IF(OR(C476="",NOT(ISNUMBER(E476))),"",IFERROR(ROUND(N(INDEX(art_init,MATCH(C476,art_ref,0)))+SUMIFS($E$5:E476,$C$5:C476,C476,$B$5:B476,"Entrée")-SUMIFS($E$5:E476,$C$5:C476,C476,$B$5:B476,"Sortie"),6),""))</f>
        <v/>
      </c>
      <c r="L476" s="39" t="str">
        <f>IF(COUNTA(A476:C476,E476)=0,"",IF(COUNTA(A476:C476,E476)&lt;4,"Ligne incomplète",IF(NOT(ISNUMBER(A476)),"Date invalide",IF(AND(B476&lt;&gt;"Entrée",B476&lt;&gt;"Sortie"),"Type inconnu",IF(ISNA(MATCH(C476,art_ref,0)),"Référence inconnue",IF(OR(NOT(ISNUMBER(E476)),N(E476)&lt;=0),"Quantité invalide",IF(K476&lt;0,"Stock négatif",IF(AND(ISNUMBER(A475),A476&lt;A475),"Date hors ordre","OK"))))))))</f>
        <v/>
      </c>
      <c r="M476" s="39" t="str">
        <f>IF(C476="","",C476&amp;"#"&amp;COUNTIF($C$5:C476,C476))</f>
        <v/>
      </c>
    </row>
    <row r="477">
      <c r="A477" s="41" t="n"/>
      <c r="B477" s="37" t="n"/>
      <c r="C477" s="37" t="n"/>
      <c r="D477" s="39" t="str">
        <f>IF(C477="","",IFERROR(INDEX(art_des,MATCH(C477,art_ref,0))&amp;"","Référence inconnue"))</f>
        <v/>
      </c>
      <c r="E477" s="37" t="n"/>
      <c r="F477" s="39" t="str">
        <f>IF(C477="","",IFERROR(INDEX(art_unit,MATCH(C477,art_ref,0))&amp;"",""))</f>
        <v/>
      </c>
      <c r="G477" s="37" t="n"/>
      <c r="H477" s="37" t="n"/>
      <c r="I477" s="37" t="n"/>
      <c r="J477" s="40" t="str">
        <f>IF(OR(C477="",NOT(ISNUMBER(E477))),"",IFERROR(E477*N(INDEX(art_price,MATCH(C477,art_ref,0))),""))</f>
        <v/>
      </c>
      <c r="K477" s="39" t="str">
        <f>IF(OR(C477="",NOT(ISNUMBER(E477))),"",IFERROR(ROUND(N(INDEX(art_init,MATCH(C477,art_ref,0)))+SUMIFS($E$5:E477,$C$5:C477,C477,$B$5:B477,"Entrée")-SUMIFS($E$5:E477,$C$5:C477,C477,$B$5:B477,"Sortie"),6),""))</f>
        <v/>
      </c>
      <c r="L477" s="39" t="str">
        <f>IF(COUNTA(A477:C477,E477)=0,"",IF(COUNTA(A477:C477,E477)&lt;4,"Ligne incomplète",IF(NOT(ISNUMBER(A477)),"Date invalide",IF(AND(B477&lt;&gt;"Entrée",B477&lt;&gt;"Sortie"),"Type inconnu",IF(ISNA(MATCH(C477,art_ref,0)),"Référence inconnue",IF(OR(NOT(ISNUMBER(E477)),N(E477)&lt;=0),"Quantité invalide",IF(K477&lt;0,"Stock négatif",IF(AND(ISNUMBER(A476),A477&lt;A476),"Date hors ordre","OK"))))))))</f>
        <v/>
      </c>
      <c r="M477" s="39" t="str">
        <f>IF(C477="","",C477&amp;"#"&amp;COUNTIF($C$5:C477,C477))</f>
        <v/>
      </c>
    </row>
    <row r="478">
      <c r="A478" s="41" t="n"/>
      <c r="B478" s="37" t="n"/>
      <c r="C478" s="37" t="n"/>
      <c r="D478" s="39" t="str">
        <f>IF(C478="","",IFERROR(INDEX(art_des,MATCH(C478,art_ref,0))&amp;"","Référence inconnue"))</f>
        <v/>
      </c>
      <c r="E478" s="37" t="n"/>
      <c r="F478" s="39" t="str">
        <f>IF(C478="","",IFERROR(INDEX(art_unit,MATCH(C478,art_ref,0))&amp;"",""))</f>
        <v/>
      </c>
      <c r="G478" s="37" t="n"/>
      <c r="H478" s="37" t="n"/>
      <c r="I478" s="37" t="n"/>
      <c r="J478" s="40" t="str">
        <f>IF(OR(C478="",NOT(ISNUMBER(E478))),"",IFERROR(E478*N(INDEX(art_price,MATCH(C478,art_ref,0))),""))</f>
        <v/>
      </c>
      <c r="K478" s="39" t="str">
        <f>IF(OR(C478="",NOT(ISNUMBER(E478))),"",IFERROR(ROUND(N(INDEX(art_init,MATCH(C478,art_ref,0)))+SUMIFS($E$5:E478,$C$5:C478,C478,$B$5:B478,"Entrée")-SUMIFS($E$5:E478,$C$5:C478,C478,$B$5:B478,"Sortie"),6),""))</f>
        <v/>
      </c>
      <c r="L478" s="39" t="str">
        <f>IF(COUNTA(A478:C478,E478)=0,"",IF(COUNTA(A478:C478,E478)&lt;4,"Ligne incomplète",IF(NOT(ISNUMBER(A478)),"Date invalide",IF(AND(B478&lt;&gt;"Entrée",B478&lt;&gt;"Sortie"),"Type inconnu",IF(ISNA(MATCH(C478,art_ref,0)),"Référence inconnue",IF(OR(NOT(ISNUMBER(E478)),N(E478)&lt;=0),"Quantité invalide",IF(K478&lt;0,"Stock négatif",IF(AND(ISNUMBER(A477),A478&lt;A477),"Date hors ordre","OK"))))))))</f>
        <v/>
      </c>
      <c r="M478" s="39" t="str">
        <f>IF(C478="","",C478&amp;"#"&amp;COUNTIF($C$5:C478,C478))</f>
        <v/>
      </c>
    </row>
    <row r="479">
      <c r="A479" s="41" t="n"/>
      <c r="B479" s="37" t="n"/>
      <c r="C479" s="37" t="n"/>
      <c r="D479" s="39" t="str">
        <f>IF(C479="","",IFERROR(INDEX(art_des,MATCH(C479,art_ref,0))&amp;"","Référence inconnue"))</f>
        <v/>
      </c>
      <c r="E479" s="37" t="n"/>
      <c r="F479" s="39" t="str">
        <f>IF(C479="","",IFERROR(INDEX(art_unit,MATCH(C479,art_ref,0))&amp;"",""))</f>
        <v/>
      </c>
      <c r="G479" s="37" t="n"/>
      <c r="H479" s="37" t="n"/>
      <c r="I479" s="37" t="n"/>
      <c r="J479" s="40" t="str">
        <f>IF(OR(C479="",NOT(ISNUMBER(E479))),"",IFERROR(E479*N(INDEX(art_price,MATCH(C479,art_ref,0))),""))</f>
        <v/>
      </c>
      <c r="K479" s="39" t="str">
        <f>IF(OR(C479="",NOT(ISNUMBER(E479))),"",IFERROR(ROUND(N(INDEX(art_init,MATCH(C479,art_ref,0)))+SUMIFS($E$5:E479,$C$5:C479,C479,$B$5:B479,"Entrée")-SUMIFS($E$5:E479,$C$5:C479,C479,$B$5:B479,"Sortie"),6),""))</f>
        <v/>
      </c>
      <c r="L479" s="39" t="str">
        <f>IF(COUNTA(A479:C479,E479)=0,"",IF(COUNTA(A479:C479,E479)&lt;4,"Ligne incomplète",IF(NOT(ISNUMBER(A479)),"Date invalide",IF(AND(B479&lt;&gt;"Entrée",B479&lt;&gt;"Sortie"),"Type inconnu",IF(ISNA(MATCH(C479,art_ref,0)),"Référence inconnue",IF(OR(NOT(ISNUMBER(E479)),N(E479)&lt;=0),"Quantité invalide",IF(K479&lt;0,"Stock négatif",IF(AND(ISNUMBER(A478),A479&lt;A478),"Date hors ordre","OK"))))))))</f>
        <v/>
      </c>
      <c r="M479" s="39" t="str">
        <f>IF(C479="","",C479&amp;"#"&amp;COUNTIF($C$5:C479,C479))</f>
        <v/>
      </c>
    </row>
    <row r="480">
      <c r="A480" s="41" t="n"/>
      <c r="B480" s="37" t="n"/>
      <c r="C480" s="37" t="n"/>
      <c r="D480" s="39" t="str">
        <f>IF(C480="","",IFERROR(INDEX(art_des,MATCH(C480,art_ref,0))&amp;"","Référence inconnue"))</f>
        <v/>
      </c>
      <c r="E480" s="37" t="n"/>
      <c r="F480" s="39" t="str">
        <f>IF(C480="","",IFERROR(INDEX(art_unit,MATCH(C480,art_ref,0))&amp;"",""))</f>
        <v/>
      </c>
      <c r="G480" s="37" t="n"/>
      <c r="H480" s="37" t="n"/>
      <c r="I480" s="37" t="n"/>
      <c r="J480" s="40" t="str">
        <f>IF(OR(C480="",NOT(ISNUMBER(E480))),"",IFERROR(E480*N(INDEX(art_price,MATCH(C480,art_ref,0))),""))</f>
        <v/>
      </c>
      <c r="K480" s="39" t="str">
        <f>IF(OR(C480="",NOT(ISNUMBER(E480))),"",IFERROR(ROUND(N(INDEX(art_init,MATCH(C480,art_ref,0)))+SUMIFS($E$5:E480,$C$5:C480,C480,$B$5:B480,"Entrée")-SUMIFS($E$5:E480,$C$5:C480,C480,$B$5:B480,"Sortie"),6),""))</f>
        <v/>
      </c>
      <c r="L480" s="39" t="str">
        <f>IF(COUNTA(A480:C480,E480)=0,"",IF(COUNTA(A480:C480,E480)&lt;4,"Ligne incomplète",IF(NOT(ISNUMBER(A480)),"Date invalide",IF(AND(B480&lt;&gt;"Entrée",B480&lt;&gt;"Sortie"),"Type inconnu",IF(ISNA(MATCH(C480,art_ref,0)),"Référence inconnue",IF(OR(NOT(ISNUMBER(E480)),N(E480)&lt;=0),"Quantité invalide",IF(K480&lt;0,"Stock négatif",IF(AND(ISNUMBER(A479),A480&lt;A479),"Date hors ordre","OK"))))))))</f>
        <v/>
      </c>
      <c r="M480" s="39" t="str">
        <f>IF(C480="","",C480&amp;"#"&amp;COUNTIF($C$5:C480,C480))</f>
        <v/>
      </c>
    </row>
    <row r="481">
      <c r="A481" s="41" t="n"/>
      <c r="B481" s="37" t="n"/>
      <c r="C481" s="37" t="n"/>
      <c r="D481" s="39" t="str">
        <f>IF(C481="","",IFERROR(INDEX(art_des,MATCH(C481,art_ref,0))&amp;"","Référence inconnue"))</f>
        <v/>
      </c>
      <c r="E481" s="37" t="n"/>
      <c r="F481" s="39" t="str">
        <f>IF(C481="","",IFERROR(INDEX(art_unit,MATCH(C481,art_ref,0))&amp;"",""))</f>
        <v/>
      </c>
      <c r="G481" s="37" t="n"/>
      <c r="H481" s="37" t="n"/>
      <c r="I481" s="37" t="n"/>
      <c r="J481" s="40" t="str">
        <f>IF(OR(C481="",NOT(ISNUMBER(E481))),"",IFERROR(E481*N(INDEX(art_price,MATCH(C481,art_ref,0))),""))</f>
        <v/>
      </c>
      <c r="K481" s="39" t="str">
        <f>IF(OR(C481="",NOT(ISNUMBER(E481))),"",IFERROR(ROUND(N(INDEX(art_init,MATCH(C481,art_ref,0)))+SUMIFS($E$5:E481,$C$5:C481,C481,$B$5:B481,"Entrée")-SUMIFS($E$5:E481,$C$5:C481,C481,$B$5:B481,"Sortie"),6),""))</f>
        <v/>
      </c>
      <c r="L481" s="39" t="str">
        <f>IF(COUNTA(A481:C481,E481)=0,"",IF(COUNTA(A481:C481,E481)&lt;4,"Ligne incomplète",IF(NOT(ISNUMBER(A481)),"Date invalide",IF(AND(B481&lt;&gt;"Entrée",B481&lt;&gt;"Sortie"),"Type inconnu",IF(ISNA(MATCH(C481,art_ref,0)),"Référence inconnue",IF(OR(NOT(ISNUMBER(E481)),N(E481)&lt;=0),"Quantité invalide",IF(K481&lt;0,"Stock négatif",IF(AND(ISNUMBER(A480),A481&lt;A480),"Date hors ordre","OK"))))))))</f>
        <v/>
      </c>
      <c r="M481" s="39" t="str">
        <f>IF(C481="","",C481&amp;"#"&amp;COUNTIF($C$5:C481,C481))</f>
        <v/>
      </c>
    </row>
    <row r="482">
      <c r="A482" s="41" t="n"/>
      <c r="B482" s="37" t="n"/>
      <c r="C482" s="37" t="n"/>
      <c r="D482" s="39" t="str">
        <f>IF(C482="","",IFERROR(INDEX(art_des,MATCH(C482,art_ref,0))&amp;"","Référence inconnue"))</f>
        <v/>
      </c>
      <c r="E482" s="37" t="n"/>
      <c r="F482" s="39" t="str">
        <f>IF(C482="","",IFERROR(INDEX(art_unit,MATCH(C482,art_ref,0))&amp;"",""))</f>
        <v/>
      </c>
      <c r="G482" s="37" t="n"/>
      <c r="H482" s="37" t="n"/>
      <c r="I482" s="37" t="n"/>
      <c r="J482" s="40" t="str">
        <f>IF(OR(C482="",NOT(ISNUMBER(E482))),"",IFERROR(E482*N(INDEX(art_price,MATCH(C482,art_ref,0))),""))</f>
        <v/>
      </c>
      <c r="K482" s="39" t="str">
        <f>IF(OR(C482="",NOT(ISNUMBER(E482))),"",IFERROR(ROUND(N(INDEX(art_init,MATCH(C482,art_ref,0)))+SUMIFS($E$5:E482,$C$5:C482,C482,$B$5:B482,"Entrée")-SUMIFS($E$5:E482,$C$5:C482,C482,$B$5:B482,"Sortie"),6),""))</f>
        <v/>
      </c>
      <c r="L482" s="39" t="str">
        <f>IF(COUNTA(A482:C482,E482)=0,"",IF(COUNTA(A482:C482,E482)&lt;4,"Ligne incomplète",IF(NOT(ISNUMBER(A482)),"Date invalide",IF(AND(B482&lt;&gt;"Entrée",B482&lt;&gt;"Sortie"),"Type inconnu",IF(ISNA(MATCH(C482,art_ref,0)),"Référence inconnue",IF(OR(NOT(ISNUMBER(E482)),N(E482)&lt;=0),"Quantité invalide",IF(K482&lt;0,"Stock négatif",IF(AND(ISNUMBER(A481),A482&lt;A481),"Date hors ordre","OK"))))))))</f>
        <v/>
      </c>
      <c r="M482" s="39" t="str">
        <f>IF(C482="","",C482&amp;"#"&amp;COUNTIF($C$5:C482,C482))</f>
        <v/>
      </c>
    </row>
    <row r="483">
      <c r="A483" s="41" t="n"/>
      <c r="B483" s="37" t="n"/>
      <c r="C483" s="37" t="n"/>
      <c r="D483" s="39" t="str">
        <f>IF(C483="","",IFERROR(INDEX(art_des,MATCH(C483,art_ref,0))&amp;"","Référence inconnue"))</f>
        <v/>
      </c>
      <c r="E483" s="37" t="n"/>
      <c r="F483" s="39" t="str">
        <f>IF(C483="","",IFERROR(INDEX(art_unit,MATCH(C483,art_ref,0))&amp;"",""))</f>
        <v/>
      </c>
      <c r="G483" s="37" t="n"/>
      <c r="H483" s="37" t="n"/>
      <c r="I483" s="37" t="n"/>
      <c r="J483" s="40" t="str">
        <f>IF(OR(C483="",NOT(ISNUMBER(E483))),"",IFERROR(E483*N(INDEX(art_price,MATCH(C483,art_ref,0))),""))</f>
        <v/>
      </c>
      <c r="K483" s="39" t="str">
        <f>IF(OR(C483="",NOT(ISNUMBER(E483))),"",IFERROR(ROUND(N(INDEX(art_init,MATCH(C483,art_ref,0)))+SUMIFS($E$5:E483,$C$5:C483,C483,$B$5:B483,"Entrée")-SUMIFS($E$5:E483,$C$5:C483,C483,$B$5:B483,"Sortie"),6),""))</f>
        <v/>
      </c>
      <c r="L483" s="39" t="str">
        <f>IF(COUNTA(A483:C483,E483)=0,"",IF(COUNTA(A483:C483,E483)&lt;4,"Ligne incomplète",IF(NOT(ISNUMBER(A483)),"Date invalide",IF(AND(B483&lt;&gt;"Entrée",B483&lt;&gt;"Sortie"),"Type inconnu",IF(ISNA(MATCH(C483,art_ref,0)),"Référence inconnue",IF(OR(NOT(ISNUMBER(E483)),N(E483)&lt;=0),"Quantité invalide",IF(K483&lt;0,"Stock négatif",IF(AND(ISNUMBER(A482),A483&lt;A482),"Date hors ordre","OK"))))))))</f>
        <v/>
      </c>
      <c r="M483" s="39" t="str">
        <f>IF(C483="","",C483&amp;"#"&amp;COUNTIF($C$5:C483,C483))</f>
        <v/>
      </c>
    </row>
    <row r="484">
      <c r="A484" s="41" t="n"/>
      <c r="B484" s="37" t="n"/>
      <c r="C484" s="37" t="n"/>
      <c r="D484" s="39" t="str">
        <f>IF(C484="","",IFERROR(INDEX(art_des,MATCH(C484,art_ref,0))&amp;"","Référence inconnue"))</f>
        <v/>
      </c>
      <c r="E484" s="37" t="n"/>
      <c r="F484" s="39" t="str">
        <f>IF(C484="","",IFERROR(INDEX(art_unit,MATCH(C484,art_ref,0))&amp;"",""))</f>
        <v/>
      </c>
      <c r="G484" s="37" t="n"/>
      <c r="H484" s="37" t="n"/>
      <c r="I484" s="37" t="n"/>
      <c r="J484" s="40" t="str">
        <f>IF(OR(C484="",NOT(ISNUMBER(E484))),"",IFERROR(E484*N(INDEX(art_price,MATCH(C484,art_ref,0))),""))</f>
        <v/>
      </c>
      <c r="K484" s="39" t="str">
        <f>IF(OR(C484="",NOT(ISNUMBER(E484))),"",IFERROR(ROUND(N(INDEX(art_init,MATCH(C484,art_ref,0)))+SUMIFS($E$5:E484,$C$5:C484,C484,$B$5:B484,"Entrée")-SUMIFS($E$5:E484,$C$5:C484,C484,$B$5:B484,"Sortie"),6),""))</f>
        <v/>
      </c>
      <c r="L484" s="39" t="str">
        <f>IF(COUNTA(A484:C484,E484)=0,"",IF(COUNTA(A484:C484,E484)&lt;4,"Ligne incomplète",IF(NOT(ISNUMBER(A484)),"Date invalide",IF(AND(B484&lt;&gt;"Entrée",B484&lt;&gt;"Sortie"),"Type inconnu",IF(ISNA(MATCH(C484,art_ref,0)),"Référence inconnue",IF(OR(NOT(ISNUMBER(E484)),N(E484)&lt;=0),"Quantité invalide",IF(K484&lt;0,"Stock négatif",IF(AND(ISNUMBER(A483),A484&lt;A483),"Date hors ordre","OK"))))))))</f>
        <v/>
      </c>
      <c r="M484" s="39" t="str">
        <f>IF(C484="","",C484&amp;"#"&amp;COUNTIF($C$5:C484,C484))</f>
        <v/>
      </c>
    </row>
    <row r="485">
      <c r="A485" s="41" t="n"/>
      <c r="B485" s="37" t="n"/>
      <c r="C485" s="37" t="n"/>
      <c r="D485" s="39" t="str">
        <f>IF(C485="","",IFERROR(INDEX(art_des,MATCH(C485,art_ref,0))&amp;"","Référence inconnue"))</f>
        <v/>
      </c>
      <c r="E485" s="37" t="n"/>
      <c r="F485" s="39" t="str">
        <f>IF(C485="","",IFERROR(INDEX(art_unit,MATCH(C485,art_ref,0))&amp;"",""))</f>
        <v/>
      </c>
      <c r="G485" s="37" t="n"/>
      <c r="H485" s="37" t="n"/>
      <c r="I485" s="37" t="n"/>
      <c r="J485" s="40" t="str">
        <f>IF(OR(C485="",NOT(ISNUMBER(E485))),"",IFERROR(E485*N(INDEX(art_price,MATCH(C485,art_ref,0))),""))</f>
        <v/>
      </c>
      <c r="K485" s="39" t="str">
        <f>IF(OR(C485="",NOT(ISNUMBER(E485))),"",IFERROR(ROUND(N(INDEX(art_init,MATCH(C485,art_ref,0)))+SUMIFS($E$5:E485,$C$5:C485,C485,$B$5:B485,"Entrée")-SUMIFS($E$5:E485,$C$5:C485,C485,$B$5:B485,"Sortie"),6),""))</f>
        <v/>
      </c>
      <c r="L485" s="39" t="str">
        <f>IF(COUNTA(A485:C485,E485)=0,"",IF(COUNTA(A485:C485,E485)&lt;4,"Ligne incomplète",IF(NOT(ISNUMBER(A485)),"Date invalide",IF(AND(B485&lt;&gt;"Entrée",B485&lt;&gt;"Sortie"),"Type inconnu",IF(ISNA(MATCH(C485,art_ref,0)),"Référence inconnue",IF(OR(NOT(ISNUMBER(E485)),N(E485)&lt;=0),"Quantité invalide",IF(K485&lt;0,"Stock négatif",IF(AND(ISNUMBER(A484),A485&lt;A484),"Date hors ordre","OK"))))))))</f>
        <v/>
      </c>
      <c r="M485" s="39" t="str">
        <f>IF(C485="","",C485&amp;"#"&amp;COUNTIF($C$5:C485,C485))</f>
        <v/>
      </c>
    </row>
    <row r="486">
      <c r="A486" s="41" t="n"/>
      <c r="B486" s="37" t="n"/>
      <c r="C486" s="37" t="n"/>
      <c r="D486" s="39" t="str">
        <f>IF(C486="","",IFERROR(INDEX(art_des,MATCH(C486,art_ref,0))&amp;"","Référence inconnue"))</f>
        <v/>
      </c>
      <c r="E486" s="37" t="n"/>
      <c r="F486" s="39" t="str">
        <f>IF(C486="","",IFERROR(INDEX(art_unit,MATCH(C486,art_ref,0))&amp;"",""))</f>
        <v/>
      </c>
      <c r="G486" s="37" t="n"/>
      <c r="H486" s="37" t="n"/>
      <c r="I486" s="37" t="n"/>
      <c r="J486" s="40" t="str">
        <f>IF(OR(C486="",NOT(ISNUMBER(E486))),"",IFERROR(E486*N(INDEX(art_price,MATCH(C486,art_ref,0))),""))</f>
        <v/>
      </c>
      <c r="K486" s="39" t="str">
        <f>IF(OR(C486="",NOT(ISNUMBER(E486))),"",IFERROR(ROUND(N(INDEX(art_init,MATCH(C486,art_ref,0)))+SUMIFS($E$5:E486,$C$5:C486,C486,$B$5:B486,"Entrée")-SUMIFS($E$5:E486,$C$5:C486,C486,$B$5:B486,"Sortie"),6),""))</f>
        <v/>
      </c>
      <c r="L486" s="39" t="str">
        <f>IF(COUNTA(A486:C486,E486)=0,"",IF(COUNTA(A486:C486,E486)&lt;4,"Ligne incomplète",IF(NOT(ISNUMBER(A486)),"Date invalide",IF(AND(B486&lt;&gt;"Entrée",B486&lt;&gt;"Sortie"),"Type inconnu",IF(ISNA(MATCH(C486,art_ref,0)),"Référence inconnue",IF(OR(NOT(ISNUMBER(E486)),N(E486)&lt;=0),"Quantité invalide",IF(K486&lt;0,"Stock négatif",IF(AND(ISNUMBER(A485),A486&lt;A485),"Date hors ordre","OK"))))))))</f>
        <v/>
      </c>
      <c r="M486" s="39" t="str">
        <f>IF(C486="","",C486&amp;"#"&amp;COUNTIF($C$5:C486,C486))</f>
        <v/>
      </c>
    </row>
    <row r="487">
      <c r="A487" s="41" t="n"/>
      <c r="B487" s="37" t="n"/>
      <c r="C487" s="37" t="n"/>
      <c r="D487" s="39" t="str">
        <f>IF(C487="","",IFERROR(INDEX(art_des,MATCH(C487,art_ref,0))&amp;"","Référence inconnue"))</f>
        <v/>
      </c>
      <c r="E487" s="37" t="n"/>
      <c r="F487" s="39" t="str">
        <f>IF(C487="","",IFERROR(INDEX(art_unit,MATCH(C487,art_ref,0))&amp;"",""))</f>
        <v/>
      </c>
      <c r="G487" s="37" t="n"/>
      <c r="H487" s="37" t="n"/>
      <c r="I487" s="37" t="n"/>
      <c r="J487" s="40" t="str">
        <f>IF(OR(C487="",NOT(ISNUMBER(E487))),"",IFERROR(E487*N(INDEX(art_price,MATCH(C487,art_ref,0))),""))</f>
        <v/>
      </c>
      <c r="K487" s="39" t="str">
        <f>IF(OR(C487="",NOT(ISNUMBER(E487))),"",IFERROR(ROUND(N(INDEX(art_init,MATCH(C487,art_ref,0)))+SUMIFS($E$5:E487,$C$5:C487,C487,$B$5:B487,"Entrée")-SUMIFS($E$5:E487,$C$5:C487,C487,$B$5:B487,"Sortie"),6),""))</f>
        <v/>
      </c>
      <c r="L487" s="39" t="str">
        <f>IF(COUNTA(A487:C487,E487)=0,"",IF(COUNTA(A487:C487,E487)&lt;4,"Ligne incomplète",IF(NOT(ISNUMBER(A487)),"Date invalide",IF(AND(B487&lt;&gt;"Entrée",B487&lt;&gt;"Sortie"),"Type inconnu",IF(ISNA(MATCH(C487,art_ref,0)),"Référence inconnue",IF(OR(NOT(ISNUMBER(E487)),N(E487)&lt;=0),"Quantité invalide",IF(K487&lt;0,"Stock négatif",IF(AND(ISNUMBER(A486),A487&lt;A486),"Date hors ordre","OK"))))))))</f>
        <v/>
      </c>
      <c r="M487" s="39" t="str">
        <f>IF(C487="","",C487&amp;"#"&amp;COUNTIF($C$5:C487,C487))</f>
        <v/>
      </c>
    </row>
    <row r="488">
      <c r="A488" s="41" t="n"/>
      <c r="B488" s="37" t="n"/>
      <c r="C488" s="37" t="n"/>
      <c r="D488" s="39" t="str">
        <f>IF(C488="","",IFERROR(INDEX(art_des,MATCH(C488,art_ref,0))&amp;"","Référence inconnue"))</f>
        <v/>
      </c>
      <c r="E488" s="37" t="n"/>
      <c r="F488" s="39" t="str">
        <f>IF(C488="","",IFERROR(INDEX(art_unit,MATCH(C488,art_ref,0))&amp;"",""))</f>
        <v/>
      </c>
      <c r="G488" s="37" t="n"/>
      <c r="H488" s="37" t="n"/>
      <c r="I488" s="37" t="n"/>
      <c r="J488" s="40" t="str">
        <f>IF(OR(C488="",NOT(ISNUMBER(E488))),"",IFERROR(E488*N(INDEX(art_price,MATCH(C488,art_ref,0))),""))</f>
        <v/>
      </c>
      <c r="K488" s="39" t="str">
        <f>IF(OR(C488="",NOT(ISNUMBER(E488))),"",IFERROR(ROUND(N(INDEX(art_init,MATCH(C488,art_ref,0)))+SUMIFS($E$5:E488,$C$5:C488,C488,$B$5:B488,"Entrée")-SUMIFS($E$5:E488,$C$5:C488,C488,$B$5:B488,"Sortie"),6),""))</f>
        <v/>
      </c>
      <c r="L488" s="39" t="str">
        <f>IF(COUNTA(A488:C488,E488)=0,"",IF(COUNTA(A488:C488,E488)&lt;4,"Ligne incomplète",IF(NOT(ISNUMBER(A488)),"Date invalide",IF(AND(B488&lt;&gt;"Entrée",B488&lt;&gt;"Sortie"),"Type inconnu",IF(ISNA(MATCH(C488,art_ref,0)),"Référence inconnue",IF(OR(NOT(ISNUMBER(E488)),N(E488)&lt;=0),"Quantité invalide",IF(K488&lt;0,"Stock négatif",IF(AND(ISNUMBER(A487),A488&lt;A487),"Date hors ordre","OK"))))))))</f>
        <v/>
      </c>
      <c r="M488" s="39" t="str">
        <f>IF(C488="","",C488&amp;"#"&amp;COUNTIF($C$5:C488,C488))</f>
        <v/>
      </c>
    </row>
    <row r="489">
      <c r="A489" s="41" t="n"/>
      <c r="B489" s="37" t="n"/>
      <c r="C489" s="37" t="n"/>
      <c r="D489" s="39" t="str">
        <f>IF(C489="","",IFERROR(INDEX(art_des,MATCH(C489,art_ref,0))&amp;"","Référence inconnue"))</f>
        <v/>
      </c>
      <c r="E489" s="37" t="n"/>
      <c r="F489" s="39" t="str">
        <f>IF(C489="","",IFERROR(INDEX(art_unit,MATCH(C489,art_ref,0))&amp;"",""))</f>
        <v/>
      </c>
      <c r="G489" s="37" t="n"/>
      <c r="H489" s="37" t="n"/>
      <c r="I489" s="37" t="n"/>
      <c r="J489" s="40" t="str">
        <f>IF(OR(C489="",NOT(ISNUMBER(E489))),"",IFERROR(E489*N(INDEX(art_price,MATCH(C489,art_ref,0))),""))</f>
        <v/>
      </c>
      <c r="K489" s="39" t="str">
        <f>IF(OR(C489="",NOT(ISNUMBER(E489))),"",IFERROR(ROUND(N(INDEX(art_init,MATCH(C489,art_ref,0)))+SUMIFS($E$5:E489,$C$5:C489,C489,$B$5:B489,"Entrée")-SUMIFS($E$5:E489,$C$5:C489,C489,$B$5:B489,"Sortie"),6),""))</f>
        <v/>
      </c>
      <c r="L489" s="39" t="str">
        <f>IF(COUNTA(A489:C489,E489)=0,"",IF(COUNTA(A489:C489,E489)&lt;4,"Ligne incomplète",IF(NOT(ISNUMBER(A489)),"Date invalide",IF(AND(B489&lt;&gt;"Entrée",B489&lt;&gt;"Sortie"),"Type inconnu",IF(ISNA(MATCH(C489,art_ref,0)),"Référence inconnue",IF(OR(NOT(ISNUMBER(E489)),N(E489)&lt;=0),"Quantité invalide",IF(K489&lt;0,"Stock négatif",IF(AND(ISNUMBER(A488),A489&lt;A488),"Date hors ordre","OK"))))))))</f>
        <v/>
      </c>
      <c r="M489" s="39" t="str">
        <f>IF(C489="","",C489&amp;"#"&amp;COUNTIF($C$5:C489,C489))</f>
        <v/>
      </c>
    </row>
    <row r="490">
      <c r="A490" s="41" t="n"/>
      <c r="B490" s="37" t="n"/>
      <c r="C490" s="37" t="n"/>
      <c r="D490" s="39" t="str">
        <f>IF(C490="","",IFERROR(INDEX(art_des,MATCH(C490,art_ref,0))&amp;"","Référence inconnue"))</f>
        <v/>
      </c>
      <c r="E490" s="37" t="n"/>
      <c r="F490" s="39" t="str">
        <f>IF(C490="","",IFERROR(INDEX(art_unit,MATCH(C490,art_ref,0))&amp;"",""))</f>
        <v/>
      </c>
      <c r="G490" s="37" t="n"/>
      <c r="H490" s="37" t="n"/>
      <c r="I490" s="37" t="n"/>
      <c r="J490" s="40" t="str">
        <f>IF(OR(C490="",NOT(ISNUMBER(E490))),"",IFERROR(E490*N(INDEX(art_price,MATCH(C490,art_ref,0))),""))</f>
        <v/>
      </c>
      <c r="K490" s="39" t="str">
        <f>IF(OR(C490="",NOT(ISNUMBER(E490))),"",IFERROR(ROUND(N(INDEX(art_init,MATCH(C490,art_ref,0)))+SUMIFS($E$5:E490,$C$5:C490,C490,$B$5:B490,"Entrée")-SUMIFS($E$5:E490,$C$5:C490,C490,$B$5:B490,"Sortie"),6),""))</f>
        <v/>
      </c>
      <c r="L490" s="39" t="str">
        <f>IF(COUNTA(A490:C490,E490)=0,"",IF(COUNTA(A490:C490,E490)&lt;4,"Ligne incomplète",IF(NOT(ISNUMBER(A490)),"Date invalide",IF(AND(B490&lt;&gt;"Entrée",B490&lt;&gt;"Sortie"),"Type inconnu",IF(ISNA(MATCH(C490,art_ref,0)),"Référence inconnue",IF(OR(NOT(ISNUMBER(E490)),N(E490)&lt;=0),"Quantité invalide",IF(K490&lt;0,"Stock négatif",IF(AND(ISNUMBER(A489),A490&lt;A489),"Date hors ordre","OK"))))))))</f>
        <v/>
      </c>
      <c r="M490" s="39" t="str">
        <f>IF(C490="","",C490&amp;"#"&amp;COUNTIF($C$5:C490,C490))</f>
        <v/>
      </c>
    </row>
    <row r="491">
      <c r="A491" s="41" t="n"/>
      <c r="B491" s="37" t="n"/>
      <c r="C491" s="37" t="n"/>
      <c r="D491" s="39" t="str">
        <f>IF(C491="","",IFERROR(INDEX(art_des,MATCH(C491,art_ref,0))&amp;"","Référence inconnue"))</f>
        <v/>
      </c>
      <c r="E491" s="37" t="n"/>
      <c r="F491" s="39" t="str">
        <f>IF(C491="","",IFERROR(INDEX(art_unit,MATCH(C491,art_ref,0))&amp;"",""))</f>
        <v/>
      </c>
      <c r="G491" s="37" t="n"/>
      <c r="H491" s="37" t="n"/>
      <c r="I491" s="37" t="n"/>
      <c r="J491" s="40" t="str">
        <f>IF(OR(C491="",NOT(ISNUMBER(E491))),"",IFERROR(E491*N(INDEX(art_price,MATCH(C491,art_ref,0))),""))</f>
        <v/>
      </c>
      <c r="K491" s="39" t="str">
        <f>IF(OR(C491="",NOT(ISNUMBER(E491))),"",IFERROR(ROUND(N(INDEX(art_init,MATCH(C491,art_ref,0)))+SUMIFS($E$5:E491,$C$5:C491,C491,$B$5:B491,"Entrée")-SUMIFS($E$5:E491,$C$5:C491,C491,$B$5:B491,"Sortie"),6),""))</f>
        <v/>
      </c>
      <c r="L491" s="39" t="str">
        <f>IF(COUNTA(A491:C491,E491)=0,"",IF(COUNTA(A491:C491,E491)&lt;4,"Ligne incomplète",IF(NOT(ISNUMBER(A491)),"Date invalide",IF(AND(B491&lt;&gt;"Entrée",B491&lt;&gt;"Sortie"),"Type inconnu",IF(ISNA(MATCH(C491,art_ref,0)),"Référence inconnue",IF(OR(NOT(ISNUMBER(E491)),N(E491)&lt;=0),"Quantité invalide",IF(K491&lt;0,"Stock négatif",IF(AND(ISNUMBER(A490),A491&lt;A490),"Date hors ordre","OK"))))))))</f>
        <v/>
      </c>
      <c r="M491" s="39" t="str">
        <f>IF(C491="","",C491&amp;"#"&amp;COUNTIF($C$5:C491,C491))</f>
        <v/>
      </c>
    </row>
    <row r="492">
      <c r="A492" s="41" t="n"/>
      <c r="B492" s="37" t="n"/>
      <c r="C492" s="37" t="n"/>
      <c r="D492" s="39" t="str">
        <f>IF(C492="","",IFERROR(INDEX(art_des,MATCH(C492,art_ref,0))&amp;"","Référence inconnue"))</f>
        <v/>
      </c>
      <c r="E492" s="37" t="n"/>
      <c r="F492" s="39" t="str">
        <f>IF(C492="","",IFERROR(INDEX(art_unit,MATCH(C492,art_ref,0))&amp;"",""))</f>
        <v/>
      </c>
      <c r="G492" s="37" t="n"/>
      <c r="H492" s="37" t="n"/>
      <c r="I492" s="37" t="n"/>
      <c r="J492" s="40" t="str">
        <f>IF(OR(C492="",NOT(ISNUMBER(E492))),"",IFERROR(E492*N(INDEX(art_price,MATCH(C492,art_ref,0))),""))</f>
        <v/>
      </c>
      <c r="K492" s="39" t="str">
        <f>IF(OR(C492="",NOT(ISNUMBER(E492))),"",IFERROR(ROUND(N(INDEX(art_init,MATCH(C492,art_ref,0)))+SUMIFS($E$5:E492,$C$5:C492,C492,$B$5:B492,"Entrée")-SUMIFS($E$5:E492,$C$5:C492,C492,$B$5:B492,"Sortie"),6),""))</f>
        <v/>
      </c>
      <c r="L492" s="39" t="str">
        <f>IF(COUNTA(A492:C492,E492)=0,"",IF(COUNTA(A492:C492,E492)&lt;4,"Ligne incomplète",IF(NOT(ISNUMBER(A492)),"Date invalide",IF(AND(B492&lt;&gt;"Entrée",B492&lt;&gt;"Sortie"),"Type inconnu",IF(ISNA(MATCH(C492,art_ref,0)),"Référence inconnue",IF(OR(NOT(ISNUMBER(E492)),N(E492)&lt;=0),"Quantité invalide",IF(K492&lt;0,"Stock négatif",IF(AND(ISNUMBER(A491),A492&lt;A491),"Date hors ordre","OK"))))))))</f>
        <v/>
      </c>
      <c r="M492" s="39" t="str">
        <f>IF(C492="","",C492&amp;"#"&amp;COUNTIF($C$5:C492,C492))</f>
        <v/>
      </c>
    </row>
    <row r="493">
      <c r="A493" s="41" t="n"/>
      <c r="B493" s="37" t="n"/>
      <c r="C493" s="37" t="n"/>
      <c r="D493" s="39" t="str">
        <f>IF(C493="","",IFERROR(INDEX(art_des,MATCH(C493,art_ref,0))&amp;"","Référence inconnue"))</f>
        <v/>
      </c>
      <c r="E493" s="37" t="n"/>
      <c r="F493" s="39" t="str">
        <f>IF(C493="","",IFERROR(INDEX(art_unit,MATCH(C493,art_ref,0))&amp;"",""))</f>
        <v/>
      </c>
      <c r="G493" s="37" t="n"/>
      <c r="H493" s="37" t="n"/>
      <c r="I493" s="37" t="n"/>
      <c r="J493" s="40" t="str">
        <f>IF(OR(C493="",NOT(ISNUMBER(E493))),"",IFERROR(E493*N(INDEX(art_price,MATCH(C493,art_ref,0))),""))</f>
        <v/>
      </c>
      <c r="K493" s="39" t="str">
        <f>IF(OR(C493="",NOT(ISNUMBER(E493))),"",IFERROR(ROUND(N(INDEX(art_init,MATCH(C493,art_ref,0)))+SUMIFS($E$5:E493,$C$5:C493,C493,$B$5:B493,"Entrée")-SUMIFS($E$5:E493,$C$5:C493,C493,$B$5:B493,"Sortie"),6),""))</f>
        <v/>
      </c>
      <c r="L493" s="39" t="str">
        <f>IF(COUNTA(A493:C493,E493)=0,"",IF(COUNTA(A493:C493,E493)&lt;4,"Ligne incomplète",IF(NOT(ISNUMBER(A493)),"Date invalide",IF(AND(B493&lt;&gt;"Entrée",B493&lt;&gt;"Sortie"),"Type inconnu",IF(ISNA(MATCH(C493,art_ref,0)),"Référence inconnue",IF(OR(NOT(ISNUMBER(E493)),N(E493)&lt;=0),"Quantité invalide",IF(K493&lt;0,"Stock négatif",IF(AND(ISNUMBER(A492),A493&lt;A492),"Date hors ordre","OK"))))))))</f>
        <v/>
      </c>
      <c r="M493" s="39" t="str">
        <f>IF(C493="","",C493&amp;"#"&amp;COUNTIF($C$5:C493,C493))</f>
        <v/>
      </c>
    </row>
    <row r="494">
      <c r="A494" s="41" t="n"/>
      <c r="B494" s="37" t="n"/>
      <c r="C494" s="37" t="n"/>
      <c r="D494" s="39" t="str">
        <f>IF(C494="","",IFERROR(INDEX(art_des,MATCH(C494,art_ref,0))&amp;"","Référence inconnue"))</f>
        <v/>
      </c>
      <c r="E494" s="37" t="n"/>
      <c r="F494" s="39" t="str">
        <f>IF(C494="","",IFERROR(INDEX(art_unit,MATCH(C494,art_ref,0))&amp;"",""))</f>
        <v/>
      </c>
      <c r="G494" s="37" t="n"/>
      <c r="H494" s="37" t="n"/>
      <c r="I494" s="37" t="n"/>
      <c r="J494" s="40" t="str">
        <f>IF(OR(C494="",NOT(ISNUMBER(E494))),"",IFERROR(E494*N(INDEX(art_price,MATCH(C494,art_ref,0))),""))</f>
        <v/>
      </c>
      <c r="K494" s="39" t="str">
        <f>IF(OR(C494="",NOT(ISNUMBER(E494))),"",IFERROR(ROUND(N(INDEX(art_init,MATCH(C494,art_ref,0)))+SUMIFS($E$5:E494,$C$5:C494,C494,$B$5:B494,"Entrée")-SUMIFS($E$5:E494,$C$5:C494,C494,$B$5:B494,"Sortie"),6),""))</f>
        <v/>
      </c>
      <c r="L494" s="39" t="str">
        <f>IF(COUNTA(A494:C494,E494)=0,"",IF(COUNTA(A494:C494,E494)&lt;4,"Ligne incomplète",IF(NOT(ISNUMBER(A494)),"Date invalide",IF(AND(B494&lt;&gt;"Entrée",B494&lt;&gt;"Sortie"),"Type inconnu",IF(ISNA(MATCH(C494,art_ref,0)),"Référence inconnue",IF(OR(NOT(ISNUMBER(E494)),N(E494)&lt;=0),"Quantité invalide",IF(K494&lt;0,"Stock négatif",IF(AND(ISNUMBER(A493),A494&lt;A493),"Date hors ordre","OK"))))))))</f>
        <v/>
      </c>
      <c r="M494" s="39" t="str">
        <f>IF(C494="","",C494&amp;"#"&amp;COUNTIF($C$5:C494,C494))</f>
        <v/>
      </c>
    </row>
    <row r="495">
      <c r="A495" s="41" t="n"/>
      <c r="B495" s="37" t="n"/>
      <c r="C495" s="37" t="n"/>
      <c r="D495" s="39" t="str">
        <f>IF(C495="","",IFERROR(INDEX(art_des,MATCH(C495,art_ref,0))&amp;"","Référence inconnue"))</f>
        <v/>
      </c>
      <c r="E495" s="37" t="n"/>
      <c r="F495" s="39" t="str">
        <f>IF(C495="","",IFERROR(INDEX(art_unit,MATCH(C495,art_ref,0))&amp;"",""))</f>
        <v/>
      </c>
      <c r="G495" s="37" t="n"/>
      <c r="H495" s="37" t="n"/>
      <c r="I495" s="37" t="n"/>
      <c r="J495" s="40" t="str">
        <f>IF(OR(C495="",NOT(ISNUMBER(E495))),"",IFERROR(E495*N(INDEX(art_price,MATCH(C495,art_ref,0))),""))</f>
        <v/>
      </c>
      <c r="K495" s="39" t="str">
        <f>IF(OR(C495="",NOT(ISNUMBER(E495))),"",IFERROR(ROUND(N(INDEX(art_init,MATCH(C495,art_ref,0)))+SUMIFS($E$5:E495,$C$5:C495,C495,$B$5:B495,"Entrée")-SUMIFS($E$5:E495,$C$5:C495,C495,$B$5:B495,"Sortie"),6),""))</f>
        <v/>
      </c>
      <c r="L495" s="39" t="str">
        <f>IF(COUNTA(A495:C495,E495)=0,"",IF(COUNTA(A495:C495,E495)&lt;4,"Ligne incomplète",IF(NOT(ISNUMBER(A495)),"Date invalide",IF(AND(B495&lt;&gt;"Entrée",B495&lt;&gt;"Sortie"),"Type inconnu",IF(ISNA(MATCH(C495,art_ref,0)),"Référence inconnue",IF(OR(NOT(ISNUMBER(E495)),N(E495)&lt;=0),"Quantité invalide",IF(K495&lt;0,"Stock négatif",IF(AND(ISNUMBER(A494),A495&lt;A494),"Date hors ordre","OK"))))))))</f>
        <v/>
      </c>
      <c r="M495" s="39" t="str">
        <f>IF(C495="","",C495&amp;"#"&amp;COUNTIF($C$5:C495,C495))</f>
        <v/>
      </c>
    </row>
    <row r="496">
      <c r="A496" s="41" t="n"/>
      <c r="B496" s="37" t="n"/>
      <c r="C496" s="37" t="n"/>
      <c r="D496" s="39" t="str">
        <f>IF(C496="","",IFERROR(INDEX(art_des,MATCH(C496,art_ref,0))&amp;"","Référence inconnue"))</f>
        <v/>
      </c>
      <c r="E496" s="37" t="n"/>
      <c r="F496" s="39" t="str">
        <f>IF(C496="","",IFERROR(INDEX(art_unit,MATCH(C496,art_ref,0))&amp;"",""))</f>
        <v/>
      </c>
      <c r="G496" s="37" t="n"/>
      <c r="H496" s="37" t="n"/>
      <c r="I496" s="37" t="n"/>
      <c r="J496" s="40" t="str">
        <f>IF(OR(C496="",NOT(ISNUMBER(E496))),"",IFERROR(E496*N(INDEX(art_price,MATCH(C496,art_ref,0))),""))</f>
        <v/>
      </c>
      <c r="K496" s="39" t="str">
        <f>IF(OR(C496="",NOT(ISNUMBER(E496))),"",IFERROR(ROUND(N(INDEX(art_init,MATCH(C496,art_ref,0)))+SUMIFS($E$5:E496,$C$5:C496,C496,$B$5:B496,"Entrée")-SUMIFS($E$5:E496,$C$5:C496,C496,$B$5:B496,"Sortie"),6),""))</f>
        <v/>
      </c>
      <c r="L496" s="39" t="str">
        <f>IF(COUNTA(A496:C496,E496)=0,"",IF(COUNTA(A496:C496,E496)&lt;4,"Ligne incomplète",IF(NOT(ISNUMBER(A496)),"Date invalide",IF(AND(B496&lt;&gt;"Entrée",B496&lt;&gt;"Sortie"),"Type inconnu",IF(ISNA(MATCH(C496,art_ref,0)),"Référence inconnue",IF(OR(NOT(ISNUMBER(E496)),N(E496)&lt;=0),"Quantité invalide",IF(K496&lt;0,"Stock négatif",IF(AND(ISNUMBER(A495),A496&lt;A495),"Date hors ordre","OK"))))))))</f>
        <v/>
      </c>
      <c r="M496" s="39" t="str">
        <f>IF(C496="","",C496&amp;"#"&amp;COUNTIF($C$5:C496,C496))</f>
        <v/>
      </c>
    </row>
    <row r="497">
      <c r="A497" s="41" t="n"/>
      <c r="B497" s="37" t="n"/>
      <c r="C497" s="37" t="n"/>
      <c r="D497" s="39" t="str">
        <f>IF(C497="","",IFERROR(INDEX(art_des,MATCH(C497,art_ref,0))&amp;"","Référence inconnue"))</f>
        <v/>
      </c>
      <c r="E497" s="37" t="n"/>
      <c r="F497" s="39" t="str">
        <f>IF(C497="","",IFERROR(INDEX(art_unit,MATCH(C497,art_ref,0))&amp;"",""))</f>
        <v/>
      </c>
      <c r="G497" s="37" t="n"/>
      <c r="H497" s="37" t="n"/>
      <c r="I497" s="37" t="n"/>
      <c r="J497" s="40" t="str">
        <f>IF(OR(C497="",NOT(ISNUMBER(E497))),"",IFERROR(E497*N(INDEX(art_price,MATCH(C497,art_ref,0))),""))</f>
        <v/>
      </c>
      <c r="K497" s="39" t="str">
        <f>IF(OR(C497="",NOT(ISNUMBER(E497))),"",IFERROR(ROUND(N(INDEX(art_init,MATCH(C497,art_ref,0)))+SUMIFS($E$5:E497,$C$5:C497,C497,$B$5:B497,"Entrée")-SUMIFS($E$5:E497,$C$5:C497,C497,$B$5:B497,"Sortie"),6),""))</f>
        <v/>
      </c>
      <c r="L497" s="39" t="str">
        <f>IF(COUNTA(A497:C497,E497)=0,"",IF(COUNTA(A497:C497,E497)&lt;4,"Ligne incomplète",IF(NOT(ISNUMBER(A497)),"Date invalide",IF(AND(B497&lt;&gt;"Entrée",B497&lt;&gt;"Sortie"),"Type inconnu",IF(ISNA(MATCH(C497,art_ref,0)),"Référence inconnue",IF(OR(NOT(ISNUMBER(E497)),N(E497)&lt;=0),"Quantité invalide",IF(K497&lt;0,"Stock négatif",IF(AND(ISNUMBER(A496),A497&lt;A496),"Date hors ordre","OK"))))))))</f>
        <v/>
      </c>
      <c r="M497" s="39" t="str">
        <f>IF(C497="","",C497&amp;"#"&amp;COUNTIF($C$5:C497,C497))</f>
        <v/>
      </c>
    </row>
    <row r="498">
      <c r="A498" s="41" t="n"/>
      <c r="B498" s="37" t="n"/>
      <c r="C498" s="37" t="n"/>
      <c r="D498" s="39" t="str">
        <f>IF(C498="","",IFERROR(INDEX(art_des,MATCH(C498,art_ref,0))&amp;"","Référence inconnue"))</f>
        <v/>
      </c>
      <c r="E498" s="37" t="n"/>
      <c r="F498" s="39" t="str">
        <f>IF(C498="","",IFERROR(INDEX(art_unit,MATCH(C498,art_ref,0))&amp;"",""))</f>
        <v/>
      </c>
      <c r="G498" s="37" t="n"/>
      <c r="H498" s="37" t="n"/>
      <c r="I498" s="37" t="n"/>
      <c r="J498" s="40" t="str">
        <f>IF(OR(C498="",NOT(ISNUMBER(E498))),"",IFERROR(E498*N(INDEX(art_price,MATCH(C498,art_ref,0))),""))</f>
        <v/>
      </c>
      <c r="K498" s="39" t="str">
        <f>IF(OR(C498="",NOT(ISNUMBER(E498))),"",IFERROR(ROUND(N(INDEX(art_init,MATCH(C498,art_ref,0)))+SUMIFS($E$5:E498,$C$5:C498,C498,$B$5:B498,"Entrée")-SUMIFS($E$5:E498,$C$5:C498,C498,$B$5:B498,"Sortie"),6),""))</f>
        <v/>
      </c>
      <c r="L498" s="39" t="str">
        <f>IF(COUNTA(A498:C498,E498)=0,"",IF(COUNTA(A498:C498,E498)&lt;4,"Ligne incomplète",IF(NOT(ISNUMBER(A498)),"Date invalide",IF(AND(B498&lt;&gt;"Entrée",B498&lt;&gt;"Sortie"),"Type inconnu",IF(ISNA(MATCH(C498,art_ref,0)),"Référence inconnue",IF(OR(NOT(ISNUMBER(E498)),N(E498)&lt;=0),"Quantité invalide",IF(K498&lt;0,"Stock négatif",IF(AND(ISNUMBER(A497),A498&lt;A497),"Date hors ordre","OK"))))))))</f>
        <v/>
      </c>
      <c r="M498" s="39" t="str">
        <f>IF(C498="","",C498&amp;"#"&amp;COUNTIF($C$5:C498,C498))</f>
        <v/>
      </c>
    </row>
    <row r="499">
      <c r="A499" s="41" t="n"/>
      <c r="B499" s="37" t="n"/>
      <c r="C499" s="37" t="n"/>
      <c r="D499" s="39" t="str">
        <f>IF(C499="","",IFERROR(INDEX(art_des,MATCH(C499,art_ref,0))&amp;"","Référence inconnue"))</f>
        <v/>
      </c>
      <c r="E499" s="37" t="n"/>
      <c r="F499" s="39" t="str">
        <f>IF(C499="","",IFERROR(INDEX(art_unit,MATCH(C499,art_ref,0))&amp;"",""))</f>
        <v/>
      </c>
      <c r="G499" s="37" t="n"/>
      <c r="H499" s="37" t="n"/>
      <c r="I499" s="37" t="n"/>
      <c r="J499" s="40" t="str">
        <f>IF(OR(C499="",NOT(ISNUMBER(E499))),"",IFERROR(E499*N(INDEX(art_price,MATCH(C499,art_ref,0))),""))</f>
        <v/>
      </c>
      <c r="K499" s="39" t="str">
        <f>IF(OR(C499="",NOT(ISNUMBER(E499))),"",IFERROR(ROUND(N(INDEX(art_init,MATCH(C499,art_ref,0)))+SUMIFS($E$5:E499,$C$5:C499,C499,$B$5:B499,"Entrée")-SUMIFS($E$5:E499,$C$5:C499,C499,$B$5:B499,"Sortie"),6),""))</f>
        <v/>
      </c>
      <c r="L499" s="39" t="str">
        <f>IF(COUNTA(A499:C499,E499)=0,"",IF(COUNTA(A499:C499,E499)&lt;4,"Ligne incomplète",IF(NOT(ISNUMBER(A499)),"Date invalide",IF(AND(B499&lt;&gt;"Entrée",B499&lt;&gt;"Sortie"),"Type inconnu",IF(ISNA(MATCH(C499,art_ref,0)),"Référence inconnue",IF(OR(NOT(ISNUMBER(E499)),N(E499)&lt;=0),"Quantité invalide",IF(K499&lt;0,"Stock négatif",IF(AND(ISNUMBER(A498),A499&lt;A498),"Date hors ordre","OK"))))))))</f>
        <v/>
      </c>
      <c r="M499" s="39" t="str">
        <f>IF(C499="","",C499&amp;"#"&amp;COUNTIF($C$5:C499,C499))</f>
        <v/>
      </c>
    </row>
    <row r="500">
      <c r="A500" s="41" t="n"/>
      <c r="B500" s="37" t="n"/>
      <c r="C500" s="37" t="n"/>
      <c r="D500" s="39" t="str">
        <f>IF(C500="","",IFERROR(INDEX(art_des,MATCH(C500,art_ref,0))&amp;"","Référence inconnue"))</f>
        <v/>
      </c>
      <c r="E500" s="37" t="n"/>
      <c r="F500" s="39" t="str">
        <f>IF(C500="","",IFERROR(INDEX(art_unit,MATCH(C500,art_ref,0))&amp;"",""))</f>
        <v/>
      </c>
      <c r="G500" s="37" t="n"/>
      <c r="H500" s="37" t="n"/>
      <c r="I500" s="37" t="n"/>
      <c r="J500" s="40" t="str">
        <f>IF(OR(C500="",NOT(ISNUMBER(E500))),"",IFERROR(E500*N(INDEX(art_price,MATCH(C500,art_ref,0))),""))</f>
        <v/>
      </c>
      <c r="K500" s="39" t="str">
        <f>IF(OR(C500="",NOT(ISNUMBER(E500))),"",IFERROR(ROUND(N(INDEX(art_init,MATCH(C500,art_ref,0)))+SUMIFS($E$5:E500,$C$5:C500,C500,$B$5:B500,"Entrée")-SUMIFS($E$5:E500,$C$5:C500,C500,$B$5:B500,"Sortie"),6),""))</f>
        <v/>
      </c>
      <c r="L500" s="39" t="str">
        <f>IF(COUNTA(A500:C500,E500)=0,"",IF(COUNTA(A500:C500,E500)&lt;4,"Ligne incomplète",IF(NOT(ISNUMBER(A500)),"Date invalide",IF(AND(B500&lt;&gt;"Entrée",B500&lt;&gt;"Sortie"),"Type inconnu",IF(ISNA(MATCH(C500,art_ref,0)),"Référence inconnue",IF(OR(NOT(ISNUMBER(E500)),N(E500)&lt;=0),"Quantité invalide",IF(K500&lt;0,"Stock négatif",IF(AND(ISNUMBER(A499),A500&lt;A499),"Date hors ordre","OK"))))))))</f>
        <v/>
      </c>
      <c r="M500" s="39" t="str">
        <f>IF(C500="","",C500&amp;"#"&amp;COUNTIF($C$5:C500,C500))</f>
        <v/>
      </c>
    </row>
    <row r="501">
      <c r="A501" s="41" t="n"/>
      <c r="B501" s="37" t="n"/>
      <c r="C501" s="37" t="n"/>
      <c r="D501" s="39" t="str">
        <f>IF(C501="","",IFERROR(INDEX(art_des,MATCH(C501,art_ref,0))&amp;"","Référence inconnue"))</f>
        <v/>
      </c>
      <c r="E501" s="37" t="n"/>
      <c r="F501" s="39" t="str">
        <f>IF(C501="","",IFERROR(INDEX(art_unit,MATCH(C501,art_ref,0))&amp;"",""))</f>
        <v/>
      </c>
      <c r="G501" s="37" t="n"/>
      <c r="H501" s="37" t="n"/>
      <c r="I501" s="37" t="n"/>
      <c r="J501" s="40" t="str">
        <f>IF(OR(C501="",NOT(ISNUMBER(E501))),"",IFERROR(E501*N(INDEX(art_price,MATCH(C501,art_ref,0))),""))</f>
        <v/>
      </c>
      <c r="K501" s="39" t="str">
        <f>IF(OR(C501="",NOT(ISNUMBER(E501))),"",IFERROR(ROUND(N(INDEX(art_init,MATCH(C501,art_ref,0)))+SUMIFS($E$5:E501,$C$5:C501,C501,$B$5:B501,"Entrée")-SUMIFS($E$5:E501,$C$5:C501,C501,$B$5:B501,"Sortie"),6),""))</f>
        <v/>
      </c>
      <c r="L501" s="39" t="str">
        <f>IF(COUNTA(A501:C501,E501)=0,"",IF(COUNTA(A501:C501,E501)&lt;4,"Ligne incomplète",IF(NOT(ISNUMBER(A501)),"Date invalide",IF(AND(B501&lt;&gt;"Entrée",B501&lt;&gt;"Sortie"),"Type inconnu",IF(ISNA(MATCH(C501,art_ref,0)),"Référence inconnue",IF(OR(NOT(ISNUMBER(E501)),N(E501)&lt;=0),"Quantité invalide",IF(K501&lt;0,"Stock négatif",IF(AND(ISNUMBER(A500),A501&lt;A500),"Date hors ordre","OK"))))))))</f>
        <v/>
      </c>
      <c r="M501" s="39" t="str">
        <f>IF(C501="","",C501&amp;"#"&amp;COUNTIF($C$5:C501,C501))</f>
        <v/>
      </c>
    </row>
    <row r="502">
      <c r="A502" s="41" t="n"/>
      <c r="B502" s="37" t="n"/>
      <c r="C502" s="37" t="n"/>
      <c r="D502" s="39" t="str">
        <f>IF(C502="","",IFERROR(INDEX(art_des,MATCH(C502,art_ref,0))&amp;"","Référence inconnue"))</f>
        <v/>
      </c>
      <c r="E502" s="37" t="n"/>
      <c r="F502" s="39" t="str">
        <f>IF(C502="","",IFERROR(INDEX(art_unit,MATCH(C502,art_ref,0))&amp;"",""))</f>
        <v/>
      </c>
      <c r="G502" s="37" t="n"/>
      <c r="H502" s="37" t="n"/>
      <c r="I502" s="37" t="n"/>
      <c r="J502" s="40" t="str">
        <f>IF(OR(C502="",NOT(ISNUMBER(E502))),"",IFERROR(E502*N(INDEX(art_price,MATCH(C502,art_ref,0))),""))</f>
        <v/>
      </c>
      <c r="K502" s="39" t="str">
        <f>IF(OR(C502="",NOT(ISNUMBER(E502))),"",IFERROR(ROUND(N(INDEX(art_init,MATCH(C502,art_ref,0)))+SUMIFS($E$5:E502,$C$5:C502,C502,$B$5:B502,"Entrée")-SUMIFS($E$5:E502,$C$5:C502,C502,$B$5:B502,"Sortie"),6),""))</f>
        <v/>
      </c>
      <c r="L502" s="39" t="str">
        <f>IF(COUNTA(A502:C502,E502)=0,"",IF(COUNTA(A502:C502,E502)&lt;4,"Ligne incomplète",IF(NOT(ISNUMBER(A502)),"Date invalide",IF(AND(B502&lt;&gt;"Entrée",B502&lt;&gt;"Sortie"),"Type inconnu",IF(ISNA(MATCH(C502,art_ref,0)),"Référence inconnue",IF(OR(NOT(ISNUMBER(E502)),N(E502)&lt;=0),"Quantité invalide",IF(K502&lt;0,"Stock négatif",IF(AND(ISNUMBER(A501),A502&lt;A501),"Date hors ordre","OK"))))))))</f>
        <v/>
      </c>
      <c r="M502" s="39" t="str">
        <f>IF(C502="","",C502&amp;"#"&amp;COUNTIF($C$5:C502,C502))</f>
        <v/>
      </c>
    </row>
    <row r="503">
      <c r="A503" s="41" t="n"/>
      <c r="B503" s="37" t="n"/>
      <c r="C503" s="37" t="n"/>
      <c r="D503" s="39" t="str">
        <f>IF(C503="","",IFERROR(INDEX(art_des,MATCH(C503,art_ref,0))&amp;"","Référence inconnue"))</f>
        <v/>
      </c>
      <c r="E503" s="37" t="n"/>
      <c r="F503" s="39" t="str">
        <f>IF(C503="","",IFERROR(INDEX(art_unit,MATCH(C503,art_ref,0))&amp;"",""))</f>
        <v/>
      </c>
      <c r="G503" s="37" t="n"/>
      <c r="H503" s="37" t="n"/>
      <c r="I503" s="37" t="n"/>
      <c r="J503" s="40" t="str">
        <f>IF(OR(C503="",NOT(ISNUMBER(E503))),"",IFERROR(E503*N(INDEX(art_price,MATCH(C503,art_ref,0))),""))</f>
        <v/>
      </c>
      <c r="K503" s="39" t="str">
        <f>IF(OR(C503="",NOT(ISNUMBER(E503))),"",IFERROR(ROUND(N(INDEX(art_init,MATCH(C503,art_ref,0)))+SUMIFS($E$5:E503,$C$5:C503,C503,$B$5:B503,"Entrée")-SUMIFS($E$5:E503,$C$5:C503,C503,$B$5:B503,"Sortie"),6),""))</f>
        <v/>
      </c>
      <c r="L503" s="39" t="str">
        <f>IF(COUNTA(A503:C503,E503)=0,"",IF(COUNTA(A503:C503,E503)&lt;4,"Ligne incomplète",IF(NOT(ISNUMBER(A503)),"Date invalide",IF(AND(B503&lt;&gt;"Entrée",B503&lt;&gt;"Sortie"),"Type inconnu",IF(ISNA(MATCH(C503,art_ref,0)),"Référence inconnue",IF(OR(NOT(ISNUMBER(E503)),N(E503)&lt;=0),"Quantité invalide",IF(K503&lt;0,"Stock négatif",IF(AND(ISNUMBER(A502),A503&lt;A502),"Date hors ordre","OK"))))))))</f>
        <v/>
      </c>
      <c r="M503" s="39" t="str">
        <f>IF(C503="","",C503&amp;"#"&amp;COUNTIF($C$5:C503,C503))</f>
        <v/>
      </c>
    </row>
    <row r="504">
      <c r="A504" s="41" t="n"/>
      <c r="B504" s="37" t="n"/>
      <c r="C504" s="37" t="n"/>
      <c r="D504" s="39" t="str">
        <f>IF(C504="","",IFERROR(INDEX(art_des,MATCH(C504,art_ref,0))&amp;"","Référence inconnue"))</f>
        <v/>
      </c>
      <c r="E504" s="37" t="n"/>
      <c r="F504" s="39" t="str">
        <f>IF(C504="","",IFERROR(INDEX(art_unit,MATCH(C504,art_ref,0))&amp;"",""))</f>
        <v/>
      </c>
      <c r="G504" s="37" t="n"/>
      <c r="H504" s="37" t="n"/>
      <c r="I504" s="37" t="n"/>
      <c r="J504" s="40" t="str">
        <f>IF(OR(C504="",NOT(ISNUMBER(E504))),"",IFERROR(E504*N(INDEX(art_price,MATCH(C504,art_ref,0))),""))</f>
        <v/>
      </c>
      <c r="K504" s="39" t="str">
        <f>IF(OR(C504="",NOT(ISNUMBER(E504))),"",IFERROR(ROUND(N(INDEX(art_init,MATCH(C504,art_ref,0)))+SUMIFS($E$5:E504,$C$5:C504,C504,$B$5:B504,"Entrée")-SUMIFS($E$5:E504,$C$5:C504,C504,$B$5:B504,"Sortie"),6),""))</f>
        <v/>
      </c>
      <c r="L504" s="39" t="str">
        <f>IF(COUNTA(A504:C504,E504)=0,"",IF(COUNTA(A504:C504,E504)&lt;4,"Ligne incomplète",IF(NOT(ISNUMBER(A504)),"Date invalide",IF(AND(B504&lt;&gt;"Entrée",B504&lt;&gt;"Sortie"),"Type inconnu",IF(ISNA(MATCH(C504,art_ref,0)),"Référence inconnue",IF(OR(NOT(ISNUMBER(E504)),N(E504)&lt;=0),"Quantité invalide",IF(K504&lt;0,"Stock négatif",IF(AND(ISNUMBER(A503),A504&lt;A503),"Date hors ordre","OK"))))))))</f>
        <v/>
      </c>
      <c r="M504" s="39" t="str">
        <f>IF(C504="","",C504&amp;"#"&amp;COUNTIF($C$5:C504,C504))</f>
        <v/>
      </c>
    </row>
    <row r="505">
      <c r="A505" s="41" t="n"/>
      <c r="B505" s="37" t="n"/>
      <c r="C505" s="37" t="n"/>
      <c r="D505" s="39" t="str">
        <f>IF(C505="","",IFERROR(INDEX(art_des,MATCH(C505,art_ref,0))&amp;"","Référence inconnue"))</f>
        <v/>
      </c>
      <c r="E505" s="37" t="n"/>
      <c r="F505" s="39" t="str">
        <f>IF(C505="","",IFERROR(INDEX(art_unit,MATCH(C505,art_ref,0))&amp;"",""))</f>
        <v/>
      </c>
      <c r="G505" s="37" t="n"/>
      <c r="H505" s="37" t="n"/>
      <c r="I505" s="37" t="n"/>
      <c r="J505" s="40" t="str">
        <f>IF(OR(C505="",NOT(ISNUMBER(E505))),"",IFERROR(E505*N(INDEX(art_price,MATCH(C505,art_ref,0))),""))</f>
        <v/>
      </c>
      <c r="K505" s="39" t="str">
        <f>IF(OR(C505="",NOT(ISNUMBER(E505))),"",IFERROR(ROUND(N(INDEX(art_init,MATCH(C505,art_ref,0)))+SUMIFS($E$5:E505,$C$5:C505,C505,$B$5:B505,"Entrée")-SUMIFS($E$5:E505,$C$5:C505,C505,$B$5:B505,"Sortie"),6),""))</f>
        <v/>
      </c>
      <c r="L505" s="39" t="str">
        <f>IF(COUNTA(A505:C505,E505)=0,"",IF(COUNTA(A505:C505,E505)&lt;4,"Ligne incomplète",IF(NOT(ISNUMBER(A505)),"Date invalide",IF(AND(B505&lt;&gt;"Entrée",B505&lt;&gt;"Sortie"),"Type inconnu",IF(ISNA(MATCH(C505,art_ref,0)),"Référence inconnue",IF(OR(NOT(ISNUMBER(E505)),N(E505)&lt;=0),"Quantité invalide",IF(K505&lt;0,"Stock négatif",IF(AND(ISNUMBER(A504),A505&lt;A504),"Date hors ordre","OK"))))))))</f>
        <v/>
      </c>
      <c r="M505" s="39" t="str">
        <f>IF(C505="","",C505&amp;"#"&amp;COUNTIF($C$5:C505,C505))</f>
        <v/>
      </c>
    </row>
    <row r="506">
      <c r="A506" s="41" t="n"/>
      <c r="B506" s="37" t="n"/>
      <c r="C506" s="37" t="n"/>
      <c r="D506" s="39" t="str">
        <f>IF(C506="","",IFERROR(INDEX(art_des,MATCH(C506,art_ref,0))&amp;"","Référence inconnue"))</f>
        <v/>
      </c>
      <c r="E506" s="37" t="n"/>
      <c r="F506" s="39" t="str">
        <f>IF(C506="","",IFERROR(INDEX(art_unit,MATCH(C506,art_ref,0))&amp;"",""))</f>
        <v/>
      </c>
      <c r="G506" s="37" t="n"/>
      <c r="H506" s="37" t="n"/>
      <c r="I506" s="37" t="n"/>
      <c r="J506" s="40" t="str">
        <f>IF(OR(C506="",NOT(ISNUMBER(E506))),"",IFERROR(E506*N(INDEX(art_price,MATCH(C506,art_ref,0))),""))</f>
        <v/>
      </c>
      <c r="K506" s="39" t="str">
        <f>IF(OR(C506="",NOT(ISNUMBER(E506))),"",IFERROR(ROUND(N(INDEX(art_init,MATCH(C506,art_ref,0)))+SUMIFS($E$5:E506,$C$5:C506,C506,$B$5:B506,"Entrée")-SUMIFS($E$5:E506,$C$5:C506,C506,$B$5:B506,"Sortie"),6),""))</f>
        <v/>
      </c>
      <c r="L506" s="39" t="str">
        <f>IF(COUNTA(A506:C506,E506)=0,"",IF(COUNTA(A506:C506,E506)&lt;4,"Ligne incomplète",IF(NOT(ISNUMBER(A506)),"Date invalide",IF(AND(B506&lt;&gt;"Entrée",B506&lt;&gt;"Sortie"),"Type inconnu",IF(ISNA(MATCH(C506,art_ref,0)),"Référence inconnue",IF(OR(NOT(ISNUMBER(E506)),N(E506)&lt;=0),"Quantité invalide",IF(K506&lt;0,"Stock négatif",IF(AND(ISNUMBER(A505),A506&lt;A505),"Date hors ordre","OK"))))))))</f>
        <v/>
      </c>
      <c r="M506" s="39" t="str">
        <f>IF(C506="","",C506&amp;"#"&amp;COUNTIF($C$5:C506,C506))</f>
        <v/>
      </c>
    </row>
    <row r="507">
      <c r="A507" s="41" t="n"/>
      <c r="B507" s="37" t="n"/>
      <c r="C507" s="37" t="n"/>
      <c r="D507" s="39" t="str">
        <f>IF(C507="","",IFERROR(INDEX(art_des,MATCH(C507,art_ref,0))&amp;"","Référence inconnue"))</f>
        <v/>
      </c>
      <c r="E507" s="37" t="n"/>
      <c r="F507" s="39" t="str">
        <f>IF(C507="","",IFERROR(INDEX(art_unit,MATCH(C507,art_ref,0))&amp;"",""))</f>
        <v/>
      </c>
      <c r="G507" s="37" t="n"/>
      <c r="H507" s="37" t="n"/>
      <c r="I507" s="37" t="n"/>
      <c r="J507" s="40" t="str">
        <f>IF(OR(C507="",NOT(ISNUMBER(E507))),"",IFERROR(E507*N(INDEX(art_price,MATCH(C507,art_ref,0))),""))</f>
        <v/>
      </c>
      <c r="K507" s="39" t="str">
        <f>IF(OR(C507="",NOT(ISNUMBER(E507))),"",IFERROR(ROUND(N(INDEX(art_init,MATCH(C507,art_ref,0)))+SUMIFS($E$5:E507,$C$5:C507,C507,$B$5:B507,"Entrée")-SUMIFS($E$5:E507,$C$5:C507,C507,$B$5:B507,"Sortie"),6),""))</f>
        <v/>
      </c>
      <c r="L507" s="39" t="str">
        <f>IF(COUNTA(A507:C507,E507)=0,"",IF(COUNTA(A507:C507,E507)&lt;4,"Ligne incomplète",IF(NOT(ISNUMBER(A507)),"Date invalide",IF(AND(B507&lt;&gt;"Entrée",B507&lt;&gt;"Sortie"),"Type inconnu",IF(ISNA(MATCH(C507,art_ref,0)),"Référence inconnue",IF(OR(NOT(ISNUMBER(E507)),N(E507)&lt;=0),"Quantité invalide",IF(K507&lt;0,"Stock négatif",IF(AND(ISNUMBER(A506),A507&lt;A506),"Date hors ordre","OK"))))))))</f>
        <v/>
      </c>
      <c r="M507" s="39" t="str">
        <f>IF(C507="","",C507&amp;"#"&amp;COUNTIF($C$5:C507,C507))</f>
        <v/>
      </c>
    </row>
    <row r="508">
      <c r="A508" s="41" t="n"/>
      <c r="B508" s="37" t="n"/>
      <c r="C508" s="37" t="n"/>
      <c r="D508" s="39" t="str">
        <f>IF(C508="","",IFERROR(INDEX(art_des,MATCH(C508,art_ref,0))&amp;"","Référence inconnue"))</f>
        <v/>
      </c>
      <c r="E508" s="37" t="n"/>
      <c r="F508" s="39" t="str">
        <f>IF(C508="","",IFERROR(INDEX(art_unit,MATCH(C508,art_ref,0))&amp;"",""))</f>
        <v/>
      </c>
      <c r="G508" s="37" t="n"/>
      <c r="H508" s="37" t="n"/>
      <c r="I508" s="37" t="n"/>
      <c r="J508" s="40" t="str">
        <f>IF(OR(C508="",NOT(ISNUMBER(E508))),"",IFERROR(E508*N(INDEX(art_price,MATCH(C508,art_ref,0))),""))</f>
        <v/>
      </c>
      <c r="K508" s="39" t="str">
        <f>IF(OR(C508="",NOT(ISNUMBER(E508))),"",IFERROR(ROUND(N(INDEX(art_init,MATCH(C508,art_ref,0)))+SUMIFS($E$5:E508,$C$5:C508,C508,$B$5:B508,"Entrée")-SUMIFS($E$5:E508,$C$5:C508,C508,$B$5:B508,"Sortie"),6),""))</f>
        <v/>
      </c>
      <c r="L508" s="39" t="str">
        <f>IF(COUNTA(A508:C508,E508)=0,"",IF(COUNTA(A508:C508,E508)&lt;4,"Ligne incomplète",IF(NOT(ISNUMBER(A508)),"Date invalide",IF(AND(B508&lt;&gt;"Entrée",B508&lt;&gt;"Sortie"),"Type inconnu",IF(ISNA(MATCH(C508,art_ref,0)),"Référence inconnue",IF(OR(NOT(ISNUMBER(E508)),N(E508)&lt;=0),"Quantité invalide",IF(K508&lt;0,"Stock négatif",IF(AND(ISNUMBER(A507),A508&lt;A507),"Date hors ordre","OK"))))))))</f>
        <v/>
      </c>
      <c r="M508" s="39" t="str">
        <f>IF(C508="","",C508&amp;"#"&amp;COUNTIF($C$5:C508,C508))</f>
        <v/>
      </c>
    </row>
    <row r="509">
      <c r="A509" s="41" t="n"/>
      <c r="B509" s="37" t="n"/>
      <c r="C509" s="37" t="n"/>
      <c r="D509" s="39" t="str">
        <f>IF(C509="","",IFERROR(INDEX(art_des,MATCH(C509,art_ref,0))&amp;"","Référence inconnue"))</f>
        <v/>
      </c>
      <c r="E509" s="37" t="n"/>
      <c r="F509" s="39" t="str">
        <f>IF(C509="","",IFERROR(INDEX(art_unit,MATCH(C509,art_ref,0))&amp;"",""))</f>
        <v/>
      </c>
      <c r="G509" s="37" t="n"/>
      <c r="H509" s="37" t="n"/>
      <c r="I509" s="37" t="n"/>
      <c r="J509" s="40" t="str">
        <f>IF(OR(C509="",NOT(ISNUMBER(E509))),"",IFERROR(E509*N(INDEX(art_price,MATCH(C509,art_ref,0))),""))</f>
        <v/>
      </c>
      <c r="K509" s="39" t="str">
        <f>IF(OR(C509="",NOT(ISNUMBER(E509))),"",IFERROR(ROUND(N(INDEX(art_init,MATCH(C509,art_ref,0)))+SUMIFS($E$5:E509,$C$5:C509,C509,$B$5:B509,"Entrée")-SUMIFS($E$5:E509,$C$5:C509,C509,$B$5:B509,"Sortie"),6),""))</f>
        <v/>
      </c>
      <c r="L509" s="39" t="str">
        <f>IF(COUNTA(A509:C509,E509)=0,"",IF(COUNTA(A509:C509,E509)&lt;4,"Ligne incomplète",IF(NOT(ISNUMBER(A509)),"Date invalide",IF(AND(B509&lt;&gt;"Entrée",B509&lt;&gt;"Sortie"),"Type inconnu",IF(ISNA(MATCH(C509,art_ref,0)),"Référence inconnue",IF(OR(NOT(ISNUMBER(E509)),N(E509)&lt;=0),"Quantité invalide",IF(K509&lt;0,"Stock négatif",IF(AND(ISNUMBER(A508),A509&lt;A508),"Date hors ordre","OK"))))))))</f>
        <v/>
      </c>
      <c r="M509" s="39" t="str">
        <f>IF(C509="","",C509&amp;"#"&amp;COUNTIF($C$5:C509,C509))</f>
        <v/>
      </c>
    </row>
    <row r="510">
      <c r="A510" s="41" t="n"/>
      <c r="B510" s="37" t="n"/>
      <c r="C510" s="37" t="n"/>
      <c r="D510" s="39" t="str">
        <f>IF(C510="","",IFERROR(INDEX(art_des,MATCH(C510,art_ref,0))&amp;"","Référence inconnue"))</f>
        <v/>
      </c>
      <c r="E510" s="37" t="n"/>
      <c r="F510" s="39" t="str">
        <f>IF(C510="","",IFERROR(INDEX(art_unit,MATCH(C510,art_ref,0))&amp;"",""))</f>
        <v/>
      </c>
      <c r="G510" s="37" t="n"/>
      <c r="H510" s="37" t="n"/>
      <c r="I510" s="37" t="n"/>
      <c r="J510" s="40" t="str">
        <f>IF(OR(C510="",NOT(ISNUMBER(E510))),"",IFERROR(E510*N(INDEX(art_price,MATCH(C510,art_ref,0))),""))</f>
        <v/>
      </c>
      <c r="K510" s="39" t="str">
        <f>IF(OR(C510="",NOT(ISNUMBER(E510))),"",IFERROR(ROUND(N(INDEX(art_init,MATCH(C510,art_ref,0)))+SUMIFS($E$5:E510,$C$5:C510,C510,$B$5:B510,"Entrée")-SUMIFS($E$5:E510,$C$5:C510,C510,$B$5:B510,"Sortie"),6),""))</f>
        <v/>
      </c>
      <c r="L510" s="39" t="str">
        <f>IF(COUNTA(A510:C510,E510)=0,"",IF(COUNTA(A510:C510,E510)&lt;4,"Ligne incomplète",IF(NOT(ISNUMBER(A510)),"Date invalide",IF(AND(B510&lt;&gt;"Entrée",B510&lt;&gt;"Sortie"),"Type inconnu",IF(ISNA(MATCH(C510,art_ref,0)),"Référence inconnue",IF(OR(NOT(ISNUMBER(E510)),N(E510)&lt;=0),"Quantité invalide",IF(K510&lt;0,"Stock négatif",IF(AND(ISNUMBER(A509),A510&lt;A509),"Date hors ordre","OK"))))))))</f>
        <v/>
      </c>
      <c r="M510" s="39" t="str">
        <f>IF(C510="","",C510&amp;"#"&amp;COUNTIF($C$5:C510,C510))</f>
        <v/>
      </c>
    </row>
    <row r="511">
      <c r="A511" s="41" t="n"/>
      <c r="B511" s="37" t="n"/>
      <c r="C511" s="37" t="n"/>
      <c r="D511" s="39" t="str">
        <f>IF(C511="","",IFERROR(INDEX(art_des,MATCH(C511,art_ref,0))&amp;"","Référence inconnue"))</f>
        <v/>
      </c>
      <c r="E511" s="37" t="n"/>
      <c r="F511" s="39" t="str">
        <f>IF(C511="","",IFERROR(INDEX(art_unit,MATCH(C511,art_ref,0))&amp;"",""))</f>
        <v/>
      </c>
      <c r="G511" s="37" t="n"/>
      <c r="H511" s="37" t="n"/>
      <c r="I511" s="37" t="n"/>
      <c r="J511" s="40" t="str">
        <f>IF(OR(C511="",NOT(ISNUMBER(E511))),"",IFERROR(E511*N(INDEX(art_price,MATCH(C511,art_ref,0))),""))</f>
        <v/>
      </c>
      <c r="K511" s="39" t="str">
        <f>IF(OR(C511="",NOT(ISNUMBER(E511))),"",IFERROR(ROUND(N(INDEX(art_init,MATCH(C511,art_ref,0)))+SUMIFS($E$5:E511,$C$5:C511,C511,$B$5:B511,"Entrée")-SUMIFS($E$5:E511,$C$5:C511,C511,$B$5:B511,"Sortie"),6),""))</f>
        <v/>
      </c>
      <c r="L511" s="39" t="str">
        <f>IF(COUNTA(A511:C511,E511)=0,"",IF(COUNTA(A511:C511,E511)&lt;4,"Ligne incomplète",IF(NOT(ISNUMBER(A511)),"Date invalide",IF(AND(B511&lt;&gt;"Entrée",B511&lt;&gt;"Sortie"),"Type inconnu",IF(ISNA(MATCH(C511,art_ref,0)),"Référence inconnue",IF(OR(NOT(ISNUMBER(E511)),N(E511)&lt;=0),"Quantité invalide",IF(K511&lt;0,"Stock négatif",IF(AND(ISNUMBER(A510),A511&lt;A510),"Date hors ordre","OK"))))))))</f>
        <v/>
      </c>
      <c r="M511" s="39" t="str">
        <f>IF(C511="","",C511&amp;"#"&amp;COUNTIF($C$5:C511,C511))</f>
        <v/>
      </c>
    </row>
    <row r="512">
      <c r="A512" s="41" t="n"/>
      <c r="B512" s="37" t="n"/>
      <c r="C512" s="37" t="n"/>
      <c r="D512" s="39" t="str">
        <f>IF(C512="","",IFERROR(INDEX(art_des,MATCH(C512,art_ref,0))&amp;"","Référence inconnue"))</f>
        <v/>
      </c>
      <c r="E512" s="37" t="n"/>
      <c r="F512" s="39" t="str">
        <f>IF(C512="","",IFERROR(INDEX(art_unit,MATCH(C512,art_ref,0))&amp;"",""))</f>
        <v/>
      </c>
      <c r="G512" s="37" t="n"/>
      <c r="H512" s="37" t="n"/>
      <c r="I512" s="37" t="n"/>
      <c r="J512" s="40" t="str">
        <f>IF(OR(C512="",NOT(ISNUMBER(E512))),"",IFERROR(E512*N(INDEX(art_price,MATCH(C512,art_ref,0))),""))</f>
        <v/>
      </c>
      <c r="K512" s="39" t="str">
        <f>IF(OR(C512="",NOT(ISNUMBER(E512))),"",IFERROR(ROUND(N(INDEX(art_init,MATCH(C512,art_ref,0)))+SUMIFS($E$5:E512,$C$5:C512,C512,$B$5:B512,"Entrée")-SUMIFS($E$5:E512,$C$5:C512,C512,$B$5:B512,"Sortie"),6),""))</f>
        <v/>
      </c>
      <c r="L512" s="39" t="str">
        <f>IF(COUNTA(A512:C512,E512)=0,"",IF(COUNTA(A512:C512,E512)&lt;4,"Ligne incomplète",IF(NOT(ISNUMBER(A512)),"Date invalide",IF(AND(B512&lt;&gt;"Entrée",B512&lt;&gt;"Sortie"),"Type inconnu",IF(ISNA(MATCH(C512,art_ref,0)),"Référence inconnue",IF(OR(NOT(ISNUMBER(E512)),N(E512)&lt;=0),"Quantité invalide",IF(K512&lt;0,"Stock négatif",IF(AND(ISNUMBER(A511),A512&lt;A511),"Date hors ordre","OK"))))))))</f>
        <v/>
      </c>
      <c r="M512" s="39" t="str">
        <f>IF(C512="","",C512&amp;"#"&amp;COUNTIF($C$5:C512,C512))</f>
        <v/>
      </c>
    </row>
    <row r="513">
      <c r="A513" s="41" t="n"/>
      <c r="B513" s="37" t="n"/>
      <c r="C513" s="37" t="n"/>
      <c r="D513" s="39" t="str">
        <f>IF(C513="","",IFERROR(INDEX(art_des,MATCH(C513,art_ref,0))&amp;"","Référence inconnue"))</f>
        <v/>
      </c>
      <c r="E513" s="37" t="n"/>
      <c r="F513" s="39" t="str">
        <f>IF(C513="","",IFERROR(INDEX(art_unit,MATCH(C513,art_ref,0))&amp;"",""))</f>
        <v/>
      </c>
      <c r="G513" s="37" t="n"/>
      <c r="H513" s="37" t="n"/>
      <c r="I513" s="37" t="n"/>
      <c r="J513" s="40" t="str">
        <f>IF(OR(C513="",NOT(ISNUMBER(E513))),"",IFERROR(E513*N(INDEX(art_price,MATCH(C513,art_ref,0))),""))</f>
        <v/>
      </c>
      <c r="K513" s="39" t="str">
        <f>IF(OR(C513="",NOT(ISNUMBER(E513))),"",IFERROR(ROUND(N(INDEX(art_init,MATCH(C513,art_ref,0)))+SUMIFS($E$5:E513,$C$5:C513,C513,$B$5:B513,"Entrée")-SUMIFS($E$5:E513,$C$5:C513,C513,$B$5:B513,"Sortie"),6),""))</f>
        <v/>
      </c>
      <c r="L513" s="39" t="str">
        <f>IF(COUNTA(A513:C513,E513)=0,"",IF(COUNTA(A513:C513,E513)&lt;4,"Ligne incomplète",IF(NOT(ISNUMBER(A513)),"Date invalide",IF(AND(B513&lt;&gt;"Entrée",B513&lt;&gt;"Sortie"),"Type inconnu",IF(ISNA(MATCH(C513,art_ref,0)),"Référence inconnue",IF(OR(NOT(ISNUMBER(E513)),N(E513)&lt;=0),"Quantité invalide",IF(K513&lt;0,"Stock négatif",IF(AND(ISNUMBER(A512),A513&lt;A512),"Date hors ordre","OK"))))))))</f>
        <v/>
      </c>
      <c r="M513" s="39" t="str">
        <f>IF(C513="","",C513&amp;"#"&amp;COUNTIF($C$5:C513,C513))</f>
        <v/>
      </c>
    </row>
    <row r="514">
      <c r="A514" s="41" t="n"/>
      <c r="B514" s="37" t="n"/>
      <c r="C514" s="37" t="n"/>
      <c r="D514" s="39" t="str">
        <f>IF(C514="","",IFERROR(INDEX(art_des,MATCH(C514,art_ref,0))&amp;"","Référence inconnue"))</f>
        <v/>
      </c>
      <c r="E514" s="37" t="n"/>
      <c r="F514" s="39" t="str">
        <f>IF(C514="","",IFERROR(INDEX(art_unit,MATCH(C514,art_ref,0))&amp;"",""))</f>
        <v/>
      </c>
      <c r="G514" s="37" t="n"/>
      <c r="H514" s="37" t="n"/>
      <c r="I514" s="37" t="n"/>
      <c r="J514" s="40" t="str">
        <f>IF(OR(C514="",NOT(ISNUMBER(E514))),"",IFERROR(E514*N(INDEX(art_price,MATCH(C514,art_ref,0))),""))</f>
        <v/>
      </c>
      <c r="K514" s="39" t="str">
        <f>IF(OR(C514="",NOT(ISNUMBER(E514))),"",IFERROR(ROUND(N(INDEX(art_init,MATCH(C514,art_ref,0)))+SUMIFS($E$5:E514,$C$5:C514,C514,$B$5:B514,"Entrée")-SUMIFS($E$5:E514,$C$5:C514,C514,$B$5:B514,"Sortie"),6),""))</f>
        <v/>
      </c>
      <c r="L514" s="39" t="str">
        <f>IF(COUNTA(A514:C514,E514)=0,"",IF(COUNTA(A514:C514,E514)&lt;4,"Ligne incomplète",IF(NOT(ISNUMBER(A514)),"Date invalide",IF(AND(B514&lt;&gt;"Entrée",B514&lt;&gt;"Sortie"),"Type inconnu",IF(ISNA(MATCH(C514,art_ref,0)),"Référence inconnue",IF(OR(NOT(ISNUMBER(E514)),N(E514)&lt;=0),"Quantité invalide",IF(K514&lt;0,"Stock négatif",IF(AND(ISNUMBER(A513),A514&lt;A513),"Date hors ordre","OK"))))))))</f>
        <v/>
      </c>
      <c r="M514" s="39" t="str">
        <f>IF(C514="","",C514&amp;"#"&amp;COUNTIF($C$5:C514,C514))</f>
        <v/>
      </c>
    </row>
    <row r="515">
      <c r="A515" s="41" t="n"/>
      <c r="B515" s="37" t="n"/>
      <c r="C515" s="37" t="n"/>
      <c r="D515" s="39" t="str">
        <f>IF(C515="","",IFERROR(INDEX(art_des,MATCH(C515,art_ref,0))&amp;"","Référence inconnue"))</f>
        <v/>
      </c>
      <c r="E515" s="37" t="n"/>
      <c r="F515" s="39" t="str">
        <f>IF(C515="","",IFERROR(INDEX(art_unit,MATCH(C515,art_ref,0))&amp;"",""))</f>
        <v/>
      </c>
      <c r="G515" s="37" t="n"/>
      <c r="H515" s="37" t="n"/>
      <c r="I515" s="37" t="n"/>
      <c r="J515" s="40" t="str">
        <f>IF(OR(C515="",NOT(ISNUMBER(E515))),"",IFERROR(E515*N(INDEX(art_price,MATCH(C515,art_ref,0))),""))</f>
        <v/>
      </c>
      <c r="K515" s="39" t="str">
        <f>IF(OR(C515="",NOT(ISNUMBER(E515))),"",IFERROR(ROUND(N(INDEX(art_init,MATCH(C515,art_ref,0)))+SUMIFS($E$5:E515,$C$5:C515,C515,$B$5:B515,"Entrée")-SUMIFS($E$5:E515,$C$5:C515,C515,$B$5:B515,"Sortie"),6),""))</f>
        <v/>
      </c>
      <c r="L515" s="39" t="str">
        <f>IF(COUNTA(A515:C515,E515)=0,"",IF(COUNTA(A515:C515,E515)&lt;4,"Ligne incomplète",IF(NOT(ISNUMBER(A515)),"Date invalide",IF(AND(B515&lt;&gt;"Entrée",B515&lt;&gt;"Sortie"),"Type inconnu",IF(ISNA(MATCH(C515,art_ref,0)),"Référence inconnue",IF(OR(NOT(ISNUMBER(E515)),N(E515)&lt;=0),"Quantité invalide",IF(K515&lt;0,"Stock négatif",IF(AND(ISNUMBER(A514),A515&lt;A514),"Date hors ordre","OK"))))))))</f>
        <v/>
      </c>
      <c r="M515" s="39" t="str">
        <f>IF(C515="","",C515&amp;"#"&amp;COUNTIF($C$5:C515,C515))</f>
        <v/>
      </c>
    </row>
    <row r="516">
      <c r="A516" s="41" t="n"/>
      <c r="B516" s="37" t="n"/>
      <c r="C516" s="37" t="n"/>
      <c r="D516" s="39" t="str">
        <f>IF(C516="","",IFERROR(INDEX(art_des,MATCH(C516,art_ref,0))&amp;"","Référence inconnue"))</f>
        <v/>
      </c>
      <c r="E516" s="37" t="n"/>
      <c r="F516" s="39" t="str">
        <f>IF(C516="","",IFERROR(INDEX(art_unit,MATCH(C516,art_ref,0))&amp;"",""))</f>
        <v/>
      </c>
      <c r="G516" s="37" t="n"/>
      <c r="H516" s="37" t="n"/>
      <c r="I516" s="37" t="n"/>
      <c r="J516" s="40" t="str">
        <f>IF(OR(C516="",NOT(ISNUMBER(E516))),"",IFERROR(E516*N(INDEX(art_price,MATCH(C516,art_ref,0))),""))</f>
        <v/>
      </c>
      <c r="K516" s="39" t="str">
        <f>IF(OR(C516="",NOT(ISNUMBER(E516))),"",IFERROR(ROUND(N(INDEX(art_init,MATCH(C516,art_ref,0)))+SUMIFS($E$5:E516,$C$5:C516,C516,$B$5:B516,"Entrée")-SUMIFS($E$5:E516,$C$5:C516,C516,$B$5:B516,"Sortie"),6),""))</f>
        <v/>
      </c>
      <c r="L516" s="39" t="str">
        <f>IF(COUNTA(A516:C516,E516)=0,"",IF(COUNTA(A516:C516,E516)&lt;4,"Ligne incomplète",IF(NOT(ISNUMBER(A516)),"Date invalide",IF(AND(B516&lt;&gt;"Entrée",B516&lt;&gt;"Sortie"),"Type inconnu",IF(ISNA(MATCH(C516,art_ref,0)),"Référence inconnue",IF(OR(NOT(ISNUMBER(E516)),N(E516)&lt;=0),"Quantité invalide",IF(K516&lt;0,"Stock négatif",IF(AND(ISNUMBER(A515),A516&lt;A515),"Date hors ordre","OK"))))))))</f>
        <v/>
      </c>
      <c r="M516" s="39" t="str">
        <f>IF(C516="","",C516&amp;"#"&amp;COUNTIF($C$5:C516,C516))</f>
        <v/>
      </c>
    </row>
    <row r="517">
      <c r="A517" s="41" t="n"/>
      <c r="B517" s="37" t="n"/>
      <c r="C517" s="37" t="n"/>
      <c r="D517" s="39" t="str">
        <f>IF(C517="","",IFERROR(INDEX(art_des,MATCH(C517,art_ref,0))&amp;"","Référence inconnue"))</f>
        <v/>
      </c>
      <c r="E517" s="37" t="n"/>
      <c r="F517" s="39" t="str">
        <f>IF(C517="","",IFERROR(INDEX(art_unit,MATCH(C517,art_ref,0))&amp;"",""))</f>
        <v/>
      </c>
      <c r="G517" s="37" t="n"/>
      <c r="H517" s="37" t="n"/>
      <c r="I517" s="37" t="n"/>
      <c r="J517" s="40" t="str">
        <f>IF(OR(C517="",NOT(ISNUMBER(E517))),"",IFERROR(E517*N(INDEX(art_price,MATCH(C517,art_ref,0))),""))</f>
        <v/>
      </c>
      <c r="K517" s="39" t="str">
        <f>IF(OR(C517="",NOT(ISNUMBER(E517))),"",IFERROR(ROUND(N(INDEX(art_init,MATCH(C517,art_ref,0)))+SUMIFS($E$5:E517,$C$5:C517,C517,$B$5:B517,"Entrée")-SUMIFS($E$5:E517,$C$5:C517,C517,$B$5:B517,"Sortie"),6),""))</f>
        <v/>
      </c>
      <c r="L517" s="39" t="str">
        <f>IF(COUNTA(A517:C517,E517)=0,"",IF(COUNTA(A517:C517,E517)&lt;4,"Ligne incomplète",IF(NOT(ISNUMBER(A517)),"Date invalide",IF(AND(B517&lt;&gt;"Entrée",B517&lt;&gt;"Sortie"),"Type inconnu",IF(ISNA(MATCH(C517,art_ref,0)),"Référence inconnue",IF(OR(NOT(ISNUMBER(E517)),N(E517)&lt;=0),"Quantité invalide",IF(K517&lt;0,"Stock négatif",IF(AND(ISNUMBER(A516),A517&lt;A516),"Date hors ordre","OK"))))))))</f>
        <v/>
      </c>
      <c r="M517" s="39" t="str">
        <f>IF(C517="","",C517&amp;"#"&amp;COUNTIF($C$5:C517,C517))</f>
        <v/>
      </c>
    </row>
    <row r="518">
      <c r="A518" s="41" t="n"/>
      <c r="B518" s="37" t="n"/>
      <c r="C518" s="37" t="n"/>
      <c r="D518" s="39" t="str">
        <f>IF(C518="","",IFERROR(INDEX(art_des,MATCH(C518,art_ref,0))&amp;"","Référence inconnue"))</f>
        <v/>
      </c>
      <c r="E518" s="37" t="n"/>
      <c r="F518" s="39" t="str">
        <f>IF(C518="","",IFERROR(INDEX(art_unit,MATCH(C518,art_ref,0))&amp;"",""))</f>
        <v/>
      </c>
      <c r="G518" s="37" t="n"/>
      <c r="H518" s="37" t="n"/>
      <c r="I518" s="37" t="n"/>
      <c r="J518" s="40" t="str">
        <f>IF(OR(C518="",NOT(ISNUMBER(E518))),"",IFERROR(E518*N(INDEX(art_price,MATCH(C518,art_ref,0))),""))</f>
        <v/>
      </c>
      <c r="K518" s="39" t="str">
        <f>IF(OR(C518="",NOT(ISNUMBER(E518))),"",IFERROR(ROUND(N(INDEX(art_init,MATCH(C518,art_ref,0)))+SUMIFS($E$5:E518,$C$5:C518,C518,$B$5:B518,"Entrée")-SUMIFS($E$5:E518,$C$5:C518,C518,$B$5:B518,"Sortie"),6),""))</f>
        <v/>
      </c>
      <c r="L518" s="39" t="str">
        <f>IF(COUNTA(A518:C518,E518)=0,"",IF(COUNTA(A518:C518,E518)&lt;4,"Ligne incomplète",IF(NOT(ISNUMBER(A518)),"Date invalide",IF(AND(B518&lt;&gt;"Entrée",B518&lt;&gt;"Sortie"),"Type inconnu",IF(ISNA(MATCH(C518,art_ref,0)),"Référence inconnue",IF(OR(NOT(ISNUMBER(E518)),N(E518)&lt;=0),"Quantité invalide",IF(K518&lt;0,"Stock négatif",IF(AND(ISNUMBER(A517),A518&lt;A517),"Date hors ordre","OK"))))))))</f>
        <v/>
      </c>
      <c r="M518" s="39" t="str">
        <f>IF(C518="","",C518&amp;"#"&amp;COUNTIF($C$5:C518,C518))</f>
        <v/>
      </c>
    </row>
    <row r="519">
      <c r="A519" s="41" t="n"/>
      <c r="B519" s="37" t="n"/>
      <c r="C519" s="37" t="n"/>
      <c r="D519" s="39" t="str">
        <f>IF(C519="","",IFERROR(INDEX(art_des,MATCH(C519,art_ref,0))&amp;"","Référence inconnue"))</f>
        <v/>
      </c>
      <c r="E519" s="37" t="n"/>
      <c r="F519" s="39" t="str">
        <f>IF(C519="","",IFERROR(INDEX(art_unit,MATCH(C519,art_ref,0))&amp;"",""))</f>
        <v/>
      </c>
      <c r="G519" s="37" t="n"/>
      <c r="H519" s="37" t="n"/>
      <c r="I519" s="37" t="n"/>
      <c r="J519" s="40" t="str">
        <f>IF(OR(C519="",NOT(ISNUMBER(E519))),"",IFERROR(E519*N(INDEX(art_price,MATCH(C519,art_ref,0))),""))</f>
        <v/>
      </c>
      <c r="K519" s="39" t="str">
        <f>IF(OR(C519="",NOT(ISNUMBER(E519))),"",IFERROR(ROUND(N(INDEX(art_init,MATCH(C519,art_ref,0)))+SUMIFS($E$5:E519,$C$5:C519,C519,$B$5:B519,"Entrée")-SUMIFS($E$5:E519,$C$5:C519,C519,$B$5:B519,"Sortie"),6),""))</f>
        <v/>
      </c>
      <c r="L519" s="39" t="str">
        <f>IF(COUNTA(A519:C519,E519)=0,"",IF(COUNTA(A519:C519,E519)&lt;4,"Ligne incomplète",IF(NOT(ISNUMBER(A519)),"Date invalide",IF(AND(B519&lt;&gt;"Entrée",B519&lt;&gt;"Sortie"),"Type inconnu",IF(ISNA(MATCH(C519,art_ref,0)),"Référence inconnue",IF(OR(NOT(ISNUMBER(E519)),N(E519)&lt;=0),"Quantité invalide",IF(K519&lt;0,"Stock négatif",IF(AND(ISNUMBER(A518),A519&lt;A518),"Date hors ordre","OK"))))))))</f>
        <v/>
      </c>
      <c r="M519" s="39" t="str">
        <f>IF(C519="","",C519&amp;"#"&amp;COUNTIF($C$5:C519,C519))</f>
        <v/>
      </c>
    </row>
    <row r="520">
      <c r="A520" s="41" t="n"/>
      <c r="B520" s="37" t="n"/>
      <c r="C520" s="37" t="n"/>
      <c r="D520" s="39" t="str">
        <f>IF(C520="","",IFERROR(INDEX(art_des,MATCH(C520,art_ref,0))&amp;"","Référence inconnue"))</f>
        <v/>
      </c>
      <c r="E520" s="37" t="n"/>
      <c r="F520" s="39" t="str">
        <f>IF(C520="","",IFERROR(INDEX(art_unit,MATCH(C520,art_ref,0))&amp;"",""))</f>
        <v/>
      </c>
      <c r="G520" s="37" t="n"/>
      <c r="H520" s="37" t="n"/>
      <c r="I520" s="37" t="n"/>
      <c r="J520" s="40" t="str">
        <f>IF(OR(C520="",NOT(ISNUMBER(E520))),"",IFERROR(E520*N(INDEX(art_price,MATCH(C520,art_ref,0))),""))</f>
        <v/>
      </c>
      <c r="K520" s="39" t="str">
        <f>IF(OR(C520="",NOT(ISNUMBER(E520))),"",IFERROR(ROUND(N(INDEX(art_init,MATCH(C520,art_ref,0)))+SUMIFS($E$5:E520,$C$5:C520,C520,$B$5:B520,"Entrée")-SUMIFS($E$5:E520,$C$5:C520,C520,$B$5:B520,"Sortie"),6),""))</f>
        <v/>
      </c>
      <c r="L520" s="39" t="str">
        <f>IF(COUNTA(A520:C520,E520)=0,"",IF(COUNTA(A520:C520,E520)&lt;4,"Ligne incomplète",IF(NOT(ISNUMBER(A520)),"Date invalide",IF(AND(B520&lt;&gt;"Entrée",B520&lt;&gt;"Sortie"),"Type inconnu",IF(ISNA(MATCH(C520,art_ref,0)),"Référence inconnue",IF(OR(NOT(ISNUMBER(E520)),N(E520)&lt;=0),"Quantité invalide",IF(K520&lt;0,"Stock négatif",IF(AND(ISNUMBER(A519),A520&lt;A519),"Date hors ordre","OK"))))))))</f>
        <v/>
      </c>
      <c r="M520" s="39" t="str">
        <f>IF(C520="","",C520&amp;"#"&amp;COUNTIF($C$5:C520,C520))</f>
        <v/>
      </c>
    </row>
    <row r="521">
      <c r="A521" s="41" t="n"/>
      <c r="B521" s="37" t="n"/>
      <c r="C521" s="37" t="n"/>
      <c r="D521" s="39" t="str">
        <f>IF(C521="","",IFERROR(INDEX(art_des,MATCH(C521,art_ref,0))&amp;"","Référence inconnue"))</f>
        <v/>
      </c>
      <c r="E521" s="37" t="n"/>
      <c r="F521" s="39" t="str">
        <f>IF(C521="","",IFERROR(INDEX(art_unit,MATCH(C521,art_ref,0))&amp;"",""))</f>
        <v/>
      </c>
      <c r="G521" s="37" t="n"/>
      <c r="H521" s="37" t="n"/>
      <c r="I521" s="37" t="n"/>
      <c r="J521" s="40" t="str">
        <f>IF(OR(C521="",NOT(ISNUMBER(E521))),"",IFERROR(E521*N(INDEX(art_price,MATCH(C521,art_ref,0))),""))</f>
        <v/>
      </c>
      <c r="K521" s="39" t="str">
        <f>IF(OR(C521="",NOT(ISNUMBER(E521))),"",IFERROR(ROUND(N(INDEX(art_init,MATCH(C521,art_ref,0)))+SUMIFS($E$5:E521,$C$5:C521,C521,$B$5:B521,"Entrée")-SUMIFS($E$5:E521,$C$5:C521,C521,$B$5:B521,"Sortie"),6),""))</f>
        <v/>
      </c>
      <c r="L521" s="39" t="str">
        <f>IF(COUNTA(A521:C521,E521)=0,"",IF(COUNTA(A521:C521,E521)&lt;4,"Ligne incomplète",IF(NOT(ISNUMBER(A521)),"Date invalide",IF(AND(B521&lt;&gt;"Entrée",B521&lt;&gt;"Sortie"),"Type inconnu",IF(ISNA(MATCH(C521,art_ref,0)),"Référence inconnue",IF(OR(NOT(ISNUMBER(E521)),N(E521)&lt;=0),"Quantité invalide",IF(K521&lt;0,"Stock négatif",IF(AND(ISNUMBER(A520),A521&lt;A520),"Date hors ordre","OK"))))))))</f>
        <v/>
      </c>
      <c r="M521" s="39" t="str">
        <f>IF(C521="","",C521&amp;"#"&amp;COUNTIF($C$5:C521,C521))</f>
        <v/>
      </c>
    </row>
    <row r="522">
      <c r="A522" s="41" t="n"/>
      <c r="B522" s="37" t="n"/>
      <c r="C522" s="37" t="n"/>
      <c r="D522" s="39" t="str">
        <f>IF(C522="","",IFERROR(INDEX(art_des,MATCH(C522,art_ref,0))&amp;"","Référence inconnue"))</f>
        <v/>
      </c>
      <c r="E522" s="37" t="n"/>
      <c r="F522" s="39" t="str">
        <f>IF(C522="","",IFERROR(INDEX(art_unit,MATCH(C522,art_ref,0))&amp;"",""))</f>
        <v/>
      </c>
      <c r="G522" s="37" t="n"/>
      <c r="H522" s="37" t="n"/>
      <c r="I522" s="37" t="n"/>
      <c r="J522" s="40" t="str">
        <f>IF(OR(C522="",NOT(ISNUMBER(E522))),"",IFERROR(E522*N(INDEX(art_price,MATCH(C522,art_ref,0))),""))</f>
        <v/>
      </c>
      <c r="K522" s="39" t="str">
        <f>IF(OR(C522="",NOT(ISNUMBER(E522))),"",IFERROR(ROUND(N(INDEX(art_init,MATCH(C522,art_ref,0)))+SUMIFS($E$5:E522,$C$5:C522,C522,$B$5:B522,"Entrée")-SUMIFS($E$5:E522,$C$5:C522,C522,$B$5:B522,"Sortie"),6),""))</f>
        <v/>
      </c>
      <c r="L522" s="39" t="str">
        <f>IF(COUNTA(A522:C522,E522)=0,"",IF(COUNTA(A522:C522,E522)&lt;4,"Ligne incomplète",IF(NOT(ISNUMBER(A522)),"Date invalide",IF(AND(B522&lt;&gt;"Entrée",B522&lt;&gt;"Sortie"),"Type inconnu",IF(ISNA(MATCH(C522,art_ref,0)),"Référence inconnue",IF(OR(NOT(ISNUMBER(E522)),N(E522)&lt;=0),"Quantité invalide",IF(K522&lt;0,"Stock négatif",IF(AND(ISNUMBER(A521),A522&lt;A521),"Date hors ordre","OK"))))))))</f>
        <v/>
      </c>
      <c r="M522" s="39" t="str">
        <f>IF(C522="","",C522&amp;"#"&amp;COUNTIF($C$5:C522,C522))</f>
        <v/>
      </c>
    </row>
    <row r="523">
      <c r="A523" s="41" t="n"/>
      <c r="B523" s="37" t="n"/>
      <c r="C523" s="37" t="n"/>
      <c r="D523" s="39" t="str">
        <f>IF(C523="","",IFERROR(INDEX(art_des,MATCH(C523,art_ref,0))&amp;"","Référence inconnue"))</f>
        <v/>
      </c>
      <c r="E523" s="37" t="n"/>
      <c r="F523" s="39" t="str">
        <f>IF(C523="","",IFERROR(INDEX(art_unit,MATCH(C523,art_ref,0))&amp;"",""))</f>
        <v/>
      </c>
      <c r="G523" s="37" t="n"/>
      <c r="H523" s="37" t="n"/>
      <c r="I523" s="37" t="n"/>
      <c r="J523" s="40" t="str">
        <f>IF(OR(C523="",NOT(ISNUMBER(E523))),"",IFERROR(E523*N(INDEX(art_price,MATCH(C523,art_ref,0))),""))</f>
        <v/>
      </c>
      <c r="K523" s="39" t="str">
        <f>IF(OR(C523="",NOT(ISNUMBER(E523))),"",IFERROR(ROUND(N(INDEX(art_init,MATCH(C523,art_ref,0)))+SUMIFS($E$5:E523,$C$5:C523,C523,$B$5:B523,"Entrée")-SUMIFS($E$5:E523,$C$5:C523,C523,$B$5:B523,"Sortie"),6),""))</f>
        <v/>
      </c>
      <c r="L523" s="39" t="str">
        <f>IF(COUNTA(A523:C523,E523)=0,"",IF(COUNTA(A523:C523,E523)&lt;4,"Ligne incomplète",IF(NOT(ISNUMBER(A523)),"Date invalide",IF(AND(B523&lt;&gt;"Entrée",B523&lt;&gt;"Sortie"),"Type inconnu",IF(ISNA(MATCH(C523,art_ref,0)),"Référence inconnue",IF(OR(NOT(ISNUMBER(E523)),N(E523)&lt;=0),"Quantité invalide",IF(K523&lt;0,"Stock négatif",IF(AND(ISNUMBER(A522),A523&lt;A522),"Date hors ordre","OK"))))))))</f>
        <v/>
      </c>
      <c r="M523" s="39" t="str">
        <f>IF(C523="","",C523&amp;"#"&amp;COUNTIF($C$5:C523,C523))</f>
        <v/>
      </c>
    </row>
    <row r="524">
      <c r="A524" s="41" t="n"/>
      <c r="B524" s="37" t="n"/>
      <c r="C524" s="37" t="n"/>
      <c r="D524" s="39" t="str">
        <f>IF(C524="","",IFERROR(INDEX(art_des,MATCH(C524,art_ref,0))&amp;"","Référence inconnue"))</f>
        <v/>
      </c>
      <c r="E524" s="37" t="n"/>
      <c r="F524" s="39" t="str">
        <f>IF(C524="","",IFERROR(INDEX(art_unit,MATCH(C524,art_ref,0))&amp;"",""))</f>
        <v/>
      </c>
      <c r="G524" s="37" t="n"/>
      <c r="H524" s="37" t="n"/>
      <c r="I524" s="37" t="n"/>
      <c r="J524" s="40" t="str">
        <f>IF(OR(C524="",NOT(ISNUMBER(E524))),"",IFERROR(E524*N(INDEX(art_price,MATCH(C524,art_ref,0))),""))</f>
        <v/>
      </c>
      <c r="K524" s="39" t="str">
        <f>IF(OR(C524="",NOT(ISNUMBER(E524))),"",IFERROR(ROUND(N(INDEX(art_init,MATCH(C524,art_ref,0)))+SUMIFS($E$5:E524,$C$5:C524,C524,$B$5:B524,"Entrée")-SUMIFS($E$5:E524,$C$5:C524,C524,$B$5:B524,"Sortie"),6),""))</f>
        <v/>
      </c>
      <c r="L524" s="39" t="str">
        <f>IF(COUNTA(A524:C524,E524)=0,"",IF(COUNTA(A524:C524,E524)&lt;4,"Ligne incomplète",IF(NOT(ISNUMBER(A524)),"Date invalide",IF(AND(B524&lt;&gt;"Entrée",B524&lt;&gt;"Sortie"),"Type inconnu",IF(ISNA(MATCH(C524,art_ref,0)),"Référence inconnue",IF(OR(NOT(ISNUMBER(E524)),N(E524)&lt;=0),"Quantité invalide",IF(K524&lt;0,"Stock négatif",IF(AND(ISNUMBER(A523),A524&lt;A523),"Date hors ordre","OK"))))))))</f>
        <v/>
      </c>
      <c r="M524" s="39" t="str">
        <f>IF(C524="","",C524&amp;"#"&amp;COUNTIF($C$5:C524,C524))</f>
        <v/>
      </c>
    </row>
    <row r="525">
      <c r="A525" s="41" t="n"/>
      <c r="B525" s="37" t="n"/>
      <c r="C525" s="37" t="n"/>
      <c r="D525" s="39" t="str">
        <f>IF(C525="","",IFERROR(INDEX(art_des,MATCH(C525,art_ref,0))&amp;"","Référence inconnue"))</f>
        <v/>
      </c>
      <c r="E525" s="37" t="n"/>
      <c r="F525" s="39" t="str">
        <f>IF(C525="","",IFERROR(INDEX(art_unit,MATCH(C525,art_ref,0))&amp;"",""))</f>
        <v/>
      </c>
      <c r="G525" s="37" t="n"/>
      <c r="H525" s="37" t="n"/>
      <c r="I525" s="37" t="n"/>
      <c r="J525" s="40" t="str">
        <f>IF(OR(C525="",NOT(ISNUMBER(E525))),"",IFERROR(E525*N(INDEX(art_price,MATCH(C525,art_ref,0))),""))</f>
        <v/>
      </c>
      <c r="K525" s="39" t="str">
        <f>IF(OR(C525="",NOT(ISNUMBER(E525))),"",IFERROR(ROUND(N(INDEX(art_init,MATCH(C525,art_ref,0)))+SUMIFS($E$5:E525,$C$5:C525,C525,$B$5:B525,"Entrée")-SUMIFS($E$5:E525,$C$5:C525,C525,$B$5:B525,"Sortie"),6),""))</f>
        <v/>
      </c>
      <c r="L525" s="39" t="str">
        <f>IF(COUNTA(A525:C525,E525)=0,"",IF(COUNTA(A525:C525,E525)&lt;4,"Ligne incomplète",IF(NOT(ISNUMBER(A525)),"Date invalide",IF(AND(B525&lt;&gt;"Entrée",B525&lt;&gt;"Sortie"),"Type inconnu",IF(ISNA(MATCH(C525,art_ref,0)),"Référence inconnue",IF(OR(NOT(ISNUMBER(E525)),N(E525)&lt;=0),"Quantité invalide",IF(K525&lt;0,"Stock négatif",IF(AND(ISNUMBER(A524),A525&lt;A524),"Date hors ordre","OK"))))))))</f>
        <v/>
      </c>
      <c r="M525" s="39" t="str">
        <f>IF(C525="","",C525&amp;"#"&amp;COUNTIF($C$5:C525,C525))</f>
        <v/>
      </c>
    </row>
    <row r="526">
      <c r="A526" s="41" t="n"/>
      <c r="B526" s="37" t="n"/>
      <c r="C526" s="37" t="n"/>
      <c r="D526" s="39" t="str">
        <f>IF(C526="","",IFERROR(INDEX(art_des,MATCH(C526,art_ref,0))&amp;"","Référence inconnue"))</f>
        <v/>
      </c>
      <c r="E526" s="37" t="n"/>
      <c r="F526" s="39" t="str">
        <f>IF(C526="","",IFERROR(INDEX(art_unit,MATCH(C526,art_ref,0))&amp;"",""))</f>
        <v/>
      </c>
      <c r="G526" s="37" t="n"/>
      <c r="H526" s="37" t="n"/>
      <c r="I526" s="37" t="n"/>
      <c r="J526" s="40" t="str">
        <f>IF(OR(C526="",NOT(ISNUMBER(E526))),"",IFERROR(E526*N(INDEX(art_price,MATCH(C526,art_ref,0))),""))</f>
        <v/>
      </c>
      <c r="K526" s="39" t="str">
        <f>IF(OR(C526="",NOT(ISNUMBER(E526))),"",IFERROR(ROUND(N(INDEX(art_init,MATCH(C526,art_ref,0)))+SUMIFS($E$5:E526,$C$5:C526,C526,$B$5:B526,"Entrée")-SUMIFS($E$5:E526,$C$5:C526,C526,$B$5:B526,"Sortie"),6),""))</f>
        <v/>
      </c>
      <c r="L526" s="39" t="str">
        <f>IF(COUNTA(A526:C526,E526)=0,"",IF(COUNTA(A526:C526,E526)&lt;4,"Ligne incomplète",IF(NOT(ISNUMBER(A526)),"Date invalide",IF(AND(B526&lt;&gt;"Entrée",B526&lt;&gt;"Sortie"),"Type inconnu",IF(ISNA(MATCH(C526,art_ref,0)),"Référence inconnue",IF(OR(NOT(ISNUMBER(E526)),N(E526)&lt;=0),"Quantité invalide",IF(K526&lt;0,"Stock négatif",IF(AND(ISNUMBER(A525),A526&lt;A525),"Date hors ordre","OK"))))))))</f>
        <v/>
      </c>
      <c r="M526" s="39" t="str">
        <f>IF(C526="","",C526&amp;"#"&amp;COUNTIF($C$5:C526,C526))</f>
        <v/>
      </c>
    </row>
    <row r="527">
      <c r="A527" s="41" t="n"/>
      <c r="B527" s="37" t="n"/>
      <c r="C527" s="37" t="n"/>
      <c r="D527" s="39" t="str">
        <f>IF(C527="","",IFERROR(INDEX(art_des,MATCH(C527,art_ref,0))&amp;"","Référence inconnue"))</f>
        <v/>
      </c>
      <c r="E527" s="37" t="n"/>
      <c r="F527" s="39" t="str">
        <f>IF(C527="","",IFERROR(INDEX(art_unit,MATCH(C527,art_ref,0))&amp;"",""))</f>
        <v/>
      </c>
      <c r="G527" s="37" t="n"/>
      <c r="H527" s="37" t="n"/>
      <c r="I527" s="37" t="n"/>
      <c r="J527" s="40" t="str">
        <f>IF(OR(C527="",NOT(ISNUMBER(E527))),"",IFERROR(E527*N(INDEX(art_price,MATCH(C527,art_ref,0))),""))</f>
        <v/>
      </c>
      <c r="K527" s="39" t="str">
        <f>IF(OR(C527="",NOT(ISNUMBER(E527))),"",IFERROR(ROUND(N(INDEX(art_init,MATCH(C527,art_ref,0)))+SUMIFS($E$5:E527,$C$5:C527,C527,$B$5:B527,"Entrée")-SUMIFS($E$5:E527,$C$5:C527,C527,$B$5:B527,"Sortie"),6),""))</f>
        <v/>
      </c>
      <c r="L527" s="39" t="str">
        <f>IF(COUNTA(A527:C527,E527)=0,"",IF(COUNTA(A527:C527,E527)&lt;4,"Ligne incomplète",IF(NOT(ISNUMBER(A527)),"Date invalide",IF(AND(B527&lt;&gt;"Entrée",B527&lt;&gt;"Sortie"),"Type inconnu",IF(ISNA(MATCH(C527,art_ref,0)),"Référence inconnue",IF(OR(NOT(ISNUMBER(E527)),N(E527)&lt;=0),"Quantité invalide",IF(K527&lt;0,"Stock négatif",IF(AND(ISNUMBER(A526),A527&lt;A526),"Date hors ordre","OK"))))))))</f>
        <v/>
      </c>
      <c r="M527" s="39" t="str">
        <f>IF(C527="","",C527&amp;"#"&amp;COUNTIF($C$5:C527,C527))</f>
        <v/>
      </c>
    </row>
    <row r="528">
      <c r="A528" s="41" t="n"/>
      <c r="B528" s="37" t="n"/>
      <c r="C528" s="37" t="n"/>
      <c r="D528" s="39" t="str">
        <f>IF(C528="","",IFERROR(INDEX(art_des,MATCH(C528,art_ref,0))&amp;"","Référence inconnue"))</f>
        <v/>
      </c>
      <c r="E528" s="37" t="n"/>
      <c r="F528" s="39" t="str">
        <f>IF(C528="","",IFERROR(INDEX(art_unit,MATCH(C528,art_ref,0))&amp;"",""))</f>
        <v/>
      </c>
      <c r="G528" s="37" t="n"/>
      <c r="H528" s="37" t="n"/>
      <c r="I528" s="37" t="n"/>
      <c r="J528" s="40" t="str">
        <f>IF(OR(C528="",NOT(ISNUMBER(E528))),"",IFERROR(E528*N(INDEX(art_price,MATCH(C528,art_ref,0))),""))</f>
        <v/>
      </c>
      <c r="K528" s="39" t="str">
        <f>IF(OR(C528="",NOT(ISNUMBER(E528))),"",IFERROR(ROUND(N(INDEX(art_init,MATCH(C528,art_ref,0)))+SUMIFS($E$5:E528,$C$5:C528,C528,$B$5:B528,"Entrée")-SUMIFS($E$5:E528,$C$5:C528,C528,$B$5:B528,"Sortie"),6),""))</f>
        <v/>
      </c>
      <c r="L528" s="39" t="str">
        <f>IF(COUNTA(A528:C528,E528)=0,"",IF(COUNTA(A528:C528,E528)&lt;4,"Ligne incomplète",IF(NOT(ISNUMBER(A528)),"Date invalide",IF(AND(B528&lt;&gt;"Entrée",B528&lt;&gt;"Sortie"),"Type inconnu",IF(ISNA(MATCH(C528,art_ref,0)),"Référence inconnue",IF(OR(NOT(ISNUMBER(E528)),N(E528)&lt;=0),"Quantité invalide",IF(K528&lt;0,"Stock négatif",IF(AND(ISNUMBER(A527),A528&lt;A527),"Date hors ordre","OK"))))))))</f>
        <v/>
      </c>
      <c r="M528" s="39" t="str">
        <f>IF(C528="","",C528&amp;"#"&amp;COUNTIF($C$5:C528,C528))</f>
        <v/>
      </c>
    </row>
    <row r="529">
      <c r="A529" s="41" t="n"/>
      <c r="B529" s="37" t="n"/>
      <c r="C529" s="37" t="n"/>
      <c r="D529" s="39" t="str">
        <f>IF(C529="","",IFERROR(INDEX(art_des,MATCH(C529,art_ref,0))&amp;"","Référence inconnue"))</f>
        <v/>
      </c>
      <c r="E529" s="37" t="n"/>
      <c r="F529" s="39" t="str">
        <f>IF(C529="","",IFERROR(INDEX(art_unit,MATCH(C529,art_ref,0))&amp;"",""))</f>
        <v/>
      </c>
      <c r="G529" s="37" t="n"/>
      <c r="H529" s="37" t="n"/>
      <c r="I529" s="37" t="n"/>
      <c r="J529" s="40" t="str">
        <f>IF(OR(C529="",NOT(ISNUMBER(E529))),"",IFERROR(E529*N(INDEX(art_price,MATCH(C529,art_ref,0))),""))</f>
        <v/>
      </c>
      <c r="K529" s="39" t="str">
        <f>IF(OR(C529="",NOT(ISNUMBER(E529))),"",IFERROR(ROUND(N(INDEX(art_init,MATCH(C529,art_ref,0)))+SUMIFS($E$5:E529,$C$5:C529,C529,$B$5:B529,"Entrée")-SUMIFS($E$5:E529,$C$5:C529,C529,$B$5:B529,"Sortie"),6),""))</f>
        <v/>
      </c>
      <c r="L529" s="39" t="str">
        <f>IF(COUNTA(A529:C529,E529)=0,"",IF(COUNTA(A529:C529,E529)&lt;4,"Ligne incomplète",IF(NOT(ISNUMBER(A529)),"Date invalide",IF(AND(B529&lt;&gt;"Entrée",B529&lt;&gt;"Sortie"),"Type inconnu",IF(ISNA(MATCH(C529,art_ref,0)),"Référence inconnue",IF(OR(NOT(ISNUMBER(E529)),N(E529)&lt;=0),"Quantité invalide",IF(K529&lt;0,"Stock négatif",IF(AND(ISNUMBER(A528),A529&lt;A528),"Date hors ordre","OK"))))))))</f>
        <v/>
      </c>
      <c r="M529" s="39" t="str">
        <f>IF(C529="","",C529&amp;"#"&amp;COUNTIF($C$5:C529,C529))</f>
        <v/>
      </c>
    </row>
    <row r="530">
      <c r="A530" s="41" t="n"/>
      <c r="B530" s="37" t="n"/>
      <c r="C530" s="37" t="n"/>
      <c r="D530" s="39" t="str">
        <f>IF(C530="","",IFERROR(INDEX(art_des,MATCH(C530,art_ref,0))&amp;"","Référence inconnue"))</f>
        <v/>
      </c>
      <c r="E530" s="37" t="n"/>
      <c r="F530" s="39" t="str">
        <f>IF(C530="","",IFERROR(INDEX(art_unit,MATCH(C530,art_ref,0))&amp;"",""))</f>
        <v/>
      </c>
      <c r="G530" s="37" t="n"/>
      <c r="H530" s="37" t="n"/>
      <c r="I530" s="37" t="n"/>
      <c r="J530" s="40" t="str">
        <f>IF(OR(C530="",NOT(ISNUMBER(E530))),"",IFERROR(E530*N(INDEX(art_price,MATCH(C530,art_ref,0))),""))</f>
        <v/>
      </c>
      <c r="K530" s="39" t="str">
        <f>IF(OR(C530="",NOT(ISNUMBER(E530))),"",IFERROR(ROUND(N(INDEX(art_init,MATCH(C530,art_ref,0)))+SUMIFS($E$5:E530,$C$5:C530,C530,$B$5:B530,"Entrée")-SUMIFS($E$5:E530,$C$5:C530,C530,$B$5:B530,"Sortie"),6),""))</f>
        <v/>
      </c>
      <c r="L530" s="39" t="str">
        <f>IF(COUNTA(A530:C530,E530)=0,"",IF(COUNTA(A530:C530,E530)&lt;4,"Ligne incomplète",IF(NOT(ISNUMBER(A530)),"Date invalide",IF(AND(B530&lt;&gt;"Entrée",B530&lt;&gt;"Sortie"),"Type inconnu",IF(ISNA(MATCH(C530,art_ref,0)),"Référence inconnue",IF(OR(NOT(ISNUMBER(E530)),N(E530)&lt;=0),"Quantité invalide",IF(K530&lt;0,"Stock négatif",IF(AND(ISNUMBER(A529),A530&lt;A529),"Date hors ordre","OK"))))))))</f>
        <v/>
      </c>
      <c r="M530" s="39" t="str">
        <f>IF(C530="","",C530&amp;"#"&amp;COUNTIF($C$5:C530,C530))</f>
        <v/>
      </c>
    </row>
    <row r="531">
      <c r="A531" s="41" t="n"/>
      <c r="B531" s="37" t="n"/>
      <c r="C531" s="37" t="n"/>
      <c r="D531" s="39" t="str">
        <f>IF(C531="","",IFERROR(INDEX(art_des,MATCH(C531,art_ref,0))&amp;"","Référence inconnue"))</f>
        <v/>
      </c>
      <c r="E531" s="37" t="n"/>
      <c r="F531" s="39" t="str">
        <f>IF(C531="","",IFERROR(INDEX(art_unit,MATCH(C531,art_ref,0))&amp;"",""))</f>
        <v/>
      </c>
      <c r="G531" s="37" t="n"/>
      <c r="H531" s="37" t="n"/>
      <c r="I531" s="37" t="n"/>
      <c r="J531" s="40" t="str">
        <f>IF(OR(C531="",NOT(ISNUMBER(E531))),"",IFERROR(E531*N(INDEX(art_price,MATCH(C531,art_ref,0))),""))</f>
        <v/>
      </c>
      <c r="K531" s="39" t="str">
        <f>IF(OR(C531="",NOT(ISNUMBER(E531))),"",IFERROR(ROUND(N(INDEX(art_init,MATCH(C531,art_ref,0)))+SUMIFS($E$5:E531,$C$5:C531,C531,$B$5:B531,"Entrée")-SUMIFS($E$5:E531,$C$5:C531,C531,$B$5:B531,"Sortie"),6),""))</f>
        <v/>
      </c>
      <c r="L531" s="39" t="str">
        <f>IF(COUNTA(A531:C531,E531)=0,"",IF(COUNTA(A531:C531,E531)&lt;4,"Ligne incomplète",IF(NOT(ISNUMBER(A531)),"Date invalide",IF(AND(B531&lt;&gt;"Entrée",B531&lt;&gt;"Sortie"),"Type inconnu",IF(ISNA(MATCH(C531,art_ref,0)),"Référence inconnue",IF(OR(NOT(ISNUMBER(E531)),N(E531)&lt;=0),"Quantité invalide",IF(K531&lt;0,"Stock négatif",IF(AND(ISNUMBER(A530),A531&lt;A530),"Date hors ordre","OK"))))))))</f>
        <v/>
      </c>
      <c r="M531" s="39" t="str">
        <f>IF(C531="","",C531&amp;"#"&amp;COUNTIF($C$5:C531,C531))</f>
        <v/>
      </c>
    </row>
    <row r="532">
      <c r="A532" s="41" t="n"/>
      <c r="B532" s="37" t="n"/>
      <c r="C532" s="37" t="n"/>
      <c r="D532" s="39" t="str">
        <f>IF(C532="","",IFERROR(INDEX(art_des,MATCH(C532,art_ref,0))&amp;"","Référence inconnue"))</f>
        <v/>
      </c>
      <c r="E532" s="37" t="n"/>
      <c r="F532" s="39" t="str">
        <f>IF(C532="","",IFERROR(INDEX(art_unit,MATCH(C532,art_ref,0))&amp;"",""))</f>
        <v/>
      </c>
      <c r="G532" s="37" t="n"/>
      <c r="H532" s="37" t="n"/>
      <c r="I532" s="37" t="n"/>
      <c r="J532" s="40" t="str">
        <f>IF(OR(C532="",NOT(ISNUMBER(E532))),"",IFERROR(E532*N(INDEX(art_price,MATCH(C532,art_ref,0))),""))</f>
        <v/>
      </c>
      <c r="K532" s="39" t="str">
        <f>IF(OR(C532="",NOT(ISNUMBER(E532))),"",IFERROR(ROUND(N(INDEX(art_init,MATCH(C532,art_ref,0)))+SUMIFS($E$5:E532,$C$5:C532,C532,$B$5:B532,"Entrée")-SUMIFS($E$5:E532,$C$5:C532,C532,$B$5:B532,"Sortie"),6),""))</f>
        <v/>
      </c>
      <c r="L532" s="39" t="str">
        <f>IF(COUNTA(A532:C532,E532)=0,"",IF(COUNTA(A532:C532,E532)&lt;4,"Ligne incomplète",IF(NOT(ISNUMBER(A532)),"Date invalide",IF(AND(B532&lt;&gt;"Entrée",B532&lt;&gt;"Sortie"),"Type inconnu",IF(ISNA(MATCH(C532,art_ref,0)),"Référence inconnue",IF(OR(NOT(ISNUMBER(E532)),N(E532)&lt;=0),"Quantité invalide",IF(K532&lt;0,"Stock négatif",IF(AND(ISNUMBER(A531),A532&lt;A531),"Date hors ordre","OK"))))))))</f>
        <v/>
      </c>
      <c r="M532" s="39" t="str">
        <f>IF(C532="","",C532&amp;"#"&amp;COUNTIF($C$5:C532,C532))</f>
        <v/>
      </c>
    </row>
    <row r="533">
      <c r="A533" s="41" t="n"/>
      <c r="B533" s="37" t="n"/>
      <c r="C533" s="37" t="n"/>
      <c r="D533" s="39" t="str">
        <f>IF(C533="","",IFERROR(INDEX(art_des,MATCH(C533,art_ref,0))&amp;"","Référence inconnue"))</f>
        <v/>
      </c>
      <c r="E533" s="37" t="n"/>
      <c r="F533" s="39" t="str">
        <f>IF(C533="","",IFERROR(INDEX(art_unit,MATCH(C533,art_ref,0))&amp;"",""))</f>
        <v/>
      </c>
      <c r="G533" s="37" t="n"/>
      <c r="H533" s="37" t="n"/>
      <c r="I533" s="37" t="n"/>
      <c r="J533" s="40" t="str">
        <f>IF(OR(C533="",NOT(ISNUMBER(E533))),"",IFERROR(E533*N(INDEX(art_price,MATCH(C533,art_ref,0))),""))</f>
        <v/>
      </c>
      <c r="K533" s="39" t="str">
        <f>IF(OR(C533="",NOT(ISNUMBER(E533))),"",IFERROR(ROUND(N(INDEX(art_init,MATCH(C533,art_ref,0)))+SUMIFS($E$5:E533,$C$5:C533,C533,$B$5:B533,"Entrée")-SUMIFS($E$5:E533,$C$5:C533,C533,$B$5:B533,"Sortie"),6),""))</f>
        <v/>
      </c>
      <c r="L533" s="39" t="str">
        <f>IF(COUNTA(A533:C533,E533)=0,"",IF(COUNTA(A533:C533,E533)&lt;4,"Ligne incomplète",IF(NOT(ISNUMBER(A533)),"Date invalide",IF(AND(B533&lt;&gt;"Entrée",B533&lt;&gt;"Sortie"),"Type inconnu",IF(ISNA(MATCH(C533,art_ref,0)),"Référence inconnue",IF(OR(NOT(ISNUMBER(E533)),N(E533)&lt;=0),"Quantité invalide",IF(K533&lt;0,"Stock négatif",IF(AND(ISNUMBER(A532),A533&lt;A532),"Date hors ordre","OK"))))))))</f>
        <v/>
      </c>
      <c r="M533" s="39" t="str">
        <f>IF(C533="","",C533&amp;"#"&amp;COUNTIF($C$5:C533,C533))</f>
        <v/>
      </c>
    </row>
    <row r="534">
      <c r="A534" s="41" t="n"/>
      <c r="B534" s="37" t="n"/>
      <c r="C534" s="37" t="n"/>
      <c r="D534" s="39" t="str">
        <f>IF(C534="","",IFERROR(INDEX(art_des,MATCH(C534,art_ref,0))&amp;"","Référence inconnue"))</f>
        <v/>
      </c>
      <c r="E534" s="37" t="n"/>
      <c r="F534" s="39" t="str">
        <f>IF(C534="","",IFERROR(INDEX(art_unit,MATCH(C534,art_ref,0))&amp;"",""))</f>
        <v/>
      </c>
      <c r="G534" s="37" t="n"/>
      <c r="H534" s="37" t="n"/>
      <c r="I534" s="37" t="n"/>
      <c r="J534" s="40" t="str">
        <f>IF(OR(C534="",NOT(ISNUMBER(E534))),"",IFERROR(E534*N(INDEX(art_price,MATCH(C534,art_ref,0))),""))</f>
        <v/>
      </c>
      <c r="K534" s="39" t="str">
        <f>IF(OR(C534="",NOT(ISNUMBER(E534))),"",IFERROR(ROUND(N(INDEX(art_init,MATCH(C534,art_ref,0)))+SUMIFS($E$5:E534,$C$5:C534,C534,$B$5:B534,"Entrée")-SUMIFS($E$5:E534,$C$5:C534,C534,$B$5:B534,"Sortie"),6),""))</f>
        <v/>
      </c>
      <c r="L534" s="39" t="str">
        <f>IF(COUNTA(A534:C534,E534)=0,"",IF(COUNTA(A534:C534,E534)&lt;4,"Ligne incomplète",IF(NOT(ISNUMBER(A534)),"Date invalide",IF(AND(B534&lt;&gt;"Entrée",B534&lt;&gt;"Sortie"),"Type inconnu",IF(ISNA(MATCH(C534,art_ref,0)),"Référence inconnue",IF(OR(NOT(ISNUMBER(E534)),N(E534)&lt;=0),"Quantité invalide",IF(K534&lt;0,"Stock négatif",IF(AND(ISNUMBER(A533),A534&lt;A533),"Date hors ordre","OK"))))))))</f>
        <v/>
      </c>
      <c r="M534" s="39" t="str">
        <f>IF(C534="","",C534&amp;"#"&amp;COUNTIF($C$5:C534,C534))</f>
        <v/>
      </c>
    </row>
    <row r="535">
      <c r="A535" s="41" t="n"/>
      <c r="B535" s="37" t="n"/>
      <c r="C535" s="37" t="n"/>
      <c r="D535" s="39" t="str">
        <f>IF(C535="","",IFERROR(INDEX(art_des,MATCH(C535,art_ref,0))&amp;"","Référence inconnue"))</f>
        <v/>
      </c>
      <c r="E535" s="37" t="n"/>
      <c r="F535" s="39" t="str">
        <f>IF(C535="","",IFERROR(INDEX(art_unit,MATCH(C535,art_ref,0))&amp;"",""))</f>
        <v/>
      </c>
      <c r="G535" s="37" t="n"/>
      <c r="H535" s="37" t="n"/>
      <c r="I535" s="37" t="n"/>
      <c r="J535" s="40" t="str">
        <f>IF(OR(C535="",NOT(ISNUMBER(E535))),"",IFERROR(E535*N(INDEX(art_price,MATCH(C535,art_ref,0))),""))</f>
        <v/>
      </c>
      <c r="K535" s="39" t="str">
        <f>IF(OR(C535="",NOT(ISNUMBER(E535))),"",IFERROR(ROUND(N(INDEX(art_init,MATCH(C535,art_ref,0)))+SUMIFS($E$5:E535,$C$5:C535,C535,$B$5:B535,"Entrée")-SUMIFS($E$5:E535,$C$5:C535,C535,$B$5:B535,"Sortie"),6),""))</f>
        <v/>
      </c>
      <c r="L535" s="39" t="str">
        <f>IF(COUNTA(A535:C535,E535)=0,"",IF(COUNTA(A535:C535,E535)&lt;4,"Ligne incomplète",IF(NOT(ISNUMBER(A535)),"Date invalide",IF(AND(B535&lt;&gt;"Entrée",B535&lt;&gt;"Sortie"),"Type inconnu",IF(ISNA(MATCH(C535,art_ref,0)),"Référence inconnue",IF(OR(NOT(ISNUMBER(E535)),N(E535)&lt;=0),"Quantité invalide",IF(K535&lt;0,"Stock négatif",IF(AND(ISNUMBER(A534),A535&lt;A534),"Date hors ordre","OK"))))))))</f>
        <v/>
      </c>
      <c r="M535" s="39" t="str">
        <f>IF(C535="","",C535&amp;"#"&amp;COUNTIF($C$5:C535,C535))</f>
        <v/>
      </c>
    </row>
    <row r="536">
      <c r="A536" s="41" t="n"/>
      <c r="B536" s="37" t="n"/>
      <c r="C536" s="37" t="n"/>
      <c r="D536" s="39" t="str">
        <f>IF(C536="","",IFERROR(INDEX(art_des,MATCH(C536,art_ref,0))&amp;"","Référence inconnue"))</f>
        <v/>
      </c>
      <c r="E536" s="37" t="n"/>
      <c r="F536" s="39" t="str">
        <f>IF(C536="","",IFERROR(INDEX(art_unit,MATCH(C536,art_ref,0))&amp;"",""))</f>
        <v/>
      </c>
      <c r="G536" s="37" t="n"/>
      <c r="H536" s="37" t="n"/>
      <c r="I536" s="37" t="n"/>
      <c r="J536" s="40" t="str">
        <f>IF(OR(C536="",NOT(ISNUMBER(E536))),"",IFERROR(E536*N(INDEX(art_price,MATCH(C536,art_ref,0))),""))</f>
        <v/>
      </c>
      <c r="K536" s="39" t="str">
        <f>IF(OR(C536="",NOT(ISNUMBER(E536))),"",IFERROR(ROUND(N(INDEX(art_init,MATCH(C536,art_ref,0)))+SUMIFS($E$5:E536,$C$5:C536,C536,$B$5:B536,"Entrée")-SUMIFS($E$5:E536,$C$5:C536,C536,$B$5:B536,"Sortie"),6),""))</f>
        <v/>
      </c>
      <c r="L536" s="39" t="str">
        <f>IF(COUNTA(A536:C536,E536)=0,"",IF(COUNTA(A536:C536,E536)&lt;4,"Ligne incomplète",IF(NOT(ISNUMBER(A536)),"Date invalide",IF(AND(B536&lt;&gt;"Entrée",B536&lt;&gt;"Sortie"),"Type inconnu",IF(ISNA(MATCH(C536,art_ref,0)),"Référence inconnue",IF(OR(NOT(ISNUMBER(E536)),N(E536)&lt;=0),"Quantité invalide",IF(K536&lt;0,"Stock négatif",IF(AND(ISNUMBER(A535),A536&lt;A535),"Date hors ordre","OK"))))))))</f>
        <v/>
      </c>
      <c r="M536" s="39" t="str">
        <f>IF(C536="","",C536&amp;"#"&amp;COUNTIF($C$5:C536,C536))</f>
        <v/>
      </c>
    </row>
    <row r="537">
      <c r="A537" s="41" t="n"/>
      <c r="B537" s="37" t="n"/>
      <c r="C537" s="37" t="n"/>
      <c r="D537" s="39" t="str">
        <f>IF(C537="","",IFERROR(INDEX(art_des,MATCH(C537,art_ref,0))&amp;"","Référence inconnue"))</f>
        <v/>
      </c>
      <c r="E537" s="37" t="n"/>
      <c r="F537" s="39" t="str">
        <f>IF(C537="","",IFERROR(INDEX(art_unit,MATCH(C537,art_ref,0))&amp;"",""))</f>
        <v/>
      </c>
      <c r="G537" s="37" t="n"/>
      <c r="H537" s="37" t="n"/>
      <c r="I537" s="37" t="n"/>
      <c r="J537" s="40" t="str">
        <f>IF(OR(C537="",NOT(ISNUMBER(E537))),"",IFERROR(E537*N(INDEX(art_price,MATCH(C537,art_ref,0))),""))</f>
        <v/>
      </c>
      <c r="K537" s="39" t="str">
        <f>IF(OR(C537="",NOT(ISNUMBER(E537))),"",IFERROR(ROUND(N(INDEX(art_init,MATCH(C537,art_ref,0)))+SUMIFS($E$5:E537,$C$5:C537,C537,$B$5:B537,"Entrée")-SUMIFS($E$5:E537,$C$5:C537,C537,$B$5:B537,"Sortie"),6),""))</f>
        <v/>
      </c>
      <c r="L537" s="39" t="str">
        <f>IF(COUNTA(A537:C537,E537)=0,"",IF(COUNTA(A537:C537,E537)&lt;4,"Ligne incomplète",IF(NOT(ISNUMBER(A537)),"Date invalide",IF(AND(B537&lt;&gt;"Entrée",B537&lt;&gt;"Sortie"),"Type inconnu",IF(ISNA(MATCH(C537,art_ref,0)),"Référence inconnue",IF(OR(NOT(ISNUMBER(E537)),N(E537)&lt;=0),"Quantité invalide",IF(K537&lt;0,"Stock négatif",IF(AND(ISNUMBER(A536),A537&lt;A536),"Date hors ordre","OK"))))))))</f>
        <v/>
      </c>
      <c r="M537" s="39" t="str">
        <f>IF(C537="","",C537&amp;"#"&amp;COUNTIF($C$5:C537,C537))</f>
        <v/>
      </c>
    </row>
    <row r="538">
      <c r="A538" s="41" t="n"/>
      <c r="B538" s="37" t="n"/>
      <c r="C538" s="37" t="n"/>
      <c r="D538" s="39" t="str">
        <f>IF(C538="","",IFERROR(INDEX(art_des,MATCH(C538,art_ref,0))&amp;"","Référence inconnue"))</f>
        <v/>
      </c>
      <c r="E538" s="37" t="n"/>
      <c r="F538" s="39" t="str">
        <f>IF(C538="","",IFERROR(INDEX(art_unit,MATCH(C538,art_ref,0))&amp;"",""))</f>
        <v/>
      </c>
      <c r="G538" s="37" t="n"/>
      <c r="H538" s="37" t="n"/>
      <c r="I538" s="37" t="n"/>
      <c r="J538" s="40" t="str">
        <f>IF(OR(C538="",NOT(ISNUMBER(E538))),"",IFERROR(E538*N(INDEX(art_price,MATCH(C538,art_ref,0))),""))</f>
        <v/>
      </c>
      <c r="K538" s="39" t="str">
        <f>IF(OR(C538="",NOT(ISNUMBER(E538))),"",IFERROR(ROUND(N(INDEX(art_init,MATCH(C538,art_ref,0)))+SUMIFS($E$5:E538,$C$5:C538,C538,$B$5:B538,"Entrée")-SUMIFS($E$5:E538,$C$5:C538,C538,$B$5:B538,"Sortie"),6),""))</f>
        <v/>
      </c>
      <c r="L538" s="39" t="str">
        <f>IF(COUNTA(A538:C538,E538)=0,"",IF(COUNTA(A538:C538,E538)&lt;4,"Ligne incomplète",IF(NOT(ISNUMBER(A538)),"Date invalide",IF(AND(B538&lt;&gt;"Entrée",B538&lt;&gt;"Sortie"),"Type inconnu",IF(ISNA(MATCH(C538,art_ref,0)),"Référence inconnue",IF(OR(NOT(ISNUMBER(E538)),N(E538)&lt;=0),"Quantité invalide",IF(K538&lt;0,"Stock négatif",IF(AND(ISNUMBER(A537),A538&lt;A537),"Date hors ordre","OK"))))))))</f>
        <v/>
      </c>
      <c r="M538" s="39" t="str">
        <f>IF(C538="","",C538&amp;"#"&amp;COUNTIF($C$5:C538,C538))</f>
        <v/>
      </c>
    </row>
    <row r="539">
      <c r="A539" s="41" t="n"/>
      <c r="B539" s="37" t="n"/>
      <c r="C539" s="37" t="n"/>
      <c r="D539" s="39" t="str">
        <f>IF(C539="","",IFERROR(INDEX(art_des,MATCH(C539,art_ref,0))&amp;"","Référence inconnue"))</f>
        <v/>
      </c>
      <c r="E539" s="37" t="n"/>
      <c r="F539" s="39" t="str">
        <f>IF(C539="","",IFERROR(INDEX(art_unit,MATCH(C539,art_ref,0))&amp;"",""))</f>
        <v/>
      </c>
      <c r="G539" s="37" t="n"/>
      <c r="H539" s="37" t="n"/>
      <c r="I539" s="37" t="n"/>
      <c r="J539" s="40" t="str">
        <f>IF(OR(C539="",NOT(ISNUMBER(E539))),"",IFERROR(E539*N(INDEX(art_price,MATCH(C539,art_ref,0))),""))</f>
        <v/>
      </c>
      <c r="K539" s="39" t="str">
        <f>IF(OR(C539="",NOT(ISNUMBER(E539))),"",IFERROR(ROUND(N(INDEX(art_init,MATCH(C539,art_ref,0)))+SUMIFS($E$5:E539,$C$5:C539,C539,$B$5:B539,"Entrée")-SUMIFS($E$5:E539,$C$5:C539,C539,$B$5:B539,"Sortie"),6),""))</f>
        <v/>
      </c>
      <c r="L539" s="39" t="str">
        <f>IF(COUNTA(A539:C539,E539)=0,"",IF(COUNTA(A539:C539,E539)&lt;4,"Ligne incomplète",IF(NOT(ISNUMBER(A539)),"Date invalide",IF(AND(B539&lt;&gt;"Entrée",B539&lt;&gt;"Sortie"),"Type inconnu",IF(ISNA(MATCH(C539,art_ref,0)),"Référence inconnue",IF(OR(NOT(ISNUMBER(E539)),N(E539)&lt;=0),"Quantité invalide",IF(K539&lt;0,"Stock négatif",IF(AND(ISNUMBER(A538),A539&lt;A538),"Date hors ordre","OK"))))))))</f>
        <v/>
      </c>
      <c r="M539" s="39" t="str">
        <f>IF(C539="","",C539&amp;"#"&amp;COUNTIF($C$5:C539,C539))</f>
        <v/>
      </c>
    </row>
    <row r="540">
      <c r="A540" s="41" t="n"/>
      <c r="B540" s="37" t="n"/>
      <c r="C540" s="37" t="n"/>
      <c r="D540" s="39" t="str">
        <f>IF(C540="","",IFERROR(INDEX(art_des,MATCH(C540,art_ref,0))&amp;"","Référence inconnue"))</f>
        <v/>
      </c>
      <c r="E540" s="37" t="n"/>
      <c r="F540" s="39" t="str">
        <f>IF(C540="","",IFERROR(INDEX(art_unit,MATCH(C540,art_ref,0))&amp;"",""))</f>
        <v/>
      </c>
      <c r="G540" s="37" t="n"/>
      <c r="H540" s="37" t="n"/>
      <c r="I540" s="37" t="n"/>
      <c r="J540" s="40" t="str">
        <f>IF(OR(C540="",NOT(ISNUMBER(E540))),"",IFERROR(E540*N(INDEX(art_price,MATCH(C540,art_ref,0))),""))</f>
        <v/>
      </c>
      <c r="K540" s="39" t="str">
        <f>IF(OR(C540="",NOT(ISNUMBER(E540))),"",IFERROR(ROUND(N(INDEX(art_init,MATCH(C540,art_ref,0)))+SUMIFS($E$5:E540,$C$5:C540,C540,$B$5:B540,"Entrée")-SUMIFS($E$5:E540,$C$5:C540,C540,$B$5:B540,"Sortie"),6),""))</f>
        <v/>
      </c>
      <c r="L540" s="39" t="str">
        <f>IF(COUNTA(A540:C540,E540)=0,"",IF(COUNTA(A540:C540,E540)&lt;4,"Ligne incomplète",IF(NOT(ISNUMBER(A540)),"Date invalide",IF(AND(B540&lt;&gt;"Entrée",B540&lt;&gt;"Sortie"),"Type inconnu",IF(ISNA(MATCH(C540,art_ref,0)),"Référence inconnue",IF(OR(NOT(ISNUMBER(E540)),N(E540)&lt;=0),"Quantité invalide",IF(K540&lt;0,"Stock négatif",IF(AND(ISNUMBER(A539),A540&lt;A539),"Date hors ordre","OK"))))))))</f>
        <v/>
      </c>
      <c r="M540" s="39" t="str">
        <f>IF(C540="","",C540&amp;"#"&amp;COUNTIF($C$5:C540,C540))</f>
        <v/>
      </c>
    </row>
    <row r="541">
      <c r="A541" s="41" t="n"/>
      <c r="B541" s="37" t="n"/>
      <c r="C541" s="37" t="n"/>
      <c r="D541" s="39" t="str">
        <f>IF(C541="","",IFERROR(INDEX(art_des,MATCH(C541,art_ref,0))&amp;"","Référence inconnue"))</f>
        <v/>
      </c>
      <c r="E541" s="37" t="n"/>
      <c r="F541" s="39" t="str">
        <f>IF(C541="","",IFERROR(INDEX(art_unit,MATCH(C541,art_ref,0))&amp;"",""))</f>
        <v/>
      </c>
      <c r="G541" s="37" t="n"/>
      <c r="H541" s="37" t="n"/>
      <c r="I541" s="37" t="n"/>
      <c r="J541" s="40" t="str">
        <f>IF(OR(C541="",NOT(ISNUMBER(E541))),"",IFERROR(E541*N(INDEX(art_price,MATCH(C541,art_ref,0))),""))</f>
        <v/>
      </c>
      <c r="K541" s="39" t="str">
        <f>IF(OR(C541="",NOT(ISNUMBER(E541))),"",IFERROR(ROUND(N(INDEX(art_init,MATCH(C541,art_ref,0)))+SUMIFS($E$5:E541,$C$5:C541,C541,$B$5:B541,"Entrée")-SUMIFS($E$5:E541,$C$5:C541,C541,$B$5:B541,"Sortie"),6),""))</f>
        <v/>
      </c>
      <c r="L541" s="39" t="str">
        <f>IF(COUNTA(A541:C541,E541)=0,"",IF(COUNTA(A541:C541,E541)&lt;4,"Ligne incomplète",IF(NOT(ISNUMBER(A541)),"Date invalide",IF(AND(B541&lt;&gt;"Entrée",B541&lt;&gt;"Sortie"),"Type inconnu",IF(ISNA(MATCH(C541,art_ref,0)),"Référence inconnue",IF(OR(NOT(ISNUMBER(E541)),N(E541)&lt;=0),"Quantité invalide",IF(K541&lt;0,"Stock négatif",IF(AND(ISNUMBER(A540),A541&lt;A540),"Date hors ordre","OK"))))))))</f>
        <v/>
      </c>
      <c r="M541" s="39" t="str">
        <f>IF(C541="","",C541&amp;"#"&amp;COUNTIF($C$5:C541,C541))</f>
        <v/>
      </c>
    </row>
    <row r="542">
      <c r="A542" s="41" t="n"/>
      <c r="B542" s="37" t="n"/>
      <c r="C542" s="37" t="n"/>
      <c r="D542" s="39" t="str">
        <f>IF(C542="","",IFERROR(INDEX(art_des,MATCH(C542,art_ref,0))&amp;"","Référence inconnue"))</f>
        <v/>
      </c>
      <c r="E542" s="37" t="n"/>
      <c r="F542" s="39" t="str">
        <f>IF(C542="","",IFERROR(INDEX(art_unit,MATCH(C542,art_ref,0))&amp;"",""))</f>
        <v/>
      </c>
      <c r="G542" s="37" t="n"/>
      <c r="H542" s="37" t="n"/>
      <c r="I542" s="37" t="n"/>
      <c r="J542" s="40" t="str">
        <f>IF(OR(C542="",NOT(ISNUMBER(E542))),"",IFERROR(E542*N(INDEX(art_price,MATCH(C542,art_ref,0))),""))</f>
        <v/>
      </c>
      <c r="K542" s="39" t="str">
        <f>IF(OR(C542="",NOT(ISNUMBER(E542))),"",IFERROR(ROUND(N(INDEX(art_init,MATCH(C542,art_ref,0)))+SUMIFS($E$5:E542,$C$5:C542,C542,$B$5:B542,"Entrée")-SUMIFS($E$5:E542,$C$5:C542,C542,$B$5:B542,"Sortie"),6),""))</f>
        <v/>
      </c>
      <c r="L542" s="39" t="str">
        <f>IF(COUNTA(A542:C542,E542)=0,"",IF(COUNTA(A542:C542,E542)&lt;4,"Ligne incomplète",IF(NOT(ISNUMBER(A542)),"Date invalide",IF(AND(B542&lt;&gt;"Entrée",B542&lt;&gt;"Sortie"),"Type inconnu",IF(ISNA(MATCH(C542,art_ref,0)),"Référence inconnue",IF(OR(NOT(ISNUMBER(E542)),N(E542)&lt;=0),"Quantité invalide",IF(K542&lt;0,"Stock négatif",IF(AND(ISNUMBER(A541),A542&lt;A541),"Date hors ordre","OK"))))))))</f>
        <v/>
      </c>
      <c r="M542" s="39" t="str">
        <f>IF(C542="","",C542&amp;"#"&amp;COUNTIF($C$5:C542,C542))</f>
        <v/>
      </c>
    </row>
    <row r="543">
      <c r="A543" s="41" t="n"/>
      <c r="B543" s="37" t="n"/>
      <c r="C543" s="37" t="n"/>
      <c r="D543" s="39" t="str">
        <f>IF(C543="","",IFERROR(INDEX(art_des,MATCH(C543,art_ref,0))&amp;"","Référence inconnue"))</f>
        <v/>
      </c>
      <c r="E543" s="37" t="n"/>
      <c r="F543" s="39" t="str">
        <f>IF(C543="","",IFERROR(INDEX(art_unit,MATCH(C543,art_ref,0))&amp;"",""))</f>
        <v/>
      </c>
      <c r="G543" s="37" t="n"/>
      <c r="H543" s="37" t="n"/>
      <c r="I543" s="37" t="n"/>
      <c r="J543" s="40" t="str">
        <f>IF(OR(C543="",NOT(ISNUMBER(E543))),"",IFERROR(E543*N(INDEX(art_price,MATCH(C543,art_ref,0))),""))</f>
        <v/>
      </c>
      <c r="K543" s="39" t="str">
        <f>IF(OR(C543="",NOT(ISNUMBER(E543))),"",IFERROR(ROUND(N(INDEX(art_init,MATCH(C543,art_ref,0)))+SUMIFS($E$5:E543,$C$5:C543,C543,$B$5:B543,"Entrée")-SUMIFS($E$5:E543,$C$5:C543,C543,$B$5:B543,"Sortie"),6),""))</f>
        <v/>
      </c>
      <c r="L543" s="39" t="str">
        <f>IF(COUNTA(A543:C543,E543)=0,"",IF(COUNTA(A543:C543,E543)&lt;4,"Ligne incomplète",IF(NOT(ISNUMBER(A543)),"Date invalide",IF(AND(B543&lt;&gt;"Entrée",B543&lt;&gt;"Sortie"),"Type inconnu",IF(ISNA(MATCH(C543,art_ref,0)),"Référence inconnue",IF(OR(NOT(ISNUMBER(E543)),N(E543)&lt;=0),"Quantité invalide",IF(K543&lt;0,"Stock négatif",IF(AND(ISNUMBER(A542),A543&lt;A542),"Date hors ordre","OK"))))))))</f>
        <v/>
      </c>
      <c r="M543" s="39" t="str">
        <f>IF(C543="","",C543&amp;"#"&amp;COUNTIF($C$5:C543,C543))</f>
        <v/>
      </c>
    </row>
    <row r="544">
      <c r="A544" s="41" t="n"/>
      <c r="B544" s="37" t="n"/>
      <c r="C544" s="37" t="n"/>
      <c r="D544" s="39" t="str">
        <f>IF(C544="","",IFERROR(INDEX(art_des,MATCH(C544,art_ref,0))&amp;"","Référence inconnue"))</f>
        <v/>
      </c>
      <c r="E544" s="37" t="n"/>
      <c r="F544" s="39" t="str">
        <f>IF(C544="","",IFERROR(INDEX(art_unit,MATCH(C544,art_ref,0))&amp;"",""))</f>
        <v/>
      </c>
      <c r="G544" s="37" t="n"/>
      <c r="H544" s="37" t="n"/>
      <c r="I544" s="37" t="n"/>
      <c r="J544" s="40" t="str">
        <f>IF(OR(C544="",NOT(ISNUMBER(E544))),"",IFERROR(E544*N(INDEX(art_price,MATCH(C544,art_ref,0))),""))</f>
        <v/>
      </c>
      <c r="K544" s="39" t="str">
        <f>IF(OR(C544="",NOT(ISNUMBER(E544))),"",IFERROR(ROUND(N(INDEX(art_init,MATCH(C544,art_ref,0)))+SUMIFS($E$5:E544,$C$5:C544,C544,$B$5:B544,"Entrée")-SUMIFS($E$5:E544,$C$5:C544,C544,$B$5:B544,"Sortie"),6),""))</f>
        <v/>
      </c>
      <c r="L544" s="39" t="str">
        <f>IF(COUNTA(A544:C544,E544)=0,"",IF(COUNTA(A544:C544,E544)&lt;4,"Ligne incomplète",IF(NOT(ISNUMBER(A544)),"Date invalide",IF(AND(B544&lt;&gt;"Entrée",B544&lt;&gt;"Sortie"),"Type inconnu",IF(ISNA(MATCH(C544,art_ref,0)),"Référence inconnue",IF(OR(NOT(ISNUMBER(E544)),N(E544)&lt;=0),"Quantité invalide",IF(K544&lt;0,"Stock négatif",IF(AND(ISNUMBER(A543),A544&lt;A543),"Date hors ordre","OK"))))))))</f>
        <v/>
      </c>
      <c r="M544" s="39" t="str">
        <f>IF(C544="","",C544&amp;"#"&amp;COUNTIF($C$5:C544,C544))</f>
        <v/>
      </c>
    </row>
    <row r="545">
      <c r="A545" s="41" t="n"/>
      <c r="B545" s="37" t="n"/>
      <c r="C545" s="37" t="n"/>
      <c r="D545" s="39" t="str">
        <f>IF(C545="","",IFERROR(INDEX(art_des,MATCH(C545,art_ref,0))&amp;"","Référence inconnue"))</f>
        <v/>
      </c>
      <c r="E545" s="37" t="n"/>
      <c r="F545" s="39" t="str">
        <f>IF(C545="","",IFERROR(INDEX(art_unit,MATCH(C545,art_ref,0))&amp;"",""))</f>
        <v/>
      </c>
      <c r="G545" s="37" t="n"/>
      <c r="H545" s="37" t="n"/>
      <c r="I545" s="37" t="n"/>
      <c r="J545" s="40" t="str">
        <f>IF(OR(C545="",NOT(ISNUMBER(E545))),"",IFERROR(E545*N(INDEX(art_price,MATCH(C545,art_ref,0))),""))</f>
        <v/>
      </c>
      <c r="K545" s="39" t="str">
        <f>IF(OR(C545="",NOT(ISNUMBER(E545))),"",IFERROR(ROUND(N(INDEX(art_init,MATCH(C545,art_ref,0)))+SUMIFS($E$5:E545,$C$5:C545,C545,$B$5:B545,"Entrée")-SUMIFS($E$5:E545,$C$5:C545,C545,$B$5:B545,"Sortie"),6),""))</f>
        <v/>
      </c>
      <c r="L545" s="39" t="str">
        <f>IF(COUNTA(A545:C545,E545)=0,"",IF(COUNTA(A545:C545,E545)&lt;4,"Ligne incomplète",IF(NOT(ISNUMBER(A545)),"Date invalide",IF(AND(B545&lt;&gt;"Entrée",B545&lt;&gt;"Sortie"),"Type inconnu",IF(ISNA(MATCH(C545,art_ref,0)),"Référence inconnue",IF(OR(NOT(ISNUMBER(E545)),N(E545)&lt;=0),"Quantité invalide",IF(K545&lt;0,"Stock négatif",IF(AND(ISNUMBER(A544),A545&lt;A544),"Date hors ordre","OK"))))))))</f>
        <v/>
      </c>
      <c r="M545" s="39" t="str">
        <f>IF(C545="","",C545&amp;"#"&amp;COUNTIF($C$5:C545,C545))</f>
        <v/>
      </c>
    </row>
    <row r="546">
      <c r="A546" s="41" t="n"/>
      <c r="B546" s="37" t="n"/>
      <c r="C546" s="37" t="n"/>
      <c r="D546" s="39" t="str">
        <f>IF(C546="","",IFERROR(INDEX(art_des,MATCH(C546,art_ref,0))&amp;"","Référence inconnue"))</f>
        <v/>
      </c>
      <c r="E546" s="37" t="n"/>
      <c r="F546" s="39" t="str">
        <f>IF(C546="","",IFERROR(INDEX(art_unit,MATCH(C546,art_ref,0))&amp;"",""))</f>
        <v/>
      </c>
      <c r="G546" s="37" t="n"/>
      <c r="H546" s="37" t="n"/>
      <c r="I546" s="37" t="n"/>
      <c r="J546" s="40" t="str">
        <f>IF(OR(C546="",NOT(ISNUMBER(E546))),"",IFERROR(E546*N(INDEX(art_price,MATCH(C546,art_ref,0))),""))</f>
        <v/>
      </c>
      <c r="K546" s="39" t="str">
        <f>IF(OR(C546="",NOT(ISNUMBER(E546))),"",IFERROR(ROUND(N(INDEX(art_init,MATCH(C546,art_ref,0)))+SUMIFS($E$5:E546,$C$5:C546,C546,$B$5:B546,"Entrée")-SUMIFS($E$5:E546,$C$5:C546,C546,$B$5:B546,"Sortie"),6),""))</f>
        <v/>
      </c>
      <c r="L546" s="39" t="str">
        <f>IF(COUNTA(A546:C546,E546)=0,"",IF(COUNTA(A546:C546,E546)&lt;4,"Ligne incomplète",IF(NOT(ISNUMBER(A546)),"Date invalide",IF(AND(B546&lt;&gt;"Entrée",B546&lt;&gt;"Sortie"),"Type inconnu",IF(ISNA(MATCH(C546,art_ref,0)),"Référence inconnue",IF(OR(NOT(ISNUMBER(E546)),N(E546)&lt;=0),"Quantité invalide",IF(K546&lt;0,"Stock négatif",IF(AND(ISNUMBER(A545),A546&lt;A545),"Date hors ordre","OK"))))))))</f>
        <v/>
      </c>
      <c r="M546" s="39" t="str">
        <f>IF(C546="","",C546&amp;"#"&amp;COUNTIF($C$5:C546,C546))</f>
        <v/>
      </c>
    </row>
    <row r="547">
      <c r="A547" s="41" t="n"/>
      <c r="B547" s="37" t="n"/>
      <c r="C547" s="37" t="n"/>
      <c r="D547" s="39" t="str">
        <f>IF(C547="","",IFERROR(INDEX(art_des,MATCH(C547,art_ref,0))&amp;"","Référence inconnue"))</f>
        <v/>
      </c>
      <c r="E547" s="37" t="n"/>
      <c r="F547" s="39" t="str">
        <f>IF(C547="","",IFERROR(INDEX(art_unit,MATCH(C547,art_ref,0))&amp;"",""))</f>
        <v/>
      </c>
      <c r="G547" s="37" t="n"/>
      <c r="H547" s="37" t="n"/>
      <c r="I547" s="37" t="n"/>
      <c r="J547" s="40" t="str">
        <f>IF(OR(C547="",NOT(ISNUMBER(E547))),"",IFERROR(E547*N(INDEX(art_price,MATCH(C547,art_ref,0))),""))</f>
        <v/>
      </c>
      <c r="K547" s="39" t="str">
        <f>IF(OR(C547="",NOT(ISNUMBER(E547))),"",IFERROR(ROUND(N(INDEX(art_init,MATCH(C547,art_ref,0)))+SUMIFS($E$5:E547,$C$5:C547,C547,$B$5:B547,"Entrée")-SUMIFS($E$5:E547,$C$5:C547,C547,$B$5:B547,"Sortie"),6),""))</f>
        <v/>
      </c>
      <c r="L547" s="39" t="str">
        <f>IF(COUNTA(A547:C547,E547)=0,"",IF(COUNTA(A547:C547,E547)&lt;4,"Ligne incomplète",IF(NOT(ISNUMBER(A547)),"Date invalide",IF(AND(B547&lt;&gt;"Entrée",B547&lt;&gt;"Sortie"),"Type inconnu",IF(ISNA(MATCH(C547,art_ref,0)),"Référence inconnue",IF(OR(NOT(ISNUMBER(E547)),N(E547)&lt;=0),"Quantité invalide",IF(K547&lt;0,"Stock négatif",IF(AND(ISNUMBER(A546),A547&lt;A546),"Date hors ordre","OK"))))))))</f>
        <v/>
      </c>
      <c r="M547" s="39" t="str">
        <f>IF(C547="","",C547&amp;"#"&amp;COUNTIF($C$5:C547,C547))</f>
        <v/>
      </c>
    </row>
    <row r="548">
      <c r="A548" s="41" t="n"/>
      <c r="B548" s="37" t="n"/>
      <c r="C548" s="37" t="n"/>
      <c r="D548" s="39" t="str">
        <f>IF(C548="","",IFERROR(INDEX(art_des,MATCH(C548,art_ref,0))&amp;"","Référence inconnue"))</f>
        <v/>
      </c>
      <c r="E548" s="37" t="n"/>
      <c r="F548" s="39" t="str">
        <f>IF(C548="","",IFERROR(INDEX(art_unit,MATCH(C548,art_ref,0))&amp;"",""))</f>
        <v/>
      </c>
      <c r="G548" s="37" t="n"/>
      <c r="H548" s="37" t="n"/>
      <c r="I548" s="37" t="n"/>
      <c r="J548" s="40" t="str">
        <f>IF(OR(C548="",NOT(ISNUMBER(E548))),"",IFERROR(E548*N(INDEX(art_price,MATCH(C548,art_ref,0))),""))</f>
        <v/>
      </c>
      <c r="K548" s="39" t="str">
        <f>IF(OR(C548="",NOT(ISNUMBER(E548))),"",IFERROR(ROUND(N(INDEX(art_init,MATCH(C548,art_ref,0)))+SUMIFS($E$5:E548,$C$5:C548,C548,$B$5:B548,"Entrée")-SUMIFS($E$5:E548,$C$5:C548,C548,$B$5:B548,"Sortie"),6),""))</f>
        <v/>
      </c>
      <c r="L548" s="39" t="str">
        <f>IF(COUNTA(A548:C548,E548)=0,"",IF(COUNTA(A548:C548,E548)&lt;4,"Ligne incomplète",IF(NOT(ISNUMBER(A548)),"Date invalide",IF(AND(B548&lt;&gt;"Entrée",B548&lt;&gt;"Sortie"),"Type inconnu",IF(ISNA(MATCH(C548,art_ref,0)),"Référence inconnue",IF(OR(NOT(ISNUMBER(E548)),N(E548)&lt;=0),"Quantité invalide",IF(K548&lt;0,"Stock négatif",IF(AND(ISNUMBER(A547),A548&lt;A547),"Date hors ordre","OK"))))))))</f>
        <v/>
      </c>
      <c r="M548" s="39" t="str">
        <f>IF(C548="","",C548&amp;"#"&amp;COUNTIF($C$5:C548,C548))</f>
        <v/>
      </c>
    </row>
    <row r="549">
      <c r="A549" s="41" t="n"/>
      <c r="B549" s="37" t="n"/>
      <c r="C549" s="37" t="n"/>
      <c r="D549" s="39" t="str">
        <f>IF(C549="","",IFERROR(INDEX(art_des,MATCH(C549,art_ref,0))&amp;"","Référence inconnue"))</f>
        <v/>
      </c>
      <c r="E549" s="37" t="n"/>
      <c r="F549" s="39" t="str">
        <f>IF(C549="","",IFERROR(INDEX(art_unit,MATCH(C549,art_ref,0))&amp;"",""))</f>
        <v/>
      </c>
      <c r="G549" s="37" t="n"/>
      <c r="H549" s="37" t="n"/>
      <c r="I549" s="37" t="n"/>
      <c r="J549" s="40" t="str">
        <f>IF(OR(C549="",NOT(ISNUMBER(E549))),"",IFERROR(E549*N(INDEX(art_price,MATCH(C549,art_ref,0))),""))</f>
        <v/>
      </c>
      <c r="K549" s="39" t="str">
        <f>IF(OR(C549="",NOT(ISNUMBER(E549))),"",IFERROR(ROUND(N(INDEX(art_init,MATCH(C549,art_ref,0)))+SUMIFS($E$5:E549,$C$5:C549,C549,$B$5:B549,"Entrée")-SUMIFS($E$5:E549,$C$5:C549,C549,$B$5:B549,"Sortie"),6),""))</f>
        <v/>
      </c>
      <c r="L549" s="39" t="str">
        <f>IF(COUNTA(A549:C549,E549)=0,"",IF(COUNTA(A549:C549,E549)&lt;4,"Ligne incomplète",IF(NOT(ISNUMBER(A549)),"Date invalide",IF(AND(B549&lt;&gt;"Entrée",B549&lt;&gt;"Sortie"),"Type inconnu",IF(ISNA(MATCH(C549,art_ref,0)),"Référence inconnue",IF(OR(NOT(ISNUMBER(E549)),N(E549)&lt;=0),"Quantité invalide",IF(K549&lt;0,"Stock négatif",IF(AND(ISNUMBER(A548),A549&lt;A548),"Date hors ordre","OK"))))))))</f>
        <v/>
      </c>
      <c r="M549" s="39" t="str">
        <f>IF(C549="","",C549&amp;"#"&amp;COUNTIF($C$5:C549,C549))</f>
        <v/>
      </c>
    </row>
    <row r="550">
      <c r="A550" s="41" t="n"/>
      <c r="B550" s="37" t="n"/>
      <c r="C550" s="37" t="n"/>
      <c r="D550" s="39" t="str">
        <f>IF(C550="","",IFERROR(INDEX(art_des,MATCH(C550,art_ref,0))&amp;"","Référence inconnue"))</f>
        <v/>
      </c>
      <c r="E550" s="37" t="n"/>
      <c r="F550" s="39" t="str">
        <f>IF(C550="","",IFERROR(INDEX(art_unit,MATCH(C550,art_ref,0))&amp;"",""))</f>
        <v/>
      </c>
      <c r="G550" s="37" t="n"/>
      <c r="H550" s="37" t="n"/>
      <c r="I550" s="37" t="n"/>
      <c r="J550" s="40" t="str">
        <f>IF(OR(C550="",NOT(ISNUMBER(E550))),"",IFERROR(E550*N(INDEX(art_price,MATCH(C550,art_ref,0))),""))</f>
        <v/>
      </c>
      <c r="K550" s="39" t="str">
        <f>IF(OR(C550="",NOT(ISNUMBER(E550))),"",IFERROR(ROUND(N(INDEX(art_init,MATCH(C550,art_ref,0)))+SUMIFS($E$5:E550,$C$5:C550,C550,$B$5:B550,"Entrée")-SUMIFS($E$5:E550,$C$5:C550,C550,$B$5:B550,"Sortie"),6),""))</f>
        <v/>
      </c>
      <c r="L550" s="39" t="str">
        <f>IF(COUNTA(A550:C550,E550)=0,"",IF(COUNTA(A550:C550,E550)&lt;4,"Ligne incomplète",IF(NOT(ISNUMBER(A550)),"Date invalide",IF(AND(B550&lt;&gt;"Entrée",B550&lt;&gt;"Sortie"),"Type inconnu",IF(ISNA(MATCH(C550,art_ref,0)),"Référence inconnue",IF(OR(NOT(ISNUMBER(E550)),N(E550)&lt;=0),"Quantité invalide",IF(K550&lt;0,"Stock négatif",IF(AND(ISNUMBER(A549),A550&lt;A549),"Date hors ordre","OK"))))))))</f>
        <v/>
      </c>
      <c r="M550" s="39" t="str">
        <f>IF(C550="","",C550&amp;"#"&amp;COUNTIF($C$5:C550,C550))</f>
        <v/>
      </c>
    </row>
    <row r="551">
      <c r="A551" s="41" t="n"/>
      <c r="B551" s="37" t="n"/>
      <c r="C551" s="37" t="n"/>
      <c r="D551" s="39" t="str">
        <f>IF(C551="","",IFERROR(INDEX(art_des,MATCH(C551,art_ref,0))&amp;"","Référence inconnue"))</f>
        <v/>
      </c>
      <c r="E551" s="37" t="n"/>
      <c r="F551" s="39" t="str">
        <f>IF(C551="","",IFERROR(INDEX(art_unit,MATCH(C551,art_ref,0))&amp;"",""))</f>
        <v/>
      </c>
      <c r="G551" s="37" t="n"/>
      <c r="H551" s="37" t="n"/>
      <c r="I551" s="37" t="n"/>
      <c r="J551" s="40" t="str">
        <f>IF(OR(C551="",NOT(ISNUMBER(E551))),"",IFERROR(E551*N(INDEX(art_price,MATCH(C551,art_ref,0))),""))</f>
        <v/>
      </c>
      <c r="K551" s="39" t="str">
        <f>IF(OR(C551="",NOT(ISNUMBER(E551))),"",IFERROR(ROUND(N(INDEX(art_init,MATCH(C551,art_ref,0)))+SUMIFS($E$5:E551,$C$5:C551,C551,$B$5:B551,"Entrée")-SUMIFS($E$5:E551,$C$5:C551,C551,$B$5:B551,"Sortie"),6),""))</f>
        <v/>
      </c>
      <c r="L551" s="39" t="str">
        <f>IF(COUNTA(A551:C551,E551)=0,"",IF(COUNTA(A551:C551,E551)&lt;4,"Ligne incomplète",IF(NOT(ISNUMBER(A551)),"Date invalide",IF(AND(B551&lt;&gt;"Entrée",B551&lt;&gt;"Sortie"),"Type inconnu",IF(ISNA(MATCH(C551,art_ref,0)),"Référence inconnue",IF(OR(NOT(ISNUMBER(E551)),N(E551)&lt;=0),"Quantité invalide",IF(K551&lt;0,"Stock négatif",IF(AND(ISNUMBER(A550),A551&lt;A550),"Date hors ordre","OK"))))))))</f>
        <v/>
      </c>
      <c r="M551" s="39" t="str">
        <f>IF(C551="","",C551&amp;"#"&amp;COUNTIF($C$5:C551,C551))</f>
        <v/>
      </c>
    </row>
    <row r="552">
      <c r="A552" s="41" t="n"/>
      <c r="B552" s="37" t="n"/>
      <c r="C552" s="37" t="n"/>
      <c r="D552" s="39" t="str">
        <f>IF(C552="","",IFERROR(INDEX(art_des,MATCH(C552,art_ref,0))&amp;"","Référence inconnue"))</f>
        <v/>
      </c>
      <c r="E552" s="37" t="n"/>
      <c r="F552" s="39" t="str">
        <f>IF(C552="","",IFERROR(INDEX(art_unit,MATCH(C552,art_ref,0))&amp;"",""))</f>
        <v/>
      </c>
      <c r="G552" s="37" t="n"/>
      <c r="H552" s="37" t="n"/>
      <c r="I552" s="37" t="n"/>
      <c r="J552" s="40" t="str">
        <f>IF(OR(C552="",NOT(ISNUMBER(E552))),"",IFERROR(E552*N(INDEX(art_price,MATCH(C552,art_ref,0))),""))</f>
        <v/>
      </c>
      <c r="K552" s="39" t="str">
        <f>IF(OR(C552="",NOT(ISNUMBER(E552))),"",IFERROR(ROUND(N(INDEX(art_init,MATCH(C552,art_ref,0)))+SUMIFS($E$5:E552,$C$5:C552,C552,$B$5:B552,"Entrée")-SUMIFS($E$5:E552,$C$5:C552,C552,$B$5:B552,"Sortie"),6),""))</f>
        <v/>
      </c>
      <c r="L552" s="39" t="str">
        <f>IF(COUNTA(A552:C552,E552)=0,"",IF(COUNTA(A552:C552,E552)&lt;4,"Ligne incomplète",IF(NOT(ISNUMBER(A552)),"Date invalide",IF(AND(B552&lt;&gt;"Entrée",B552&lt;&gt;"Sortie"),"Type inconnu",IF(ISNA(MATCH(C552,art_ref,0)),"Référence inconnue",IF(OR(NOT(ISNUMBER(E552)),N(E552)&lt;=0),"Quantité invalide",IF(K552&lt;0,"Stock négatif",IF(AND(ISNUMBER(A551),A552&lt;A551),"Date hors ordre","OK"))))))))</f>
        <v/>
      </c>
      <c r="M552" s="39" t="str">
        <f>IF(C552="","",C552&amp;"#"&amp;COUNTIF($C$5:C552,C552))</f>
        <v/>
      </c>
    </row>
    <row r="553">
      <c r="A553" s="41" t="n"/>
      <c r="B553" s="37" t="n"/>
      <c r="C553" s="37" t="n"/>
      <c r="D553" s="39" t="str">
        <f>IF(C553="","",IFERROR(INDEX(art_des,MATCH(C553,art_ref,0))&amp;"","Référence inconnue"))</f>
        <v/>
      </c>
      <c r="E553" s="37" t="n"/>
      <c r="F553" s="39" t="str">
        <f>IF(C553="","",IFERROR(INDEX(art_unit,MATCH(C553,art_ref,0))&amp;"",""))</f>
        <v/>
      </c>
      <c r="G553" s="37" t="n"/>
      <c r="H553" s="37" t="n"/>
      <c r="I553" s="37" t="n"/>
      <c r="J553" s="40" t="str">
        <f>IF(OR(C553="",NOT(ISNUMBER(E553))),"",IFERROR(E553*N(INDEX(art_price,MATCH(C553,art_ref,0))),""))</f>
        <v/>
      </c>
      <c r="K553" s="39" t="str">
        <f>IF(OR(C553="",NOT(ISNUMBER(E553))),"",IFERROR(ROUND(N(INDEX(art_init,MATCH(C553,art_ref,0)))+SUMIFS($E$5:E553,$C$5:C553,C553,$B$5:B553,"Entrée")-SUMIFS($E$5:E553,$C$5:C553,C553,$B$5:B553,"Sortie"),6),""))</f>
        <v/>
      </c>
      <c r="L553" s="39" t="str">
        <f>IF(COUNTA(A553:C553,E553)=0,"",IF(COUNTA(A553:C553,E553)&lt;4,"Ligne incomplète",IF(NOT(ISNUMBER(A553)),"Date invalide",IF(AND(B553&lt;&gt;"Entrée",B553&lt;&gt;"Sortie"),"Type inconnu",IF(ISNA(MATCH(C553,art_ref,0)),"Référence inconnue",IF(OR(NOT(ISNUMBER(E553)),N(E553)&lt;=0),"Quantité invalide",IF(K553&lt;0,"Stock négatif",IF(AND(ISNUMBER(A552),A553&lt;A552),"Date hors ordre","OK"))))))))</f>
        <v/>
      </c>
      <c r="M553" s="39" t="str">
        <f>IF(C553="","",C553&amp;"#"&amp;COUNTIF($C$5:C553,C553))</f>
        <v/>
      </c>
    </row>
    <row r="554">
      <c r="A554" s="41" t="n"/>
      <c r="B554" s="37" t="n"/>
      <c r="C554" s="37" t="n"/>
      <c r="D554" s="39" t="str">
        <f>IF(C554="","",IFERROR(INDEX(art_des,MATCH(C554,art_ref,0))&amp;"","Référence inconnue"))</f>
        <v/>
      </c>
      <c r="E554" s="37" t="n"/>
      <c r="F554" s="39" t="str">
        <f>IF(C554="","",IFERROR(INDEX(art_unit,MATCH(C554,art_ref,0))&amp;"",""))</f>
        <v/>
      </c>
      <c r="G554" s="37" t="n"/>
      <c r="H554" s="37" t="n"/>
      <c r="I554" s="37" t="n"/>
      <c r="J554" s="40" t="str">
        <f>IF(OR(C554="",NOT(ISNUMBER(E554))),"",IFERROR(E554*N(INDEX(art_price,MATCH(C554,art_ref,0))),""))</f>
        <v/>
      </c>
      <c r="K554" s="39" t="str">
        <f>IF(OR(C554="",NOT(ISNUMBER(E554))),"",IFERROR(ROUND(N(INDEX(art_init,MATCH(C554,art_ref,0)))+SUMIFS($E$5:E554,$C$5:C554,C554,$B$5:B554,"Entrée")-SUMIFS($E$5:E554,$C$5:C554,C554,$B$5:B554,"Sortie"),6),""))</f>
        <v/>
      </c>
      <c r="L554" s="39" t="str">
        <f>IF(COUNTA(A554:C554,E554)=0,"",IF(COUNTA(A554:C554,E554)&lt;4,"Ligne incomplète",IF(NOT(ISNUMBER(A554)),"Date invalide",IF(AND(B554&lt;&gt;"Entrée",B554&lt;&gt;"Sortie"),"Type inconnu",IF(ISNA(MATCH(C554,art_ref,0)),"Référence inconnue",IF(OR(NOT(ISNUMBER(E554)),N(E554)&lt;=0),"Quantité invalide",IF(K554&lt;0,"Stock négatif",IF(AND(ISNUMBER(A553),A554&lt;A553),"Date hors ordre","OK"))))))))</f>
        <v/>
      </c>
      <c r="M554" s="39" t="str">
        <f>IF(C554="","",C554&amp;"#"&amp;COUNTIF($C$5:C554,C554))</f>
        <v/>
      </c>
    </row>
    <row r="555">
      <c r="A555" s="41" t="n"/>
      <c r="B555" s="37" t="n"/>
      <c r="C555" s="37" t="n"/>
      <c r="D555" s="39" t="str">
        <f>IF(C555="","",IFERROR(INDEX(art_des,MATCH(C555,art_ref,0))&amp;"","Référence inconnue"))</f>
        <v/>
      </c>
      <c r="E555" s="37" t="n"/>
      <c r="F555" s="39" t="str">
        <f>IF(C555="","",IFERROR(INDEX(art_unit,MATCH(C555,art_ref,0))&amp;"",""))</f>
        <v/>
      </c>
      <c r="G555" s="37" t="n"/>
      <c r="H555" s="37" t="n"/>
      <c r="I555" s="37" t="n"/>
      <c r="J555" s="40" t="str">
        <f>IF(OR(C555="",NOT(ISNUMBER(E555))),"",IFERROR(E555*N(INDEX(art_price,MATCH(C555,art_ref,0))),""))</f>
        <v/>
      </c>
      <c r="K555" s="39" t="str">
        <f>IF(OR(C555="",NOT(ISNUMBER(E555))),"",IFERROR(ROUND(N(INDEX(art_init,MATCH(C555,art_ref,0)))+SUMIFS($E$5:E555,$C$5:C555,C555,$B$5:B555,"Entrée")-SUMIFS($E$5:E555,$C$5:C555,C555,$B$5:B555,"Sortie"),6),""))</f>
        <v/>
      </c>
      <c r="L555" s="39" t="str">
        <f>IF(COUNTA(A555:C555,E555)=0,"",IF(COUNTA(A555:C555,E555)&lt;4,"Ligne incomplète",IF(NOT(ISNUMBER(A555)),"Date invalide",IF(AND(B555&lt;&gt;"Entrée",B555&lt;&gt;"Sortie"),"Type inconnu",IF(ISNA(MATCH(C555,art_ref,0)),"Référence inconnue",IF(OR(NOT(ISNUMBER(E555)),N(E555)&lt;=0),"Quantité invalide",IF(K555&lt;0,"Stock négatif",IF(AND(ISNUMBER(A554),A555&lt;A554),"Date hors ordre","OK"))))))))</f>
        <v/>
      </c>
      <c r="M555" s="39" t="str">
        <f>IF(C555="","",C555&amp;"#"&amp;COUNTIF($C$5:C555,C555))</f>
        <v/>
      </c>
    </row>
    <row r="556">
      <c r="A556" s="41" t="n"/>
      <c r="B556" s="37" t="n"/>
      <c r="C556" s="37" t="n"/>
      <c r="D556" s="39" t="str">
        <f>IF(C556="","",IFERROR(INDEX(art_des,MATCH(C556,art_ref,0))&amp;"","Référence inconnue"))</f>
        <v/>
      </c>
      <c r="E556" s="37" t="n"/>
      <c r="F556" s="39" t="str">
        <f>IF(C556="","",IFERROR(INDEX(art_unit,MATCH(C556,art_ref,0))&amp;"",""))</f>
        <v/>
      </c>
      <c r="G556" s="37" t="n"/>
      <c r="H556" s="37" t="n"/>
      <c r="I556" s="37" t="n"/>
      <c r="J556" s="40" t="str">
        <f>IF(OR(C556="",NOT(ISNUMBER(E556))),"",IFERROR(E556*N(INDEX(art_price,MATCH(C556,art_ref,0))),""))</f>
        <v/>
      </c>
      <c r="K556" s="39" t="str">
        <f>IF(OR(C556="",NOT(ISNUMBER(E556))),"",IFERROR(ROUND(N(INDEX(art_init,MATCH(C556,art_ref,0)))+SUMIFS($E$5:E556,$C$5:C556,C556,$B$5:B556,"Entrée")-SUMIFS($E$5:E556,$C$5:C556,C556,$B$5:B556,"Sortie"),6),""))</f>
        <v/>
      </c>
      <c r="L556" s="39" t="str">
        <f>IF(COUNTA(A556:C556,E556)=0,"",IF(COUNTA(A556:C556,E556)&lt;4,"Ligne incomplète",IF(NOT(ISNUMBER(A556)),"Date invalide",IF(AND(B556&lt;&gt;"Entrée",B556&lt;&gt;"Sortie"),"Type inconnu",IF(ISNA(MATCH(C556,art_ref,0)),"Référence inconnue",IF(OR(NOT(ISNUMBER(E556)),N(E556)&lt;=0),"Quantité invalide",IF(K556&lt;0,"Stock négatif",IF(AND(ISNUMBER(A555),A556&lt;A555),"Date hors ordre","OK"))))))))</f>
        <v/>
      </c>
      <c r="M556" s="39" t="str">
        <f>IF(C556="","",C556&amp;"#"&amp;COUNTIF($C$5:C556,C556))</f>
        <v/>
      </c>
    </row>
    <row r="557">
      <c r="A557" s="41" t="n"/>
      <c r="B557" s="37" t="n"/>
      <c r="C557" s="37" t="n"/>
      <c r="D557" s="39" t="str">
        <f>IF(C557="","",IFERROR(INDEX(art_des,MATCH(C557,art_ref,0))&amp;"","Référence inconnue"))</f>
        <v/>
      </c>
      <c r="E557" s="37" t="n"/>
      <c r="F557" s="39" t="str">
        <f>IF(C557="","",IFERROR(INDEX(art_unit,MATCH(C557,art_ref,0))&amp;"",""))</f>
        <v/>
      </c>
      <c r="G557" s="37" t="n"/>
      <c r="H557" s="37" t="n"/>
      <c r="I557" s="37" t="n"/>
      <c r="J557" s="40" t="str">
        <f>IF(OR(C557="",NOT(ISNUMBER(E557))),"",IFERROR(E557*N(INDEX(art_price,MATCH(C557,art_ref,0))),""))</f>
        <v/>
      </c>
      <c r="K557" s="39" t="str">
        <f>IF(OR(C557="",NOT(ISNUMBER(E557))),"",IFERROR(ROUND(N(INDEX(art_init,MATCH(C557,art_ref,0)))+SUMIFS($E$5:E557,$C$5:C557,C557,$B$5:B557,"Entrée")-SUMIFS($E$5:E557,$C$5:C557,C557,$B$5:B557,"Sortie"),6),""))</f>
        <v/>
      </c>
      <c r="L557" s="39" t="str">
        <f>IF(COUNTA(A557:C557,E557)=0,"",IF(COUNTA(A557:C557,E557)&lt;4,"Ligne incomplète",IF(NOT(ISNUMBER(A557)),"Date invalide",IF(AND(B557&lt;&gt;"Entrée",B557&lt;&gt;"Sortie"),"Type inconnu",IF(ISNA(MATCH(C557,art_ref,0)),"Référence inconnue",IF(OR(NOT(ISNUMBER(E557)),N(E557)&lt;=0),"Quantité invalide",IF(K557&lt;0,"Stock négatif",IF(AND(ISNUMBER(A556),A557&lt;A556),"Date hors ordre","OK"))))))))</f>
        <v/>
      </c>
      <c r="M557" s="39" t="str">
        <f>IF(C557="","",C557&amp;"#"&amp;COUNTIF($C$5:C557,C557))</f>
        <v/>
      </c>
    </row>
    <row r="558">
      <c r="A558" s="41" t="n"/>
      <c r="B558" s="37" t="n"/>
      <c r="C558" s="37" t="n"/>
      <c r="D558" s="39" t="str">
        <f>IF(C558="","",IFERROR(INDEX(art_des,MATCH(C558,art_ref,0))&amp;"","Référence inconnue"))</f>
        <v/>
      </c>
      <c r="E558" s="37" t="n"/>
      <c r="F558" s="39" t="str">
        <f>IF(C558="","",IFERROR(INDEX(art_unit,MATCH(C558,art_ref,0))&amp;"",""))</f>
        <v/>
      </c>
      <c r="G558" s="37" t="n"/>
      <c r="H558" s="37" t="n"/>
      <c r="I558" s="37" t="n"/>
      <c r="J558" s="40" t="str">
        <f>IF(OR(C558="",NOT(ISNUMBER(E558))),"",IFERROR(E558*N(INDEX(art_price,MATCH(C558,art_ref,0))),""))</f>
        <v/>
      </c>
      <c r="K558" s="39" t="str">
        <f>IF(OR(C558="",NOT(ISNUMBER(E558))),"",IFERROR(ROUND(N(INDEX(art_init,MATCH(C558,art_ref,0)))+SUMIFS($E$5:E558,$C$5:C558,C558,$B$5:B558,"Entrée")-SUMIFS($E$5:E558,$C$5:C558,C558,$B$5:B558,"Sortie"),6),""))</f>
        <v/>
      </c>
      <c r="L558" s="39" t="str">
        <f>IF(COUNTA(A558:C558,E558)=0,"",IF(COUNTA(A558:C558,E558)&lt;4,"Ligne incomplète",IF(NOT(ISNUMBER(A558)),"Date invalide",IF(AND(B558&lt;&gt;"Entrée",B558&lt;&gt;"Sortie"),"Type inconnu",IF(ISNA(MATCH(C558,art_ref,0)),"Référence inconnue",IF(OR(NOT(ISNUMBER(E558)),N(E558)&lt;=0),"Quantité invalide",IF(K558&lt;0,"Stock négatif",IF(AND(ISNUMBER(A557),A558&lt;A557),"Date hors ordre","OK"))))))))</f>
        <v/>
      </c>
      <c r="M558" s="39" t="str">
        <f>IF(C558="","",C558&amp;"#"&amp;COUNTIF($C$5:C558,C558))</f>
        <v/>
      </c>
    </row>
    <row r="559">
      <c r="A559" s="41" t="n"/>
      <c r="B559" s="37" t="n"/>
      <c r="C559" s="37" t="n"/>
      <c r="D559" s="39" t="str">
        <f>IF(C559="","",IFERROR(INDEX(art_des,MATCH(C559,art_ref,0))&amp;"","Référence inconnue"))</f>
        <v/>
      </c>
      <c r="E559" s="37" t="n"/>
      <c r="F559" s="39" t="str">
        <f>IF(C559="","",IFERROR(INDEX(art_unit,MATCH(C559,art_ref,0))&amp;"",""))</f>
        <v/>
      </c>
      <c r="G559" s="37" t="n"/>
      <c r="H559" s="37" t="n"/>
      <c r="I559" s="37" t="n"/>
      <c r="J559" s="40" t="str">
        <f>IF(OR(C559="",NOT(ISNUMBER(E559))),"",IFERROR(E559*N(INDEX(art_price,MATCH(C559,art_ref,0))),""))</f>
        <v/>
      </c>
      <c r="K559" s="39" t="str">
        <f>IF(OR(C559="",NOT(ISNUMBER(E559))),"",IFERROR(ROUND(N(INDEX(art_init,MATCH(C559,art_ref,0)))+SUMIFS($E$5:E559,$C$5:C559,C559,$B$5:B559,"Entrée")-SUMIFS($E$5:E559,$C$5:C559,C559,$B$5:B559,"Sortie"),6),""))</f>
        <v/>
      </c>
      <c r="L559" s="39" t="str">
        <f>IF(COUNTA(A559:C559,E559)=0,"",IF(COUNTA(A559:C559,E559)&lt;4,"Ligne incomplète",IF(NOT(ISNUMBER(A559)),"Date invalide",IF(AND(B559&lt;&gt;"Entrée",B559&lt;&gt;"Sortie"),"Type inconnu",IF(ISNA(MATCH(C559,art_ref,0)),"Référence inconnue",IF(OR(NOT(ISNUMBER(E559)),N(E559)&lt;=0),"Quantité invalide",IF(K559&lt;0,"Stock négatif",IF(AND(ISNUMBER(A558),A559&lt;A558),"Date hors ordre","OK"))))))))</f>
        <v/>
      </c>
      <c r="M559" s="39" t="str">
        <f>IF(C559="","",C559&amp;"#"&amp;COUNTIF($C$5:C559,C559))</f>
        <v/>
      </c>
    </row>
    <row r="560">
      <c r="A560" s="41" t="n"/>
      <c r="B560" s="37" t="n"/>
      <c r="C560" s="37" t="n"/>
      <c r="D560" s="39" t="str">
        <f>IF(C560="","",IFERROR(INDEX(art_des,MATCH(C560,art_ref,0))&amp;"","Référence inconnue"))</f>
        <v/>
      </c>
      <c r="E560" s="37" t="n"/>
      <c r="F560" s="39" t="str">
        <f>IF(C560="","",IFERROR(INDEX(art_unit,MATCH(C560,art_ref,0))&amp;"",""))</f>
        <v/>
      </c>
      <c r="G560" s="37" t="n"/>
      <c r="H560" s="37" t="n"/>
      <c r="I560" s="37" t="n"/>
      <c r="J560" s="40" t="str">
        <f>IF(OR(C560="",NOT(ISNUMBER(E560))),"",IFERROR(E560*N(INDEX(art_price,MATCH(C560,art_ref,0))),""))</f>
        <v/>
      </c>
      <c r="K560" s="39" t="str">
        <f>IF(OR(C560="",NOT(ISNUMBER(E560))),"",IFERROR(ROUND(N(INDEX(art_init,MATCH(C560,art_ref,0)))+SUMIFS($E$5:E560,$C$5:C560,C560,$B$5:B560,"Entrée")-SUMIFS($E$5:E560,$C$5:C560,C560,$B$5:B560,"Sortie"),6),""))</f>
        <v/>
      </c>
      <c r="L560" s="39" t="str">
        <f>IF(COUNTA(A560:C560,E560)=0,"",IF(COUNTA(A560:C560,E560)&lt;4,"Ligne incomplète",IF(NOT(ISNUMBER(A560)),"Date invalide",IF(AND(B560&lt;&gt;"Entrée",B560&lt;&gt;"Sortie"),"Type inconnu",IF(ISNA(MATCH(C560,art_ref,0)),"Référence inconnue",IF(OR(NOT(ISNUMBER(E560)),N(E560)&lt;=0),"Quantité invalide",IF(K560&lt;0,"Stock négatif",IF(AND(ISNUMBER(A559),A560&lt;A559),"Date hors ordre","OK"))))))))</f>
        <v/>
      </c>
      <c r="M560" s="39" t="str">
        <f>IF(C560="","",C560&amp;"#"&amp;COUNTIF($C$5:C560,C560))</f>
        <v/>
      </c>
    </row>
    <row r="561">
      <c r="A561" s="41" t="n"/>
      <c r="B561" s="37" t="n"/>
      <c r="C561" s="37" t="n"/>
      <c r="D561" s="39" t="str">
        <f>IF(C561="","",IFERROR(INDEX(art_des,MATCH(C561,art_ref,0))&amp;"","Référence inconnue"))</f>
        <v/>
      </c>
      <c r="E561" s="37" t="n"/>
      <c r="F561" s="39" t="str">
        <f>IF(C561="","",IFERROR(INDEX(art_unit,MATCH(C561,art_ref,0))&amp;"",""))</f>
        <v/>
      </c>
      <c r="G561" s="37" t="n"/>
      <c r="H561" s="37" t="n"/>
      <c r="I561" s="37" t="n"/>
      <c r="J561" s="40" t="str">
        <f>IF(OR(C561="",NOT(ISNUMBER(E561))),"",IFERROR(E561*N(INDEX(art_price,MATCH(C561,art_ref,0))),""))</f>
        <v/>
      </c>
      <c r="K561" s="39" t="str">
        <f>IF(OR(C561="",NOT(ISNUMBER(E561))),"",IFERROR(ROUND(N(INDEX(art_init,MATCH(C561,art_ref,0)))+SUMIFS($E$5:E561,$C$5:C561,C561,$B$5:B561,"Entrée")-SUMIFS($E$5:E561,$C$5:C561,C561,$B$5:B561,"Sortie"),6),""))</f>
        <v/>
      </c>
      <c r="L561" s="39" t="str">
        <f>IF(COUNTA(A561:C561,E561)=0,"",IF(COUNTA(A561:C561,E561)&lt;4,"Ligne incomplète",IF(NOT(ISNUMBER(A561)),"Date invalide",IF(AND(B561&lt;&gt;"Entrée",B561&lt;&gt;"Sortie"),"Type inconnu",IF(ISNA(MATCH(C561,art_ref,0)),"Référence inconnue",IF(OR(NOT(ISNUMBER(E561)),N(E561)&lt;=0),"Quantité invalide",IF(K561&lt;0,"Stock négatif",IF(AND(ISNUMBER(A560),A561&lt;A560),"Date hors ordre","OK"))))))))</f>
        <v/>
      </c>
      <c r="M561" s="39" t="str">
        <f>IF(C561="","",C561&amp;"#"&amp;COUNTIF($C$5:C561,C561))</f>
        <v/>
      </c>
    </row>
    <row r="562">
      <c r="A562" s="41" t="n"/>
      <c r="B562" s="37" t="n"/>
      <c r="C562" s="37" t="n"/>
      <c r="D562" s="39" t="str">
        <f>IF(C562="","",IFERROR(INDEX(art_des,MATCH(C562,art_ref,0))&amp;"","Référence inconnue"))</f>
        <v/>
      </c>
      <c r="E562" s="37" t="n"/>
      <c r="F562" s="39" t="str">
        <f>IF(C562="","",IFERROR(INDEX(art_unit,MATCH(C562,art_ref,0))&amp;"",""))</f>
        <v/>
      </c>
      <c r="G562" s="37" t="n"/>
      <c r="H562" s="37" t="n"/>
      <c r="I562" s="37" t="n"/>
      <c r="J562" s="40" t="str">
        <f>IF(OR(C562="",NOT(ISNUMBER(E562))),"",IFERROR(E562*N(INDEX(art_price,MATCH(C562,art_ref,0))),""))</f>
        <v/>
      </c>
      <c r="K562" s="39" t="str">
        <f>IF(OR(C562="",NOT(ISNUMBER(E562))),"",IFERROR(ROUND(N(INDEX(art_init,MATCH(C562,art_ref,0)))+SUMIFS($E$5:E562,$C$5:C562,C562,$B$5:B562,"Entrée")-SUMIFS($E$5:E562,$C$5:C562,C562,$B$5:B562,"Sortie"),6),""))</f>
        <v/>
      </c>
      <c r="L562" s="39" t="str">
        <f>IF(COUNTA(A562:C562,E562)=0,"",IF(COUNTA(A562:C562,E562)&lt;4,"Ligne incomplète",IF(NOT(ISNUMBER(A562)),"Date invalide",IF(AND(B562&lt;&gt;"Entrée",B562&lt;&gt;"Sortie"),"Type inconnu",IF(ISNA(MATCH(C562,art_ref,0)),"Référence inconnue",IF(OR(NOT(ISNUMBER(E562)),N(E562)&lt;=0),"Quantité invalide",IF(K562&lt;0,"Stock négatif",IF(AND(ISNUMBER(A561),A562&lt;A561),"Date hors ordre","OK"))))))))</f>
        <v/>
      </c>
      <c r="M562" s="39" t="str">
        <f>IF(C562="","",C562&amp;"#"&amp;COUNTIF($C$5:C562,C562))</f>
        <v/>
      </c>
    </row>
    <row r="563">
      <c r="A563" s="41" t="n"/>
      <c r="B563" s="37" t="n"/>
      <c r="C563" s="37" t="n"/>
      <c r="D563" s="39" t="str">
        <f>IF(C563="","",IFERROR(INDEX(art_des,MATCH(C563,art_ref,0))&amp;"","Référence inconnue"))</f>
        <v/>
      </c>
      <c r="E563" s="37" t="n"/>
      <c r="F563" s="39" t="str">
        <f>IF(C563="","",IFERROR(INDEX(art_unit,MATCH(C563,art_ref,0))&amp;"",""))</f>
        <v/>
      </c>
      <c r="G563" s="37" t="n"/>
      <c r="H563" s="37" t="n"/>
      <c r="I563" s="37" t="n"/>
      <c r="J563" s="40" t="str">
        <f>IF(OR(C563="",NOT(ISNUMBER(E563))),"",IFERROR(E563*N(INDEX(art_price,MATCH(C563,art_ref,0))),""))</f>
        <v/>
      </c>
      <c r="K563" s="39" t="str">
        <f>IF(OR(C563="",NOT(ISNUMBER(E563))),"",IFERROR(ROUND(N(INDEX(art_init,MATCH(C563,art_ref,0)))+SUMIFS($E$5:E563,$C$5:C563,C563,$B$5:B563,"Entrée")-SUMIFS($E$5:E563,$C$5:C563,C563,$B$5:B563,"Sortie"),6),""))</f>
        <v/>
      </c>
      <c r="L563" s="39" t="str">
        <f>IF(COUNTA(A563:C563,E563)=0,"",IF(COUNTA(A563:C563,E563)&lt;4,"Ligne incomplète",IF(NOT(ISNUMBER(A563)),"Date invalide",IF(AND(B563&lt;&gt;"Entrée",B563&lt;&gt;"Sortie"),"Type inconnu",IF(ISNA(MATCH(C563,art_ref,0)),"Référence inconnue",IF(OR(NOT(ISNUMBER(E563)),N(E563)&lt;=0),"Quantité invalide",IF(K563&lt;0,"Stock négatif",IF(AND(ISNUMBER(A562),A563&lt;A562),"Date hors ordre","OK"))))))))</f>
        <v/>
      </c>
      <c r="M563" s="39" t="str">
        <f>IF(C563="","",C563&amp;"#"&amp;COUNTIF($C$5:C563,C563))</f>
        <v/>
      </c>
    </row>
    <row r="564">
      <c r="A564" s="41" t="n"/>
      <c r="B564" s="37" t="n"/>
      <c r="C564" s="37" t="n"/>
      <c r="D564" s="39" t="str">
        <f>IF(C564="","",IFERROR(INDEX(art_des,MATCH(C564,art_ref,0))&amp;"","Référence inconnue"))</f>
        <v/>
      </c>
      <c r="E564" s="37" t="n"/>
      <c r="F564" s="39" t="str">
        <f>IF(C564="","",IFERROR(INDEX(art_unit,MATCH(C564,art_ref,0))&amp;"",""))</f>
        <v/>
      </c>
      <c r="G564" s="37" t="n"/>
      <c r="H564" s="37" t="n"/>
      <c r="I564" s="37" t="n"/>
      <c r="J564" s="40" t="str">
        <f>IF(OR(C564="",NOT(ISNUMBER(E564))),"",IFERROR(E564*N(INDEX(art_price,MATCH(C564,art_ref,0))),""))</f>
        <v/>
      </c>
      <c r="K564" s="39" t="str">
        <f>IF(OR(C564="",NOT(ISNUMBER(E564))),"",IFERROR(ROUND(N(INDEX(art_init,MATCH(C564,art_ref,0)))+SUMIFS($E$5:E564,$C$5:C564,C564,$B$5:B564,"Entrée")-SUMIFS($E$5:E564,$C$5:C564,C564,$B$5:B564,"Sortie"),6),""))</f>
        <v/>
      </c>
      <c r="L564" s="39" t="str">
        <f>IF(COUNTA(A564:C564,E564)=0,"",IF(COUNTA(A564:C564,E564)&lt;4,"Ligne incomplète",IF(NOT(ISNUMBER(A564)),"Date invalide",IF(AND(B564&lt;&gt;"Entrée",B564&lt;&gt;"Sortie"),"Type inconnu",IF(ISNA(MATCH(C564,art_ref,0)),"Référence inconnue",IF(OR(NOT(ISNUMBER(E564)),N(E564)&lt;=0),"Quantité invalide",IF(K564&lt;0,"Stock négatif",IF(AND(ISNUMBER(A563),A564&lt;A563),"Date hors ordre","OK"))))))))</f>
        <v/>
      </c>
      <c r="M564" s="39" t="str">
        <f>IF(C564="","",C564&amp;"#"&amp;COUNTIF($C$5:C564,C564))</f>
        <v/>
      </c>
    </row>
    <row r="565">
      <c r="A565" s="41" t="n"/>
      <c r="B565" s="37" t="n"/>
      <c r="C565" s="37" t="n"/>
      <c r="D565" s="39" t="str">
        <f>IF(C565="","",IFERROR(INDEX(art_des,MATCH(C565,art_ref,0))&amp;"","Référence inconnue"))</f>
        <v/>
      </c>
      <c r="E565" s="37" t="n"/>
      <c r="F565" s="39" t="str">
        <f>IF(C565="","",IFERROR(INDEX(art_unit,MATCH(C565,art_ref,0))&amp;"",""))</f>
        <v/>
      </c>
      <c r="G565" s="37" t="n"/>
      <c r="H565" s="37" t="n"/>
      <c r="I565" s="37" t="n"/>
      <c r="J565" s="40" t="str">
        <f>IF(OR(C565="",NOT(ISNUMBER(E565))),"",IFERROR(E565*N(INDEX(art_price,MATCH(C565,art_ref,0))),""))</f>
        <v/>
      </c>
      <c r="K565" s="39" t="str">
        <f>IF(OR(C565="",NOT(ISNUMBER(E565))),"",IFERROR(ROUND(N(INDEX(art_init,MATCH(C565,art_ref,0)))+SUMIFS($E$5:E565,$C$5:C565,C565,$B$5:B565,"Entrée")-SUMIFS($E$5:E565,$C$5:C565,C565,$B$5:B565,"Sortie"),6),""))</f>
        <v/>
      </c>
      <c r="L565" s="39" t="str">
        <f>IF(COUNTA(A565:C565,E565)=0,"",IF(COUNTA(A565:C565,E565)&lt;4,"Ligne incomplète",IF(NOT(ISNUMBER(A565)),"Date invalide",IF(AND(B565&lt;&gt;"Entrée",B565&lt;&gt;"Sortie"),"Type inconnu",IF(ISNA(MATCH(C565,art_ref,0)),"Référence inconnue",IF(OR(NOT(ISNUMBER(E565)),N(E565)&lt;=0),"Quantité invalide",IF(K565&lt;0,"Stock négatif",IF(AND(ISNUMBER(A564),A565&lt;A564),"Date hors ordre","OK"))))))))</f>
        <v/>
      </c>
      <c r="M565" s="39" t="str">
        <f>IF(C565="","",C565&amp;"#"&amp;COUNTIF($C$5:C565,C565))</f>
        <v/>
      </c>
    </row>
    <row r="566">
      <c r="A566" s="41" t="n"/>
      <c r="B566" s="37" t="n"/>
      <c r="C566" s="37" t="n"/>
      <c r="D566" s="39" t="str">
        <f>IF(C566="","",IFERROR(INDEX(art_des,MATCH(C566,art_ref,0))&amp;"","Référence inconnue"))</f>
        <v/>
      </c>
      <c r="E566" s="37" t="n"/>
      <c r="F566" s="39" t="str">
        <f>IF(C566="","",IFERROR(INDEX(art_unit,MATCH(C566,art_ref,0))&amp;"",""))</f>
        <v/>
      </c>
      <c r="G566" s="37" t="n"/>
      <c r="H566" s="37" t="n"/>
      <c r="I566" s="37" t="n"/>
      <c r="J566" s="40" t="str">
        <f>IF(OR(C566="",NOT(ISNUMBER(E566))),"",IFERROR(E566*N(INDEX(art_price,MATCH(C566,art_ref,0))),""))</f>
        <v/>
      </c>
      <c r="K566" s="39" t="str">
        <f>IF(OR(C566="",NOT(ISNUMBER(E566))),"",IFERROR(ROUND(N(INDEX(art_init,MATCH(C566,art_ref,0)))+SUMIFS($E$5:E566,$C$5:C566,C566,$B$5:B566,"Entrée")-SUMIFS($E$5:E566,$C$5:C566,C566,$B$5:B566,"Sortie"),6),""))</f>
        <v/>
      </c>
      <c r="L566" s="39" t="str">
        <f>IF(COUNTA(A566:C566,E566)=0,"",IF(COUNTA(A566:C566,E566)&lt;4,"Ligne incomplète",IF(NOT(ISNUMBER(A566)),"Date invalide",IF(AND(B566&lt;&gt;"Entrée",B566&lt;&gt;"Sortie"),"Type inconnu",IF(ISNA(MATCH(C566,art_ref,0)),"Référence inconnue",IF(OR(NOT(ISNUMBER(E566)),N(E566)&lt;=0),"Quantité invalide",IF(K566&lt;0,"Stock négatif",IF(AND(ISNUMBER(A565),A566&lt;A565),"Date hors ordre","OK"))))))))</f>
        <v/>
      </c>
      <c r="M566" s="39" t="str">
        <f>IF(C566="","",C566&amp;"#"&amp;COUNTIF($C$5:C566,C566))</f>
        <v/>
      </c>
    </row>
    <row r="567">
      <c r="A567" s="41" t="n"/>
      <c r="B567" s="37" t="n"/>
      <c r="C567" s="37" t="n"/>
      <c r="D567" s="39" t="str">
        <f>IF(C567="","",IFERROR(INDEX(art_des,MATCH(C567,art_ref,0))&amp;"","Référence inconnue"))</f>
        <v/>
      </c>
      <c r="E567" s="37" t="n"/>
      <c r="F567" s="39" t="str">
        <f>IF(C567="","",IFERROR(INDEX(art_unit,MATCH(C567,art_ref,0))&amp;"",""))</f>
        <v/>
      </c>
      <c r="G567" s="37" t="n"/>
      <c r="H567" s="37" t="n"/>
      <c r="I567" s="37" t="n"/>
      <c r="J567" s="40" t="str">
        <f>IF(OR(C567="",NOT(ISNUMBER(E567))),"",IFERROR(E567*N(INDEX(art_price,MATCH(C567,art_ref,0))),""))</f>
        <v/>
      </c>
      <c r="K567" s="39" t="str">
        <f>IF(OR(C567="",NOT(ISNUMBER(E567))),"",IFERROR(ROUND(N(INDEX(art_init,MATCH(C567,art_ref,0)))+SUMIFS($E$5:E567,$C$5:C567,C567,$B$5:B567,"Entrée")-SUMIFS($E$5:E567,$C$5:C567,C567,$B$5:B567,"Sortie"),6),""))</f>
        <v/>
      </c>
      <c r="L567" s="39" t="str">
        <f>IF(COUNTA(A567:C567,E567)=0,"",IF(COUNTA(A567:C567,E567)&lt;4,"Ligne incomplète",IF(NOT(ISNUMBER(A567)),"Date invalide",IF(AND(B567&lt;&gt;"Entrée",B567&lt;&gt;"Sortie"),"Type inconnu",IF(ISNA(MATCH(C567,art_ref,0)),"Référence inconnue",IF(OR(NOT(ISNUMBER(E567)),N(E567)&lt;=0),"Quantité invalide",IF(K567&lt;0,"Stock négatif",IF(AND(ISNUMBER(A566),A567&lt;A566),"Date hors ordre","OK"))))))))</f>
        <v/>
      </c>
      <c r="M567" s="39" t="str">
        <f>IF(C567="","",C567&amp;"#"&amp;COUNTIF($C$5:C567,C567))</f>
        <v/>
      </c>
    </row>
    <row r="568">
      <c r="A568" s="41" t="n"/>
      <c r="B568" s="37" t="n"/>
      <c r="C568" s="37" t="n"/>
      <c r="D568" s="39" t="str">
        <f>IF(C568="","",IFERROR(INDEX(art_des,MATCH(C568,art_ref,0))&amp;"","Référence inconnue"))</f>
        <v/>
      </c>
      <c r="E568" s="37" t="n"/>
      <c r="F568" s="39" t="str">
        <f>IF(C568="","",IFERROR(INDEX(art_unit,MATCH(C568,art_ref,0))&amp;"",""))</f>
        <v/>
      </c>
      <c r="G568" s="37" t="n"/>
      <c r="H568" s="37" t="n"/>
      <c r="I568" s="37" t="n"/>
      <c r="J568" s="40" t="str">
        <f>IF(OR(C568="",NOT(ISNUMBER(E568))),"",IFERROR(E568*N(INDEX(art_price,MATCH(C568,art_ref,0))),""))</f>
        <v/>
      </c>
      <c r="K568" s="39" t="str">
        <f>IF(OR(C568="",NOT(ISNUMBER(E568))),"",IFERROR(ROUND(N(INDEX(art_init,MATCH(C568,art_ref,0)))+SUMIFS($E$5:E568,$C$5:C568,C568,$B$5:B568,"Entrée")-SUMIFS($E$5:E568,$C$5:C568,C568,$B$5:B568,"Sortie"),6),""))</f>
        <v/>
      </c>
      <c r="L568" s="39" t="str">
        <f>IF(COUNTA(A568:C568,E568)=0,"",IF(COUNTA(A568:C568,E568)&lt;4,"Ligne incomplète",IF(NOT(ISNUMBER(A568)),"Date invalide",IF(AND(B568&lt;&gt;"Entrée",B568&lt;&gt;"Sortie"),"Type inconnu",IF(ISNA(MATCH(C568,art_ref,0)),"Référence inconnue",IF(OR(NOT(ISNUMBER(E568)),N(E568)&lt;=0),"Quantité invalide",IF(K568&lt;0,"Stock négatif",IF(AND(ISNUMBER(A567),A568&lt;A567),"Date hors ordre","OK"))))))))</f>
        <v/>
      </c>
      <c r="M568" s="39" t="str">
        <f>IF(C568="","",C568&amp;"#"&amp;COUNTIF($C$5:C568,C568))</f>
        <v/>
      </c>
    </row>
    <row r="569">
      <c r="A569" s="41" t="n"/>
      <c r="B569" s="37" t="n"/>
      <c r="C569" s="37" t="n"/>
      <c r="D569" s="39" t="str">
        <f>IF(C569="","",IFERROR(INDEX(art_des,MATCH(C569,art_ref,0))&amp;"","Référence inconnue"))</f>
        <v/>
      </c>
      <c r="E569" s="37" t="n"/>
      <c r="F569" s="39" t="str">
        <f>IF(C569="","",IFERROR(INDEX(art_unit,MATCH(C569,art_ref,0))&amp;"",""))</f>
        <v/>
      </c>
      <c r="G569" s="37" t="n"/>
      <c r="H569" s="37" t="n"/>
      <c r="I569" s="37" t="n"/>
      <c r="J569" s="40" t="str">
        <f>IF(OR(C569="",NOT(ISNUMBER(E569))),"",IFERROR(E569*N(INDEX(art_price,MATCH(C569,art_ref,0))),""))</f>
        <v/>
      </c>
      <c r="K569" s="39" t="str">
        <f>IF(OR(C569="",NOT(ISNUMBER(E569))),"",IFERROR(ROUND(N(INDEX(art_init,MATCH(C569,art_ref,0)))+SUMIFS($E$5:E569,$C$5:C569,C569,$B$5:B569,"Entrée")-SUMIFS($E$5:E569,$C$5:C569,C569,$B$5:B569,"Sortie"),6),""))</f>
        <v/>
      </c>
      <c r="L569" s="39" t="str">
        <f>IF(COUNTA(A569:C569,E569)=0,"",IF(COUNTA(A569:C569,E569)&lt;4,"Ligne incomplète",IF(NOT(ISNUMBER(A569)),"Date invalide",IF(AND(B569&lt;&gt;"Entrée",B569&lt;&gt;"Sortie"),"Type inconnu",IF(ISNA(MATCH(C569,art_ref,0)),"Référence inconnue",IF(OR(NOT(ISNUMBER(E569)),N(E569)&lt;=0),"Quantité invalide",IF(K569&lt;0,"Stock négatif",IF(AND(ISNUMBER(A568),A569&lt;A568),"Date hors ordre","OK"))))))))</f>
        <v/>
      </c>
      <c r="M569" s="39" t="str">
        <f>IF(C569="","",C569&amp;"#"&amp;COUNTIF($C$5:C569,C569))</f>
        <v/>
      </c>
    </row>
    <row r="570">
      <c r="A570" s="41" t="n"/>
      <c r="B570" s="37" t="n"/>
      <c r="C570" s="37" t="n"/>
      <c r="D570" s="39" t="str">
        <f>IF(C570="","",IFERROR(INDEX(art_des,MATCH(C570,art_ref,0))&amp;"","Référence inconnue"))</f>
        <v/>
      </c>
      <c r="E570" s="37" t="n"/>
      <c r="F570" s="39" t="str">
        <f>IF(C570="","",IFERROR(INDEX(art_unit,MATCH(C570,art_ref,0))&amp;"",""))</f>
        <v/>
      </c>
      <c r="G570" s="37" t="n"/>
      <c r="H570" s="37" t="n"/>
      <c r="I570" s="37" t="n"/>
      <c r="J570" s="40" t="str">
        <f>IF(OR(C570="",NOT(ISNUMBER(E570))),"",IFERROR(E570*N(INDEX(art_price,MATCH(C570,art_ref,0))),""))</f>
        <v/>
      </c>
      <c r="K570" s="39" t="str">
        <f>IF(OR(C570="",NOT(ISNUMBER(E570))),"",IFERROR(ROUND(N(INDEX(art_init,MATCH(C570,art_ref,0)))+SUMIFS($E$5:E570,$C$5:C570,C570,$B$5:B570,"Entrée")-SUMIFS($E$5:E570,$C$5:C570,C570,$B$5:B570,"Sortie"),6),""))</f>
        <v/>
      </c>
      <c r="L570" s="39" t="str">
        <f>IF(COUNTA(A570:C570,E570)=0,"",IF(COUNTA(A570:C570,E570)&lt;4,"Ligne incomplète",IF(NOT(ISNUMBER(A570)),"Date invalide",IF(AND(B570&lt;&gt;"Entrée",B570&lt;&gt;"Sortie"),"Type inconnu",IF(ISNA(MATCH(C570,art_ref,0)),"Référence inconnue",IF(OR(NOT(ISNUMBER(E570)),N(E570)&lt;=0),"Quantité invalide",IF(K570&lt;0,"Stock négatif",IF(AND(ISNUMBER(A569),A570&lt;A569),"Date hors ordre","OK"))))))))</f>
        <v/>
      </c>
      <c r="M570" s="39" t="str">
        <f>IF(C570="","",C570&amp;"#"&amp;COUNTIF($C$5:C570,C570))</f>
        <v/>
      </c>
    </row>
    <row r="571">
      <c r="A571" s="41" t="n"/>
      <c r="B571" s="37" t="n"/>
      <c r="C571" s="37" t="n"/>
      <c r="D571" s="39" t="str">
        <f>IF(C571="","",IFERROR(INDEX(art_des,MATCH(C571,art_ref,0))&amp;"","Référence inconnue"))</f>
        <v/>
      </c>
      <c r="E571" s="37" t="n"/>
      <c r="F571" s="39" t="str">
        <f>IF(C571="","",IFERROR(INDEX(art_unit,MATCH(C571,art_ref,0))&amp;"",""))</f>
        <v/>
      </c>
      <c r="G571" s="37" t="n"/>
      <c r="H571" s="37" t="n"/>
      <c r="I571" s="37" t="n"/>
      <c r="J571" s="40" t="str">
        <f>IF(OR(C571="",NOT(ISNUMBER(E571))),"",IFERROR(E571*N(INDEX(art_price,MATCH(C571,art_ref,0))),""))</f>
        <v/>
      </c>
      <c r="K571" s="39" t="str">
        <f>IF(OR(C571="",NOT(ISNUMBER(E571))),"",IFERROR(ROUND(N(INDEX(art_init,MATCH(C571,art_ref,0)))+SUMIFS($E$5:E571,$C$5:C571,C571,$B$5:B571,"Entrée")-SUMIFS($E$5:E571,$C$5:C571,C571,$B$5:B571,"Sortie"),6),""))</f>
        <v/>
      </c>
      <c r="L571" s="39" t="str">
        <f>IF(COUNTA(A571:C571,E571)=0,"",IF(COUNTA(A571:C571,E571)&lt;4,"Ligne incomplète",IF(NOT(ISNUMBER(A571)),"Date invalide",IF(AND(B571&lt;&gt;"Entrée",B571&lt;&gt;"Sortie"),"Type inconnu",IF(ISNA(MATCH(C571,art_ref,0)),"Référence inconnue",IF(OR(NOT(ISNUMBER(E571)),N(E571)&lt;=0),"Quantité invalide",IF(K571&lt;0,"Stock négatif",IF(AND(ISNUMBER(A570),A571&lt;A570),"Date hors ordre","OK"))))))))</f>
        <v/>
      </c>
      <c r="M571" s="39" t="str">
        <f>IF(C571="","",C571&amp;"#"&amp;COUNTIF($C$5:C571,C571))</f>
        <v/>
      </c>
    </row>
    <row r="572">
      <c r="A572" s="41" t="n"/>
      <c r="B572" s="37" t="n"/>
      <c r="C572" s="37" t="n"/>
      <c r="D572" s="39" t="str">
        <f>IF(C572="","",IFERROR(INDEX(art_des,MATCH(C572,art_ref,0))&amp;"","Référence inconnue"))</f>
        <v/>
      </c>
      <c r="E572" s="37" t="n"/>
      <c r="F572" s="39" t="str">
        <f>IF(C572="","",IFERROR(INDEX(art_unit,MATCH(C572,art_ref,0))&amp;"",""))</f>
        <v/>
      </c>
      <c r="G572" s="37" t="n"/>
      <c r="H572" s="37" t="n"/>
      <c r="I572" s="37" t="n"/>
      <c r="J572" s="40" t="str">
        <f>IF(OR(C572="",NOT(ISNUMBER(E572))),"",IFERROR(E572*N(INDEX(art_price,MATCH(C572,art_ref,0))),""))</f>
        <v/>
      </c>
      <c r="K572" s="39" t="str">
        <f>IF(OR(C572="",NOT(ISNUMBER(E572))),"",IFERROR(ROUND(N(INDEX(art_init,MATCH(C572,art_ref,0)))+SUMIFS($E$5:E572,$C$5:C572,C572,$B$5:B572,"Entrée")-SUMIFS($E$5:E572,$C$5:C572,C572,$B$5:B572,"Sortie"),6),""))</f>
        <v/>
      </c>
      <c r="L572" s="39" t="str">
        <f>IF(COUNTA(A572:C572,E572)=0,"",IF(COUNTA(A572:C572,E572)&lt;4,"Ligne incomplète",IF(NOT(ISNUMBER(A572)),"Date invalide",IF(AND(B572&lt;&gt;"Entrée",B572&lt;&gt;"Sortie"),"Type inconnu",IF(ISNA(MATCH(C572,art_ref,0)),"Référence inconnue",IF(OR(NOT(ISNUMBER(E572)),N(E572)&lt;=0),"Quantité invalide",IF(K572&lt;0,"Stock négatif",IF(AND(ISNUMBER(A571),A572&lt;A571),"Date hors ordre","OK"))))))))</f>
        <v/>
      </c>
      <c r="M572" s="39" t="str">
        <f>IF(C572="","",C572&amp;"#"&amp;COUNTIF($C$5:C572,C572))</f>
        <v/>
      </c>
    </row>
    <row r="573">
      <c r="A573" s="41" t="n"/>
      <c r="B573" s="37" t="n"/>
      <c r="C573" s="37" t="n"/>
      <c r="D573" s="39" t="str">
        <f>IF(C573="","",IFERROR(INDEX(art_des,MATCH(C573,art_ref,0))&amp;"","Référence inconnue"))</f>
        <v/>
      </c>
      <c r="E573" s="37" t="n"/>
      <c r="F573" s="39" t="str">
        <f>IF(C573="","",IFERROR(INDEX(art_unit,MATCH(C573,art_ref,0))&amp;"",""))</f>
        <v/>
      </c>
      <c r="G573" s="37" t="n"/>
      <c r="H573" s="37" t="n"/>
      <c r="I573" s="37" t="n"/>
      <c r="J573" s="40" t="str">
        <f>IF(OR(C573="",NOT(ISNUMBER(E573))),"",IFERROR(E573*N(INDEX(art_price,MATCH(C573,art_ref,0))),""))</f>
        <v/>
      </c>
      <c r="K573" s="39" t="str">
        <f>IF(OR(C573="",NOT(ISNUMBER(E573))),"",IFERROR(ROUND(N(INDEX(art_init,MATCH(C573,art_ref,0)))+SUMIFS($E$5:E573,$C$5:C573,C573,$B$5:B573,"Entrée")-SUMIFS($E$5:E573,$C$5:C573,C573,$B$5:B573,"Sortie"),6),""))</f>
        <v/>
      </c>
      <c r="L573" s="39" t="str">
        <f>IF(COUNTA(A573:C573,E573)=0,"",IF(COUNTA(A573:C573,E573)&lt;4,"Ligne incomplète",IF(NOT(ISNUMBER(A573)),"Date invalide",IF(AND(B573&lt;&gt;"Entrée",B573&lt;&gt;"Sortie"),"Type inconnu",IF(ISNA(MATCH(C573,art_ref,0)),"Référence inconnue",IF(OR(NOT(ISNUMBER(E573)),N(E573)&lt;=0),"Quantité invalide",IF(K573&lt;0,"Stock négatif",IF(AND(ISNUMBER(A572),A573&lt;A572),"Date hors ordre","OK"))))))))</f>
        <v/>
      </c>
      <c r="M573" s="39" t="str">
        <f>IF(C573="","",C573&amp;"#"&amp;COUNTIF($C$5:C573,C573))</f>
        <v/>
      </c>
    </row>
    <row r="574">
      <c r="A574" s="41" t="n"/>
      <c r="B574" s="37" t="n"/>
      <c r="C574" s="37" t="n"/>
      <c r="D574" s="39" t="str">
        <f>IF(C574="","",IFERROR(INDEX(art_des,MATCH(C574,art_ref,0))&amp;"","Référence inconnue"))</f>
        <v/>
      </c>
      <c r="E574" s="37" t="n"/>
      <c r="F574" s="39" t="str">
        <f>IF(C574="","",IFERROR(INDEX(art_unit,MATCH(C574,art_ref,0))&amp;"",""))</f>
        <v/>
      </c>
      <c r="G574" s="37" t="n"/>
      <c r="H574" s="37" t="n"/>
      <c r="I574" s="37" t="n"/>
      <c r="J574" s="40" t="str">
        <f>IF(OR(C574="",NOT(ISNUMBER(E574))),"",IFERROR(E574*N(INDEX(art_price,MATCH(C574,art_ref,0))),""))</f>
        <v/>
      </c>
      <c r="K574" s="39" t="str">
        <f>IF(OR(C574="",NOT(ISNUMBER(E574))),"",IFERROR(ROUND(N(INDEX(art_init,MATCH(C574,art_ref,0)))+SUMIFS($E$5:E574,$C$5:C574,C574,$B$5:B574,"Entrée")-SUMIFS($E$5:E574,$C$5:C574,C574,$B$5:B574,"Sortie"),6),""))</f>
        <v/>
      </c>
      <c r="L574" s="39" t="str">
        <f>IF(COUNTA(A574:C574,E574)=0,"",IF(COUNTA(A574:C574,E574)&lt;4,"Ligne incomplète",IF(NOT(ISNUMBER(A574)),"Date invalide",IF(AND(B574&lt;&gt;"Entrée",B574&lt;&gt;"Sortie"),"Type inconnu",IF(ISNA(MATCH(C574,art_ref,0)),"Référence inconnue",IF(OR(NOT(ISNUMBER(E574)),N(E574)&lt;=0),"Quantité invalide",IF(K574&lt;0,"Stock négatif",IF(AND(ISNUMBER(A573),A574&lt;A573),"Date hors ordre","OK"))))))))</f>
        <v/>
      </c>
      <c r="M574" s="39" t="str">
        <f>IF(C574="","",C574&amp;"#"&amp;COUNTIF($C$5:C574,C574))</f>
        <v/>
      </c>
    </row>
    <row r="575">
      <c r="A575" s="41" t="n"/>
      <c r="B575" s="37" t="n"/>
      <c r="C575" s="37" t="n"/>
      <c r="D575" s="39" t="str">
        <f>IF(C575="","",IFERROR(INDEX(art_des,MATCH(C575,art_ref,0))&amp;"","Référence inconnue"))</f>
        <v/>
      </c>
      <c r="E575" s="37" t="n"/>
      <c r="F575" s="39" t="str">
        <f>IF(C575="","",IFERROR(INDEX(art_unit,MATCH(C575,art_ref,0))&amp;"",""))</f>
        <v/>
      </c>
      <c r="G575" s="37" t="n"/>
      <c r="H575" s="37" t="n"/>
      <c r="I575" s="37" t="n"/>
      <c r="J575" s="40" t="str">
        <f>IF(OR(C575="",NOT(ISNUMBER(E575))),"",IFERROR(E575*N(INDEX(art_price,MATCH(C575,art_ref,0))),""))</f>
        <v/>
      </c>
      <c r="K575" s="39" t="str">
        <f>IF(OR(C575="",NOT(ISNUMBER(E575))),"",IFERROR(ROUND(N(INDEX(art_init,MATCH(C575,art_ref,0)))+SUMIFS($E$5:E575,$C$5:C575,C575,$B$5:B575,"Entrée")-SUMIFS($E$5:E575,$C$5:C575,C575,$B$5:B575,"Sortie"),6),""))</f>
        <v/>
      </c>
      <c r="L575" s="39" t="str">
        <f>IF(COUNTA(A575:C575,E575)=0,"",IF(COUNTA(A575:C575,E575)&lt;4,"Ligne incomplète",IF(NOT(ISNUMBER(A575)),"Date invalide",IF(AND(B575&lt;&gt;"Entrée",B575&lt;&gt;"Sortie"),"Type inconnu",IF(ISNA(MATCH(C575,art_ref,0)),"Référence inconnue",IF(OR(NOT(ISNUMBER(E575)),N(E575)&lt;=0),"Quantité invalide",IF(K575&lt;0,"Stock négatif",IF(AND(ISNUMBER(A574),A575&lt;A574),"Date hors ordre","OK"))))))))</f>
        <v/>
      </c>
      <c r="M575" s="39" t="str">
        <f>IF(C575="","",C575&amp;"#"&amp;COUNTIF($C$5:C575,C575))</f>
        <v/>
      </c>
    </row>
    <row r="576">
      <c r="A576" s="41" t="n"/>
      <c r="B576" s="37" t="n"/>
      <c r="C576" s="37" t="n"/>
      <c r="D576" s="39" t="str">
        <f>IF(C576="","",IFERROR(INDEX(art_des,MATCH(C576,art_ref,0))&amp;"","Référence inconnue"))</f>
        <v/>
      </c>
      <c r="E576" s="37" t="n"/>
      <c r="F576" s="39" t="str">
        <f>IF(C576="","",IFERROR(INDEX(art_unit,MATCH(C576,art_ref,0))&amp;"",""))</f>
        <v/>
      </c>
      <c r="G576" s="37" t="n"/>
      <c r="H576" s="37" t="n"/>
      <c r="I576" s="37" t="n"/>
      <c r="J576" s="40" t="str">
        <f>IF(OR(C576="",NOT(ISNUMBER(E576))),"",IFERROR(E576*N(INDEX(art_price,MATCH(C576,art_ref,0))),""))</f>
        <v/>
      </c>
      <c r="K576" s="39" t="str">
        <f>IF(OR(C576="",NOT(ISNUMBER(E576))),"",IFERROR(ROUND(N(INDEX(art_init,MATCH(C576,art_ref,0)))+SUMIFS($E$5:E576,$C$5:C576,C576,$B$5:B576,"Entrée")-SUMIFS($E$5:E576,$C$5:C576,C576,$B$5:B576,"Sortie"),6),""))</f>
        <v/>
      </c>
      <c r="L576" s="39" t="str">
        <f>IF(COUNTA(A576:C576,E576)=0,"",IF(COUNTA(A576:C576,E576)&lt;4,"Ligne incomplète",IF(NOT(ISNUMBER(A576)),"Date invalide",IF(AND(B576&lt;&gt;"Entrée",B576&lt;&gt;"Sortie"),"Type inconnu",IF(ISNA(MATCH(C576,art_ref,0)),"Référence inconnue",IF(OR(NOT(ISNUMBER(E576)),N(E576)&lt;=0),"Quantité invalide",IF(K576&lt;0,"Stock négatif",IF(AND(ISNUMBER(A575),A576&lt;A575),"Date hors ordre","OK"))))))))</f>
        <v/>
      </c>
      <c r="M576" s="39" t="str">
        <f>IF(C576="","",C576&amp;"#"&amp;COUNTIF($C$5:C576,C576))</f>
        <v/>
      </c>
    </row>
    <row r="577">
      <c r="A577" s="41" t="n"/>
      <c r="B577" s="37" t="n"/>
      <c r="C577" s="37" t="n"/>
      <c r="D577" s="39" t="str">
        <f>IF(C577="","",IFERROR(INDEX(art_des,MATCH(C577,art_ref,0))&amp;"","Référence inconnue"))</f>
        <v/>
      </c>
      <c r="E577" s="37" t="n"/>
      <c r="F577" s="39" t="str">
        <f>IF(C577="","",IFERROR(INDEX(art_unit,MATCH(C577,art_ref,0))&amp;"",""))</f>
        <v/>
      </c>
      <c r="G577" s="37" t="n"/>
      <c r="H577" s="37" t="n"/>
      <c r="I577" s="37" t="n"/>
      <c r="J577" s="40" t="str">
        <f>IF(OR(C577="",NOT(ISNUMBER(E577))),"",IFERROR(E577*N(INDEX(art_price,MATCH(C577,art_ref,0))),""))</f>
        <v/>
      </c>
      <c r="K577" s="39" t="str">
        <f>IF(OR(C577="",NOT(ISNUMBER(E577))),"",IFERROR(ROUND(N(INDEX(art_init,MATCH(C577,art_ref,0)))+SUMIFS($E$5:E577,$C$5:C577,C577,$B$5:B577,"Entrée")-SUMIFS($E$5:E577,$C$5:C577,C577,$B$5:B577,"Sortie"),6),""))</f>
        <v/>
      </c>
      <c r="L577" s="39" t="str">
        <f>IF(COUNTA(A577:C577,E577)=0,"",IF(COUNTA(A577:C577,E577)&lt;4,"Ligne incomplète",IF(NOT(ISNUMBER(A577)),"Date invalide",IF(AND(B577&lt;&gt;"Entrée",B577&lt;&gt;"Sortie"),"Type inconnu",IF(ISNA(MATCH(C577,art_ref,0)),"Référence inconnue",IF(OR(NOT(ISNUMBER(E577)),N(E577)&lt;=0),"Quantité invalide",IF(K577&lt;0,"Stock négatif",IF(AND(ISNUMBER(A576),A577&lt;A576),"Date hors ordre","OK"))))))))</f>
        <v/>
      </c>
      <c r="M577" s="39" t="str">
        <f>IF(C577="","",C577&amp;"#"&amp;COUNTIF($C$5:C577,C577))</f>
        <v/>
      </c>
    </row>
    <row r="578">
      <c r="A578" s="41" t="n"/>
      <c r="B578" s="37" t="n"/>
      <c r="C578" s="37" t="n"/>
      <c r="D578" s="39" t="str">
        <f>IF(C578="","",IFERROR(INDEX(art_des,MATCH(C578,art_ref,0))&amp;"","Référence inconnue"))</f>
        <v/>
      </c>
      <c r="E578" s="37" t="n"/>
      <c r="F578" s="39" t="str">
        <f>IF(C578="","",IFERROR(INDEX(art_unit,MATCH(C578,art_ref,0))&amp;"",""))</f>
        <v/>
      </c>
      <c r="G578" s="37" t="n"/>
      <c r="H578" s="37" t="n"/>
      <c r="I578" s="37" t="n"/>
      <c r="J578" s="40" t="str">
        <f>IF(OR(C578="",NOT(ISNUMBER(E578))),"",IFERROR(E578*N(INDEX(art_price,MATCH(C578,art_ref,0))),""))</f>
        <v/>
      </c>
      <c r="K578" s="39" t="str">
        <f>IF(OR(C578="",NOT(ISNUMBER(E578))),"",IFERROR(ROUND(N(INDEX(art_init,MATCH(C578,art_ref,0)))+SUMIFS($E$5:E578,$C$5:C578,C578,$B$5:B578,"Entrée")-SUMIFS($E$5:E578,$C$5:C578,C578,$B$5:B578,"Sortie"),6),""))</f>
        <v/>
      </c>
      <c r="L578" s="39" t="str">
        <f>IF(COUNTA(A578:C578,E578)=0,"",IF(COUNTA(A578:C578,E578)&lt;4,"Ligne incomplète",IF(NOT(ISNUMBER(A578)),"Date invalide",IF(AND(B578&lt;&gt;"Entrée",B578&lt;&gt;"Sortie"),"Type inconnu",IF(ISNA(MATCH(C578,art_ref,0)),"Référence inconnue",IF(OR(NOT(ISNUMBER(E578)),N(E578)&lt;=0),"Quantité invalide",IF(K578&lt;0,"Stock négatif",IF(AND(ISNUMBER(A577),A578&lt;A577),"Date hors ordre","OK"))))))))</f>
        <v/>
      </c>
      <c r="M578" s="39" t="str">
        <f>IF(C578="","",C578&amp;"#"&amp;COUNTIF($C$5:C578,C578))</f>
        <v/>
      </c>
    </row>
    <row r="579">
      <c r="A579" s="41" t="n"/>
      <c r="B579" s="37" t="n"/>
      <c r="C579" s="37" t="n"/>
      <c r="D579" s="39" t="str">
        <f>IF(C579="","",IFERROR(INDEX(art_des,MATCH(C579,art_ref,0))&amp;"","Référence inconnue"))</f>
        <v/>
      </c>
      <c r="E579" s="37" t="n"/>
      <c r="F579" s="39" t="str">
        <f>IF(C579="","",IFERROR(INDEX(art_unit,MATCH(C579,art_ref,0))&amp;"",""))</f>
        <v/>
      </c>
      <c r="G579" s="37" t="n"/>
      <c r="H579" s="37" t="n"/>
      <c r="I579" s="37" t="n"/>
      <c r="J579" s="40" t="str">
        <f>IF(OR(C579="",NOT(ISNUMBER(E579))),"",IFERROR(E579*N(INDEX(art_price,MATCH(C579,art_ref,0))),""))</f>
        <v/>
      </c>
      <c r="K579" s="39" t="str">
        <f>IF(OR(C579="",NOT(ISNUMBER(E579))),"",IFERROR(ROUND(N(INDEX(art_init,MATCH(C579,art_ref,0)))+SUMIFS($E$5:E579,$C$5:C579,C579,$B$5:B579,"Entrée")-SUMIFS($E$5:E579,$C$5:C579,C579,$B$5:B579,"Sortie"),6),""))</f>
        <v/>
      </c>
      <c r="L579" s="39" t="str">
        <f>IF(COUNTA(A579:C579,E579)=0,"",IF(COUNTA(A579:C579,E579)&lt;4,"Ligne incomplète",IF(NOT(ISNUMBER(A579)),"Date invalide",IF(AND(B579&lt;&gt;"Entrée",B579&lt;&gt;"Sortie"),"Type inconnu",IF(ISNA(MATCH(C579,art_ref,0)),"Référence inconnue",IF(OR(NOT(ISNUMBER(E579)),N(E579)&lt;=0),"Quantité invalide",IF(K579&lt;0,"Stock négatif",IF(AND(ISNUMBER(A578),A579&lt;A578),"Date hors ordre","OK"))))))))</f>
        <v/>
      </c>
      <c r="M579" s="39" t="str">
        <f>IF(C579="","",C579&amp;"#"&amp;COUNTIF($C$5:C579,C579))</f>
        <v/>
      </c>
    </row>
    <row r="580">
      <c r="A580" s="41" t="n"/>
      <c r="B580" s="37" t="n"/>
      <c r="C580" s="37" t="n"/>
      <c r="D580" s="39" t="str">
        <f>IF(C580="","",IFERROR(INDEX(art_des,MATCH(C580,art_ref,0))&amp;"","Référence inconnue"))</f>
        <v/>
      </c>
      <c r="E580" s="37" t="n"/>
      <c r="F580" s="39" t="str">
        <f>IF(C580="","",IFERROR(INDEX(art_unit,MATCH(C580,art_ref,0))&amp;"",""))</f>
        <v/>
      </c>
      <c r="G580" s="37" t="n"/>
      <c r="H580" s="37" t="n"/>
      <c r="I580" s="37" t="n"/>
      <c r="J580" s="40" t="str">
        <f>IF(OR(C580="",NOT(ISNUMBER(E580))),"",IFERROR(E580*N(INDEX(art_price,MATCH(C580,art_ref,0))),""))</f>
        <v/>
      </c>
      <c r="K580" s="39" t="str">
        <f>IF(OR(C580="",NOT(ISNUMBER(E580))),"",IFERROR(ROUND(N(INDEX(art_init,MATCH(C580,art_ref,0)))+SUMIFS($E$5:E580,$C$5:C580,C580,$B$5:B580,"Entrée")-SUMIFS($E$5:E580,$C$5:C580,C580,$B$5:B580,"Sortie"),6),""))</f>
        <v/>
      </c>
      <c r="L580" s="39" t="str">
        <f>IF(COUNTA(A580:C580,E580)=0,"",IF(COUNTA(A580:C580,E580)&lt;4,"Ligne incomplète",IF(NOT(ISNUMBER(A580)),"Date invalide",IF(AND(B580&lt;&gt;"Entrée",B580&lt;&gt;"Sortie"),"Type inconnu",IF(ISNA(MATCH(C580,art_ref,0)),"Référence inconnue",IF(OR(NOT(ISNUMBER(E580)),N(E580)&lt;=0),"Quantité invalide",IF(K580&lt;0,"Stock négatif",IF(AND(ISNUMBER(A579),A580&lt;A579),"Date hors ordre","OK"))))))))</f>
        <v/>
      </c>
      <c r="M580" s="39" t="str">
        <f>IF(C580="","",C580&amp;"#"&amp;COUNTIF($C$5:C580,C580))</f>
        <v/>
      </c>
    </row>
    <row r="581">
      <c r="A581" s="41" t="n"/>
      <c r="B581" s="37" t="n"/>
      <c r="C581" s="37" t="n"/>
      <c r="D581" s="39" t="str">
        <f>IF(C581="","",IFERROR(INDEX(art_des,MATCH(C581,art_ref,0))&amp;"","Référence inconnue"))</f>
        <v/>
      </c>
      <c r="E581" s="37" t="n"/>
      <c r="F581" s="39" t="str">
        <f>IF(C581="","",IFERROR(INDEX(art_unit,MATCH(C581,art_ref,0))&amp;"",""))</f>
        <v/>
      </c>
      <c r="G581" s="37" t="n"/>
      <c r="H581" s="37" t="n"/>
      <c r="I581" s="37" t="n"/>
      <c r="J581" s="40" t="str">
        <f>IF(OR(C581="",NOT(ISNUMBER(E581))),"",IFERROR(E581*N(INDEX(art_price,MATCH(C581,art_ref,0))),""))</f>
        <v/>
      </c>
      <c r="K581" s="39" t="str">
        <f>IF(OR(C581="",NOT(ISNUMBER(E581))),"",IFERROR(ROUND(N(INDEX(art_init,MATCH(C581,art_ref,0)))+SUMIFS($E$5:E581,$C$5:C581,C581,$B$5:B581,"Entrée")-SUMIFS($E$5:E581,$C$5:C581,C581,$B$5:B581,"Sortie"),6),""))</f>
        <v/>
      </c>
      <c r="L581" s="39" t="str">
        <f>IF(COUNTA(A581:C581,E581)=0,"",IF(COUNTA(A581:C581,E581)&lt;4,"Ligne incomplète",IF(NOT(ISNUMBER(A581)),"Date invalide",IF(AND(B581&lt;&gt;"Entrée",B581&lt;&gt;"Sortie"),"Type inconnu",IF(ISNA(MATCH(C581,art_ref,0)),"Référence inconnue",IF(OR(NOT(ISNUMBER(E581)),N(E581)&lt;=0),"Quantité invalide",IF(K581&lt;0,"Stock négatif",IF(AND(ISNUMBER(A580),A581&lt;A580),"Date hors ordre","OK"))))))))</f>
        <v/>
      </c>
      <c r="M581" s="39" t="str">
        <f>IF(C581="","",C581&amp;"#"&amp;COUNTIF($C$5:C581,C581))</f>
        <v/>
      </c>
    </row>
    <row r="582">
      <c r="A582" s="41" t="n"/>
      <c r="B582" s="37" t="n"/>
      <c r="C582" s="37" t="n"/>
      <c r="D582" s="39" t="str">
        <f>IF(C582="","",IFERROR(INDEX(art_des,MATCH(C582,art_ref,0))&amp;"","Référence inconnue"))</f>
        <v/>
      </c>
      <c r="E582" s="37" t="n"/>
      <c r="F582" s="39" t="str">
        <f>IF(C582="","",IFERROR(INDEX(art_unit,MATCH(C582,art_ref,0))&amp;"",""))</f>
        <v/>
      </c>
      <c r="G582" s="37" t="n"/>
      <c r="H582" s="37" t="n"/>
      <c r="I582" s="37" t="n"/>
      <c r="J582" s="40" t="str">
        <f>IF(OR(C582="",NOT(ISNUMBER(E582))),"",IFERROR(E582*N(INDEX(art_price,MATCH(C582,art_ref,0))),""))</f>
        <v/>
      </c>
      <c r="K582" s="39" t="str">
        <f>IF(OR(C582="",NOT(ISNUMBER(E582))),"",IFERROR(ROUND(N(INDEX(art_init,MATCH(C582,art_ref,0)))+SUMIFS($E$5:E582,$C$5:C582,C582,$B$5:B582,"Entrée")-SUMIFS($E$5:E582,$C$5:C582,C582,$B$5:B582,"Sortie"),6),""))</f>
        <v/>
      </c>
      <c r="L582" s="39" t="str">
        <f>IF(COUNTA(A582:C582,E582)=0,"",IF(COUNTA(A582:C582,E582)&lt;4,"Ligne incomplète",IF(NOT(ISNUMBER(A582)),"Date invalide",IF(AND(B582&lt;&gt;"Entrée",B582&lt;&gt;"Sortie"),"Type inconnu",IF(ISNA(MATCH(C582,art_ref,0)),"Référence inconnue",IF(OR(NOT(ISNUMBER(E582)),N(E582)&lt;=0),"Quantité invalide",IF(K582&lt;0,"Stock négatif",IF(AND(ISNUMBER(A581),A582&lt;A581),"Date hors ordre","OK"))))))))</f>
        <v/>
      </c>
      <c r="M582" s="39" t="str">
        <f>IF(C582="","",C582&amp;"#"&amp;COUNTIF($C$5:C582,C582))</f>
        <v/>
      </c>
    </row>
    <row r="583">
      <c r="A583" s="41" t="n"/>
      <c r="B583" s="37" t="n"/>
      <c r="C583" s="37" t="n"/>
      <c r="D583" s="39" t="str">
        <f>IF(C583="","",IFERROR(INDEX(art_des,MATCH(C583,art_ref,0))&amp;"","Référence inconnue"))</f>
        <v/>
      </c>
      <c r="E583" s="37" t="n"/>
      <c r="F583" s="39" t="str">
        <f>IF(C583="","",IFERROR(INDEX(art_unit,MATCH(C583,art_ref,0))&amp;"",""))</f>
        <v/>
      </c>
      <c r="G583" s="37" t="n"/>
      <c r="H583" s="37" t="n"/>
      <c r="I583" s="37" t="n"/>
      <c r="J583" s="40" t="str">
        <f>IF(OR(C583="",NOT(ISNUMBER(E583))),"",IFERROR(E583*N(INDEX(art_price,MATCH(C583,art_ref,0))),""))</f>
        <v/>
      </c>
      <c r="K583" s="39" t="str">
        <f>IF(OR(C583="",NOT(ISNUMBER(E583))),"",IFERROR(ROUND(N(INDEX(art_init,MATCH(C583,art_ref,0)))+SUMIFS($E$5:E583,$C$5:C583,C583,$B$5:B583,"Entrée")-SUMIFS($E$5:E583,$C$5:C583,C583,$B$5:B583,"Sortie"),6),""))</f>
        <v/>
      </c>
      <c r="L583" s="39" t="str">
        <f>IF(COUNTA(A583:C583,E583)=0,"",IF(COUNTA(A583:C583,E583)&lt;4,"Ligne incomplète",IF(NOT(ISNUMBER(A583)),"Date invalide",IF(AND(B583&lt;&gt;"Entrée",B583&lt;&gt;"Sortie"),"Type inconnu",IF(ISNA(MATCH(C583,art_ref,0)),"Référence inconnue",IF(OR(NOT(ISNUMBER(E583)),N(E583)&lt;=0),"Quantité invalide",IF(K583&lt;0,"Stock négatif",IF(AND(ISNUMBER(A582),A583&lt;A582),"Date hors ordre","OK"))))))))</f>
        <v/>
      </c>
      <c r="M583" s="39" t="str">
        <f>IF(C583="","",C583&amp;"#"&amp;COUNTIF($C$5:C583,C583))</f>
        <v/>
      </c>
    </row>
    <row r="584">
      <c r="A584" s="41" t="n"/>
      <c r="B584" s="37" t="n"/>
      <c r="C584" s="37" t="n"/>
      <c r="D584" s="39" t="str">
        <f>IF(C584="","",IFERROR(INDEX(art_des,MATCH(C584,art_ref,0))&amp;"","Référence inconnue"))</f>
        <v/>
      </c>
      <c r="E584" s="37" t="n"/>
      <c r="F584" s="39" t="str">
        <f>IF(C584="","",IFERROR(INDEX(art_unit,MATCH(C584,art_ref,0))&amp;"",""))</f>
        <v/>
      </c>
      <c r="G584" s="37" t="n"/>
      <c r="H584" s="37" t="n"/>
      <c r="I584" s="37" t="n"/>
      <c r="J584" s="40" t="str">
        <f>IF(OR(C584="",NOT(ISNUMBER(E584))),"",IFERROR(E584*N(INDEX(art_price,MATCH(C584,art_ref,0))),""))</f>
        <v/>
      </c>
      <c r="K584" s="39" t="str">
        <f>IF(OR(C584="",NOT(ISNUMBER(E584))),"",IFERROR(ROUND(N(INDEX(art_init,MATCH(C584,art_ref,0)))+SUMIFS($E$5:E584,$C$5:C584,C584,$B$5:B584,"Entrée")-SUMIFS($E$5:E584,$C$5:C584,C584,$B$5:B584,"Sortie"),6),""))</f>
        <v/>
      </c>
      <c r="L584" s="39" t="str">
        <f>IF(COUNTA(A584:C584,E584)=0,"",IF(COUNTA(A584:C584,E584)&lt;4,"Ligne incomplète",IF(NOT(ISNUMBER(A584)),"Date invalide",IF(AND(B584&lt;&gt;"Entrée",B584&lt;&gt;"Sortie"),"Type inconnu",IF(ISNA(MATCH(C584,art_ref,0)),"Référence inconnue",IF(OR(NOT(ISNUMBER(E584)),N(E584)&lt;=0),"Quantité invalide",IF(K584&lt;0,"Stock négatif",IF(AND(ISNUMBER(A583),A584&lt;A583),"Date hors ordre","OK"))))))))</f>
        <v/>
      </c>
      <c r="M584" s="39" t="str">
        <f>IF(C584="","",C584&amp;"#"&amp;COUNTIF($C$5:C584,C584))</f>
        <v/>
      </c>
    </row>
    <row r="585">
      <c r="A585" s="41" t="n"/>
      <c r="B585" s="37" t="n"/>
      <c r="C585" s="37" t="n"/>
      <c r="D585" s="39" t="str">
        <f>IF(C585="","",IFERROR(INDEX(art_des,MATCH(C585,art_ref,0))&amp;"","Référence inconnue"))</f>
        <v/>
      </c>
      <c r="E585" s="37" t="n"/>
      <c r="F585" s="39" t="str">
        <f>IF(C585="","",IFERROR(INDEX(art_unit,MATCH(C585,art_ref,0))&amp;"",""))</f>
        <v/>
      </c>
      <c r="G585" s="37" t="n"/>
      <c r="H585" s="37" t="n"/>
      <c r="I585" s="37" t="n"/>
      <c r="J585" s="40" t="str">
        <f>IF(OR(C585="",NOT(ISNUMBER(E585))),"",IFERROR(E585*N(INDEX(art_price,MATCH(C585,art_ref,0))),""))</f>
        <v/>
      </c>
      <c r="K585" s="39" t="str">
        <f>IF(OR(C585="",NOT(ISNUMBER(E585))),"",IFERROR(ROUND(N(INDEX(art_init,MATCH(C585,art_ref,0)))+SUMIFS($E$5:E585,$C$5:C585,C585,$B$5:B585,"Entrée")-SUMIFS($E$5:E585,$C$5:C585,C585,$B$5:B585,"Sortie"),6),""))</f>
        <v/>
      </c>
      <c r="L585" s="39" t="str">
        <f>IF(COUNTA(A585:C585,E585)=0,"",IF(COUNTA(A585:C585,E585)&lt;4,"Ligne incomplète",IF(NOT(ISNUMBER(A585)),"Date invalide",IF(AND(B585&lt;&gt;"Entrée",B585&lt;&gt;"Sortie"),"Type inconnu",IF(ISNA(MATCH(C585,art_ref,0)),"Référence inconnue",IF(OR(NOT(ISNUMBER(E585)),N(E585)&lt;=0),"Quantité invalide",IF(K585&lt;0,"Stock négatif",IF(AND(ISNUMBER(A584),A585&lt;A584),"Date hors ordre","OK"))))))))</f>
        <v/>
      </c>
      <c r="M585" s="39" t="str">
        <f>IF(C585="","",C585&amp;"#"&amp;COUNTIF($C$5:C585,C585))</f>
        <v/>
      </c>
    </row>
    <row r="586">
      <c r="A586" s="41" t="n"/>
      <c r="B586" s="37" t="n"/>
      <c r="C586" s="37" t="n"/>
      <c r="D586" s="39" t="str">
        <f>IF(C586="","",IFERROR(INDEX(art_des,MATCH(C586,art_ref,0))&amp;"","Référence inconnue"))</f>
        <v/>
      </c>
      <c r="E586" s="37" t="n"/>
      <c r="F586" s="39" t="str">
        <f>IF(C586="","",IFERROR(INDEX(art_unit,MATCH(C586,art_ref,0))&amp;"",""))</f>
        <v/>
      </c>
      <c r="G586" s="37" t="n"/>
      <c r="H586" s="37" t="n"/>
      <c r="I586" s="37" t="n"/>
      <c r="J586" s="40" t="str">
        <f>IF(OR(C586="",NOT(ISNUMBER(E586))),"",IFERROR(E586*N(INDEX(art_price,MATCH(C586,art_ref,0))),""))</f>
        <v/>
      </c>
      <c r="K586" s="39" t="str">
        <f>IF(OR(C586="",NOT(ISNUMBER(E586))),"",IFERROR(ROUND(N(INDEX(art_init,MATCH(C586,art_ref,0)))+SUMIFS($E$5:E586,$C$5:C586,C586,$B$5:B586,"Entrée")-SUMIFS($E$5:E586,$C$5:C586,C586,$B$5:B586,"Sortie"),6),""))</f>
        <v/>
      </c>
      <c r="L586" s="39" t="str">
        <f>IF(COUNTA(A586:C586,E586)=0,"",IF(COUNTA(A586:C586,E586)&lt;4,"Ligne incomplète",IF(NOT(ISNUMBER(A586)),"Date invalide",IF(AND(B586&lt;&gt;"Entrée",B586&lt;&gt;"Sortie"),"Type inconnu",IF(ISNA(MATCH(C586,art_ref,0)),"Référence inconnue",IF(OR(NOT(ISNUMBER(E586)),N(E586)&lt;=0),"Quantité invalide",IF(K586&lt;0,"Stock négatif",IF(AND(ISNUMBER(A585),A586&lt;A585),"Date hors ordre","OK"))))))))</f>
        <v/>
      </c>
      <c r="M586" s="39" t="str">
        <f>IF(C586="","",C586&amp;"#"&amp;COUNTIF($C$5:C586,C586))</f>
        <v/>
      </c>
    </row>
    <row r="587">
      <c r="A587" s="41" t="n"/>
      <c r="B587" s="37" t="n"/>
      <c r="C587" s="37" t="n"/>
      <c r="D587" s="39" t="str">
        <f>IF(C587="","",IFERROR(INDEX(art_des,MATCH(C587,art_ref,0))&amp;"","Référence inconnue"))</f>
        <v/>
      </c>
      <c r="E587" s="37" t="n"/>
      <c r="F587" s="39" t="str">
        <f>IF(C587="","",IFERROR(INDEX(art_unit,MATCH(C587,art_ref,0))&amp;"",""))</f>
        <v/>
      </c>
      <c r="G587" s="37" t="n"/>
      <c r="H587" s="37" t="n"/>
      <c r="I587" s="37" t="n"/>
      <c r="J587" s="40" t="str">
        <f>IF(OR(C587="",NOT(ISNUMBER(E587))),"",IFERROR(E587*N(INDEX(art_price,MATCH(C587,art_ref,0))),""))</f>
        <v/>
      </c>
      <c r="K587" s="39" t="str">
        <f>IF(OR(C587="",NOT(ISNUMBER(E587))),"",IFERROR(ROUND(N(INDEX(art_init,MATCH(C587,art_ref,0)))+SUMIFS($E$5:E587,$C$5:C587,C587,$B$5:B587,"Entrée")-SUMIFS($E$5:E587,$C$5:C587,C587,$B$5:B587,"Sortie"),6),""))</f>
        <v/>
      </c>
      <c r="L587" s="39" t="str">
        <f>IF(COUNTA(A587:C587,E587)=0,"",IF(COUNTA(A587:C587,E587)&lt;4,"Ligne incomplète",IF(NOT(ISNUMBER(A587)),"Date invalide",IF(AND(B587&lt;&gt;"Entrée",B587&lt;&gt;"Sortie"),"Type inconnu",IF(ISNA(MATCH(C587,art_ref,0)),"Référence inconnue",IF(OR(NOT(ISNUMBER(E587)),N(E587)&lt;=0),"Quantité invalide",IF(K587&lt;0,"Stock négatif",IF(AND(ISNUMBER(A586),A587&lt;A586),"Date hors ordre","OK"))))))))</f>
        <v/>
      </c>
      <c r="M587" s="39" t="str">
        <f>IF(C587="","",C587&amp;"#"&amp;COUNTIF($C$5:C587,C587))</f>
        <v/>
      </c>
    </row>
    <row r="588">
      <c r="A588" s="41" t="n"/>
      <c r="B588" s="37" t="n"/>
      <c r="C588" s="37" t="n"/>
      <c r="D588" s="39" t="str">
        <f>IF(C588="","",IFERROR(INDEX(art_des,MATCH(C588,art_ref,0))&amp;"","Référence inconnue"))</f>
        <v/>
      </c>
      <c r="E588" s="37" t="n"/>
      <c r="F588" s="39" t="str">
        <f>IF(C588="","",IFERROR(INDEX(art_unit,MATCH(C588,art_ref,0))&amp;"",""))</f>
        <v/>
      </c>
      <c r="G588" s="37" t="n"/>
      <c r="H588" s="37" t="n"/>
      <c r="I588" s="37" t="n"/>
      <c r="J588" s="40" t="str">
        <f>IF(OR(C588="",NOT(ISNUMBER(E588))),"",IFERROR(E588*N(INDEX(art_price,MATCH(C588,art_ref,0))),""))</f>
        <v/>
      </c>
      <c r="K588" s="39" t="str">
        <f>IF(OR(C588="",NOT(ISNUMBER(E588))),"",IFERROR(ROUND(N(INDEX(art_init,MATCH(C588,art_ref,0)))+SUMIFS($E$5:E588,$C$5:C588,C588,$B$5:B588,"Entrée")-SUMIFS($E$5:E588,$C$5:C588,C588,$B$5:B588,"Sortie"),6),""))</f>
        <v/>
      </c>
      <c r="L588" s="39" t="str">
        <f>IF(COUNTA(A588:C588,E588)=0,"",IF(COUNTA(A588:C588,E588)&lt;4,"Ligne incomplète",IF(NOT(ISNUMBER(A588)),"Date invalide",IF(AND(B588&lt;&gt;"Entrée",B588&lt;&gt;"Sortie"),"Type inconnu",IF(ISNA(MATCH(C588,art_ref,0)),"Référence inconnue",IF(OR(NOT(ISNUMBER(E588)),N(E588)&lt;=0),"Quantité invalide",IF(K588&lt;0,"Stock négatif",IF(AND(ISNUMBER(A587),A588&lt;A587),"Date hors ordre","OK"))))))))</f>
        <v/>
      </c>
      <c r="M588" s="39" t="str">
        <f>IF(C588="","",C588&amp;"#"&amp;COUNTIF($C$5:C588,C588))</f>
        <v/>
      </c>
    </row>
    <row r="589">
      <c r="A589" s="41" t="n"/>
      <c r="B589" s="37" t="n"/>
      <c r="C589" s="37" t="n"/>
      <c r="D589" s="39" t="str">
        <f>IF(C589="","",IFERROR(INDEX(art_des,MATCH(C589,art_ref,0))&amp;"","Référence inconnue"))</f>
        <v/>
      </c>
      <c r="E589" s="37" t="n"/>
      <c r="F589" s="39" t="str">
        <f>IF(C589="","",IFERROR(INDEX(art_unit,MATCH(C589,art_ref,0))&amp;"",""))</f>
        <v/>
      </c>
      <c r="G589" s="37" t="n"/>
      <c r="H589" s="37" t="n"/>
      <c r="I589" s="37" t="n"/>
      <c r="J589" s="40" t="str">
        <f>IF(OR(C589="",NOT(ISNUMBER(E589))),"",IFERROR(E589*N(INDEX(art_price,MATCH(C589,art_ref,0))),""))</f>
        <v/>
      </c>
      <c r="K589" s="39" t="str">
        <f>IF(OR(C589="",NOT(ISNUMBER(E589))),"",IFERROR(ROUND(N(INDEX(art_init,MATCH(C589,art_ref,0)))+SUMIFS($E$5:E589,$C$5:C589,C589,$B$5:B589,"Entrée")-SUMIFS($E$5:E589,$C$5:C589,C589,$B$5:B589,"Sortie"),6),""))</f>
        <v/>
      </c>
      <c r="L589" s="39" t="str">
        <f>IF(COUNTA(A589:C589,E589)=0,"",IF(COUNTA(A589:C589,E589)&lt;4,"Ligne incomplète",IF(NOT(ISNUMBER(A589)),"Date invalide",IF(AND(B589&lt;&gt;"Entrée",B589&lt;&gt;"Sortie"),"Type inconnu",IF(ISNA(MATCH(C589,art_ref,0)),"Référence inconnue",IF(OR(NOT(ISNUMBER(E589)),N(E589)&lt;=0),"Quantité invalide",IF(K589&lt;0,"Stock négatif",IF(AND(ISNUMBER(A588),A589&lt;A588),"Date hors ordre","OK"))))))))</f>
        <v/>
      </c>
      <c r="M589" s="39" t="str">
        <f>IF(C589="","",C589&amp;"#"&amp;COUNTIF($C$5:C589,C589))</f>
        <v/>
      </c>
    </row>
    <row r="590">
      <c r="A590" s="41" t="n"/>
      <c r="B590" s="37" t="n"/>
      <c r="C590" s="37" t="n"/>
      <c r="D590" s="39" t="str">
        <f>IF(C590="","",IFERROR(INDEX(art_des,MATCH(C590,art_ref,0))&amp;"","Référence inconnue"))</f>
        <v/>
      </c>
      <c r="E590" s="37" t="n"/>
      <c r="F590" s="39" t="str">
        <f>IF(C590="","",IFERROR(INDEX(art_unit,MATCH(C590,art_ref,0))&amp;"",""))</f>
        <v/>
      </c>
      <c r="G590" s="37" t="n"/>
      <c r="H590" s="37" t="n"/>
      <c r="I590" s="37" t="n"/>
      <c r="J590" s="40" t="str">
        <f>IF(OR(C590="",NOT(ISNUMBER(E590))),"",IFERROR(E590*N(INDEX(art_price,MATCH(C590,art_ref,0))),""))</f>
        <v/>
      </c>
      <c r="K590" s="39" t="str">
        <f>IF(OR(C590="",NOT(ISNUMBER(E590))),"",IFERROR(ROUND(N(INDEX(art_init,MATCH(C590,art_ref,0)))+SUMIFS($E$5:E590,$C$5:C590,C590,$B$5:B590,"Entrée")-SUMIFS($E$5:E590,$C$5:C590,C590,$B$5:B590,"Sortie"),6),""))</f>
        <v/>
      </c>
      <c r="L590" s="39" t="str">
        <f>IF(COUNTA(A590:C590,E590)=0,"",IF(COUNTA(A590:C590,E590)&lt;4,"Ligne incomplète",IF(NOT(ISNUMBER(A590)),"Date invalide",IF(AND(B590&lt;&gt;"Entrée",B590&lt;&gt;"Sortie"),"Type inconnu",IF(ISNA(MATCH(C590,art_ref,0)),"Référence inconnue",IF(OR(NOT(ISNUMBER(E590)),N(E590)&lt;=0),"Quantité invalide",IF(K590&lt;0,"Stock négatif",IF(AND(ISNUMBER(A589),A590&lt;A589),"Date hors ordre","OK"))))))))</f>
        <v/>
      </c>
      <c r="M590" s="39" t="str">
        <f>IF(C590="","",C590&amp;"#"&amp;COUNTIF($C$5:C590,C590))</f>
        <v/>
      </c>
    </row>
    <row r="591">
      <c r="A591" s="41" t="n"/>
      <c r="B591" s="37" t="n"/>
      <c r="C591" s="37" t="n"/>
      <c r="D591" s="39" t="str">
        <f>IF(C591="","",IFERROR(INDEX(art_des,MATCH(C591,art_ref,0))&amp;"","Référence inconnue"))</f>
        <v/>
      </c>
      <c r="E591" s="37" t="n"/>
      <c r="F591" s="39" t="str">
        <f>IF(C591="","",IFERROR(INDEX(art_unit,MATCH(C591,art_ref,0))&amp;"",""))</f>
        <v/>
      </c>
      <c r="G591" s="37" t="n"/>
      <c r="H591" s="37" t="n"/>
      <c r="I591" s="37" t="n"/>
      <c r="J591" s="40" t="str">
        <f>IF(OR(C591="",NOT(ISNUMBER(E591))),"",IFERROR(E591*N(INDEX(art_price,MATCH(C591,art_ref,0))),""))</f>
        <v/>
      </c>
      <c r="K591" s="39" t="str">
        <f>IF(OR(C591="",NOT(ISNUMBER(E591))),"",IFERROR(ROUND(N(INDEX(art_init,MATCH(C591,art_ref,0)))+SUMIFS($E$5:E591,$C$5:C591,C591,$B$5:B591,"Entrée")-SUMIFS($E$5:E591,$C$5:C591,C591,$B$5:B591,"Sortie"),6),""))</f>
        <v/>
      </c>
      <c r="L591" s="39" t="str">
        <f>IF(COUNTA(A591:C591,E591)=0,"",IF(COUNTA(A591:C591,E591)&lt;4,"Ligne incomplète",IF(NOT(ISNUMBER(A591)),"Date invalide",IF(AND(B591&lt;&gt;"Entrée",B591&lt;&gt;"Sortie"),"Type inconnu",IF(ISNA(MATCH(C591,art_ref,0)),"Référence inconnue",IF(OR(NOT(ISNUMBER(E591)),N(E591)&lt;=0),"Quantité invalide",IF(K591&lt;0,"Stock négatif",IF(AND(ISNUMBER(A590),A591&lt;A590),"Date hors ordre","OK"))))))))</f>
        <v/>
      </c>
      <c r="M591" s="39" t="str">
        <f>IF(C591="","",C591&amp;"#"&amp;COUNTIF($C$5:C591,C591))</f>
        <v/>
      </c>
    </row>
    <row r="592">
      <c r="A592" s="41" t="n"/>
      <c r="B592" s="37" t="n"/>
      <c r="C592" s="37" t="n"/>
      <c r="D592" s="39" t="str">
        <f>IF(C592="","",IFERROR(INDEX(art_des,MATCH(C592,art_ref,0))&amp;"","Référence inconnue"))</f>
        <v/>
      </c>
      <c r="E592" s="37" t="n"/>
      <c r="F592" s="39" t="str">
        <f>IF(C592="","",IFERROR(INDEX(art_unit,MATCH(C592,art_ref,0))&amp;"",""))</f>
        <v/>
      </c>
      <c r="G592" s="37" t="n"/>
      <c r="H592" s="37" t="n"/>
      <c r="I592" s="37" t="n"/>
      <c r="J592" s="40" t="str">
        <f>IF(OR(C592="",NOT(ISNUMBER(E592))),"",IFERROR(E592*N(INDEX(art_price,MATCH(C592,art_ref,0))),""))</f>
        <v/>
      </c>
      <c r="K592" s="39" t="str">
        <f>IF(OR(C592="",NOT(ISNUMBER(E592))),"",IFERROR(ROUND(N(INDEX(art_init,MATCH(C592,art_ref,0)))+SUMIFS($E$5:E592,$C$5:C592,C592,$B$5:B592,"Entrée")-SUMIFS($E$5:E592,$C$5:C592,C592,$B$5:B592,"Sortie"),6),""))</f>
        <v/>
      </c>
      <c r="L592" s="39" t="str">
        <f>IF(COUNTA(A592:C592,E592)=0,"",IF(COUNTA(A592:C592,E592)&lt;4,"Ligne incomplète",IF(NOT(ISNUMBER(A592)),"Date invalide",IF(AND(B592&lt;&gt;"Entrée",B592&lt;&gt;"Sortie"),"Type inconnu",IF(ISNA(MATCH(C592,art_ref,0)),"Référence inconnue",IF(OR(NOT(ISNUMBER(E592)),N(E592)&lt;=0),"Quantité invalide",IF(K592&lt;0,"Stock négatif",IF(AND(ISNUMBER(A591),A592&lt;A591),"Date hors ordre","OK"))))))))</f>
        <v/>
      </c>
      <c r="M592" s="39" t="str">
        <f>IF(C592="","",C592&amp;"#"&amp;COUNTIF($C$5:C592,C592))</f>
        <v/>
      </c>
    </row>
    <row r="593">
      <c r="A593" s="41" t="n"/>
      <c r="B593" s="37" t="n"/>
      <c r="C593" s="37" t="n"/>
      <c r="D593" s="39" t="str">
        <f>IF(C593="","",IFERROR(INDEX(art_des,MATCH(C593,art_ref,0))&amp;"","Référence inconnue"))</f>
        <v/>
      </c>
      <c r="E593" s="37" t="n"/>
      <c r="F593" s="39" t="str">
        <f>IF(C593="","",IFERROR(INDEX(art_unit,MATCH(C593,art_ref,0))&amp;"",""))</f>
        <v/>
      </c>
      <c r="G593" s="37" t="n"/>
      <c r="H593" s="37" t="n"/>
      <c r="I593" s="37" t="n"/>
      <c r="J593" s="40" t="str">
        <f>IF(OR(C593="",NOT(ISNUMBER(E593))),"",IFERROR(E593*N(INDEX(art_price,MATCH(C593,art_ref,0))),""))</f>
        <v/>
      </c>
      <c r="K593" s="39" t="str">
        <f>IF(OR(C593="",NOT(ISNUMBER(E593))),"",IFERROR(ROUND(N(INDEX(art_init,MATCH(C593,art_ref,0)))+SUMIFS($E$5:E593,$C$5:C593,C593,$B$5:B593,"Entrée")-SUMIFS($E$5:E593,$C$5:C593,C593,$B$5:B593,"Sortie"),6),""))</f>
        <v/>
      </c>
      <c r="L593" s="39" t="str">
        <f>IF(COUNTA(A593:C593,E593)=0,"",IF(COUNTA(A593:C593,E593)&lt;4,"Ligne incomplète",IF(NOT(ISNUMBER(A593)),"Date invalide",IF(AND(B593&lt;&gt;"Entrée",B593&lt;&gt;"Sortie"),"Type inconnu",IF(ISNA(MATCH(C593,art_ref,0)),"Référence inconnue",IF(OR(NOT(ISNUMBER(E593)),N(E593)&lt;=0),"Quantité invalide",IF(K593&lt;0,"Stock négatif",IF(AND(ISNUMBER(A592),A593&lt;A592),"Date hors ordre","OK"))))))))</f>
        <v/>
      </c>
      <c r="M593" s="39" t="str">
        <f>IF(C593="","",C593&amp;"#"&amp;COUNTIF($C$5:C593,C593))</f>
        <v/>
      </c>
    </row>
    <row r="594">
      <c r="A594" s="41" t="n"/>
      <c r="B594" s="37" t="n"/>
      <c r="C594" s="37" t="n"/>
      <c r="D594" s="39" t="str">
        <f>IF(C594="","",IFERROR(INDEX(art_des,MATCH(C594,art_ref,0))&amp;"","Référence inconnue"))</f>
        <v/>
      </c>
      <c r="E594" s="37" t="n"/>
      <c r="F594" s="39" t="str">
        <f>IF(C594="","",IFERROR(INDEX(art_unit,MATCH(C594,art_ref,0))&amp;"",""))</f>
        <v/>
      </c>
      <c r="G594" s="37" t="n"/>
      <c r="H594" s="37" t="n"/>
      <c r="I594" s="37" t="n"/>
      <c r="J594" s="40" t="str">
        <f>IF(OR(C594="",NOT(ISNUMBER(E594))),"",IFERROR(E594*N(INDEX(art_price,MATCH(C594,art_ref,0))),""))</f>
        <v/>
      </c>
      <c r="K594" s="39" t="str">
        <f>IF(OR(C594="",NOT(ISNUMBER(E594))),"",IFERROR(ROUND(N(INDEX(art_init,MATCH(C594,art_ref,0)))+SUMIFS($E$5:E594,$C$5:C594,C594,$B$5:B594,"Entrée")-SUMIFS($E$5:E594,$C$5:C594,C594,$B$5:B594,"Sortie"),6),""))</f>
        <v/>
      </c>
      <c r="L594" s="39" t="str">
        <f>IF(COUNTA(A594:C594,E594)=0,"",IF(COUNTA(A594:C594,E594)&lt;4,"Ligne incomplète",IF(NOT(ISNUMBER(A594)),"Date invalide",IF(AND(B594&lt;&gt;"Entrée",B594&lt;&gt;"Sortie"),"Type inconnu",IF(ISNA(MATCH(C594,art_ref,0)),"Référence inconnue",IF(OR(NOT(ISNUMBER(E594)),N(E594)&lt;=0),"Quantité invalide",IF(K594&lt;0,"Stock négatif",IF(AND(ISNUMBER(A593),A594&lt;A593),"Date hors ordre","OK"))))))))</f>
        <v/>
      </c>
      <c r="M594" s="39" t="str">
        <f>IF(C594="","",C594&amp;"#"&amp;COUNTIF($C$5:C594,C594))</f>
        <v/>
      </c>
    </row>
    <row r="595">
      <c r="A595" s="41" t="n"/>
      <c r="B595" s="37" t="n"/>
      <c r="C595" s="37" t="n"/>
      <c r="D595" s="39" t="str">
        <f>IF(C595="","",IFERROR(INDEX(art_des,MATCH(C595,art_ref,0))&amp;"","Référence inconnue"))</f>
        <v/>
      </c>
      <c r="E595" s="37" t="n"/>
      <c r="F595" s="39" t="str">
        <f>IF(C595="","",IFERROR(INDEX(art_unit,MATCH(C595,art_ref,0))&amp;"",""))</f>
        <v/>
      </c>
      <c r="G595" s="37" t="n"/>
      <c r="H595" s="37" t="n"/>
      <c r="I595" s="37" t="n"/>
      <c r="J595" s="40" t="str">
        <f>IF(OR(C595="",NOT(ISNUMBER(E595))),"",IFERROR(E595*N(INDEX(art_price,MATCH(C595,art_ref,0))),""))</f>
        <v/>
      </c>
      <c r="K595" s="39" t="str">
        <f>IF(OR(C595="",NOT(ISNUMBER(E595))),"",IFERROR(ROUND(N(INDEX(art_init,MATCH(C595,art_ref,0)))+SUMIFS($E$5:E595,$C$5:C595,C595,$B$5:B595,"Entrée")-SUMIFS($E$5:E595,$C$5:C595,C595,$B$5:B595,"Sortie"),6),""))</f>
        <v/>
      </c>
      <c r="L595" s="39" t="str">
        <f>IF(COUNTA(A595:C595,E595)=0,"",IF(COUNTA(A595:C595,E595)&lt;4,"Ligne incomplète",IF(NOT(ISNUMBER(A595)),"Date invalide",IF(AND(B595&lt;&gt;"Entrée",B595&lt;&gt;"Sortie"),"Type inconnu",IF(ISNA(MATCH(C595,art_ref,0)),"Référence inconnue",IF(OR(NOT(ISNUMBER(E595)),N(E595)&lt;=0),"Quantité invalide",IF(K595&lt;0,"Stock négatif",IF(AND(ISNUMBER(A594),A595&lt;A594),"Date hors ordre","OK"))))))))</f>
        <v/>
      </c>
      <c r="M595" s="39" t="str">
        <f>IF(C595="","",C595&amp;"#"&amp;COUNTIF($C$5:C595,C595))</f>
        <v/>
      </c>
    </row>
    <row r="596">
      <c r="A596" s="41" t="n"/>
      <c r="B596" s="37" t="n"/>
      <c r="C596" s="37" t="n"/>
      <c r="D596" s="39" t="str">
        <f>IF(C596="","",IFERROR(INDEX(art_des,MATCH(C596,art_ref,0))&amp;"","Référence inconnue"))</f>
        <v/>
      </c>
      <c r="E596" s="37" t="n"/>
      <c r="F596" s="39" t="str">
        <f>IF(C596="","",IFERROR(INDEX(art_unit,MATCH(C596,art_ref,0))&amp;"",""))</f>
        <v/>
      </c>
      <c r="G596" s="37" t="n"/>
      <c r="H596" s="37" t="n"/>
      <c r="I596" s="37" t="n"/>
      <c r="J596" s="40" t="str">
        <f>IF(OR(C596="",NOT(ISNUMBER(E596))),"",IFERROR(E596*N(INDEX(art_price,MATCH(C596,art_ref,0))),""))</f>
        <v/>
      </c>
      <c r="K596" s="39" t="str">
        <f>IF(OR(C596="",NOT(ISNUMBER(E596))),"",IFERROR(ROUND(N(INDEX(art_init,MATCH(C596,art_ref,0)))+SUMIFS($E$5:E596,$C$5:C596,C596,$B$5:B596,"Entrée")-SUMIFS($E$5:E596,$C$5:C596,C596,$B$5:B596,"Sortie"),6),""))</f>
        <v/>
      </c>
      <c r="L596" s="39" t="str">
        <f>IF(COUNTA(A596:C596,E596)=0,"",IF(COUNTA(A596:C596,E596)&lt;4,"Ligne incomplète",IF(NOT(ISNUMBER(A596)),"Date invalide",IF(AND(B596&lt;&gt;"Entrée",B596&lt;&gt;"Sortie"),"Type inconnu",IF(ISNA(MATCH(C596,art_ref,0)),"Référence inconnue",IF(OR(NOT(ISNUMBER(E596)),N(E596)&lt;=0),"Quantité invalide",IF(K596&lt;0,"Stock négatif",IF(AND(ISNUMBER(A595),A596&lt;A595),"Date hors ordre","OK"))))))))</f>
        <v/>
      </c>
      <c r="M596" s="39" t="str">
        <f>IF(C596="","",C596&amp;"#"&amp;COUNTIF($C$5:C596,C596))</f>
        <v/>
      </c>
    </row>
    <row r="597">
      <c r="A597" s="41" t="n"/>
      <c r="B597" s="37" t="n"/>
      <c r="C597" s="37" t="n"/>
      <c r="D597" s="39" t="str">
        <f>IF(C597="","",IFERROR(INDEX(art_des,MATCH(C597,art_ref,0))&amp;"","Référence inconnue"))</f>
        <v/>
      </c>
      <c r="E597" s="37" t="n"/>
      <c r="F597" s="39" t="str">
        <f>IF(C597="","",IFERROR(INDEX(art_unit,MATCH(C597,art_ref,0))&amp;"",""))</f>
        <v/>
      </c>
      <c r="G597" s="37" t="n"/>
      <c r="H597" s="37" t="n"/>
      <c r="I597" s="37" t="n"/>
      <c r="J597" s="40" t="str">
        <f>IF(OR(C597="",NOT(ISNUMBER(E597))),"",IFERROR(E597*N(INDEX(art_price,MATCH(C597,art_ref,0))),""))</f>
        <v/>
      </c>
      <c r="K597" s="39" t="str">
        <f>IF(OR(C597="",NOT(ISNUMBER(E597))),"",IFERROR(ROUND(N(INDEX(art_init,MATCH(C597,art_ref,0)))+SUMIFS($E$5:E597,$C$5:C597,C597,$B$5:B597,"Entrée")-SUMIFS($E$5:E597,$C$5:C597,C597,$B$5:B597,"Sortie"),6),""))</f>
        <v/>
      </c>
      <c r="L597" s="39" t="str">
        <f>IF(COUNTA(A597:C597,E597)=0,"",IF(COUNTA(A597:C597,E597)&lt;4,"Ligne incomplète",IF(NOT(ISNUMBER(A597)),"Date invalide",IF(AND(B597&lt;&gt;"Entrée",B597&lt;&gt;"Sortie"),"Type inconnu",IF(ISNA(MATCH(C597,art_ref,0)),"Référence inconnue",IF(OR(NOT(ISNUMBER(E597)),N(E597)&lt;=0),"Quantité invalide",IF(K597&lt;0,"Stock négatif",IF(AND(ISNUMBER(A596),A597&lt;A596),"Date hors ordre","OK"))))))))</f>
        <v/>
      </c>
      <c r="M597" s="39" t="str">
        <f>IF(C597="","",C597&amp;"#"&amp;COUNTIF($C$5:C597,C597))</f>
        <v/>
      </c>
    </row>
    <row r="598">
      <c r="A598" s="41" t="n"/>
      <c r="B598" s="37" t="n"/>
      <c r="C598" s="37" t="n"/>
      <c r="D598" s="39" t="str">
        <f>IF(C598="","",IFERROR(INDEX(art_des,MATCH(C598,art_ref,0))&amp;"","Référence inconnue"))</f>
        <v/>
      </c>
      <c r="E598" s="37" t="n"/>
      <c r="F598" s="39" t="str">
        <f>IF(C598="","",IFERROR(INDEX(art_unit,MATCH(C598,art_ref,0))&amp;"",""))</f>
        <v/>
      </c>
      <c r="G598" s="37" t="n"/>
      <c r="H598" s="37" t="n"/>
      <c r="I598" s="37" t="n"/>
      <c r="J598" s="40" t="str">
        <f>IF(OR(C598="",NOT(ISNUMBER(E598))),"",IFERROR(E598*N(INDEX(art_price,MATCH(C598,art_ref,0))),""))</f>
        <v/>
      </c>
      <c r="K598" s="39" t="str">
        <f>IF(OR(C598="",NOT(ISNUMBER(E598))),"",IFERROR(ROUND(N(INDEX(art_init,MATCH(C598,art_ref,0)))+SUMIFS($E$5:E598,$C$5:C598,C598,$B$5:B598,"Entrée")-SUMIFS($E$5:E598,$C$5:C598,C598,$B$5:B598,"Sortie"),6),""))</f>
        <v/>
      </c>
      <c r="L598" s="39" t="str">
        <f>IF(COUNTA(A598:C598,E598)=0,"",IF(COUNTA(A598:C598,E598)&lt;4,"Ligne incomplète",IF(NOT(ISNUMBER(A598)),"Date invalide",IF(AND(B598&lt;&gt;"Entrée",B598&lt;&gt;"Sortie"),"Type inconnu",IF(ISNA(MATCH(C598,art_ref,0)),"Référence inconnue",IF(OR(NOT(ISNUMBER(E598)),N(E598)&lt;=0),"Quantité invalide",IF(K598&lt;0,"Stock négatif",IF(AND(ISNUMBER(A597),A598&lt;A597),"Date hors ordre","OK"))))))))</f>
        <v/>
      </c>
      <c r="M598" s="39" t="str">
        <f>IF(C598="","",C598&amp;"#"&amp;COUNTIF($C$5:C598,C598))</f>
        <v/>
      </c>
    </row>
    <row r="599">
      <c r="A599" s="41" t="n"/>
      <c r="B599" s="37" t="n"/>
      <c r="C599" s="37" t="n"/>
      <c r="D599" s="39" t="str">
        <f>IF(C599="","",IFERROR(INDEX(art_des,MATCH(C599,art_ref,0))&amp;"","Référence inconnue"))</f>
        <v/>
      </c>
      <c r="E599" s="37" t="n"/>
      <c r="F599" s="39" t="str">
        <f>IF(C599="","",IFERROR(INDEX(art_unit,MATCH(C599,art_ref,0))&amp;"",""))</f>
        <v/>
      </c>
      <c r="G599" s="37" t="n"/>
      <c r="H599" s="37" t="n"/>
      <c r="I599" s="37" t="n"/>
      <c r="J599" s="40" t="str">
        <f>IF(OR(C599="",NOT(ISNUMBER(E599))),"",IFERROR(E599*N(INDEX(art_price,MATCH(C599,art_ref,0))),""))</f>
        <v/>
      </c>
      <c r="K599" s="39" t="str">
        <f>IF(OR(C599="",NOT(ISNUMBER(E599))),"",IFERROR(ROUND(N(INDEX(art_init,MATCH(C599,art_ref,0)))+SUMIFS($E$5:E599,$C$5:C599,C599,$B$5:B599,"Entrée")-SUMIFS($E$5:E599,$C$5:C599,C599,$B$5:B599,"Sortie"),6),""))</f>
        <v/>
      </c>
      <c r="L599" s="39" t="str">
        <f>IF(COUNTA(A599:C599,E599)=0,"",IF(COUNTA(A599:C599,E599)&lt;4,"Ligne incomplète",IF(NOT(ISNUMBER(A599)),"Date invalide",IF(AND(B599&lt;&gt;"Entrée",B599&lt;&gt;"Sortie"),"Type inconnu",IF(ISNA(MATCH(C599,art_ref,0)),"Référence inconnue",IF(OR(NOT(ISNUMBER(E599)),N(E599)&lt;=0),"Quantité invalide",IF(K599&lt;0,"Stock négatif",IF(AND(ISNUMBER(A598),A599&lt;A598),"Date hors ordre","OK"))))))))</f>
        <v/>
      </c>
      <c r="M599" s="39" t="str">
        <f>IF(C599="","",C599&amp;"#"&amp;COUNTIF($C$5:C599,C599))</f>
        <v/>
      </c>
    </row>
    <row r="600">
      <c r="A600" s="41" t="n"/>
      <c r="B600" s="37" t="n"/>
      <c r="C600" s="37" t="n"/>
      <c r="D600" s="39" t="str">
        <f>IF(C600="","",IFERROR(INDEX(art_des,MATCH(C600,art_ref,0))&amp;"","Référence inconnue"))</f>
        <v/>
      </c>
      <c r="E600" s="37" t="n"/>
      <c r="F600" s="39" t="str">
        <f>IF(C600="","",IFERROR(INDEX(art_unit,MATCH(C600,art_ref,0))&amp;"",""))</f>
        <v/>
      </c>
      <c r="G600" s="37" t="n"/>
      <c r="H600" s="37" t="n"/>
      <c r="I600" s="37" t="n"/>
      <c r="J600" s="40" t="str">
        <f>IF(OR(C600="",NOT(ISNUMBER(E600))),"",IFERROR(E600*N(INDEX(art_price,MATCH(C600,art_ref,0))),""))</f>
        <v/>
      </c>
      <c r="K600" s="39" t="str">
        <f>IF(OR(C600="",NOT(ISNUMBER(E600))),"",IFERROR(ROUND(N(INDEX(art_init,MATCH(C600,art_ref,0)))+SUMIFS($E$5:E600,$C$5:C600,C600,$B$5:B600,"Entrée")-SUMIFS($E$5:E600,$C$5:C600,C600,$B$5:B600,"Sortie"),6),""))</f>
        <v/>
      </c>
      <c r="L600" s="39" t="str">
        <f>IF(COUNTA(A600:C600,E600)=0,"",IF(COUNTA(A600:C600,E600)&lt;4,"Ligne incomplète",IF(NOT(ISNUMBER(A600)),"Date invalide",IF(AND(B600&lt;&gt;"Entrée",B600&lt;&gt;"Sortie"),"Type inconnu",IF(ISNA(MATCH(C600,art_ref,0)),"Référence inconnue",IF(OR(NOT(ISNUMBER(E600)),N(E600)&lt;=0),"Quantité invalide",IF(K600&lt;0,"Stock négatif",IF(AND(ISNUMBER(A599),A600&lt;A599),"Date hors ordre","OK"))))))))</f>
        <v/>
      </c>
      <c r="M600" s="39" t="str">
        <f>IF(C600="","",C600&amp;"#"&amp;COUNTIF($C$5:C600,C600))</f>
        <v/>
      </c>
    </row>
    <row r="601">
      <c r="A601" s="41" t="n"/>
      <c r="B601" s="37" t="n"/>
      <c r="C601" s="37" t="n"/>
      <c r="D601" s="39" t="str">
        <f>IF(C601="","",IFERROR(INDEX(art_des,MATCH(C601,art_ref,0))&amp;"","Référence inconnue"))</f>
        <v/>
      </c>
      <c r="E601" s="37" t="n"/>
      <c r="F601" s="39" t="str">
        <f>IF(C601="","",IFERROR(INDEX(art_unit,MATCH(C601,art_ref,0))&amp;"",""))</f>
        <v/>
      </c>
      <c r="G601" s="37" t="n"/>
      <c r="H601" s="37" t="n"/>
      <c r="I601" s="37" t="n"/>
      <c r="J601" s="40" t="str">
        <f>IF(OR(C601="",NOT(ISNUMBER(E601))),"",IFERROR(E601*N(INDEX(art_price,MATCH(C601,art_ref,0))),""))</f>
        <v/>
      </c>
      <c r="K601" s="39" t="str">
        <f>IF(OR(C601="",NOT(ISNUMBER(E601))),"",IFERROR(ROUND(N(INDEX(art_init,MATCH(C601,art_ref,0)))+SUMIFS($E$5:E601,$C$5:C601,C601,$B$5:B601,"Entrée")-SUMIFS($E$5:E601,$C$5:C601,C601,$B$5:B601,"Sortie"),6),""))</f>
        <v/>
      </c>
      <c r="L601" s="39" t="str">
        <f>IF(COUNTA(A601:C601,E601)=0,"",IF(COUNTA(A601:C601,E601)&lt;4,"Ligne incomplète",IF(NOT(ISNUMBER(A601)),"Date invalide",IF(AND(B601&lt;&gt;"Entrée",B601&lt;&gt;"Sortie"),"Type inconnu",IF(ISNA(MATCH(C601,art_ref,0)),"Référence inconnue",IF(OR(NOT(ISNUMBER(E601)),N(E601)&lt;=0),"Quantité invalide",IF(K601&lt;0,"Stock négatif",IF(AND(ISNUMBER(A600),A601&lt;A600),"Date hors ordre","OK"))))))))</f>
        <v/>
      </c>
      <c r="M601" s="39" t="str">
        <f>IF(C601="","",C601&amp;"#"&amp;COUNTIF($C$5:C601,C601))</f>
        <v/>
      </c>
    </row>
    <row r="602">
      <c r="A602" s="41" t="n"/>
      <c r="B602" s="37" t="n"/>
      <c r="C602" s="37" t="n"/>
      <c r="D602" s="39" t="str">
        <f>IF(C602="","",IFERROR(INDEX(art_des,MATCH(C602,art_ref,0))&amp;"","Référence inconnue"))</f>
        <v/>
      </c>
      <c r="E602" s="37" t="n"/>
      <c r="F602" s="39" t="str">
        <f>IF(C602="","",IFERROR(INDEX(art_unit,MATCH(C602,art_ref,0))&amp;"",""))</f>
        <v/>
      </c>
      <c r="G602" s="37" t="n"/>
      <c r="H602" s="37" t="n"/>
      <c r="I602" s="37" t="n"/>
      <c r="J602" s="40" t="str">
        <f>IF(OR(C602="",NOT(ISNUMBER(E602))),"",IFERROR(E602*N(INDEX(art_price,MATCH(C602,art_ref,0))),""))</f>
        <v/>
      </c>
      <c r="K602" s="39" t="str">
        <f>IF(OR(C602="",NOT(ISNUMBER(E602))),"",IFERROR(ROUND(N(INDEX(art_init,MATCH(C602,art_ref,0)))+SUMIFS($E$5:E602,$C$5:C602,C602,$B$5:B602,"Entrée")-SUMIFS($E$5:E602,$C$5:C602,C602,$B$5:B602,"Sortie"),6),""))</f>
        <v/>
      </c>
      <c r="L602" s="39" t="str">
        <f>IF(COUNTA(A602:C602,E602)=0,"",IF(COUNTA(A602:C602,E602)&lt;4,"Ligne incomplète",IF(NOT(ISNUMBER(A602)),"Date invalide",IF(AND(B602&lt;&gt;"Entrée",B602&lt;&gt;"Sortie"),"Type inconnu",IF(ISNA(MATCH(C602,art_ref,0)),"Référence inconnue",IF(OR(NOT(ISNUMBER(E602)),N(E602)&lt;=0),"Quantité invalide",IF(K602&lt;0,"Stock négatif",IF(AND(ISNUMBER(A601),A602&lt;A601),"Date hors ordre","OK"))))))))</f>
        <v/>
      </c>
      <c r="M602" s="39" t="str">
        <f>IF(C602="","",C602&amp;"#"&amp;COUNTIF($C$5:C602,C602))</f>
        <v/>
      </c>
    </row>
    <row r="603">
      <c r="A603" s="41" t="n"/>
      <c r="B603" s="37" t="n"/>
      <c r="C603" s="37" t="n"/>
      <c r="D603" s="39" t="str">
        <f>IF(C603="","",IFERROR(INDEX(art_des,MATCH(C603,art_ref,0))&amp;"","Référence inconnue"))</f>
        <v/>
      </c>
      <c r="E603" s="37" t="n"/>
      <c r="F603" s="39" t="str">
        <f>IF(C603="","",IFERROR(INDEX(art_unit,MATCH(C603,art_ref,0))&amp;"",""))</f>
        <v/>
      </c>
      <c r="G603" s="37" t="n"/>
      <c r="H603" s="37" t="n"/>
      <c r="I603" s="37" t="n"/>
      <c r="J603" s="40" t="str">
        <f>IF(OR(C603="",NOT(ISNUMBER(E603))),"",IFERROR(E603*N(INDEX(art_price,MATCH(C603,art_ref,0))),""))</f>
        <v/>
      </c>
      <c r="K603" s="39" t="str">
        <f>IF(OR(C603="",NOT(ISNUMBER(E603))),"",IFERROR(ROUND(N(INDEX(art_init,MATCH(C603,art_ref,0)))+SUMIFS($E$5:E603,$C$5:C603,C603,$B$5:B603,"Entrée")-SUMIFS($E$5:E603,$C$5:C603,C603,$B$5:B603,"Sortie"),6),""))</f>
        <v/>
      </c>
      <c r="L603" s="39" t="str">
        <f>IF(COUNTA(A603:C603,E603)=0,"",IF(COUNTA(A603:C603,E603)&lt;4,"Ligne incomplète",IF(NOT(ISNUMBER(A603)),"Date invalide",IF(AND(B603&lt;&gt;"Entrée",B603&lt;&gt;"Sortie"),"Type inconnu",IF(ISNA(MATCH(C603,art_ref,0)),"Référence inconnue",IF(OR(NOT(ISNUMBER(E603)),N(E603)&lt;=0),"Quantité invalide",IF(K603&lt;0,"Stock négatif",IF(AND(ISNUMBER(A602),A603&lt;A602),"Date hors ordre","OK"))))))))</f>
        <v/>
      </c>
      <c r="M603" s="39" t="str">
        <f>IF(C603="","",C603&amp;"#"&amp;COUNTIF($C$5:C603,C603))</f>
        <v/>
      </c>
    </row>
    <row r="604">
      <c r="A604" s="41" t="n"/>
      <c r="B604" s="37" t="n"/>
      <c r="C604" s="37" t="n"/>
      <c r="D604" s="39" t="str">
        <f>IF(C604="","",IFERROR(INDEX(art_des,MATCH(C604,art_ref,0))&amp;"","Référence inconnue"))</f>
        <v/>
      </c>
      <c r="E604" s="37" t="n"/>
      <c r="F604" s="39" t="str">
        <f>IF(C604="","",IFERROR(INDEX(art_unit,MATCH(C604,art_ref,0))&amp;"",""))</f>
        <v/>
      </c>
      <c r="G604" s="37" t="n"/>
      <c r="H604" s="37" t="n"/>
      <c r="I604" s="37" t="n"/>
      <c r="J604" s="40" t="str">
        <f>IF(OR(C604="",NOT(ISNUMBER(E604))),"",IFERROR(E604*N(INDEX(art_price,MATCH(C604,art_ref,0))),""))</f>
        <v/>
      </c>
      <c r="K604" s="39" t="str">
        <f>IF(OR(C604="",NOT(ISNUMBER(E604))),"",IFERROR(ROUND(N(INDEX(art_init,MATCH(C604,art_ref,0)))+SUMIFS($E$5:E604,$C$5:C604,C604,$B$5:B604,"Entrée")-SUMIFS($E$5:E604,$C$5:C604,C604,$B$5:B604,"Sortie"),6),""))</f>
        <v/>
      </c>
      <c r="L604" s="39" t="str">
        <f>IF(COUNTA(A604:C604,E604)=0,"",IF(COUNTA(A604:C604,E604)&lt;4,"Ligne incomplète",IF(NOT(ISNUMBER(A604)),"Date invalide",IF(AND(B604&lt;&gt;"Entrée",B604&lt;&gt;"Sortie"),"Type inconnu",IF(ISNA(MATCH(C604,art_ref,0)),"Référence inconnue",IF(OR(NOT(ISNUMBER(E604)),N(E604)&lt;=0),"Quantité invalide",IF(K604&lt;0,"Stock négatif",IF(AND(ISNUMBER(A603),A604&lt;A603),"Date hors ordre","OK"))))))))</f>
        <v/>
      </c>
      <c r="M604" s="39" t="str">
        <f>IF(C604="","",C604&amp;"#"&amp;COUNTIF($C$5:C604,C604))</f>
        <v/>
      </c>
    </row>
    <row r="605">
      <c r="A605" s="41" t="n"/>
      <c r="B605" s="37" t="n"/>
      <c r="C605" s="37" t="n"/>
      <c r="D605" s="39" t="str">
        <f>IF(C605="","",IFERROR(INDEX(art_des,MATCH(C605,art_ref,0))&amp;"","Référence inconnue"))</f>
        <v/>
      </c>
      <c r="E605" s="37" t="n"/>
      <c r="F605" s="39" t="str">
        <f>IF(C605="","",IFERROR(INDEX(art_unit,MATCH(C605,art_ref,0))&amp;"",""))</f>
        <v/>
      </c>
      <c r="G605" s="37" t="n"/>
      <c r="H605" s="37" t="n"/>
      <c r="I605" s="37" t="n"/>
      <c r="J605" s="40" t="str">
        <f>IF(OR(C605="",NOT(ISNUMBER(E605))),"",IFERROR(E605*N(INDEX(art_price,MATCH(C605,art_ref,0))),""))</f>
        <v/>
      </c>
      <c r="K605" s="39" t="str">
        <f>IF(OR(C605="",NOT(ISNUMBER(E605))),"",IFERROR(ROUND(N(INDEX(art_init,MATCH(C605,art_ref,0)))+SUMIFS($E$5:E605,$C$5:C605,C605,$B$5:B605,"Entrée")-SUMIFS($E$5:E605,$C$5:C605,C605,$B$5:B605,"Sortie"),6),""))</f>
        <v/>
      </c>
      <c r="L605" s="39" t="str">
        <f>IF(COUNTA(A605:C605,E605)=0,"",IF(COUNTA(A605:C605,E605)&lt;4,"Ligne incomplète",IF(NOT(ISNUMBER(A605)),"Date invalide",IF(AND(B605&lt;&gt;"Entrée",B605&lt;&gt;"Sortie"),"Type inconnu",IF(ISNA(MATCH(C605,art_ref,0)),"Référence inconnue",IF(OR(NOT(ISNUMBER(E605)),N(E605)&lt;=0),"Quantité invalide",IF(K605&lt;0,"Stock négatif",IF(AND(ISNUMBER(A604),A605&lt;A604),"Date hors ordre","OK"))))))))</f>
        <v/>
      </c>
      <c r="M605" s="39" t="str">
        <f>IF(C605="","",C605&amp;"#"&amp;COUNTIF($C$5:C605,C605))</f>
        <v/>
      </c>
    </row>
    <row r="606">
      <c r="A606" s="41" t="n"/>
      <c r="B606" s="37" t="n"/>
      <c r="C606" s="37" t="n"/>
      <c r="D606" s="39" t="str">
        <f>IF(C606="","",IFERROR(INDEX(art_des,MATCH(C606,art_ref,0))&amp;"","Référence inconnue"))</f>
        <v/>
      </c>
      <c r="E606" s="37" t="n"/>
      <c r="F606" s="39" t="str">
        <f>IF(C606="","",IFERROR(INDEX(art_unit,MATCH(C606,art_ref,0))&amp;"",""))</f>
        <v/>
      </c>
      <c r="G606" s="37" t="n"/>
      <c r="H606" s="37" t="n"/>
      <c r="I606" s="37" t="n"/>
      <c r="J606" s="40" t="str">
        <f>IF(OR(C606="",NOT(ISNUMBER(E606))),"",IFERROR(E606*N(INDEX(art_price,MATCH(C606,art_ref,0))),""))</f>
        <v/>
      </c>
      <c r="K606" s="39" t="str">
        <f>IF(OR(C606="",NOT(ISNUMBER(E606))),"",IFERROR(ROUND(N(INDEX(art_init,MATCH(C606,art_ref,0)))+SUMIFS($E$5:E606,$C$5:C606,C606,$B$5:B606,"Entrée")-SUMIFS($E$5:E606,$C$5:C606,C606,$B$5:B606,"Sortie"),6),""))</f>
        <v/>
      </c>
      <c r="L606" s="39" t="str">
        <f>IF(COUNTA(A606:C606,E606)=0,"",IF(COUNTA(A606:C606,E606)&lt;4,"Ligne incomplète",IF(NOT(ISNUMBER(A606)),"Date invalide",IF(AND(B606&lt;&gt;"Entrée",B606&lt;&gt;"Sortie"),"Type inconnu",IF(ISNA(MATCH(C606,art_ref,0)),"Référence inconnue",IF(OR(NOT(ISNUMBER(E606)),N(E606)&lt;=0),"Quantité invalide",IF(K606&lt;0,"Stock négatif",IF(AND(ISNUMBER(A605),A606&lt;A605),"Date hors ordre","OK"))))))))</f>
        <v/>
      </c>
      <c r="M606" s="39" t="str">
        <f>IF(C606="","",C606&amp;"#"&amp;COUNTIF($C$5:C606,C606))</f>
        <v/>
      </c>
    </row>
    <row r="607">
      <c r="A607" s="41" t="n"/>
      <c r="B607" s="37" t="n"/>
      <c r="C607" s="37" t="n"/>
      <c r="D607" s="39" t="str">
        <f>IF(C607="","",IFERROR(INDEX(art_des,MATCH(C607,art_ref,0))&amp;"","Référence inconnue"))</f>
        <v/>
      </c>
      <c r="E607" s="37" t="n"/>
      <c r="F607" s="39" t="str">
        <f>IF(C607="","",IFERROR(INDEX(art_unit,MATCH(C607,art_ref,0))&amp;"",""))</f>
        <v/>
      </c>
      <c r="G607" s="37" t="n"/>
      <c r="H607" s="37" t="n"/>
      <c r="I607" s="37" t="n"/>
      <c r="J607" s="40" t="str">
        <f>IF(OR(C607="",NOT(ISNUMBER(E607))),"",IFERROR(E607*N(INDEX(art_price,MATCH(C607,art_ref,0))),""))</f>
        <v/>
      </c>
      <c r="K607" s="39" t="str">
        <f>IF(OR(C607="",NOT(ISNUMBER(E607))),"",IFERROR(ROUND(N(INDEX(art_init,MATCH(C607,art_ref,0)))+SUMIFS($E$5:E607,$C$5:C607,C607,$B$5:B607,"Entrée")-SUMIFS($E$5:E607,$C$5:C607,C607,$B$5:B607,"Sortie"),6),""))</f>
        <v/>
      </c>
      <c r="L607" s="39" t="str">
        <f>IF(COUNTA(A607:C607,E607)=0,"",IF(COUNTA(A607:C607,E607)&lt;4,"Ligne incomplète",IF(NOT(ISNUMBER(A607)),"Date invalide",IF(AND(B607&lt;&gt;"Entrée",B607&lt;&gt;"Sortie"),"Type inconnu",IF(ISNA(MATCH(C607,art_ref,0)),"Référence inconnue",IF(OR(NOT(ISNUMBER(E607)),N(E607)&lt;=0),"Quantité invalide",IF(K607&lt;0,"Stock négatif",IF(AND(ISNUMBER(A606),A607&lt;A606),"Date hors ordre","OK"))))))))</f>
        <v/>
      </c>
      <c r="M607" s="39" t="str">
        <f>IF(C607="","",C607&amp;"#"&amp;COUNTIF($C$5:C607,C607))</f>
        <v/>
      </c>
    </row>
    <row r="608">
      <c r="A608" s="41" t="n"/>
      <c r="B608" s="37" t="n"/>
      <c r="C608" s="37" t="n"/>
      <c r="D608" s="39" t="str">
        <f>IF(C608="","",IFERROR(INDEX(art_des,MATCH(C608,art_ref,0))&amp;"","Référence inconnue"))</f>
        <v/>
      </c>
      <c r="E608" s="37" t="n"/>
      <c r="F608" s="39" t="str">
        <f>IF(C608="","",IFERROR(INDEX(art_unit,MATCH(C608,art_ref,0))&amp;"",""))</f>
        <v/>
      </c>
      <c r="G608" s="37" t="n"/>
      <c r="H608" s="37" t="n"/>
      <c r="I608" s="37" t="n"/>
      <c r="J608" s="40" t="str">
        <f>IF(OR(C608="",NOT(ISNUMBER(E608))),"",IFERROR(E608*N(INDEX(art_price,MATCH(C608,art_ref,0))),""))</f>
        <v/>
      </c>
      <c r="K608" s="39" t="str">
        <f>IF(OR(C608="",NOT(ISNUMBER(E608))),"",IFERROR(ROUND(N(INDEX(art_init,MATCH(C608,art_ref,0)))+SUMIFS($E$5:E608,$C$5:C608,C608,$B$5:B608,"Entrée")-SUMIFS($E$5:E608,$C$5:C608,C608,$B$5:B608,"Sortie"),6),""))</f>
        <v/>
      </c>
      <c r="L608" s="39" t="str">
        <f>IF(COUNTA(A608:C608,E608)=0,"",IF(COUNTA(A608:C608,E608)&lt;4,"Ligne incomplète",IF(NOT(ISNUMBER(A608)),"Date invalide",IF(AND(B608&lt;&gt;"Entrée",B608&lt;&gt;"Sortie"),"Type inconnu",IF(ISNA(MATCH(C608,art_ref,0)),"Référence inconnue",IF(OR(NOT(ISNUMBER(E608)),N(E608)&lt;=0),"Quantité invalide",IF(K608&lt;0,"Stock négatif",IF(AND(ISNUMBER(A607),A608&lt;A607),"Date hors ordre","OK"))))))))</f>
        <v/>
      </c>
      <c r="M608" s="39" t="str">
        <f>IF(C608="","",C608&amp;"#"&amp;COUNTIF($C$5:C608,C608))</f>
        <v/>
      </c>
    </row>
    <row r="609">
      <c r="A609" s="41" t="n"/>
      <c r="B609" s="37" t="n"/>
      <c r="C609" s="37" t="n"/>
      <c r="D609" s="39" t="str">
        <f>IF(C609="","",IFERROR(INDEX(art_des,MATCH(C609,art_ref,0))&amp;"","Référence inconnue"))</f>
        <v/>
      </c>
      <c r="E609" s="37" t="n"/>
      <c r="F609" s="39" t="str">
        <f>IF(C609="","",IFERROR(INDEX(art_unit,MATCH(C609,art_ref,0))&amp;"",""))</f>
        <v/>
      </c>
      <c r="G609" s="37" t="n"/>
      <c r="H609" s="37" t="n"/>
      <c r="I609" s="37" t="n"/>
      <c r="J609" s="40" t="str">
        <f>IF(OR(C609="",NOT(ISNUMBER(E609))),"",IFERROR(E609*N(INDEX(art_price,MATCH(C609,art_ref,0))),""))</f>
        <v/>
      </c>
      <c r="K609" s="39" t="str">
        <f>IF(OR(C609="",NOT(ISNUMBER(E609))),"",IFERROR(ROUND(N(INDEX(art_init,MATCH(C609,art_ref,0)))+SUMIFS($E$5:E609,$C$5:C609,C609,$B$5:B609,"Entrée")-SUMIFS($E$5:E609,$C$5:C609,C609,$B$5:B609,"Sortie"),6),""))</f>
        <v/>
      </c>
      <c r="L609" s="39" t="str">
        <f>IF(COUNTA(A609:C609,E609)=0,"",IF(COUNTA(A609:C609,E609)&lt;4,"Ligne incomplète",IF(NOT(ISNUMBER(A609)),"Date invalide",IF(AND(B609&lt;&gt;"Entrée",B609&lt;&gt;"Sortie"),"Type inconnu",IF(ISNA(MATCH(C609,art_ref,0)),"Référence inconnue",IF(OR(NOT(ISNUMBER(E609)),N(E609)&lt;=0),"Quantité invalide",IF(K609&lt;0,"Stock négatif",IF(AND(ISNUMBER(A608),A609&lt;A608),"Date hors ordre","OK"))))))))</f>
        <v/>
      </c>
      <c r="M609" s="39" t="str">
        <f>IF(C609="","",C609&amp;"#"&amp;COUNTIF($C$5:C609,C609))</f>
        <v/>
      </c>
    </row>
    <row r="610">
      <c r="A610" s="41" t="n"/>
      <c r="B610" s="37" t="n"/>
      <c r="C610" s="37" t="n"/>
      <c r="D610" s="39" t="str">
        <f>IF(C610="","",IFERROR(INDEX(art_des,MATCH(C610,art_ref,0))&amp;"","Référence inconnue"))</f>
        <v/>
      </c>
      <c r="E610" s="37" t="n"/>
      <c r="F610" s="39" t="str">
        <f>IF(C610="","",IFERROR(INDEX(art_unit,MATCH(C610,art_ref,0))&amp;"",""))</f>
        <v/>
      </c>
      <c r="G610" s="37" t="n"/>
      <c r="H610" s="37" t="n"/>
      <c r="I610" s="37" t="n"/>
      <c r="J610" s="40" t="str">
        <f>IF(OR(C610="",NOT(ISNUMBER(E610))),"",IFERROR(E610*N(INDEX(art_price,MATCH(C610,art_ref,0))),""))</f>
        <v/>
      </c>
      <c r="K610" s="39" t="str">
        <f>IF(OR(C610="",NOT(ISNUMBER(E610))),"",IFERROR(ROUND(N(INDEX(art_init,MATCH(C610,art_ref,0)))+SUMIFS($E$5:E610,$C$5:C610,C610,$B$5:B610,"Entrée")-SUMIFS($E$5:E610,$C$5:C610,C610,$B$5:B610,"Sortie"),6),""))</f>
        <v/>
      </c>
      <c r="L610" s="39" t="str">
        <f>IF(COUNTA(A610:C610,E610)=0,"",IF(COUNTA(A610:C610,E610)&lt;4,"Ligne incomplète",IF(NOT(ISNUMBER(A610)),"Date invalide",IF(AND(B610&lt;&gt;"Entrée",B610&lt;&gt;"Sortie"),"Type inconnu",IF(ISNA(MATCH(C610,art_ref,0)),"Référence inconnue",IF(OR(NOT(ISNUMBER(E610)),N(E610)&lt;=0),"Quantité invalide",IF(K610&lt;0,"Stock négatif",IF(AND(ISNUMBER(A609),A610&lt;A609),"Date hors ordre","OK"))))))))</f>
        <v/>
      </c>
      <c r="M610" s="39" t="str">
        <f>IF(C610="","",C610&amp;"#"&amp;COUNTIF($C$5:C610,C610))</f>
        <v/>
      </c>
    </row>
    <row r="611">
      <c r="A611" s="41" t="n"/>
      <c r="B611" s="37" t="n"/>
      <c r="C611" s="37" t="n"/>
      <c r="D611" s="39" t="str">
        <f>IF(C611="","",IFERROR(INDEX(art_des,MATCH(C611,art_ref,0))&amp;"","Référence inconnue"))</f>
        <v/>
      </c>
      <c r="E611" s="37" t="n"/>
      <c r="F611" s="39" t="str">
        <f>IF(C611="","",IFERROR(INDEX(art_unit,MATCH(C611,art_ref,0))&amp;"",""))</f>
        <v/>
      </c>
      <c r="G611" s="37" t="n"/>
      <c r="H611" s="37" t="n"/>
      <c r="I611" s="37" t="n"/>
      <c r="J611" s="40" t="str">
        <f>IF(OR(C611="",NOT(ISNUMBER(E611))),"",IFERROR(E611*N(INDEX(art_price,MATCH(C611,art_ref,0))),""))</f>
        <v/>
      </c>
      <c r="K611" s="39" t="str">
        <f>IF(OR(C611="",NOT(ISNUMBER(E611))),"",IFERROR(ROUND(N(INDEX(art_init,MATCH(C611,art_ref,0)))+SUMIFS($E$5:E611,$C$5:C611,C611,$B$5:B611,"Entrée")-SUMIFS($E$5:E611,$C$5:C611,C611,$B$5:B611,"Sortie"),6),""))</f>
        <v/>
      </c>
      <c r="L611" s="39" t="str">
        <f>IF(COUNTA(A611:C611,E611)=0,"",IF(COUNTA(A611:C611,E611)&lt;4,"Ligne incomplète",IF(NOT(ISNUMBER(A611)),"Date invalide",IF(AND(B611&lt;&gt;"Entrée",B611&lt;&gt;"Sortie"),"Type inconnu",IF(ISNA(MATCH(C611,art_ref,0)),"Référence inconnue",IF(OR(NOT(ISNUMBER(E611)),N(E611)&lt;=0),"Quantité invalide",IF(K611&lt;0,"Stock négatif",IF(AND(ISNUMBER(A610),A611&lt;A610),"Date hors ordre","OK"))))))))</f>
        <v/>
      </c>
      <c r="M611" s="39" t="str">
        <f>IF(C611="","",C611&amp;"#"&amp;COUNTIF($C$5:C611,C611))</f>
        <v/>
      </c>
    </row>
    <row r="612">
      <c r="A612" s="41" t="n"/>
      <c r="B612" s="37" t="n"/>
      <c r="C612" s="37" t="n"/>
      <c r="D612" s="39" t="str">
        <f>IF(C612="","",IFERROR(INDEX(art_des,MATCH(C612,art_ref,0))&amp;"","Référence inconnue"))</f>
        <v/>
      </c>
      <c r="E612" s="37" t="n"/>
      <c r="F612" s="39" t="str">
        <f>IF(C612="","",IFERROR(INDEX(art_unit,MATCH(C612,art_ref,0))&amp;"",""))</f>
        <v/>
      </c>
      <c r="G612" s="37" t="n"/>
      <c r="H612" s="37" t="n"/>
      <c r="I612" s="37" t="n"/>
      <c r="J612" s="40" t="str">
        <f>IF(OR(C612="",NOT(ISNUMBER(E612))),"",IFERROR(E612*N(INDEX(art_price,MATCH(C612,art_ref,0))),""))</f>
        <v/>
      </c>
      <c r="K612" s="39" t="str">
        <f>IF(OR(C612="",NOT(ISNUMBER(E612))),"",IFERROR(ROUND(N(INDEX(art_init,MATCH(C612,art_ref,0)))+SUMIFS($E$5:E612,$C$5:C612,C612,$B$5:B612,"Entrée")-SUMIFS($E$5:E612,$C$5:C612,C612,$B$5:B612,"Sortie"),6),""))</f>
        <v/>
      </c>
      <c r="L612" s="39" t="str">
        <f>IF(COUNTA(A612:C612,E612)=0,"",IF(COUNTA(A612:C612,E612)&lt;4,"Ligne incomplète",IF(NOT(ISNUMBER(A612)),"Date invalide",IF(AND(B612&lt;&gt;"Entrée",B612&lt;&gt;"Sortie"),"Type inconnu",IF(ISNA(MATCH(C612,art_ref,0)),"Référence inconnue",IF(OR(NOT(ISNUMBER(E612)),N(E612)&lt;=0),"Quantité invalide",IF(K612&lt;0,"Stock négatif",IF(AND(ISNUMBER(A611),A612&lt;A611),"Date hors ordre","OK"))))))))</f>
        <v/>
      </c>
      <c r="M612" s="39" t="str">
        <f>IF(C612="","",C612&amp;"#"&amp;COUNTIF($C$5:C612,C612))</f>
        <v/>
      </c>
    </row>
    <row r="613">
      <c r="A613" s="41" t="n"/>
      <c r="B613" s="37" t="n"/>
      <c r="C613" s="37" t="n"/>
      <c r="D613" s="39" t="str">
        <f>IF(C613="","",IFERROR(INDEX(art_des,MATCH(C613,art_ref,0))&amp;"","Référence inconnue"))</f>
        <v/>
      </c>
      <c r="E613" s="37" t="n"/>
      <c r="F613" s="39" t="str">
        <f>IF(C613="","",IFERROR(INDEX(art_unit,MATCH(C613,art_ref,0))&amp;"",""))</f>
        <v/>
      </c>
      <c r="G613" s="37" t="n"/>
      <c r="H613" s="37" t="n"/>
      <c r="I613" s="37" t="n"/>
      <c r="J613" s="40" t="str">
        <f>IF(OR(C613="",NOT(ISNUMBER(E613))),"",IFERROR(E613*N(INDEX(art_price,MATCH(C613,art_ref,0))),""))</f>
        <v/>
      </c>
      <c r="K613" s="39" t="str">
        <f>IF(OR(C613="",NOT(ISNUMBER(E613))),"",IFERROR(ROUND(N(INDEX(art_init,MATCH(C613,art_ref,0)))+SUMIFS($E$5:E613,$C$5:C613,C613,$B$5:B613,"Entrée")-SUMIFS($E$5:E613,$C$5:C613,C613,$B$5:B613,"Sortie"),6),""))</f>
        <v/>
      </c>
      <c r="L613" s="39" t="str">
        <f>IF(COUNTA(A613:C613,E613)=0,"",IF(COUNTA(A613:C613,E613)&lt;4,"Ligne incomplète",IF(NOT(ISNUMBER(A613)),"Date invalide",IF(AND(B613&lt;&gt;"Entrée",B613&lt;&gt;"Sortie"),"Type inconnu",IF(ISNA(MATCH(C613,art_ref,0)),"Référence inconnue",IF(OR(NOT(ISNUMBER(E613)),N(E613)&lt;=0),"Quantité invalide",IF(K613&lt;0,"Stock négatif",IF(AND(ISNUMBER(A612),A613&lt;A612),"Date hors ordre","OK"))))))))</f>
        <v/>
      </c>
      <c r="M613" s="39" t="str">
        <f>IF(C613="","",C613&amp;"#"&amp;COUNTIF($C$5:C613,C613))</f>
        <v/>
      </c>
    </row>
    <row r="614">
      <c r="A614" s="41" t="n"/>
      <c r="B614" s="37" t="n"/>
      <c r="C614" s="37" t="n"/>
      <c r="D614" s="39" t="str">
        <f>IF(C614="","",IFERROR(INDEX(art_des,MATCH(C614,art_ref,0))&amp;"","Référence inconnue"))</f>
        <v/>
      </c>
      <c r="E614" s="37" t="n"/>
      <c r="F614" s="39" t="str">
        <f>IF(C614="","",IFERROR(INDEX(art_unit,MATCH(C614,art_ref,0))&amp;"",""))</f>
        <v/>
      </c>
      <c r="G614" s="37" t="n"/>
      <c r="H614" s="37" t="n"/>
      <c r="I614" s="37" t="n"/>
      <c r="J614" s="40" t="str">
        <f>IF(OR(C614="",NOT(ISNUMBER(E614))),"",IFERROR(E614*N(INDEX(art_price,MATCH(C614,art_ref,0))),""))</f>
        <v/>
      </c>
      <c r="K614" s="39" t="str">
        <f>IF(OR(C614="",NOT(ISNUMBER(E614))),"",IFERROR(ROUND(N(INDEX(art_init,MATCH(C614,art_ref,0)))+SUMIFS($E$5:E614,$C$5:C614,C614,$B$5:B614,"Entrée")-SUMIFS($E$5:E614,$C$5:C614,C614,$B$5:B614,"Sortie"),6),""))</f>
        <v/>
      </c>
      <c r="L614" s="39" t="str">
        <f>IF(COUNTA(A614:C614,E614)=0,"",IF(COUNTA(A614:C614,E614)&lt;4,"Ligne incomplète",IF(NOT(ISNUMBER(A614)),"Date invalide",IF(AND(B614&lt;&gt;"Entrée",B614&lt;&gt;"Sortie"),"Type inconnu",IF(ISNA(MATCH(C614,art_ref,0)),"Référence inconnue",IF(OR(NOT(ISNUMBER(E614)),N(E614)&lt;=0),"Quantité invalide",IF(K614&lt;0,"Stock négatif",IF(AND(ISNUMBER(A613),A614&lt;A613),"Date hors ordre","OK"))))))))</f>
        <v/>
      </c>
      <c r="M614" s="39" t="str">
        <f>IF(C614="","",C614&amp;"#"&amp;COUNTIF($C$5:C614,C614))</f>
        <v/>
      </c>
    </row>
    <row r="615">
      <c r="A615" s="41" t="n"/>
      <c r="B615" s="37" t="n"/>
      <c r="C615" s="37" t="n"/>
      <c r="D615" s="39" t="str">
        <f>IF(C615="","",IFERROR(INDEX(art_des,MATCH(C615,art_ref,0))&amp;"","Référence inconnue"))</f>
        <v/>
      </c>
      <c r="E615" s="37" t="n"/>
      <c r="F615" s="39" t="str">
        <f>IF(C615="","",IFERROR(INDEX(art_unit,MATCH(C615,art_ref,0))&amp;"",""))</f>
        <v/>
      </c>
      <c r="G615" s="37" t="n"/>
      <c r="H615" s="37" t="n"/>
      <c r="I615" s="37" t="n"/>
      <c r="J615" s="40" t="str">
        <f>IF(OR(C615="",NOT(ISNUMBER(E615))),"",IFERROR(E615*N(INDEX(art_price,MATCH(C615,art_ref,0))),""))</f>
        <v/>
      </c>
      <c r="K615" s="39" t="str">
        <f>IF(OR(C615="",NOT(ISNUMBER(E615))),"",IFERROR(ROUND(N(INDEX(art_init,MATCH(C615,art_ref,0)))+SUMIFS($E$5:E615,$C$5:C615,C615,$B$5:B615,"Entrée")-SUMIFS($E$5:E615,$C$5:C615,C615,$B$5:B615,"Sortie"),6),""))</f>
        <v/>
      </c>
      <c r="L615" s="39" t="str">
        <f>IF(COUNTA(A615:C615,E615)=0,"",IF(COUNTA(A615:C615,E615)&lt;4,"Ligne incomplète",IF(NOT(ISNUMBER(A615)),"Date invalide",IF(AND(B615&lt;&gt;"Entrée",B615&lt;&gt;"Sortie"),"Type inconnu",IF(ISNA(MATCH(C615,art_ref,0)),"Référence inconnue",IF(OR(NOT(ISNUMBER(E615)),N(E615)&lt;=0),"Quantité invalide",IF(K615&lt;0,"Stock négatif",IF(AND(ISNUMBER(A614),A615&lt;A614),"Date hors ordre","OK"))))))))</f>
        <v/>
      </c>
      <c r="M615" s="39" t="str">
        <f>IF(C615="","",C615&amp;"#"&amp;COUNTIF($C$5:C615,C615))</f>
        <v/>
      </c>
    </row>
    <row r="616">
      <c r="A616" s="41" t="n"/>
      <c r="B616" s="37" t="n"/>
      <c r="C616" s="37" t="n"/>
      <c r="D616" s="39" t="str">
        <f>IF(C616="","",IFERROR(INDEX(art_des,MATCH(C616,art_ref,0))&amp;"","Référence inconnue"))</f>
        <v/>
      </c>
      <c r="E616" s="37" t="n"/>
      <c r="F616" s="39" t="str">
        <f>IF(C616="","",IFERROR(INDEX(art_unit,MATCH(C616,art_ref,0))&amp;"",""))</f>
        <v/>
      </c>
      <c r="G616" s="37" t="n"/>
      <c r="H616" s="37" t="n"/>
      <c r="I616" s="37" t="n"/>
      <c r="J616" s="40" t="str">
        <f>IF(OR(C616="",NOT(ISNUMBER(E616))),"",IFERROR(E616*N(INDEX(art_price,MATCH(C616,art_ref,0))),""))</f>
        <v/>
      </c>
      <c r="K616" s="39" t="str">
        <f>IF(OR(C616="",NOT(ISNUMBER(E616))),"",IFERROR(ROUND(N(INDEX(art_init,MATCH(C616,art_ref,0)))+SUMIFS($E$5:E616,$C$5:C616,C616,$B$5:B616,"Entrée")-SUMIFS($E$5:E616,$C$5:C616,C616,$B$5:B616,"Sortie"),6),""))</f>
        <v/>
      </c>
      <c r="L616" s="39" t="str">
        <f>IF(COUNTA(A616:C616,E616)=0,"",IF(COUNTA(A616:C616,E616)&lt;4,"Ligne incomplète",IF(NOT(ISNUMBER(A616)),"Date invalide",IF(AND(B616&lt;&gt;"Entrée",B616&lt;&gt;"Sortie"),"Type inconnu",IF(ISNA(MATCH(C616,art_ref,0)),"Référence inconnue",IF(OR(NOT(ISNUMBER(E616)),N(E616)&lt;=0),"Quantité invalide",IF(K616&lt;0,"Stock négatif",IF(AND(ISNUMBER(A615),A616&lt;A615),"Date hors ordre","OK"))))))))</f>
        <v/>
      </c>
      <c r="M616" s="39" t="str">
        <f>IF(C616="","",C616&amp;"#"&amp;COUNTIF($C$5:C616,C616))</f>
        <v/>
      </c>
    </row>
    <row r="617">
      <c r="A617" s="41" t="n"/>
      <c r="B617" s="37" t="n"/>
      <c r="C617" s="37" t="n"/>
      <c r="D617" s="39" t="str">
        <f>IF(C617="","",IFERROR(INDEX(art_des,MATCH(C617,art_ref,0))&amp;"","Référence inconnue"))</f>
        <v/>
      </c>
      <c r="E617" s="37" t="n"/>
      <c r="F617" s="39" t="str">
        <f>IF(C617="","",IFERROR(INDEX(art_unit,MATCH(C617,art_ref,0))&amp;"",""))</f>
        <v/>
      </c>
      <c r="G617" s="37" t="n"/>
      <c r="H617" s="37" t="n"/>
      <c r="I617" s="37" t="n"/>
      <c r="J617" s="40" t="str">
        <f>IF(OR(C617="",NOT(ISNUMBER(E617))),"",IFERROR(E617*N(INDEX(art_price,MATCH(C617,art_ref,0))),""))</f>
        <v/>
      </c>
      <c r="K617" s="39" t="str">
        <f>IF(OR(C617="",NOT(ISNUMBER(E617))),"",IFERROR(ROUND(N(INDEX(art_init,MATCH(C617,art_ref,0)))+SUMIFS($E$5:E617,$C$5:C617,C617,$B$5:B617,"Entrée")-SUMIFS($E$5:E617,$C$5:C617,C617,$B$5:B617,"Sortie"),6),""))</f>
        <v/>
      </c>
      <c r="L617" s="39" t="str">
        <f>IF(COUNTA(A617:C617,E617)=0,"",IF(COUNTA(A617:C617,E617)&lt;4,"Ligne incomplète",IF(NOT(ISNUMBER(A617)),"Date invalide",IF(AND(B617&lt;&gt;"Entrée",B617&lt;&gt;"Sortie"),"Type inconnu",IF(ISNA(MATCH(C617,art_ref,0)),"Référence inconnue",IF(OR(NOT(ISNUMBER(E617)),N(E617)&lt;=0),"Quantité invalide",IF(K617&lt;0,"Stock négatif",IF(AND(ISNUMBER(A616),A617&lt;A616),"Date hors ordre","OK"))))))))</f>
        <v/>
      </c>
      <c r="M617" s="39" t="str">
        <f>IF(C617="","",C617&amp;"#"&amp;COUNTIF($C$5:C617,C617))</f>
        <v/>
      </c>
    </row>
    <row r="618">
      <c r="A618" s="41" t="n"/>
      <c r="B618" s="37" t="n"/>
      <c r="C618" s="37" t="n"/>
      <c r="D618" s="39" t="str">
        <f>IF(C618="","",IFERROR(INDEX(art_des,MATCH(C618,art_ref,0))&amp;"","Référence inconnue"))</f>
        <v/>
      </c>
      <c r="E618" s="37" t="n"/>
      <c r="F618" s="39" t="str">
        <f>IF(C618="","",IFERROR(INDEX(art_unit,MATCH(C618,art_ref,0))&amp;"",""))</f>
        <v/>
      </c>
      <c r="G618" s="37" t="n"/>
      <c r="H618" s="37" t="n"/>
      <c r="I618" s="37" t="n"/>
      <c r="J618" s="40" t="str">
        <f>IF(OR(C618="",NOT(ISNUMBER(E618))),"",IFERROR(E618*N(INDEX(art_price,MATCH(C618,art_ref,0))),""))</f>
        <v/>
      </c>
      <c r="K618" s="39" t="str">
        <f>IF(OR(C618="",NOT(ISNUMBER(E618))),"",IFERROR(ROUND(N(INDEX(art_init,MATCH(C618,art_ref,0)))+SUMIFS($E$5:E618,$C$5:C618,C618,$B$5:B618,"Entrée")-SUMIFS($E$5:E618,$C$5:C618,C618,$B$5:B618,"Sortie"),6),""))</f>
        <v/>
      </c>
      <c r="L618" s="39" t="str">
        <f>IF(COUNTA(A618:C618,E618)=0,"",IF(COUNTA(A618:C618,E618)&lt;4,"Ligne incomplète",IF(NOT(ISNUMBER(A618)),"Date invalide",IF(AND(B618&lt;&gt;"Entrée",B618&lt;&gt;"Sortie"),"Type inconnu",IF(ISNA(MATCH(C618,art_ref,0)),"Référence inconnue",IF(OR(NOT(ISNUMBER(E618)),N(E618)&lt;=0),"Quantité invalide",IF(K618&lt;0,"Stock négatif",IF(AND(ISNUMBER(A617),A618&lt;A617),"Date hors ordre","OK"))))))))</f>
        <v/>
      </c>
      <c r="M618" s="39" t="str">
        <f>IF(C618="","",C618&amp;"#"&amp;COUNTIF($C$5:C618,C618))</f>
        <v/>
      </c>
    </row>
    <row r="619">
      <c r="A619" s="41" t="n"/>
      <c r="B619" s="37" t="n"/>
      <c r="C619" s="37" t="n"/>
      <c r="D619" s="39" t="str">
        <f>IF(C619="","",IFERROR(INDEX(art_des,MATCH(C619,art_ref,0))&amp;"","Référence inconnue"))</f>
        <v/>
      </c>
      <c r="E619" s="37" t="n"/>
      <c r="F619" s="39" t="str">
        <f>IF(C619="","",IFERROR(INDEX(art_unit,MATCH(C619,art_ref,0))&amp;"",""))</f>
        <v/>
      </c>
      <c r="G619" s="37" t="n"/>
      <c r="H619" s="37" t="n"/>
      <c r="I619" s="37" t="n"/>
      <c r="J619" s="40" t="str">
        <f>IF(OR(C619="",NOT(ISNUMBER(E619))),"",IFERROR(E619*N(INDEX(art_price,MATCH(C619,art_ref,0))),""))</f>
        <v/>
      </c>
      <c r="K619" s="39" t="str">
        <f>IF(OR(C619="",NOT(ISNUMBER(E619))),"",IFERROR(ROUND(N(INDEX(art_init,MATCH(C619,art_ref,0)))+SUMIFS($E$5:E619,$C$5:C619,C619,$B$5:B619,"Entrée")-SUMIFS($E$5:E619,$C$5:C619,C619,$B$5:B619,"Sortie"),6),""))</f>
        <v/>
      </c>
      <c r="L619" s="39" t="str">
        <f>IF(COUNTA(A619:C619,E619)=0,"",IF(COUNTA(A619:C619,E619)&lt;4,"Ligne incomplète",IF(NOT(ISNUMBER(A619)),"Date invalide",IF(AND(B619&lt;&gt;"Entrée",B619&lt;&gt;"Sortie"),"Type inconnu",IF(ISNA(MATCH(C619,art_ref,0)),"Référence inconnue",IF(OR(NOT(ISNUMBER(E619)),N(E619)&lt;=0),"Quantité invalide",IF(K619&lt;0,"Stock négatif",IF(AND(ISNUMBER(A618),A619&lt;A618),"Date hors ordre","OK"))))))))</f>
        <v/>
      </c>
      <c r="M619" s="39" t="str">
        <f>IF(C619="","",C619&amp;"#"&amp;COUNTIF($C$5:C619,C619))</f>
        <v/>
      </c>
    </row>
    <row r="620">
      <c r="A620" s="41" t="n"/>
      <c r="B620" s="37" t="n"/>
      <c r="C620" s="37" t="n"/>
      <c r="D620" s="39" t="str">
        <f>IF(C620="","",IFERROR(INDEX(art_des,MATCH(C620,art_ref,0))&amp;"","Référence inconnue"))</f>
        <v/>
      </c>
      <c r="E620" s="37" t="n"/>
      <c r="F620" s="39" t="str">
        <f>IF(C620="","",IFERROR(INDEX(art_unit,MATCH(C620,art_ref,0))&amp;"",""))</f>
        <v/>
      </c>
      <c r="G620" s="37" t="n"/>
      <c r="H620" s="37" t="n"/>
      <c r="I620" s="37" t="n"/>
      <c r="J620" s="40" t="str">
        <f>IF(OR(C620="",NOT(ISNUMBER(E620))),"",IFERROR(E620*N(INDEX(art_price,MATCH(C620,art_ref,0))),""))</f>
        <v/>
      </c>
      <c r="K620" s="39" t="str">
        <f>IF(OR(C620="",NOT(ISNUMBER(E620))),"",IFERROR(ROUND(N(INDEX(art_init,MATCH(C620,art_ref,0)))+SUMIFS($E$5:E620,$C$5:C620,C620,$B$5:B620,"Entrée")-SUMIFS($E$5:E620,$C$5:C620,C620,$B$5:B620,"Sortie"),6),""))</f>
        <v/>
      </c>
      <c r="L620" s="39" t="str">
        <f>IF(COUNTA(A620:C620,E620)=0,"",IF(COUNTA(A620:C620,E620)&lt;4,"Ligne incomplète",IF(NOT(ISNUMBER(A620)),"Date invalide",IF(AND(B620&lt;&gt;"Entrée",B620&lt;&gt;"Sortie"),"Type inconnu",IF(ISNA(MATCH(C620,art_ref,0)),"Référence inconnue",IF(OR(NOT(ISNUMBER(E620)),N(E620)&lt;=0),"Quantité invalide",IF(K620&lt;0,"Stock négatif",IF(AND(ISNUMBER(A619),A620&lt;A619),"Date hors ordre","OK"))))))))</f>
        <v/>
      </c>
      <c r="M620" s="39" t="str">
        <f>IF(C620="","",C620&amp;"#"&amp;COUNTIF($C$5:C620,C620))</f>
        <v/>
      </c>
    </row>
    <row r="621">
      <c r="A621" s="41" t="n"/>
      <c r="B621" s="37" t="n"/>
      <c r="C621" s="37" t="n"/>
      <c r="D621" s="39" t="str">
        <f>IF(C621="","",IFERROR(INDEX(art_des,MATCH(C621,art_ref,0))&amp;"","Référence inconnue"))</f>
        <v/>
      </c>
      <c r="E621" s="37" t="n"/>
      <c r="F621" s="39" t="str">
        <f>IF(C621="","",IFERROR(INDEX(art_unit,MATCH(C621,art_ref,0))&amp;"",""))</f>
        <v/>
      </c>
      <c r="G621" s="37" t="n"/>
      <c r="H621" s="37" t="n"/>
      <c r="I621" s="37" t="n"/>
      <c r="J621" s="40" t="str">
        <f>IF(OR(C621="",NOT(ISNUMBER(E621))),"",IFERROR(E621*N(INDEX(art_price,MATCH(C621,art_ref,0))),""))</f>
        <v/>
      </c>
      <c r="K621" s="39" t="str">
        <f>IF(OR(C621="",NOT(ISNUMBER(E621))),"",IFERROR(ROUND(N(INDEX(art_init,MATCH(C621,art_ref,0)))+SUMIFS($E$5:E621,$C$5:C621,C621,$B$5:B621,"Entrée")-SUMIFS($E$5:E621,$C$5:C621,C621,$B$5:B621,"Sortie"),6),""))</f>
        <v/>
      </c>
      <c r="L621" s="39" t="str">
        <f>IF(COUNTA(A621:C621,E621)=0,"",IF(COUNTA(A621:C621,E621)&lt;4,"Ligne incomplète",IF(NOT(ISNUMBER(A621)),"Date invalide",IF(AND(B621&lt;&gt;"Entrée",B621&lt;&gt;"Sortie"),"Type inconnu",IF(ISNA(MATCH(C621,art_ref,0)),"Référence inconnue",IF(OR(NOT(ISNUMBER(E621)),N(E621)&lt;=0),"Quantité invalide",IF(K621&lt;0,"Stock négatif",IF(AND(ISNUMBER(A620),A621&lt;A620),"Date hors ordre","OK"))))))))</f>
        <v/>
      </c>
      <c r="M621" s="39" t="str">
        <f>IF(C621="","",C621&amp;"#"&amp;COUNTIF($C$5:C621,C621))</f>
        <v/>
      </c>
    </row>
    <row r="622">
      <c r="A622" s="41" t="n"/>
      <c r="B622" s="37" t="n"/>
      <c r="C622" s="37" t="n"/>
      <c r="D622" s="39" t="str">
        <f>IF(C622="","",IFERROR(INDEX(art_des,MATCH(C622,art_ref,0))&amp;"","Référence inconnue"))</f>
        <v/>
      </c>
      <c r="E622" s="37" t="n"/>
      <c r="F622" s="39" t="str">
        <f>IF(C622="","",IFERROR(INDEX(art_unit,MATCH(C622,art_ref,0))&amp;"",""))</f>
        <v/>
      </c>
      <c r="G622" s="37" t="n"/>
      <c r="H622" s="37" t="n"/>
      <c r="I622" s="37" t="n"/>
      <c r="J622" s="40" t="str">
        <f>IF(OR(C622="",NOT(ISNUMBER(E622))),"",IFERROR(E622*N(INDEX(art_price,MATCH(C622,art_ref,0))),""))</f>
        <v/>
      </c>
      <c r="K622" s="39" t="str">
        <f>IF(OR(C622="",NOT(ISNUMBER(E622))),"",IFERROR(ROUND(N(INDEX(art_init,MATCH(C622,art_ref,0)))+SUMIFS($E$5:E622,$C$5:C622,C622,$B$5:B622,"Entrée")-SUMIFS($E$5:E622,$C$5:C622,C622,$B$5:B622,"Sortie"),6),""))</f>
        <v/>
      </c>
      <c r="L622" s="39" t="str">
        <f>IF(COUNTA(A622:C622,E622)=0,"",IF(COUNTA(A622:C622,E622)&lt;4,"Ligne incomplète",IF(NOT(ISNUMBER(A622)),"Date invalide",IF(AND(B622&lt;&gt;"Entrée",B622&lt;&gt;"Sortie"),"Type inconnu",IF(ISNA(MATCH(C622,art_ref,0)),"Référence inconnue",IF(OR(NOT(ISNUMBER(E622)),N(E622)&lt;=0),"Quantité invalide",IF(K622&lt;0,"Stock négatif",IF(AND(ISNUMBER(A621),A622&lt;A621),"Date hors ordre","OK"))))))))</f>
        <v/>
      </c>
      <c r="M622" s="39" t="str">
        <f>IF(C622="","",C622&amp;"#"&amp;COUNTIF($C$5:C622,C622))</f>
        <v/>
      </c>
    </row>
    <row r="623">
      <c r="A623" s="41" t="n"/>
      <c r="B623" s="37" t="n"/>
      <c r="C623" s="37" t="n"/>
      <c r="D623" s="39" t="str">
        <f>IF(C623="","",IFERROR(INDEX(art_des,MATCH(C623,art_ref,0))&amp;"","Référence inconnue"))</f>
        <v/>
      </c>
      <c r="E623" s="37" t="n"/>
      <c r="F623" s="39" t="str">
        <f>IF(C623="","",IFERROR(INDEX(art_unit,MATCH(C623,art_ref,0))&amp;"",""))</f>
        <v/>
      </c>
      <c r="G623" s="37" t="n"/>
      <c r="H623" s="37" t="n"/>
      <c r="I623" s="37" t="n"/>
      <c r="J623" s="40" t="str">
        <f>IF(OR(C623="",NOT(ISNUMBER(E623))),"",IFERROR(E623*N(INDEX(art_price,MATCH(C623,art_ref,0))),""))</f>
        <v/>
      </c>
      <c r="K623" s="39" t="str">
        <f>IF(OR(C623="",NOT(ISNUMBER(E623))),"",IFERROR(ROUND(N(INDEX(art_init,MATCH(C623,art_ref,0)))+SUMIFS($E$5:E623,$C$5:C623,C623,$B$5:B623,"Entrée")-SUMIFS($E$5:E623,$C$5:C623,C623,$B$5:B623,"Sortie"),6),""))</f>
        <v/>
      </c>
      <c r="L623" s="39" t="str">
        <f>IF(COUNTA(A623:C623,E623)=0,"",IF(COUNTA(A623:C623,E623)&lt;4,"Ligne incomplète",IF(NOT(ISNUMBER(A623)),"Date invalide",IF(AND(B623&lt;&gt;"Entrée",B623&lt;&gt;"Sortie"),"Type inconnu",IF(ISNA(MATCH(C623,art_ref,0)),"Référence inconnue",IF(OR(NOT(ISNUMBER(E623)),N(E623)&lt;=0),"Quantité invalide",IF(K623&lt;0,"Stock négatif",IF(AND(ISNUMBER(A622),A623&lt;A622),"Date hors ordre","OK"))))))))</f>
        <v/>
      </c>
      <c r="M623" s="39" t="str">
        <f>IF(C623="","",C623&amp;"#"&amp;COUNTIF($C$5:C623,C623))</f>
        <v/>
      </c>
    </row>
    <row r="624">
      <c r="A624" s="41" t="n"/>
      <c r="B624" s="37" t="n"/>
      <c r="C624" s="37" t="n"/>
      <c r="D624" s="39" t="str">
        <f>IF(C624="","",IFERROR(INDEX(art_des,MATCH(C624,art_ref,0))&amp;"","Référence inconnue"))</f>
        <v/>
      </c>
      <c r="E624" s="37" t="n"/>
      <c r="F624" s="39" t="str">
        <f>IF(C624="","",IFERROR(INDEX(art_unit,MATCH(C624,art_ref,0))&amp;"",""))</f>
        <v/>
      </c>
      <c r="G624" s="37" t="n"/>
      <c r="H624" s="37" t="n"/>
      <c r="I624" s="37" t="n"/>
      <c r="J624" s="40" t="str">
        <f>IF(OR(C624="",NOT(ISNUMBER(E624))),"",IFERROR(E624*N(INDEX(art_price,MATCH(C624,art_ref,0))),""))</f>
        <v/>
      </c>
      <c r="K624" s="39" t="str">
        <f>IF(OR(C624="",NOT(ISNUMBER(E624))),"",IFERROR(ROUND(N(INDEX(art_init,MATCH(C624,art_ref,0)))+SUMIFS($E$5:E624,$C$5:C624,C624,$B$5:B624,"Entrée")-SUMIFS($E$5:E624,$C$5:C624,C624,$B$5:B624,"Sortie"),6),""))</f>
        <v/>
      </c>
      <c r="L624" s="39" t="str">
        <f>IF(COUNTA(A624:C624,E624)=0,"",IF(COUNTA(A624:C624,E624)&lt;4,"Ligne incomplète",IF(NOT(ISNUMBER(A624)),"Date invalide",IF(AND(B624&lt;&gt;"Entrée",B624&lt;&gt;"Sortie"),"Type inconnu",IF(ISNA(MATCH(C624,art_ref,0)),"Référence inconnue",IF(OR(NOT(ISNUMBER(E624)),N(E624)&lt;=0),"Quantité invalide",IF(K624&lt;0,"Stock négatif",IF(AND(ISNUMBER(A623),A624&lt;A623),"Date hors ordre","OK"))))))))</f>
        <v/>
      </c>
      <c r="M624" s="39" t="str">
        <f>IF(C624="","",C624&amp;"#"&amp;COUNTIF($C$5:C624,C624))</f>
        <v/>
      </c>
    </row>
    <row r="625">
      <c r="A625" s="41" t="n"/>
      <c r="B625" s="37" t="n"/>
      <c r="C625" s="37" t="n"/>
      <c r="D625" s="39" t="str">
        <f>IF(C625="","",IFERROR(INDEX(art_des,MATCH(C625,art_ref,0))&amp;"","Référence inconnue"))</f>
        <v/>
      </c>
      <c r="E625" s="37" t="n"/>
      <c r="F625" s="39" t="str">
        <f>IF(C625="","",IFERROR(INDEX(art_unit,MATCH(C625,art_ref,0))&amp;"",""))</f>
        <v/>
      </c>
      <c r="G625" s="37" t="n"/>
      <c r="H625" s="37" t="n"/>
      <c r="I625" s="37" t="n"/>
      <c r="J625" s="40" t="str">
        <f>IF(OR(C625="",NOT(ISNUMBER(E625))),"",IFERROR(E625*N(INDEX(art_price,MATCH(C625,art_ref,0))),""))</f>
        <v/>
      </c>
      <c r="K625" s="39" t="str">
        <f>IF(OR(C625="",NOT(ISNUMBER(E625))),"",IFERROR(ROUND(N(INDEX(art_init,MATCH(C625,art_ref,0)))+SUMIFS($E$5:E625,$C$5:C625,C625,$B$5:B625,"Entrée")-SUMIFS($E$5:E625,$C$5:C625,C625,$B$5:B625,"Sortie"),6),""))</f>
        <v/>
      </c>
      <c r="L625" s="39" t="str">
        <f>IF(COUNTA(A625:C625,E625)=0,"",IF(COUNTA(A625:C625,E625)&lt;4,"Ligne incomplète",IF(NOT(ISNUMBER(A625)),"Date invalide",IF(AND(B625&lt;&gt;"Entrée",B625&lt;&gt;"Sortie"),"Type inconnu",IF(ISNA(MATCH(C625,art_ref,0)),"Référence inconnue",IF(OR(NOT(ISNUMBER(E625)),N(E625)&lt;=0),"Quantité invalide",IF(K625&lt;0,"Stock négatif",IF(AND(ISNUMBER(A624),A625&lt;A624),"Date hors ordre","OK"))))))))</f>
        <v/>
      </c>
      <c r="M625" s="39" t="str">
        <f>IF(C625="","",C625&amp;"#"&amp;COUNTIF($C$5:C625,C625))</f>
        <v/>
      </c>
    </row>
    <row r="626">
      <c r="A626" s="41" t="n"/>
      <c r="B626" s="37" t="n"/>
      <c r="C626" s="37" t="n"/>
      <c r="D626" s="39" t="str">
        <f>IF(C626="","",IFERROR(INDEX(art_des,MATCH(C626,art_ref,0))&amp;"","Référence inconnue"))</f>
        <v/>
      </c>
      <c r="E626" s="37" t="n"/>
      <c r="F626" s="39" t="str">
        <f>IF(C626="","",IFERROR(INDEX(art_unit,MATCH(C626,art_ref,0))&amp;"",""))</f>
        <v/>
      </c>
      <c r="G626" s="37" t="n"/>
      <c r="H626" s="37" t="n"/>
      <c r="I626" s="37" t="n"/>
      <c r="J626" s="40" t="str">
        <f>IF(OR(C626="",NOT(ISNUMBER(E626))),"",IFERROR(E626*N(INDEX(art_price,MATCH(C626,art_ref,0))),""))</f>
        <v/>
      </c>
      <c r="K626" s="39" t="str">
        <f>IF(OR(C626="",NOT(ISNUMBER(E626))),"",IFERROR(ROUND(N(INDEX(art_init,MATCH(C626,art_ref,0)))+SUMIFS($E$5:E626,$C$5:C626,C626,$B$5:B626,"Entrée")-SUMIFS($E$5:E626,$C$5:C626,C626,$B$5:B626,"Sortie"),6),""))</f>
        <v/>
      </c>
      <c r="L626" s="39" t="str">
        <f>IF(COUNTA(A626:C626,E626)=0,"",IF(COUNTA(A626:C626,E626)&lt;4,"Ligne incomplète",IF(NOT(ISNUMBER(A626)),"Date invalide",IF(AND(B626&lt;&gt;"Entrée",B626&lt;&gt;"Sortie"),"Type inconnu",IF(ISNA(MATCH(C626,art_ref,0)),"Référence inconnue",IF(OR(NOT(ISNUMBER(E626)),N(E626)&lt;=0),"Quantité invalide",IF(K626&lt;0,"Stock négatif",IF(AND(ISNUMBER(A625),A626&lt;A625),"Date hors ordre","OK"))))))))</f>
        <v/>
      </c>
      <c r="M626" s="39" t="str">
        <f>IF(C626="","",C626&amp;"#"&amp;COUNTIF($C$5:C626,C626))</f>
        <v/>
      </c>
    </row>
    <row r="627">
      <c r="A627" s="41" t="n"/>
      <c r="B627" s="37" t="n"/>
      <c r="C627" s="37" t="n"/>
      <c r="D627" s="39" t="str">
        <f>IF(C627="","",IFERROR(INDEX(art_des,MATCH(C627,art_ref,0))&amp;"","Référence inconnue"))</f>
        <v/>
      </c>
      <c r="E627" s="37" t="n"/>
      <c r="F627" s="39" t="str">
        <f>IF(C627="","",IFERROR(INDEX(art_unit,MATCH(C627,art_ref,0))&amp;"",""))</f>
        <v/>
      </c>
      <c r="G627" s="37" t="n"/>
      <c r="H627" s="37" t="n"/>
      <c r="I627" s="37" t="n"/>
      <c r="J627" s="40" t="str">
        <f>IF(OR(C627="",NOT(ISNUMBER(E627))),"",IFERROR(E627*N(INDEX(art_price,MATCH(C627,art_ref,0))),""))</f>
        <v/>
      </c>
      <c r="K627" s="39" t="str">
        <f>IF(OR(C627="",NOT(ISNUMBER(E627))),"",IFERROR(ROUND(N(INDEX(art_init,MATCH(C627,art_ref,0)))+SUMIFS($E$5:E627,$C$5:C627,C627,$B$5:B627,"Entrée")-SUMIFS($E$5:E627,$C$5:C627,C627,$B$5:B627,"Sortie"),6),""))</f>
        <v/>
      </c>
      <c r="L627" s="39" t="str">
        <f>IF(COUNTA(A627:C627,E627)=0,"",IF(COUNTA(A627:C627,E627)&lt;4,"Ligne incomplète",IF(NOT(ISNUMBER(A627)),"Date invalide",IF(AND(B627&lt;&gt;"Entrée",B627&lt;&gt;"Sortie"),"Type inconnu",IF(ISNA(MATCH(C627,art_ref,0)),"Référence inconnue",IF(OR(NOT(ISNUMBER(E627)),N(E627)&lt;=0),"Quantité invalide",IF(K627&lt;0,"Stock négatif",IF(AND(ISNUMBER(A626),A627&lt;A626),"Date hors ordre","OK"))))))))</f>
        <v/>
      </c>
      <c r="M627" s="39" t="str">
        <f>IF(C627="","",C627&amp;"#"&amp;COUNTIF($C$5:C627,C627))</f>
        <v/>
      </c>
    </row>
    <row r="628">
      <c r="A628" s="41" t="n"/>
      <c r="B628" s="37" t="n"/>
      <c r="C628" s="37" t="n"/>
      <c r="D628" s="39" t="str">
        <f>IF(C628="","",IFERROR(INDEX(art_des,MATCH(C628,art_ref,0))&amp;"","Référence inconnue"))</f>
        <v/>
      </c>
      <c r="E628" s="37" t="n"/>
      <c r="F628" s="39" t="str">
        <f>IF(C628="","",IFERROR(INDEX(art_unit,MATCH(C628,art_ref,0))&amp;"",""))</f>
        <v/>
      </c>
      <c r="G628" s="37" t="n"/>
      <c r="H628" s="37" t="n"/>
      <c r="I628" s="37" t="n"/>
      <c r="J628" s="40" t="str">
        <f>IF(OR(C628="",NOT(ISNUMBER(E628))),"",IFERROR(E628*N(INDEX(art_price,MATCH(C628,art_ref,0))),""))</f>
        <v/>
      </c>
      <c r="K628" s="39" t="str">
        <f>IF(OR(C628="",NOT(ISNUMBER(E628))),"",IFERROR(ROUND(N(INDEX(art_init,MATCH(C628,art_ref,0)))+SUMIFS($E$5:E628,$C$5:C628,C628,$B$5:B628,"Entrée")-SUMIFS($E$5:E628,$C$5:C628,C628,$B$5:B628,"Sortie"),6),""))</f>
        <v/>
      </c>
      <c r="L628" s="39" t="str">
        <f>IF(COUNTA(A628:C628,E628)=0,"",IF(COUNTA(A628:C628,E628)&lt;4,"Ligne incomplète",IF(NOT(ISNUMBER(A628)),"Date invalide",IF(AND(B628&lt;&gt;"Entrée",B628&lt;&gt;"Sortie"),"Type inconnu",IF(ISNA(MATCH(C628,art_ref,0)),"Référence inconnue",IF(OR(NOT(ISNUMBER(E628)),N(E628)&lt;=0),"Quantité invalide",IF(K628&lt;0,"Stock négatif",IF(AND(ISNUMBER(A627),A628&lt;A627),"Date hors ordre","OK"))))))))</f>
        <v/>
      </c>
      <c r="M628" s="39" t="str">
        <f>IF(C628="","",C628&amp;"#"&amp;COUNTIF($C$5:C628,C628))</f>
        <v/>
      </c>
    </row>
    <row r="629">
      <c r="A629" s="41" t="n"/>
      <c r="B629" s="37" t="n"/>
      <c r="C629" s="37" t="n"/>
      <c r="D629" s="39" t="str">
        <f>IF(C629="","",IFERROR(INDEX(art_des,MATCH(C629,art_ref,0))&amp;"","Référence inconnue"))</f>
        <v/>
      </c>
      <c r="E629" s="37" t="n"/>
      <c r="F629" s="39" t="str">
        <f>IF(C629="","",IFERROR(INDEX(art_unit,MATCH(C629,art_ref,0))&amp;"",""))</f>
        <v/>
      </c>
      <c r="G629" s="37" t="n"/>
      <c r="H629" s="37" t="n"/>
      <c r="I629" s="37" t="n"/>
      <c r="J629" s="40" t="str">
        <f>IF(OR(C629="",NOT(ISNUMBER(E629))),"",IFERROR(E629*N(INDEX(art_price,MATCH(C629,art_ref,0))),""))</f>
        <v/>
      </c>
      <c r="K629" s="39" t="str">
        <f>IF(OR(C629="",NOT(ISNUMBER(E629))),"",IFERROR(ROUND(N(INDEX(art_init,MATCH(C629,art_ref,0)))+SUMIFS($E$5:E629,$C$5:C629,C629,$B$5:B629,"Entrée")-SUMIFS($E$5:E629,$C$5:C629,C629,$B$5:B629,"Sortie"),6),""))</f>
        <v/>
      </c>
      <c r="L629" s="39" t="str">
        <f>IF(COUNTA(A629:C629,E629)=0,"",IF(COUNTA(A629:C629,E629)&lt;4,"Ligne incomplète",IF(NOT(ISNUMBER(A629)),"Date invalide",IF(AND(B629&lt;&gt;"Entrée",B629&lt;&gt;"Sortie"),"Type inconnu",IF(ISNA(MATCH(C629,art_ref,0)),"Référence inconnue",IF(OR(NOT(ISNUMBER(E629)),N(E629)&lt;=0),"Quantité invalide",IF(K629&lt;0,"Stock négatif",IF(AND(ISNUMBER(A628),A629&lt;A628),"Date hors ordre","OK"))))))))</f>
        <v/>
      </c>
      <c r="M629" s="39" t="str">
        <f>IF(C629="","",C629&amp;"#"&amp;COUNTIF($C$5:C629,C629))</f>
        <v/>
      </c>
    </row>
    <row r="630">
      <c r="A630" s="41" t="n"/>
      <c r="B630" s="37" t="n"/>
      <c r="C630" s="37" t="n"/>
      <c r="D630" s="39" t="str">
        <f>IF(C630="","",IFERROR(INDEX(art_des,MATCH(C630,art_ref,0))&amp;"","Référence inconnue"))</f>
        <v/>
      </c>
      <c r="E630" s="37" t="n"/>
      <c r="F630" s="39" t="str">
        <f>IF(C630="","",IFERROR(INDEX(art_unit,MATCH(C630,art_ref,0))&amp;"",""))</f>
        <v/>
      </c>
      <c r="G630" s="37" t="n"/>
      <c r="H630" s="37" t="n"/>
      <c r="I630" s="37" t="n"/>
      <c r="J630" s="40" t="str">
        <f>IF(OR(C630="",NOT(ISNUMBER(E630))),"",IFERROR(E630*N(INDEX(art_price,MATCH(C630,art_ref,0))),""))</f>
        <v/>
      </c>
      <c r="K630" s="39" t="str">
        <f>IF(OR(C630="",NOT(ISNUMBER(E630))),"",IFERROR(ROUND(N(INDEX(art_init,MATCH(C630,art_ref,0)))+SUMIFS($E$5:E630,$C$5:C630,C630,$B$5:B630,"Entrée")-SUMIFS($E$5:E630,$C$5:C630,C630,$B$5:B630,"Sortie"),6),""))</f>
        <v/>
      </c>
      <c r="L630" s="39" t="str">
        <f>IF(COUNTA(A630:C630,E630)=0,"",IF(COUNTA(A630:C630,E630)&lt;4,"Ligne incomplète",IF(NOT(ISNUMBER(A630)),"Date invalide",IF(AND(B630&lt;&gt;"Entrée",B630&lt;&gt;"Sortie"),"Type inconnu",IF(ISNA(MATCH(C630,art_ref,0)),"Référence inconnue",IF(OR(NOT(ISNUMBER(E630)),N(E630)&lt;=0),"Quantité invalide",IF(K630&lt;0,"Stock négatif",IF(AND(ISNUMBER(A629),A630&lt;A629),"Date hors ordre","OK"))))))))</f>
        <v/>
      </c>
      <c r="M630" s="39" t="str">
        <f>IF(C630="","",C630&amp;"#"&amp;COUNTIF($C$5:C630,C630))</f>
        <v/>
      </c>
    </row>
    <row r="631">
      <c r="A631" s="41" t="n"/>
      <c r="B631" s="37" t="n"/>
      <c r="C631" s="37" t="n"/>
      <c r="D631" s="39" t="str">
        <f>IF(C631="","",IFERROR(INDEX(art_des,MATCH(C631,art_ref,0))&amp;"","Référence inconnue"))</f>
        <v/>
      </c>
      <c r="E631" s="37" t="n"/>
      <c r="F631" s="39" t="str">
        <f>IF(C631="","",IFERROR(INDEX(art_unit,MATCH(C631,art_ref,0))&amp;"",""))</f>
        <v/>
      </c>
      <c r="G631" s="37" t="n"/>
      <c r="H631" s="37" t="n"/>
      <c r="I631" s="37" t="n"/>
      <c r="J631" s="40" t="str">
        <f>IF(OR(C631="",NOT(ISNUMBER(E631))),"",IFERROR(E631*N(INDEX(art_price,MATCH(C631,art_ref,0))),""))</f>
        <v/>
      </c>
      <c r="K631" s="39" t="str">
        <f>IF(OR(C631="",NOT(ISNUMBER(E631))),"",IFERROR(ROUND(N(INDEX(art_init,MATCH(C631,art_ref,0)))+SUMIFS($E$5:E631,$C$5:C631,C631,$B$5:B631,"Entrée")-SUMIFS($E$5:E631,$C$5:C631,C631,$B$5:B631,"Sortie"),6),""))</f>
        <v/>
      </c>
      <c r="L631" s="39" t="str">
        <f>IF(COUNTA(A631:C631,E631)=0,"",IF(COUNTA(A631:C631,E631)&lt;4,"Ligne incomplète",IF(NOT(ISNUMBER(A631)),"Date invalide",IF(AND(B631&lt;&gt;"Entrée",B631&lt;&gt;"Sortie"),"Type inconnu",IF(ISNA(MATCH(C631,art_ref,0)),"Référence inconnue",IF(OR(NOT(ISNUMBER(E631)),N(E631)&lt;=0),"Quantité invalide",IF(K631&lt;0,"Stock négatif",IF(AND(ISNUMBER(A630),A631&lt;A630),"Date hors ordre","OK"))))))))</f>
        <v/>
      </c>
      <c r="M631" s="39" t="str">
        <f>IF(C631="","",C631&amp;"#"&amp;COUNTIF($C$5:C631,C631))</f>
        <v/>
      </c>
    </row>
    <row r="632">
      <c r="A632" s="41" t="n"/>
      <c r="B632" s="37" t="n"/>
      <c r="C632" s="37" t="n"/>
      <c r="D632" s="39" t="str">
        <f>IF(C632="","",IFERROR(INDEX(art_des,MATCH(C632,art_ref,0))&amp;"","Référence inconnue"))</f>
        <v/>
      </c>
      <c r="E632" s="37" t="n"/>
      <c r="F632" s="39" t="str">
        <f>IF(C632="","",IFERROR(INDEX(art_unit,MATCH(C632,art_ref,0))&amp;"",""))</f>
        <v/>
      </c>
      <c r="G632" s="37" t="n"/>
      <c r="H632" s="37" t="n"/>
      <c r="I632" s="37" t="n"/>
      <c r="J632" s="40" t="str">
        <f>IF(OR(C632="",NOT(ISNUMBER(E632))),"",IFERROR(E632*N(INDEX(art_price,MATCH(C632,art_ref,0))),""))</f>
        <v/>
      </c>
      <c r="K632" s="39" t="str">
        <f>IF(OR(C632="",NOT(ISNUMBER(E632))),"",IFERROR(ROUND(N(INDEX(art_init,MATCH(C632,art_ref,0)))+SUMIFS($E$5:E632,$C$5:C632,C632,$B$5:B632,"Entrée")-SUMIFS($E$5:E632,$C$5:C632,C632,$B$5:B632,"Sortie"),6),""))</f>
        <v/>
      </c>
      <c r="L632" s="39" t="str">
        <f>IF(COUNTA(A632:C632,E632)=0,"",IF(COUNTA(A632:C632,E632)&lt;4,"Ligne incomplète",IF(NOT(ISNUMBER(A632)),"Date invalide",IF(AND(B632&lt;&gt;"Entrée",B632&lt;&gt;"Sortie"),"Type inconnu",IF(ISNA(MATCH(C632,art_ref,0)),"Référence inconnue",IF(OR(NOT(ISNUMBER(E632)),N(E632)&lt;=0),"Quantité invalide",IF(K632&lt;0,"Stock négatif",IF(AND(ISNUMBER(A631),A632&lt;A631),"Date hors ordre","OK"))))))))</f>
        <v/>
      </c>
      <c r="M632" s="39" t="str">
        <f>IF(C632="","",C632&amp;"#"&amp;COUNTIF($C$5:C632,C632))</f>
        <v/>
      </c>
    </row>
    <row r="633">
      <c r="A633" s="41" t="n"/>
      <c r="B633" s="37" t="n"/>
      <c r="C633" s="37" t="n"/>
      <c r="D633" s="39" t="str">
        <f>IF(C633="","",IFERROR(INDEX(art_des,MATCH(C633,art_ref,0))&amp;"","Référence inconnue"))</f>
        <v/>
      </c>
      <c r="E633" s="37" t="n"/>
      <c r="F633" s="39" t="str">
        <f>IF(C633="","",IFERROR(INDEX(art_unit,MATCH(C633,art_ref,0))&amp;"",""))</f>
        <v/>
      </c>
      <c r="G633" s="37" t="n"/>
      <c r="H633" s="37" t="n"/>
      <c r="I633" s="37" t="n"/>
      <c r="J633" s="40" t="str">
        <f>IF(OR(C633="",NOT(ISNUMBER(E633))),"",IFERROR(E633*N(INDEX(art_price,MATCH(C633,art_ref,0))),""))</f>
        <v/>
      </c>
      <c r="K633" s="39" t="str">
        <f>IF(OR(C633="",NOT(ISNUMBER(E633))),"",IFERROR(ROUND(N(INDEX(art_init,MATCH(C633,art_ref,0)))+SUMIFS($E$5:E633,$C$5:C633,C633,$B$5:B633,"Entrée")-SUMIFS($E$5:E633,$C$5:C633,C633,$B$5:B633,"Sortie"),6),""))</f>
        <v/>
      </c>
      <c r="L633" s="39" t="str">
        <f>IF(COUNTA(A633:C633,E633)=0,"",IF(COUNTA(A633:C633,E633)&lt;4,"Ligne incomplète",IF(NOT(ISNUMBER(A633)),"Date invalide",IF(AND(B633&lt;&gt;"Entrée",B633&lt;&gt;"Sortie"),"Type inconnu",IF(ISNA(MATCH(C633,art_ref,0)),"Référence inconnue",IF(OR(NOT(ISNUMBER(E633)),N(E633)&lt;=0),"Quantité invalide",IF(K633&lt;0,"Stock négatif",IF(AND(ISNUMBER(A632),A633&lt;A632),"Date hors ordre","OK"))))))))</f>
        <v/>
      </c>
      <c r="M633" s="39" t="str">
        <f>IF(C633="","",C633&amp;"#"&amp;COUNTIF($C$5:C633,C633))</f>
        <v/>
      </c>
    </row>
    <row r="634">
      <c r="A634" s="41" t="n"/>
      <c r="B634" s="37" t="n"/>
      <c r="C634" s="37" t="n"/>
      <c r="D634" s="39" t="str">
        <f>IF(C634="","",IFERROR(INDEX(art_des,MATCH(C634,art_ref,0))&amp;"","Référence inconnue"))</f>
        <v/>
      </c>
      <c r="E634" s="37" t="n"/>
      <c r="F634" s="39" t="str">
        <f>IF(C634="","",IFERROR(INDEX(art_unit,MATCH(C634,art_ref,0))&amp;"",""))</f>
        <v/>
      </c>
      <c r="G634" s="37" t="n"/>
      <c r="H634" s="37" t="n"/>
      <c r="I634" s="37" t="n"/>
      <c r="J634" s="40" t="str">
        <f>IF(OR(C634="",NOT(ISNUMBER(E634))),"",IFERROR(E634*N(INDEX(art_price,MATCH(C634,art_ref,0))),""))</f>
        <v/>
      </c>
      <c r="K634" s="39" t="str">
        <f>IF(OR(C634="",NOT(ISNUMBER(E634))),"",IFERROR(ROUND(N(INDEX(art_init,MATCH(C634,art_ref,0)))+SUMIFS($E$5:E634,$C$5:C634,C634,$B$5:B634,"Entrée")-SUMIFS($E$5:E634,$C$5:C634,C634,$B$5:B634,"Sortie"),6),""))</f>
        <v/>
      </c>
      <c r="L634" s="39" t="str">
        <f>IF(COUNTA(A634:C634,E634)=0,"",IF(COUNTA(A634:C634,E634)&lt;4,"Ligne incomplète",IF(NOT(ISNUMBER(A634)),"Date invalide",IF(AND(B634&lt;&gt;"Entrée",B634&lt;&gt;"Sortie"),"Type inconnu",IF(ISNA(MATCH(C634,art_ref,0)),"Référence inconnue",IF(OR(NOT(ISNUMBER(E634)),N(E634)&lt;=0),"Quantité invalide",IF(K634&lt;0,"Stock négatif",IF(AND(ISNUMBER(A633),A634&lt;A633),"Date hors ordre","OK"))))))))</f>
        <v/>
      </c>
      <c r="M634" s="39" t="str">
        <f>IF(C634="","",C634&amp;"#"&amp;COUNTIF($C$5:C634,C634))</f>
        <v/>
      </c>
    </row>
    <row r="635">
      <c r="A635" s="41" t="n"/>
      <c r="B635" s="37" t="n"/>
      <c r="C635" s="37" t="n"/>
      <c r="D635" s="39" t="str">
        <f>IF(C635="","",IFERROR(INDEX(art_des,MATCH(C635,art_ref,0))&amp;"","Référence inconnue"))</f>
        <v/>
      </c>
      <c r="E635" s="37" t="n"/>
      <c r="F635" s="39" t="str">
        <f>IF(C635="","",IFERROR(INDEX(art_unit,MATCH(C635,art_ref,0))&amp;"",""))</f>
        <v/>
      </c>
      <c r="G635" s="37" t="n"/>
      <c r="H635" s="37" t="n"/>
      <c r="I635" s="37" t="n"/>
      <c r="J635" s="40" t="str">
        <f>IF(OR(C635="",NOT(ISNUMBER(E635))),"",IFERROR(E635*N(INDEX(art_price,MATCH(C635,art_ref,0))),""))</f>
        <v/>
      </c>
      <c r="K635" s="39" t="str">
        <f>IF(OR(C635="",NOT(ISNUMBER(E635))),"",IFERROR(ROUND(N(INDEX(art_init,MATCH(C635,art_ref,0)))+SUMIFS($E$5:E635,$C$5:C635,C635,$B$5:B635,"Entrée")-SUMIFS($E$5:E635,$C$5:C635,C635,$B$5:B635,"Sortie"),6),""))</f>
        <v/>
      </c>
      <c r="L635" s="39" t="str">
        <f>IF(COUNTA(A635:C635,E635)=0,"",IF(COUNTA(A635:C635,E635)&lt;4,"Ligne incomplète",IF(NOT(ISNUMBER(A635)),"Date invalide",IF(AND(B635&lt;&gt;"Entrée",B635&lt;&gt;"Sortie"),"Type inconnu",IF(ISNA(MATCH(C635,art_ref,0)),"Référence inconnue",IF(OR(NOT(ISNUMBER(E635)),N(E635)&lt;=0),"Quantité invalide",IF(K635&lt;0,"Stock négatif",IF(AND(ISNUMBER(A634),A635&lt;A634),"Date hors ordre","OK"))))))))</f>
        <v/>
      </c>
      <c r="M635" s="39" t="str">
        <f>IF(C635="","",C635&amp;"#"&amp;COUNTIF($C$5:C635,C635))</f>
        <v/>
      </c>
    </row>
    <row r="636">
      <c r="A636" s="41" t="n"/>
      <c r="B636" s="37" t="n"/>
      <c r="C636" s="37" t="n"/>
      <c r="D636" s="39" t="str">
        <f>IF(C636="","",IFERROR(INDEX(art_des,MATCH(C636,art_ref,0))&amp;"","Référence inconnue"))</f>
        <v/>
      </c>
      <c r="E636" s="37" t="n"/>
      <c r="F636" s="39" t="str">
        <f>IF(C636="","",IFERROR(INDEX(art_unit,MATCH(C636,art_ref,0))&amp;"",""))</f>
        <v/>
      </c>
      <c r="G636" s="37" t="n"/>
      <c r="H636" s="37" t="n"/>
      <c r="I636" s="37" t="n"/>
      <c r="J636" s="40" t="str">
        <f>IF(OR(C636="",NOT(ISNUMBER(E636))),"",IFERROR(E636*N(INDEX(art_price,MATCH(C636,art_ref,0))),""))</f>
        <v/>
      </c>
      <c r="K636" s="39" t="str">
        <f>IF(OR(C636="",NOT(ISNUMBER(E636))),"",IFERROR(ROUND(N(INDEX(art_init,MATCH(C636,art_ref,0)))+SUMIFS($E$5:E636,$C$5:C636,C636,$B$5:B636,"Entrée")-SUMIFS($E$5:E636,$C$5:C636,C636,$B$5:B636,"Sortie"),6),""))</f>
        <v/>
      </c>
      <c r="L636" s="39" t="str">
        <f>IF(COUNTA(A636:C636,E636)=0,"",IF(COUNTA(A636:C636,E636)&lt;4,"Ligne incomplète",IF(NOT(ISNUMBER(A636)),"Date invalide",IF(AND(B636&lt;&gt;"Entrée",B636&lt;&gt;"Sortie"),"Type inconnu",IF(ISNA(MATCH(C636,art_ref,0)),"Référence inconnue",IF(OR(NOT(ISNUMBER(E636)),N(E636)&lt;=0),"Quantité invalide",IF(K636&lt;0,"Stock négatif",IF(AND(ISNUMBER(A635),A636&lt;A635),"Date hors ordre","OK"))))))))</f>
        <v/>
      </c>
      <c r="M636" s="39" t="str">
        <f>IF(C636="","",C636&amp;"#"&amp;COUNTIF($C$5:C636,C636))</f>
        <v/>
      </c>
    </row>
    <row r="637">
      <c r="A637" s="41" t="n"/>
      <c r="B637" s="37" t="n"/>
      <c r="C637" s="37" t="n"/>
      <c r="D637" s="39" t="str">
        <f>IF(C637="","",IFERROR(INDEX(art_des,MATCH(C637,art_ref,0))&amp;"","Référence inconnue"))</f>
        <v/>
      </c>
      <c r="E637" s="37" t="n"/>
      <c r="F637" s="39" t="str">
        <f>IF(C637="","",IFERROR(INDEX(art_unit,MATCH(C637,art_ref,0))&amp;"",""))</f>
        <v/>
      </c>
      <c r="G637" s="37" t="n"/>
      <c r="H637" s="37" t="n"/>
      <c r="I637" s="37" t="n"/>
      <c r="J637" s="40" t="str">
        <f>IF(OR(C637="",NOT(ISNUMBER(E637))),"",IFERROR(E637*N(INDEX(art_price,MATCH(C637,art_ref,0))),""))</f>
        <v/>
      </c>
      <c r="K637" s="39" t="str">
        <f>IF(OR(C637="",NOT(ISNUMBER(E637))),"",IFERROR(ROUND(N(INDEX(art_init,MATCH(C637,art_ref,0)))+SUMIFS($E$5:E637,$C$5:C637,C637,$B$5:B637,"Entrée")-SUMIFS($E$5:E637,$C$5:C637,C637,$B$5:B637,"Sortie"),6),""))</f>
        <v/>
      </c>
      <c r="L637" s="39" t="str">
        <f>IF(COUNTA(A637:C637,E637)=0,"",IF(COUNTA(A637:C637,E637)&lt;4,"Ligne incomplète",IF(NOT(ISNUMBER(A637)),"Date invalide",IF(AND(B637&lt;&gt;"Entrée",B637&lt;&gt;"Sortie"),"Type inconnu",IF(ISNA(MATCH(C637,art_ref,0)),"Référence inconnue",IF(OR(NOT(ISNUMBER(E637)),N(E637)&lt;=0),"Quantité invalide",IF(K637&lt;0,"Stock négatif",IF(AND(ISNUMBER(A636),A637&lt;A636),"Date hors ordre","OK"))))))))</f>
        <v/>
      </c>
      <c r="M637" s="39" t="str">
        <f>IF(C637="","",C637&amp;"#"&amp;COUNTIF($C$5:C637,C637))</f>
        <v/>
      </c>
    </row>
    <row r="638">
      <c r="A638" s="41" t="n"/>
      <c r="B638" s="37" t="n"/>
      <c r="C638" s="37" t="n"/>
      <c r="D638" s="39" t="str">
        <f>IF(C638="","",IFERROR(INDEX(art_des,MATCH(C638,art_ref,0))&amp;"","Référence inconnue"))</f>
        <v/>
      </c>
      <c r="E638" s="37" t="n"/>
      <c r="F638" s="39" t="str">
        <f>IF(C638="","",IFERROR(INDEX(art_unit,MATCH(C638,art_ref,0))&amp;"",""))</f>
        <v/>
      </c>
      <c r="G638" s="37" t="n"/>
      <c r="H638" s="37" t="n"/>
      <c r="I638" s="37" t="n"/>
      <c r="J638" s="40" t="str">
        <f>IF(OR(C638="",NOT(ISNUMBER(E638))),"",IFERROR(E638*N(INDEX(art_price,MATCH(C638,art_ref,0))),""))</f>
        <v/>
      </c>
      <c r="K638" s="39" t="str">
        <f>IF(OR(C638="",NOT(ISNUMBER(E638))),"",IFERROR(ROUND(N(INDEX(art_init,MATCH(C638,art_ref,0)))+SUMIFS($E$5:E638,$C$5:C638,C638,$B$5:B638,"Entrée")-SUMIFS($E$5:E638,$C$5:C638,C638,$B$5:B638,"Sortie"),6),""))</f>
        <v/>
      </c>
      <c r="L638" s="39" t="str">
        <f>IF(COUNTA(A638:C638,E638)=0,"",IF(COUNTA(A638:C638,E638)&lt;4,"Ligne incomplète",IF(NOT(ISNUMBER(A638)),"Date invalide",IF(AND(B638&lt;&gt;"Entrée",B638&lt;&gt;"Sortie"),"Type inconnu",IF(ISNA(MATCH(C638,art_ref,0)),"Référence inconnue",IF(OR(NOT(ISNUMBER(E638)),N(E638)&lt;=0),"Quantité invalide",IF(K638&lt;0,"Stock négatif",IF(AND(ISNUMBER(A637),A638&lt;A637),"Date hors ordre","OK"))))))))</f>
        <v/>
      </c>
      <c r="M638" s="39" t="str">
        <f>IF(C638="","",C638&amp;"#"&amp;COUNTIF($C$5:C638,C638))</f>
        <v/>
      </c>
    </row>
    <row r="639">
      <c r="A639" s="41" t="n"/>
      <c r="B639" s="37" t="n"/>
      <c r="C639" s="37" t="n"/>
      <c r="D639" s="39" t="str">
        <f>IF(C639="","",IFERROR(INDEX(art_des,MATCH(C639,art_ref,0))&amp;"","Référence inconnue"))</f>
        <v/>
      </c>
      <c r="E639" s="37" t="n"/>
      <c r="F639" s="39" t="str">
        <f>IF(C639="","",IFERROR(INDEX(art_unit,MATCH(C639,art_ref,0))&amp;"",""))</f>
        <v/>
      </c>
      <c r="G639" s="37" t="n"/>
      <c r="H639" s="37" t="n"/>
      <c r="I639" s="37" t="n"/>
      <c r="J639" s="40" t="str">
        <f>IF(OR(C639="",NOT(ISNUMBER(E639))),"",IFERROR(E639*N(INDEX(art_price,MATCH(C639,art_ref,0))),""))</f>
        <v/>
      </c>
      <c r="K639" s="39" t="str">
        <f>IF(OR(C639="",NOT(ISNUMBER(E639))),"",IFERROR(ROUND(N(INDEX(art_init,MATCH(C639,art_ref,0)))+SUMIFS($E$5:E639,$C$5:C639,C639,$B$5:B639,"Entrée")-SUMIFS($E$5:E639,$C$5:C639,C639,$B$5:B639,"Sortie"),6),""))</f>
        <v/>
      </c>
      <c r="L639" s="39" t="str">
        <f>IF(COUNTA(A639:C639,E639)=0,"",IF(COUNTA(A639:C639,E639)&lt;4,"Ligne incomplète",IF(NOT(ISNUMBER(A639)),"Date invalide",IF(AND(B639&lt;&gt;"Entrée",B639&lt;&gt;"Sortie"),"Type inconnu",IF(ISNA(MATCH(C639,art_ref,0)),"Référence inconnue",IF(OR(NOT(ISNUMBER(E639)),N(E639)&lt;=0),"Quantité invalide",IF(K639&lt;0,"Stock négatif",IF(AND(ISNUMBER(A638),A639&lt;A638),"Date hors ordre","OK"))))))))</f>
        <v/>
      </c>
      <c r="M639" s="39" t="str">
        <f>IF(C639="","",C639&amp;"#"&amp;COUNTIF($C$5:C639,C639))</f>
        <v/>
      </c>
    </row>
    <row r="640">
      <c r="A640" s="41" t="n"/>
      <c r="B640" s="37" t="n"/>
      <c r="C640" s="37" t="n"/>
      <c r="D640" s="39" t="str">
        <f>IF(C640="","",IFERROR(INDEX(art_des,MATCH(C640,art_ref,0))&amp;"","Référence inconnue"))</f>
        <v/>
      </c>
      <c r="E640" s="37" t="n"/>
      <c r="F640" s="39" t="str">
        <f>IF(C640="","",IFERROR(INDEX(art_unit,MATCH(C640,art_ref,0))&amp;"",""))</f>
        <v/>
      </c>
      <c r="G640" s="37" t="n"/>
      <c r="H640" s="37" t="n"/>
      <c r="I640" s="37" t="n"/>
      <c r="J640" s="40" t="str">
        <f>IF(OR(C640="",NOT(ISNUMBER(E640))),"",IFERROR(E640*N(INDEX(art_price,MATCH(C640,art_ref,0))),""))</f>
        <v/>
      </c>
      <c r="K640" s="39" t="str">
        <f>IF(OR(C640="",NOT(ISNUMBER(E640))),"",IFERROR(ROUND(N(INDEX(art_init,MATCH(C640,art_ref,0)))+SUMIFS($E$5:E640,$C$5:C640,C640,$B$5:B640,"Entrée")-SUMIFS($E$5:E640,$C$5:C640,C640,$B$5:B640,"Sortie"),6),""))</f>
        <v/>
      </c>
      <c r="L640" s="39" t="str">
        <f>IF(COUNTA(A640:C640,E640)=0,"",IF(COUNTA(A640:C640,E640)&lt;4,"Ligne incomplète",IF(NOT(ISNUMBER(A640)),"Date invalide",IF(AND(B640&lt;&gt;"Entrée",B640&lt;&gt;"Sortie"),"Type inconnu",IF(ISNA(MATCH(C640,art_ref,0)),"Référence inconnue",IF(OR(NOT(ISNUMBER(E640)),N(E640)&lt;=0),"Quantité invalide",IF(K640&lt;0,"Stock négatif",IF(AND(ISNUMBER(A639),A640&lt;A639),"Date hors ordre","OK"))))))))</f>
        <v/>
      </c>
      <c r="M640" s="39" t="str">
        <f>IF(C640="","",C640&amp;"#"&amp;COUNTIF($C$5:C640,C640))</f>
        <v/>
      </c>
    </row>
    <row r="641">
      <c r="A641" s="41" t="n"/>
      <c r="B641" s="37" t="n"/>
      <c r="C641" s="37" t="n"/>
      <c r="D641" s="39" t="str">
        <f>IF(C641="","",IFERROR(INDEX(art_des,MATCH(C641,art_ref,0))&amp;"","Référence inconnue"))</f>
        <v/>
      </c>
      <c r="E641" s="37" t="n"/>
      <c r="F641" s="39" t="str">
        <f>IF(C641="","",IFERROR(INDEX(art_unit,MATCH(C641,art_ref,0))&amp;"",""))</f>
        <v/>
      </c>
      <c r="G641" s="37" t="n"/>
      <c r="H641" s="37" t="n"/>
      <c r="I641" s="37" t="n"/>
      <c r="J641" s="40" t="str">
        <f>IF(OR(C641="",NOT(ISNUMBER(E641))),"",IFERROR(E641*N(INDEX(art_price,MATCH(C641,art_ref,0))),""))</f>
        <v/>
      </c>
      <c r="K641" s="39" t="str">
        <f>IF(OR(C641="",NOT(ISNUMBER(E641))),"",IFERROR(ROUND(N(INDEX(art_init,MATCH(C641,art_ref,0)))+SUMIFS($E$5:E641,$C$5:C641,C641,$B$5:B641,"Entrée")-SUMIFS($E$5:E641,$C$5:C641,C641,$B$5:B641,"Sortie"),6),""))</f>
        <v/>
      </c>
      <c r="L641" s="39" t="str">
        <f>IF(COUNTA(A641:C641,E641)=0,"",IF(COUNTA(A641:C641,E641)&lt;4,"Ligne incomplète",IF(NOT(ISNUMBER(A641)),"Date invalide",IF(AND(B641&lt;&gt;"Entrée",B641&lt;&gt;"Sortie"),"Type inconnu",IF(ISNA(MATCH(C641,art_ref,0)),"Référence inconnue",IF(OR(NOT(ISNUMBER(E641)),N(E641)&lt;=0),"Quantité invalide",IF(K641&lt;0,"Stock négatif",IF(AND(ISNUMBER(A640),A641&lt;A640),"Date hors ordre","OK"))))))))</f>
        <v/>
      </c>
      <c r="M641" s="39" t="str">
        <f>IF(C641="","",C641&amp;"#"&amp;COUNTIF($C$5:C641,C641))</f>
        <v/>
      </c>
    </row>
    <row r="642">
      <c r="A642" s="41" t="n"/>
      <c r="B642" s="37" t="n"/>
      <c r="C642" s="37" t="n"/>
      <c r="D642" s="39" t="str">
        <f>IF(C642="","",IFERROR(INDEX(art_des,MATCH(C642,art_ref,0))&amp;"","Référence inconnue"))</f>
        <v/>
      </c>
      <c r="E642" s="37" t="n"/>
      <c r="F642" s="39" t="str">
        <f>IF(C642="","",IFERROR(INDEX(art_unit,MATCH(C642,art_ref,0))&amp;"",""))</f>
        <v/>
      </c>
      <c r="G642" s="37" t="n"/>
      <c r="H642" s="37" t="n"/>
      <c r="I642" s="37" t="n"/>
      <c r="J642" s="40" t="str">
        <f>IF(OR(C642="",NOT(ISNUMBER(E642))),"",IFERROR(E642*N(INDEX(art_price,MATCH(C642,art_ref,0))),""))</f>
        <v/>
      </c>
      <c r="K642" s="39" t="str">
        <f>IF(OR(C642="",NOT(ISNUMBER(E642))),"",IFERROR(ROUND(N(INDEX(art_init,MATCH(C642,art_ref,0)))+SUMIFS($E$5:E642,$C$5:C642,C642,$B$5:B642,"Entrée")-SUMIFS($E$5:E642,$C$5:C642,C642,$B$5:B642,"Sortie"),6),""))</f>
        <v/>
      </c>
      <c r="L642" s="39" t="str">
        <f>IF(COUNTA(A642:C642,E642)=0,"",IF(COUNTA(A642:C642,E642)&lt;4,"Ligne incomplète",IF(NOT(ISNUMBER(A642)),"Date invalide",IF(AND(B642&lt;&gt;"Entrée",B642&lt;&gt;"Sortie"),"Type inconnu",IF(ISNA(MATCH(C642,art_ref,0)),"Référence inconnue",IF(OR(NOT(ISNUMBER(E642)),N(E642)&lt;=0),"Quantité invalide",IF(K642&lt;0,"Stock négatif",IF(AND(ISNUMBER(A641),A642&lt;A641),"Date hors ordre","OK"))))))))</f>
        <v/>
      </c>
      <c r="M642" s="39" t="str">
        <f>IF(C642="","",C642&amp;"#"&amp;COUNTIF($C$5:C642,C642))</f>
        <v/>
      </c>
    </row>
    <row r="643">
      <c r="A643" s="41" t="n"/>
      <c r="B643" s="37" t="n"/>
      <c r="C643" s="37" t="n"/>
      <c r="D643" s="39" t="str">
        <f>IF(C643="","",IFERROR(INDEX(art_des,MATCH(C643,art_ref,0))&amp;"","Référence inconnue"))</f>
        <v/>
      </c>
      <c r="E643" s="37" t="n"/>
      <c r="F643" s="39" t="str">
        <f>IF(C643="","",IFERROR(INDEX(art_unit,MATCH(C643,art_ref,0))&amp;"",""))</f>
        <v/>
      </c>
      <c r="G643" s="37" t="n"/>
      <c r="H643" s="37" t="n"/>
      <c r="I643" s="37" t="n"/>
      <c r="J643" s="40" t="str">
        <f>IF(OR(C643="",NOT(ISNUMBER(E643))),"",IFERROR(E643*N(INDEX(art_price,MATCH(C643,art_ref,0))),""))</f>
        <v/>
      </c>
      <c r="K643" s="39" t="str">
        <f>IF(OR(C643="",NOT(ISNUMBER(E643))),"",IFERROR(ROUND(N(INDEX(art_init,MATCH(C643,art_ref,0)))+SUMIFS($E$5:E643,$C$5:C643,C643,$B$5:B643,"Entrée")-SUMIFS($E$5:E643,$C$5:C643,C643,$B$5:B643,"Sortie"),6),""))</f>
        <v/>
      </c>
      <c r="L643" s="39" t="str">
        <f>IF(COUNTA(A643:C643,E643)=0,"",IF(COUNTA(A643:C643,E643)&lt;4,"Ligne incomplète",IF(NOT(ISNUMBER(A643)),"Date invalide",IF(AND(B643&lt;&gt;"Entrée",B643&lt;&gt;"Sortie"),"Type inconnu",IF(ISNA(MATCH(C643,art_ref,0)),"Référence inconnue",IF(OR(NOT(ISNUMBER(E643)),N(E643)&lt;=0),"Quantité invalide",IF(K643&lt;0,"Stock négatif",IF(AND(ISNUMBER(A642),A643&lt;A642),"Date hors ordre","OK"))))))))</f>
        <v/>
      </c>
      <c r="M643" s="39" t="str">
        <f>IF(C643="","",C643&amp;"#"&amp;COUNTIF($C$5:C643,C643))</f>
        <v/>
      </c>
    </row>
    <row r="644">
      <c r="A644" s="41" t="n"/>
      <c r="B644" s="37" t="n"/>
      <c r="C644" s="37" t="n"/>
      <c r="D644" s="39" t="str">
        <f>IF(C644="","",IFERROR(INDEX(art_des,MATCH(C644,art_ref,0))&amp;"","Référence inconnue"))</f>
        <v/>
      </c>
      <c r="E644" s="37" t="n"/>
      <c r="F644" s="39" t="str">
        <f>IF(C644="","",IFERROR(INDEX(art_unit,MATCH(C644,art_ref,0))&amp;"",""))</f>
        <v/>
      </c>
      <c r="G644" s="37" t="n"/>
      <c r="H644" s="37" t="n"/>
      <c r="I644" s="37" t="n"/>
      <c r="J644" s="40" t="str">
        <f>IF(OR(C644="",NOT(ISNUMBER(E644))),"",IFERROR(E644*N(INDEX(art_price,MATCH(C644,art_ref,0))),""))</f>
        <v/>
      </c>
      <c r="K644" s="39" t="str">
        <f>IF(OR(C644="",NOT(ISNUMBER(E644))),"",IFERROR(ROUND(N(INDEX(art_init,MATCH(C644,art_ref,0)))+SUMIFS($E$5:E644,$C$5:C644,C644,$B$5:B644,"Entrée")-SUMIFS($E$5:E644,$C$5:C644,C644,$B$5:B644,"Sortie"),6),""))</f>
        <v/>
      </c>
      <c r="L644" s="39" t="str">
        <f>IF(COUNTA(A644:C644,E644)=0,"",IF(COUNTA(A644:C644,E644)&lt;4,"Ligne incomplète",IF(NOT(ISNUMBER(A644)),"Date invalide",IF(AND(B644&lt;&gt;"Entrée",B644&lt;&gt;"Sortie"),"Type inconnu",IF(ISNA(MATCH(C644,art_ref,0)),"Référence inconnue",IF(OR(NOT(ISNUMBER(E644)),N(E644)&lt;=0),"Quantité invalide",IF(K644&lt;0,"Stock négatif",IF(AND(ISNUMBER(A643),A644&lt;A643),"Date hors ordre","OK"))))))))</f>
        <v/>
      </c>
      <c r="M644" s="39" t="str">
        <f>IF(C644="","",C644&amp;"#"&amp;COUNTIF($C$5:C644,C644))</f>
        <v/>
      </c>
    </row>
    <row r="645">
      <c r="A645" s="41" t="n"/>
      <c r="B645" s="37" t="n"/>
      <c r="C645" s="37" t="n"/>
      <c r="D645" s="39" t="str">
        <f>IF(C645="","",IFERROR(INDEX(art_des,MATCH(C645,art_ref,0))&amp;"","Référence inconnue"))</f>
        <v/>
      </c>
      <c r="E645" s="37" t="n"/>
      <c r="F645" s="39" t="str">
        <f>IF(C645="","",IFERROR(INDEX(art_unit,MATCH(C645,art_ref,0))&amp;"",""))</f>
        <v/>
      </c>
      <c r="G645" s="37" t="n"/>
      <c r="H645" s="37" t="n"/>
      <c r="I645" s="37" t="n"/>
      <c r="J645" s="40" t="str">
        <f>IF(OR(C645="",NOT(ISNUMBER(E645))),"",IFERROR(E645*N(INDEX(art_price,MATCH(C645,art_ref,0))),""))</f>
        <v/>
      </c>
      <c r="K645" s="39" t="str">
        <f>IF(OR(C645="",NOT(ISNUMBER(E645))),"",IFERROR(ROUND(N(INDEX(art_init,MATCH(C645,art_ref,0)))+SUMIFS($E$5:E645,$C$5:C645,C645,$B$5:B645,"Entrée")-SUMIFS($E$5:E645,$C$5:C645,C645,$B$5:B645,"Sortie"),6),""))</f>
        <v/>
      </c>
      <c r="L645" s="39" t="str">
        <f>IF(COUNTA(A645:C645,E645)=0,"",IF(COUNTA(A645:C645,E645)&lt;4,"Ligne incomplète",IF(NOT(ISNUMBER(A645)),"Date invalide",IF(AND(B645&lt;&gt;"Entrée",B645&lt;&gt;"Sortie"),"Type inconnu",IF(ISNA(MATCH(C645,art_ref,0)),"Référence inconnue",IF(OR(NOT(ISNUMBER(E645)),N(E645)&lt;=0),"Quantité invalide",IF(K645&lt;0,"Stock négatif",IF(AND(ISNUMBER(A644),A645&lt;A644),"Date hors ordre","OK"))))))))</f>
        <v/>
      </c>
      <c r="M645" s="39" t="str">
        <f>IF(C645="","",C645&amp;"#"&amp;COUNTIF($C$5:C645,C645))</f>
        <v/>
      </c>
    </row>
    <row r="646">
      <c r="A646" s="41" t="n"/>
      <c r="B646" s="37" t="n"/>
      <c r="C646" s="37" t="n"/>
      <c r="D646" s="39" t="str">
        <f>IF(C646="","",IFERROR(INDEX(art_des,MATCH(C646,art_ref,0))&amp;"","Référence inconnue"))</f>
        <v/>
      </c>
      <c r="E646" s="37" t="n"/>
      <c r="F646" s="39" t="str">
        <f>IF(C646="","",IFERROR(INDEX(art_unit,MATCH(C646,art_ref,0))&amp;"",""))</f>
        <v/>
      </c>
      <c r="G646" s="37" t="n"/>
      <c r="H646" s="37" t="n"/>
      <c r="I646" s="37" t="n"/>
      <c r="J646" s="40" t="str">
        <f>IF(OR(C646="",NOT(ISNUMBER(E646))),"",IFERROR(E646*N(INDEX(art_price,MATCH(C646,art_ref,0))),""))</f>
        <v/>
      </c>
      <c r="K646" s="39" t="str">
        <f>IF(OR(C646="",NOT(ISNUMBER(E646))),"",IFERROR(ROUND(N(INDEX(art_init,MATCH(C646,art_ref,0)))+SUMIFS($E$5:E646,$C$5:C646,C646,$B$5:B646,"Entrée")-SUMIFS($E$5:E646,$C$5:C646,C646,$B$5:B646,"Sortie"),6),""))</f>
        <v/>
      </c>
      <c r="L646" s="39" t="str">
        <f>IF(COUNTA(A646:C646,E646)=0,"",IF(COUNTA(A646:C646,E646)&lt;4,"Ligne incomplète",IF(NOT(ISNUMBER(A646)),"Date invalide",IF(AND(B646&lt;&gt;"Entrée",B646&lt;&gt;"Sortie"),"Type inconnu",IF(ISNA(MATCH(C646,art_ref,0)),"Référence inconnue",IF(OR(NOT(ISNUMBER(E646)),N(E646)&lt;=0),"Quantité invalide",IF(K646&lt;0,"Stock négatif",IF(AND(ISNUMBER(A645),A646&lt;A645),"Date hors ordre","OK"))))))))</f>
        <v/>
      </c>
      <c r="M646" s="39" t="str">
        <f>IF(C646="","",C646&amp;"#"&amp;COUNTIF($C$5:C646,C646))</f>
        <v/>
      </c>
    </row>
    <row r="647">
      <c r="A647" s="41" t="n"/>
      <c r="B647" s="37" t="n"/>
      <c r="C647" s="37" t="n"/>
      <c r="D647" s="39" t="str">
        <f>IF(C647="","",IFERROR(INDEX(art_des,MATCH(C647,art_ref,0))&amp;"","Référence inconnue"))</f>
        <v/>
      </c>
      <c r="E647" s="37" t="n"/>
      <c r="F647" s="39" t="str">
        <f>IF(C647="","",IFERROR(INDEX(art_unit,MATCH(C647,art_ref,0))&amp;"",""))</f>
        <v/>
      </c>
      <c r="G647" s="37" t="n"/>
      <c r="H647" s="37" t="n"/>
      <c r="I647" s="37" t="n"/>
      <c r="J647" s="40" t="str">
        <f>IF(OR(C647="",NOT(ISNUMBER(E647))),"",IFERROR(E647*N(INDEX(art_price,MATCH(C647,art_ref,0))),""))</f>
        <v/>
      </c>
      <c r="K647" s="39" t="str">
        <f>IF(OR(C647="",NOT(ISNUMBER(E647))),"",IFERROR(ROUND(N(INDEX(art_init,MATCH(C647,art_ref,0)))+SUMIFS($E$5:E647,$C$5:C647,C647,$B$5:B647,"Entrée")-SUMIFS($E$5:E647,$C$5:C647,C647,$B$5:B647,"Sortie"),6),""))</f>
        <v/>
      </c>
      <c r="L647" s="39" t="str">
        <f>IF(COUNTA(A647:C647,E647)=0,"",IF(COUNTA(A647:C647,E647)&lt;4,"Ligne incomplète",IF(NOT(ISNUMBER(A647)),"Date invalide",IF(AND(B647&lt;&gt;"Entrée",B647&lt;&gt;"Sortie"),"Type inconnu",IF(ISNA(MATCH(C647,art_ref,0)),"Référence inconnue",IF(OR(NOT(ISNUMBER(E647)),N(E647)&lt;=0),"Quantité invalide",IF(K647&lt;0,"Stock négatif",IF(AND(ISNUMBER(A646),A647&lt;A646),"Date hors ordre","OK"))))))))</f>
        <v/>
      </c>
      <c r="M647" s="39" t="str">
        <f>IF(C647="","",C647&amp;"#"&amp;COUNTIF($C$5:C647,C647))</f>
        <v/>
      </c>
    </row>
    <row r="648">
      <c r="A648" s="41" t="n"/>
      <c r="B648" s="37" t="n"/>
      <c r="C648" s="37" t="n"/>
      <c r="D648" s="39" t="str">
        <f>IF(C648="","",IFERROR(INDEX(art_des,MATCH(C648,art_ref,0))&amp;"","Référence inconnue"))</f>
        <v/>
      </c>
      <c r="E648" s="37" t="n"/>
      <c r="F648" s="39" t="str">
        <f>IF(C648="","",IFERROR(INDEX(art_unit,MATCH(C648,art_ref,0))&amp;"",""))</f>
        <v/>
      </c>
      <c r="G648" s="37" t="n"/>
      <c r="H648" s="37" t="n"/>
      <c r="I648" s="37" t="n"/>
      <c r="J648" s="40" t="str">
        <f>IF(OR(C648="",NOT(ISNUMBER(E648))),"",IFERROR(E648*N(INDEX(art_price,MATCH(C648,art_ref,0))),""))</f>
        <v/>
      </c>
      <c r="K648" s="39" t="str">
        <f>IF(OR(C648="",NOT(ISNUMBER(E648))),"",IFERROR(ROUND(N(INDEX(art_init,MATCH(C648,art_ref,0)))+SUMIFS($E$5:E648,$C$5:C648,C648,$B$5:B648,"Entrée")-SUMIFS($E$5:E648,$C$5:C648,C648,$B$5:B648,"Sortie"),6),""))</f>
        <v/>
      </c>
      <c r="L648" s="39" t="str">
        <f>IF(COUNTA(A648:C648,E648)=0,"",IF(COUNTA(A648:C648,E648)&lt;4,"Ligne incomplète",IF(NOT(ISNUMBER(A648)),"Date invalide",IF(AND(B648&lt;&gt;"Entrée",B648&lt;&gt;"Sortie"),"Type inconnu",IF(ISNA(MATCH(C648,art_ref,0)),"Référence inconnue",IF(OR(NOT(ISNUMBER(E648)),N(E648)&lt;=0),"Quantité invalide",IF(K648&lt;0,"Stock négatif",IF(AND(ISNUMBER(A647),A648&lt;A647),"Date hors ordre","OK"))))))))</f>
        <v/>
      </c>
      <c r="M648" s="39" t="str">
        <f>IF(C648="","",C648&amp;"#"&amp;COUNTIF($C$5:C648,C648))</f>
        <v/>
      </c>
    </row>
    <row r="649">
      <c r="A649" s="41" t="n"/>
      <c r="B649" s="37" t="n"/>
      <c r="C649" s="37" t="n"/>
      <c r="D649" s="39" t="str">
        <f>IF(C649="","",IFERROR(INDEX(art_des,MATCH(C649,art_ref,0))&amp;"","Référence inconnue"))</f>
        <v/>
      </c>
      <c r="E649" s="37" t="n"/>
      <c r="F649" s="39" t="str">
        <f>IF(C649="","",IFERROR(INDEX(art_unit,MATCH(C649,art_ref,0))&amp;"",""))</f>
        <v/>
      </c>
      <c r="G649" s="37" t="n"/>
      <c r="H649" s="37" t="n"/>
      <c r="I649" s="37" t="n"/>
      <c r="J649" s="40" t="str">
        <f>IF(OR(C649="",NOT(ISNUMBER(E649))),"",IFERROR(E649*N(INDEX(art_price,MATCH(C649,art_ref,0))),""))</f>
        <v/>
      </c>
      <c r="K649" s="39" t="str">
        <f>IF(OR(C649="",NOT(ISNUMBER(E649))),"",IFERROR(ROUND(N(INDEX(art_init,MATCH(C649,art_ref,0)))+SUMIFS($E$5:E649,$C$5:C649,C649,$B$5:B649,"Entrée")-SUMIFS($E$5:E649,$C$5:C649,C649,$B$5:B649,"Sortie"),6),""))</f>
        <v/>
      </c>
      <c r="L649" s="39" t="str">
        <f>IF(COUNTA(A649:C649,E649)=0,"",IF(COUNTA(A649:C649,E649)&lt;4,"Ligne incomplète",IF(NOT(ISNUMBER(A649)),"Date invalide",IF(AND(B649&lt;&gt;"Entrée",B649&lt;&gt;"Sortie"),"Type inconnu",IF(ISNA(MATCH(C649,art_ref,0)),"Référence inconnue",IF(OR(NOT(ISNUMBER(E649)),N(E649)&lt;=0),"Quantité invalide",IF(K649&lt;0,"Stock négatif",IF(AND(ISNUMBER(A648),A649&lt;A648),"Date hors ordre","OK"))))))))</f>
        <v/>
      </c>
      <c r="M649" s="39" t="str">
        <f>IF(C649="","",C649&amp;"#"&amp;COUNTIF($C$5:C649,C649))</f>
        <v/>
      </c>
    </row>
    <row r="650">
      <c r="A650" s="41" t="n"/>
      <c r="B650" s="37" t="n"/>
      <c r="C650" s="37" t="n"/>
      <c r="D650" s="39" t="str">
        <f>IF(C650="","",IFERROR(INDEX(art_des,MATCH(C650,art_ref,0))&amp;"","Référence inconnue"))</f>
        <v/>
      </c>
      <c r="E650" s="37" t="n"/>
      <c r="F650" s="39" t="str">
        <f>IF(C650="","",IFERROR(INDEX(art_unit,MATCH(C650,art_ref,0))&amp;"",""))</f>
        <v/>
      </c>
      <c r="G650" s="37" t="n"/>
      <c r="H650" s="37" t="n"/>
      <c r="I650" s="37" t="n"/>
      <c r="J650" s="40" t="str">
        <f>IF(OR(C650="",NOT(ISNUMBER(E650))),"",IFERROR(E650*N(INDEX(art_price,MATCH(C650,art_ref,0))),""))</f>
        <v/>
      </c>
      <c r="K650" s="39" t="str">
        <f>IF(OR(C650="",NOT(ISNUMBER(E650))),"",IFERROR(ROUND(N(INDEX(art_init,MATCH(C650,art_ref,0)))+SUMIFS($E$5:E650,$C$5:C650,C650,$B$5:B650,"Entrée")-SUMIFS($E$5:E650,$C$5:C650,C650,$B$5:B650,"Sortie"),6),""))</f>
        <v/>
      </c>
      <c r="L650" s="39" t="str">
        <f>IF(COUNTA(A650:C650,E650)=0,"",IF(COUNTA(A650:C650,E650)&lt;4,"Ligne incomplète",IF(NOT(ISNUMBER(A650)),"Date invalide",IF(AND(B650&lt;&gt;"Entrée",B650&lt;&gt;"Sortie"),"Type inconnu",IF(ISNA(MATCH(C650,art_ref,0)),"Référence inconnue",IF(OR(NOT(ISNUMBER(E650)),N(E650)&lt;=0),"Quantité invalide",IF(K650&lt;0,"Stock négatif",IF(AND(ISNUMBER(A649),A650&lt;A649),"Date hors ordre","OK"))))))))</f>
        <v/>
      </c>
      <c r="M650" s="39" t="str">
        <f>IF(C650="","",C650&amp;"#"&amp;COUNTIF($C$5:C650,C650))</f>
        <v/>
      </c>
    </row>
    <row r="651">
      <c r="A651" s="41" t="n"/>
      <c r="B651" s="37" t="n"/>
      <c r="C651" s="37" t="n"/>
      <c r="D651" s="39" t="str">
        <f>IF(C651="","",IFERROR(INDEX(art_des,MATCH(C651,art_ref,0))&amp;"","Référence inconnue"))</f>
        <v/>
      </c>
      <c r="E651" s="37" t="n"/>
      <c r="F651" s="39" t="str">
        <f>IF(C651="","",IFERROR(INDEX(art_unit,MATCH(C651,art_ref,0))&amp;"",""))</f>
        <v/>
      </c>
      <c r="G651" s="37" t="n"/>
      <c r="H651" s="37" t="n"/>
      <c r="I651" s="37" t="n"/>
      <c r="J651" s="40" t="str">
        <f>IF(OR(C651="",NOT(ISNUMBER(E651))),"",IFERROR(E651*N(INDEX(art_price,MATCH(C651,art_ref,0))),""))</f>
        <v/>
      </c>
      <c r="K651" s="39" t="str">
        <f>IF(OR(C651="",NOT(ISNUMBER(E651))),"",IFERROR(ROUND(N(INDEX(art_init,MATCH(C651,art_ref,0)))+SUMIFS($E$5:E651,$C$5:C651,C651,$B$5:B651,"Entrée")-SUMIFS($E$5:E651,$C$5:C651,C651,$B$5:B651,"Sortie"),6),""))</f>
        <v/>
      </c>
      <c r="L651" s="39" t="str">
        <f>IF(COUNTA(A651:C651,E651)=0,"",IF(COUNTA(A651:C651,E651)&lt;4,"Ligne incomplète",IF(NOT(ISNUMBER(A651)),"Date invalide",IF(AND(B651&lt;&gt;"Entrée",B651&lt;&gt;"Sortie"),"Type inconnu",IF(ISNA(MATCH(C651,art_ref,0)),"Référence inconnue",IF(OR(NOT(ISNUMBER(E651)),N(E651)&lt;=0),"Quantité invalide",IF(K651&lt;0,"Stock négatif",IF(AND(ISNUMBER(A650),A651&lt;A650),"Date hors ordre","OK"))))))))</f>
        <v/>
      </c>
      <c r="M651" s="39" t="str">
        <f>IF(C651="","",C651&amp;"#"&amp;COUNTIF($C$5:C651,C651))</f>
        <v/>
      </c>
    </row>
    <row r="652">
      <c r="A652" s="41" t="n"/>
      <c r="B652" s="37" t="n"/>
      <c r="C652" s="37" t="n"/>
      <c r="D652" s="39" t="str">
        <f>IF(C652="","",IFERROR(INDEX(art_des,MATCH(C652,art_ref,0))&amp;"","Référence inconnue"))</f>
        <v/>
      </c>
      <c r="E652" s="37" t="n"/>
      <c r="F652" s="39" t="str">
        <f>IF(C652="","",IFERROR(INDEX(art_unit,MATCH(C652,art_ref,0))&amp;"",""))</f>
        <v/>
      </c>
      <c r="G652" s="37" t="n"/>
      <c r="H652" s="37" t="n"/>
      <c r="I652" s="37" t="n"/>
      <c r="J652" s="40" t="str">
        <f>IF(OR(C652="",NOT(ISNUMBER(E652))),"",IFERROR(E652*N(INDEX(art_price,MATCH(C652,art_ref,0))),""))</f>
        <v/>
      </c>
      <c r="K652" s="39" t="str">
        <f>IF(OR(C652="",NOT(ISNUMBER(E652))),"",IFERROR(ROUND(N(INDEX(art_init,MATCH(C652,art_ref,0)))+SUMIFS($E$5:E652,$C$5:C652,C652,$B$5:B652,"Entrée")-SUMIFS($E$5:E652,$C$5:C652,C652,$B$5:B652,"Sortie"),6),""))</f>
        <v/>
      </c>
      <c r="L652" s="39" t="str">
        <f>IF(COUNTA(A652:C652,E652)=0,"",IF(COUNTA(A652:C652,E652)&lt;4,"Ligne incomplète",IF(NOT(ISNUMBER(A652)),"Date invalide",IF(AND(B652&lt;&gt;"Entrée",B652&lt;&gt;"Sortie"),"Type inconnu",IF(ISNA(MATCH(C652,art_ref,0)),"Référence inconnue",IF(OR(NOT(ISNUMBER(E652)),N(E652)&lt;=0),"Quantité invalide",IF(K652&lt;0,"Stock négatif",IF(AND(ISNUMBER(A651),A652&lt;A651),"Date hors ordre","OK"))))))))</f>
        <v/>
      </c>
      <c r="M652" s="39" t="str">
        <f>IF(C652="","",C652&amp;"#"&amp;COUNTIF($C$5:C652,C652))</f>
        <v/>
      </c>
    </row>
    <row r="653">
      <c r="A653" s="41" t="n"/>
      <c r="B653" s="37" t="n"/>
      <c r="C653" s="37" t="n"/>
      <c r="D653" s="39" t="str">
        <f>IF(C653="","",IFERROR(INDEX(art_des,MATCH(C653,art_ref,0))&amp;"","Référence inconnue"))</f>
        <v/>
      </c>
      <c r="E653" s="37" t="n"/>
      <c r="F653" s="39" t="str">
        <f>IF(C653="","",IFERROR(INDEX(art_unit,MATCH(C653,art_ref,0))&amp;"",""))</f>
        <v/>
      </c>
      <c r="G653" s="37" t="n"/>
      <c r="H653" s="37" t="n"/>
      <c r="I653" s="37" t="n"/>
      <c r="J653" s="40" t="str">
        <f>IF(OR(C653="",NOT(ISNUMBER(E653))),"",IFERROR(E653*N(INDEX(art_price,MATCH(C653,art_ref,0))),""))</f>
        <v/>
      </c>
      <c r="K653" s="39" t="str">
        <f>IF(OR(C653="",NOT(ISNUMBER(E653))),"",IFERROR(ROUND(N(INDEX(art_init,MATCH(C653,art_ref,0)))+SUMIFS($E$5:E653,$C$5:C653,C653,$B$5:B653,"Entrée")-SUMIFS($E$5:E653,$C$5:C653,C653,$B$5:B653,"Sortie"),6),""))</f>
        <v/>
      </c>
      <c r="L653" s="39" t="str">
        <f>IF(COUNTA(A653:C653,E653)=0,"",IF(COUNTA(A653:C653,E653)&lt;4,"Ligne incomplète",IF(NOT(ISNUMBER(A653)),"Date invalide",IF(AND(B653&lt;&gt;"Entrée",B653&lt;&gt;"Sortie"),"Type inconnu",IF(ISNA(MATCH(C653,art_ref,0)),"Référence inconnue",IF(OR(NOT(ISNUMBER(E653)),N(E653)&lt;=0),"Quantité invalide",IF(K653&lt;0,"Stock négatif",IF(AND(ISNUMBER(A652),A653&lt;A652),"Date hors ordre","OK"))))))))</f>
        <v/>
      </c>
      <c r="M653" s="39" t="str">
        <f>IF(C653="","",C653&amp;"#"&amp;COUNTIF($C$5:C653,C653))</f>
        <v/>
      </c>
    </row>
    <row r="654">
      <c r="A654" s="41" t="n"/>
      <c r="B654" s="37" t="n"/>
      <c r="C654" s="37" t="n"/>
      <c r="D654" s="39" t="str">
        <f>IF(C654="","",IFERROR(INDEX(art_des,MATCH(C654,art_ref,0))&amp;"","Référence inconnue"))</f>
        <v/>
      </c>
      <c r="E654" s="37" t="n"/>
      <c r="F654" s="39" t="str">
        <f>IF(C654="","",IFERROR(INDEX(art_unit,MATCH(C654,art_ref,0))&amp;"",""))</f>
        <v/>
      </c>
      <c r="G654" s="37" t="n"/>
      <c r="H654" s="37" t="n"/>
      <c r="I654" s="37" t="n"/>
      <c r="J654" s="40" t="str">
        <f>IF(OR(C654="",NOT(ISNUMBER(E654))),"",IFERROR(E654*N(INDEX(art_price,MATCH(C654,art_ref,0))),""))</f>
        <v/>
      </c>
      <c r="K654" s="39" t="str">
        <f>IF(OR(C654="",NOT(ISNUMBER(E654))),"",IFERROR(ROUND(N(INDEX(art_init,MATCH(C654,art_ref,0)))+SUMIFS($E$5:E654,$C$5:C654,C654,$B$5:B654,"Entrée")-SUMIFS($E$5:E654,$C$5:C654,C654,$B$5:B654,"Sortie"),6),""))</f>
        <v/>
      </c>
      <c r="L654" s="39" t="str">
        <f>IF(COUNTA(A654:C654,E654)=0,"",IF(COUNTA(A654:C654,E654)&lt;4,"Ligne incomplète",IF(NOT(ISNUMBER(A654)),"Date invalide",IF(AND(B654&lt;&gt;"Entrée",B654&lt;&gt;"Sortie"),"Type inconnu",IF(ISNA(MATCH(C654,art_ref,0)),"Référence inconnue",IF(OR(NOT(ISNUMBER(E654)),N(E654)&lt;=0),"Quantité invalide",IF(K654&lt;0,"Stock négatif",IF(AND(ISNUMBER(A653),A654&lt;A653),"Date hors ordre","OK"))))))))</f>
        <v/>
      </c>
      <c r="M654" s="39" t="str">
        <f>IF(C654="","",C654&amp;"#"&amp;COUNTIF($C$5:C654,C654))</f>
        <v/>
      </c>
    </row>
    <row r="655">
      <c r="A655" s="41" t="n"/>
      <c r="B655" s="37" t="n"/>
      <c r="C655" s="37" t="n"/>
      <c r="D655" s="39" t="str">
        <f>IF(C655="","",IFERROR(INDEX(art_des,MATCH(C655,art_ref,0))&amp;"","Référence inconnue"))</f>
        <v/>
      </c>
      <c r="E655" s="37" t="n"/>
      <c r="F655" s="39" t="str">
        <f>IF(C655="","",IFERROR(INDEX(art_unit,MATCH(C655,art_ref,0))&amp;"",""))</f>
        <v/>
      </c>
      <c r="G655" s="37" t="n"/>
      <c r="H655" s="37" t="n"/>
      <c r="I655" s="37" t="n"/>
      <c r="J655" s="40" t="str">
        <f>IF(OR(C655="",NOT(ISNUMBER(E655))),"",IFERROR(E655*N(INDEX(art_price,MATCH(C655,art_ref,0))),""))</f>
        <v/>
      </c>
      <c r="K655" s="39" t="str">
        <f>IF(OR(C655="",NOT(ISNUMBER(E655))),"",IFERROR(ROUND(N(INDEX(art_init,MATCH(C655,art_ref,0)))+SUMIFS($E$5:E655,$C$5:C655,C655,$B$5:B655,"Entrée")-SUMIFS($E$5:E655,$C$5:C655,C655,$B$5:B655,"Sortie"),6),""))</f>
        <v/>
      </c>
      <c r="L655" s="39" t="str">
        <f>IF(COUNTA(A655:C655,E655)=0,"",IF(COUNTA(A655:C655,E655)&lt;4,"Ligne incomplète",IF(NOT(ISNUMBER(A655)),"Date invalide",IF(AND(B655&lt;&gt;"Entrée",B655&lt;&gt;"Sortie"),"Type inconnu",IF(ISNA(MATCH(C655,art_ref,0)),"Référence inconnue",IF(OR(NOT(ISNUMBER(E655)),N(E655)&lt;=0),"Quantité invalide",IF(K655&lt;0,"Stock négatif",IF(AND(ISNUMBER(A654),A655&lt;A654),"Date hors ordre","OK"))))))))</f>
        <v/>
      </c>
      <c r="M655" s="39" t="str">
        <f>IF(C655="","",C655&amp;"#"&amp;COUNTIF($C$5:C655,C655))</f>
        <v/>
      </c>
    </row>
    <row r="656">
      <c r="A656" s="41" t="n"/>
      <c r="B656" s="37" t="n"/>
      <c r="C656" s="37" t="n"/>
      <c r="D656" s="39" t="str">
        <f>IF(C656="","",IFERROR(INDEX(art_des,MATCH(C656,art_ref,0))&amp;"","Référence inconnue"))</f>
        <v/>
      </c>
      <c r="E656" s="37" t="n"/>
      <c r="F656" s="39" t="str">
        <f>IF(C656="","",IFERROR(INDEX(art_unit,MATCH(C656,art_ref,0))&amp;"",""))</f>
        <v/>
      </c>
      <c r="G656" s="37" t="n"/>
      <c r="H656" s="37" t="n"/>
      <c r="I656" s="37" t="n"/>
      <c r="J656" s="40" t="str">
        <f>IF(OR(C656="",NOT(ISNUMBER(E656))),"",IFERROR(E656*N(INDEX(art_price,MATCH(C656,art_ref,0))),""))</f>
        <v/>
      </c>
      <c r="K656" s="39" t="str">
        <f>IF(OR(C656="",NOT(ISNUMBER(E656))),"",IFERROR(ROUND(N(INDEX(art_init,MATCH(C656,art_ref,0)))+SUMIFS($E$5:E656,$C$5:C656,C656,$B$5:B656,"Entrée")-SUMIFS($E$5:E656,$C$5:C656,C656,$B$5:B656,"Sortie"),6),""))</f>
        <v/>
      </c>
      <c r="L656" s="39" t="str">
        <f>IF(COUNTA(A656:C656,E656)=0,"",IF(COUNTA(A656:C656,E656)&lt;4,"Ligne incomplète",IF(NOT(ISNUMBER(A656)),"Date invalide",IF(AND(B656&lt;&gt;"Entrée",B656&lt;&gt;"Sortie"),"Type inconnu",IF(ISNA(MATCH(C656,art_ref,0)),"Référence inconnue",IF(OR(NOT(ISNUMBER(E656)),N(E656)&lt;=0),"Quantité invalide",IF(K656&lt;0,"Stock négatif",IF(AND(ISNUMBER(A655),A656&lt;A655),"Date hors ordre","OK"))))))))</f>
        <v/>
      </c>
      <c r="M656" s="39" t="str">
        <f>IF(C656="","",C656&amp;"#"&amp;COUNTIF($C$5:C656,C656))</f>
        <v/>
      </c>
    </row>
    <row r="657">
      <c r="A657" s="41" t="n"/>
      <c r="B657" s="37" t="n"/>
      <c r="C657" s="37" t="n"/>
      <c r="D657" s="39" t="str">
        <f>IF(C657="","",IFERROR(INDEX(art_des,MATCH(C657,art_ref,0))&amp;"","Référence inconnue"))</f>
        <v/>
      </c>
      <c r="E657" s="37" t="n"/>
      <c r="F657" s="39" t="str">
        <f>IF(C657="","",IFERROR(INDEX(art_unit,MATCH(C657,art_ref,0))&amp;"",""))</f>
        <v/>
      </c>
      <c r="G657" s="37" t="n"/>
      <c r="H657" s="37" t="n"/>
      <c r="I657" s="37" t="n"/>
      <c r="J657" s="40" t="str">
        <f>IF(OR(C657="",NOT(ISNUMBER(E657))),"",IFERROR(E657*N(INDEX(art_price,MATCH(C657,art_ref,0))),""))</f>
        <v/>
      </c>
      <c r="K657" s="39" t="str">
        <f>IF(OR(C657="",NOT(ISNUMBER(E657))),"",IFERROR(ROUND(N(INDEX(art_init,MATCH(C657,art_ref,0)))+SUMIFS($E$5:E657,$C$5:C657,C657,$B$5:B657,"Entrée")-SUMIFS($E$5:E657,$C$5:C657,C657,$B$5:B657,"Sortie"),6),""))</f>
        <v/>
      </c>
      <c r="L657" s="39" t="str">
        <f>IF(COUNTA(A657:C657,E657)=0,"",IF(COUNTA(A657:C657,E657)&lt;4,"Ligne incomplète",IF(NOT(ISNUMBER(A657)),"Date invalide",IF(AND(B657&lt;&gt;"Entrée",B657&lt;&gt;"Sortie"),"Type inconnu",IF(ISNA(MATCH(C657,art_ref,0)),"Référence inconnue",IF(OR(NOT(ISNUMBER(E657)),N(E657)&lt;=0),"Quantité invalide",IF(K657&lt;0,"Stock négatif",IF(AND(ISNUMBER(A656),A657&lt;A656),"Date hors ordre","OK"))))))))</f>
        <v/>
      </c>
      <c r="M657" s="39" t="str">
        <f>IF(C657="","",C657&amp;"#"&amp;COUNTIF($C$5:C657,C657))</f>
        <v/>
      </c>
    </row>
    <row r="658">
      <c r="A658" s="41" t="n"/>
      <c r="B658" s="37" t="n"/>
      <c r="C658" s="37" t="n"/>
      <c r="D658" s="39" t="str">
        <f>IF(C658="","",IFERROR(INDEX(art_des,MATCH(C658,art_ref,0))&amp;"","Référence inconnue"))</f>
        <v/>
      </c>
      <c r="E658" s="37" t="n"/>
      <c r="F658" s="39" t="str">
        <f>IF(C658="","",IFERROR(INDEX(art_unit,MATCH(C658,art_ref,0))&amp;"",""))</f>
        <v/>
      </c>
      <c r="G658" s="37" t="n"/>
      <c r="H658" s="37" t="n"/>
      <c r="I658" s="37" t="n"/>
      <c r="J658" s="40" t="str">
        <f>IF(OR(C658="",NOT(ISNUMBER(E658))),"",IFERROR(E658*N(INDEX(art_price,MATCH(C658,art_ref,0))),""))</f>
        <v/>
      </c>
      <c r="K658" s="39" t="str">
        <f>IF(OR(C658="",NOT(ISNUMBER(E658))),"",IFERROR(ROUND(N(INDEX(art_init,MATCH(C658,art_ref,0)))+SUMIFS($E$5:E658,$C$5:C658,C658,$B$5:B658,"Entrée")-SUMIFS($E$5:E658,$C$5:C658,C658,$B$5:B658,"Sortie"),6),""))</f>
        <v/>
      </c>
      <c r="L658" s="39" t="str">
        <f>IF(COUNTA(A658:C658,E658)=0,"",IF(COUNTA(A658:C658,E658)&lt;4,"Ligne incomplète",IF(NOT(ISNUMBER(A658)),"Date invalide",IF(AND(B658&lt;&gt;"Entrée",B658&lt;&gt;"Sortie"),"Type inconnu",IF(ISNA(MATCH(C658,art_ref,0)),"Référence inconnue",IF(OR(NOT(ISNUMBER(E658)),N(E658)&lt;=0),"Quantité invalide",IF(K658&lt;0,"Stock négatif",IF(AND(ISNUMBER(A657),A658&lt;A657),"Date hors ordre","OK"))))))))</f>
        <v/>
      </c>
      <c r="M658" s="39" t="str">
        <f>IF(C658="","",C658&amp;"#"&amp;COUNTIF($C$5:C658,C658))</f>
        <v/>
      </c>
    </row>
    <row r="659">
      <c r="A659" s="41" t="n"/>
      <c r="B659" s="37" t="n"/>
      <c r="C659" s="37" t="n"/>
      <c r="D659" s="39" t="str">
        <f>IF(C659="","",IFERROR(INDEX(art_des,MATCH(C659,art_ref,0))&amp;"","Référence inconnue"))</f>
        <v/>
      </c>
      <c r="E659" s="37" t="n"/>
      <c r="F659" s="39" t="str">
        <f>IF(C659="","",IFERROR(INDEX(art_unit,MATCH(C659,art_ref,0))&amp;"",""))</f>
        <v/>
      </c>
      <c r="G659" s="37" t="n"/>
      <c r="H659" s="37" t="n"/>
      <c r="I659" s="37" t="n"/>
      <c r="J659" s="40" t="str">
        <f>IF(OR(C659="",NOT(ISNUMBER(E659))),"",IFERROR(E659*N(INDEX(art_price,MATCH(C659,art_ref,0))),""))</f>
        <v/>
      </c>
      <c r="K659" s="39" t="str">
        <f>IF(OR(C659="",NOT(ISNUMBER(E659))),"",IFERROR(ROUND(N(INDEX(art_init,MATCH(C659,art_ref,0)))+SUMIFS($E$5:E659,$C$5:C659,C659,$B$5:B659,"Entrée")-SUMIFS($E$5:E659,$C$5:C659,C659,$B$5:B659,"Sortie"),6),""))</f>
        <v/>
      </c>
      <c r="L659" s="39" t="str">
        <f>IF(COUNTA(A659:C659,E659)=0,"",IF(COUNTA(A659:C659,E659)&lt;4,"Ligne incomplète",IF(NOT(ISNUMBER(A659)),"Date invalide",IF(AND(B659&lt;&gt;"Entrée",B659&lt;&gt;"Sortie"),"Type inconnu",IF(ISNA(MATCH(C659,art_ref,0)),"Référence inconnue",IF(OR(NOT(ISNUMBER(E659)),N(E659)&lt;=0),"Quantité invalide",IF(K659&lt;0,"Stock négatif",IF(AND(ISNUMBER(A658),A659&lt;A658),"Date hors ordre","OK"))))))))</f>
        <v/>
      </c>
      <c r="M659" s="39" t="str">
        <f>IF(C659="","",C659&amp;"#"&amp;COUNTIF($C$5:C659,C659))</f>
        <v/>
      </c>
    </row>
    <row r="660">
      <c r="A660" s="41" t="n"/>
      <c r="B660" s="37" t="n"/>
      <c r="C660" s="37" t="n"/>
      <c r="D660" s="39" t="str">
        <f>IF(C660="","",IFERROR(INDEX(art_des,MATCH(C660,art_ref,0))&amp;"","Référence inconnue"))</f>
        <v/>
      </c>
      <c r="E660" s="37" t="n"/>
      <c r="F660" s="39" t="str">
        <f>IF(C660="","",IFERROR(INDEX(art_unit,MATCH(C660,art_ref,0))&amp;"",""))</f>
        <v/>
      </c>
      <c r="G660" s="37" t="n"/>
      <c r="H660" s="37" t="n"/>
      <c r="I660" s="37" t="n"/>
      <c r="J660" s="40" t="str">
        <f>IF(OR(C660="",NOT(ISNUMBER(E660))),"",IFERROR(E660*N(INDEX(art_price,MATCH(C660,art_ref,0))),""))</f>
        <v/>
      </c>
      <c r="K660" s="39" t="str">
        <f>IF(OR(C660="",NOT(ISNUMBER(E660))),"",IFERROR(ROUND(N(INDEX(art_init,MATCH(C660,art_ref,0)))+SUMIFS($E$5:E660,$C$5:C660,C660,$B$5:B660,"Entrée")-SUMIFS($E$5:E660,$C$5:C660,C660,$B$5:B660,"Sortie"),6),""))</f>
        <v/>
      </c>
      <c r="L660" s="39" t="str">
        <f>IF(COUNTA(A660:C660,E660)=0,"",IF(COUNTA(A660:C660,E660)&lt;4,"Ligne incomplète",IF(NOT(ISNUMBER(A660)),"Date invalide",IF(AND(B660&lt;&gt;"Entrée",B660&lt;&gt;"Sortie"),"Type inconnu",IF(ISNA(MATCH(C660,art_ref,0)),"Référence inconnue",IF(OR(NOT(ISNUMBER(E660)),N(E660)&lt;=0),"Quantité invalide",IF(K660&lt;0,"Stock négatif",IF(AND(ISNUMBER(A659),A660&lt;A659),"Date hors ordre","OK"))))))))</f>
        <v/>
      </c>
      <c r="M660" s="39" t="str">
        <f>IF(C660="","",C660&amp;"#"&amp;COUNTIF($C$5:C660,C660))</f>
        <v/>
      </c>
    </row>
    <row r="661">
      <c r="A661" s="41" t="n"/>
      <c r="B661" s="37" t="n"/>
      <c r="C661" s="37" t="n"/>
      <c r="D661" s="39" t="str">
        <f>IF(C661="","",IFERROR(INDEX(art_des,MATCH(C661,art_ref,0))&amp;"","Référence inconnue"))</f>
        <v/>
      </c>
      <c r="E661" s="37" t="n"/>
      <c r="F661" s="39" t="str">
        <f>IF(C661="","",IFERROR(INDEX(art_unit,MATCH(C661,art_ref,0))&amp;"",""))</f>
        <v/>
      </c>
      <c r="G661" s="37" t="n"/>
      <c r="H661" s="37" t="n"/>
      <c r="I661" s="37" t="n"/>
      <c r="J661" s="40" t="str">
        <f>IF(OR(C661="",NOT(ISNUMBER(E661))),"",IFERROR(E661*N(INDEX(art_price,MATCH(C661,art_ref,0))),""))</f>
        <v/>
      </c>
      <c r="K661" s="39" t="str">
        <f>IF(OR(C661="",NOT(ISNUMBER(E661))),"",IFERROR(ROUND(N(INDEX(art_init,MATCH(C661,art_ref,0)))+SUMIFS($E$5:E661,$C$5:C661,C661,$B$5:B661,"Entrée")-SUMIFS($E$5:E661,$C$5:C661,C661,$B$5:B661,"Sortie"),6),""))</f>
        <v/>
      </c>
      <c r="L661" s="39" t="str">
        <f>IF(COUNTA(A661:C661,E661)=0,"",IF(COUNTA(A661:C661,E661)&lt;4,"Ligne incomplète",IF(NOT(ISNUMBER(A661)),"Date invalide",IF(AND(B661&lt;&gt;"Entrée",B661&lt;&gt;"Sortie"),"Type inconnu",IF(ISNA(MATCH(C661,art_ref,0)),"Référence inconnue",IF(OR(NOT(ISNUMBER(E661)),N(E661)&lt;=0),"Quantité invalide",IF(K661&lt;0,"Stock négatif",IF(AND(ISNUMBER(A660),A661&lt;A660),"Date hors ordre","OK"))))))))</f>
        <v/>
      </c>
      <c r="M661" s="39" t="str">
        <f>IF(C661="","",C661&amp;"#"&amp;COUNTIF($C$5:C661,C661))</f>
        <v/>
      </c>
    </row>
    <row r="662">
      <c r="A662" s="41" t="n"/>
      <c r="B662" s="37" t="n"/>
      <c r="C662" s="37" t="n"/>
      <c r="D662" s="39" t="str">
        <f>IF(C662="","",IFERROR(INDEX(art_des,MATCH(C662,art_ref,0))&amp;"","Référence inconnue"))</f>
        <v/>
      </c>
      <c r="E662" s="37" t="n"/>
      <c r="F662" s="39" t="str">
        <f>IF(C662="","",IFERROR(INDEX(art_unit,MATCH(C662,art_ref,0))&amp;"",""))</f>
        <v/>
      </c>
      <c r="G662" s="37" t="n"/>
      <c r="H662" s="37" t="n"/>
      <c r="I662" s="37" t="n"/>
      <c r="J662" s="40" t="str">
        <f>IF(OR(C662="",NOT(ISNUMBER(E662))),"",IFERROR(E662*N(INDEX(art_price,MATCH(C662,art_ref,0))),""))</f>
        <v/>
      </c>
      <c r="K662" s="39" t="str">
        <f>IF(OR(C662="",NOT(ISNUMBER(E662))),"",IFERROR(ROUND(N(INDEX(art_init,MATCH(C662,art_ref,0)))+SUMIFS($E$5:E662,$C$5:C662,C662,$B$5:B662,"Entrée")-SUMIFS($E$5:E662,$C$5:C662,C662,$B$5:B662,"Sortie"),6),""))</f>
        <v/>
      </c>
      <c r="L662" s="39" t="str">
        <f>IF(COUNTA(A662:C662,E662)=0,"",IF(COUNTA(A662:C662,E662)&lt;4,"Ligne incomplète",IF(NOT(ISNUMBER(A662)),"Date invalide",IF(AND(B662&lt;&gt;"Entrée",B662&lt;&gt;"Sortie"),"Type inconnu",IF(ISNA(MATCH(C662,art_ref,0)),"Référence inconnue",IF(OR(NOT(ISNUMBER(E662)),N(E662)&lt;=0),"Quantité invalide",IF(K662&lt;0,"Stock négatif",IF(AND(ISNUMBER(A661),A662&lt;A661),"Date hors ordre","OK"))))))))</f>
        <v/>
      </c>
      <c r="M662" s="39" t="str">
        <f>IF(C662="","",C662&amp;"#"&amp;COUNTIF($C$5:C662,C662))</f>
        <v/>
      </c>
    </row>
    <row r="663">
      <c r="A663" s="41" t="n"/>
      <c r="B663" s="37" t="n"/>
      <c r="C663" s="37" t="n"/>
      <c r="D663" s="39" t="str">
        <f>IF(C663="","",IFERROR(INDEX(art_des,MATCH(C663,art_ref,0))&amp;"","Référence inconnue"))</f>
        <v/>
      </c>
      <c r="E663" s="37" t="n"/>
      <c r="F663" s="39" t="str">
        <f>IF(C663="","",IFERROR(INDEX(art_unit,MATCH(C663,art_ref,0))&amp;"",""))</f>
        <v/>
      </c>
      <c r="G663" s="37" t="n"/>
      <c r="H663" s="37" t="n"/>
      <c r="I663" s="37" t="n"/>
      <c r="J663" s="40" t="str">
        <f>IF(OR(C663="",NOT(ISNUMBER(E663))),"",IFERROR(E663*N(INDEX(art_price,MATCH(C663,art_ref,0))),""))</f>
        <v/>
      </c>
      <c r="K663" s="39" t="str">
        <f>IF(OR(C663="",NOT(ISNUMBER(E663))),"",IFERROR(ROUND(N(INDEX(art_init,MATCH(C663,art_ref,0)))+SUMIFS($E$5:E663,$C$5:C663,C663,$B$5:B663,"Entrée")-SUMIFS($E$5:E663,$C$5:C663,C663,$B$5:B663,"Sortie"),6),""))</f>
        <v/>
      </c>
      <c r="L663" s="39" t="str">
        <f>IF(COUNTA(A663:C663,E663)=0,"",IF(COUNTA(A663:C663,E663)&lt;4,"Ligne incomplète",IF(NOT(ISNUMBER(A663)),"Date invalide",IF(AND(B663&lt;&gt;"Entrée",B663&lt;&gt;"Sortie"),"Type inconnu",IF(ISNA(MATCH(C663,art_ref,0)),"Référence inconnue",IF(OR(NOT(ISNUMBER(E663)),N(E663)&lt;=0),"Quantité invalide",IF(K663&lt;0,"Stock négatif",IF(AND(ISNUMBER(A662),A663&lt;A662),"Date hors ordre","OK"))))))))</f>
        <v/>
      </c>
      <c r="M663" s="39" t="str">
        <f>IF(C663="","",C663&amp;"#"&amp;COUNTIF($C$5:C663,C663))</f>
        <v/>
      </c>
    </row>
    <row r="664">
      <c r="A664" s="41" t="n"/>
      <c r="B664" s="37" t="n"/>
      <c r="C664" s="37" t="n"/>
      <c r="D664" s="39" t="str">
        <f>IF(C664="","",IFERROR(INDEX(art_des,MATCH(C664,art_ref,0))&amp;"","Référence inconnue"))</f>
        <v/>
      </c>
      <c r="E664" s="37" t="n"/>
      <c r="F664" s="39" t="str">
        <f>IF(C664="","",IFERROR(INDEX(art_unit,MATCH(C664,art_ref,0))&amp;"",""))</f>
        <v/>
      </c>
      <c r="G664" s="37" t="n"/>
      <c r="H664" s="37" t="n"/>
      <c r="I664" s="37" t="n"/>
      <c r="J664" s="40" t="str">
        <f>IF(OR(C664="",NOT(ISNUMBER(E664))),"",IFERROR(E664*N(INDEX(art_price,MATCH(C664,art_ref,0))),""))</f>
        <v/>
      </c>
      <c r="K664" s="39" t="str">
        <f>IF(OR(C664="",NOT(ISNUMBER(E664))),"",IFERROR(ROUND(N(INDEX(art_init,MATCH(C664,art_ref,0)))+SUMIFS($E$5:E664,$C$5:C664,C664,$B$5:B664,"Entrée")-SUMIFS($E$5:E664,$C$5:C664,C664,$B$5:B664,"Sortie"),6),""))</f>
        <v/>
      </c>
      <c r="L664" s="39" t="str">
        <f>IF(COUNTA(A664:C664,E664)=0,"",IF(COUNTA(A664:C664,E664)&lt;4,"Ligne incomplète",IF(NOT(ISNUMBER(A664)),"Date invalide",IF(AND(B664&lt;&gt;"Entrée",B664&lt;&gt;"Sortie"),"Type inconnu",IF(ISNA(MATCH(C664,art_ref,0)),"Référence inconnue",IF(OR(NOT(ISNUMBER(E664)),N(E664)&lt;=0),"Quantité invalide",IF(K664&lt;0,"Stock négatif",IF(AND(ISNUMBER(A663),A664&lt;A663),"Date hors ordre","OK"))))))))</f>
        <v/>
      </c>
      <c r="M664" s="39" t="str">
        <f>IF(C664="","",C664&amp;"#"&amp;COUNTIF($C$5:C664,C664))</f>
        <v/>
      </c>
    </row>
    <row r="665">
      <c r="A665" s="41" t="n"/>
      <c r="B665" s="37" t="n"/>
      <c r="C665" s="37" t="n"/>
      <c r="D665" s="39" t="str">
        <f>IF(C665="","",IFERROR(INDEX(art_des,MATCH(C665,art_ref,0))&amp;"","Référence inconnue"))</f>
        <v/>
      </c>
      <c r="E665" s="37" t="n"/>
      <c r="F665" s="39" t="str">
        <f>IF(C665="","",IFERROR(INDEX(art_unit,MATCH(C665,art_ref,0))&amp;"",""))</f>
        <v/>
      </c>
      <c r="G665" s="37" t="n"/>
      <c r="H665" s="37" t="n"/>
      <c r="I665" s="37" t="n"/>
      <c r="J665" s="40" t="str">
        <f>IF(OR(C665="",NOT(ISNUMBER(E665))),"",IFERROR(E665*N(INDEX(art_price,MATCH(C665,art_ref,0))),""))</f>
        <v/>
      </c>
      <c r="K665" s="39" t="str">
        <f>IF(OR(C665="",NOT(ISNUMBER(E665))),"",IFERROR(ROUND(N(INDEX(art_init,MATCH(C665,art_ref,0)))+SUMIFS($E$5:E665,$C$5:C665,C665,$B$5:B665,"Entrée")-SUMIFS($E$5:E665,$C$5:C665,C665,$B$5:B665,"Sortie"),6),""))</f>
        <v/>
      </c>
      <c r="L665" s="39" t="str">
        <f>IF(COUNTA(A665:C665,E665)=0,"",IF(COUNTA(A665:C665,E665)&lt;4,"Ligne incomplète",IF(NOT(ISNUMBER(A665)),"Date invalide",IF(AND(B665&lt;&gt;"Entrée",B665&lt;&gt;"Sortie"),"Type inconnu",IF(ISNA(MATCH(C665,art_ref,0)),"Référence inconnue",IF(OR(NOT(ISNUMBER(E665)),N(E665)&lt;=0),"Quantité invalide",IF(K665&lt;0,"Stock négatif",IF(AND(ISNUMBER(A664),A665&lt;A664),"Date hors ordre","OK"))))))))</f>
        <v/>
      </c>
      <c r="M665" s="39" t="str">
        <f>IF(C665="","",C665&amp;"#"&amp;COUNTIF($C$5:C665,C665))</f>
        <v/>
      </c>
    </row>
    <row r="666">
      <c r="A666" s="41" t="n"/>
      <c r="B666" s="37" t="n"/>
      <c r="C666" s="37" t="n"/>
      <c r="D666" s="39" t="str">
        <f>IF(C666="","",IFERROR(INDEX(art_des,MATCH(C666,art_ref,0))&amp;"","Référence inconnue"))</f>
        <v/>
      </c>
      <c r="E666" s="37" t="n"/>
      <c r="F666" s="39" t="str">
        <f>IF(C666="","",IFERROR(INDEX(art_unit,MATCH(C666,art_ref,0))&amp;"",""))</f>
        <v/>
      </c>
      <c r="G666" s="37" t="n"/>
      <c r="H666" s="37" t="n"/>
      <c r="I666" s="37" t="n"/>
      <c r="J666" s="40" t="str">
        <f>IF(OR(C666="",NOT(ISNUMBER(E666))),"",IFERROR(E666*N(INDEX(art_price,MATCH(C666,art_ref,0))),""))</f>
        <v/>
      </c>
      <c r="K666" s="39" t="str">
        <f>IF(OR(C666="",NOT(ISNUMBER(E666))),"",IFERROR(ROUND(N(INDEX(art_init,MATCH(C666,art_ref,0)))+SUMIFS($E$5:E666,$C$5:C666,C666,$B$5:B666,"Entrée")-SUMIFS($E$5:E666,$C$5:C666,C666,$B$5:B666,"Sortie"),6),""))</f>
        <v/>
      </c>
      <c r="L666" s="39" t="str">
        <f>IF(COUNTA(A666:C666,E666)=0,"",IF(COUNTA(A666:C666,E666)&lt;4,"Ligne incomplète",IF(NOT(ISNUMBER(A666)),"Date invalide",IF(AND(B666&lt;&gt;"Entrée",B666&lt;&gt;"Sortie"),"Type inconnu",IF(ISNA(MATCH(C666,art_ref,0)),"Référence inconnue",IF(OR(NOT(ISNUMBER(E666)),N(E666)&lt;=0),"Quantité invalide",IF(K666&lt;0,"Stock négatif",IF(AND(ISNUMBER(A665),A666&lt;A665),"Date hors ordre","OK"))))))))</f>
        <v/>
      </c>
      <c r="M666" s="39" t="str">
        <f>IF(C666="","",C666&amp;"#"&amp;COUNTIF($C$5:C666,C666))</f>
        <v/>
      </c>
    </row>
    <row r="667">
      <c r="A667" s="41" t="n"/>
      <c r="B667" s="37" t="n"/>
      <c r="C667" s="37" t="n"/>
      <c r="D667" s="39" t="str">
        <f>IF(C667="","",IFERROR(INDEX(art_des,MATCH(C667,art_ref,0))&amp;"","Référence inconnue"))</f>
        <v/>
      </c>
      <c r="E667" s="37" t="n"/>
      <c r="F667" s="39" t="str">
        <f>IF(C667="","",IFERROR(INDEX(art_unit,MATCH(C667,art_ref,0))&amp;"",""))</f>
        <v/>
      </c>
      <c r="G667" s="37" t="n"/>
      <c r="H667" s="37" t="n"/>
      <c r="I667" s="37" t="n"/>
      <c r="J667" s="40" t="str">
        <f>IF(OR(C667="",NOT(ISNUMBER(E667))),"",IFERROR(E667*N(INDEX(art_price,MATCH(C667,art_ref,0))),""))</f>
        <v/>
      </c>
      <c r="K667" s="39" t="str">
        <f>IF(OR(C667="",NOT(ISNUMBER(E667))),"",IFERROR(ROUND(N(INDEX(art_init,MATCH(C667,art_ref,0)))+SUMIFS($E$5:E667,$C$5:C667,C667,$B$5:B667,"Entrée")-SUMIFS($E$5:E667,$C$5:C667,C667,$B$5:B667,"Sortie"),6),""))</f>
        <v/>
      </c>
      <c r="L667" s="39" t="str">
        <f>IF(COUNTA(A667:C667,E667)=0,"",IF(COUNTA(A667:C667,E667)&lt;4,"Ligne incomplète",IF(NOT(ISNUMBER(A667)),"Date invalide",IF(AND(B667&lt;&gt;"Entrée",B667&lt;&gt;"Sortie"),"Type inconnu",IF(ISNA(MATCH(C667,art_ref,0)),"Référence inconnue",IF(OR(NOT(ISNUMBER(E667)),N(E667)&lt;=0),"Quantité invalide",IF(K667&lt;0,"Stock négatif",IF(AND(ISNUMBER(A666),A667&lt;A666),"Date hors ordre","OK"))))))))</f>
        <v/>
      </c>
      <c r="M667" s="39" t="str">
        <f>IF(C667="","",C667&amp;"#"&amp;COUNTIF($C$5:C667,C667))</f>
        <v/>
      </c>
    </row>
    <row r="668">
      <c r="A668" s="41" t="n"/>
      <c r="B668" s="37" t="n"/>
      <c r="C668" s="37" t="n"/>
      <c r="D668" s="39" t="str">
        <f>IF(C668="","",IFERROR(INDEX(art_des,MATCH(C668,art_ref,0))&amp;"","Référence inconnue"))</f>
        <v/>
      </c>
      <c r="E668" s="37" t="n"/>
      <c r="F668" s="39" t="str">
        <f>IF(C668="","",IFERROR(INDEX(art_unit,MATCH(C668,art_ref,0))&amp;"",""))</f>
        <v/>
      </c>
      <c r="G668" s="37" t="n"/>
      <c r="H668" s="37" t="n"/>
      <c r="I668" s="37" t="n"/>
      <c r="J668" s="40" t="str">
        <f>IF(OR(C668="",NOT(ISNUMBER(E668))),"",IFERROR(E668*N(INDEX(art_price,MATCH(C668,art_ref,0))),""))</f>
        <v/>
      </c>
      <c r="K668" s="39" t="str">
        <f>IF(OR(C668="",NOT(ISNUMBER(E668))),"",IFERROR(ROUND(N(INDEX(art_init,MATCH(C668,art_ref,0)))+SUMIFS($E$5:E668,$C$5:C668,C668,$B$5:B668,"Entrée")-SUMIFS($E$5:E668,$C$5:C668,C668,$B$5:B668,"Sortie"),6),""))</f>
        <v/>
      </c>
      <c r="L668" s="39" t="str">
        <f>IF(COUNTA(A668:C668,E668)=0,"",IF(COUNTA(A668:C668,E668)&lt;4,"Ligne incomplète",IF(NOT(ISNUMBER(A668)),"Date invalide",IF(AND(B668&lt;&gt;"Entrée",B668&lt;&gt;"Sortie"),"Type inconnu",IF(ISNA(MATCH(C668,art_ref,0)),"Référence inconnue",IF(OR(NOT(ISNUMBER(E668)),N(E668)&lt;=0),"Quantité invalide",IF(K668&lt;0,"Stock négatif",IF(AND(ISNUMBER(A667),A668&lt;A667),"Date hors ordre","OK"))))))))</f>
        <v/>
      </c>
      <c r="M668" s="39" t="str">
        <f>IF(C668="","",C668&amp;"#"&amp;COUNTIF($C$5:C668,C668))</f>
        <v/>
      </c>
    </row>
    <row r="669">
      <c r="A669" s="41" t="n"/>
      <c r="B669" s="37" t="n"/>
      <c r="C669" s="37" t="n"/>
      <c r="D669" s="39" t="str">
        <f>IF(C669="","",IFERROR(INDEX(art_des,MATCH(C669,art_ref,0))&amp;"","Référence inconnue"))</f>
        <v/>
      </c>
      <c r="E669" s="37" t="n"/>
      <c r="F669" s="39" t="str">
        <f>IF(C669="","",IFERROR(INDEX(art_unit,MATCH(C669,art_ref,0))&amp;"",""))</f>
        <v/>
      </c>
      <c r="G669" s="37" t="n"/>
      <c r="H669" s="37" t="n"/>
      <c r="I669" s="37" t="n"/>
      <c r="J669" s="40" t="str">
        <f>IF(OR(C669="",NOT(ISNUMBER(E669))),"",IFERROR(E669*N(INDEX(art_price,MATCH(C669,art_ref,0))),""))</f>
        <v/>
      </c>
      <c r="K669" s="39" t="str">
        <f>IF(OR(C669="",NOT(ISNUMBER(E669))),"",IFERROR(ROUND(N(INDEX(art_init,MATCH(C669,art_ref,0)))+SUMIFS($E$5:E669,$C$5:C669,C669,$B$5:B669,"Entrée")-SUMIFS($E$5:E669,$C$5:C669,C669,$B$5:B669,"Sortie"),6),""))</f>
        <v/>
      </c>
      <c r="L669" s="39" t="str">
        <f>IF(COUNTA(A669:C669,E669)=0,"",IF(COUNTA(A669:C669,E669)&lt;4,"Ligne incomplète",IF(NOT(ISNUMBER(A669)),"Date invalide",IF(AND(B669&lt;&gt;"Entrée",B669&lt;&gt;"Sortie"),"Type inconnu",IF(ISNA(MATCH(C669,art_ref,0)),"Référence inconnue",IF(OR(NOT(ISNUMBER(E669)),N(E669)&lt;=0),"Quantité invalide",IF(K669&lt;0,"Stock négatif",IF(AND(ISNUMBER(A668),A669&lt;A668),"Date hors ordre","OK"))))))))</f>
        <v/>
      </c>
      <c r="M669" s="39" t="str">
        <f>IF(C669="","",C669&amp;"#"&amp;COUNTIF($C$5:C669,C669))</f>
        <v/>
      </c>
    </row>
    <row r="670">
      <c r="A670" s="41" t="n"/>
      <c r="B670" s="37" t="n"/>
      <c r="C670" s="37" t="n"/>
      <c r="D670" s="39" t="str">
        <f>IF(C670="","",IFERROR(INDEX(art_des,MATCH(C670,art_ref,0))&amp;"","Référence inconnue"))</f>
        <v/>
      </c>
      <c r="E670" s="37" t="n"/>
      <c r="F670" s="39" t="str">
        <f>IF(C670="","",IFERROR(INDEX(art_unit,MATCH(C670,art_ref,0))&amp;"",""))</f>
        <v/>
      </c>
      <c r="G670" s="37" t="n"/>
      <c r="H670" s="37" t="n"/>
      <c r="I670" s="37" t="n"/>
      <c r="J670" s="40" t="str">
        <f>IF(OR(C670="",NOT(ISNUMBER(E670))),"",IFERROR(E670*N(INDEX(art_price,MATCH(C670,art_ref,0))),""))</f>
        <v/>
      </c>
      <c r="K670" s="39" t="str">
        <f>IF(OR(C670="",NOT(ISNUMBER(E670))),"",IFERROR(ROUND(N(INDEX(art_init,MATCH(C670,art_ref,0)))+SUMIFS($E$5:E670,$C$5:C670,C670,$B$5:B670,"Entrée")-SUMIFS($E$5:E670,$C$5:C670,C670,$B$5:B670,"Sortie"),6),""))</f>
        <v/>
      </c>
      <c r="L670" s="39" t="str">
        <f>IF(COUNTA(A670:C670,E670)=0,"",IF(COUNTA(A670:C670,E670)&lt;4,"Ligne incomplète",IF(NOT(ISNUMBER(A670)),"Date invalide",IF(AND(B670&lt;&gt;"Entrée",B670&lt;&gt;"Sortie"),"Type inconnu",IF(ISNA(MATCH(C670,art_ref,0)),"Référence inconnue",IF(OR(NOT(ISNUMBER(E670)),N(E670)&lt;=0),"Quantité invalide",IF(K670&lt;0,"Stock négatif",IF(AND(ISNUMBER(A669),A670&lt;A669),"Date hors ordre","OK"))))))))</f>
        <v/>
      </c>
      <c r="M670" s="39" t="str">
        <f>IF(C670="","",C670&amp;"#"&amp;COUNTIF($C$5:C670,C670))</f>
        <v/>
      </c>
    </row>
    <row r="671">
      <c r="A671" s="41" t="n"/>
      <c r="B671" s="37" t="n"/>
      <c r="C671" s="37" t="n"/>
      <c r="D671" s="39" t="str">
        <f>IF(C671="","",IFERROR(INDEX(art_des,MATCH(C671,art_ref,0))&amp;"","Référence inconnue"))</f>
        <v/>
      </c>
      <c r="E671" s="37" t="n"/>
      <c r="F671" s="39" t="str">
        <f>IF(C671="","",IFERROR(INDEX(art_unit,MATCH(C671,art_ref,0))&amp;"",""))</f>
        <v/>
      </c>
      <c r="G671" s="37" t="n"/>
      <c r="H671" s="37" t="n"/>
      <c r="I671" s="37" t="n"/>
      <c r="J671" s="40" t="str">
        <f>IF(OR(C671="",NOT(ISNUMBER(E671))),"",IFERROR(E671*N(INDEX(art_price,MATCH(C671,art_ref,0))),""))</f>
        <v/>
      </c>
      <c r="K671" s="39" t="str">
        <f>IF(OR(C671="",NOT(ISNUMBER(E671))),"",IFERROR(ROUND(N(INDEX(art_init,MATCH(C671,art_ref,0)))+SUMIFS($E$5:E671,$C$5:C671,C671,$B$5:B671,"Entrée")-SUMIFS($E$5:E671,$C$5:C671,C671,$B$5:B671,"Sortie"),6),""))</f>
        <v/>
      </c>
      <c r="L671" s="39" t="str">
        <f>IF(COUNTA(A671:C671,E671)=0,"",IF(COUNTA(A671:C671,E671)&lt;4,"Ligne incomplète",IF(NOT(ISNUMBER(A671)),"Date invalide",IF(AND(B671&lt;&gt;"Entrée",B671&lt;&gt;"Sortie"),"Type inconnu",IF(ISNA(MATCH(C671,art_ref,0)),"Référence inconnue",IF(OR(NOT(ISNUMBER(E671)),N(E671)&lt;=0),"Quantité invalide",IF(K671&lt;0,"Stock négatif",IF(AND(ISNUMBER(A670),A671&lt;A670),"Date hors ordre","OK"))))))))</f>
        <v/>
      </c>
      <c r="M671" s="39" t="str">
        <f>IF(C671="","",C671&amp;"#"&amp;COUNTIF($C$5:C671,C671))</f>
        <v/>
      </c>
    </row>
    <row r="672">
      <c r="A672" s="41" t="n"/>
      <c r="B672" s="37" t="n"/>
      <c r="C672" s="37" t="n"/>
      <c r="D672" s="39" t="str">
        <f>IF(C672="","",IFERROR(INDEX(art_des,MATCH(C672,art_ref,0))&amp;"","Référence inconnue"))</f>
        <v/>
      </c>
      <c r="E672" s="37" t="n"/>
      <c r="F672" s="39" t="str">
        <f>IF(C672="","",IFERROR(INDEX(art_unit,MATCH(C672,art_ref,0))&amp;"",""))</f>
        <v/>
      </c>
      <c r="G672" s="37" t="n"/>
      <c r="H672" s="37" t="n"/>
      <c r="I672" s="37" t="n"/>
      <c r="J672" s="40" t="str">
        <f>IF(OR(C672="",NOT(ISNUMBER(E672))),"",IFERROR(E672*N(INDEX(art_price,MATCH(C672,art_ref,0))),""))</f>
        <v/>
      </c>
      <c r="K672" s="39" t="str">
        <f>IF(OR(C672="",NOT(ISNUMBER(E672))),"",IFERROR(ROUND(N(INDEX(art_init,MATCH(C672,art_ref,0)))+SUMIFS($E$5:E672,$C$5:C672,C672,$B$5:B672,"Entrée")-SUMIFS($E$5:E672,$C$5:C672,C672,$B$5:B672,"Sortie"),6),""))</f>
        <v/>
      </c>
      <c r="L672" s="39" t="str">
        <f>IF(COUNTA(A672:C672,E672)=0,"",IF(COUNTA(A672:C672,E672)&lt;4,"Ligne incomplète",IF(NOT(ISNUMBER(A672)),"Date invalide",IF(AND(B672&lt;&gt;"Entrée",B672&lt;&gt;"Sortie"),"Type inconnu",IF(ISNA(MATCH(C672,art_ref,0)),"Référence inconnue",IF(OR(NOT(ISNUMBER(E672)),N(E672)&lt;=0),"Quantité invalide",IF(K672&lt;0,"Stock négatif",IF(AND(ISNUMBER(A671),A672&lt;A671),"Date hors ordre","OK"))))))))</f>
        <v/>
      </c>
      <c r="M672" s="39" t="str">
        <f>IF(C672="","",C672&amp;"#"&amp;COUNTIF($C$5:C672,C672))</f>
        <v/>
      </c>
    </row>
    <row r="673">
      <c r="A673" s="41" t="n"/>
      <c r="B673" s="37" t="n"/>
      <c r="C673" s="37" t="n"/>
      <c r="D673" s="39" t="str">
        <f>IF(C673="","",IFERROR(INDEX(art_des,MATCH(C673,art_ref,0))&amp;"","Référence inconnue"))</f>
        <v/>
      </c>
      <c r="E673" s="37" t="n"/>
      <c r="F673" s="39" t="str">
        <f>IF(C673="","",IFERROR(INDEX(art_unit,MATCH(C673,art_ref,0))&amp;"",""))</f>
        <v/>
      </c>
      <c r="G673" s="37" t="n"/>
      <c r="H673" s="37" t="n"/>
      <c r="I673" s="37" t="n"/>
      <c r="J673" s="40" t="str">
        <f>IF(OR(C673="",NOT(ISNUMBER(E673))),"",IFERROR(E673*N(INDEX(art_price,MATCH(C673,art_ref,0))),""))</f>
        <v/>
      </c>
      <c r="K673" s="39" t="str">
        <f>IF(OR(C673="",NOT(ISNUMBER(E673))),"",IFERROR(ROUND(N(INDEX(art_init,MATCH(C673,art_ref,0)))+SUMIFS($E$5:E673,$C$5:C673,C673,$B$5:B673,"Entrée")-SUMIFS($E$5:E673,$C$5:C673,C673,$B$5:B673,"Sortie"),6),""))</f>
        <v/>
      </c>
      <c r="L673" s="39" t="str">
        <f>IF(COUNTA(A673:C673,E673)=0,"",IF(COUNTA(A673:C673,E673)&lt;4,"Ligne incomplète",IF(NOT(ISNUMBER(A673)),"Date invalide",IF(AND(B673&lt;&gt;"Entrée",B673&lt;&gt;"Sortie"),"Type inconnu",IF(ISNA(MATCH(C673,art_ref,0)),"Référence inconnue",IF(OR(NOT(ISNUMBER(E673)),N(E673)&lt;=0),"Quantité invalide",IF(K673&lt;0,"Stock négatif",IF(AND(ISNUMBER(A672),A673&lt;A672),"Date hors ordre","OK"))))))))</f>
        <v/>
      </c>
      <c r="M673" s="39" t="str">
        <f>IF(C673="","",C673&amp;"#"&amp;COUNTIF($C$5:C673,C673))</f>
        <v/>
      </c>
    </row>
    <row r="674">
      <c r="A674" s="41" t="n"/>
      <c r="B674" s="37" t="n"/>
      <c r="C674" s="37" t="n"/>
      <c r="D674" s="39" t="str">
        <f>IF(C674="","",IFERROR(INDEX(art_des,MATCH(C674,art_ref,0))&amp;"","Référence inconnue"))</f>
        <v/>
      </c>
      <c r="E674" s="37" t="n"/>
      <c r="F674" s="39" t="str">
        <f>IF(C674="","",IFERROR(INDEX(art_unit,MATCH(C674,art_ref,0))&amp;"",""))</f>
        <v/>
      </c>
      <c r="G674" s="37" t="n"/>
      <c r="H674" s="37" t="n"/>
      <c r="I674" s="37" t="n"/>
      <c r="J674" s="40" t="str">
        <f>IF(OR(C674="",NOT(ISNUMBER(E674))),"",IFERROR(E674*N(INDEX(art_price,MATCH(C674,art_ref,0))),""))</f>
        <v/>
      </c>
      <c r="K674" s="39" t="str">
        <f>IF(OR(C674="",NOT(ISNUMBER(E674))),"",IFERROR(ROUND(N(INDEX(art_init,MATCH(C674,art_ref,0)))+SUMIFS($E$5:E674,$C$5:C674,C674,$B$5:B674,"Entrée")-SUMIFS($E$5:E674,$C$5:C674,C674,$B$5:B674,"Sortie"),6),""))</f>
        <v/>
      </c>
      <c r="L674" s="39" t="str">
        <f>IF(COUNTA(A674:C674,E674)=0,"",IF(COUNTA(A674:C674,E674)&lt;4,"Ligne incomplète",IF(NOT(ISNUMBER(A674)),"Date invalide",IF(AND(B674&lt;&gt;"Entrée",B674&lt;&gt;"Sortie"),"Type inconnu",IF(ISNA(MATCH(C674,art_ref,0)),"Référence inconnue",IF(OR(NOT(ISNUMBER(E674)),N(E674)&lt;=0),"Quantité invalide",IF(K674&lt;0,"Stock négatif",IF(AND(ISNUMBER(A673),A674&lt;A673),"Date hors ordre","OK"))))))))</f>
        <v/>
      </c>
      <c r="M674" s="39" t="str">
        <f>IF(C674="","",C674&amp;"#"&amp;COUNTIF($C$5:C674,C674))</f>
        <v/>
      </c>
    </row>
    <row r="675">
      <c r="A675" s="41" t="n"/>
      <c r="B675" s="37" t="n"/>
      <c r="C675" s="37" t="n"/>
      <c r="D675" s="39" t="str">
        <f>IF(C675="","",IFERROR(INDEX(art_des,MATCH(C675,art_ref,0))&amp;"","Référence inconnue"))</f>
        <v/>
      </c>
      <c r="E675" s="37" t="n"/>
      <c r="F675" s="39" t="str">
        <f>IF(C675="","",IFERROR(INDEX(art_unit,MATCH(C675,art_ref,0))&amp;"",""))</f>
        <v/>
      </c>
      <c r="G675" s="37" t="n"/>
      <c r="H675" s="37" t="n"/>
      <c r="I675" s="37" t="n"/>
      <c r="J675" s="40" t="str">
        <f>IF(OR(C675="",NOT(ISNUMBER(E675))),"",IFERROR(E675*N(INDEX(art_price,MATCH(C675,art_ref,0))),""))</f>
        <v/>
      </c>
      <c r="K675" s="39" t="str">
        <f>IF(OR(C675="",NOT(ISNUMBER(E675))),"",IFERROR(ROUND(N(INDEX(art_init,MATCH(C675,art_ref,0)))+SUMIFS($E$5:E675,$C$5:C675,C675,$B$5:B675,"Entrée")-SUMIFS($E$5:E675,$C$5:C675,C675,$B$5:B675,"Sortie"),6),""))</f>
        <v/>
      </c>
      <c r="L675" s="39" t="str">
        <f>IF(COUNTA(A675:C675,E675)=0,"",IF(COUNTA(A675:C675,E675)&lt;4,"Ligne incomplète",IF(NOT(ISNUMBER(A675)),"Date invalide",IF(AND(B675&lt;&gt;"Entrée",B675&lt;&gt;"Sortie"),"Type inconnu",IF(ISNA(MATCH(C675,art_ref,0)),"Référence inconnue",IF(OR(NOT(ISNUMBER(E675)),N(E675)&lt;=0),"Quantité invalide",IF(K675&lt;0,"Stock négatif",IF(AND(ISNUMBER(A674),A675&lt;A674),"Date hors ordre","OK"))))))))</f>
        <v/>
      </c>
      <c r="M675" s="39" t="str">
        <f>IF(C675="","",C675&amp;"#"&amp;COUNTIF($C$5:C675,C675))</f>
        <v/>
      </c>
    </row>
    <row r="676">
      <c r="A676" s="41" t="n"/>
      <c r="B676" s="37" t="n"/>
      <c r="C676" s="37" t="n"/>
      <c r="D676" s="39" t="str">
        <f>IF(C676="","",IFERROR(INDEX(art_des,MATCH(C676,art_ref,0))&amp;"","Référence inconnue"))</f>
        <v/>
      </c>
      <c r="E676" s="37" t="n"/>
      <c r="F676" s="39" t="str">
        <f>IF(C676="","",IFERROR(INDEX(art_unit,MATCH(C676,art_ref,0))&amp;"",""))</f>
        <v/>
      </c>
      <c r="G676" s="37" t="n"/>
      <c r="H676" s="37" t="n"/>
      <c r="I676" s="37" t="n"/>
      <c r="J676" s="40" t="str">
        <f>IF(OR(C676="",NOT(ISNUMBER(E676))),"",IFERROR(E676*N(INDEX(art_price,MATCH(C676,art_ref,0))),""))</f>
        <v/>
      </c>
      <c r="K676" s="39" t="str">
        <f>IF(OR(C676="",NOT(ISNUMBER(E676))),"",IFERROR(ROUND(N(INDEX(art_init,MATCH(C676,art_ref,0)))+SUMIFS($E$5:E676,$C$5:C676,C676,$B$5:B676,"Entrée")-SUMIFS($E$5:E676,$C$5:C676,C676,$B$5:B676,"Sortie"),6),""))</f>
        <v/>
      </c>
      <c r="L676" s="39" t="str">
        <f>IF(COUNTA(A676:C676,E676)=0,"",IF(COUNTA(A676:C676,E676)&lt;4,"Ligne incomplète",IF(NOT(ISNUMBER(A676)),"Date invalide",IF(AND(B676&lt;&gt;"Entrée",B676&lt;&gt;"Sortie"),"Type inconnu",IF(ISNA(MATCH(C676,art_ref,0)),"Référence inconnue",IF(OR(NOT(ISNUMBER(E676)),N(E676)&lt;=0),"Quantité invalide",IF(K676&lt;0,"Stock négatif",IF(AND(ISNUMBER(A675),A676&lt;A675),"Date hors ordre","OK"))))))))</f>
        <v/>
      </c>
      <c r="M676" s="39" t="str">
        <f>IF(C676="","",C676&amp;"#"&amp;COUNTIF($C$5:C676,C676))</f>
        <v/>
      </c>
    </row>
    <row r="677">
      <c r="A677" s="41" t="n"/>
      <c r="B677" s="37" t="n"/>
      <c r="C677" s="37" t="n"/>
      <c r="D677" s="39" t="str">
        <f>IF(C677="","",IFERROR(INDEX(art_des,MATCH(C677,art_ref,0))&amp;"","Référence inconnue"))</f>
        <v/>
      </c>
      <c r="E677" s="37" t="n"/>
      <c r="F677" s="39" t="str">
        <f>IF(C677="","",IFERROR(INDEX(art_unit,MATCH(C677,art_ref,0))&amp;"",""))</f>
        <v/>
      </c>
      <c r="G677" s="37" t="n"/>
      <c r="H677" s="37" t="n"/>
      <c r="I677" s="37" t="n"/>
      <c r="J677" s="40" t="str">
        <f>IF(OR(C677="",NOT(ISNUMBER(E677))),"",IFERROR(E677*N(INDEX(art_price,MATCH(C677,art_ref,0))),""))</f>
        <v/>
      </c>
      <c r="K677" s="39" t="str">
        <f>IF(OR(C677="",NOT(ISNUMBER(E677))),"",IFERROR(ROUND(N(INDEX(art_init,MATCH(C677,art_ref,0)))+SUMIFS($E$5:E677,$C$5:C677,C677,$B$5:B677,"Entrée")-SUMIFS($E$5:E677,$C$5:C677,C677,$B$5:B677,"Sortie"),6),""))</f>
        <v/>
      </c>
      <c r="L677" s="39" t="str">
        <f>IF(COUNTA(A677:C677,E677)=0,"",IF(COUNTA(A677:C677,E677)&lt;4,"Ligne incomplète",IF(NOT(ISNUMBER(A677)),"Date invalide",IF(AND(B677&lt;&gt;"Entrée",B677&lt;&gt;"Sortie"),"Type inconnu",IF(ISNA(MATCH(C677,art_ref,0)),"Référence inconnue",IF(OR(NOT(ISNUMBER(E677)),N(E677)&lt;=0),"Quantité invalide",IF(K677&lt;0,"Stock négatif",IF(AND(ISNUMBER(A676),A677&lt;A676),"Date hors ordre","OK"))))))))</f>
        <v/>
      </c>
      <c r="M677" s="39" t="str">
        <f>IF(C677="","",C677&amp;"#"&amp;COUNTIF($C$5:C677,C677))</f>
        <v/>
      </c>
    </row>
    <row r="678">
      <c r="A678" s="41" t="n"/>
      <c r="B678" s="37" t="n"/>
      <c r="C678" s="37" t="n"/>
      <c r="D678" s="39" t="str">
        <f>IF(C678="","",IFERROR(INDEX(art_des,MATCH(C678,art_ref,0))&amp;"","Référence inconnue"))</f>
        <v/>
      </c>
      <c r="E678" s="37" t="n"/>
      <c r="F678" s="39" t="str">
        <f>IF(C678="","",IFERROR(INDEX(art_unit,MATCH(C678,art_ref,0))&amp;"",""))</f>
        <v/>
      </c>
      <c r="G678" s="37" t="n"/>
      <c r="H678" s="37" t="n"/>
      <c r="I678" s="37" t="n"/>
      <c r="J678" s="40" t="str">
        <f>IF(OR(C678="",NOT(ISNUMBER(E678))),"",IFERROR(E678*N(INDEX(art_price,MATCH(C678,art_ref,0))),""))</f>
        <v/>
      </c>
      <c r="K678" s="39" t="str">
        <f>IF(OR(C678="",NOT(ISNUMBER(E678))),"",IFERROR(ROUND(N(INDEX(art_init,MATCH(C678,art_ref,0)))+SUMIFS($E$5:E678,$C$5:C678,C678,$B$5:B678,"Entrée")-SUMIFS($E$5:E678,$C$5:C678,C678,$B$5:B678,"Sortie"),6),""))</f>
        <v/>
      </c>
      <c r="L678" s="39" t="str">
        <f>IF(COUNTA(A678:C678,E678)=0,"",IF(COUNTA(A678:C678,E678)&lt;4,"Ligne incomplète",IF(NOT(ISNUMBER(A678)),"Date invalide",IF(AND(B678&lt;&gt;"Entrée",B678&lt;&gt;"Sortie"),"Type inconnu",IF(ISNA(MATCH(C678,art_ref,0)),"Référence inconnue",IF(OR(NOT(ISNUMBER(E678)),N(E678)&lt;=0),"Quantité invalide",IF(K678&lt;0,"Stock négatif",IF(AND(ISNUMBER(A677),A678&lt;A677),"Date hors ordre","OK"))))))))</f>
        <v/>
      </c>
      <c r="M678" s="39" t="str">
        <f>IF(C678="","",C678&amp;"#"&amp;COUNTIF($C$5:C678,C678))</f>
        <v/>
      </c>
    </row>
    <row r="679">
      <c r="A679" s="41" t="n"/>
      <c r="B679" s="37" t="n"/>
      <c r="C679" s="37" t="n"/>
      <c r="D679" s="39" t="str">
        <f>IF(C679="","",IFERROR(INDEX(art_des,MATCH(C679,art_ref,0))&amp;"","Référence inconnue"))</f>
        <v/>
      </c>
      <c r="E679" s="37" t="n"/>
      <c r="F679" s="39" t="str">
        <f>IF(C679="","",IFERROR(INDEX(art_unit,MATCH(C679,art_ref,0))&amp;"",""))</f>
        <v/>
      </c>
      <c r="G679" s="37" t="n"/>
      <c r="H679" s="37" t="n"/>
      <c r="I679" s="37" t="n"/>
      <c r="J679" s="40" t="str">
        <f>IF(OR(C679="",NOT(ISNUMBER(E679))),"",IFERROR(E679*N(INDEX(art_price,MATCH(C679,art_ref,0))),""))</f>
        <v/>
      </c>
      <c r="K679" s="39" t="str">
        <f>IF(OR(C679="",NOT(ISNUMBER(E679))),"",IFERROR(ROUND(N(INDEX(art_init,MATCH(C679,art_ref,0)))+SUMIFS($E$5:E679,$C$5:C679,C679,$B$5:B679,"Entrée")-SUMIFS($E$5:E679,$C$5:C679,C679,$B$5:B679,"Sortie"),6),""))</f>
        <v/>
      </c>
      <c r="L679" s="39" t="str">
        <f>IF(COUNTA(A679:C679,E679)=0,"",IF(COUNTA(A679:C679,E679)&lt;4,"Ligne incomplète",IF(NOT(ISNUMBER(A679)),"Date invalide",IF(AND(B679&lt;&gt;"Entrée",B679&lt;&gt;"Sortie"),"Type inconnu",IF(ISNA(MATCH(C679,art_ref,0)),"Référence inconnue",IF(OR(NOT(ISNUMBER(E679)),N(E679)&lt;=0),"Quantité invalide",IF(K679&lt;0,"Stock négatif",IF(AND(ISNUMBER(A678),A679&lt;A678),"Date hors ordre","OK"))))))))</f>
        <v/>
      </c>
      <c r="M679" s="39" t="str">
        <f>IF(C679="","",C679&amp;"#"&amp;COUNTIF($C$5:C679,C679))</f>
        <v/>
      </c>
    </row>
    <row r="680">
      <c r="A680" s="41" t="n"/>
      <c r="B680" s="37" t="n"/>
      <c r="C680" s="37" t="n"/>
      <c r="D680" s="39" t="str">
        <f>IF(C680="","",IFERROR(INDEX(art_des,MATCH(C680,art_ref,0))&amp;"","Référence inconnue"))</f>
        <v/>
      </c>
      <c r="E680" s="37" t="n"/>
      <c r="F680" s="39" t="str">
        <f>IF(C680="","",IFERROR(INDEX(art_unit,MATCH(C680,art_ref,0))&amp;"",""))</f>
        <v/>
      </c>
      <c r="G680" s="37" t="n"/>
      <c r="H680" s="37" t="n"/>
      <c r="I680" s="37" t="n"/>
      <c r="J680" s="40" t="str">
        <f>IF(OR(C680="",NOT(ISNUMBER(E680))),"",IFERROR(E680*N(INDEX(art_price,MATCH(C680,art_ref,0))),""))</f>
        <v/>
      </c>
      <c r="K680" s="39" t="str">
        <f>IF(OR(C680="",NOT(ISNUMBER(E680))),"",IFERROR(ROUND(N(INDEX(art_init,MATCH(C680,art_ref,0)))+SUMIFS($E$5:E680,$C$5:C680,C680,$B$5:B680,"Entrée")-SUMIFS($E$5:E680,$C$5:C680,C680,$B$5:B680,"Sortie"),6),""))</f>
        <v/>
      </c>
      <c r="L680" s="39" t="str">
        <f>IF(COUNTA(A680:C680,E680)=0,"",IF(COUNTA(A680:C680,E680)&lt;4,"Ligne incomplète",IF(NOT(ISNUMBER(A680)),"Date invalide",IF(AND(B680&lt;&gt;"Entrée",B680&lt;&gt;"Sortie"),"Type inconnu",IF(ISNA(MATCH(C680,art_ref,0)),"Référence inconnue",IF(OR(NOT(ISNUMBER(E680)),N(E680)&lt;=0),"Quantité invalide",IF(K680&lt;0,"Stock négatif",IF(AND(ISNUMBER(A679),A680&lt;A679),"Date hors ordre","OK"))))))))</f>
        <v/>
      </c>
      <c r="M680" s="39" t="str">
        <f>IF(C680="","",C680&amp;"#"&amp;COUNTIF($C$5:C680,C680))</f>
        <v/>
      </c>
    </row>
    <row r="681">
      <c r="A681" s="41" t="n"/>
      <c r="B681" s="37" t="n"/>
      <c r="C681" s="37" t="n"/>
      <c r="D681" s="39" t="str">
        <f>IF(C681="","",IFERROR(INDEX(art_des,MATCH(C681,art_ref,0))&amp;"","Référence inconnue"))</f>
        <v/>
      </c>
      <c r="E681" s="37" t="n"/>
      <c r="F681" s="39" t="str">
        <f>IF(C681="","",IFERROR(INDEX(art_unit,MATCH(C681,art_ref,0))&amp;"",""))</f>
        <v/>
      </c>
      <c r="G681" s="37" t="n"/>
      <c r="H681" s="37" t="n"/>
      <c r="I681" s="37" t="n"/>
      <c r="J681" s="40" t="str">
        <f>IF(OR(C681="",NOT(ISNUMBER(E681))),"",IFERROR(E681*N(INDEX(art_price,MATCH(C681,art_ref,0))),""))</f>
        <v/>
      </c>
      <c r="K681" s="39" t="str">
        <f>IF(OR(C681="",NOT(ISNUMBER(E681))),"",IFERROR(ROUND(N(INDEX(art_init,MATCH(C681,art_ref,0)))+SUMIFS($E$5:E681,$C$5:C681,C681,$B$5:B681,"Entrée")-SUMIFS($E$5:E681,$C$5:C681,C681,$B$5:B681,"Sortie"),6),""))</f>
        <v/>
      </c>
      <c r="L681" s="39" t="str">
        <f>IF(COUNTA(A681:C681,E681)=0,"",IF(COUNTA(A681:C681,E681)&lt;4,"Ligne incomplète",IF(NOT(ISNUMBER(A681)),"Date invalide",IF(AND(B681&lt;&gt;"Entrée",B681&lt;&gt;"Sortie"),"Type inconnu",IF(ISNA(MATCH(C681,art_ref,0)),"Référence inconnue",IF(OR(NOT(ISNUMBER(E681)),N(E681)&lt;=0),"Quantité invalide",IF(K681&lt;0,"Stock négatif",IF(AND(ISNUMBER(A680),A681&lt;A680),"Date hors ordre","OK"))))))))</f>
        <v/>
      </c>
      <c r="M681" s="39" t="str">
        <f>IF(C681="","",C681&amp;"#"&amp;COUNTIF($C$5:C681,C681))</f>
        <v/>
      </c>
    </row>
    <row r="682">
      <c r="A682" s="41" t="n"/>
      <c r="B682" s="37" t="n"/>
      <c r="C682" s="37" t="n"/>
      <c r="D682" s="39" t="str">
        <f>IF(C682="","",IFERROR(INDEX(art_des,MATCH(C682,art_ref,0))&amp;"","Référence inconnue"))</f>
        <v/>
      </c>
      <c r="E682" s="37" t="n"/>
      <c r="F682" s="39" t="str">
        <f>IF(C682="","",IFERROR(INDEX(art_unit,MATCH(C682,art_ref,0))&amp;"",""))</f>
        <v/>
      </c>
      <c r="G682" s="37" t="n"/>
      <c r="H682" s="37" t="n"/>
      <c r="I682" s="37" t="n"/>
      <c r="J682" s="40" t="str">
        <f>IF(OR(C682="",NOT(ISNUMBER(E682))),"",IFERROR(E682*N(INDEX(art_price,MATCH(C682,art_ref,0))),""))</f>
        <v/>
      </c>
      <c r="K682" s="39" t="str">
        <f>IF(OR(C682="",NOT(ISNUMBER(E682))),"",IFERROR(ROUND(N(INDEX(art_init,MATCH(C682,art_ref,0)))+SUMIFS($E$5:E682,$C$5:C682,C682,$B$5:B682,"Entrée")-SUMIFS($E$5:E682,$C$5:C682,C682,$B$5:B682,"Sortie"),6),""))</f>
        <v/>
      </c>
      <c r="L682" s="39" t="str">
        <f>IF(COUNTA(A682:C682,E682)=0,"",IF(COUNTA(A682:C682,E682)&lt;4,"Ligne incomplète",IF(NOT(ISNUMBER(A682)),"Date invalide",IF(AND(B682&lt;&gt;"Entrée",B682&lt;&gt;"Sortie"),"Type inconnu",IF(ISNA(MATCH(C682,art_ref,0)),"Référence inconnue",IF(OR(NOT(ISNUMBER(E682)),N(E682)&lt;=0),"Quantité invalide",IF(K682&lt;0,"Stock négatif",IF(AND(ISNUMBER(A681),A682&lt;A681),"Date hors ordre","OK"))))))))</f>
        <v/>
      </c>
      <c r="M682" s="39" t="str">
        <f>IF(C682="","",C682&amp;"#"&amp;COUNTIF($C$5:C682,C682))</f>
        <v/>
      </c>
    </row>
    <row r="683">
      <c r="A683" s="41" t="n"/>
      <c r="B683" s="37" t="n"/>
      <c r="C683" s="37" t="n"/>
      <c r="D683" s="39" t="str">
        <f>IF(C683="","",IFERROR(INDEX(art_des,MATCH(C683,art_ref,0))&amp;"","Référence inconnue"))</f>
        <v/>
      </c>
      <c r="E683" s="37" t="n"/>
      <c r="F683" s="39" t="str">
        <f>IF(C683="","",IFERROR(INDEX(art_unit,MATCH(C683,art_ref,0))&amp;"",""))</f>
        <v/>
      </c>
      <c r="G683" s="37" t="n"/>
      <c r="H683" s="37" t="n"/>
      <c r="I683" s="37" t="n"/>
      <c r="J683" s="40" t="str">
        <f>IF(OR(C683="",NOT(ISNUMBER(E683))),"",IFERROR(E683*N(INDEX(art_price,MATCH(C683,art_ref,0))),""))</f>
        <v/>
      </c>
      <c r="K683" s="39" t="str">
        <f>IF(OR(C683="",NOT(ISNUMBER(E683))),"",IFERROR(ROUND(N(INDEX(art_init,MATCH(C683,art_ref,0)))+SUMIFS($E$5:E683,$C$5:C683,C683,$B$5:B683,"Entrée")-SUMIFS($E$5:E683,$C$5:C683,C683,$B$5:B683,"Sortie"),6),""))</f>
        <v/>
      </c>
      <c r="L683" s="39" t="str">
        <f>IF(COUNTA(A683:C683,E683)=0,"",IF(COUNTA(A683:C683,E683)&lt;4,"Ligne incomplète",IF(NOT(ISNUMBER(A683)),"Date invalide",IF(AND(B683&lt;&gt;"Entrée",B683&lt;&gt;"Sortie"),"Type inconnu",IF(ISNA(MATCH(C683,art_ref,0)),"Référence inconnue",IF(OR(NOT(ISNUMBER(E683)),N(E683)&lt;=0),"Quantité invalide",IF(K683&lt;0,"Stock négatif",IF(AND(ISNUMBER(A682),A683&lt;A682),"Date hors ordre","OK"))))))))</f>
        <v/>
      </c>
      <c r="M683" s="39" t="str">
        <f>IF(C683="","",C683&amp;"#"&amp;COUNTIF($C$5:C683,C683))</f>
        <v/>
      </c>
    </row>
    <row r="684">
      <c r="A684" s="41" t="n"/>
      <c r="B684" s="37" t="n"/>
      <c r="C684" s="37" t="n"/>
      <c r="D684" s="39" t="str">
        <f>IF(C684="","",IFERROR(INDEX(art_des,MATCH(C684,art_ref,0))&amp;"","Référence inconnue"))</f>
        <v/>
      </c>
      <c r="E684" s="37" t="n"/>
      <c r="F684" s="39" t="str">
        <f>IF(C684="","",IFERROR(INDEX(art_unit,MATCH(C684,art_ref,0))&amp;"",""))</f>
        <v/>
      </c>
      <c r="G684" s="37" t="n"/>
      <c r="H684" s="37" t="n"/>
      <c r="I684" s="37" t="n"/>
      <c r="J684" s="40" t="str">
        <f>IF(OR(C684="",NOT(ISNUMBER(E684))),"",IFERROR(E684*N(INDEX(art_price,MATCH(C684,art_ref,0))),""))</f>
        <v/>
      </c>
      <c r="K684" s="39" t="str">
        <f>IF(OR(C684="",NOT(ISNUMBER(E684))),"",IFERROR(ROUND(N(INDEX(art_init,MATCH(C684,art_ref,0)))+SUMIFS($E$5:E684,$C$5:C684,C684,$B$5:B684,"Entrée")-SUMIFS($E$5:E684,$C$5:C684,C684,$B$5:B684,"Sortie"),6),""))</f>
        <v/>
      </c>
      <c r="L684" s="39" t="str">
        <f>IF(COUNTA(A684:C684,E684)=0,"",IF(COUNTA(A684:C684,E684)&lt;4,"Ligne incomplète",IF(NOT(ISNUMBER(A684)),"Date invalide",IF(AND(B684&lt;&gt;"Entrée",B684&lt;&gt;"Sortie"),"Type inconnu",IF(ISNA(MATCH(C684,art_ref,0)),"Référence inconnue",IF(OR(NOT(ISNUMBER(E684)),N(E684)&lt;=0),"Quantité invalide",IF(K684&lt;0,"Stock négatif",IF(AND(ISNUMBER(A683),A684&lt;A683),"Date hors ordre","OK"))))))))</f>
        <v/>
      </c>
      <c r="M684" s="39" t="str">
        <f>IF(C684="","",C684&amp;"#"&amp;COUNTIF($C$5:C684,C684))</f>
        <v/>
      </c>
    </row>
    <row r="685">
      <c r="A685" s="41" t="n"/>
      <c r="B685" s="37" t="n"/>
      <c r="C685" s="37" t="n"/>
      <c r="D685" s="39" t="str">
        <f>IF(C685="","",IFERROR(INDEX(art_des,MATCH(C685,art_ref,0))&amp;"","Référence inconnue"))</f>
        <v/>
      </c>
      <c r="E685" s="37" t="n"/>
      <c r="F685" s="39" t="str">
        <f>IF(C685="","",IFERROR(INDEX(art_unit,MATCH(C685,art_ref,0))&amp;"",""))</f>
        <v/>
      </c>
      <c r="G685" s="37" t="n"/>
      <c r="H685" s="37" t="n"/>
      <c r="I685" s="37" t="n"/>
      <c r="J685" s="40" t="str">
        <f>IF(OR(C685="",NOT(ISNUMBER(E685))),"",IFERROR(E685*N(INDEX(art_price,MATCH(C685,art_ref,0))),""))</f>
        <v/>
      </c>
      <c r="K685" s="39" t="str">
        <f>IF(OR(C685="",NOT(ISNUMBER(E685))),"",IFERROR(ROUND(N(INDEX(art_init,MATCH(C685,art_ref,0)))+SUMIFS($E$5:E685,$C$5:C685,C685,$B$5:B685,"Entrée")-SUMIFS($E$5:E685,$C$5:C685,C685,$B$5:B685,"Sortie"),6),""))</f>
        <v/>
      </c>
      <c r="L685" s="39" t="str">
        <f>IF(COUNTA(A685:C685,E685)=0,"",IF(COUNTA(A685:C685,E685)&lt;4,"Ligne incomplète",IF(NOT(ISNUMBER(A685)),"Date invalide",IF(AND(B685&lt;&gt;"Entrée",B685&lt;&gt;"Sortie"),"Type inconnu",IF(ISNA(MATCH(C685,art_ref,0)),"Référence inconnue",IF(OR(NOT(ISNUMBER(E685)),N(E685)&lt;=0),"Quantité invalide",IF(K685&lt;0,"Stock négatif",IF(AND(ISNUMBER(A684),A685&lt;A684),"Date hors ordre","OK"))))))))</f>
        <v/>
      </c>
      <c r="M685" s="39" t="str">
        <f>IF(C685="","",C685&amp;"#"&amp;COUNTIF($C$5:C685,C685))</f>
        <v/>
      </c>
    </row>
    <row r="686">
      <c r="A686" s="41" t="n"/>
      <c r="B686" s="37" t="n"/>
      <c r="C686" s="37" t="n"/>
      <c r="D686" s="39" t="str">
        <f>IF(C686="","",IFERROR(INDEX(art_des,MATCH(C686,art_ref,0))&amp;"","Référence inconnue"))</f>
        <v/>
      </c>
      <c r="E686" s="37" t="n"/>
      <c r="F686" s="39" t="str">
        <f>IF(C686="","",IFERROR(INDEX(art_unit,MATCH(C686,art_ref,0))&amp;"",""))</f>
        <v/>
      </c>
      <c r="G686" s="37" t="n"/>
      <c r="H686" s="37" t="n"/>
      <c r="I686" s="37" t="n"/>
      <c r="J686" s="40" t="str">
        <f>IF(OR(C686="",NOT(ISNUMBER(E686))),"",IFERROR(E686*N(INDEX(art_price,MATCH(C686,art_ref,0))),""))</f>
        <v/>
      </c>
      <c r="K686" s="39" t="str">
        <f>IF(OR(C686="",NOT(ISNUMBER(E686))),"",IFERROR(ROUND(N(INDEX(art_init,MATCH(C686,art_ref,0)))+SUMIFS($E$5:E686,$C$5:C686,C686,$B$5:B686,"Entrée")-SUMIFS($E$5:E686,$C$5:C686,C686,$B$5:B686,"Sortie"),6),""))</f>
        <v/>
      </c>
      <c r="L686" s="39" t="str">
        <f>IF(COUNTA(A686:C686,E686)=0,"",IF(COUNTA(A686:C686,E686)&lt;4,"Ligne incomplète",IF(NOT(ISNUMBER(A686)),"Date invalide",IF(AND(B686&lt;&gt;"Entrée",B686&lt;&gt;"Sortie"),"Type inconnu",IF(ISNA(MATCH(C686,art_ref,0)),"Référence inconnue",IF(OR(NOT(ISNUMBER(E686)),N(E686)&lt;=0),"Quantité invalide",IF(K686&lt;0,"Stock négatif",IF(AND(ISNUMBER(A685),A686&lt;A685),"Date hors ordre","OK"))))))))</f>
        <v/>
      </c>
      <c r="M686" s="39" t="str">
        <f>IF(C686="","",C686&amp;"#"&amp;COUNTIF($C$5:C686,C686))</f>
        <v/>
      </c>
    </row>
    <row r="687">
      <c r="A687" s="41" t="n"/>
      <c r="B687" s="37" t="n"/>
      <c r="C687" s="37" t="n"/>
      <c r="D687" s="39" t="str">
        <f>IF(C687="","",IFERROR(INDEX(art_des,MATCH(C687,art_ref,0))&amp;"","Référence inconnue"))</f>
        <v/>
      </c>
      <c r="E687" s="37" t="n"/>
      <c r="F687" s="39" t="str">
        <f>IF(C687="","",IFERROR(INDEX(art_unit,MATCH(C687,art_ref,0))&amp;"",""))</f>
        <v/>
      </c>
      <c r="G687" s="37" t="n"/>
      <c r="H687" s="37" t="n"/>
      <c r="I687" s="37" t="n"/>
      <c r="J687" s="40" t="str">
        <f>IF(OR(C687="",NOT(ISNUMBER(E687))),"",IFERROR(E687*N(INDEX(art_price,MATCH(C687,art_ref,0))),""))</f>
        <v/>
      </c>
      <c r="K687" s="39" t="str">
        <f>IF(OR(C687="",NOT(ISNUMBER(E687))),"",IFERROR(ROUND(N(INDEX(art_init,MATCH(C687,art_ref,0)))+SUMIFS($E$5:E687,$C$5:C687,C687,$B$5:B687,"Entrée")-SUMIFS($E$5:E687,$C$5:C687,C687,$B$5:B687,"Sortie"),6),""))</f>
        <v/>
      </c>
      <c r="L687" s="39" t="str">
        <f>IF(COUNTA(A687:C687,E687)=0,"",IF(COUNTA(A687:C687,E687)&lt;4,"Ligne incomplète",IF(NOT(ISNUMBER(A687)),"Date invalide",IF(AND(B687&lt;&gt;"Entrée",B687&lt;&gt;"Sortie"),"Type inconnu",IF(ISNA(MATCH(C687,art_ref,0)),"Référence inconnue",IF(OR(NOT(ISNUMBER(E687)),N(E687)&lt;=0),"Quantité invalide",IF(K687&lt;0,"Stock négatif",IF(AND(ISNUMBER(A686),A687&lt;A686),"Date hors ordre","OK"))))))))</f>
        <v/>
      </c>
      <c r="M687" s="39" t="str">
        <f>IF(C687="","",C687&amp;"#"&amp;COUNTIF($C$5:C687,C687))</f>
        <v/>
      </c>
    </row>
    <row r="688">
      <c r="A688" s="41" t="n"/>
      <c r="B688" s="37" t="n"/>
      <c r="C688" s="37" t="n"/>
      <c r="D688" s="39" t="str">
        <f>IF(C688="","",IFERROR(INDEX(art_des,MATCH(C688,art_ref,0))&amp;"","Référence inconnue"))</f>
        <v/>
      </c>
      <c r="E688" s="37" t="n"/>
      <c r="F688" s="39" t="str">
        <f>IF(C688="","",IFERROR(INDEX(art_unit,MATCH(C688,art_ref,0))&amp;"",""))</f>
        <v/>
      </c>
      <c r="G688" s="37" t="n"/>
      <c r="H688" s="37" t="n"/>
      <c r="I688" s="37" t="n"/>
      <c r="J688" s="40" t="str">
        <f>IF(OR(C688="",NOT(ISNUMBER(E688))),"",IFERROR(E688*N(INDEX(art_price,MATCH(C688,art_ref,0))),""))</f>
        <v/>
      </c>
      <c r="K688" s="39" t="str">
        <f>IF(OR(C688="",NOT(ISNUMBER(E688))),"",IFERROR(ROUND(N(INDEX(art_init,MATCH(C688,art_ref,0)))+SUMIFS($E$5:E688,$C$5:C688,C688,$B$5:B688,"Entrée")-SUMIFS($E$5:E688,$C$5:C688,C688,$B$5:B688,"Sortie"),6),""))</f>
        <v/>
      </c>
      <c r="L688" s="39" t="str">
        <f>IF(COUNTA(A688:C688,E688)=0,"",IF(COUNTA(A688:C688,E688)&lt;4,"Ligne incomplète",IF(NOT(ISNUMBER(A688)),"Date invalide",IF(AND(B688&lt;&gt;"Entrée",B688&lt;&gt;"Sortie"),"Type inconnu",IF(ISNA(MATCH(C688,art_ref,0)),"Référence inconnue",IF(OR(NOT(ISNUMBER(E688)),N(E688)&lt;=0),"Quantité invalide",IF(K688&lt;0,"Stock négatif",IF(AND(ISNUMBER(A687),A688&lt;A687),"Date hors ordre","OK"))))))))</f>
        <v/>
      </c>
      <c r="M688" s="39" t="str">
        <f>IF(C688="","",C688&amp;"#"&amp;COUNTIF($C$5:C688,C688))</f>
        <v/>
      </c>
    </row>
    <row r="689">
      <c r="A689" s="41" t="n"/>
      <c r="B689" s="37" t="n"/>
      <c r="C689" s="37" t="n"/>
      <c r="D689" s="39" t="str">
        <f>IF(C689="","",IFERROR(INDEX(art_des,MATCH(C689,art_ref,0))&amp;"","Référence inconnue"))</f>
        <v/>
      </c>
      <c r="E689" s="37" t="n"/>
      <c r="F689" s="39" t="str">
        <f>IF(C689="","",IFERROR(INDEX(art_unit,MATCH(C689,art_ref,0))&amp;"",""))</f>
        <v/>
      </c>
      <c r="G689" s="37" t="n"/>
      <c r="H689" s="37" t="n"/>
      <c r="I689" s="37" t="n"/>
      <c r="J689" s="40" t="str">
        <f>IF(OR(C689="",NOT(ISNUMBER(E689))),"",IFERROR(E689*N(INDEX(art_price,MATCH(C689,art_ref,0))),""))</f>
        <v/>
      </c>
      <c r="K689" s="39" t="str">
        <f>IF(OR(C689="",NOT(ISNUMBER(E689))),"",IFERROR(ROUND(N(INDEX(art_init,MATCH(C689,art_ref,0)))+SUMIFS($E$5:E689,$C$5:C689,C689,$B$5:B689,"Entrée")-SUMIFS($E$5:E689,$C$5:C689,C689,$B$5:B689,"Sortie"),6),""))</f>
        <v/>
      </c>
      <c r="L689" s="39" t="str">
        <f>IF(COUNTA(A689:C689,E689)=0,"",IF(COUNTA(A689:C689,E689)&lt;4,"Ligne incomplète",IF(NOT(ISNUMBER(A689)),"Date invalide",IF(AND(B689&lt;&gt;"Entrée",B689&lt;&gt;"Sortie"),"Type inconnu",IF(ISNA(MATCH(C689,art_ref,0)),"Référence inconnue",IF(OR(NOT(ISNUMBER(E689)),N(E689)&lt;=0),"Quantité invalide",IF(K689&lt;0,"Stock négatif",IF(AND(ISNUMBER(A688),A689&lt;A688),"Date hors ordre","OK"))))))))</f>
        <v/>
      </c>
      <c r="M689" s="39" t="str">
        <f>IF(C689="","",C689&amp;"#"&amp;COUNTIF($C$5:C689,C689))</f>
        <v/>
      </c>
    </row>
    <row r="690">
      <c r="A690" s="41" t="n"/>
      <c r="B690" s="37" t="n"/>
      <c r="C690" s="37" t="n"/>
      <c r="D690" s="39" t="str">
        <f>IF(C690="","",IFERROR(INDEX(art_des,MATCH(C690,art_ref,0))&amp;"","Référence inconnue"))</f>
        <v/>
      </c>
      <c r="E690" s="37" t="n"/>
      <c r="F690" s="39" t="str">
        <f>IF(C690="","",IFERROR(INDEX(art_unit,MATCH(C690,art_ref,0))&amp;"",""))</f>
        <v/>
      </c>
      <c r="G690" s="37" t="n"/>
      <c r="H690" s="37" t="n"/>
      <c r="I690" s="37" t="n"/>
      <c r="J690" s="40" t="str">
        <f>IF(OR(C690="",NOT(ISNUMBER(E690))),"",IFERROR(E690*N(INDEX(art_price,MATCH(C690,art_ref,0))),""))</f>
        <v/>
      </c>
      <c r="K690" s="39" t="str">
        <f>IF(OR(C690="",NOT(ISNUMBER(E690))),"",IFERROR(ROUND(N(INDEX(art_init,MATCH(C690,art_ref,0)))+SUMIFS($E$5:E690,$C$5:C690,C690,$B$5:B690,"Entrée")-SUMIFS($E$5:E690,$C$5:C690,C690,$B$5:B690,"Sortie"),6),""))</f>
        <v/>
      </c>
      <c r="L690" s="39" t="str">
        <f>IF(COUNTA(A690:C690,E690)=0,"",IF(COUNTA(A690:C690,E690)&lt;4,"Ligne incomplète",IF(NOT(ISNUMBER(A690)),"Date invalide",IF(AND(B690&lt;&gt;"Entrée",B690&lt;&gt;"Sortie"),"Type inconnu",IF(ISNA(MATCH(C690,art_ref,0)),"Référence inconnue",IF(OR(NOT(ISNUMBER(E690)),N(E690)&lt;=0),"Quantité invalide",IF(K690&lt;0,"Stock négatif",IF(AND(ISNUMBER(A689),A690&lt;A689),"Date hors ordre","OK"))))))))</f>
        <v/>
      </c>
      <c r="M690" s="39" t="str">
        <f>IF(C690="","",C690&amp;"#"&amp;COUNTIF($C$5:C690,C690))</f>
        <v/>
      </c>
    </row>
    <row r="691">
      <c r="A691" s="41" t="n"/>
      <c r="B691" s="37" t="n"/>
      <c r="C691" s="37" t="n"/>
      <c r="D691" s="39" t="str">
        <f>IF(C691="","",IFERROR(INDEX(art_des,MATCH(C691,art_ref,0))&amp;"","Référence inconnue"))</f>
        <v/>
      </c>
      <c r="E691" s="37" t="n"/>
      <c r="F691" s="39" t="str">
        <f>IF(C691="","",IFERROR(INDEX(art_unit,MATCH(C691,art_ref,0))&amp;"",""))</f>
        <v/>
      </c>
      <c r="G691" s="37" t="n"/>
      <c r="H691" s="37" t="n"/>
      <c r="I691" s="37" t="n"/>
      <c r="J691" s="40" t="str">
        <f>IF(OR(C691="",NOT(ISNUMBER(E691))),"",IFERROR(E691*N(INDEX(art_price,MATCH(C691,art_ref,0))),""))</f>
        <v/>
      </c>
      <c r="K691" s="39" t="str">
        <f>IF(OR(C691="",NOT(ISNUMBER(E691))),"",IFERROR(ROUND(N(INDEX(art_init,MATCH(C691,art_ref,0)))+SUMIFS($E$5:E691,$C$5:C691,C691,$B$5:B691,"Entrée")-SUMIFS($E$5:E691,$C$5:C691,C691,$B$5:B691,"Sortie"),6),""))</f>
        <v/>
      </c>
      <c r="L691" s="39" t="str">
        <f>IF(COUNTA(A691:C691,E691)=0,"",IF(COUNTA(A691:C691,E691)&lt;4,"Ligne incomplète",IF(NOT(ISNUMBER(A691)),"Date invalide",IF(AND(B691&lt;&gt;"Entrée",B691&lt;&gt;"Sortie"),"Type inconnu",IF(ISNA(MATCH(C691,art_ref,0)),"Référence inconnue",IF(OR(NOT(ISNUMBER(E691)),N(E691)&lt;=0),"Quantité invalide",IF(K691&lt;0,"Stock négatif",IF(AND(ISNUMBER(A690),A691&lt;A690),"Date hors ordre","OK"))))))))</f>
        <v/>
      </c>
      <c r="M691" s="39" t="str">
        <f>IF(C691="","",C691&amp;"#"&amp;COUNTIF($C$5:C691,C691))</f>
        <v/>
      </c>
    </row>
    <row r="692">
      <c r="A692" s="41" t="n"/>
      <c r="B692" s="37" t="n"/>
      <c r="C692" s="37" t="n"/>
      <c r="D692" s="39" t="str">
        <f>IF(C692="","",IFERROR(INDEX(art_des,MATCH(C692,art_ref,0))&amp;"","Référence inconnue"))</f>
        <v/>
      </c>
      <c r="E692" s="37" t="n"/>
      <c r="F692" s="39" t="str">
        <f>IF(C692="","",IFERROR(INDEX(art_unit,MATCH(C692,art_ref,0))&amp;"",""))</f>
        <v/>
      </c>
      <c r="G692" s="37" t="n"/>
      <c r="H692" s="37" t="n"/>
      <c r="I692" s="37" t="n"/>
      <c r="J692" s="40" t="str">
        <f>IF(OR(C692="",NOT(ISNUMBER(E692))),"",IFERROR(E692*N(INDEX(art_price,MATCH(C692,art_ref,0))),""))</f>
        <v/>
      </c>
      <c r="K692" s="39" t="str">
        <f>IF(OR(C692="",NOT(ISNUMBER(E692))),"",IFERROR(ROUND(N(INDEX(art_init,MATCH(C692,art_ref,0)))+SUMIFS($E$5:E692,$C$5:C692,C692,$B$5:B692,"Entrée")-SUMIFS($E$5:E692,$C$5:C692,C692,$B$5:B692,"Sortie"),6),""))</f>
        <v/>
      </c>
      <c r="L692" s="39" t="str">
        <f>IF(COUNTA(A692:C692,E692)=0,"",IF(COUNTA(A692:C692,E692)&lt;4,"Ligne incomplète",IF(NOT(ISNUMBER(A692)),"Date invalide",IF(AND(B692&lt;&gt;"Entrée",B692&lt;&gt;"Sortie"),"Type inconnu",IF(ISNA(MATCH(C692,art_ref,0)),"Référence inconnue",IF(OR(NOT(ISNUMBER(E692)),N(E692)&lt;=0),"Quantité invalide",IF(K692&lt;0,"Stock négatif",IF(AND(ISNUMBER(A691),A692&lt;A691),"Date hors ordre","OK"))))))))</f>
        <v/>
      </c>
      <c r="M692" s="39" t="str">
        <f>IF(C692="","",C692&amp;"#"&amp;COUNTIF($C$5:C692,C692))</f>
        <v/>
      </c>
    </row>
    <row r="693">
      <c r="A693" s="41" t="n"/>
      <c r="B693" s="37" t="n"/>
      <c r="C693" s="37" t="n"/>
      <c r="D693" s="39" t="str">
        <f>IF(C693="","",IFERROR(INDEX(art_des,MATCH(C693,art_ref,0))&amp;"","Référence inconnue"))</f>
        <v/>
      </c>
      <c r="E693" s="37" t="n"/>
      <c r="F693" s="39" t="str">
        <f>IF(C693="","",IFERROR(INDEX(art_unit,MATCH(C693,art_ref,0))&amp;"",""))</f>
        <v/>
      </c>
      <c r="G693" s="37" t="n"/>
      <c r="H693" s="37" t="n"/>
      <c r="I693" s="37" t="n"/>
      <c r="J693" s="40" t="str">
        <f>IF(OR(C693="",NOT(ISNUMBER(E693))),"",IFERROR(E693*N(INDEX(art_price,MATCH(C693,art_ref,0))),""))</f>
        <v/>
      </c>
      <c r="K693" s="39" t="str">
        <f>IF(OR(C693="",NOT(ISNUMBER(E693))),"",IFERROR(ROUND(N(INDEX(art_init,MATCH(C693,art_ref,0)))+SUMIFS($E$5:E693,$C$5:C693,C693,$B$5:B693,"Entrée")-SUMIFS($E$5:E693,$C$5:C693,C693,$B$5:B693,"Sortie"),6),""))</f>
        <v/>
      </c>
      <c r="L693" s="39" t="str">
        <f>IF(COUNTA(A693:C693,E693)=0,"",IF(COUNTA(A693:C693,E693)&lt;4,"Ligne incomplète",IF(NOT(ISNUMBER(A693)),"Date invalide",IF(AND(B693&lt;&gt;"Entrée",B693&lt;&gt;"Sortie"),"Type inconnu",IF(ISNA(MATCH(C693,art_ref,0)),"Référence inconnue",IF(OR(NOT(ISNUMBER(E693)),N(E693)&lt;=0),"Quantité invalide",IF(K693&lt;0,"Stock négatif",IF(AND(ISNUMBER(A692),A693&lt;A692),"Date hors ordre","OK"))))))))</f>
        <v/>
      </c>
      <c r="M693" s="39" t="str">
        <f>IF(C693="","",C693&amp;"#"&amp;COUNTIF($C$5:C693,C693))</f>
        <v/>
      </c>
    </row>
    <row r="694">
      <c r="A694" s="41" t="n"/>
      <c r="B694" s="37" t="n"/>
      <c r="C694" s="37" t="n"/>
      <c r="D694" s="39" t="str">
        <f>IF(C694="","",IFERROR(INDEX(art_des,MATCH(C694,art_ref,0))&amp;"","Référence inconnue"))</f>
        <v/>
      </c>
      <c r="E694" s="37" t="n"/>
      <c r="F694" s="39" t="str">
        <f>IF(C694="","",IFERROR(INDEX(art_unit,MATCH(C694,art_ref,0))&amp;"",""))</f>
        <v/>
      </c>
      <c r="G694" s="37" t="n"/>
      <c r="H694" s="37" t="n"/>
      <c r="I694" s="37" t="n"/>
      <c r="J694" s="40" t="str">
        <f>IF(OR(C694="",NOT(ISNUMBER(E694))),"",IFERROR(E694*N(INDEX(art_price,MATCH(C694,art_ref,0))),""))</f>
        <v/>
      </c>
      <c r="K694" s="39" t="str">
        <f>IF(OR(C694="",NOT(ISNUMBER(E694))),"",IFERROR(ROUND(N(INDEX(art_init,MATCH(C694,art_ref,0)))+SUMIFS($E$5:E694,$C$5:C694,C694,$B$5:B694,"Entrée")-SUMIFS($E$5:E694,$C$5:C694,C694,$B$5:B694,"Sortie"),6),""))</f>
        <v/>
      </c>
      <c r="L694" s="39" t="str">
        <f>IF(COUNTA(A694:C694,E694)=0,"",IF(COUNTA(A694:C694,E694)&lt;4,"Ligne incomplète",IF(NOT(ISNUMBER(A694)),"Date invalide",IF(AND(B694&lt;&gt;"Entrée",B694&lt;&gt;"Sortie"),"Type inconnu",IF(ISNA(MATCH(C694,art_ref,0)),"Référence inconnue",IF(OR(NOT(ISNUMBER(E694)),N(E694)&lt;=0),"Quantité invalide",IF(K694&lt;0,"Stock négatif",IF(AND(ISNUMBER(A693),A694&lt;A693),"Date hors ordre","OK"))))))))</f>
        <v/>
      </c>
      <c r="M694" s="39" t="str">
        <f>IF(C694="","",C694&amp;"#"&amp;COUNTIF($C$5:C694,C694))</f>
        <v/>
      </c>
    </row>
    <row r="695">
      <c r="A695" s="41" t="n"/>
      <c r="B695" s="37" t="n"/>
      <c r="C695" s="37" t="n"/>
      <c r="D695" s="39" t="str">
        <f>IF(C695="","",IFERROR(INDEX(art_des,MATCH(C695,art_ref,0))&amp;"","Référence inconnue"))</f>
        <v/>
      </c>
      <c r="E695" s="37" t="n"/>
      <c r="F695" s="39" t="str">
        <f>IF(C695="","",IFERROR(INDEX(art_unit,MATCH(C695,art_ref,0))&amp;"",""))</f>
        <v/>
      </c>
      <c r="G695" s="37" t="n"/>
      <c r="H695" s="37" t="n"/>
      <c r="I695" s="37" t="n"/>
      <c r="J695" s="40" t="str">
        <f>IF(OR(C695="",NOT(ISNUMBER(E695))),"",IFERROR(E695*N(INDEX(art_price,MATCH(C695,art_ref,0))),""))</f>
        <v/>
      </c>
      <c r="K695" s="39" t="str">
        <f>IF(OR(C695="",NOT(ISNUMBER(E695))),"",IFERROR(ROUND(N(INDEX(art_init,MATCH(C695,art_ref,0)))+SUMIFS($E$5:E695,$C$5:C695,C695,$B$5:B695,"Entrée")-SUMIFS($E$5:E695,$C$5:C695,C695,$B$5:B695,"Sortie"),6),""))</f>
        <v/>
      </c>
      <c r="L695" s="39" t="str">
        <f>IF(COUNTA(A695:C695,E695)=0,"",IF(COUNTA(A695:C695,E695)&lt;4,"Ligne incomplète",IF(NOT(ISNUMBER(A695)),"Date invalide",IF(AND(B695&lt;&gt;"Entrée",B695&lt;&gt;"Sortie"),"Type inconnu",IF(ISNA(MATCH(C695,art_ref,0)),"Référence inconnue",IF(OR(NOT(ISNUMBER(E695)),N(E695)&lt;=0),"Quantité invalide",IF(K695&lt;0,"Stock négatif",IF(AND(ISNUMBER(A694),A695&lt;A694),"Date hors ordre","OK"))))))))</f>
        <v/>
      </c>
      <c r="M695" s="39" t="str">
        <f>IF(C695="","",C695&amp;"#"&amp;COUNTIF($C$5:C695,C695))</f>
        <v/>
      </c>
    </row>
    <row r="696">
      <c r="A696" s="41" t="n"/>
      <c r="B696" s="37" t="n"/>
      <c r="C696" s="37" t="n"/>
      <c r="D696" s="39" t="str">
        <f>IF(C696="","",IFERROR(INDEX(art_des,MATCH(C696,art_ref,0))&amp;"","Référence inconnue"))</f>
        <v/>
      </c>
      <c r="E696" s="37" t="n"/>
      <c r="F696" s="39" t="str">
        <f>IF(C696="","",IFERROR(INDEX(art_unit,MATCH(C696,art_ref,0))&amp;"",""))</f>
        <v/>
      </c>
      <c r="G696" s="37" t="n"/>
      <c r="H696" s="37" t="n"/>
      <c r="I696" s="37" t="n"/>
      <c r="J696" s="40" t="str">
        <f>IF(OR(C696="",NOT(ISNUMBER(E696))),"",IFERROR(E696*N(INDEX(art_price,MATCH(C696,art_ref,0))),""))</f>
        <v/>
      </c>
      <c r="K696" s="39" t="str">
        <f>IF(OR(C696="",NOT(ISNUMBER(E696))),"",IFERROR(ROUND(N(INDEX(art_init,MATCH(C696,art_ref,0)))+SUMIFS($E$5:E696,$C$5:C696,C696,$B$5:B696,"Entrée")-SUMIFS($E$5:E696,$C$5:C696,C696,$B$5:B696,"Sortie"),6),""))</f>
        <v/>
      </c>
      <c r="L696" s="39" t="str">
        <f>IF(COUNTA(A696:C696,E696)=0,"",IF(COUNTA(A696:C696,E696)&lt;4,"Ligne incomplète",IF(NOT(ISNUMBER(A696)),"Date invalide",IF(AND(B696&lt;&gt;"Entrée",B696&lt;&gt;"Sortie"),"Type inconnu",IF(ISNA(MATCH(C696,art_ref,0)),"Référence inconnue",IF(OR(NOT(ISNUMBER(E696)),N(E696)&lt;=0),"Quantité invalide",IF(K696&lt;0,"Stock négatif",IF(AND(ISNUMBER(A695),A696&lt;A695),"Date hors ordre","OK"))))))))</f>
        <v/>
      </c>
      <c r="M696" s="39" t="str">
        <f>IF(C696="","",C696&amp;"#"&amp;COUNTIF($C$5:C696,C696))</f>
        <v/>
      </c>
    </row>
    <row r="697">
      <c r="A697" s="41" t="n"/>
      <c r="B697" s="37" t="n"/>
      <c r="C697" s="37" t="n"/>
      <c r="D697" s="39" t="str">
        <f>IF(C697="","",IFERROR(INDEX(art_des,MATCH(C697,art_ref,0))&amp;"","Référence inconnue"))</f>
        <v/>
      </c>
      <c r="E697" s="37" t="n"/>
      <c r="F697" s="39" t="str">
        <f>IF(C697="","",IFERROR(INDEX(art_unit,MATCH(C697,art_ref,0))&amp;"",""))</f>
        <v/>
      </c>
      <c r="G697" s="37" t="n"/>
      <c r="H697" s="37" t="n"/>
      <c r="I697" s="37" t="n"/>
      <c r="J697" s="40" t="str">
        <f>IF(OR(C697="",NOT(ISNUMBER(E697))),"",IFERROR(E697*N(INDEX(art_price,MATCH(C697,art_ref,0))),""))</f>
        <v/>
      </c>
      <c r="K697" s="39" t="str">
        <f>IF(OR(C697="",NOT(ISNUMBER(E697))),"",IFERROR(ROUND(N(INDEX(art_init,MATCH(C697,art_ref,0)))+SUMIFS($E$5:E697,$C$5:C697,C697,$B$5:B697,"Entrée")-SUMIFS($E$5:E697,$C$5:C697,C697,$B$5:B697,"Sortie"),6),""))</f>
        <v/>
      </c>
      <c r="L697" s="39" t="str">
        <f>IF(COUNTA(A697:C697,E697)=0,"",IF(COUNTA(A697:C697,E697)&lt;4,"Ligne incomplète",IF(NOT(ISNUMBER(A697)),"Date invalide",IF(AND(B697&lt;&gt;"Entrée",B697&lt;&gt;"Sortie"),"Type inconnu",IF(ISNA(MATCH(C697,art_ref,0)),"Référence inconnue",IF(OR(NOT(ISNUMBER(E697)),N(E697)&lt;=0),"Quantité invalide",IF(K697&lt;0,"Stock négatif",IF(AND(ISNUMBER(A696),A697&lt;A696),"Date hors ordre","OK"))))))))</f>
        <v/>
      </c>
      <c r="M697" s="39" t="str">
        <f>IF(C697="","",C697&amp;"#"&amp;COUNTIF($C$5:C697,C697))</f>
        <v/>
      </c>
    </row>
    <row r="698">
      <c r="A698" s="41" t="n"/>
      <c r="B698" s="37" t="n"/>
      <c r="C698" s="37" t="n"/>
      <c r="D698" s="39" t="str">
        <f>IF(C698="","",IFERROR(INDEX(art_des,MATCH(C698,art_ref,0))&amp;"","Référence inconnue"))</f>
        <v/>
      </c>
      <c r="E698" s="37" t="n"/>
      <c r="F698" s="39" t="str">
        <f>IF(C698="","",IFERROR(INDEX(art_unit,MATCH(C698,art_ref,0))&amp;"",""))</f>
        <v/>
      </c>
      <c r="G698" s="37" t="n"/>
      <c r="H698" s="37" t="n"/>
      <c r="I698" s="37" t="n"/>
      <c r="J698" s="40" t="str">
        <f>IF(OR(C698="",NOT(ISNUMBER(E698))),"",IFERROR(E698*N(INDEX(art_price,MATCH(C698,art_ref,0))),""))</f>
        <v/>
      </c>
      <c r="K698" s="39" t="str">
        <f>IF(OR(C698="",NOT(ISNUMBER(E698))),"",IFERROR(ROUND(N(INDEX(art_init,MATCH(C698,art_ref,0)))+SUMIFS($E$5:E698,$C$5:C698,C698,$B$5:B698,"Entrée")-SUMIFS($E$5:E698,$C$5:C698,C698,$B$5:B698,"Sortie"),6),""))</f>
        <v/>
      </c>
      <c r="L698" s="39" t="str">
        <f>IF(COUNTA(A698:C698,E698)=0,"",IF(COUNTA(A698:C698,E698)&lt;4,"Ligne incomplète",IF(NOT(ISNUMBER(A698)),"Date invalide",IF(AND(B698&lt;&gt;"Entrée",B698&lt;&gt;"Sortie"),"Type inconnu",IF(ISNA(MATCH(C698,art_ref,0)),"Référence inconnue",IF(OR(NOT(ISNUMBER(E698)),N(E698)&lt;=0),"Quantité invalide",IF(K698&lt;0,"Stock négatif",IF(AND(ISNUMBER(A697),A698&lt;A697),"Date hors ordre","OK"))))))))</f>
        <v/>
      </c>
      <c r="M698" s="39" t="str">
        <f>IF(C698="","",C698&amp;"#"&amp;COUNTIF($C$5:C698,C698))</f>
        <v/>
      </c>
    </row>
    <row r="699">
      <c r="A699" s="41" t="n"/>
      <c r="B699" s="37" t="n"/>
      <c r="C699" s="37" t="n"/>
      <c r="D699" s="39" t="str">
        <f>IF(C699="","",IFERROR(INDEX(art_des,MATCH(C699,art_ref,0))&amp;"","Référence inconnue"))</f>
        <v/>
      </c>
      <c r="E699" s="37" t="n"/>
      <c r="F699" s="39" t="str">
        <f>IF(C699="","",IFERROR(INDEX(art_unit,MATCH(C699,art_ref,0))&amp;"",""))</f>
        <v/>
      </c>
      <c r="G699" s="37" t="n"/>
      <c r="H699" s="37" t="n"/>
      <c r="I699" s="37" t="n"/>
      <c r="J699" s="40" t="str">
        <f>IF(OR(C699="",NOT(ISNUMBER(E699))),"",IFERROR(E699*N(INDEX(art_price,MATCH(C699,art_ref,0))),""))</f>
        <v/>
      </c>
      <c r="K699" s="39" t="str">
        <f>IF(OR(C699="",NOT(ISNUMBER(E699))),"",IFERROR(ROUND(N(INDEX(art_init,MATCH(C699,art_ref,0)))+SUMIFS($E$5:E699,$C$5:C699,C699,$B$5:B699,"Entrée")-SUMIFS($E$5:E699,$C$5:C699,C699,$B$5:B699,"Sortie"),6),""))</f>
        <v/>
      </c>
      <c r="L699" s="39" t="str">
        <f>IF(COUNTA(A699:C699,E699)=0,"",IF(COUNTA(A699:C699,E699)&lt;4,"Ligne incomplète",IF(NOT(ISNUMBER(A699)),"Date invalide",IF(AND(B699&lt;&gt;"Entrée",B699&lt;&gt;"Sortie"),"Type inconnu",IF(ISNA(MATCH(C699,art_ref,0)),"Référence inconnue",IF(OR(NOT(ISNUMBER(E699)),N(E699)&lt;=0),"Quantité invalide",IF(K699&lt;0,"Stock négatif",IF(AND(ISNUMBER(A698),A699&lt;A698),"Date hors ordre","OK"))))))))</f>
        <v/>
      </c>
      <c r="M699" s="39" t="str">
        <f>IF(C699="","",C699&amp;"#"&amp;COUNTIF($C$5:C699,C699))</f>
        <v/>
      </c>
    </row>
    <row r="700">
      <c r="A700" s="41" t="n"/>
      <c r="B700" s="37" t="n"/>
      <c r="C700" s="37" t="n"/>
      <c r="D700" s="39" t="str">
        <f>IF(C700="","",IFERROR(INDEX(art_des,MATCH(C700,art_ref,0))&amp;"","Référence inconnue"))</f>
        <v/>
      </c>
      <c r="E700" s="37" t="n"/>
      <c r="F700" s="39" t="str">
        <f>IF(C700="","",IFERROR(INDEX(art_unit,MATCH(C700,art_ref,0))&amp;"",""))</f>
        <v/>
      </c>
      <c r="G700" s="37" t="n"/>
      <c r="H700" s="37" t="n"/>
      <c r="I700" s="37" t="n"/>
      <c r="J700" s="40" t="str">
        <f>IF(OR(C700="",NOT(ISNUMBER(E700))),"",IFERROR(E700*N(INDEX(art_price,MATCH(C700,art_ref,0))),""))</f>
        <v/>
      </c>
      <c r="K700" s="39" t="str">
        <f>IF(OR(C700="",NOT(ISNUMBER(E700))),"",IFERROR(ROUND(N(INDEX(art_init,MATCH(C700,art_ref,0)))+SUMIFS($E$5:E700,$C$5:C700,C700,$B$5:B700,"Entrée")-SUMIFS($E$5:E700,$C$5:C700,C700,$B$5:B700,"Sortie"),6),""))</f>
        <v/>
      </c>
      <c r="L700" s="39" t="str">
        <f>IF(COUNTA(A700:C700,E700)=0,"",IF(COUNTA(A700:C700,E700)&lt;4,"Ligne incomplète",IF(NOT(ISNUMBER(A700)),"Date invalide",IF(AND(B700&lt;&gt;"Entrée",B700&lt;&gt;"Sortie"),"Type inconnu",IF(ISNA(MATCH(C700,art_ref,0)),"Référence inconnue",IF(OR(NOT(ISNUMBER(E700)),N(E700)&lt;=0),"Quantité invalide",IF(K700&lt;0,"Stock négatif",IF(AND(ISNUMBER(A699),A700&lt;A699),"Date hors ordre","OK"))))))))</f>
        <v/>
      </c>
      <c r="M700" s="39" t="str">
        <f>IF(C700="","",C700&amp;"#"&amp;COUNTIF($C$5:C700,C700))</f>
        <v/>
      </c>
    </row>
    <row r="701">
      <c r="A701" s="41" t="n"/>
      <c r="B701" s="37" t="n"/>
      <c r="C701" s="37" t="n"/>
      <c r="D701" s="39" t="str">
        <f>IF(C701="","",IFERROR(INDEX(art_des,MATCH(C701,art_ref,0))&amp;"","Référence inconnue"))</f>
        <v/>
      </c>
      <c r="E701" s="37" t="n"/>
      <c r="F701" s="39" t="str">
        <f>IF(C701="","",IFERROR(INDEX(art_unit,MATCH(C701,art_ref,0))&amp;"",""))</f>
        <v/>
      </c>
      <c r="G701" s="37" t="n"/>
      <c r="H701" s="37" t="n"/>
      <c r="I701" s="37" t="n"/>
      <c r="J701" s="40" t="str">
        <f>IF(OR(C701="",NOT(ISNUMBER(E701))),"",IFERROR(E701*N(INDEX(art_price,MATCH(C701,art_ref,0))),""))</f>
        <v/>
      </c>
      <c r="K701" s="39" t="str">
        <f>IF(OR(C701="",NOT(ISNUMBER(E701))),"",IFERROR(ROUND(N(INDEX(art_init,MATCH(C701,art_ref,0)))+SUMIFS($E$5:E701,$C$5:C701,C701,$B$5:B701,"Entrée")-SUMIFS($E$5:E701,$C$5:C701,C701,$B$5:B701,"Sortie"),6),""))</f>
        <v/>
      </c>
      <c r="L701" s="39" t="str">
        <f>IF(COUNTA(A701:C701,E701)=0,"",IF(COUNTA(A701:C701,E701)&lt;4,"Ligne incomplète",IF(NOT(ISNUMBER(A701)),"Date invalide",IF(AND(B701&lt;&gt;"Entrée",B701&lt;&gt;"Sortie"),"Type inconnu",IF(ISNA(MATCH(C701,art_ref,0)),"Référence inconnue",IF(OR(NOT(ISNUMBER(E701)),N(E701)&lt;=0),"Quantité invalide",IF(K701&lt;0,"Stock négatif",IF(AND(ISNUMBER(A700),A701&lt;A700),"Date hors ordre","OK"))))))))</f>
        <v/>
      </c>
      <c r="M701" s="39" t="str">
        <f>IF(C701="","",C701&amp;"#"&amp;COUNTIF($C$5:C701,C701))</f>
        <v/>
      </c>
    </row>
    <row r="702">
      <c r="A702" s="41" t="n"/>
      <c r="B702" s="37" t="n"/>
      <c r="C702" s="37" t="n"/>
      <c r="D702" s="39" t="str">
        <f>IF(C702="","",IFERROR(INDEX(art_des,MATCH(C702,art_ref,0))&amp;"","Référence inconnue"))</f>
        <v/>
      </c>
      <c r="E702" s="37" t="n"/>
      <c r="F702" s="39" t="str">
        <f>IF(C702="","",IFERROR(INDEX(art_unit,MATCH(C702,art_ref,0))&amp;"",""))</f>
        <v/>
      </c>
      <c r="G702" s="37" t="n"/>
      <c r="H702" s="37" t="n"/>
      <c r="I702" s="37" t="n"/>
      <c r="J702" s="40" t="str">
        <f>IF(OR(C702="",NOT(ISNUMBER(E702))),"",IFERROR(E702*N(INDEX(art_price,MATCH(C702,art_ref,0))),""))</f>
        <v/>
      </c>
      <c r="K702" s="39" t="str">
        <f>IF(OR(C702="",NOT(ISNUMBER(E702))),"",IFERROR(ROUND(N(INDEX(art_init,MATCH(C702,art_ref,0)))+SUMIFS($E$5:E702,$C$5:C702,C702,$B$5:B702,"Entrée")-SUMIFS($E$5:E702,$C$5:C702,C702,$B$5:B702,"Sortie"),6),""))</f>
        <v/>
      </c>
      <c r="L702" s="39" t="str">
        <f>IF(COUNTA(A702:C702,E702)=0,"",IF(COUNTA(A702:C702,E702)&lt;4,"Ligne incomplète",IF(NOT(ISNUMBER(A702)),"Date invalide",IF(AND(B702&lt;&gt;"Entrée",B702&lt;&gt;"Sortie"),"Type inconnu",IF(ISNA(MATCH(C702,art_ref,0)),"Référence inconnue",IF(OR(NOT(ISNUMBER(E702)),N(E702)&lt;=0),"Quantité invalide",IF(K702&lt;0,"Stock négatif",IF(AND(ISNUMBER(A701),A702&lt;A701),"Date hors ordre","OK"))))))))</f>
        <v/>
      </c>
      <c r="M702" s="39" t="str">
        <f>IF(C702="","",C702&amp;"#"&amp;COUNTIF($C$5:C702,C702))</f>
        <v/>
      </c>
    </row>
    <row r="703">
      <c r="A703" s="41" t="n"/>
      <c r="B703" s="37" t="n"/>
      <c r="C703" s="37" t="n"/>
      <c r="D703" s="39" t="str">
        <f>IF(C703="","",IFERROR(INDEX(art_des,MATCH(C703,art_ref,0))&amp;"","Référence inconnue"))</f>
        <v/>
      </c>
      <c r="E703" s="37" t="n"/>
      <c r="F703" s="39" t="str">
        <f>IF(C703="","",IFERROR(INDEX(art_unit,MATCH(C703,art_ref,0))&amp;"",""))</f>
        <v/>
      </c>
      <c r="G703" s="37" t="n"/>
      <c r="H703" s="37" t="n"/>
      <c r="I703" s="37" t="n"/>
      <c r="J703" s="40" t="str">
        <f>IF(OR(C703="",NOT(ISNUMBER(E703))),"",IFERROR(E703*N(INDEX(art_price,MATCH(C703,art_ref,0))),""))</f>
        <v/>
      </c>
      <c r="K703" s="39" t="str">
        <f>IF(OR(C703="",NOT(ISNUMBER(E703))),"",IFERROR(ROUND(N(INDEX(art_init,MATCH(C703,art_ref,0)))+SUMIFS($E$5:E703,$C$5:C703,C703,$B$5:B703,"Entrée")-SUMIFS($E$5:E703,$C$5:C703,C703,$B$5:B703,"Sortie"),6),""))</f>
        <v/>
      </c>
      <c r="L703" s="39" t="str">
        <f>IF(COUNTA(A703:C703,E703)=0,"",IF(COUNTA(A703:C703,E703)&lt;4,"Ligne incomplète",IF(NOT(ISNUMBER(A703)),"Date invalide",IF(AND(B703&lt;&gt;"Entrée",B703&lt;&gt;"Sortie"),"Type inconnu",IF(ISNA(MATCH(C703,art_ref,0)),"Référence inconnue",IF(OR(NOT(ISNUMBER(E703)),N(E703)&lt;=0),"Quantité invalide",IF(K703&lt;0,"Stock négatif",IF(AND(ISNUMBER(A702),A703&lt;A702),"Date hors ordre","OK"))))))))</f>
        <v/>
      </c>
      <c r="M703" s="39" t="str">
        <f>IF(C703="","",C703&amp;"#"&amp;COUNTIF($C$5:C703,C703))</f>
        <v/>
      </c>
    </row>
    <row r="704">
      <c r="A704" s="41" t="n"/>
      <c r="B704" s="37" t="n"/>
      <c r="C704" s="37" t="n"/>
      <c r="D704" s="39" t="str">
        <f>IF(C704="","",IFERROR(INDEX(art_des,MATCH(C704,art_ref,0))&amp;"","Référence inconnue"))</f>
        <v/>
      </c>
      <c r="E704" s="37" t="n"/>
      <c r="F704" s="39" t="str">
        <f>IF(C704="","",IFERROR(INDEX(art_unit,MATCH(C704,art_ref,0))&amp;"",""))</f>
        <v/>
      </c>
      <c r="G704" s="37" t="n"/>
      <c r="H704" s="37" t="n"/>
      <c r="I704" s="37" t="n"/>
      <c r="J704" s="40" t="str">
        <f>IF(OR(C704="",NOT(ISNUMBER(E704))),"",IFERROR(E704*N(INDEX(art_price,MATCH(C704,art_ref,0))),""))</f>
        <v/>
      </c>
      <c r="K704" s="39" t="str">
        <f>IF(OR(C704="",NOT(ISNUMBER(E704))),"",IFERROR(ROUND(N(INDEX(art_init,MATCH(C704,art_ref,0)))+SUMIFS($E$5:E704,$C$5:C704,C704,$B$5:B704,"Entrée")-SUMIFS($E$5:E704,$C$5:C704,C704,$B$5:B704,"Sortie"),6),""))</f>
        <v/>
      </c>
      <c r="L704" s="39" t="str">
        <f>IF(COUNTA(A704:C704,E704)=0,"",IF(COUNTA(A704:C704,E704)&lt;4,"Ligne incomplète",IF(NOT(ISNUMBER(A704)),"Date invalide",IF(AND(B704&lt;&gt;"Entrée",B704&lt;&gt;"Sortie"),"Type inconnu",IF(ISNA(MATCH(C704,art_ref,0)),"Référence inconnue",IF(OR(NOT(ISNUMBER(E704)),N(E704)&lt;=0),"Quantité invalide",IF(K704&lt;0,"Stock négatif",IF(AND(ISNUMBER(A703),A704&lt;A703),"Date hors ordre","OK"))))))))</f>
        <v/>
      </c>
      <c r="M704" s="39" t="str">
        <f>IF(C704="","",C704&amp;"#"&amp;COUNTIF($C$5:C704,C704))</f>
        <v/>
      </c>
    </row>
    <row r="705">
      <c r="A705" s="41" t="n"/>
      <c r="B705" s="37" t="n"/>
      <c r="C705" s="37" t="n"/>
      <c r="D705" s="39" t="str">
        <f>IF(C705="","",IFERROR(INDEX(art_des,MATCH(C705,art_ref,0))&amp;"","Référence inconnue"))</f>
        <v/>
      </c>
      <c r="E705" s="37" t="n"/>
      <c r="F705" s="39" t="str">
        <f>IF(C705="","",IFERROR(INDEX(art_unit,MATCH(C705,art_ref,0))&amp;"",""))</f>
        <v/>
      </c>
      <c r="G705" s="37" t="n"/>
      <c r="H705" s="37" t="n"/>
      <c r="I705" s="37" t="n"/>
      <c r="J705" s="40" t="str">
        <f>IF(OR(C705="",NOT(ISNUMBER(E705))),"",IFERROR(E705*N(INDEX(art_price,MATCH(C705,art_ref,0))),""))</f>
        <v/>
      </c>
      <c r="K705" s="39" t="str">
        <f>IF(OR(C705="",NOT(ISNUMBER(E705))),"",IFERROR(ROUND(N(INDEX(art_init,MATCH(C705,art_ref,0)))+SUMIFS($E$5:E705,$C$5:C705,C705,$B$5:B705,"Entrée")-SUMIFS($E$5:E705,$C$5:C705,C705,$B$5:B705,"Sortie"),6),""))</f>
        <v/>
      </c>
      <c r="L705" s="39" t="str">
        <f>IF(COUNTA(A705:C705,E705)=0,"",IF(COUNTA(A705:C705,E705)&lt;4,"Ligne incomplète",IF(NOT(ISNUMBER(A705)),"Date invalide",IF(AND(B705&lt;&gt;"Entrée",B705&lt;&gt;"Sortie"),"Type inconnu",IF(ISNA(MATCH(C705,art_ref,0)),"Référence inconnue",IF(OR(NOT(ISNUMBER(E705)),N(E705)&lt;=0),"Quantité invalide",IF(K705&lt;0,"Stock négatif",IF(AND(ISNUMBER(A704),A705&lt;A704),"Date hors ordre","OK"))))))))</f>
        <v/>
      </c>
      <c r="M705" s="39" t="str">
        <f>IF(C705="","",C705&amp;"#"&amp;COUNTIF($C$5:C705,C705))</f>
        <v/>
      </c>
    </row>
    <row r="706">
      <c r="A706" s="41" t="n"/>
      <c r="B706" s="37" t="n"/>
      <c r="C706" s="37" t="n"/>
      <c r="D706" s="39" t="str">
        <f>IF(C706="","",IFERROR(INDEX(art_des,MATCH(C706,art_ref,0))&amp;"","Référence inconnue"))</f>
        <v/>
      </c>
      <c r="E706" s="37" t="n"/>
      <c r="F706" s="39" t="str">
        <f>IF(C706="","",IFERROR(INDEX(art_unit,MATCH(C706,art_ref,0))&amp;"",""))</f>
        <v/>
      </c>
      <c r="G706" s="37" t="n"/>
      <c r="H706" s="37" t="n"/>
      <c r="I706" s="37" t="n"/>
      <c r="J706" s="40" t="str">
        <f>IF(OR(C706="",NOT(ISNUMBER(E706))),"",IFERROR(E706*N(INDEX(art_price,MATCH(C706,art_ref,0))),""))</f>
        <v/>
      </c>
      <c r="K706" s="39" t="str">
        <f>IF(OR(C706="",NOT(ISNUMBER(E706))),"",IFERROR(ROUND(N(INDEX(art_init,MATCH(C706,art_ref,0)))+SUMIFS($E$5:E706,$C$5:C706,C706,$B$5:B706,"Entrée")-SUMIFS($E$5:E706,$C$5:C706,C706,$B$5:B706,"Sortie"),6),""))</f>
        <v/>
      </c>
      <c r="L706" s="39" t="str">
        <f>IF(COUNTA(A706:C706,E706)=0,"",IF(COUNTA(A706:C706,E706)&lt;4,"Ligne incomplète",IF(NOT(ISNUMBER(A706)),"Date invalide",IF(AND(B706&lt;&gt;"Entrée",B706&lt;&gt;"Sortie"),"Type inconnu",IF(ISNA(MATCH(C706,art_ref,0)),"Référence inconnue",IF(OR(NOT(ISNUMBER(E706)),N(E706)&lt;=0),"Quantité invalide",IF(K706&lt;0,"Stock négatif",IF(AND(ISNUMBER(A705),A706&lt;A705),"Date hors ordre","OK"))))))))</f>
        <v/>
      </c>
      <c r="M706" s="39" t="str">
        <f>IF(C706="","",C706&amp;"#"&amp;COUNTIF($C$5:C706,C706))</f>
        <v/>
      </c>
    </row>
    <row r="707">
      <c r="A707" s="41" t="n"/>
      <c r="B707" s="37" t="n"/>
      <c r="C707" s="37" t="n"/>
      <c r="D707" s="39" t="str">
        <f>IF(C707="","",IFERROR(INDEX(art_des,MATCH(C707,art_ref,0))&amp;"","Référence inconnue"))</f>
        <v/>
      </c>
      <c r="E707" s="37" t="n"/>
      <c r="F707" s="39" t="str">
        <f>IF(C707="","",IFERROR(INDEX(art_unit,MATCH(C707,art_ref,0))&amp;"",""))</f>
        <v/>
      </c>
      <c r="G707" s="37" t="n"/>
      <c r="H707" s="37" t="n"/>
      <c r="I707" s="37" t="n"/>
      <c r="J707" s="40" t="str">
        <f>IF(OR(C707="",NOT(ISNUMBER(E707))),"",IFERROR(E707*N(INDEX(art_price,MATCH(C707,art_ref,0))),""))</f>
        <v/>
      </c>
      <c r="K707" s="39" t="str">
        <f>IF(OR(C707="",NOT(ISNUMBER(E707))),"",IFERROR(ROUND(N(INDEX(art_init,MATCH(C707,art_ref,0)))+SUMIFS($E$5:E707,$C$5:C707,C707,$B$5:B707,"Entrée")-SUMIFS($E$5:E707,$C$5:C707,C707,$B$5:B707,"Sortie"),6),""))</f>
        <v/>
      </c>
      <c r="L707" s="39" t="str">
        <f>IF(COUNTA(A707:C707,E707)=0,"",IF(COUNTA(A707:C707,E707)&lt;4,"Ligne incomplète",IF(NOT(ISNUMBER(A707)),"Date invalide",IF(AND(B707&lt;&gt;"Entrée",B707&lt;&gt;"Sortie"),"Type inconnu",IF(ISNA(MATCH(C707,art_ref,0)),"Référence inconnue",IF(OR(NOT(ISNUMBER(E707)),N(E707)&lt;=0),"Quantité invalide",IF(K707&lt;0,"Stock négatif",IF(AND(ISNUMBER(A706),A707&lt;A706),"Date hors ordre","OK"))))))))</f>
        <v/>
      </c>
      <c r="M707" s="39" t="str">
        <f>IF(C707="","",C707&amp;"#"&amp;COUNTIF($C$5:C707,C707))</f>
        <v/>
      </c>
    </row>
    <row r="708">
      <c r="A708" s="41" t="n"/>
      <c r="B708" s="37" t="n"/>
      <c r="C708" s="37" t="n"/>
      <c r="D708" s="39" t="str">
        <f>IF(C708="","",IFERROR(INDEX(art_des,MATCH(C708,art_ref,0))&amp;"","Référence inconnue"))</f>
        <v/>
      </c>
      <c r="E708" s="37" t="n"/>
      <c r="F708" s="39" t="str">
        <f>IF(C708="","",IFERROR(INDEX(art_unit,MATCH(C708,art_ref,0))&amp;"",""))</f>
        <v/>
      </c>
      <c r="G708" s="37" t="n"/>
      <c r="H708" s="37" t="n"/>
      <c r="I708" s="37" t="n"/>
      <c r="J708" s="40" t="str">
        <f>IF(OR(C708="",NOT(ISNUMBER(E708))),"",IFERROR(E708*N(INDEX(art_price,MATCH(C708,art_ref,0))),""))</f>
        <v/>
      </c>
      <c r="K708" s="39" t="str">
        <f>IF(OR(C708="",NOT(ISNUMBER(E708))),"",IFERROR(ROUND(N(INDEX(art_init,MATCH(C708,art_ref,0)))+SUMIFS($E$5:E708,$C$5:C708,C708,$B$5:B708,"Entrée")-SUMIFS($E$5:E708,$C$5:C708,C708,$B$5:B708,"Sortie"),6),""))</f>
        <v/>
      </c>
      <c r="L708" s="39" t="str">
        <f>IF(COUNTA(A708:C708,E708)=0,"",IF(COUNTA(A708:C708,E708)&lt;4,"Ligne incomplète",IF(NOT(ISNUMBER(A708)),"Date invalide",IF(AND(B708&lt;&gt;"Entrée",B708&lt;&gt;"Sortie"),"Type inconnu",IF(ISNA(MATCH(C708,art_ref,0)),"Référence inconnue",IF(OR(NOT(ISNUMBER(E708)),N(E708)&lt;=0),"Quantité invalide",IF(K708&lt;0,"Stock négatif",IF(AND(ISNUMBER(A707),A708&lt;A707),"Date hors ordre","OK"))))))))</f>
        <v/>
      </c>
      <c r="M708" s="39" t="str">
        <f>IF(C708="","",C708&amp;"#"&amp;COUNTIF($C$5:C708,C708))</f>
        <v/>
      </c>
    </row>
    <row r="709">
      <c r="A709" s="41" t="n"/>
      <c r="B709" s="37" t="n"/>
      <c r="C709" s="37" t="n"/>
      <c r="D709" s="39" t="str">
        <f>IF(C709="","",IFERROR(INDEX(art_des,MATCH(C709,art_ref,0))&amp;"","Référence inconnue"))</f>
        <v/>
      </c>
      <c r="E709" s="37" t="n"/>
      <c r="F709" s="39" t="str">
        <f>IF(C709="","",IFERROR(INDEX(art_unit,MATCH(C709,art_ref,0))&amp;"",""))</f>
        <v/>
      </c>
      <c r="G709" s="37" t="n"/>
      <c r="H709" s="37" t="n"/>
      <c r="I709" s="37" t="n"/>
      <c r="J709" s="40" t="str">
        <f>IF(OR(C709="",NOT(ISNUMBER(E709))),"",IFERROR(E709*N(INDEX(art_price,MATCH(C709,art_ref,0))),""))</f>
        <v/>
      </c>
      <c r="K709" s="39" t="str">
        <f>IF(OR(C709="",NOT(ISNUMBER(E709))),"",IFERROR(ROUND(N(INDEX(art_init,MATCH(C709,art_ref,0)))+SUMIFS($E$5:E709,$C$5:C709,C709,$B$5:B709,"Entrée")-SUMIFS($E$5:E709,$C$5:C709,C709,$B$5:B709,"Sortie"),6),""))</f>
        <v/>
      </c>
      <c r="L709" s="39" t="str">
        <f>IF(COUNTA(A709:C709,E709)=0,"",IF(COUNTA(A709:C709,E709)&lt;4,"Ligne incomplète",IF(NOT(ISNUMBER(A709)),"Date invalide",IF(AND(B709&lt;&gt;"Entrée",B709&lt;&gt;"Sortie"),"Type inconnu",IF(ISNA(MATCH(C709,art_ref,0)),"Référence inconnue",IF(OR(NOT(ISNUMBER(E709)),N(E709)&lt;=0),"Quantité invalide",IF(K709&lt;0,"Stock négatif",IF(AND(ISNUMBER(A708),A709&lt;A708),"Date hors ordre","OK"))))))))</f>
        <v/>
      </c>
      <c r="M709" s="39" t="str">
        <f>IF(C709="","",C709&amp;"#"&amp;COUNTIF($C$5:C709,C709))</f>
        <v/>
      </c>
    </row>
    <row r="710">
      <c r="A710" s="41" t="n"/>
      <c r="B710" s="37" t="n"/>
      <c r="C710" s="37" t="n"/>
      <c r="D710" s="39" t="str">
        <f>IF(C710="","",IFERROR(INDEX(art_des,MATCH(C710,art_ref,0))&amp;"","Référence inconnue"))</f>
        <v/>
      </c>
      <c r="E710" s="37" t="n"/>
      <c r="F710" s="39" t="str">
        <f>IF(C710="","",IFERROR(INDEX(art_unit,MATCH(C710,art_ref,0))&amp;"",""))</f>
        <v/>
      </c>
      <c r="G710" s="37" t="n"/>
      <c r="H710" s="37" t="n"/>
      <c r="I710" s="37" t="n"/>
      <c r="J710" s="40" t="str">
        <f>IF(OR(C710="",NOT(ISNUMBER(E710))),"",IFERROR(E710*N(INDEX(art_price,MATCH(C710,art_ref,0))),""))</f>
        <v/>
      </c>
      <c r="K710" s="39" t="str">
        <f>IF(OR(C710="",NOT(ISNUMBER(E710))),"",IFERROR(ROUND(N(INDEX(art_init,MATCH(C710,art_ref,0)))+SUMIFS($E$5:E710,$C$5:C710,C710,$B$5:B710,"Entrée")-SUMIFS($E$5:E710,$C$5:C710,C710,$B$5:B710,"Sortie"),6),""))</f>
        <v/>
      </c>
      <c r="L710" s="39" t="str">
        <f>IF(COUNTA(A710:C710,E710)=0,"",IF(COUNTA(A710:C710,E710)&lt;4,"Ligne incomplète",IF(NOT(ISNUMBER(A710)),"Date invalide",IF(AND(B710&lt;&gt;"Entrée",B710&lt;&gt;"Sortie"),"Type inconnu",IF(ISNA(MATCH(C710,art_ref,0)),"Référence inconnue",IF(OR(NOT(ISNUMBER(E710)),N(E710)&lt;=0),"Quantité invalide",IF(K710&lt;0,"Stock négatif",IF(AND(ISNUMBER(A709),A710&lt;A709),"Date hors ordre","OK"))))))))</f>
        <v/>
      </c>
      <c r="M710" s="39" t="str">
        <f>IF(C710="","",C710&amp;"#"&amp;COUNTIF($C$5:C710,C710))</f>
        <v/>
      </c>
    </row>
    <row r="711">
      <c r="A711" s="41" t="n"/>
      <c r="B711" s="37" t="n"/>
      <c r="C711" s="37" t="n"/>
      <c r="D711" s="39" t="str">
        <f>IF(C711="","",IFERROR(INDEX(art_des,MATCH(C711,art_ref,0))&amp;"","Référence inconnue"))</f>
        <v/>
      </c>
      <c r="E711" s="37" t="n"/>
      <c r="F711" s="39" t="str">
        <f>IF(C711="","",IFERROR(INDEX(art_unit,MATCH(C711,art_ref,0))&amp;"",""))</f>
        <v/>
      </c>
      <c r="G711" s="37" t="n"/>
      <c r="H711" s="37" t="n"/>
      <c r="I711" s="37" t="n"/>
      <c r="J711" s="40" t="str">
        <f>IF(OR(C711="",NOT(ISNUMBER(E711))),"",IFERROR(E711*N(INDEX(art_price,MATCH(C711,art_ref,0))),""))</f>
        <v/>
      </c>
      <c r="K711" s="39" t="str">
        <f>IF(OR(C711="",NOT(ISNUMBER(E711))),"",IFERROR(ROUND(N(INDEX(art_init,MATCH(C711,art_ref,0)))+SUMIFS($E$5:E711,$C$5:C711,C711,$B$5:B711,"Entrée")-SUMIFS($E$5:E711,$C$5:C711,C711,$B$5:B711,"Sortie"),6),""))</f>
        <v/>
      </c>
      <c r="L711" s="39" t="str">
        <f>IF(COUNTA(A711:C711,E711)=0,"",IF(COUNTA(A711:C711,E711)&lt;4,"Ligne incomplète",IF(NOT(ISNUMBER(A711)),"Date invalide",IF(AND(B711&lt;&gt;"Entrée",B711&lt;&gt;"Sortie"),"Type inconnu",IF(ISNA(MATCH(C711,art_ref,0)),"Référence inconnue",IF(OR(NOT(ISNUMBER(E711)),N(E711)&lt;=0),"Quantité invalide",IF(K711&lt;0,"Stock négatif",IF(AND(ISNUMBER(A710),A711&lt;A710),"Date hors ordre","OK"))))))))</f>
        <v/>
      </c>
      <c r="M711" s="39" t="str">
        <f>IF(C711="","",C711&amp;"#"&amp;COUNTIF($C$5:C711,C711))</f>
        <v/>
      </c>
    </row>
    <row r="712">
      <c r="A712" s="41" t="n"/>
      <c r="B712" s="37" t="n"/>
      <c r="C712" s="37" t="n"/>
      <c r="D712" s="39" t="str">
        <f>IF(C712="","",IFERROR(INDEX(art_des,MATCH(C712,art_ref,0))&amp;"","Référence inconnue"))</f>
        <v/>
      </c>
      <c r="E712" s="37" t="n"/>
      <c r="F712" s="39" t="str">
        <f>IF(C712="","",IFERROR(INDEX(art_unit,MATCH(C712,art_ref,0))&amp;"",""))</f>
        <v/>
      </c>
      <c r="G712" s="37" t="n"/>
      <c r="H712" s="37" t="n"/>
      <c r="I712" s="37" t="n"/>
      <c r="J712" s="40" t="str">
        <f>IF(OR(C712="",NOT(ISNUMBER(E712))),"",IFERROR(E712*N(INDEX(art_price,MATCH(C712,art_ref,0))),""))</f>
        <v/>
      </c>
      <c r="K712" s="39" t="str">
        <f>IF(OR(C712="",NOT(ISNUMBER(E712))),"",IFERROR(ROUND(N(INDEX(art_init,MATCH(C712,art_ref,0)))+SUMIFS($E$5:E712,$C$5:C712,C712,$B$5:B712,"Entrée")-SUMIFS($E$5:E712,$C$5:C712,C712,$B$5:B712,"Sortie"),6),""))</f>
        <v/>
      </c>
      <c r="L712" s="39" t="str">
        <f>IF(COUNTA(A712:C712,E712)=0,"",IF(COUNTA(A712:C712,E712)&lt;4,"Ligne incomplète",IF(NOT(ISNUMBER(A712)),"Date invalide",IF(AND(B712&lt;&gt;"Entrée",B712&lt;&gt;"Sortie"),"Type inconnu",IF(ISNA(MATCH(C712,art_ref,0)),"Référence inconnue",IF(OR(NOT(ISNUMBER(E712)),N(E712)&lt;=0),"Quantité invalide",IF(K712&lt;0,"Stock négatif",IF(AND(ISNUMBER(A711),A712&lt;A711),"Date hors ordre","OK"))))))))</f>
        <v/>
      </c>
      <c r="M712" s="39" t="str">
        <f>IF(C712="","",C712&amp;"#"&amp;COUNTIF($C$5:C712,C712))</f>
        <v/>
      </c>
    </row>
    <row r="713">
      <c r="A713" s="41" t="n"/>
      <c r="B713" s="37" t="n"/>
      <c r="C713" s="37" t="n"/>
      <c r="D713" s="39" t="str">
        <f>IF(C713="","",IFERROR(INDEX(art_des,MATCH(C713,art_ref,0))&amp;"","Référence inconnue"))</f>
        <v/>
      </c>
      <c r="E713" s="37" t="n"/>
      <c r="F713" s="39" t="str">
        <f>IF(C713="","",IFERROR(INDEX(art_unit,MATCH(C713,art_ref,0))&amp;"",""))</f>
        <v/>
      </c>
      <c r="G713" s="37" t="n"/>
      <c r="H713" s="37" t="n"/>
      <c r="I713" s="37" t="n"/>
      <c r="J713" s="40" t="str">
        <f>IF(OR(C713="",NOT(ISNUMBER(E713))),"",IFERROR(E713*N(INDEX(art_price,MATCH(C713,art_ref,0))),""))</f>
        <v/>
      </c>
      <c r="K713" s="39" t="str">
        <f>IF(OR(C713="",NOT(ISNUMBER(E713))),"",IFERROR(ROUND(N(INDEX(art_init,MATCH(C713,art_ref,0)))+SUMIFS($E$5:E713,$C$5:C713,C713,$B$5:B713,"Entrée")-SUMIFS($E$5:E713,$C$5:C713,C713,$B$5:B713,"Sortie"),6),""))</f>
        <v/>
      </c>
      <c r="L713" s="39" t="str">
        <f>IF(COUNTA(A713:C713,E713)=0,"",IF(COUNTA(A713:C713,E713)&lt;4,"Ligne incomplète",IF(NOT(ISNUMBER(A713)),"Date invalide",IF(AND(B713&lt;&gt;"Entrée",B713&lt;&gt;"Sortie"),"Type inconnu",IF(ISNA(MATCH(C713,art_ref,0)),"Référence inconnue",IF(OR(NOT(ISNUMBER(E713)),N(E713)&lt;=0),"Quantité invalide",IF(K713&lt;0,"Stock négatif",IF(AND(ISNUMBER(A712),A713&lt;A712),"Date hors ordre","OK"))))))))</f>
        <v/>
      </c>
      <c r="M713" s="39" t="str">
        <f>IF(C713="","",C713&amp;"#"&amp;COUNTIF($C$5:C713,C713))</f>
        <v/>
      </c>
    </row>
    <row r="714">
      <c r="A714" s="41" t="n"/>
      <c r="B714" s="37" t="n"/>
      <c r="C714" s="37" t="n"/>
      <c r="D714" s="39" t="str">
        <f>IF(C714="","",IFERROR(INDEX(art_des,MATCH(C714,art_ref,0))&amp;"","Référence inconnue"))</f>
        <v/>
      </c>
      <c r="E714" s="37" t="n"/>
      <c r="F714" s="39" t="str">
        <f>IF(C714="","",IFERROR(INDEX(art_unit,MATCH(C714,art_ref,0))&amp;"",""))</f>
        <v/>
      </c>
      <c r="G714" s="37" t="n"/>
      <c r="H714" s="37" t="n"/>
      <c r="I714" s="37" t="n"/>
      <c r="J714" s="40" t="str">
        <f>IF(OR(C714="",NOT(ISNUMBER(E714))),"",IFERROR(E714*N(INDEX(art_price,MATCH(C714,art_ref,0))),""))</f>
        <v/>
      </c>
      <c r="K714" s="39" t="str">
        <f>IF(OR(C714="",NOT(ISNUMBER(E714))),"",IFERROR(ROUND(N(INDEX(art_init,MATCH(C714,art_ref,0)))+SUMIFS($E$5:E714,$C$5:C714,C714,$B$5:B714,"Entrée")-SUMIFS($E$5:E714,$C$5:C714,C714,$B$5:B714,"Sortie"),6),""))</f>
        <v/>
      </c>
      <c r="L714" s="39" t="str">
        <f>IF(COUNTA(A714:C714,E714)=0,"",IF(COUNTA(A714:C714,E714)&lt;4,"Ligne incomplète",IF(NOT(ISNUMBER(A714)),"Date invalide",IF(AND(B714&lt;&gt;"Entrée",B714&lt;&gt;"Sortie"),"Type inconnu",IF(ISNA(MATCH(C714,art_ref,0)),"Référence inconnue",IF(OR(NOT(ISNUMBER(E714)),N(E714)&lt;=0),"Quantité invalide",IF(K714&lt;0,"Stock négatif",IF(AND(ISNUMBER(A713),A714&lt;A713),"Date hors ordre","OK"))))))))</f>
        <v/>
      </c>
      <c r="M714" s="39" t="str">
        <f>IF(C714="","",C714&amp;"#"&amp;COUNTIF($C$5:C714,C714))</f>
        <v/>
      </c>
    </row>
    <row r="715">
      <c r="A715" s="41" t="n"/>
      <c r="B715" s="37" t="n"/>
      <c r="C715" s="37" t="n"/>
      <c r="D715" s="39" t="str">
        <f>IF(C715="","",IFERROR(INDEX(art_des,MATCH(C715,art_ref,0))&amp;"","Référence inconnue"))</f>
        <v/>
      </c>
      <c r="E715" s="37" t="n"/>
      <c r="F715" s="39" t="str">
        <f>IF(C715="","",IFERROR(INDEX(art_unit,MATCH(C715,art_ref,0))&amp;"",""))</f>
        <v/>
      </c>
      <c r="G715" s="37" t="n"/>
      <c r="H715" s="37" t="n"/>
      <c r="I715" s="37" t="n"/>
      <c r="J715" s="40" t="str">
        <f>IF(OR(C715="",NOT(ISNUMBER(E715))),"",IFERROR(E715*N(INDEX(art_price,MATCH(C715,art_ref,0))),""))</f>
        <v/>
      </c>
      <c r="K715" s="39" t="str">
        <f>IF(OR(C715="",NOT(ISNUMBER(E715))),"",IFERROR(ROUND(N(INDEX(art_init,MATCH(C715,art_ref,0)))+SUMIFS($E$5:E715,$C$5:C715,C715,$B$5:B715,"Entrée")-SUMIFS($E$5:E715,$C$5:C715,C715,$B$5:B715,"Sortie"),6),""))</f>
        <v/>
      </c>
      <c r="L715" s="39" t="str">
        <f>IF(COUNTA(A715:C715,E715)=0,"",IF(COUNTA(A715:C715,E715)&lt;4,"Ligne incomplète",IF(NOT(ISNUMBER(A715)),"Date invalide",IF(AND(B715&lt;&gt;"Entrée",B715&lt;&gt;"Sortie"),"Type inconnu",IF(ISNA(MATCH(C715,art_ref,0)),"Référence inconnue",IF(OR(NOT(ISNUMBER(E715)),N(E715)&lt;=0),"Quantité invalide",IF(K715&lt;0,"Stock négatif",IF(AND(ISNUMBER(A714),A715&lt;A714),"Date hors ordre","OK"))))))))</f>
        <v/>
      </c>
      <c r="M715" s="39" t="str">
        <f>IF(C715="","",C715&amp;"#"&amp;COUNTIF($C$5:C715,C715))</f>
        <v/>
      </c>
    </row>
    <row r="716">
      <c r="A716" s="41" t="n"/>
      <c r="B716" s="37" t="n"/>
      <c r="C716" s="37" t="n"/>
      <c r="D716" s="39" t="str">
        <f>IF(C716="","",IFERROR(INDEX(art_des,MATCH(C716,art_ref,0))&amp;"","Référence inconnue"))</f>
        <v/>
      </c>
      <c r="E716" s="37" t="n"/>
      <c r="F716" s="39" t="str">
        <f>IF(C716="","",IFERROR(INDEX(art_unit,MATCH(C716,art_ref,0))&amp;"",""))</f>
        <v/>
      </c>
      <c r="G716" s="37" t="n"/>
      <c r="H716" s="37" t="n"/>
      <c r="I716" s="37" t="n"/>
      <c r="J716" s="40" t="str">
        <f>IF(OR(C716="",NOT(ISNUMBER(E716))),"",IFERROR(E716*N(INDEX(art_price,MATCH(C716,art_ref,0))),""))</f>
        <v/>
      </c>
      <c r="K716" s="39" t="str">
        <f>IF(OR(C716="",NOT(ISNUMBER(E716))),"",IFERROR(ROUND(N(INDEX(art_init,MATCH(C716,art_ref,0)))+SUMIFS($E$5:E716,$C$5:C716,C716,$B$5:B716,"Entrée")-SUMIFS($E$5:E716,$C$5:C716,C716,$B$5:B716,"Sortie"),6),""))</f>
        <v/>
      </c>
      <c r="L716" s="39" t="str">
        <f>IF(COUNTA(A716:C716,E716)=0,"",IF(COUNTA(A716:C716,E716)&lt;4,"Ligne incomplète",IF(NOT(ISNUMBER(A716)),"Date invalide",IF(AND(B716&lt;&gt;"Entrée",B716&lt;&gt;"Sortie"),"Type inconnu",IF(ISNA(MATCH(C716,art_ref,0)),"Référence inconnue",IF(OR(NOT(ISNUMBER(E716)),N(E716)&lt;=0),"Quantité invalide",IF(K716&lt;0,"Stock négatif",IF(AND(ISNUMBER(A715),A716&lt;A715),"Date hors ordre","OK"))))))))</f>
        <v/>
      </c>
      <c r="M716" s="39" t="str">
        <f>IF(C716="","",C716&amp;"#"&amp;COUNTIF($C$5:C716,C716))</f>
        <v/>
      </c>
    </row>
    <row r="717">
      <c r="A717" s="41" t="n"/>
      <c r="B717" s="37" t="n"/>
      <c r="C717" s="37" t="n"/>
      <c r="D717" s="39" t="str">
        <f>IF(C717="","",IFERROR(INDEX(art_des,MATCH(C717,art_ref,0))&amp;"","Référence inconnue"))</f>
        <v/>
      </c>
      <c r="E717" s="37" t="n"/>
      <c r="F717" s="39" t="str">
        <f>IF(C717="","",IFERROR(INDEX(art_unit,MATCH(C717,art_ref,0))&amp;"",""))</f>
        <v/>
      </c>
      <c r="G717" s="37" t="n"/>
      <c r="H717" s="37" t="n"/>
      <c r="I717" s="37" t="n"/>
      <c r="J717" s="40" t="str">
        <f>IF(OR(C717="",NOT(ISNUMBER(E717))),"",IFERROR(E717*N(INDEX(art_price,MATCH(C717,art_ref,0))),""))</f>
        <v/>
      </c>
      <c r="K717" s="39" t="str">
        <f>IF(OR(C717="",NOT(ISNUMBER(E717))),"",IFERROR(ROUND(N(INDEX(art_init,MATCH(C717,art_ref,0)))+SUMIFS($E$5:E717,$C$5:C717,C717,$B$5:B717,"Entrée")-SUMIFS($E$5:E717,$C$5:C717,C717,$B$5:B717,"Sortie"),6),""))</f>
        <v/>
      </c>
      <c r="L717" s="39" t="str">
        <f>IF(COUNTA(A717:C717,E717)=0,"",IF(COUNTA(A717:C717,E717)&lt;4,"Ligne incomplète",IF(NOT(ISNUMBER(A717)),"Date invalide",IF(AND(B717&lt;&gt;"Entrée",B717&lt;&gt;"Sortie"),"Type inconnu",IF(ISNA(MATCH(C717,art_ref,0)),"Référence inconnue",IF(OR(NOT(ISNUMBER(E717)),N(E717)&lt;=0),"Quantité invalide",IF(K717&lt;0,"Stock négatif",IF(AND(ISNUMBER(A716),A717&lt;A716),"Date hors ordre","OK"))))))))</f>
        <v/>
      </c>
      <c r="M717" s="39" t="str">
        <f>IF(C717="","",C717&amp;"#"&amp;COUNTIF($C$5:C717,C717))</f>
        <v/>
      </c>
    </row>
    <row r="718">
      <c r="A718" s="41" t="n"/>
      <c r="B718" s="37" t="n"/>
      <c r="C718" s="37" t="n"/>
      <c r="D718" s="39" t="str">
        <f>IF(C718="","",IFERROR(INDEX(art_des,MATCH(C718,art_ref,0))&amp;"","Référence inconnue"))</f>
        <v/>
      </c>
      <c r="E718" s="37" t="n"/>
      <c r="F718" s="39" t="str">
        <f>IF(C718="","",IFERROR(INDEX(art_unit,MATCH(C718,art_ref,0))&amp;"",""))</f>
        <v/>
      </c>
      <c r="G718" s="37" t="n"/>
      <c r="H718" s="37" t="n"/>
      <c r="I718" s="37" t="n"/>
      <c r="J718" s="40" t="str">
        <f>IF(OR(C718="",NOT(ISNUMBER(E718))),"",IFERROR(E718*N(INDEX(art_price,MATCH(C718,art_ref,0))),""))</f>
        <v/>
      </c>
      <c r="K718" s="39" t="str">
        <f>IF(OR(C718="",NOT(ISNUMBER(E718))),"",IFERROR(ROUND(N(INDEX(art_init,MATCH(C718,art_ref,0)))+SUMIFS($E$5:E718,$C$5:C718,C718,$B$5:B718,"Entrée")-SUMIFS($E$5:E718,$C$5:C718,C718,$B$5:B718,"Sortie"),6),""))</f>
        <v/>
      </c>
      <c r="L718" s="39" t="str">
        <f>IF(COUNTA(A718:C718,E718)=0,"",IF(COUNTA(A718:C718,E718)&lt;4,"Ligne incomplète",IF(NOT(ISNUMBER(A718)),"Date invalide",IF(AND(B718&lt;&gt;"Entrée",B718&lt;&gt;"Sortie"),"Type inconnu",IF(ISNA(MATCH(C718,art_ref,0)),"Référence inconnue",IF(OR(NOT(ISNUMBER(E718)),N(E718)&lt;=0),"Quantité invalide",IF(K718&lt;0,"Stock négatif",IF(AND(ISNUMBER(A717),A718&lt;A717),"Date hors ordre","OK"))))))))</f>
        <v/>
      </c>
      <c r="M718" s="39" t="str">
        <f>IF(C718="","",C718&amp;"#"&amp;COUNTIF($C$5:C718,C718))</f>
        <v/>
      </c>
    </row>
    <row r="719">
      <c r="A719" s="41" t="n"/>
      <c r="B719" s="37" t="n"/>
      <c r="C719" s="37" t="n"/>
      <c r="D719" s="39" t="str">
        <f>IF(C719="","",IFERROR(INDEX(art_des,MATCH(C719,art_ref,0))&amp;"","Référence inconnue"))</f>
        <v/>
      </c>
      <c r="E719" s="37" t="n"/>
      <c r="F719" s="39" t="str">
        <f>IF(C719="","",IFERROR(INDEX(art_unit,MATCH(C719,art_ref,0))&amp;"",""))</f>
        <v/>
      </c>
      <c r="G719" s="37" t="n"/>
      <c r="H719" s="37" t="n"/>
      <c r="I719" s="37" t="n"/>
      <c r="J719" s="40" t="str">
        <f>IF(OR(C719="",NOT(ISNUMBER(E719))),"",IFERROR(E719*N(INDEX(art_price,MATCH(C719,art_ref,0))),""))</f>
        <v/>
      </c>
      <c r="K719" s="39" t="str">
        <f>IF(OR(C719="",NOT(ISNUMBER(E719))),"",IFERROR(ROUND(N(INDEX(art_init,MATCH(C719,art_ref,0)))+SUMIFS($E$5:E719,$C$5:C719,C719,$B$5:B719,"Entrée")-SUMIFS($E$5:E719,$C$5:C719,C719,$B$5:B719,"Sortie"),6),""))</f>
        <v/>
      </c>
      <c r="L719" s="39" t="str">
        <f>IF(COUNTA(A719:C719,E719)=0,"",IF(COUNTA(A719:C719,E719)&lt;4,"Ligne incomplète",IF(NOT(ISNUMBER(A719)),"Date invalide",IF(AND(B719&lt;&gt;"Entrée",B719&lt;&gt;"Sortie"),"Type inconnu",IF(ISNA(MATCH(C719,art_ref,0)),"Référence inconnue",IF(OR(NOT(ISNUMBER(E719)),N(E719)&lt;=0),"Quantité invalide",IF(K719&lt;0,"Stock négatif",IF(AND(ISNUMBER(A718),A719&lt;A718),"Date hors ordre","OK"))))))))</f>
        <v/>
      </c>
      <c r="M719" s="39" t="str">
        <f>IF(C719="","",C719&amp;"#"&amp;COUNTIF($C$5:C719,C719))</f>
        <v/>
      </c>
    </row>
    <row r="720">
      <c r="A720" s="41" t="n"/>
      <c r="B720" s="37" t="n"/>
      <c r="C720" s="37" t="n"/>
      <c r="D720" s="39" t="str">
        <f>IF(C720="","",IFERROR(INDEX(art_des,MATCH(C720,art_ref,0))&amp;"","Référence inconnue"))</f>
        <v/>
      </c>
      <c r="E720" s="37" t="n"/>
      <c r="F720" s="39" t="str">
        <f>IF(C720="","",IFERROR(INDEX(art_unit,MATCH(C720,art_ref,0))&amp;"",""))</f>
        <v/>
      </c>
      <c r="G720" s="37" t="n"/>
      <c r="H720" s="37" t="n"/>
      <c r="I720" s="37" t="n"/>
      <c r="J720" s="40" t="str">
        <f>IF(OR(C720="",NOT(ISNUMBER(E720))),"",IFERROR(E720*N(INDEX(art_price,MATCH(C720,art_ref,0))),""))</f>
        <v/>
      </c>
      <c r="K720" s="39" t="str">
        <f>IF(OR(C720="",NOT(ISNUMBER(E720))),"",IFERROR(ROUND(N(INDEX(art_init,MATCH(C720,art_ref,0)))+SUMIFS($E$5:E720,$C$5:C720,C720,$B$5:B720,"Entrée")-SUMIFS($E$5:E720,$C$5:C720,C720,$B$5:B720,"Sortie"),6),""))</f>
        <v/>
      </c>
      <c r="L720" s="39" t="str">
        <f>IF(COUNTA(A720:C720,E720)=0,"",IF(COUNTA(A720:C720,E720)&lt;4,"Ligne incomplète",IF(NOT(ISNUMBER(A720)),"Date invalide",IF(AND(B720&lt;&gt;"Entrée",B720&lt;&gt;"Sortie"),"Type inconnu",IF(ISNA(MATCH(C720,art_ref,0)),"Référence inconnue",IF(OR(NOT(ISNUMBER(E720)),N(E720)&lt;=0),"Quantité invalide",IF(K720&lt;0,"Stock négatif",IF(AND(ISNUMBER(A719),A720&lt;A719),"Date hors ordre","OK"))))))))</f>
        <v/>
      </c>
      <c r="M720" s="39" t="str">
        <f>IF(C720="","",C720&amp;"#"&amp;COUNTIF($C$5:C720,C720))</f>
        <v/>
      </c>
    </row>
    <row r="721">
      <c r="A721" s="41" t="n"/>
      <c r="B721" s="37" t="n"/>
      <c r="C721" s="37" t="n"/>
      <c r="D721" s="39" t="str">
        <f>IF(C721="","",IFERROR(INDEX(art_des,MATCH(C721,art_ref,0))&amp;"","Référence inconnue"))</f>
        <v/>
      </c>
      <c r="E721" s="37" t="n"/>
      <c r="F721" s="39" t="str">
        <f>IF(C721="","",IFERROR(INDEX(art_unit,MATCH(C721,art_ref,0))&amp;"",""))</f>
        <v/>
      </c>
      <c r="G721" s="37" t="n"/>
      <c r="H721" s="37" t="n"/>
      <c r="I721" s="37" t="n"/>
      <c r="J721" s="40" t="str">
        <f>IF(OR(C721="",NOT(ISNUMBER(E721))),"",IFERROR(E721*N(INDEX(art_price,MATCH(C721,art_ref,0))),""))</f>
        <v/>
      </c>
      <c r="K721" s="39" t="str">
        <f>IF(OR(C721="",NOT(ISNUMBER(E721))),"",IFERROR(ROUND(N(INDEX(art_init,MATCH(C721,art_ref,0)))+SUMIFS($E$5:E721,$C$5:C721,C721,$B$5:B721,"Entrée")-SUMIFS($E$5:E721,$C$5:C721,C721,$B$5:B721,"Sortie"),6),""))</f>
        <v/>
      </c>
      <c r="L721" s="39" t="str">
        <f>IF(COUNTA(A721:C721,E721)=0,"",IF(COUNTA(A721:C721,E721)&lt;4,"Ligne incomplète",IF(NOT(ISNUMBER(A721)),"Date invalide",IF(AND(B721&lt;&gt;"Entrée",B721&lt;&gt;"Sortie"),"Type inconnu",IF(ISNA(MATCH(C721,art_ref,0)),"Référence inconnue",IF(OR(NOT(ISNUMBER(E721)),N(E721)&lt;=0),"Quantité invalide",IF(K721&lt;0,"Stock négatif",IF(AND(ISNUMBER(A720),A721&lt;A720),"Date hors ordre","OK"))))))))</f>
        <v/>
      </c>
      <c r="M721" s="39" t="str">
        <f>IF(C721="","",C721&amp;"#"&amp;COUNTIF($C$5:C721,C721))</f>
        <v/>
      </c>
    </row>
    <row r="722">
      <c r="A722" s="41" t="n"/>
      <c r="B722" s="37" t="n"/>
      <c r="C722" s="37" t="n"/>
      <c r="D722" s="39" t="str">
        <f>IF(C722="","",IFERROR(INDEX(art_des,MATCH(C722,art_ref,0))&amp;"","Référence inconnue"))</f>
        <v/>
      </c>
      <c r="E722" s="37" t="n"/>
      <c r="F722" s="39" t="str">
        <f>IF(C722="","",IFERROR(INDEX(art_unit,MATCH(C722,art_ref,0))&amp;"",""))</f>
        <v/>
      </c>
      <c r="G722" s="37" t="n"/>
      <c r="H722" s="37" t="n"/>
      <c r="I722" s="37" t="n"/>
      <c r="J722" s="40" t="str">
        <f>IF(OR(C722="",NOT(ISNUMBER(E722))),"",IFERROR(E722*N(INDEX(art_price,MATCH(C722,art_ref,0))),""))</f>
        <v/>
      </c>
      <c r="K722" s="39" t="str">
        <f>IF(OR(C722="",NOT(ISNUMBER(E722))),"",IFERROR(ROUND(N(INDEX(art_init,MATCH(C722,art_ref,0)))+SUMIFS($E$5:E722,$C$5:C722,C722,$B$5:B722,"Entrée")-SUMIFS($E$5:E722,$C$5:C722,C722,$B$5:B722,"Sortie"),6),""))</f>
        <v/>
      </c>
      <c r="L722" s="39" t="str">
        <f>IF(COUNTA(A722:C722,E722)=0,"",IF(COUNTA(A722:C722,E722)&lt;4,"Ligne incomplète",IF(NOT(ISNUMBER(A722)),"Date invalide",IF(AND(B722&lt;&gt;"Entrée",B722&lt;&gt;"Sortie"),"Type inconnu",IF(ISNA(MATCH(C722,art_ref,0)),"Référence inconnue",IF(OR(NOT(ISNUMBER(E722)),N(E722)&lt;=0),"Quantité invalide",IF(K722&lt;0,"Stock négatif",IF(AND(ISNUMBER(A721),A722&lt;A721),"Date hors ordre","OK"))))))))</f>
        <v/>
      </c>
      <c r="M722" s="39" t="str">
        <f>IF(C722="","",C722&amp;"#"&amp;COUNTIF($C$5:C722,C722))</f>
        <v/>
      </c>
    </row>
    <row r="723">
      <c r="A723" s="41" t="n"/>
      <c r="B723" s="37" t="n"/>
      <c r="C723" s="37" t="n"/>
      <c r="D723" s="39" t="str">
        <f>IF(C723="","",IFERROR(INDEX(art_des,MATCH(C723,art_ref,0))&amp;"","Référence inconnue"))</f>
        <v/>
      </c>
      <c r="E723" s="37" t="n"/>
      <c r="F723" s="39" t="str">
        <f>IF(C723="","",IFERROR(INDEX(art_unit,MATCH(C723,art_ref,0))&amp;"",""))</f>
        <v/>
      </c>
      <c r="G723" s="37" t="n"/>
      <c r="H723" s="37" t="n"/>
      <c r="I723" s="37" t="n"/>
      <c r="J723" s="40" t="str">
        <f>IF(OR(C723="",NOT(ISNUMBER(E723))),"",IFERROR(E723*N(INDEX(art_price,MATCH(C723,art_ref,0))),""))</f>
        <v/>
      </c>
      <c r="K723" s="39" t="str">
        <f>IF(OR(C723="",NOT(ISNUMBER(E723))),"",IFERROR(ROUND(N(INDEX(art_init,MATCH(C723,art_ref,0)))+SUMIFS($E$5:E723,$C$5:C723,C723,$B$5:B723,"Entrée")-SUMIFS($E$5:E723,$C$5:C723,C723,$B$5:B723,"Sortie"),6),""))</f>
        <v/>
      </c>
      <c r="L723" s="39" t="str">
        <f>IF(COUNTA(A723:C723,E723)=0,"",IF(COUNTA(A723:C723,E723)&lt;4,"Ligne incomplète",IF(NOT(ISNUMBER(A723)),"Date invalide",IF(AND(B723&lt;&gt;"Entrée",B723&lt;&gt;"Sortie"),"Type inconnu",IF(ISNA(MATCH(C723,art_ref,0)),"Référence inconnue",IF(OR(NOT(ISNUMBER(E723)),N(E723)&lt;=0),"Quantité invalide",IF(K723&lt;0,"Stock négatif",IF(AND(ISNUMBER(A722),A723&lt;A722),"Date hors ordre","OK"))))))))</f>
        <v/>
      </c>
      <c r="M723" s="39" t="str">
        <f>IF(C723="","",C723&amp;"#"&amp;COUNTIF($C$5:C723,C723))</f>
        <v/>
      </c>
    </row>
    <row r="724">
      <c r="A724" s="41" t="n"/>
      <c r="B724" s="37" t="n"/>
      <c r="C724" s="37" t="n"/>
      <c r="D724" s="39" t="str">
        <f>IF(C724="","",IFERROR(INDEX(art_des,MATCH(C724,art_ref,0))&amp;"","Référence inconnue"))</f>
        <v/>
      </c>
      <c r="E724" s="37" t="n"/>
      <c r="F724" s="39" t="str">
        <f>IF(C724="","",IFERROR(INDEX(art_unit,MATCH(C724,art_ref,0))&amp;"",""))</f>
        <v/>
      </c>
      <c r="G724" s="37" t="n"/>
      <c r="H724" s="37" t="n"/>
      <c r="I724" s="37" t="n"/>
      <c r="J724" s="40" t="str">
        <f>IF(OR(C724="",NOT(ISNUMBER(E724))),"",IFERROR(E724*N(INDEX(art_price,MATCH(C724,art_ref,0))),""))</f>
        <v/>
      </c>
      <c r="K724" s="39" t="str">
        <f>IF(OR(C724="",NOT(ISNUMBER(E724))),"",IFERROR(ROUND(N(INDEX(art_init,MATCH(C724,art_ref,0)))+SUMIFS($E$5:E724,$C$5:C724,C724,$B$5:B724,"Entrée")-SUMIFS($E$5:E724,$C$5:C724,C724,$B$5:B724,"Sortie"),6),""))</f>
        <v/>
      </c>
      <c r="L724" s="39" t="str">
        <f>IF(COUNTA(A724:C724,E724)=0,"",IF(COUNTA(A724:C724,E724)&lt;4,"Ligne incomplète",IF(NOT(ISNUMBER(A724)),"Date invalide",IF(AND(B724&lt;&gt;"Entrée",B724&lt;&gt;"Sortie"),"Type inconnu",IF(ISNA(MATCH(C724,art_ref,0)),"Référence inconnue",IF(OR(NOT(ISNUMBER(E724)),N(E724)&lt;=0),"Quantité invalide",IF(K724&lt;0,"Stock négatif",IF(AND(ISNUMBER(A723),A724&lt;A723),"Date hors ordre","OK"))))))))</f>
        <v/>
      </c>
      <c r="M724" s="39" t="str">
        <f>IF(C724="","",C724&amp;"#"&amp;COUNTIF($C$5:C724,C724))</f>
        <v/>
      </c>
    </row>
    <row r="725">
      <c r="A725" s="41" t="n"/>
      <c r="B725" s="37" t="n"/>
      <c r="C725" s="37" t="n"/>
      <c r="D725" s="39" t="str">
        <f>IF(C725="","",IFERROR(INDEX(art_des,MATCH(C725,art_ref,0))&amp;"","Référence inconnue"))</f>
        <v/>
      </c>
      <c r="E725" s="37" t="n"/>
      <c r="F725" s="39" t="str">
        <f>IF(C725="","",IFERROR(INDEX(art_unit,MATCH(C725,art_ref,0))&amp;"",""))</f>
        <v/>
      </c>
      <c r="G725" s="37" t="n"/>
      <c r="H725" s="37" t="n"/>
      <c r="I725" s="37" t="n"/>
      <c r="J725" s="40" t="str">
        <f>IF(OR(C725="",NOT(ISNUMBER(E725))),"",IFERROR(E725*N(INDEX(art_price,MATCH(C725,art_ref,0))),""))</f>
        <v/>
      </c>
      <c r="K725" s="39" t="str">
        <f>IF(OR(C725="",NOT(ISNUMBER(E725))),"",IFERROR(ROUND(N(INDEX(art_init,MATCH(C725,art_ref,0)))+SUMIFS($E$5:E725,$C$5:C725,C725,$B$5:B725,"Entrée")-SUMIFS($E$5:E725,$C$5:C725,C725,$B$5:B725,"Sortie"),6),""))</f>
        <v/>
      </c>
      <c r="L725" s="39" t="str">
        <f>IF(COUNTA(A725:C725,E725)=0,"",IF(COUNTA(A725:C725,E725)&lt;4,"Ligne incomplète",IF(NOT(ISNUMBER(A725)),"Date invalide",IF(AND(B725&lt;&gt;"Entrée",B725&lt;&gt;"Sortie"),"Type inconnu",IF(ISNA(MATCH(C725,art_ref,0)),"Référence inconnue",IF(OR(NOT(ISNUMBER(E725)),N(E725)&lt;=0),"Quantité invalide",IF(K725&lt;0,"Stock négatif",IF(AND(ISNUMBER(A724),A725&lt;A724),"Date hors ordre","OK"))))))))</f>
        <v/>
      </c>
      <c r="M725" s="39" t="str">
        <f>IF(C725="","",C725&amp;"#"&amp;COUNTIF($C$5:C725,C725))</f>
        <v/>
      </c>
    </row>
    <row r="726">
      <c r="A726" s="41" t="n"/>
      <c r="B726" s="37" t="n"/>
      <c r="C726" s="37" t="n"/>
      <c r="D726" s="39" t="str">
        <f>IF(C726="","",IFERROR(INDEX(art_des,MATCH(C726,art_ref,0))&amp;"","Référence inconnue"))</f>
        <v/>
      </c>
      <c r="E726" s="37" t="n"/>
      <c r="F726" s="39" t="str">
        <f>IF(C726="","",IFERROR(INDEX(art_unit,MATCH(C726,art_ref,0))&amp;"",""))</f>
        <v/>
      </c>
      <c r="G726" s="37" t="n"/>
      <c r="H726" s="37" t="n"/>
      <c r="I726" s="37" t="n"/>
      <c r="J726" s="40" t="str">
        <f>IF(OR(C726="",NOT(ISNUMBER(E726))),"",IFERROR(E726*N(INDEX(art_price,MATCH(C726,art_ref,0))),""))</f>
        <v/>
      </c>
      <c r="K726" s="39" t="str">
        <f>IF(OR(C726="",NOT(ISNUMBER(E726))),"",IFERROR(ROUND(N(INDEX(art_init,MATCH(C726,art_ref,0)))+SUMIFS($E$5:E726,$C$5:C726,C726,$B$5:B726,"Entrée")-SUMIFS($E$5:E726,$C$5:C726,C726,$B$5:B726,"Sortie"),6),""))</f>
        <v/>
      </c>
      <c r="L726" s="39" t="str">
        <f>IF(COUNTA(A726:C726,E726)=0,"",IF(COUNTA(A726:C726,E726)&lt;4,"Ligne incomplète",IF(NOT(ISNUMBER(A726)),"Date invalide",IF(AND(B726&lt;&gt;"Entrée",B726&lt;&gt;"Sortie"),"Type inconnu",IF(ISNA(MATCH(C726,art_ref,0)),"Référence inconnue",IF(OR(NOT(ISNUMBER(E726)),N(E726)&lt;=0),"Quantité invalide",IF(K726&lt;0,"Stock négatif",IF(AND(ISNUMBER(A725),A726&lt;A725),"Date hors ordre","OK"))))))))</f>
        <v/>
      </c>
      <c r="M726" s="39" t="str">
        <f>IF(C726="","",C726&amp;"#"&amp;COUNTIF($C$5:C726,C726))</f>
        <v/>
      </c>
    </row>
    <row r="727">
      <c r="A727" s="41" t="n"/>
      <c r="B727" s="37" t="n"/>
      <c r="C727" s="37" t="n"/>
      <c r="D727" s="39" t="str">
        <f>IF(C727="","",IFERROR(INDEX(art_des,MATCH(C727,art_ref,0))&amp;"","Référence inconnue"))</f>
        <v/>
      </c>
      <c r="E727" s="37" t="n"/>
      <c r="F727" s="39" t="str">
        <f>IF(C727="","",IFERROR(INDEX(art_unit,MATCH(C727,art_ref,0))&amp;"",""))</f>
        <v/>
      </c>
      <c r="G727" s="37" t="n"/>
      <c r="H727" s="37" t="n"/>
      <c r="I727" s="37" t="n"/>
      <c r="J727" s="40" t="str">
        <f>IF(OR(C727="",NOT(ISNUMBER(E727))),"",IFERROR(E727*N(INDEX(art_price,MATCH(C727,art_ref,0))),""))</f>
        <v/>
      </c>
      <c r="K727" s="39" t="str">
        <f>IF(OR(C727="",NOT(ISNUMBER(E727))),"",IFERROR(ROUND(N(INDEX(art_init,MATCH(C727,art_ref,0)))+SUMIFS($E$5:E727,$C$5:C727,C727,$B$5:B727,"Entrée")-SUMIFS($E$5:E727,$C$5:C727,C727,$B$5:B727,"Sortie"),6),""))</f>
        <v/>
      </c>
      <c r="L727" s="39" t="str">
        <f>IF(COUNTA(A727:C727,E727)=0,"",IF(COUNTA(A727:C727,E727)&lt;4,"Ligne incomplète",IF(NOT(ISNUMBER(A727)),"Date invalide",IF(AND(B727&lt;&gt;"Entrée",B727&lt;&gt;"Sortie"),"Type inconnu",IF(ISNA(MATCH(C727,art_ref,0)),"Référence inconnue",IF(OR(NOT(ISNUMBER(E727)),N(E727)&lt;=0),"Quantité invalide",IF(K727&lt;0,"Stock négatif",IF(AND(ISNUMBER(A726),A727&lt;A726),"Date hors ordre","OK"))))))))</f>
        <v/>
      </c>
      <c r="M727" s="39" t="str">
        <f>IF(C727="","",C727&amp;"#"&amp;COUNTIF($C$5:C727,C727))</f>
        <v/>
      </c>
    </row>
    <row r="728">
      <c r="A728" s="41" t="n"/>
      <c r="B728" s="37" t="n"/>
      <c r="C728" s="37" t="n"/>
      <c r="D728" s="39" t="str">
        <f>IF(C728="","",IFERROR(INDEX(art_des,MATCH(C728,art_ref,0))&amp;"","Référence inconnue"))</f>
        <v/>
      </c>
      <c r="E728" s="37" t="n"/>
      <c r="F728" s="39" t="str">
        <f>IF(C728="","",IFERROR(INDEX(art_unit,MATCH(C728,art_ref,0))&amp;"",""))</f>
        <v/>
      </c>
      <c r="G728" s="37" t="n"/>
      <c r="H728" s="37" t="n"/>
      <c r="I728" s="37" t="n"/>
      <c r="J728" s="40" t="str">
        <f>IF(OR(C728="",NOT(ISNUMBER(E728))),"",IFERROR(E728*N(INDEX(art_price,MATCH(C728,art_ref,0))),""))</f>
        <v/>
      </c>
      <c r="K728" s="39" t="str">
        <f>IF(OR(C728="",NOT(ISNUMBER(E728))),"",IFERROR(ROUND(N(INDEX(art_init,MATCH(C728,art_ref,0)))+SUMIFS($E$5:E728,$C$5:C728,C728,$B$5:B728,"Entrée")-SUMIFS($E$5:E728,$C$5:C728,C728,$B$5:B728,"Sortie"),6),""))</f>
        <v/>
      </c>
      <c r="L728" s="39" t="str">
        <f>IF(COUNTA(A728:C728,E728)=0,"",IF(COUNTA(A728:C728,E728)&lt;4,"Ligne incomplète",IF(NOT(ISNUMBER(A728)),"Date invalide",IF(AND(B728&lt;&gt;"Entrée",B728&lt;&gt;"Sortie"),"Type inconnu",IF(ISNA(MATCH(C728,art_ref,0)),"Référence inconnue",IF(OR(NOT(ISNUMBER(E728)),N(E728)&lt;=0),"Quantité invalide",IF(K728&lt;0,"Stock négatif",IF(AND(ISNUMBER(A727),A728&lt;A727),"Date hors ordre","OK"))))))))</f>
        <v/>
      </c>
      <c r="M728" s="39" t="str">
        <f>IF(C728="","",C728&amp;"#"&amp;COUNTIF($C$5:C728,C728))</f>
        <v/>
      </c>
    </row>
    <row r="729">
      <c r="A729" s="41" t="n"/>
      <c r="B729" s="37" t="n"/>
      <c r="C729" s="37" t="n"/>
      <c r="D729" s="39" t="str">
        <f>IF(C729="","",IFERROR(INDEX(art_des,MATCH(C729,art_ref,0))&amp;"","Référence inconnue"))</f>
        <v/>
      </c>
      <c r="E729" s="37" t="n"/>
      <c r="F729" s="39" t="str">
        <f>IF(C729="","",IFERROR(INDEX(art_unit,MATCH(C729,art_ref,0))&amp;"",""))</f>
        <v/>
      </c>
      <c r="G729" s="37" t="n"/>
      <c r="H729" s="37" t="n"/>
      <c r="I729" s="37" t="n"/>
      <c r="J729" s="40" t="str">
        <f>IF(OR(C729="",NOT(ISNUMBER(E729))),"",IFERROR(E729*N(INDEX(art_price,MATCH(C729,art_ref,0))),""))</f>
        <v/>
      </c>
      <c r="K729" s="39" t="str">
        <f>IF(OR(C729="",NOT(ISNUMBER(E729))),"",IFERROR(ROUND(N(INDEX(art_init,MATCH(C729,art_ref,0)))+SUMIFS($E$5:E729,$C$5:C729,C729,$B$5:B729,"Entrée")-SUMIFS($E$5:E729,$C$5:C729,C729,$B$5:B729,"Sortie"),6),""))</f>
        <v/>
      </c>
      <c r="L729" s="39" t="str">
        <f>IF(COUNTA(A729:C729,E729)=0,"",IF(COUNTA(A729:C729,E729)&lt;4,"Ligne incomplète",IF(NOT(ISNUMBER(A729)),"Date invalide",IF(AND(B729&lt;&gt;"Entrée",B729&lt;&gt;"Sortie"),"Type inconnu",IF(ISNA(MATCH(C729,art_ref,0)),"Référence inconnue",IF(OR(NOT(ISNUMBER(E729)),N(E729)&lt;=0),"Quantité invalide",IF(K729&lt;0,"Stock négatif",IF(AND(ISNUMBER(A728),A729&lt;A728),"Date hors ordre","OK"))))))))</f>
        <v/>
      </c>
      <c r="M729" s="39" t="str">
        <f>IF(C729="","",C729&amp;"#"&amp;COUNTIF($C$5:C729,C729))</f>
        <v/>
      </c>
    </row>
    <row r="730">
      <c r="A730" s="41" t="n"/>
      <c r="B730" s="37" t="n"/>
      <c r="C730" s="37" t="n"/>
      <c r="D730" s="39" t="str">
        <f>IF(C730="","",IFERROR(INDEX(art_des,MATCH(C730,art_ref,0))&amp;"","Référence inconnue"))</f>
        <v/>
      </c>
      <c r="E730" s="37" t="n"/>
      <c r="F730" s="39" t="str">
        <f>IF(C730="","",IFERROR(INDEX(art_unit,MATCH(C730,art_ref,0))&amp;"",""))</f>
        <v/>
      </c>
      <c r="G730" s="37" t="n"/>
      <c r="H730" s="37" t="n"/>
      <c r="I730" s="37" t="n"/>
      <c r="J730" s="40" t="str">
        <f>IF(OR(C730="",NOT(ISNUMBER(E730))),"",IFERROR(E730*N(INDEX(art_price,MATCH(C730,art_ref,0))),""))</f>
        <v/>
      </c>
      <c r="K730" s="39" t="str">
        <f>IF(OR(C730="",NOT(ISNUMBER(E730))),"",IFERROR(ROUND(N(INDEX(art_init,MATCH(C730,art_ref,0)))+SUMIFS($E$5:E730,$C$5:C730,C730,$B$5:B730,"Entrée")-SUMIFS($E$5:E730,$C$5:C730,C730,$B$5:B730,"Sortie"),6),""))</f>
        <v/>
      </c>
      <c r="L730" s="39" t="str">
        <f>IF(COUNTA(A730:C730,E730)=0,"",IF(COUNTA(A730:C730,E730)&lt;4,"Ligne incomplète",IF(NOT(ISNUMBER(A730)),"Date invalide",IF(AND(B730&lt;&gt;"Entrée",B730&lt;&gt;"Sortie"),"Type inconnu",IF(ISNA(MATCH(C730,art_ref,0)),"Référence inconnue",IF(OR(NOT(ISNUMBER(E730)),N(E730)&lt;=0),"Quantité invalide",IF(K730&lt;0,"Stock négatif",IF(AND(ISNUMBER(A729),A730&lt;A729),"Date hors ordre","OK"))))))))</f>
        <v/>
      </c>
      <c r="M730" s="39" t="str">
        <f>IF(C730="","",C730&amp;"#"&amp;COUNTIF($C$5:C730,C730))</f>
        <v/>
      </c>
    </row>
    <row r="731">
      <c r="A731" s="41" t="n"/>
      <c r="B731" s="37" t="n"/>
      <c r="C731" s="37" t="n"/>
      <c r="D731" s="39" t="str">
        <f>IF(C731="","",IFERROR(INDEX(art_des,MATCH(C731,art_ref,0))&amp;"","Référence inconnue"))</f>
        <v/>
      </c>
      <c r="E731" s="37" t="n"/>
      <c r="F731" s="39" t="str">
        <f>IF(C731="","",IFERROR(INDEX(art_unit,MATCH(C731,art_ref,0))&amp;"",""))</f>
        <v/>
      </c>
      <c r="G731" s="37" t="n"/>
      <c r="H731" s="37" t="n"/>
      <c r="I731" s="37" t="n"/>
      <c r="J731" s="40" t="str">
        <f>IF(OR(C731="",NOT(ISNUMBER(E731))),"",IFERROR(E731*N(INDEX(art_price,MATCH(C731,art_ref,0))),""))</f>
        <v/>
      </c>
      <c r="K731" s="39" t="str">
        <f>IF(OR(C731="",NOT(ISNUMBER(E731))),"",IFERROR(ROUND(N(INDEX(art_init,MATCH(C731,art_ref,0)))+SUMIFS($E$5:E731,$C$5:C731,C731,$B$5:B731,"Entrée")-SUMIFS($E$5:E731,$C$5:C731,C731,$B$5:B731,"Sortie"),6),""))</f>
        <v/>
      </c>
      <c r="L731" s="39" t="str">
        <f>IF(COUNTA(A731:C731,E731)=0,"",IF(COUNTA(A731:C731,E731)&lt;4,"Ligne incomplète",IF(NOT(ISNUMBER(A731)),"Date invalide",IF(AND(B731&lt;&gt;"Entrée",B731&lt;&gt;"Sortie"),"Type inconnu",IF(ISNA(MATCH(C731,art_ref,0)),"Référence inconnue",IF(OR(NOT(ISNUMBER(E731)),N(E731)&lt;=0),"Quantité invalide",IF(K731&lt;0,"Stock négatif",IF(AND(ISNUMBER(A730),A731&lt;A730),"Date hors ordre","OK"))))))))</f>
        <v/>
      </c>
      <c r="M731" s="39" t="str">
        <f>IF(C731="","",C731&amp;"#"&amp;COUNTIF($C$5:C731,C731))</f>
        <v/>
      </c>
    </row>
    <row r="732">
      <c r="A732" s="41" t="n"/>
      <c r="B732" s="37" t="n"/>
      <c r="C732" s="37" t="n"/>
      <c r="D732" s="39" t="str">
        <f>IF(C732="","",IFERROR(INDEX(art_des,MATCH(C732,art_ref,0))&amp;"","Référence inconnue"))</f>
        <v/>
      </c>
      <c r="E732" s="37" t="n"/>
      <c r="F732" s="39" t="str">
        <f>IF(C732="","",IFERROR(INDEX(art_unit,MATCH(C732,art_ref,0))&amp;"",""))</f>
        <v/>
      </c>
      <c r="G732" s="37" t="n"/>
      <c r="H732" s="37" t="n"/>
      <c r="I732" s="37" t="n"/>
      <c r="J732" s="40" t="str">
        <f>IF(OR(C732="",NOT(ISNUMBER(E732))),"",IFERROR(E732*N(INDEX(art_price,MATCH(C732,art_ref,0))),""))</f>
        <v/>
      </c>
      <c r="K732" s="39" t="str">
        <f>IF(OR(C732="",NOT(ISNUMBER(E732))),"",IFERROR(ROUND(N(INDEX(art_init,MATCH(C732,art_ref,0)))+SUMIFS($E$5:E732,$C$5:C732,C732,$B$5:B732,"Entrée")-SUMIFS($E$5:E732,$C$5:C732,C732,$B$5:B732,"Sortie"),6),""))</f>
        <v/>
      </c>
      <c r="L732" s="39" t="str">
        <f>IF(COUNTA(A732:C732,E732)=0,"",IF(COUNTA(A732:C732,E732)&lt;4,"Ligne incomplète",IF(NOT(ISNUMBER(A732)),"Date invalide",IF(AND(B732&lt;&gt;"Entrée",B732&lt;&gt;"Sortie"),"Type inconnu",IF(ISNA(MATCH(C732,art_ref,0)),"Référence inconnue",IF(OR(NOT(ISNUMBER(E732)),N(E732)&lt;=0),"Quantité invalide",IF(K732&lt;0,"Stock négatif",IF(AND(ISNUMBER(A731),A732&lt;A731),"Date hors ordre","OK"))))))))</f>
        <v/>
      </c>
      <c r="M732" s="39" t="str">
        <f>IF(C732="","",C732&amp;"#"&amp;COUNTIF($C$5:C732,C732))</f>
        <v/>
      </c>
    </row>
    <row r="733">
      <c r="A733" s="41" t="n"/>
      <c r="B733" s="37" t="n"/>
      <c r="C733" s="37" t="n"/>
      <c r="D733" s="39" t="str">
        <f>IF(C733="","",IFERROR(INDEX(art_des,MATCH(C733,art_ref,0))&amp;"","Référence inconnue"))</f>
        <v/>
      </c>
      <c r="E733" s="37" t="n"/>
      <c r="F733" s="39" t="str">
        <f>IF(C733="","",IFERROR(INDEX(art_unit,MATCH(C733,art_ref,0))&amp;"",""))</f>
        <v/>
      </c>
      <c r="G733" s="37" t="n"/>
      <c r="H733" s="37" t="n"/>
      <c r="I733" s="37" t="n"/>
      <c r="J733" s="40" t="str">
        <f>IF(OR(C733="",NOT(ISNUMBER(E733))),"",IFERROR(E733*N(INDEX(art_price,MATCH(C733,art_ref,0))),""))</f>
        <v/>
      </c>
      <c r="K733" s="39" t="str">
        <f>IF(OR(C733="",NOT(ISNUMBER(E733))),"",IFERROR(ROUND(N(INDEX(art_init,MATCH(C733,art_ref,0)))+SUMIFS($E$5:E733,$C$5:C733,C733,$B$5:B733,"Entrée")-SUMIFS($E$5:E733,$C$5:C733,C733,$B$5:B733,"Sortie"),6),""))</f>
        <v/>
      </c>
      <c r="L733" s="39" t="str">
        <f>IF(COUNTA(A733:C733,E733)=0,"",IF(COUNTA(A733:C733,E733)&lt;4,"Ligne incomplète",IF(NOT(ISNUMBER(A733)),"Date invalide",IF(AND(B733&lt;&gt;"Entrée",B733&lt;&gt;"Sortie"),"Type inconnu",IF(ISNA(MATCH(C733,art_ref,0)),"Référence inconnue",IF(OR(NOT(ISNUMBER(E733)),N(E733)&lt;=0),"Quantité invalide",IF(K733&lt;0,"Stock négatif",IF(AND(ISNUMBER(A732),A733&lt;A732),"Date hors ordre","OK"))))))))</f>
        <v/>
      </c>
      <c r="M733" s="39" t="str">
        <f>IF(C733="","",C733&amp;"#"&amp;COUNTIF($C$5:C733,C733))</f>
        <v/>
      </c>
    </row>
    <row r="734">
      <c r="A734" s="41" t="n"/>
      <c r="B734" s="37" t="n"/>
      <c r="C734" s="37" t="n"/>
      <c r="D734" s="39" t="str">
        <f>IF(C734="","",IFERROR(INDEX(art_des,MATCH(C734,art_ref,0))&amp;"","Référence inconnue"))</f>
        <v/>
      </c>
      <c r="E734" s="37" t="n"/>
      <c r="F734" s="39" t="str">
        <f>IF(C734="","",IFERROR(INDEX(art_unit,MATCH(C734,art_ref,0))&amp;"",""))</f>
        <v/>
      </c>
      <c r="G734" s="37" t="n"/>
      <c r="H734" s="37" t="n"/>
      <c r="I734" s="37" t="n"/>
      <c r="J734" s="40" t="str">
        <f>IF(OR(C734="",NOT(ISNUMBER(E734))),"",IFERROR(E734*N(INDEX(art_price,MATCH(C734,art_ref,0))),""))</f>
        <v/>
      </c>
      <c r="K734" s="39" t="str">
        <f>IF(OR(C734="",NOT(ISNUMBER(E734))),"",IFERROR(ROUND(N(INDEX(art_init,MATCH(C734,art_ref,0)))+SUMIFS($E$5:E734,$C$5:C734,C734,$B$5:B734,"Entrée")-SUMIFS($E$5:E734,$C$5:C734,C734,$B$5:B734,"Sortie"),6),""))</f>
        <v/>
      </c>
      <c r="L734" s="39" t="str">
        <f>IF(COUNTA(A734:C734,E734)=0,"",IF(COUNTA(A734:C734,E734)&lt;4,"Ligne incomplète",IF(NOT(ISNUMBER(A734)),"Date invalide",IF(AND(B734&lt;&gt;"Entrée",B734&lt;&gt;"Sortie"),"Type inconnu",IF(ISNA(MATCH(C734,art_ref,0)),"Référence inconnue",IF(OR(NOT(ISNUMBER(E734)),N(E734)&lt;=0),"Quantité invalide",IF(K734&lt;0,"Stock négatif",IF(AND(ISNUMBER(A733),A734&lt;A733),"Date hors ordre","OK"))))))))</f>
        <v/>
      </c>
      <c r="M734" s="39" t="str">
        <f>IF(C734="","",C734&amp;"#"&amp;COUNTIF($C$5:C734,C734))</f>
        <v/>
      </c>
    </row>
    <row r="735">
      <c r="A735" s="41" t="n"/>
      <c r="B735" s="37" t="n"/>
      <c r="C735" s="37" t="n"/>
      <c r="D735" s="39" t="str">
        <f>IF(C735="","",IFERROR(INDEX(art_des,MATCH(C735,art_ref,0))&amp;"","Référence inconnue"))</f>
        <v/>
      </c>
      <c r="E735" s="37" t="n"/>
      <c r="F735" s="39" t="str">
        <f>IF(C735="","",IFERROR(INDEX(art_unit,MATCH(C735,art_ref,0))&amp;"",""))</f>
        <v/>
      </c>
      <c r="G735" s="37" t="n"/>
      <c r="H735" s="37" t="n"/>
      <c r="I735" s="37" t="n"/>
      <c r="J735" s="40" t="str">
        <f>IF(OR(C735="",NOT(ISNUMBER(E735))),"",IFERROR(E735*N(INDEX(art_price,MATCH(C735,art_ref,0))),""))</f>
        <v/>
      </c>
      <c r="K735" s="39" t="str">
        <f>IF(OR(C735="",NOT(ISNUMBER(E735))),"",IFERROR(ROUND(N(INDEX(art_init,MATCH(C735,art_ref,0)))+SUMIFS($E$5:E735,$C$5:C735,C735,$B$5:B735,"Entrée")-SUMIFS($E$5:E735,$C$5:C735,C735,$B$5:B735,"Sortie"),6),""))</f>
        <v/>
      </c>
      <c r="L735" s="39" t="str">
        <f>IF(COUNTA(A735:C735,E735)=0,"",IF(COUNTA(A735:C735,E735)&lt;4,"Ligne incomplète",IF(NOT(ISNUMBER(A735)),"Date invalide",IF(AND(B735&lt;&gt;"Entrée",B735&lt;&gt;"Sortie"),"Type inconnu",IF(ISNA(MATCH(C735,art_ref,0)),"Référence inconnue",IF(OR(NOT(ISNUMBER(E735)),N(E735)&lt;=0),"Quantité invalide",IF(K735&lt;0,"Stock négatif",IF(AND(ISNUMBER(A734),A735&lt;A734),"Date hors ordre","OK"))))))))</f>
        <v/>
      </c>
      <c r="M735" s="39" t="str">
        <f>IF(C735="","",C735&amp;"#"&amp;COUNTIF($C$5:C735,C735))</f>
        <v/>
      </c>
    </row>
    <row r="736">
      <c r="A736" s="41" t="n"/>
      <c r="B736" s="37" t="n"/>
      <c r="C736" s="37" t="n"/>
      <c r="D736" s="39" t="str">
        <f>IF(C736="","",IFERROR(INDEX(art_des,MATCH(C736,art_ref,0))&amp;"","Référence inconnue"))</f>
        <v/>
      </c>
      <c r="E736" s="37" t="n"/>
      <c r="F736" s="39" t="str">
        <f>IF(C736="","",IFERROR(INDEX(art_unit,MATCH(C736,art_ref,0))&amp;"",""))</f>
        <v/>
      </c>
      <c r="G736" s="37" t="n"/>
      <c r="H736" s="37" t="n"/>
      <c r="I736" s="37" t="n"/>
      <c r="J736" s="40" t="str">
        <f>IF(OR(C736="",NOT(ISNUMBER(E736))),"",IFERROR(E736*N(INDEX(art_price,MATCH(C736,art_ref,0))),""))</f>
        <v/>
      </c>
      <c r="K736" s="39" t="str">
        <f>IF(OR(C736="",NOT(ISNUMBER(E736))),"",IFERROR(ROUND(N(INDEX(art_init,MATCH(C736,art_ref,0)))+SUMIFS($E$5:E736,$C$5:C736,C736,$B$5:B736,"Entrée")-SUMIFS($E$5:E736,$C$5:C736,C736,$B$5:B736,"Sortie"),6),""))</f>
        <v/>
      </c>
      <c r="L736" s="39" t="str">
        <f>IF(COUNTA(A736:C736,E736)=0,"",IF(COUNTA(A736:C736,E736)&lt;4,"Ligne incomplète",IF(NOT(ISNUMBER(A736)),"Date invalide",IF(AND(B736&lt;&gt;"Entrée",B736&lt;&gt;"Sortie"),"Type inconnu",IF(ISNA(MATCH(C736,art_ref,0)),"Référence inconnue",IF(OR(NOT(ISNUMBER(E736)),N(E736)&lt;=0),"Quantité invalide",IF(K736&lt;0,"Stock négatif",IF(AND(ISNUMBER(A735),A736&lt;A735),"Date hors ordre","OK"))))))))</f>
        <v/>
      </c>
      <c r="M736" s="39" t="str">
        <f>IF(C736="","",C736&amp;"#"&amp;COUNTIF($C$5:C736,C736))</f>
        <v/>
      </c>
    </row>
    <row r="737">
      <c r="A737" s="41" t="n"/>
      <c r="B737" s="37" t="n"/>
      <c r="C737" s="37" t="n"/>
      <c r="D737" s="39" t="str">
        <f>IF(C737="","",IFERROR(INDEX(art_des,MATCH(C737,art_ref,0))&amp;"","Référence inconnue"))</f>
        <v/>
      </c>
      <c r="E737" s="37" t="n"/>
      <c r="F737" s="39" t="str">
        <f>IF(C737="","",IFERROR(INDEX(art_unit,MATCH(C737,art_ref,0))&amp;"",""))</f>
        <v/>
      </c>
      <c r="G737" s="37" t="n"/>
      <c r="H737" s="37" t="n"/>
      <c r="I737" s="37" t="n"/>
      <c r="J737" s="40" t="str">
        <f>IF(OR(C737="",NOT(ISNUMBER(E737))),"",IFERROR(E737*N(INDEX(art_price,MATCH(C737,art_ref,0))),""))</f>
        <v/>
      </c>
      <c r="K737" s="39" t="str">
        <f>IF(OR(C737="",NOT(ISNUMBER(E737))),"",IFERROR(ROUND(N(INDEX(art_init,MATCH(C737,art_ref,0)))+SUMIFS($E$5:E737,$C$5:C737,C737,$B$5:B737,"Entrée")-SUMIFS($E$5:E737,$C$5:C737,C737,$B$5:B737,"Sortie"),6),""))</f>
        <v/>
      </c>
      <c r="L737" s="39" t="str">
        <f>IF(COUNTA(A737:C737,E737)=0,"",IF(COUNTA(A737:C737,E737)&lt;4,"Ligne incomplète",IF(NOT(ISNUMBER(A737)),"Date invalide",IF(AND(B737&lt;&gt;"Entrée",B737&lt;&gt;"Sortie"),"Type inconnu",IF(ISNA(MATCH(C737,art_ref,0)),"Référence inconnue",IF(OR(NOT(ISNUMBER(E737)),N(E737)&lt;=0),"Quantité invalide",IF(K737&lt;0,"Stock négatif",IF(AND(ISNUMBER(A736),A737&lt;A736),"Date hors ordre","OK"))))))))</f>
        <v/>
      </c>
      <c r="M737" s="39" t="str">
        <f>IF(C737="","",C737&amp;"#"&amp;COUNTIF($C$5:C737,C737))</f>
        <v/>
      </c>
    </row>
    <row r="738">
      <c r="A738" s="41" t="n"/>
      <c r="B738" s="37" t="n"/>
      <c r="C738" s="37" t="n"/>
      <c r="D738" s="39" t="str">
        <f>IF(C738="","",IFERROR(INDEX(art_des,MATCH(C738,art_ref,0))&amp;"","Référence inconnue"))</f>
        <v/>
      </c>
      <c r="E738" s="37" t="n"/>
      <c r="F738" s="39" t="str">
        <f>IF(C738="","",IFERROR(INDEX(art_unit,MATCH(C738,art_ref,0))&amp;"",""))</f>
        <v/>
      </c>
      <c r="G738" s="37" t="n"/>
      <c r="H738" s="37" t="n"/>
      <c r="I738" s="37" t="n"/>
      <c r="J738" s="40" t="str">
        <f>IF(OR(C738="",NOT(ISNUMBER(E738))),"",IFERROR(E738*N(INDEX(art_price,MATCH(C738,art_ref,0))),""))</f>
        <v/>
      </c>
      <c r="K738" s="39" t="str">
        <f>IF(OR(C738="",NOT(ISNUMBER(E738))),"",IFERROR(ROUND(N(INDEX(art_init,MATCH(C738,art_ref,0)))+SUMIFS($E$5:E738,$C$5:C738,C738,$B$5:B738,"Entrée")-SUMIFS($E$5:E738,$C$5:C738,C738,$B$5:B738,"Sortie"),6),""))</f>
        <v/>
      </c>
      <c r="L738" s="39" t="str">
        <f>IF(COUNTA(A738:C738,E738)=0,"",IF(COUNTA(A738:C738,E738)&lt;4,"Ligne incomplète",IF(NOT(ISNUMBER(A738)),"Date invalide",IF(AND(B738&lt;&gt;"Entrée",B738&lt;&gt;"Sortie"),"Type inconnu",IF(ISNA(MATCH(C738,art_ref,0)),"Référence inconnue",IF(OR(NOT(ISNUMBER(E738)),N(E738)&lt;=0),"Quantité invalide",IF(K738&lt;0,"Stock négatif",IF(AND(ISNUMBER(A737),A738&lt;A737),"Date hors ordre","OK"))))))))</f>
        <v/>
      </c>
      <c r="M738" s="39" t="str">
        <f>IF(C738="","",C738&amp;"#"&amp;COUNTIF($C$5:C738,C738))</f>
        <v/>
      </c>
    </row>
    <row r="739">
      <c r="A739" s="41" t="n"/>
      <c r="B739" s="37" t="n"/>
      <c r="C739" s="37" t="n"/>
      <c r="D739" s="39" t="str">
        <f>IF(C739="","",IFERROR(INDEX(art_des,MATCH(C739,art_ref,0))&amp;"","Référence inconnue"))</f>
        <v/>
      </c>
      <c r="E739" s="37" t="n"/>
      <c r="F739" s="39" t="str">
        <f>IF(C739="","",IFERROR(INDEX(art_unit,MATCH(C739,art_ref,0))&amp;"",""))</f>
        <v/>
      </c>
      <c r="G739" s="37" t="n"/>
      <c r="H739" s="37" t="n"/>
      <c r="I739" s="37" t="n"/>
      <c r="J739" s="40" t="str">
        <f>IF(OR(C739="",NOT(ISNUMBER(E739))),"",IFERROR(E739*N(INDEX(art_price,MATCH(C739,art_ref,0))),""))</f>
        <v/>
      </c>
      <c r="K739" s="39" t="str">
        <f>IF(OR(C739="",NOT(ISNUMBER(E739))),"",IFERROR(ROUND(N(INDEX(art_init,MATCH(C739,art_ref,0)))+SUMIFS($E$5:E739,$C$5:C739,C739,$B$5:B739,"Entrée")-SUMIFS($E$5:E739,$C$5:C739,C739,$B$5:B739,"Sortie"),6),""))</f>
        <v/>
      </c>
      <c r="L739" s="39" t="str">
        <f>IF(COUNTA(A739:C739,E739)=0,"",IF(COUNTA(A739:C739,E739)&lt;4,"Ligne incomplète",IF(NOT(ISNUMBER(A739)),"Date invalide",IF(AND(B739&lt;&gt;"Entrée",B739&lt;&gt;"Sortie"),"Type inconnu",IF(ISNA(MATCH(C739,art_ref,0)),"Référence inconnue",IF(OR(NOT(ISNUMBER(E739)),N(E739)&lt;=0),"Quantité invalide",IF(K739&lt;0,"Stock négatif",IF(AND(ISNUMBER(A738),A739&lt;A738),"Date hors ordre","OK"))))))))</f>
        <v/>
      </c>
      <c r="M739" s="39" t="str">
        <f>IF(C739="","",C739&amp;"#"&amp;COUNTIF($C$5:C739,C739))</f>
        <v/>
      </c>
    </row>
    <row r="740">
      <c r="A740" s="41" t="n"/>
      <c r="B740" s="37" t="n"/>
      <c r="C740" s="37" t="n"/>
      <c r="D740" s="39" t="str">
        <f>IF(C740="","",IFERROR(INDEX(art_des,MATCH(C740,art_ref,0))&amp;"","Référence inconnue"))</f>
        <v/>
      </c>
      <c r="E740" s="37" t="n"/>
      <c r="F740" s="39" t="str">
        <f>IF(C740="","",IFERROR(INDEX(art_unit,MATCH(C740,art_ref,0))&amp;"",""))</f>
        <v/>
      </c>
      <c r="G740" s="37" t="n"/>
      <c r="H740" s="37" t="n"/>
      <c r="I740" s="37" t="n"/>
      <c r="J740" s="40" t="str">
        <f>IF(OR(C740="",NOT(ISNUMBER(E740))),"",IFERROR(E740*N(INDEX(art_price,MATCH(C740,art_ref,0))),""))</f>
        <v/>
      </c>
      <c r="K740" s="39" t="str">
        <f>IF(OR(C740="",NOT(ISNUMBER(E740))),"",IFERROR(ROUND(N(INDEX(art_init,MATCH(C740,art_ref,0)))+SUMIFS($E$5:E740,$C$5:C740,C740,$B$5:B740,"Entrée")-SUMIFS($E$5:E740,$C$5:C740,C740,$B$5:B740,"Sortie"),6),""))</f>
        <v/>
      </c>
      <c r="L740" s="39" t="str">
        <f>IF(COUNTA(A740:C740,E740)=0,"",IF(COUNTA(A740:C740,E740)&lt;4,"Ligne incomplète",IF(NOT(ISNUMBER(A740)),"Date invalide",IF(AND(B740&lt;&gt;"Entrée",B740&lt;&gt;"Sortie"),"Type inconnu",IF(ISNA(MATCH(C740,art_ref,0)),"Référence inconnue",IF(OR(NOT(ISNUMBER(E740)),N(E740)&lt;=0),"Quantité invalide",IF(K740&lt;0,"Stock négatif",IF(AND(ISNUMBER(A739),A740&lt;A739),"Date hors ordre","OK"))))))))</f>
        <v/>
      </c>
      <c r="M740" s="39" t="str">
        <f>IF(C740="","",C740&amp;"#"&amp;COUNTIF($C$5:C740,C740))</f>
        <v/>
      </c>
    </row>
    <row r="741">
      <c r="A741" s="41" t="n"/>
      <c r="B741" s="37" t="n"/>
      <c r="C741" s="37" t="n"/>
      <c r="D741" s="39" t="str">
        <f>IF(C741="","",IFERROR(INDEX(art_des,MATCH(C741,art_ref,0))&amp;"","Référence inconnue"))</f>
        <v/>
      </c>
      <c r="E741" s="37" t="n"/>
      <c r="F741" s="39" t="str">
        <f>IF(C741="","",IFERROR(INDEX(art_unit,MATCH(C741,art_ref,0))&amp;"",""))</f>
        <v/>
      </c>
      <c r="G741" s="37" t="n"/>
      <c r="H741" s="37" t="n"/>
      <c r="I741" s="37" t="n"/>
      <c r="J741" s="40" t="str">
        <f>IF(OR(C741="",NOT(ISNUMBER(E741))),"",IFERROR(E741*N(INDEX(art_price,MATCH(C741,art_ref,0))),""))</f>
        <v/>
      </c>
      <c r="K741" s="39" t="str">
        <f>IF(OR(C741="",NOT(ISNUMBER(E741))),"",IFERROR(ROUND(N(INDEX(art_init,MATCH(C741,art_ref,0)))+SUMIFS($E$5:E741,$C$5:C741,C741,$B$5:B741,"Entrée")-SUMIFS($E$5:E741,$C$5:C741,C741,$B$5:B741,"Sortie"),6),""))</f>
        <v/>
      </c>
      <c r="L741" s="39" t="str">
        <f>IF(COUNTA(A741:C741,E741)=0,"",IF(COUNTA(A741:C741,E741)&lt;4,"Ligne incomplète",IF(NOT(ISNUMBER(A741)),"Date invalide",IF(AND(B741&lt;&gt;"Entrée",B741&lt;&gt;"Sortie"),"Type inconnu",IF(ISNA(MATCH(C741,art_ref,0)),"Référence inconnue",IF(OR(NOT(ISNUMBER(E741)),N(E741)&lt;=0),"Quantité invalide",IF(K741&lt;0,"Stock négatif",IF(AND(ISNUMBER(A740),A741&lt;A740),"Date hors ordre","OK"))))))))</f>
        <v/>
      </c>
      <c r="M741" s="39" t="str">
        <f>IF(C741="","",C741&amp;"#"&amp;COUNTIF($C$5:C741,C741))</f>
        <v/>
      </c>
    </row>
    <row r="742">
      <c r="A742" s="41" t="n"/>
      <c r="B742" s="37" t="n"/>
      <c r="C742" s="37" t="n"/>
      <c r="D742" s="39" t="str">
        <f>IF(C742="","",IFERROR(INDEX(art_des,MATCH(C742,art_ref,0))&amp;"","Référence inconnue"))</f>
        <v/>
      </c>
      <c r="E742" s="37" t="n"/>
      <c r="F742" s="39" t="str">
        <f>IF(C742="","",IFERROR(INDEX(art_unit,MATCH(C742,art_ref,0))&amp;"",""))</f>
        <v/>
      </c>
      <c r="G742" s="37" t="n"/>
      <c r="H742" s="37" t="n"/>
      <c r="I742" s="37" t="n"/>
      <c r="J742" s="40" t="str">
        <f>IF(OR(C742="",NOT(ISNUMBER(E742))),"",IFERROR(E742*N(INDEX(art_price,MATCH(C742,art_ref,0))),""))</f>
        <v/>
      </c>
      <c r="K742" s="39" t="str">
        <f>IF(OR(C742="",NOT(ISNUMBER(E742))),"",IFERROR(ROUND(N(INDEX(art_init,MATCH(C742,art_ref,0)))+SUMIFS($E$5:E742,$C$5:C742,C742,$B$5:B742,"Entrée")-SUMIFS($E$5:E742,$C$5:C742,C742,$B$5:B742,"Sortie"),6),""))</f>
        <v/>
      </c>
      <c r="L742" s="39" t="str">
        <f>IF(COUNTA(A742:C742,E742)=0,"",IF(COUNTA(A742:C742,E742)&lt;4,"Ligne incomplète",IF(NOT(ISNUMBER(A742)),"Date invalide",IF(AND(B742&lt;&gt;"Entrée",B742&lt;&gt;"Sortie"),"Type inconnu",IF(ISNA(MATCH(C742,art_ref,0)),"Référence inconnue",IF(OR(NOT(ISNUMBER(E742)),N(E742)&lt;=0),"Quantité invalide",IF(K742&lt;0,"Stock négatif",IF(AND(ISNUMBER(A741),A742&lt;A741),"Date hors ordre","OK"))))))))</f>
        <v/>
      </c>
      <c r="M742" s="39" t="str">
        <f>IF(C742="","",C742&amp;"#"&amp;COUNTIF($C$5:C742,C742))</f>
        <v/>
      </c>
    </row>
    <row r="743">
      <c r="A743" s="41" t="n"/>
      <c r="B743" s="37" t="n"/>
      <c r="C743" s="37" t="n"/>
      <c r="D743" s="39" t="str">
        <f>IF(C743="","",IFERROR(INDEX(art_des,MATCH(C743,art_ref,0))&amp;"","Référence inconnue"))</f>
        <v/>
      </c>
      <c r="E743" s="37" t="n"/>
      <c r="F743" s="39" t="str">
        <f>IF(C743="","",IFERROR(INDEX(art_unit,MATCH(C743,art_ref,0))&amp;"",""))</f>
        <v/>
      </c>
      <c r="G743" s="37" t="n"/>
      <c r="H743" s="37" t="n"/>
      <c r="I743" s="37" t="n"/>
      <c r="J743" s="40" t="str">
        <f>IF(OR(C743="",NOT(ISNUMBER(E743))),"",IFERROR(E743*N(INDEX(art_price,MATCH(C743,art_ref,0))),""))</f>
        <v/>
      </c>
      <c r="K743" s="39" t="str">
        <f>IF(OR(C743="",NOT(ISNUMBER(E743))),"",IFERROR(ROUND(N(INDEX(art_init,MATCH(C743,art_ref,0)))+SUMIFS($E$5:E743,$C$5:C743,C743,$B$5:B743,"Entrée")-SUMIFS($E$5:E743,$C$5:C743,C743,$B$5:B743,"Sortie"),6),""))</f>
        <v/>
      </c>
      <c r="L743" s="39" t="str">
        <f>IF(COUNTA(A743:C743,E743)=0,"",IF(COUNTA(A743:C743,E743)&lt;4,"Ligne incomplète",IF(NOT(ISNUMBER(A743)),"Date invalide",IF(AND(B743&lt;&gt;"Entrée",B743&lt;&gt;"Sortie"),"Type inconnu",IF(ISNA(MATCH(C743,art_ref,0)),"Référence inconnue",IF(OR(NOT(ISNUMBER(E743)),N(E743)&lt;=0),"Quantité invalide",IF(K743&lt;0,"Stock négatif",IF(AND(ISNUMBER(A742),A743&lt;A742),"Date hors ordre","OK"))))))))</f>
        <v/>
      </c>
      <c r="M743" s="39" t="str">
        <f>IF(C743="","",C743&amp;"#"&amp;COUNTIF($C$5:C743,C743))</f>
        <v/>
      </c>
    </row>
    <row r="744">
      <c r="A744" s="41" t="n"/>
      <c r="B744" s="37" t="n"/>
      <c r="C744" s="37" t="n"/>
      <c r="D744" s="39" t="str">
        <f>IF(C744="","",IFERROR(INDEX(art_des,MATCH(C744,art_ref,0))&amp;"","Référence inconnue"))</f>
        <v/>
      </c>
      <c r="E744" s="37" t="n"/>
      <c r="F744" s="39" t="str">
        <f>IF(C744="","",IFERROR(INDEX(art_unit,MATCH(C744,art_ref,0))&amp;"",""))</f>
        <v/>
      </c>
      <c r="G744" s="37" t="n"/>
      <c r="H744" s="37" t="n"/>
      <c r="I744" s="37" t="n"/>
      <c r="J744" s="40" t="str">
        <f>IF(OR(C744="",NOT(ISNUMBER(E744))),"",IFERROR(E744*N(INDEX(art_price,MATCH(C744,art_ref,0))),""))</f>
        <v/>
      </c>
      <c r="K744" s="39" t="str">
        <f>IF(OR(C744="",NOT(ISNUMBER(E744))),"",IFERROR(ROUND(N(INDEX(art_init,MATCH(C744,art_ref,0)))+SUMIFS($E$5:E744,$C$5:C744,C744,$B$5:B744,"Entrée")-SUMIFS($E$5:E744,$C$5:C744,C744,$B$5:B744,"Sortie"),6),""))</f>
        <v/>
      </c>
      <c r="L744" s="39" t="str">
        <f>IF(COUNTA(A744:C744,E744)=0,"",IF(COUNTA(A744:C744,E744)&lt;4,"Ligne incomplète",IF(NOT(ISNUMBER(A744)),"Date invalide",IF(AND(B744&lt;&gt;"Entrée",B744&lt;&gt;"Sortie"),"Type inconnu",IF(ISNA(MATCH(C744,art_ref,0)),"Référence inconnue",IF(OR(NOT(ISNUMBER(E744)),N(E744)&lt;=0),"Quantité invalide",IF(K744&lt;0,"Stock négatif",IF(AND(ISNUMBER(A743),A744&lt;A743),"Date hors ordre","OK"))))))))</f>
        <v/>
      </c>
      <c r="M744" s="39" t="str">
        <f>IF(C744="","",C744&amp;"#"&amp;COUNTIF($C$5:C744,C744))</f>
        <v/>
      </c>
    </row>
    <row r="745">
      <c r="A745" s="41" t="n"/>
      <c r="B745" s="37" t="n"/>
      <c r="C745" s="37" t="n"/>
      <c r="D745" s="39" t="str">
        <f>IF(C745="","",IFERROR(INDEX(art_des,MATCH(C745,art_ref,0))&amp;"","Référence inconnue"))</f>
        <v/>
      </c>
      <c r="E745" s="37" t="n"/>
      <c r="F745" s="39" t="str">
        <f>IF(C745="","",IFERROR(INDEX(art_unit,MATCH(C745,art_ref,0))&amp;"",""))</f>
        <v/>
      </c>
      <c r="G745" s="37" t="n"/>
      <c r="H745" s="37" t="n"/>
      <c r="I745" s="37" t="n"/>
      <c r="J745" s="40" t="str">
        <f>IF(OR(C745="",NOT(ISNUMBER(E745))),"",IFERROR(E745*N(INDEX(art_price,MATCH(C745,art_ref,0))),""))</f>
        <v/>
      </c>
      <c r="K745" s="39" t="str">
        <f>IF(OR(C745="",NOT(ISNUMBER(E745))),"",IFERROR(ROUND(N(INDEX(art_init,MATCH(C745,art_ref,0)))+SUMIFS($E$5:E745,$C$5:C745,C745,$B$5:B745,"Entrée")-SUMIFS($E$5:E745,$C$5:C745,C745,$B$5:B745,"Sortie"),6),""))</f>
        <v/>
      </c>
      <c r="L745" s="39" t="str">
        <f>IF(COUNTA(A745:C745,E745)=0,"",IF(COUNTA(A745:C745,E745)&lt;4,"Ligne incomplète",IF(NOT(ISNUMBER(A745)),"Date invalide",IF(AND(B745&lt;&gt;"Entrée",B745&lt;&gt;"Sortie"),"Type inconnu",IF(ISNA(MATCH(C745,art_ref,0)),"Référence inconnue",IF(OR(NOT(ISNUMBER(E745)),N(E745)&lt;=0),"Quantité invalide",IF(K745&lt;0,"Stock négatif",IF(AND(ISNUMBER(A744),A745&lt;A744),"Date hors ordre","OK"))))))))</f>
        <v/>
      </c>
      <c r="M745" s="39" t="str">
        <f>IF(C745="","",C745&amp;"#"&amp;COUNTIF($C$5:C745,C745))</f>
        <v/>
      </c>
    </row>
    <row r="746">
      <c r="A746" s="41" t="n"/>
      <c r="B746" s="37" t="n"/>
      <c r="C746" s="37" t="n"/>
      <c r="D746" s="39" t="str">
        <f>IF(C746="","",IFERROR(INDEX(art_des,MATCH(C746,art_ref,0))&amp;"","Référence inconnue"))</f>
        <v/>
      </c>
      <c r="E746" s="37" t="n"/>
      <c r="F746" s="39" t="str">
        <f>IF(C746="","",IFERROR(INDEX(art_unit,MATCH(C746,art_ref,0))&amp;"",""))</f>
        <v/>
      </c>
      <c r="G746" s="37" t="n"/>
      <c r="H746" s="37" t="n"/>
      <c r="I746" s="37" t="n"/>
      <c r="J746" s="40" t="str">
        <f>IF(OR(C746="",NOT(ISNUMBER(E746))),"",IFERROR(E746*N(INDEX(art_price,MATCH(C746,art_ref,0))),""))</f>
        <v/>
      </c>
      <c r="K746" s="39" t="str">
        <f>IF(OR(C746="",NOT(ISNUMBER(E746))),"",IFERROR(ROUND(N(INDEX(art_init,MATCH(C746,art_ref,0)))+SUMIFS($E$5:E746,$C$5:C746,C746,$B$5:B746,"Entrée")-SUMIFS($E$5:E746,$C$5:C746,C746,$B$5:B746,"Sortie"),6),""))</f>
        <v/>
      </c>
      <c r="L746" s="39" t="str">
        <f>IF(COUNTA(A746:C746,E746)=0,"",IF(COUNTA(A746:C746,E746)&lt;4,"Ligne incomplète",IF(NOT(ISNUMBER(A746)),"Date invalide",IF(AND(B746&lt;&gt;"Entrée",B746&lt;&gt;"Sortie"),"Type inconnu",IF(ISNA(MATCH(C746,art_ref,0)),"Référence inconnue",IF(OR(NOT(ISNUMBER(E746)),N(E746)&lt;=0),"Quantité invalide",IF(K746&lt;0,"Stock négatif",IF(AND(ISNUMBER(A745),A746&lt;A745),"Date hors ordre","OK"))))))))</f>
        <v/>
      </c>
      <c r="M746" s="39" t="str">
        <f>IF(C746="","",C746&amp;"#"&amp;COUNTIF($C$5:C746,C746))</f>
        <v/>
      </c>
    </row>
    <row r="747">
      <c r="A747" s="41" t="n"/>
      <c r="B747" s="37" t="n"/>
      <c r="C747" s="37" t="n"/>
      <c r="D747" s="39" t="str">
        <f>IF(C747="","",IFERROR(INDEX(art_des,MATCH(C747,art_ref,0))&amp;"","Référence inconnue"))</f>
        <v/>
      </c>
      <c r="E747" s="37" t="n"/>
      <c r="F747" s="39" t="str">
        <f>IF(C747="","",IFERROR(INDEX(art_unit,MATCH(C747,art_ref,0))&amp;"",""))</f>
        <v/>
      </c>
      <c r="G747" s="37" t="n"/>
      <c r="H747" s="37" t="n"/>
      <c r="I747" s="37" t="n"/>
      <c r="J747" s="40" t="str">
        <f>IF(OR(C747="",NOT(ISNUMBER(E747))),"",IFERROR(E747*N(INDEX(art_price,MATCH(C747,art_ref,0))),""))</f>
        <v/>
      </c>
      <c r="K747" s="39" t="str">
        <f>IF(OR(C747="",NOT(ISNUMBER(E747))),"",IFERROR(ROUND(N(INDEX(art_init,MATCH(C747,art_ref,0)))+SUMIFS($E$5:E747,$C$5:C747,C747,$B$5:B747,"Entrée")-SUMIFS($E$5:E747,$C$5:C747,C747,$B$5:B747,"Sortie"),6),""))</f>
        <v/>
      </c>
      <c r="L747" s="39" t="str">
        <f>IF(COUNTA(A747:C747,E747)=0,"",IF(COUNTA(A747:C747,E747)&lt;4,"Ligne incomplète",IF(NOT(ISNUMBER(A747)),"Date invalide",IF(AND(B747&lt;&gt;"Entrée",B747&lt;&gt;"Sortie"),"Type inconnu",IF(ISNA(MATCH(C747,art_ref,0)),"Référence inconnue",IF(OR(NOT(ISNUMBER(E747)),N(E747)&lt;=0),"Quantité invalide",IF(K747&lt;0,"Stock négatif",IF(AND(ISNUMBER(A746),A747&lt;A746),"Date hors ordre","OK"))))))))</f>
        <v/>
      </c>
      <c r="M747" s="39" t="str">
        <f>IF(C747="","",C747&amp;"#"&amp;COUNTIF($C$5:C747,C747))</f>
        <v/>
      </c>
    </row>
    <row r="748">
      <c r="A748" s="41" t="n"/>
      <c r="B748" s="37" t="n"/>
      <c r="C748" s="37" t="n"/>
      <c r="D748" s="39" t="str">
        <f>IF(C748="","",IFERROR(INDEX(art_des,MATCH(C748,art_ref,0))&amp;"","Référence inconnue"))</f>
        <v/>
      </c>
      <c r="E748" s="37" t="n"/>
      <c r="F748" s="39" t="str">
        <f>IF(C748="","",IFERROR(INDEX(art_unit,MATCH(C748,art_ref,0))&amp;"",""))</f>
        <v/>
      </c>
      <c r="G748" s="37" t="n"/>
      <c r="H748" s="37" t="n"/>
      <c r="I748" s="37" t="n"/>
      <c r="J748" s="40" t="str">
        <f>IF(OR(C748="",NOT(ISNUMBER(E748))),"",IFERROR(E748*N(INDEX(art_price,MATCH(C748,art_ref,0))),""))</f>
        <v/>
      </c>
      <c r="K748" s="39" t="str">
        <f>IF(OR(C748="",NOT(ISNUMBER(E748))),"",IFERROR(ROUND(N(INDEX(art_init,MATCH(C748,art_ref,0)))+SUMIFS($E$5:E748,$C$5:C748,C748,$B$5:B748,"Entrée")-SUMIFS($E$5:E748,$C$5:C748,C748,$B$5:B748,"Sortie"),6),""))</f>
        <v/>
      </c>
      <c r="L748" s="39" t="str">
        <f>IF(COUNTA(A748:C748,E748)=0,"",IF(COUNTA(A748:C748,E748)&lt;4,"Ligne incomplète",IF(NOT(ISNUMBER(A748)),"Date invalide",IF(AND(B748&lt;&gt;"Entrée",B748&lt;&gt;"Sortie"),"Type inconnu",IF(ISNA(MATCH(C748,art_ref,0)),"Référence inconnue",IF(OR(NOT(ISNUMBER(E748)),N(E748)&lt;=0),"Quantité invalide",IF(K748&lt;0,"Stock négatif",IF(AND(ISNUMBER(A747),A748&lt;A747),"Date hors ordre","OK"))))))))</f>
        <v/>
      </c>
      <c r="M748" s="39" t="str">
        <f>IF(C748="","",C748&amp;"#"&amp;COUNTIF($C$5:C748,C748))</f>
        <v/>
      </c>
    </row>
    <row r="749">
      <c r="A749" s="41" t="n"/>
      <c r="B749" s="37" t="n"/>
      <c r="C749" s="37" t="n"/>
      <c r="D749" s="39" t="str">
        <f>IF(C749="","",IFERROR(INDEX(art_des,MATCH(C749,art_ref,0))&amp;"","Référence inconnue"))</f>
        <v/>
      </c>
      <c r="E749" s="37" t="n"/>
      <c r="F749" s="39" t="str">
        <f>IF(C749="","",IFERROR(INDEX(art_unit,MATCH(C749,art_ref,0))&amp;"",""))</f>
        <v/>
      </c>
      <c r="G749" s="37" t="n"/>
      <c r="H749" s="37" t="n"/>
      <c r="I749" s="37" t="n"/>
      <c r="J749" s="40" t="str">
        <f>IF(OR(C749="",NOT(ISNUMBER(E749))),"",IFERROR(E749*N(INDEX(art_price,MATCH(C749,art_ref,0))),""))</f>
        <v/>
      </c>
      <c r="K749" s="39" t="str">
        <f>IF(OR(C749="",NOT(ISNUMBER(E749))),"",IFERROR(ROUND(N(INDEX(art_init,MATCH(C749,art_ref,0)))+SUMIFS($E$5:E749,$C$5:C749,C749,$B$5:B749,"Entrée")-SUMIFS($E$5:E749,$C$5:C749,C749,$B$5:B749,"Sortie"),6),""))</f>
        <v/>
      </c>
      <c r="L749" s="39" t="str">
        <f>IF(COUNTA(A749:C749,E749)=0,"",IF(COUNTA(A749:C749,E749)&lt;4,"Ligne incomplète",IF(NOT(ISNUMBER(A749)),"Date invalide",IF(AND(B749&lt;&gt;"Entrée",B749&lt;&gt;"Sortie"),"Type inconnu",IF(ISNA(MATCH(C749,art_ref,0)),"Référence inconnue",IF(OR(NOT(ISNUMBER(E749)),N(E749)&lt;=0),"Quantité invalide",IF(K749&lt;0,"Stock négatif",IF(AND(ISNUMBER(A748),A749&lt;A748),"Date hors ordre","OK"))))))))</f>
        <v/>
      </c>
      <c r="M749" s="39" t="str">
        <f>IF(C749="","",C749&amp;"#"&amp;COUNTIF($C$5:C749,C749))</f>
        <v/>
      </c>
    </row>
    <row r="750">
      <c r="A750" s="41" t="n"/>
      <c r="B750" s="37" t="n"/>
      <c r="C750" s="37" t="n"/>
      <c r="D750" s="39" t="str">
        <f>IF(C750="","",IFERROR(INDEX(art_des,MATCH(C750,art_ref,0))&amp;"","Référence inconnue"))</f>
        <v/>
      </c>
      <c r="E750" s="37" t="n"/>
      <c r="F750" s="39" t="str">
        <f>IF(C750="","",IFERROR(INDEX(art_unit,MATCH(C750,art_ref,0))&amp;"",""))</f>
        <v/>
      </c>
      <c r="G750" s="37" t="n"/>
      <c r="H750" s="37" t="n"/>
      <c r="I750" s="37" t="n"/>
      <c r="J750" s="40" t="str">
        <f>IF(OR(C750="",NOT(ISNUMBER(E750))),"",IFERROR(E750*N(INDEX(art_price,MATCH(C750,art_ref,0))),""))</f>
        <v/>
      </c>
      <c r="K750" s="39" t="str">
        <f>IF(OR(C750="",NOT(ISNUMBER(E750))),"",IFERROR(ROUND(N(INDEX(art_init,MATCH(C750,art_ref,0)))+SUMIFS($E$5:E750,$C$5:C750,C750,$B$5:B750,"Entrée")-SUMIFS($E$5:E750,$C$5:C750,C750,$B$5:B750,"Sortie"),6),""))</f>
        <v/>
      </c>
      <c r="L750" s="39" t="str">
        <f>IF(COUNTA(A750:C750,E750)=0,"",IF(COUNTA(A750:C750,E750)&lt;4,"Ligne incomplète",IF(NOT(ISNUMBER(A750)),"Date invalide",IF(AND(B750&lt;&gt;"Entrée",B750&lt;&gt;"Sortie"),"Type inconnu",IF(ISNA(MATCH(C750,art_ref,0)),"Référence inconnue",IF(OR(NOT(ISNUMBER(E750)),N(E750)&lt;=0),"Quantité invalide",IF(K750&lt;0,"Stock négatif",IF(AND(ISNUMBER(A749),A750&lt;A749),"Date hors ordre","OK"))))))))</f>
        <v/>
      </c>
      <c r="M750" s="39" t="str">
        <f>IF(C750="","",C750&amp;"#"&amp;COUNTIF($C$5:C750,C750))</f>
        <v/>
      </c>
    </row>
    <row r="751">
      <c r="A751" s="41" t="n"/>
      <c r="B751" s="37" t="n"/>
      <c r="C751" s="37" t="n"/>
      <c r="D751" s="39" t="str">
        <f>IF(C751="","",IFERROR(INDEX(art_des,MATCH(C751,art_ref,0))&amp;"","Référence inconnue"))</f>
        <v/>
      </c>
      <c r="E751" s="37" t="n"/>
      <c r="F751" s="39" t="str">
        <f>IF(C751="","",IFERROR(INDEX(art_unit,MATCH(C751,art_ref,0))&amp;"",""))</f>
        <v/>
      </c>
      <c r="G751" s="37" t="n"/>
      <c r="H751" s="37" t="n"/>
      <c r="I751" s="37" t="n"/>
      <c r="J751" s="40" t="str">
        <f>IF(OR(C751="",NOT(ISNUMBER(E751))),"",IFERROR(E751*N(INDEX(art_price,MATCH(C751,art_ref,0))),""))</f>
        <v/>
      </c>
      <c r="K751" s="39" t="str">
        <f>IF(OR(C751="",NOT(ISNUMBER(E751))),"",IFERROR(ROUND(N(INDEX(art_init,MATCH(C751,art_ref,0)))+SUMIFS($E$5:E751,$C$5:C751,C751,$B$5:B751,"Entrée")-SUMIFS($E$5:E751,$C$5:C751,C751,$B$5:B751,"Sortie"),6),""))</f>
        <v/>
      </c>
      <c r="L751" s="39" t="str">
        <f>IF(COUNTA(A751:C751,E751)=0,"",IF(COUNTA(A751:C751,E751)&lt;4,"Ligne incomplète",IF(NOT(ISNUMBER(A751)),"Date invalide",IF(AND(B751&lt;&gt;"Entrée",B751&lt;&gt;"Sortie"),"Type inconnu",IF(ISNA(MATCH(C751,art_ref,0)),"Référence inconnue",IF(OR(NOT(ISNUMBER(E751)),N(E751)&lt;=0),"Quantité invalide",IF(K751&lt;0,"Stock négatif",IF(AND(ISNUMBER(A750),A751&lt;A750),"Date hors ordre","OK"))))))))</f>
        <v/>
      </c>
      <c r="M751" s="39" t="str">
        <f>IF(C751="","",C751&amp;"#"&amp;COUNTIF($C$5:C751,C751))</f>
        <v/>
      </c>
    </row>
    <row r="752">
      <c r="A752" s="41" t="n"/>
      <c r="B752" s="37" t="n"/>
      <c r="C752" s="37" t="n"/>
      <c r="D752" s="39" t="str">
        <f>IF(C752="","",IFERROR(INDEX(art_des,MATCH(C752,art_ref,0))&amp;"","Référence inconnue"))</f>
        <v/>
      </c>
      <c r="E752" s="37" t="n"/>
      <c r="F752" s="39" t="str">
        <f>IF(C752="","",IFERROR(INDEX(art_unit,MATCH(C752,art_ref,0))&amp;"",""))</f>
        <v/>
      </c>
      <c r="G752" s="37" t="n"/>
      <c r="H752" s="37" t="n"/>
      <c r="I752" s="37" t="n"/>
      <c r="J752" s="40" t="str">
        <f>IF(OR(C752="",NOT(ISNUMBER(E752))),"",IFERROR(E752*N(INDEX(art_price,MATCH(C752,art_ref,0))),""))</f>
        <v/>
      </c>
      <c r="K752" s="39" t="str">
        <f>IF(OR(C752="",NOT(ISNUMBER(E752))),"",IFERROR(ROUND(N(INDEX(art_init,MATCH(C752,art_ref,0)))+SUMIFS($E$5:E752,$C$5:C752,C752,$B$5:B752,"Entrée")-SUMIFS($E$5:E752,$C$5:C752,C752,$B$5:B752,"Sortie"),6),""))</f>
        <v/>
      </c>
      <c r="L752" s="39" t="str">
        <f>IF(COUNTA(A752:C752,E752)=0,"",IF(COUNTA(A752:C752,E752)&lt;4,"Ligne incomplète",IF(NOT(ISNUMBER(A752)),"Date invalide",IF(AND(B752&lt;&gt;"Entrée",B752&lt;&gt;"Sortie"),"Type inconnu",IF(ISNA(MATCH(C752,art_ref,0)),"Référence inconnue",IF(OR(NOT(ISNUMBER(E752)),N(E752)&lt;=0),"Quantité invalide",IF(K752&lt;0,"Stock négatif",IF(AND(ISNUMBER(A751),A752&lt;A751),"Date hors ordre","OK"))))))))</f>
        <v/>
      </c>
      <c r="M752" s="39" t="str">
        <f>IF(C752="","",C752&amp;"#"&amp;COUNTIF($C$5:C752,C752))</f>
        <v/>
      </c>
    </row>
    <row r="753">
      <c r="A753" s="41" t="n"/>
      <c r="B753" s="37" t="n"/>
      <c r="C753" s="37" t="n"/>
      <c r="D753" s="39" t="str">
        <f>IF(C753="","",IFERROR(INDEX(art_des,MATCH(C753,art_ref,0))&amp;"","Référence inconnue"))</f>
        <v/>
      </c>
      <c r="E753" s="37" t="n"/>
      <c r="F753" s="39" t="str">
        <f>IF(C753="","",IFERROR(INDEX(art_unit,MATCH(C753,art_ref,0))&amp;"",""))</f>
        <v/>
      </c>
      <c r="G753" s="37" t="n"/>
      <c r="H753" s="37" t="n"/>
      <c r="I753" s="37" t="n"/>
      <c r="J753" s="40" t="str">
        <f>IF(OR(C753="",NOT(ISNUMBER(E753))),"",IFERROR(E753*N(INDEX(art_price,MATCH(C753,art_ref,0))),""))</f>
        <v/>
      </c>
      <c r="K753" s="39" t="str">
        <f>IF(OR(C753="",NOT(ISNUMBER(E753))),"",IFERROR(ROUND(N(INDEX(art_init,MATCH(C753,art_ref,0)))+SUMIFS($E$5:E753,$C$5:C753,C753,$B$5:B753,"Entrée")-SUMIFS($E$5:E753,$C$5:C753,C753,$B$5:B753,"Sortie"),6),""))</f>
        <v/>
      </c>
      <c r="L753" s="39" t="str">
        <f>IF(COUNTA(A753:C753,E753)=0,"",IF(COUNTA(A753:C753,E753)&lt;4,"Ligne incomplète",IF(NOT(ISNUMBER(A753)),"Date invalide",IF(AND(B753&lt;&gt;"Entrée",B753&lt;&gt;"Sortie"),"Type inconnu",IF(ISNA(MATCH(C753,art_ref,0)),"Référence inconnue",IF(OR(NOT(ISNUMBER(E753)),N(E753)&lt;=0),"Quantité invalide",IF(K753&lt;0,"Stock négatif",IF(AND(ISNUMBER(A752),A753&lt;A752),"Date hors ordre","OK"))))))))</f>
        <v/>
      </c>
      <c r="M753" s="39" t="str">
        <f>IF(C753="","",C753&amp;"#"&amp;COUNTIF($C$5:C753,C753))</f>
        <v/>
      </c>
    </row>
    <row r="754">
      <c r="A754" s="41" t="n"/>
      <c r="B754" s="37" t="n"/>
      <c r="C754" s="37" t="n"/>
      <c r="D754" s="39" t="str">
        <f>IF(C754="","",IFERROR(INDEX(art_des,MATCH(C754,art_ref,0))&amp;"","Référence inconnue"))</f>
        <v/>
      </c>
      <c r="E754" s="37" t="n"/>
      <c r="F754" s="39" t="str">
        <f>IF(C754="","",IFERROR(INDEX(art_unit,MATCH(C754,art_ref,0))&amp;"",""))</f>
        <v/>
      </c>
      <c r="G754" s="37" t="n"/>
      <c r="H754" s="37" t="n"/>
      <c r="I754" s="37" t="n"/>
      <c r="J754" s="40" t="str">
        <f>IF(OR(C754="",NOT(ISNUMBER(E754))),"",IFERROR(E754*N(INDEX(art_price,MATCH(C754,art_ref,0))),""))</f>
        <v/>
      </c>
      <c r="K754" s="39" t="str">
        <f>IF(OR(C754="",NOT(ISNUMBER(E754))),"",IFERROR(ROUND(N(INDEX(art_init,MATCH(C754,art_ref,0)))+SUMIFS($E$5:E754,$C$5:C754,C754,$B$5:B754,"Entrée")-SUMIFS($E$5:E754,$C$5:C754,C754,$B$5:B754,"Sortie"),6),""))</f>
        <v/>
      </c>
      <c r="L754" s="39" t="str">
        <f>IF(COUNTA(A754:C754,E754)=0,"",IF(COUNTA(A754:C754,E754)&lt;4,"Ligne incomplète",IF(NOT(ISNUMBER(A754)),"Date invalide",IF(AND(B754&lt;&gt;"Entrée",B754&lt;&gt;"Sortie"),"Type inconnu",IF(ISNA(MATCH(C754,art_ref,0)),"Référence inconnue",IF(OR(NOT(ISNUMBER(E754)),N(E754)&lt;=0),"Quantité invalide",IF(K754&lt;0,"Stock négatif",IF(AND(ISNUMBER(A753),A754&lt;A753),"Date hors ordre","OK"))))))))</f>
        <v/>
      </c>
      <c r="M754" s="39" t="str">
        <f>IF(C754="","",C754&amp;"#"&amp;COUNTIF($C$5:C754,C754))</f>
        <v/>
      </c>
    </row>
    <row r="755">
      <c r="A755" s="41" t="n"/>
      <c r="B755" s="37" t="n"/>
      <c r="C755" s="37" t="n"/>
      <c r="D755" s="39" t="str">
        <f>IF(C755="","",IFERROR(INDEX(art_des,MATCH(C755,art_ref,0))&amp;"","Référence inconnue"))</f>
        <v/>
      </c>
      <c r="E755" s="37" t="n"/>
      <c r="F755" s="39" t="str">
        <f>IF(C755="","",IFERROR(INDEX(art_unit,MATCH(C755,art_ref,0))&amp;"",""))</f>
        <v/>
      </c>
      <c r="G755" s="37" t="n"/>
      <c r="H755" s="37" t="n"/>
      <c r="I755" s="37" t="n"/>
      <c r="J755" s="40" t="str">
        <f>IF(OR(C755="",NOT(ISNUMBER(E755))),"",IFERROR(E755*N(INDEX(art_price,MATCH(C755,art_ref,0))),""))</f>
        <v/>
      </c>
      <c r="K755" s="39" t="str">
        <f>IF(OR(C755="",NOT(ISNUMBER(E755))),"",IFERROR(ROUND(N(INDEX(art_init,MATCH(C755,art_ref,0)))+SUMIFS($E$5:E755,$C$5:C755,C755,$B$5:B755,"Entrée")-SUMIFS($E$5:E755,$C$5:C755,C755,$B$5:B755,"Sortie"),6),""))</f>
        <v/>
      </c>
      <c r="L755" s="39" t="str">
        <f>IF(COUNTA(A755:C755,E755)=0,"",IF(COUNTA(A755:C755,E755)&lt;4,"Ligne incomplète",IF(NOT(ISNUMBER(A755)),"Date invalide",IF(AND(B755&lt;&gt;"Entrée",B755&lt;&gt;"Sortie"),"Type inconnu",IF(ISNA(MATCH(C755,art_ref,0)),"Référence inconnue",IF(OR(NOT(ISNUMBER(E755)),N(E755)&lt;=0),"Quantité invalide",IF(K755&lt;0,"Stock négatif",IF(AND(ISNUMBER(A754),A755&lt;A754),"Date hors ordre","OK"))))))))</f>
        <v/>
      </c>
      <c r="M755" s="39" t="str">
        <f>IF(C755="","",C755&amp;"#"&amp;COUNTIF($C$5:C755,C755))</f>
        <v/>
      </c>
    </row>
    <row r="756">
      <c r="A756" s="41" t="n"/>
      <c r="B756" s="37" t="n"/>
      <c r="C756" s="37" t="n"/>
      <c r="D756" s="39" t="str">
        <f>IF(C756="","",IFERROR(INDEX(art_des,MATCH(C756,art_ref,0))&amp;"","Référence inconnue"))</f>
        <v/>
      </c>
      <c r="E756" s="37" t="n"/>
      <c r="F756" s="39" t="str">
        <f>IF(C756="","",IFERROR(INDEX(art_unit,MATCH(C756,art_ref,0))&amp;"",""))</f>
        <v/>
      </c>
      <c r="G756" s="37" t="n"/>
      <c r="H756" s="37" t="n"/>
      <c r="I756" s="37" t="n"/>
      <c r="J756" s="40" t="str">
        <f>IF(OR(C756="",NOT(ISNUMBER(E756))),"",IFERROR(E756*N(INDEX(art_price,MATCH(C756,art_ref,0))),""))</f>
        <v/>
      </c>
      <c r="K756" s="39" t="str">
        <f>IF(OR(C756="",NOT(ISNUMBER(E756))),"",IFERROR(ROUND(N(INDEX(art_init,MATCH(C756,art_ref,0)))+SUMIFS($E$5:E756,$C$5:C756,C756,$B$5:B756,"Entrée")-SUMIFS($E$5:E756,$C$5:C756,C756,$B$5:B756,"Sortie"),6),""))</f>
        <v/>
      </c>
      <c r="L756" s="39" t="str">
        <f>IF(COUNTA(A756:C756,E756)=0,"",IF(COUNTA(A756:C756,E756)&lt;4,"Ligne incomplète",IF(NOT(ISNUMBER(A756)),"Date invalide",IF(AND(B756&lt;&gt;"Entrée",B756&lt;&gt;"Sortie"),"Type inconnu",IF(ISNA(MATCH(C756,art_ref,0)),"Référence inconnue",IF(OR(NOT(ISNUMBER(E756)),N(E756)&lt;=0),"Quantité invalide",IF(K756&lt;0,"Stock négatif",IF(AND(ISNUMBER(A755),A756&lt;A755),"Date hors ordre","OK"))))))))</f>
        <v/>
      </c>
      <c r="M756" s="39" t="str">
        <f>IF(C756="","",C756&amp;"#"&amp;COUNTIF($C$5:C756,C756))</f>
        <v/>
      </c>
    </row>
    <row r="757">
      <c r="A757" s="41" t="n"/>
      <c r="B757" s="37" t="n"/>
      <c r="C757" s="37" t="n"/>
      <c r="D757" s="39" t="str">
        <f>IF(C757="","",IFERROR(INDEX(art_des,MATCH(C757,art_ref,0))&amp;"","Référence inconnue"))</f>
        <v/>
      </c>
      <c r="E757" s="37" t="n"/>
      <c r="F757" s="39" t="str">
        <f>IF(C757="","",IFERROR(INDEX(art_unit,MATCH(C757,art_ref,0))&amp;"",""))</f>
        <v/>
      </c>
      <c r="G757" s="37" t="n"/>
      <c r="H757" s="37" t="n"/>
      <c r="I757" s="37" t="n"/>
      <c r="J757" s="40" t="str">
        <f>IF(OR(C757="",NOT(ISNUMBER(E757))),"",IFERROR(E757*N(INDEX(art_price,MATCH(C757,art_ref,0))),""))</f>
        <v/>
      </c>
      <c r="K757" s="39" t="str">
        <f>IF(OR(C757="",NOT(ISNUMBER(E757))),"",IFERROR(ROUND(N(INDEX(art_init,MATCH(C757,art_ref,0)))+SUMIFS($E$5:E757,$C$5:C757,C757,$B$5:B757,"Entrée")-SUMIFS($E$5:E757,$C$5:C757,C757,$B$5:B757,"Sortie"),6),""))</f>
        <v/>
      </c>
      <c r="L757" s="39" t="str">
        <f>IF(COUNTA(A757:C757,E757)=0,"",IF(COUNTA(A757:C757,E757)&lt;4,"Ligne incomplète",IF(NOT(ISNUMBER(A757)),"Date invalide",IF(AND(B757&lt;&gt;"Entrée",B757&lt;&gt;"Sortie"),"Type inconnu",IF(ISNA(MATCH(C757,art_ref,0)),"Référence inconnue",IF(OR(NOT(ISNUMBER(E757)),N(E757)&lt;=0),"Quantité invalide",IF(K757&lt;0,"Stock négatif",IF(AND(ISNUMBER(A756),A757&lt;A756),"Date hors ordre","OK"))))))))</f>
        <v/>
      </c>
      <c r="M757" s="39" t="str">
        <f>IF(C757="","",C757&amp;"#"&amp;COUNTIF($C$5:C757,C757))</f>
        <v/>
      </c>
    </row>
    <row r="758">
      <c r="A758" s="41" t="n"/>
      <c r="B758" s="37" t="n"/>
      <c r="C758" s="37" t="n"/>
      <c r="D758" s="39" t="str">
        <f>IF(C758="","",IFERROR(INDEX(art_des,MATCH(C758,art_ref,0))&amp;"","Référence inconnue"))</f>
        <v/>
      </c>
      <c r="E758" s="37" t="n"/>
      <c r="F758" s="39" t="str">
        <f>IF(C758="","",IFERROR(INDEX(art_unit,MATCH(C758,art_ref,0))&amp;"",""))</f>
        <v/>
      </c>
      <c r="G758" s="37" t="n"/>
      <c r="H758" s="37" t="n"/>
      <c r="I758" s="37" t="n"/>
      <c r="J758" s="40" t="str">
        <f>IF(OR(C758="",NOT(ISNUMBER(E758))),"",IFERROR(E758*N(INDEX(art_price,MATCH(C758,art_ref,0))),""))</f>
        <v/>
      </c>
      <c r="K758" s="39" t="str">
        <f>IF(OR(C758="",NOT(ISNUMBER(E758))),"",IFERROR(ROUND(N(INDEX(art_init,MATCH(C758,art_ref,0)))+SUMIFS($E$5:E758,$C$5:C758,C758,$B$5:B758,"Entrée")-SUMIFS($E$5:E758,$C$5:C758,C758,$B$5:B758,"Sortie"),6),""))</f>
        <v/>
      </c>
      <c r="L758" s="39" t="str">
        <f>IF(COUNTA(A758:C758,E758)=0,"",IF(COUNTA(A758:C758,E758)&lt;4,"Ligne incomplète",IF(NOT(ISNUMBER(A758)),"Date invalide",IF(AND(B758&lt;&gt;"Entrée",B758&lt;&gt;"Sortie"),"Type inconnu",IF(ISNA(MATCH(C758,art_ref,0)),"Référence inconnue",IF(OR(NOT(ISNUMBER(E758)),N(E758)&lt;=0),"Quantité invalide",IF(K758&lt;0,"Stock négatif",IF(AND(ISNUMBER(A757),A758&lt;A757),"Date hors ordre","OK"))))))))</f>
        <v/>
      </c>
      <c r="M758" s="39" t="str">
        <f>IF(C758="","",C758&amp;"#"&amp;COUNTIF($C$5:C758,C758))</f>
        <v/>
      </c>
    </row>
    <row r="759">
      <c r="A759" s="41" t="n"/>
      <c r="B759" s="37" t="n"/>
      <c r="C759" s="37" t="n"/>
      <c r="D759" s="39" t="str">
        <f>IF(C759="","",IFERROR(INDEX(art_des,MATCH(C759,art_ref,0))&amp;"","Référence inconnue"))</f>
        <v/>
      </c>
      <c r="E759" s="37" t="n"/>
      <c r="F759" s="39" t="str">
        <f>IF(C759="","",IFERROR(INDEX(art_unit,MATCH(C759,art_ref,0))&amp;"",""))</f>
        <v/>
      </c>
      <c r="G759" s="37" t="n"/>
      <c r="H759" s="37" t="n"/>
      <c r="I759" s="37" t="n"/>
      <c r="J759" s="40" t="str">
        <f>IF(OR(C759="",NOT(ISNUMBER(E759))),"",IFERROR(E759*N(INDEX(art_price,MATCH(C759,art_ref,0))),""))</f>
        <v/>
      </c>
      <c r="K759" s="39" t="str">
        <f>IF(OR(C759="",NOT(ISNUMBER(E759))),"",IFERROR(ROUND(N(INDEX(art_init,MATCH(C759,art_ref,0)))+SUMIFS($E$5:E759,$C$5:C759,C759,$B$5:B759,"Entrée")-SUMIFS($E$5:E759,$C$5:C759,C759,$B$5:B759,"Sortie"),6),""))</f>
        <v/>
      </c>
      <c r="L759" s="39" t="str">
        <f>IF(COUNTA(A759:C759,E759)=0,"",IF(COUNTA(A759:C759,E759)&lt;4,"Ligne incomplète",IF(NOT(ISNUMBER(A759)),"Date invalide",IF(AND(B759&lt;&gt;"Entrée",B759&lt;&gt;"Sortie"),"Type inconnu",IF(ISNA(MATCH(C759,art_ref,0)),"Référence inconnue",IF(OR(NOT(ISNUMBER(E759)),N(E759)&lt;=0),"Quantité invalide",IF(K759&lt;0,"Stock négatif",IF(AND(ISNUMBER(A758),A759&lt;A758),"Date hors ordre","OK"))))))))</f>
        <v/>
      </c>
      <c r="M759" s="39" t="str">
        <f>IF(C759="","",C759&amp;"#"&amp;COUNTIF($C$5:C759,C759))</f>
        <v/>
      </c>
    </row>
    <row r="760">
      <c r="A760" s="41" t="n"/>
      <c r="B760" s="37" t="n"/>
      <c r="C760" s="37" t="n"/>
      <c r="D760" s="39" t="str">
        <f>IF(C760="","",IFERROR(INDEX(art_des,MATCH(C760,art_ref,0))&amp;"","Référence inconnue"))</f>
        <v/>
      </c>
      <c r="E760" s="37" t="n"/>
      <c r="F760" s="39" t="str">
        <f>IF(C760="","",IFERROR(INDEX(art_unit,MATCH(C760,art_ref,0))&amp;"",""))</f>
        <v/>
      </c>
      <c r="G760" s="37" t="n"/>
      <c r="H760" s="37" t="n"/>
      <c r="I760" s="37" t="n"/>
      <c r="J760" s="40" t="str">
        <f>IF(OR(C760="",NOT(ISNUMBER(E760))),"",IFERROR(E760*N(INDEX(art_price,MATCH(C760,art_ref,0))),""))</f>
        <v/>
      </c>
      <c r="K760" s="39" t="str">
        <f>IF(OR(C760="",NOT(ISNUMBER(E760))),"",IFERROR(ROUND(N(INDEX(art_init,MATCH(C760,art_ref,0)))+SUMIFS($E$5:E760,$C$5:C760,C760,$B$5:B760,"Entrée")-SUMIFS($E$5:E760,$C$5:C760,C760,$B$5:B760,"Sortie"),6),""))</f>
        <v/>
      </c>
      <c r="L760" s="39" t="str">
        <f>IF(COUNTA(A760:C760,E760)=0,"",IF(COUNTA(A760:C760,E760)&lt;4,"Ligne incomplète",IF(NOT(ISNUMBER(A760)),"Date invalide",IF(AND(B760&lt;&gt;"Entrée",B760&lt;&gt;"Sortie"),"Type inconnu",IF(ISNA(MATCH(C760,art_ref,0)),"Référence inconnue",IF(OR(NOT(ISNUMBER(E760)),N(E760)&lt;=0),"Quantité invalide",IF(K760&lt;0,"Stock négatif",IF(AND(ISNUMBER(A759),A760&lt;A759),"Date hors ordre","OK"))))))))</f>
        <v/>
      </c>
      <c r="M760" s="39" t="str">
        <f>IF(C760="","",C760&amp;"#"&amp;COUNTIF($C$5:C760,C760))</f>
        <v/>
      </c>
    </row>
    <row r="761">
      <c r="A761" s="41" t="n"/>
      <c r="B761" s="37" t="n"/>
      <c r="C761" s="37" t="n"/>
      <c r="D761" s="39" t="str">
        <f>IF(C761="","",IFERROR(INDEX(art_des,MATCH(C761,art_ref,0))&amp;"","Référence inconnue"))</f>
        <v/>
      </c>
      <c r="E761" s="37" t="n"/>
      <c r="F761" s="39" t="str">
        <f>IF(C761="","",IFERROR(INDEX(art_unit,MATCH(C761,art_ref,0))&amp;"",""))</f>
        <v/>
      </c>
      <c r="G761" s="37" t="n"/>
      <c r="H761" s="37" t="n"/>
      <c r="I761" s="37" t="n"/>
      <c r="J761" s="40" t="str">
        <f>IF(OR(C761="",NOT(ISNUMBER(E761))),"",IFERROR(E761*N(INDEX(art_price,MATCH(C761,art_ref,0))),""))</f>
        <v/>
      </c>
      <c r="K761" s="39" t="str">
        <f>IF(OR(C761="",NOT(ISNUMBER(E761))),"",IFERROR(ROUND(N(INDEX(art_init,MATCH(C761,art_ref,0)))+SUMIFS($E$5:E761,$C$5:C761,C761,$B$5:B761,"Entrée")-SUMIFS($E$5:E761,$C$5:C761,C761,$B$5:B761,"Sortie"),6),""))</f>
        <v/>
      </c>
      <c r="L761" s="39" t="str">
        <f>IF(COUNTA(A761:C761,E761)=0,"",IF(COUNTA(A761:C761,E761)&lt;4,"Ligne incomplète",IF(NOT(ISNUMBER(A761)),"Date invalide",IF(AND(B761&lt;&gt;"Entrée",B761&lt;&gt;"Sortie"),"Type inconnu",IF(ISNA(MATCH(C761,art_ref,0)),"Référence inconnue",IF(OR(NOT(ISNUMBER(E761)),N(E761)&lt;=0),"Quantité invalide",IF(K761&lt;0,"Stock négatif",IF(AND(ISNUMBER(A760),A761&lt;A760),"Date hors ordre","OK"))))))))</f>
        <v/>
      </c>
      <c r="M761" s="39" t="str">
        <f>IF(C761="","",C761&amp;"#"&amp;COUNTIF($C$5:C761,C761))</f>
        <v/>
      </c>
    </row>
    <row r="762">
      <c r="A762" s="41" t="n"/>
      <c r="B762" s="37" t="n"/>
      <c r="C762" s="37" t="n"/>
      <c r="D762" s="39" t="str">
        <f>IF(C762="","",IFERROR(INDEX(art_des,MATCH(C762,art_ref,0))&amp;"","Référence inconnue"))</f>
        <v/>
      </c>
      <c r="E762" s="37" t="n"/>
      <c r="F762" s="39" t="str">
        <f>IF(C762="","",IFERROR(INDEX(art_unit,MATCH(C762,art_ref,0))&amp;"",""))</f>
        <v/>
      </c>
      <c r="G762" s="37" t="n"/>
      <c r="H762" s="37" t="n"/>
      <c r="I762" s="37" t="n"/>
      <c r="J762" s="40" t="str">
        <f>IF(OR(C762="",NOT(ISNUMBER(E762))),"",IFERROR(E762*N(INDEX(art_price,MATCH(C762,art_ref,0))),""))</f>
        <v/>
      </c>
      <c r="K762" s="39" t="str">
        <f>IF(OR(C762="",NOT(ISNUMBER(E762))),"",IFERROR(ROUND(N(INDEX(art_init,MATCH(C762,art_ref,0)))+SUMIFS($E$5:E762,$C$5:C762,C762,$B$5:B762,"Entrée")-SUMIFS($E$5:E762,$C$5:C762,C762,$B$5:B762,"Sortie"),6),""))</f>
        <v/>
      </c>
      <c r="L762" s="39" t="str">
        <f>IF(COUNTA(A762:C762,E762)=0,"",IF(COUNTA(A762:C762,E762)&lt;4,"Ligne incomplète",IF(NOT(ISNUMBER(A762)),"Date invalide",IF(AND(B762&lt;&gt;"Entrée",B762&lt;&gt;"Sortie"),"Type inconnu",IF(ISNA(MATCH(C762,art_ref,0)),"Référence inconnue",IF(OR(NOT(ISNUMBER(E762)),N(E762)&lt;=0),"Quantité invalide",IF(K762&lt;0,"Stock négatif",IF(AND(ISNUMBER(A761),A762&lt;A761),"Date hors ordre","OK"))))))))</f>
        <v/>
      </c>
      <c r="M762" s="39" t="str">
        <f>IF(C762="","",C762&amp;"#"&amp;COUNTIF($C$5:C762,C762))</f>
        <v/>
      </c>
    </row>
    <row r="763">
      <c r="A763" s="41" t="n"/>
      <c r="B763" s="37" t="n"/>
      <c r="C763" s="37" t="n"/>
      <c r="D763" s="39" t="str">
        <f>IF(C763="","",IFERROR(INDEX(art_des,MATCH(C763,art_ref,0))&amp;"","Référence inconnue"))</f>
        <v/>
      </c>
      <c r="E763" s="37" t="n"/>
      <c r="F763" s="39" t="str">
        <f>IF(C763="","",IFERROR(INDEX(art_unit,MATCH(C763,art_ref,0))&amp;"",""))</f>
        <v/>
      </c>
      <c r="G763" s="37" t="n"/>
      <c r="H763" s="37" t="n"/>
      <c r="I763" s="37" t="n"/>
      <c r="J763" s="40" t="str">
        <f>IF(OR(C763="",NOT(ISNUMBER(E763))),"",IFERROR(E763*N(INDEX(art_price,MATCH(C763,art_ref,0))),""))</f>
        <v/>
      </c>
      <c r="K763" s="39" t="str">
        <f>IF(OR(C763="",NOT(ISNUMBER(E763))),"",IFERROR(ROUND(N(INDEX(art_init,MATCH(C763,art_ref,0)))+SUMIFS($E$5:E763,$C$5:C763,C763,$B$5:B763,"Entrée")-SUMIFS($E$5:E763,$C$5:C763,C763,$B$5:B763,"Sortie"),6),""))</f>
        <v/>
      </c>
      <c r="L763" s="39" t="str">
        <f>IF(COUNTA(A763:C763,E763)=0,"",IF(COUNTA(A763:C763,E763)&lt;4,"Ligne incomplète",IF(NOT(ISNUMBER(A763)),"Date invalide",IF(AND(B763&lt;&gt;"Entrée",B763&lt;&gt;"Sortie"),"Type inconnu",IF(ISNA(MATCH(C763,art_ref,0)),"Référence inconnue",IF(OR(NOT(ISNUMBER(E763)),N(E763)&lt;=0),"Quantité invalide",IF(K763&lt;0,"Stock négatif",IF(AND(ISNUMBER(A762),A763&lt;A762),"Date hors ordre","OK"))))))))</f>
        <v/>
      </c>
      <c r="M763" s="39" t="str">
        <f>IF(C763="","",C763&amp;"#"&amp;COUNTIF($C$5:C763,C763))</f>
        <v/>
      </c>
    </row>
    <row r="764">
      <c r="A764" s="41" t="n"/>
      <c r="B764" s="37" t="n"/>
      <c r="C764" s="37" t="n"/>
      <c r="D764" s="39" t="str">
        <f>IF(C764="","",IFERROR(INDEX(art_des,MATCH(C764,art_ref,0))&amp;"","Référence inconnue"))</f>
        <v/>
      </c>
      <c r="E764" s="37" t="n"/>
      <c r="F764" s="39" t="str">
        <f>IF(C764="","",IFERROR(INDEX(art_unit,MATCH(C764,art_ref,0))&amp;"",""))</f>
        <v/>
      </c>
      <c r="G764" s="37" t="n"/>
      <c r="H764" s="37" t="n"/>
      <c r="I764" s="37" t="n"/>
      <c r="J764" s="40" t="str">
        <f>IF(OR(C764="",NOT(ISNUMBER(E764))),"",IFERROR(E764*N(INDEX(art_price,MATCH(C764,art_ref,0))),""))</f>
        <v/>
      </c>
      <c r="K764" s="39" t="str">
        <f>IF(OR(C764="",NOT(ISNUMBER(E764))),"",IFERROR(ROUND(N(INDEX(art_init,MATCH(C764,art_ref,0)))+SUMIFS($E$5:E764,$C$5:C764,C764,$B$5:B764,"Entrée")-SUMIFS($E$5:E764,$C$5:C764,C764,$B$5:B764,"Sortie"),6),""))</f>
        <v/>
      </c>
      <c r="L764" s="39" t="str">
        <f>IF(COUNTA(A764:C764,E764)=0,"",IF(COUNTA(A764:C764,E764)&lt;4,"Ligne incomplète",IF(NOT(ISNUMBER(A764)),"Date invalide",IF(AND(B764&lt;&gt;"Entrée",B764&lt;&gt;"Sortie"),"Type inconnu",IF(ISNA(MATCH(C764,art_ref,0)),"Référence inconnue",IF(OR(NOT(ISNUMBER(E764)),N(E764)&lt;=0),"Quantité invalide",IF(K764&lt;0,"Stock négatif",IF(AND(ISNUMBER(A763),A764&lt;A763),"Date hors ordre","OK"))))))))</f>
        <v/>
      </c>
      <c r="M764" s="39" t="str">
        <f>IF(C764="","",C764&amp;"#"&amp;COUNTIF($C$5:C764,C764))</f>
        <v/>
      </c>
    </row>
    <row r="765">
      <c r="A765" s="41" t="n"/>
      <c r="B765" s="37" t="n"/>
      <c r="C765" s="37" t="n"/>
      <c r="D765" s="39" t="str">
        <f>IF(C765="","",IFERROR(INDEX(art_des,MATCH(C765,art_ref,0))&amp;"","Référence inconnue"))</f>
        <v/>
      </c>
      <c r="E765" s="37" t="n"/>
      <c r="F765" s="39" t="str">
        <f>IF(C765="","",IFERROR(INDEX(art_unit,MATCH(C765,art_ref,0))&amp;"",""))</f>
        <v/>
      </c>
      <c r="G765" s="37" t="n"/>
      <c r="H765" s="37" t="n"/>
      <c r="I765" s="37" t="n"/>
      <c r="J765" s="40" t="str">
        <f>IF(OR(C765="",NOT(ISNUMBER(E765))),"",IFERROR(E765*N(INDEX(art_price,MATCH(C765,art_ref,0))),""))</f>
        <v/>
      </c>
      <c r="K765" s="39" t="str">
        <f>IF(OR(C765="",NOT(ISNUMBER(E765))),"",IFERROR(ROUND(N(INDEX(art_init,MATCH(C765,art_ref,0)))+SUMIFS($E$5:E765,$C$5:C765,C765,$B$5:B765,"Entrée")-SUMIFS($E$5:E765,$C$5:C765,C765,$B$5:B765,"Sortie"),6),""))</f>
        <v/>
      </c>
      <c r="L765" s="39" t="str">
        <f>IF(COUNTA(A765:C765,E765)=0,"",IF(COUNTA(A765:C765,E765)&lt;4,"Ligne incomplète",IF(NOT(ISNUMBER(A765)),"Date invalide",IF(AND(B765&lt;&gt;"Entrée",B765&lt;&gt;"Sortie"),"Type inconnu",IF(ISNA(MATCH(C765,art_ref,0)),"Référence inconnue",IF(OR(NOT(ISNUMBER(E765)),N(E765)&lt;=0),"Quantité invalide",IF(K765&lt;0,"Stock négatif",IF(AND(ISNUMBER(A764),A765&lt;A764),"Date hors ordre","OK"))))))))</f>
        <v/>
      </c>
      <c r="M765" s="39" t="str">
        <f>IF(C765="","",C765&amp;"#"&amp;COUNTIF($C$5:C765,C765))</f>
        <v/>
      </c>
    </row>
    <row r="766">
      <c r="A766" s="41" t="n"/>
      <c r="B766" s="37" t="n"/>
      <c r="C766" s="37" t="n"/>
      <c r="D766" s="39" t="str">
        <f>IF(C766="","",IFERROR(INDEX(art_des,MATCH(C766,art_ref,0))&amp;"","Référence inconnue"))</f>
        <v/>
      </c>
      <c r="E766" s="37" t="n"/>
      <c r="F766" s="39" t="str">
        <f>IF(C766="","",IFERROR(INDEX(art_unit,MATCH(C766,art_ref,0))&amp;"",""))</f>
        <v/>
      </c>
      <c r="G766" s="37" t="n"/>
      <c r="H766" s="37" t="n"/>
      <c r="I766" s="37" t="n"/>
      <c r="J766" s="40" t="str">
        <f>IF(OR(C766="",NOT(ISNUMBER(E766))),"",IFERROR(E766*N(INDEX(art_price,MATCH(C766,art_ref,0))),""))</f>
        <v/>
      </c>
      <c r="K766" s="39" t="str">
        <f>IF(OR(C766="",NOT(ISNUMBER(E766))),"",IFERROR(ROUND(N(INDEX(art_init,MATCH(C766,art_ref,0)))+SUMIFS($E$5:E766,$C$5:C766,C766,$B$5:B766,"Entrée")-SUMIFS($E$5:E766,$C$5:C766,C766,$B$5:B766,"Sortie"),6),""))</f>
        <v/>
      </c>
      <c r="L766" s="39" t="str">
        <f>IF(COUNTA(A766:C766,E766)=0,"",IF(COUNTA(A766:C766,E766)&lt;4,"Ligne incomplète",IF(NOT(ISNUMBER(A766)),"Date invalide",IF(AND(B766&lt;&gt;"Entrée",B766&lt;&gt;"Sortie"),"Type inconnu",IF(ISNA(MATCH(C766,art_ref,0)),"Référence inconnue",IF(OR(NOT(ISNUMBER(E766)),N(E766)&lt;=0),"Quantité invalide",IF(K766&lt;0,"Stock négatif",IF(AND(ISNUMBER(A765),A766&lt;A765),"Date hors ordre","OK"))))))))</f>
        <v/>
      </c>
      <c r="M766" s="39" t="str">
        <f>IF(C766="","",C766&amp;"#"&amp;COUNTIF($C$5:C766,C766))</f>
        <v/>
      </c>
    </row>
    <row r="767">
      <c r="A767" s="41" t="n"/>
      <c r="B767" s="37" t="n"/>
      <c r="C767" s="37" t="n"/>
      <c r="D767" s="39" t="str">
        <f>IF(C767="","",IFERROR(INDEX(art_des,MATCH(C767,art_ref,0))&amp;"","Référence inconnue"))</f>
        <v/>
      </c>
      <c r="E767" s="37" t="n"/>
      <c r="F767" s="39" t="str">
        <f>IF(C767="","",IFERROR(INDEX(art_unit,MATCH(C767,art_ref,0))&amp;"",""))</f>
        <v/>
      </c>
      <c r="G767" s="37" t="n"/>
      <c r="H767" s="37" t="n"/>
      <c r="I767" s="37" t="n"/>
      <c r="J767" s="40" t="str">
        <f>IF(OR(C767="",NOT(ISNUMBER(E767))),"",IFERROR(E767*N(INDEX(art_price,MATCH(C767,art_ref,0))),""))</f>
        <v/>
      </c>
      <c r="K767" s="39" t="str">
        <f>IF(OR(C767="",NOT(ISNUMBER(E767))),"",IFERROR(ROUND(N(INDEX(art_init,MATCH(C767,art_ref,0)))+SUMIFS($E$5:E767,$C$5:C767,C767,$B$5:B767,"Entrée")-SUMIFS($E$5:E767,$C$5:C767,C767,$B$5:B767,"Sortie"),6),""))</f>
        <v/>
      </c>
      <c r="L767" s="39" t="str">
        <f>IF(COUNTA(A767:C767,E767)=0,"",IF(COUNTA(A767:C767,E767)&lt;4,"Ligne incomplète",IF(NOT(ISNUMBER(A767)),"Date invalide",IF(AND(B767&lt;&gt;"Entrée",B767&lt;&gt;"Sortie"),"Type inconnu",IF(ISNA(MATCH(C767,art_ref,0)),"Référence inconnue",IF(OR(NOT(ISNUMBER(E767)),N(E767)&lt;=0),"Quantité invalide",IF(K767&lt;0,"Stock négatif",IF(AND(ISNUMBER(A766),A767&lt;A766),"Date hors ordre","OK"))))))))</f>
        <v/>
      </c>
      <c r="M767" s="39" t="str">
        <f>IF(C767="","",C767&amp;"#"&amp;COUNTIF($C$5:C767,C767))</f>
        <v/>
      </c>
    </row>
    <row r="768">
      <c r="A768" s="41" t="n"/>
      <c r="B768" s="37" t="n"/>
      <c r="C768" s="37" t="n"/>
      <c r="D768" s="39" t="str">
        <f>IF(C768="","",IFERROR(INDEX(art_des,MATCH(C768,art_ref,0))&amp;"","Référence inconnue"))</f>
        <v/>
      </c>
      <c r="E768" s="37" t="n"/>
      <c r="F768" s="39" t="str">
        <f>IF(C768="","",IFERROR(INDEX(art_unit,MATCH(C768,art_ref,0))&amp;"",""))</f>
        <v/>
      </c>
      <c r="G768" s="37" t="n"/>
      <c r="H768" s="37" t="n"/>
      <c r="I768" s="37" t="n"/>
      <c r="J768" s="40" t="str">
        <f>IF(OR(C768="",NOT(ISNUMBER(E768))),"",IFERROR(E768*N(INDEX(art_price,MATCH(C768,art_ref,0))),""))</f>
        <v/>
      </c>
      <c r="K768" s="39" t="str">
        <f>IF(OR(C768="",NOT(ISNUMBER(E768))),"",IFERROR(ROUND(N(INDEX(art_init,MATCH(C768,art_ref,0)))+SUMIFS($E$5:E768,$C$5:C768,C768,$B$5:B768,"Entrée")-SUMIFS($E$5:E768,$C$5:C768,C768,$B$5:B768,"Sortie"),6),""))</f>
        <v/>
      </c>
      <c r="L768" s="39" t="str">
        <f>IF(COUNTA(A768:C768,E768)=0,"",IF(COUNTA(A768:C768,E768)&lt;4,"Ligne incomplète",IF(NOT(ISNUMBER(A768)),"Date invalide",IF(AND(B768&lt;&gt;"Entrée",B768&lt;&gt;"Sortie"),"Type inconnu",IF(ISNA(MATCH(C768,art_ref,0)),"Référence inconnue",IF(OR(NOT(ISNUMBER(E768)),N(E768)&lt;=0),"Quantité invalide",IF(K768&lt;0,"Stock négatif",IF(AND(ISNUMBER(A767),A768&lt;A767),"Date hors ordre","OK"))))))))</f>
        <v/>
      </c>
      <c r="M768" s="39" t="str">
        <f>IF(C768="","",C768&amp;"#"&amp;COUNTIF($C$5:C768,C768))</f>
        <v/>
      </c>
    </row>
    <row r="769">
      <c r="A769" s="41" t="n"/>
      <c r="B769" s="37" t="n"/>
      <c r="C769" s="37" t="n"/>
      <c r="D769" s="39" t="str">
        <f>IF(C769="","",IFERROR(INDEX(art_des,MATCH(C769,art_ref,0))&amp;"","Référence inconnue"))</f>
        <v/>
      </c>
      <c r="E769" s="37" t="n"/>
      <c r="F769" s="39" t="str">
        <f>IF(C769="","",IFERROR(INDEX(art_unit,MATCH(C769,art_ref,0))&amp;"",""))</f>
        <v/>
      </c>
      <c r="G769" s="37" t="n"/>
      <c r="H769" s="37" t="n"/>
      <c r="I769" s="37" t="n"/>
      <c r="J769" s="40" t="str">
        <f>IF(OR(C769="",NOT(ISNUMBER(E769))),"",IFERROR(E769*N(INDEX(art_price,MATCH(C769,art_ref,0))),""))</f>
        <v/>
      </c>
      <c r="K769" s="39" t="str">
        <f>IF(OR(C769="",NOT(ISNUMBER(E769))),"",IFERROR(ROUND(N(INDEX(art_init,MATCH(C769,art_ref,0)))+SUMIFS($E$5:E769,$C$5:C769,C769,$B$5:B769,"Entrée")-SUMIFS($E$5:E769,$C$5:C769,C769,$B$5:B769,"Sortie"),6),""))</f>
        <v/>
      </c>
      <c r="L769" s="39" t="str">
        <f>IF(COUNTA(A769:C769,E769)=0,"",IF(COUNTA(A769:C769,E769)&lt;4,"Ligne incomplète",IF(NOT(ISNUMBER(A769)),"Date invalide",IF(AND(B769&lt;&gt;"Entrée",B769&lt;&gt;"Sortie"),"Type inconnu",IF(ISNA(MATCH(C769,art_ref,0)),"Référence inconnue",IF(OR(NOT(ISNUMBER(E769)),N(E769)&lt;=0),"Quantité invalide",IF(K769&lt;0,"Stock négatif",IF(AND(ISNUMBER(A768),A769&lt;A768),"Date hors ordre","OK"))))))))</f>
        <v/>
      </c>
      <c r="M769" s="39" t="str">
        <f>IF(C769="","",C769&amp;"#"&amp;COUNTIF($C$5:C769,C769))</f>
        <v/>
      </c>
    </row>
    <row r="770">
      <c r="A770" s="41" t="n"/>
      <c r="B770" s="37" t="n"/>
      <c r="C770" s="37" t="n"/>
      <c r="D770" s="39" t="str">
        <f>IF(C770="","",IFERROR(INDEX(art_des,MATCH(C770,art_ref,0))&amp;"","Référence inconnue"))</f>
        <v/>
      </c>
      <c r="E770" s="37" t="n"/>
      <c r="F770" s="39" t="str">
        <f>IF(C770="","",IFERROR(INDEX(art_unit,MATCH(C770,art_ref,0))&amp;"",""))</f>
        <v/>
      </c>
      <c r="G770" s="37" t="n"/>
      <c r="H770" s="37" t="n"/>
      <c r="I770" s="37" t="n"/>
      <c r="J770" s="40" t="str">
        <f>IF(OR(C770="",NOT(ISNUMBER(E770))),"",IFERROR(E770*N(INDEX(art_price,MATCH(C770,art_ref,0))),""))</f>
        <v/>
      </c>
      <c r="K770" s="39" t="str">
        <f>IF(OR(C770="",NOT(ISNUMBER(E770))),"",IFERROR(ROUND(N(INDEX(art_init,MATCH(C770,art_ref,0)))+SUMIFS($E$5:E770,$C$5:C770,C770,$B$5:B770,"Entrée")-SUMIFS($E$5:E770,$C$5:C770,C770,$B$5:B770,"Sortie"),6),""))</f>
        <v/>
      </c>
      <c r="L770" s="39" t="str">
        <f>IF(COUNTA(A770:C770,E770)=0,"",IF(COUNTA(A770:C770,E770)&lt;4,"Ligne incomplète",IF(NOT(ISNUMBER(A770)),"Date invalide",IF(AND(B770&lt;&gt;"Entrée",B770&lt;&gt;"Sortie"),"Type inconnu",IF(ISNA(MATCH(C770,art_ref,0)),"Référence inconnue",IF(OR(NOT(ISNUMBER(E770)),N(E770)&lt;=0),"Quantité invalide",IF(K770&lt;0,"Stock négatif",IF(AND(ISNUMBER(A769),A770&lt;A769),"Date hors ordre","OK"))))))))</f>
        <v/>
      </c>
      <c r="M770" s="39" t="str">
        <f>IF(C770="","",C770&amp;"#"&amp;COUNTIF($C$5:C770,C770))</f>
        <v/>
      </c>
    </row>
    <row r="771">
      <c r="A771" s="41" t="n"/>
      <c r="B771" s="37" t="n"/>
      <c r="C771" s="37" t="n"/>
      <c r="D771" s="39" t="str">
        <f>IF(C771="","",IFERROR(INDEX(art_des,MATCH(C771,art_ref,0))&amp;"","Référence inconnue"))</f>
        <v/>
      </c>
      <c r="E771" s="37" t="n"/>
      <c r="F771" s="39" t="str">
        <f>IF(C771="","",IFERROR(INDEX(art_unit,MATCH(C771,art_ref,0))&amp;"",""))</f>
        <v/>
      </c>
      <c r="G771" s="37" t="n"/>
      <c r="H771" s="37" t="n"/>
      <c r="I771" s="37" t="n"/>
      <c r="J771" s="40" t="str">
        <f>IF(OR(C771="",NOT(ISNUMBER(E771))),"",IFERROR(E771*N(INDEX(art_price,MATCH(C771,art_ref,0))),""))</f>
        <v/>
      </c>
      <c r="K771" s="39" t="str">
        <f>IF(OR(C771="",NOT(ISNUMBER(E771))),"",IFERROR(ROUND(N(INDEX(art_init,MATCH(C771,art_ref,0)))+SUMIFS($E$5:E771,$C$5:C771,C771,$B$5:B771,"Entrée")-SUMIFS($E$5:E771,$C$5:C771,C771,$B$5:B771,"Sortie"),6),""))</f>
        <v/>
      </c>
      <c r="L771" s="39" t="str">
        <f>IF(COUNTA(A771:C771,E771)=0,"",IF(COUNTA(A771:C771,E771)&lt;4,"Ligne incomplète",IF(NOT(ISNUMBER(A771)),"Date invalide",IF(AND(B771&lt;&gt;"Entrée",B771&lt;&gt;"Sortie"),"Type inconnu",IF(ISNA(MATCH(C771,art_ref,0)),"Référence inconnue",IF(OR(NOT(ISNUMBER(E771)),N(E771)&lt;=0),"Quantité invalide",IF(K771&lt;0,"Stock négatif",IF(AND(ISNUMBER(A770),A771&lt;A770),"Date hors ordre","OK"))))))))</f>
        <v/>
      </c>
      <c r="M771" s="39" t="str">
        <f>IF(C771="","",C771&amp;"#"&amp;COUNTIF($C$5:C771,C771))</f>
        <v/>
      </c>
    </row>
    <row r="772">
      <c r="A772" s="41" t="n"/>
      <c r="B772" s="37" t="n"/>
      <c r="C772" s="37" t="n"/>
      <c r="D772" s="39" t="str">
        <f>IF(C772="","",IFERROR(INDEX(art_des,MATCH(C772,art_ref,0))&amp;"","Référence inconnue"))</f>
        <v/>
      </c>
      <c r="E772" s="37" t="n"/>
      <c r="F772" s="39" t="str">
        <f>IF(C772="","",IFERROR(INDEX(art_unit,MATCH(C772,art_ref,0))&amp;"",""))</f>
        <v/>
      </c>
      <c r="G772" s="37" t="n"/>
      <c r="H772" s="37" t="n"/>
      <c r="I772" s="37" t="n"/>
      <c r="J772" s="40" t="str">
        <f>IF(OR(C772="",NOT(ISNUMBER(E772))),"",IFERROR(E772*N(INDEX(art_price,MATCH(C772,art_ref,0))),""))</f>
        <v/>
      </c>
      <c r="K772" s="39" t="str">
        <f>IF(OR(C772="",NOT(ISNUMBER(E772))),"",IFERROR(ROUND(N(INDEX(art_init,MATCH(C772,art_ref,0)))+SUMIFS($E$5:E772,$C$5:C772,C772,$B$5:B772,"Entrée")-SUMIFS($E$5:E772,$C$5:C772,C772,$B$5:B772,"Sortie"),6),""))</f>
        <v/>
      </c>
      <c r="L772" s="39" t="str">
        <f>IF(COUNTA(A772:C772,E772)=0,"",IF(COUNTA(A772:C772,E772)&lt;4,"Ligne incomplète",IF(NOT(ISNUMBER(A772)),"Date invalide",IF(AND(B772&lt;&gt;"Entrée",B772&lt;&gt;"Sortie"),"Type inconnu",IF(ISNA(MATCH(C772,art_ref,0)),"Référence inconnue",IF(OR(NOT(ISNUMBER(E772)),N(E772)&lt;=0),"Quantité invalide",IF(K772&lt;0,"Stock négatif",IF(AND(ISNUMBER(A771),A772&lt;A771),"Date hors ordre","OK"))))))))</f>
        <v/>
      </c>
      <c r="M772" s="39" t="str">
        <f>IF(C772="","",C772&amp;"#"&amp;COUNTIF($C$5:C772,C772))</f>
        <v/>
      </c>
    </row>
    <row r="773">
      <c r="A773" s="41" t="n"/>
      <c r="B773" s="37" t="n"/>
      <c r="C773" s="37" t="n"/>
      <c r="D773" s="39" t="str">
        <f>IF(C773="","",IFERROR(INDEX(art_des,MATCH(C773,art_ref,0))&amp;"","Référence inconnue"))</f>
        <v/>
      </c>
      <c r="E773" s="37" t="n"/>
      <c r="F773" s="39" t="str">
        <f>IF(C773="","",IFERROR(INDEX(art_unit,MATCH(C773,art_ref,0))&amp;"",""))</f>
        <v/>
      </c>
      <c r="G773" s="37" t="n"/>
      <c r="H773" s="37" t="n"/>
      <c r="I773" s="37" t="n"/>
      <c r="J773" s="40" t="str">
        <f>IF(OR(C773="",NOT(ISNUMBER(E773))),"",IFERROR(E773*N(INDEX(art_price,MATCH(C773,art_ref,0))),""))</f>
        <v/>
      </c>
      <c r="K773" s="39" t="str">
        <f>IF(OR(C773="",NOT(ISNUMBER(E773))),"",IFERROR(ROUND(N(INDEX(art_init,MATCH(C773,art_ref,0)))+SUMIFS($E$5:E773,$C$5:C773,C773,$B$5:B773,"Entrée")-SUMIFS($E$5:E773,$C$5:C773,C773,$B$5:B773,"Sortie"),6),""))</f>
        <v/>
      </c>
      <c r="L773" s="39" t="str">
        <f>IF(COUNTA(A773:C773,E773)=0,"",IF(COUNTA(A773:C773,E773)&lt;4,"Ligne incomplète",IF(NOT(ISNUMBER(A773)),"Date invalide",IF(AND(B773&lt;&gt;"Entrée",B773&lt;&gt;"Sortie"),"Type inconnu",IF(ISNA(MATCH(C773,art_ref,0)),"Référence inconnue",IF(OR(NOT(ISNUMBER(E773)),N(E773)&lt;=0),"Quantité invalide",IF(K773&lt;0,"Stock négatif",IF(AND(ISNUMBER(A772),A773&lt;A772),"Date hors ordre","OK"))))))))</f>
        <v/>
      </c>
      <c r="M773" s="39" t="str">
        <f>IF(C773="","",C773&amp;"#"&amp;COUNTIF($C$5:C773,C773))</f>
        <v/>
      </c>
    </row>
    <row r="774">
      <c r="A774" s="41" t="n"/>
      <c r="B774" s="37" t="n"/>
      <c r="C774" s="37" t="n"/>
      <c r="D774" s="39" t="str">
        <f>IF(C774="","",IFERROR(INDEX(art_des,MATCH(C774,art_ref,0))&amp;"","Référence inconnue"))</f>
        <v/>
      </c>
      <c r="E774" s="37" t="n"/>
      <c r="F774" s="39" t="str">
        <f>IF(C774="","",IFERROR(INDEX(art_unit,MATCH(C774,art_ref,0))&amp;"",""))</f>
        <v/>
      </c>
      <c r="G774" s="37" t="n"/>
      <c r="H774" s="37" t="n"/>
      <c r="I774" s="37" t="n"/>
      <c r="J774" s="40" t="str">
        <f>IF(OR(C774="",NOT(ISNUMBER(E774))),"",IFERROR(E774*N(INDEX(art_price,MATCH(C774,art_ref,0))),""))</f>
        <v/>
      </c>
      <c r="K774" s="39" t="str">
        <f>IF(OR(C774="",NOT(ISNUMBER(E774))),"",IFERROR(ROUND(N(INDEX(art_init,MATCH(C774,art_ref,0)))+SUMIFS($E$5:E774,$C$5:C774,C774,$B$5:B774,"Entrée")-SUMIFS($E$5:E774,$C$5:C774,C774,$B$5:B774,"Sortie"),6),""))</f>
        <v/>
      </c>
      <c r="L774" s="39" t="str">
        <f>IF(COUNTA(A774:C774,E774)=0,"",IF(COUNTA(A774:C774,E774)&lt;4,"Ligne incomplète",IF(NOT(ISNUMBER(A774)),"Date invalide",IF(AND(B774&lt;&gt;"Entrée",B774&lt;&gt;"Sortie"),"Type inconnu",IF(ISNA(MATCH(C774,art_ref,0)),"Référence inconnue",IF(OR(NOT(ISNUMBER(E774)),N(E774)&lt;=0),"Quantité invalide",IF(K774&lt;0,"Stock négatif",IF(AND(ISNUMBER(A773),A774&lt;A773),"Date hors ordre","OK"))))))))</f>
        <v/>
      </c>
      <c r="M774" s="39" t="str">
        <f>IF(C774="","",C774&amp;"#"&amp;COUNTIF($C$5:C774,C774))</f>
        <v/>
      </c>
    </row>
    <row r="775">
      <c r="A775" s="41" t="n"/>
      <c r="B775" s="37" t="n"/>
      <c r="C775" s="37" t="n"/>
      <c r="D775" s="39" t="str">
        <f>IF(C775="","",IFERROR(INDEX(art_des,MATCH(C775,art_ref,0))&amp;"","Référence inconnue"))</f>
        <v/>
      </c>
      <c r="E775" s="37" t="n"/>
      <c r="F775" s="39" t="str">
        <f>IF(C775="","",IFERROR(INDEX(art_unit,MATCH(C775,art_ref,0))&amp;"",""))</f>
        <v/>
      </c>
      <c r="G775" s="37" t="n"/>
      <c r="H775" s="37" t="n"/>
      <c r="I775" s="37" t="n"/>
      <c r="J775" s="40" t="str">
        <f>IF(OR(C775="",NOT(ISNUMBER(E775))),"",IFERROR(E775*N(INDEX(art_price,MATCH(C775,art_ref,0))),""))</f>
        <v/>
      </c>
      <c r="K775" s="39" t="str">
        <f>IF(OR(C775="",NOT(ISNUMBER(E775))),"",IFERROR(ROUND(N(INDEX(art_init,MATCH(C775,art_ref,0)))+SUMIFS($E$5:E775,$C$5:C775,C775,$B$5:B775,"Entrée")-SUMIFS($E$5:E775,$C$5:C775,C775,$B$5:B775,"Sortie"),6),""))</f>
        <v/>
      </c>
      <c r="L775" s="39" t="str">
        <f>IF(COUNTA(A775:C775,E775)=0,"",IF(COUNTA(A775:C775,E775)&lt;4,"Ligne incomplète",IF(NOT(ISNUMBER(A775)),"Date invalide",IF(AND(B775&lt;&gt;"Entrée",B775&lt;&gt;"Sortie"),"Type inconnu",IF(ISNA(MATCH(C775,art_ref,0)),"Référence inconnue",IF(OR(NOT(ISNUMBER(E775)),N(E775)&lt;=0),"Quantité invalide",IF(K775&lt;0,"Stock négatif",IF(AND(ISNUMBER(A774),A775&lt;A774),"Date hors ordre","OK"))))))))</f>
        <v/>
      </c>
      <c r="M775" s="39" t="str">
        <f>IF(C775="","",C775&amp;"#"&amp;COUNTIF($C$5:C775,C775))</f>
        <v/>
      </c>
    </row>
    <row r="776">
      <c r="A776" s="41" t="n"/>
      <c r="B776" s="37" t="n"/>
      <c r="C776" s="37" t="n"/>
      <c r="D776" s="39" t="str">
        <f>IF(C776="","",IFERROR(INDEX(art_des,MATCH(C776,art_ref,0))&amp;"","Référence inconnue"))</f>
        <v/>
      </c>
      <c r="E776" s="37" t="n"/>
      <c r="F776" s="39" t="str">
        <f>IF(C776="","",IFERROR(INDEX(art_unit,MATCH(C776,art_ref,0))&amp;"",""))</f>
        <v/>
      </c>
      <c r="G776" s="37" t="n"/>
      <c r="H776" s="37" t="n"/>
      <c r="I776" s="37" t="n"/>
      <c r="J776" s="40" t="str">
        <f>IF(OR(C776="",NOT(ISNUMBER(E776))),"",IFERROR(E776*N(INDEX(art_price,MATCH(C776,art_ref,0))),""))</f>
        <v/>
      </c>
      <c r="K776" s="39" t="str">
        <f>IF(OR(C776="",NOT(ISNUMBER(E776))),"",IFERROR(ROUND(N(INDEX(art_init,MATCH(C776,art_ref,0)))+SUMIFS($E$5:E776,$C$5:C776,C776,$B$5:B776,"Entrée")-SUMIFS($E$5:E776,$C$5:C776,C776,$B$5:B776,"Sortie"),6),""))</f>
        <v/>
      </c>
      <c r="L776" s="39" t="str">
        <f>IF(COUNTA(A776:C776,E776)=0,"",IF(COUNTA(A776:C776,E776)&lt;4,"Ligne incomplète",IF(NOT(ISNUMBER(A776)),"Date invalide",IF(AND(B776&lt;&gt;"Entrée",B776&lt;&gt;"Sortie"),"Type inconnu",IF(ISNA(MATCH(C776,art_ref,0)),"Référence inconnue",IF(OR(NOT(ISNUMBER(E776)),N(E776)&lt;=0),"Quantité invalide",IF(K776&lt;0,"Stock négatif",IF(AND(ISNUMBER(A775),A776&lt;A775),"Date hors ordre","OK"))))))))</f>
        <v/>
      </c>
      <c r="M776" s="39" t="str">
        <f>IF(C776="","",C776&amp;"#"&amp;COUNTIF($C$5:C776,C776))</f>
        <v/>
      </c>
    </row>
    <row r="777">
      <c r="A777" s="41" t="n"/>
      <c r="B777" s="37" t="n"/>
      <c r="C777" s="37" t="n"/>
      <c r="D777" s="39" t="str">
        <f>IF(C777="","",IFERROR(INDEX(art_des,MATCH(C777,art_ref,0))&amp;"","Référence inconnue"))</f>
        <v/>
      </c>
      <c r="E777" s="37" t="n"/>
      <c r="F777" s="39" t="str">
        <f>IF(C777="","",IFERROR(INDEX(art_unit,MATCH(C777,art_ref,0))&amp;"",""))</f>
        <v/>
      </c>
      <c r="G777" s="37" t="n"/>
      <c r="H777" s="37" t="n"/>
      <c r="I777" s="37" t="n"/>
      <c r="J777" s="40" t="str">
        <f>IF(OR(C777="",NOT(ISNUMBER(E777))),"",IFERROR(E777*N(INDEX(art_price,MATCH(C777,art_ref,0))),""))</f>
        <v/>
      </c>
      <c r="K777" s="39" t="str">
        <f>IF(OR(C777="",NOT(ISNUMBER(E777))),"",IFERROR(ROUND(N(INDEX(art_init,MATCH(C777,art_ref,0)))+SUMIFS($E$5:E777,$C$5:C777,C777,$B$5:B777,"Entrée")-SUMIFS($E$5:E777,$C$5:C777,C777,$B$5:B777,"Sortie"),6),""))</f>
        <v/>
      </c>
      <c r="L777" s="39" t="str">
        <f>IF(COUNTA(A777:C777,E777)=0,"",IF(COUNTA(A777:C777,E777)&lt;4,"Ligne incomplète",IF(NOT(ISNUMBER(A777)),"Date invalide",IF(AND(B777&lt;&gt;"Entrée",B777&lt;&gt;"Sortie"),"Type inconnu",IF(ISNA(MATCH(C777,art_ref,0)),"Référence inconnue",IF(OR(NOT(ISNUMBER(E777)),N(E777)&lt;=0),"Quantité invalide",IF(K777&lt;0,"Stock négatif",IF(AND(ISNUMBER(A776),A777&lt;A776),"Date hors ordre","OK"))))))))</f>
        <v/>
      </c>
      <c r="M777" s="39" t="str">
        <f>IF(C777="","",C777&amp;"#"&amp;COUNTIF($C$5:C777,C777))</f>
        <v/>
      </c>
    </row>
    <row r="778">
      <c r="A778" s="41" t="n"/>
      <c r="B778" s="37" t="n"/>
      <c r="C778" s="37" t="n"/>
      <c r="D778" s="39" t="str">
        <f>IF(C778="","",IFERROR(INDEX(art_des,MATCH(C778,art_ref,0))&amp;"","Référence inconnue"))</f>
        <v/>
      </c>
      <c r="E778" s="37" t="n"/>
      <c r="F778" s="39" t="str">
        <f>IF(C778="","",IFERROR(INDEX(art_unit,MATCH(C778,art_ref,0))&amp;"",""))</f>
        <v/>
      </c>
      <c r="G778" s="37" t="n"/>
      <c r="H778" s="37" t="n"/>
      <c r="I778" s="37" t="n"/>
      <c r="J778" s="40" t="str">
        <f>IF(OR(C778="",NOT(ISNUMBER(E778))),"",IFERROR(E778*N(INDEX(art_price,MATCH(C778,art_ref,0))),""))</f>
        <v/>
      </c>
      <c r="K778" s="39" t="str">
        <f>IF(OR(C778="",NOT(ISNUMBER(E778))),"",IFERROR(ROUND(N(INDEX(art_init,MATCH(C778,art_ref,0)))+SUMIFS($E$5:E778,$C$5:C778,C778,$B$5:B778,"Entrée")-SUMIFS($E$5:E778,$C$5:C778,C778,$B$5:B778,"Sortie"),6),""))</f>
        <v/>
      </c>
      <c r="L778" s="39" t="str">
        <f>IF(COUNTA(A778:C778,E778)=0,"",IF(COUNTA(A778:C778,E778)&lt;4,"Ligne incomplète",IF(NOT(ISNUMBER(A778)),"Date invalide",IF(AND(B778&lt;&gt;"Entrée",B778&lt;&gt;"Sortie"),"Type inconnu",IF(ISNA(MATCH(C778,art_ref,0)),"Référence inconnue",IF(OR(NOT(ISNUMBER(E778)),N(E778)&lt;=0),"Quantité invalide",IF(K778&lt;0,"Stock négatif",IF(AND(ISNUMBER(A777),A778&lt;A777),"Date hors ordre","OK"))))))))</f>
        <v/>
      </c>
      <c r="M778" s="39" t="str">
        <f>IF(C778="","",C778&amp;"#"&amp;COUNTIF($C$5:C778,C778))</f>
        <v/>
      </c>
    </row>
    <row r="779">
      <c r="A779" s="41" t="n"/>
      <c r="B779" s="37" t="n"/>
      <c r="C779" s="37" t="n"/>
      <c r="D779" s="39" t="str">
        <f>IF(C779="","",IFERROR(INDEX(art_des,MATCH(C779,art_ref,0))&amp;"","Référence inconnue"))</f>
        <v/>
      </c>
      <c r="E779" s="37" t="n"/>
      <c r="F779" s="39" t="str">
        <f>IF(C779="","",IFERROR(INDEX(art_unit,MATCH(C779,art_ref,0))&amp;"",""))</f>
        <v/>
      </c>
      <c r="G779" s="37" t="n"/>
      <c r="H779" s="37" t="n"/>
      <c r="I779" s="37" t="n"/>
      <c r="J779" s="40" t="str">
        <f>IF(OR(C779="",NOT(ISNUMBER(E779))),"",IFERROR(E779*N(INDEX(art_price,MATCH(C779,art_ref,0))),""))</f>
        <v/>
      </c>
      <c r="K779" s="39" t="str">
        <f>IF(OR(C779="",NOT(ISNUMBER(E779))),"",IFERROR(ROUND(N(INDEX(art_init,MATCH(C779,art_ref,0)))+SUMIFS($E$5:E779,$C$5:C779,C779,$B$5:B779,"Entrée")-SUMIFS($E$5:E779,$C$5:C779,C779,$B$5:B779,"Sortie"),6),""))</f>
        <v/>
      </c>
      <c r="L779" s="39" t="str">
        <f>IF(COUNTA(A779:C779,E779)=0,"",IF(COUNTA(A779:C779,E779)&lt;4,"Ligne incomplète",IF(NOT(ISNUMBER(A779)),"Date invalide",IF(AND(B779&lt;&gt;"Entrée",B779&lt;&gt;"Sortie"),"Type inconnu",IF(ISNA(MATCH(C779,art_ref,0)),"Référence inconnue",IF(OR(NOT(ISNUMBER(E779)),N(E779)&lt;=0),"Quantité invalide",IF(K779&lt;0,"Stock négatif",IF(AND(ISNUMBER(A778),A779&lt;A778),"Date hors ordre","OK"))))))))</f>
        <v/>
      </c>
      <c r="M779" s="39" t="str">
        <f>IF(C779="","",C779&amp;"#"&amp;COUNTIF($C$5:C779,C779))</f>
        <v/>
      </c>
    </row>
    <row r="780">
      <c r="A780" s="41" t="n"/>
      <c r="B780" s="37" t="n"/>
      <c r="C780" s="37" t="n"/>
      <c r="D780" s="39" t="str">
        <f>IF(C780="","",IFERROR(INDEX(art_des,MATCH(C780,art_ref,0))&amp;"","Référence inconnue"))</f>
        <v/>
      </c>
      <c r="E780" s="37" t="n"/>
      <c r="F780" s="39" t="str">
        <f>IF(C780="","",IFERROR(INDEX(art_unit,MATCH(C780,art_ref,0))&amp;"",""))</f>
        <v/>
      </c>
      <c r="G780" s="37" t="n"/>
      <c r="H780" s="37" t="n"/>
      <c r="I780" s="37" t="n"/>
      <c r="J780" s="40" t="str">
        <f>IF(OR(C780="",NOT(ISNUMBER(E780))),"",IFERROR(E780*N(INDEX(art_price,MATCH(C780,art_ref,0))),""))</f>
        <v/>
      </c>
      <c r="K780" s="39" t="str">
        <f>IF(OR(C780="",NOT(ISNUMBER(E780))),"",IFERROR(ROUND(N(INDEX(art_init,MATCH(C780,art_ref,0)))+SUMIFS($E$5:E780,$C$5:C780,C780,$B$5:B780,"Entrée")-SUMIFS($E$5:E780,$C$5:C780,C780,$B$5:B780,"Sortie"),6),""))</f>
        <v/>
      </c>
      <c r="L780" s="39" t="str">
        <f>IF(COUNTA(A780:C780,E780)=0,"",IF(COUNTA(A780:C780,E780)&lt;4,"Ligne incomplète",IF(NOT(ISNUMBER(A780)),"Date invalide",IF(AND(B780&lt;&gt;"Entrée",B780&lt;&gt;"Sortie"),"Type inconnu",IF(ISNA(MATCH(C780,art_ref,0)),"Référence inconnue",IF(OR(NOT(ISNUMBER(E780)),N(E780)&lt;=0),"Quantité invalide",IF(K780&lt;0,"Stock négatif",IF(AND(ISNUMBER(A779),A780&lt;A779),"Date hors ordre","OK"))))))))</f>
        <v/>
      </c>
      <c r="M780" s="39" t="str">
        <f>IF(C780="","",C780&amp;"#"&amp;COUNTIF($C$5:C780,C780))</f>
        <v/>
      </c>
    </row>
    <row r="781">
      <c r="A781" s="41" t="n"/>
      <c r="B781" s="37" t="n"/>
      <c r="C781" s="37" t="n"/>
      <c r="D781" s="39" t="str">
        <f>IF(C781="","",IFERROR(INDEX(art_des,MATCH(C781,art_ref,0))&amp;"","Référence inconnue"))</f>
        <v/>
      </c>
      <c r="E781" s="37" t="n"/>
      <c r="F781" s="39" t="str">
        <f>IF(C781="","",IFERROR(INDEX(art_unit,MATCH(C781,art_ref,0))&amp;"",""))</f>
        <v/>
      </c>
      <c r="G781" s="37" t="n"/>
      <c r="H781" s="37" t="n"/>
      <c r="I781" s="37" t="n"/>
      <c r="J781" s="40" t="str">
        <f>IF(OR(C781="",NOT(ISNUMBER(E781))),"",IFERROR(E781*N(INDEX(art_price,MATCH(C781,art_ref,0))),""))</f>
        <v/>
      </c>
      <c r="K781" s="39" t="str">
        <f>IF(OR(C781="",NOT(ISNUMBER(E781))),"",IFERROR(ROUND(N(INDEX(art_init,MATCH(C781,art_ref,0)))+SUMIFS($E$5:E781,$C$5:C781,C781,$B$5:B781,"Entrée")-SUMIFS($E$5:E781,$C$5:C781,C781,$B$5:B781,"Sortie"),6),""))</f>
        <v/>
      </c>
      <c r="L781" s="39" t="str">
        <f>IF(COUNTA(A781:C781,E781)=0,"",IF(COUNTA(A781:C781,E781)&lt;4,"Ligne incomplète",IF(NOT(ISNUMBER(A781)),"Date invalide",IF(AND(B781&lt;&gt;"Entrée",B781&lt;&gt;"Sortie"),"Type inconnu",IF(ISNA(MATCH(C781,art_ref,0)),"Référence inconnue",IF(OR(NOT(ISNUMBER(E781)),N(E781)&lt;=0),"Quantité invalide",IF(K781&lt;0,"Stock négatif",IF(AND(ISNUMBER(A780),A781&lt;A780),"Date hors ordre","OK"))))))))</f>
        <v/>
      </c>
      <c r="M781" s="39" t="str">
        <f>IF(C781="","",C781&amp;"#"&amp;COUNTIF($C$5:C781,C781))</f>
        <v/>
      </c>
    </row>
    <row r="782">
      <c r="A782" s="41" t="n"/>
      <c r="B782" s="37" t="n"/>
      <c r="C782" s="37" t="n"/>
      <c r="D782" s="39" t="str">
        <f>IF(C782="","",IFERROR(INDEX(art_des,MATCH(C782,art_ref,0))&amp;"","Référence inconnue"))</f>
        <v/>
      </c>
      <c r="E782" s="37" t="n"/>
      <c r="F782" s="39" t="str">
        <f>IF(C782="","",IFERROR(INDEX(art_unit,MATCH(C782,art_ref,0))&amp;"",""))</f>
        <v/>
      </c>
      <c r="G782" s="37" t="n"/>
      <c r="H782" s="37" t="n"/>
      <c r="I782" s="37" t="n"/>
      <c r="J782" s="40" t="str">
        <f>IF(OR(C782="",NOT(ISNUMBER(E782))),"",IFERROR(E782*N(INDEX(art_price,MATCH(C782,art_ref,0))),""))</f>
        <v/>
      </c>
      <c r="K782" s="39" t="str">
        <f>IF(OR(C782="",NOT(ISNUMBER(E782))),"",IFERROR(ROUND(N(INDEX(art_init,MATCH(C782,art_ref,0)))+SUMIFS($E$5:E782,$C$5:C782,C782,$B$5:B782,"Entrée")-SUMIFS($E$5:E782,$C$5:C782,C782,$B$5:B782,"Sortie"),6),""))</f>
        <v/>
      </c>
      <c r="L782" s="39" t="str">
        <f>IF(COUNTA(A782:C782,E782)=0,"",IF(COUNTA(A782:C782,E782)&lt;4,"Ligne incomplète",IF(NOT(ISNUMBER(A782)),"Date invalide",IF(AND(B782&lt;&gt;"Entrée",B782&lt;&gt;"Sortie"),"Type inconnu",IF(ISNA(MATCH(C782,art_ref,0)),"Référence inconnue",IF(OR(NOT(ISNUMBER(E782)),N(E782)&lt;=0),"Quantité invalide",IF(K782&lt;0,"Stock négatif",IF(AND(ISNUMBER(A781),A782&lt;A781),"Date hors ordre","OK"))))))))</f>
        <v/>
      </c>
      <c r="M782" s="39" t="str">
        <f>IF(C782="","",C782&amp;"#"&amp;COUNTIF($C$5:C782,C782))</f>
        <v/>
      </c>
    </row>
    <row r="783">
      <c r="A783" s="41" t="n"/>
      <c r="B783" s="37" t="n"/>
      <c r="C783" s="37" t="n"/>
      <c r="D783" s="39" t="str">
        <f>IF(C783="","",IFERROR(INDEX(art_des,MATCH(C783,art_ref,0))&amp;"","Référence inconnue"))</f>
        <v/>
      </c>
      <c r="E783" s="37" t="n"/>
      <c r="F783" s="39" t="str">
        <f>IF(C783="","",IFERROR(INDEX(art_unit,MATCH(C783,art_ref,0))&amp;"",""))</f>
        <v/>
      </c>
      <c r="G783" s="37" t="n"/>
      <c r="H783" s="37" t="n"/>
      <c r="I783" s="37" t="n"/>
      <c r="J783" s="40" t="str">
        <f>IF(OR(C783="",NOT(ISNUMBER(E783))),"",IFERROR(E783*N(INDEX(art_price,MATCH(C783,art_ref,0))),""))</f>
        <v/>
      </c>
      <c r="K783" s="39" t="str">
        <f>IF(OR(C783="",NOT(ISNUMBER(E783))),"",IFERROR(ROUND(N(INDEX(art_init,MATCH(C783,art_ref,0)))+SUMIFS($E$5:E783,$C$5:C783,C783,$B$5:B783,"Entrée")-SUMIFS($E$5:E783,$C$5:C783,C783,$B$5:B783,"Sortie"),6),""))</f>
        <v/>
      </c>
      <c r="L783" s="39" t="str">
        <f>IF(COUNTA(A783:C783,E783)=0,"",IF(COUNTA(A783:C783,E783)&lt;4,"Ligne incomplète",IF(NOT(ISNUMBER(A783)),"Date invalide",IF(AND(B783&lt;&gt;"Entrée",B783&lt;&gt;"Sortie"),"Type inconnu",IF(ISNA(MATCH(C783,art_ref,0)),"Référence inconnue",IF(OR(NOT(ISNUMBER(E783)),N(E783)&lt;=0),"Quantité invalide",IF(K783&lt;0,"Stock négatif",IF(AND(ISNUMBER(A782),A783&lt;A782),"Date hors ordre","OK"))))))))</f>
        <v/>
      </c>
      <c r="M783" s="39" t="str">
        <f>IF(C783="","",C783&amp;"#"&amp;COUNTIF($C$5:C783,C783))</f>
        <v/>
      </c>
    </row>
    <row r="784">
      <c r="A784" s="41" t="n"/>
      <c r="B784" s="37" t="n"/>
      <c r="C784" s="37" t="n"/>
      <c r="D784" s="39" t="str">
        <f>IF(C784="","",IFERROR(INDEX(art_des,MATCH(C784,art_ref,0))&amp;"","Référence inconnue"))</f>
        <v/>
      </c>
      <c r="E784" s="37" t="n"/>
      <c r="F784" s="39" t="str">
        <f>IF(C784="","",IFERROR(INDEX(art_unit,MATCH(C784,art_ref,0))&amp;"",""))</f>
        <v/>
      </c>
      <c r="G784" s="37" t="n"/>
      <c r="H784" s="37" t="n"/>
      <c r="I784" s="37" t="n"/>
      <c r="J784" s="40" t="str">
        <f>IF(OR(C784="",NOT(ISNUMBER(E784))),"",IFERROR(E784*N(INDEX(art_price,MATCH(C784,art_ref,0))),""))</f>
        <v/>
      </c>
      <c r="K784" s="39" t="str">
        <f>IF(OR(C784="",NOT(ISNUMBER(E784))),"",IFERROR(ROUND(N(INDEX(art_init,MATCH(C784,art_ref,0)))+SUMIFS($E$5:E784,$C$5:C784,C784,$B$5:B784,"Entrée")-SUMIFS($E$5:E784,$C$5:C784,C784,$B$5:B784,"Sortie"),6),""))</f>
        <v/>
      </c>
      <c r="L784" s="39" t="str">
        <f>IF(COUNTA(A784:C784,E784)=0,"",IF(COUNTA(A784:C784,E784)&lt;4,"Ligne incomplète",IF(NOT(ISNUMBER(A784)),"Date invalide",IF(AND(B784&lt;&gt;"Entrée",B784&lt;&gt;"Sortie"),"Type inconnu",IF(ISNA(MATCH(C784,art_ref,0)),"Référence inconnue",IF(OR(NOT(ISNUMBER(E784)),N(E784)&lt;=0),"Quantité invalide",IF(K784&lt;0,"Stock négatif",IF(AND(ISNUMBER(A783),A784&lt;A783),"Date hors ordre","OK"))))))))</f>
        <v/>
      </c>
      <c r="M784" s="39" t="str">
        <f>IF(C784="","",C784&amp;"#"&amp;COUNTIF($C$5:C784,C784))</f>
        <v/>
      </c>
    </row>
    <row r="785">
      <c r="A785" s="41" t="n"/>
      <c r="B785" s="37" t="n"/>
      <c r="C785" s="37" t="n"/>
      <c r="D785" s="39" t="str">
        <f>IF(C785="","",IFERROR(INDEX(art_des,MATCH(C785,art_ref,0))&amp;"","Référence inconnue"))</f>
        <v/>
      </c>
      <c r="E785" s="37" t="n"/>
      <c r="F785" s="39" t="str">
        <f>IF(C785="","",IFERROR(INDEX(art_unit,MATCH(C785,art_ref,0))&amp;"",""))</f>
        <v/>
      </c>
      <c r="G785" s="37" t="n"/>
      <c r="H785" s="37" t="n"/>
      <c r="I785" s="37" t="n"/>
      <c r="J785" s="40" t="str">
        <f>IF(OR(C785="",NOT(ISNUMBER(E785))),"",IFERROR(E785*N(INDEX(art_price,MATCH(C785,art_ref,0))),""))</f>
        <v/>
      </c>
      <c r="K785" s="39" t="str">
        <f>IF(OR(C785="",NOT(ISNUMBER(E785))),"",IFERROR(ROUND(N(INDEX(art_init,MATCH(C785,art_ref,0)))+SUMIFS($E$5:E785,$C$5:C785,C785,$B$5:B785,"Entrée")-SUMIFS($E$5:E785,$C$5:C785,C785,$B$5:B785,"Sortie"),6),""))</f>
        <v/>
      </c>
      <c r="L785" s="39" t="str">
        <f>IF(COUNTA(A785:C785,E785)=0,"",IF(COUNTA(A785:C785,E785)&lt;4,"Ligne incomplète",IF(NOT(ISNUMBER(A785)),"Date invalide",IF(AND(B785&lt;&gt;"Entrée",B785&lt;&gt;"Sortie"),"Type inconnu",IF(ISNA(MATCH(C785,art_ref,0)),"Référence inconnue",IF(OR(NOT(ISNUMBER(E785)),N(E785)&lt;=0),"Quantité invalide",IF(K785&lt;0,"Stock négatif",IF(AND(ISNUMBER(A784),A785&lt;A784),"Date hors ordre","OK"))))))))</f>
        <v/>
      </c>
      <c r="M785" s="39" t="str">
        <f>IF(C785="","",C785&amp;"#"&amp;COUNTIF($C$5:C785,C785))</f>
        <v/>
      </c>
    </row>
    <row r="786">
      <c r="A786" s="41" t="n"/>
      <c r="B786" s="37" t="n"/>
      <c r="C786" s="37" t="n"/>
      <c r="D786" s="39" t="str">
        <f>IF(C786="","",IFERROR(INDEX(art_des,MATCH(C786,art_ref,0))&amp;"","Référence inconnue"))</f>
        <v/>
      </c>
      <c r="E786" s="37" t="n"/>
      <c r="F786" s="39" t="str">
        <f>IF(C786="","",IFERROR(INDEX(art_unit,MATCH(C786,art_ref,0))&amp;"",""))</f>
        <v/>
      </c>
      <c r="G786" s="37" t="n"/>
      <c r="H786" s="37" t="n"/>
      <c r="I786" s="37" t="n"/>
      <c r="J786" s="40" t="str">
        <f>IF(OR(C786="",NOT(ISNUMBER(E786))),"",IFERROR(E786*N(INDEX(art_price,MATCH(C786,art_ref,0))),""))</f>
        <v/>
      </c>
      <c r="K786" s="39" t="str">
        <f>IF(OR(C786="",NOT(ISNUMBER(E786))),"",IFERROR(ROUND(N(INDEX(art_init,MATCH(C786,art_ref,0)))+SUMIFS($E$5:E786,$C$5:C786,C786,$B$5:B786,"Entrée")-SUMIFS($E$5:E786,$C$5:C786,C786,$B$5:B786,"Sortie"),6),""))</f>
        <v/>
      </c>
      <c r="L786" s="39" t="str">
        <f>IF(COUNTA(A786:C786,E786)=0,"",IF(COUNTA(A786:C786,E786)&lt;4,"Ligne incomplète",IF(NOT(ISNUMBER(A786)),"Date invalide",IF(AND(B786&lt;&gt;"Entrée",B786&lt;&gt;"Sortie"),"Type inconnu",IF(ISNA(MATCH(C786,art_ref,0)),"Référence inconnue",IF(OR(NOT(ISNUMBER(E786)),N(E786)&lt;=0),"Quantité invalide",IF(K786&lt;0,"Stock négatif",IF(AND(ISNUMBER(A785),A786&lt;A785),"Date hors ordre","OK"))))))))</f>
        <v/>
      </c>
      <c r="M786" s="39" t="str">
        <f>IF(C786="","",C786&amp;"#"&amp;COUNTIF($C$5:C786,C786))</f>
        <v/>
      </c>
    </row>
    <row r="787">
      <c r="A787" s="41" t="n"/>
      <c r="B787" s="37" t="n"/>
      <c r="C787" s="37" t="n"/>
      <c r="D787" s="39" t="str">
        <f>IF(C787="","",IFERROR(INDEX(art_des,MATCH(C787,art_ref,0))&amp;"","Référence inconnue"))</f>
        <v/>
      </c>
      <c r="E787" s="37" t="n"/>
      <c r="F787" s="39" t="str">
        <f>IF(C787="","",IFERROR(INDEX(art_unit,MATCH(C787,art_ref,0))&amp;"",""))</f>
        <v/>
      </c>
      <c r="G787" s="37" t="n"/>
      <c r="H787" s="37" t="n"/>
      <c r="I787" s="37" t="n"/>
      <c r="J787" s="40" t="str">
        <f>IF(OR(C787="",NOT(ISNUMBER(E787))),"",IFERROR(E787*N(INDEX(art_price,MATCH(C787,art_ref,0))),""))</f>
        <v/>
      </c>
      <c r="K787" s="39" t="str">
        <f>IF(OR(C787="",NOT(ISNUMBER(E787))),"",IFERROR(ROUND(N(INDEX(art_init,MATCH(C787,art_ref,0)))+SUMIFS($E$5:E787,$C$5:C787,C787,$B$5:B787,"Entrée")-SUMIFS($E$5:E787,$C$5:C787,C787,$B$5:B787,"Sortie"),6),""))</f>
        <v/>
      </c>
      <c r="L787" s="39" t="str">
        <f>IF(COUNTA(A787:C787,E787)=0,"",IF(COUNTA(A787:C787,E787)&lt;4,"Ligne incomplète",IF(NOT(ISNUMBER(A787)),"Date invalide",IF(AND(B787&lt;&gt;"Entrée",B787&lt;&gt;"Sortie"),"Type inconnu",IF(ISNA(MATCH(C787,art_ref,0)),"Référence inconnue",IF(OR(NOT(ISNUMBER(E787)),N(E787)&lt;=0),"Quantité invalide",IF(K787&lt;0,"Stock négatif",IF(AND(ISNUMBER(A786),A787&lt;A786),"Date hors ordre","OK"))))))))</f>
        <v/>
      </c>
      <c r="M787" s="39" t="str">
        <f>IF(C787="","",C787&amp;"#"&amp;COUNTIF($C$5:C787,C787))</f>
        <v/>
      </c>
    </row>
    <row r="788">
      <c r="A788" s="41" t="n"/>
      <c r="B788" s="37" t="n"/>
      <c r="C788" s="37" t="n"/>
      <c r="D788" s="39" t="str">
        <f>IF(C788="","",IFERROR(INDEX(art_des,MATCH(C788,art_ref,0))&amp;"","Référence inconnue"))</f>
        <v/>
      </c>
      <c r="E788" s="37" t="n"/>
      <c r="F788" s="39" t="str">
        <f>IF(C788="","",IFERROR(INDEX(art_unit,MATCH(C788,art_ref,0))&amp;"",""))</f>
        <v/>
      </c>
      <c r="G788" s="37" t="n"/>
      <c r="H788" s="37" t="n"/>
      <c r="I788" s="37" t="n"/>
      <c r="J788" s="40" t="str">
        <f>IF(OR(C788="",NOT(ISNUMBER(E788))),"",IFERROR(E788*N(INDEX(art_price,MATCH(C788,art_ref,0))),""))</f>
        <v/>
      </c>
      <c r="K788" s="39" t="str">
        <f>IF(OR(C788="",NOT(ISNUMBER(E788))),"",IFERROR(ROUND(N(INDEX(art_init,MATCH(C788,art_ref,0)))+SUMIFS($E$5:E788,$C$5:C788,C788,$B$5:B788,"Entrée")-SUMIFS($E$5:E788,$C$5:C788,C788,$B$5:B788,"Sortie"),6),""))</f>
        <v/>
      </c>
      <c r="L788" s="39" t="str">
        <f>IF(COUNTA(A788:C788,E788)=0,"",IF(COUNTA(A788:C788,E788)&lt;4,"Ligne incomplète",IF(NOT(ISNUMBER(A788)),"Date invalide",IF(AND(B788&lt;&gt;"Entrée",B788&lt;&gt;"Sortie"),"Type inconnu",IF(ISNA(MATCH(C788,art_ref,0)),"Référence inconnue",IF(OR(NOT(ISNUMBER(E788)),N(E788)&lt;=0),"Quantité invalide",IF(K788&lt;0,"Stock négatif",IF(AND(ISNUMBER(A787),A788&lt;A787),"Date hors ordre","OK"))))))))</f>
        <v/>
      </c>
      <c r="M788" s="39" t="str">
        <f>IF(C788="","",C788&amp;"#"&amp;COUNTIF($C$5:C788,C788))</f>
        <v/>
      </c>
    </row>
    <row r="789">
      <c r="A789" s="41" t="n"/>
      <c r="B789" s="37" t="n"/>
      <c r="C789" s="37" t="n"/>
      <c r="D789" s="39" t="str">
        <f>IF(C789="","",IFERROR(INDEX(art_des,MATCH(C789,art_ref,0))&amp;"","Référence inconnue"))</f>
        <v/>
      </c>
      <c r="E789" s="37" t="n"/>
      <c r="F789" s="39" t="str">
        <f>IF(C789="","",IFERROR(INDEX(art_unit,MATCH(C789,art_ref,0))&amp;"",""))</f>
        <v/>
      </c>
      <c r="G789" s="37" t="n"/>
      <c r="H789" s="37" t="n"/>
      <c r="I789" s="37" t="n"/>
      <c r="J789" s="40" t="str">
        <f>IF(OR(C789="",NOT(ISNUMBER(E789))),"",IFERROR(E789*N(INDEX(art_price,MATCH(C789,art_ref,0))),""))</f>
        <v/>
      </c>
      <c r="K789" s="39" t="str">
        <f>IF(OR(C789="",NOT(ISNUMBER(E789))),"",IFERROR(ROUND(N(INDEX(art_init,MATCH(C789,art_ref,0)))+SUMIFS($E$5:E789,$C$5:C789,C789,$B$5:B789,"Entrée")-SUMIFS($E$5:E789,$C$5:C789,C789,$B$5:B789,"Sortie"),6),""))</f>
        <v/>
      </c>
      <c r="L789" s="39" t="str">
        <f>IF(COUNTA(A789:C789,E789)=0,"",IF(COUNTA(A789:C789,E789)&lt;4,"Ligne incomplète",IF(NOT(ISNUMBER(A789)),"Date invalide",IF(AND(B789&lt;&gt;"Entrée",B789&lt;&gt;"Sortie"),"Type inconnu",IF(ISNA(MATCH(C789,art_ref,0)),"Référence inconnue",IF(OR(NOT(ISNUMBER(E789)),N(E789)&lt;=0),"Quantité invalide",IF(K789&lt;0,"Stock négatif",IF(AND(ISNUMBER(A788),A789&lt;A788),"Date hors ordre","OK"))))))))</f>
        <v/>
      </c>
      <c r="M789" s="39" t="str">
        <f>IF(C789="","",C789&amp;"#"&amp;COUNTIF($C$5:C789,C789))</f>
        <v/>
      </c>
    </row>
    <row r="790">
      <c r="A790" s="41" t="n"/>
      <c r="B790" s="37" t="n"/>
      <c r="C790" s="37" t="n"/>
      <c r="D790" s="39" t="str">
        <f>IF(C790="","",IFERROR(INDEX(art_des,MATCH(C790,art_ref,0))&amp;"","Référence inconnue"))</f>
        <v/>
      </c>
      <c r="E790" s="37" t="n"/>
      <c r="F790" s="39" t="str">
        <f>IF(C790="","",IFERROR(INDEX(art_unit,MATCH(C790,art_ref,0))&amp;"",""))</f>
        <v/>
      </c>
      <c r="G790" s="37" t="n"/>
      <c r="H790" s="37" t="n"/>
      <c r="I790" s="37" t="n"/>
      <c r="J790" s="40" t="str">
        <f>IF(OR(C790="",NOT(ISNUMBER(E790))),"",IFERROR(E790*N(INDEX(art_price,MATCH(C790,art_ref,0))),""))</f>
        <v/>
      </c>
      <c r="K790" s="39" t="str">
        <f>IF(OR(C790="",NOT(ISNUMBER(E790))),"",IFERROR(ROUND(N(INDEX(art_init,MATCH(C790,art_ref,0)))+SUMIFS($E$5:E790,$C$5:C790,C790,$B$5:B790,"Entrée")-SUMIFS($E$5:E790,$C$5:C790,C790,$B$5:B790,"Sortie"),6),""))</f>
        <v/>
      </c>
      <c r="L790" s="39" t="str">
        <f>IF(COUNTA(A790:C790,E790)=0,"",IF(COUNTA(A790:C790,E790)&lt;4,"Ligne incomplète",IF(NOT(ISNUMBER(A790)),"Date invalide",IF(AND(B790&lt;&gt;"Entrée",B790&lt;&gt;"Sortie"),"Type inconnu",IF(ISNA(MATCH(C790,art_ref,0)),"Référence inconnue",IF(OR(NOT(ISNUMBER(E790)),N(E790)&lt;=0),"Quantité invalide",IF(K790&lt;0,"Stock négatif",IF(AND(ISNUMBER(A789),A790&lt;A789),"Date hors ordre","OK"))))))))</f>
        <v/>
      </c>
      <c r="M790" s="39" t="str">
        <f>IF(C790="","",C790&amp;"#"&amp;COUNTIF($C$5:C790,C790))</f>
        <v/>
      </c>
    </row>
    <row r="791">
      <c r="A791" s="41" t="n"/>
      <c r="B791" s="37" t="n"/>
      <c r="C791" s="37" t="n"/>
      <c r="D791" s="39" t="str">
        <f>IF(C791="","",IFERROR(INDEX(art_des,MATCH(C791,art_ref,0))&amp;"","Référence inconnue"))</f>
        <v/>
      </c>
      <c r="E791" s="37" t="n"/>
      <c r="F791" s="39" t="str">
        <f>IF(C791="","",IFERROR(INDEX(art_unit,MATCH(C791,art_ref,0))&amp;"",""))</f>
        <v/>
      </c>
      <c r="G791" s="37" t="n"/>
      <c r="H791" s="37" t="n"/>
      <c r="I791" s="37" t="n"/>
      <c r="J791" s="40" t="str">
        <f>IF(OR(C791="",NOT(ISNUMBER(E791))),"",IFERROR(E791*N(INDEX(art_price,MATCH(C791,art_ref,0))),""))</f>
        <v/>
      </c>
      <c r="K791" s="39" t="str">
        <f>IF(OR(C791="",NOT(ISNUMBER(E791))),"",IFERROR(ROUND(N(INDEX(art_init,MATCH(C791,art_ref,0)))+SUMIFS($E$5:E791,$C$5:C791,C791,$B$5:B791,"Entrée")-SUMIFS($E$5:E791,$C$5:C791,C791,$B$5:B791,"Sortie"),6),""))</f>
        <v/>
      </c>
      <c r="L791" s="39" t="str">
        <f>IF(COUNTA(A791:C791,E791)=0,"",IF(COUNTA(A791:C791,E791)&lt;4,"Ligne incomplète",IF(NOT(ISNUMBER(A791)),"Date invalide",IF(AND(B791&lt;&gt;"Entrée",B791&lt;&gt;"Sortie"),"Type inconnu",IF(ISNA(MATCH(C791,art_ref,0)),"Référence inconnue",IF(OR(NOT(ISNUMBER(E791)),N(E791)&lt;=0),"Quantité invalide",IF(K791&lt;0,"Stock négatif",IF(AND(ISNUMBER(A790),A791&lt;A790),"Date hors ordre","OK"))))))))</f>
        <v/>
      </c>
      <c r="M791" s="39" t="str">
        <f>IF(C791="","",C791&amp;"#"&amp;COUNTIF($C$5:C791,C791))</f>
        <v/>
      </c>
    </row>
    <row r="792">
      <c r="A792" s="41" t="n"/>
      <c r="B792" s="37" t="n"/>
      <c r="C792" s="37" t="n"/>
      <c r="D792" s="39" t="str">
        <f>IF(C792="","",IFERROR(INDEX(art_des,MATCH(C792,art_ref,0))&amp;"","Référence inconnue"))</f>
        <v/>
      </c>
      <c r="E792" s="37" t="n"/>
      <c r="F792" s="39" t="str">
        <f>IF(C792="","",IFERROR(INDEX(art_unit,MATCH(C792,art_ref,0))&amp;"",""))</f>
        <v/>
      </c>
      <c r="G792" s="37" t="n"/>
      <c r="H792" s="37" t="n"/>
      <c r="I792" s="37" t="n"/>
      <c r="J792" s="40" t="str">
        <f>IF(OR(C792="",NOT(ISNUMBER(E792))),"",IFERROR(E792*N(INDEX(art_price,MATCH(C792,art_ref,0))),""))</f>
        <v/>
      </c>
      <c r="K792" s="39" t="str">
        <f>IF(OR(C792="",NOT(ISNUMBER(E792))),"",IFERROR(ROUND(N(INDEX(art_init,MATCH(C792,art_ref,0)))+SUMIFS($E$5:E792,$C$5:C792,C792,$B$5:B792,"Entrée")-SUMIFS($E$5:E792,$C$5:C792,C792,$B$5:B792,"Sortie"),6),""))</f>
        <v/>
      </c>
      <c r="L792" s="39" t="str">
        <f>IF(COUNTA(A792:C792,E792)=0,"",IF(COUNTA(A792:C792,E792)&lt;4,"Ligne incomplète",IF(NOT(ISNUMBER(A792)),"Date invalide",IF(AND(B792&lt;&gt;"Entrée",B792&lt;&gt;"Sortie"),"Type inconnu",IF(ISNA(MATCH(C792,art_ref,0)),"Référence inconnue",IF(OR(NOT(ISNUMBER(E792)),N(E792)&lt;=0),"Quantité invalide",IF(K792&lt;0,"Stock négatif",IF(AND(ISNUMBER(A791),A792&lt;A791),"Date hors ordre","OK"))))))))</f>
        <v/>
      </c>
      <c r="M792" s="39" t="str">
        <f>IF(C792="","",C792&amp;"#"&amp;COUNTIF($C$5:C792,C792))</f>
        <v/>
      </c>
    </row>
    <row r="793">
      <c r="A793" s="41" t="n"/>
      <c r="B793" s="37" t="n"/>
      <c r="C793" s="37" t="n"/>
      <c r="D793" s="39" t="str">
        <f>IF(C793="","",IFERROR(INDEX(art_des,MATCH(C793,art_ref,0))&amp;"","Référence inconnue"))</f>
        <v/>
      </c>
      <c r="E793" s="37" t="n"/>
      <c r="F793" s="39" t="str">
        <f>IF(C793="","",IFERROR(INDEX(art_unit,MATCH(C793,art_ref,0))&amp;"",""))</f>
        <v/>
      </c>
      <c r="G793" s="37" t="n"/>
      <c r="H793" s="37" t="n"/>
      <c r="I793" s="37" t="n"/>
      <c r="J793" s="40" t="str">
        <f>IF(OR(C793="",NOT(ISNUMBER(E793))),"",IFERROR(E793*N(INDEX(art_price,MATCH(C793,art_ref,0))),""))</f>
        <v/>
      </c>
      <c r="K793" s="39" t="str">
        <f>IF(OR(C793="",NOT(ISNUMBER(E793))),"",IFERROR(ROUND(N(INDEX(art_init,MATCH(C793,art_ref,0)))+SUMIFS($E$5:E793,$C$5:C793,C793,$B$5:B793,"Entrée")-SUMIFS($E$5:E793,$C$5:C793,C793,$B$5:B793,"Sortie"),6),""))</f>
        <v/>
      </c>
      <c r="L793" s="39" t="str">
        <f>IF(COUNTA(A793:C793,E793)=0,"",IF(COUNTA(A793:C793,E793)&lt;4,"Ligne incomplète",IF(NOT(ISNUMBER(A793)),"Date invalide",IF(AND(B793&lt;&gt;"Entrée",B793&lt;&gt;"Sortie"),"Type inconnu",IF(ISNA(MATCH(C793,art_ref,0)),"Référence inconnue",IF(OR(NOT(ISNUMBER(E793)),N(E793)&lt;=0),"Quantité invalide",IF(K793&lt;0,"Stock négatif",IF(AND(ISNUMBER(A792),A793&lt;A792),"Date hors ordre","OK"))))))))</f>
        <v/>
      </c>
      <c r="M793" s="39" t="str">
        <f>IF(C793="","",C793&amp;"#"&amp;COUNTIF($C$5:C793,C793))</f>
        <v/>
      </c>
    </row>
    <row r="794">
      <c r="A794" s="41" t="n"/>
      <c r="B794" s="37" t="n"/>
      <c r="C794" s="37" t="n"/>
      <c r="D794" s="39" t="str">
        <f>IF(C794="","",IFERROR(INDEX(art_des,MATCH(C794,art_ref,0))&amp;"","Référence inconnue"))</f>
        <v/>
      </c>
      <c r="E794" s="37" t="n"/>
      <c r="F794" s="39" t="str">
        <f>IF(C794="","",IFERROR(INDEX(art_unit,MATCH(C794,art_ref,0))&amp;"",""))</f>
        <v/>
      </c>
      <c r="G794" s="37" t="n"/>
      <c r="H794" s="37" t="n"/>
      <c r="I794" s="37" t="n"/>
      <c r="J794" s="40" t="str">
        <f>IF(OR(C794="",NOT(ISNUMBER(E794))),"",IFERROR(E794*N(INDEX(art_price,MATCH(C794,art_ref,0))),""))</f>
        <v/>
      </c>
      <c r="K794" s="39" t="str">
        <f>IF(OR(C794="",NOT(ISNUMBER(E794))),"",IFERROR(ROUND(N(INDEX(art_init,MATCH(C794,art_ref,0)))+SUMIFS($E$5:E794,$C$5:C794,C794,$B$5:B794,"Entrée")-SUMIFS($E$5:E794,$C$5:C794,C794,$B$5:B794,"Sortie"),6),""))</f>
        <v/>
      </c>
      <c r="L794" s="39" t="str">
        <f>IF(COUNTA(A794:C794,E794)=0,"",IF(COUNTA(A794:C794,E794)&lt;4,"Ligne incomplète",IF(NOT(ISNUMBER(A794)),"Date invalide",IF(AND(B794&lt;&gt;"Entrée",B794&lt;&gt;"Sortie"),"Type inconnu",IF(ISNA(MATCH(C794,art_ref,0)),"Référence inconnue",IF(OR(NOT(ISNUMBER(E794)),N(E794)&lt;=0),"Quantité invalide",IF(K794&lt;0,"Stock négatif",IF(AND(ISNUMBER(A793),A794&lt;A793),"Date hors ordre","OK"))))))))</f>
        <v/>
      </c>
      <c r="M794" s="39" t="str">
        <f>IF(C794="","",C794&amp;"#"&amp;COUNTIF($C$5:C794,C794))</f>
        <v/>
      </c>
    </row>
    <row r="795">
      <c r="A795" s="41" t="n"/>
      <c r="B795" s="37" t="n"/>
      <c r="C795" s="37" t="n"/>
      <c r="D795" s="39" t="str">
        <f>IF(C795="","",IFERROR(INDEX(art_des,MATCH(C795,art_ref,0))&amp;"","Référence inconnue"))</f>
        <v/>
      </c>
      <c r="E795" s="37" t="n"/>
      <c r="F795" s="39" t="str">
        <f>IF(C795="","",IFERROR(INDEX(art_unit,MATCH(C795,art_ref,0))&amp;"",""))</f>
        <v/>
      </c>
      <c r="G795" s="37" t="n"/>
      <c r="H795" s="37" t="n"/>
      <c r="I795" s="37" t="n"/>
      <c r="J795" s="40" t="str">
        <f>IF(OR(C795="",NOT(ISNUMBER(E795))),"",IFERROR(E795*N(INDEX(art_price,MATCH(C795,art_ref,0))),""))</f>
        <v/>
      </c>
      <c r="K795" s="39" t="str">
        <f>IF(OR(C795="",NOT(ISNUMBER(E795))),"",IFERROR(ROUND(N(INDEX(art_init,MATCH(C795,art_ref,0)))+SUMIFS($E$5:E795,$C$5:C795,C795,$B$5:B795,"Entrée")-SUMIFS($E$5:E795,$C$5:C795,C795,$B$5:B795,"Sortie"),6),""))</f>
        <v/>
      </c>
      <c r="L795" s="39" t="str">
        <f>IF(COUNTA(A795:C795,E795)=0,"",IF(COUNTA(A795:C795,E795)&lt;4,"Ligne incomplète",IF(NOT(ISNUMBER(A795)),"Date invalide",IF(AND(B795&lt;&gt;"Entrée",B795&lt;&gt;"Sortie"),"Type inconnu",IF(ISNA(MATCH(C795,art_ref,0)),"Référence inconnue",IF(OR(NOT(ISNUMBER(E795)),N(E795)&lt;=0),"Quantité invalide",IF(K795&lt;0,"Stock négatif",IF(AND(ISNUMBER(A794),A795&lt;A794),"Date hors ordre","OK"))))))))</f>
        <v/>
      </c>
      <c r="M795" s="39" t="str">
        <f>IF(C795="","",C795&amp;"#"&amp;COUNTIF($C$5:C795,C795))</f>
        <v/>
      </c>
    </row>
    <row r="796">
      <c r="A796" s="41" t="n"/>
      <c r="B796" s="37" t="n"/>
      <c r="C796" s="37" t="n"/>
      <c r="D796" s="39" t="str">
        <f>IF(C796="","",IFERROR(INDEX(art_des,MATCH(C796,art_ref,0))&amp;"","Référence inconnue"))</f>
        <v/>
      </c>
      <c r="E796" s="37" t="n"/>
      <c r="F796" s="39" t="str">
        <f>IF(C796="","",IFERROR(INDEX(art_unit,MATCH(C796,art_ref,0))&amp;"",""))</f>
        <v/>
      </c>
      <c r="G796" s="37" t="n"/>
      <c r="H796" s="37" t="n"/>
      <c r="I796" s="37" t="n"/>
      <c r="J796" s="40" t="str">
        <f>IF(OR(C796="",NOT(ISNUMBER(E796))),"",IFERROR(E796*N(INDEX(art_price,MATCH(C796,art_ref,0))),""))</f>
        <v/>
      </c>
      <c r="K796" s="39" t="str">
        <f>IF(OR(C796="",NOT(ISNUMBER(E796))),"",IFERROR(ROUND(N(INDEX(art_init,MATCH(C796,art_ref,0)))+SUMIFS($E$5:E796,$C$5:C796,C796,$B$5:B796,"Entrée")-SUMIFS($E$5:E796,$C$5:C796,C796,$B$5:B796,"Sortie"),6),""))</f>
        <v/>
      </c>
      <c r="L796" s="39" t="str">
        <f>IF(COUNTA(A796:C796,E796)=0,"",IF(COUNTA(A796:C796,E796)&lt;4,"Ligne incomplète",IF(NOT(ISNUMBER(A796)),"Date invalide",IF(AND(B796&lt;&gt;"Entrée",B796&lt;&gt;"Sortie"),"Type inconnu",IF(ISNA(MATCH(C796,art_ref,0)),"Référence inconnue",IF(OR(NOT(ISNUMBER(E796)),N(E796)&lt;=0),"Quantité invalide",IF(K796&lt;0,"Stock négatif",IF(AND(ISNUMBER(A795),A796&lt;A795),"Date hors ordre","OK"))))))))</f>
        <v/>
      </c>
      <c r="M796" s="39" t="str">
        <f>IF(C796="","",C796&amp;"#"&amp;COUNTIF($C$5:C796,C796))</f>
        <v/>
      </c>
    </row>
    <row r="797">
      <c r="A797" s="41" t="n"/>
      <c r="B797" s="37" t="n"/>
      <c r="C797" s="37" t="n"/>
      <c r="D797" s="39" t="str">
        <f>IF(C797="","",IFERROR(INDEX(art_des,MATCH(C797,art_ref,0))&amp;"","Référence inconnue"))</f>
        <v/>
      </c>
      <c r="E797" s="37" t="n"/>
      <c r="F797" s="39" t="str">
        <f>IF(C797="","",IFERROR(INDEX(art_unit,MATCH(C797,art_ref,0))&amp;"",""))</f>
        <v/>
      </c>
      <c r="G797" s="37" t="n"/>
      <c r="H797" s="37" t="n"/>
      <c r="I797" s="37" t="n"/>
      <c r="J797" s="40" t="str">
        <f>IF(OR(C797="",NOT(ISNUMBER(E797))),"",IFERROR(E797*N(INDEX(art_price,MATCH(C797,art_ref,0))),""))</f>
        <v/>
      </c>
      <c r="K797" s="39" t="str">
        <f>IF(OR(C797="",NOT(ISNUMBER(E797))),"",IFERROR(ROUND(N(INDEX(art_init,MATCH(C797,art_ref,0)))+SUMIFS($E$5:E797,$C$5:C797,C797,$B$5:B797,"Entrée")-SUMIFS($E$5:E797,$C$5:C797,C797,$B$5:B797,"Sortie"),6),""))</f>
        <v/>
      </c>
      <c r="L797" s="39" t="str">
        <f>IF(COUNTA(A797:C797,E797)=0,"",IF(COUNTA(A797:C797,E797)&lt;4,"Ligne incomplète",IF(NOT(ISNUMBER(A797)),"Date invalide",IF(AND(B797&lt;&gt;"Entrée",B797&lt;&gt;"Sortie"),"Type inconnu",IF(ISNA(MATCH(C797,art_ref,0)),"Référence inconnue",IF(OR(NOT(ISNUMBER(E797)),N(E797)&lt;=0),"Quantité invalide",IF(K797&lt;0,"Stock négatif",IF(AND(ISNUMBER(A796),A797&lt;A796),"Date hors ordre","OK"))))))))</f>
        <v/>
      </c>
      <c r="M797" s="39" t="str">
        <f>IF(C797="","",C797&amp;"#"&amp;COUNTIF($C$5:C797,C797))</f>
        <v/>
      </c>
    </row>
    <row r="798">
      <c r="A798" s="41" t="n"/>
      <c r="B798" s="37" t="n"/>
      <c r="C798" s="37" t="n"/>
      <c r="D798" s="39" t="str">
        <f>IF(C798="","",IFERROR(INDEX(art_des,MATCH(C798,art_ref,0))&amp;"","Référence inconnue"))</f>
        <v/>
      </c>
      <c r="E798" s="37" t="n"/>
      <c r="F798" s="39" t="str">
        <f>IF(C798="","",IFERROR(INDEX(art_unit,MATCH(C798,art_ref,0))&amp;"",""))</f>
        <v/>
      </c>
      <c r="G798" s="37" t="n"/>
      <c r="H798" s="37" t="n"/>
      <c r="I798" s="37" t="n"/>
      <c r="J798" s="40" t="str">
        <f>IF(OR(C798="",NOT(ISNUMBER(E798))),"",IFERROR(E798*N(INDEX(art_price,MATCH(C798,art_ref,0))),""))</f>
        <v/>
      </c>
      <c r="K798" s="39" t="str">
        <f>IF(OR(C798="",NOT(ISNUMBER(E798))),"",IFERROR(ROUND(N(INDEX(art_init,MATCH(C798,art_ref,0)))+SUMIFS($E$5:E798,$C$5:C798,C798,$B$5:B798,"Entrée")-SUMIFS($E$5:E798,$C$5:C798,C798,$B$5:B798,"Sortie"),6),""))</f>
        <v/>
      </c>
      <c r="L798" s="39" t="str">
        <f>IF(COUNTA(A798:C798,E798)=0,"",IF(COUNTA(A798:C798,E798)&lt;4,"Ligne incomplète",IF(NOT(ISNUMBER(A798)),"Date invalide",IF(AND(B798&lt;&gt;"Entrée",B798&lt;&gt;"Sortie"),"Type inconnu",IF(ISNA(MATCH(C798,art_ref,0)),"Référence inconnue",IF(OR(NOT(ISNUMBER(E798)),N(E798)&lt;=0),"Quantité invalide",IF(K798&lt;0,"Stock négatif",IF(AND(ISNUMBER(A797),A798&lt;A797),"Date hors ordre","OK"))))))))</f>
        <v/>
      </c>
      <c r="M798" s="39" t="str">
        <f>IF(C798="","",C798&amp;"#"&amp;COUNTIF($C$5:C798,C798))</f>
        <v/>
      </c>
    </row>
    <row r="799">
      <c r="A799" s="41" t="n"/>
      <c r="B799" s="37" t="n"/>
      <c r="C799" s="37" t="n"/>
      <c r="D799" s="39" t="str">
        <f>IF(C799="","",IFERROR(INDEX(art_des,MATCH(C799,art_ref,0))&amp;"","Référence inconnue"))</f>
        <v/>
      </c>
      <c r="E799" s="37" t="n"/>
      <c r="F799" s="39" t="str">
        <f>IF(C799="","",IFERROR(INDEX(art_unit,MATCH(C799,art_ref,0))&amp;"",""))</f>
        <v/>
      </c>
      <c r="G799" s="37" t="n"/>
      <c r="H799" s="37" t="n"/>
      <c r="I799" s="37" t="n"/>
      <c r="J799" s="40" t="str">
        <f>IF(OR(C799="",NOT(ISNUMBER(E799))),"",IFERROR(E799*N(INDEX(art_price,MATCH(C799,art_ref,0))),""))</f>
        <v/>
      </c>
      <c r="K799" s="39" t="str">
        <f>IF(OR(C799="",NOT(ISNUMBER(E799))),"",IFERROR(ROUND(N(INDEX(art_init,MATCH(C799,art_ref,0)))+SUMIFS($E$5:E799,$C$5:C799,C799,$B$5:B799,"Entrée")-SUMIFS($E$5:E799,$C$5:C799,C799,$B$5:B799,"Sortie"),6),""))</f>
        <v/>
      </c>
      <c r="L799" s="39" t="str">
        <f>IF(COUNTA(A799:C799,E799)=0,"",IF(COUNTA(A799:C799,E799)&lt;4,"Ligne incomplète",IF(NOT(ISNUMBER(A799)),"Date invalide",IF(AND(B799&lt;&gt;"Entrée",B799&lt;&gt;"Sortie"),"Type inconnu",IF(ISNA(MATCH(C799,art_ref,0)),"Référence inconnue",IF(OR(NOT(ISNUMBER(E799)),N(E799)&lt;=0),"Quantité invalide",IF(K799&lt;0,"Stock négatif",IF(AND(ISNUMBER(A798),A799&lt;A798),"Date hors ordre","OK"))))))))</f>
        <v/>
      </c>
      <c r="M799" s="39" t="str">
        <f>IF(C799="","",C799&amp;"#"&amp;COUNTIF($C$5:C799,C799))</f>
        <v/>
      </c>
    </row>
    <row r="800">
      <c r="A800" s="41" t="n"/>
      <c r="B800" s="37" t="n"/>
      <c r="C800" s="37" t="n"/>
      <c r="D800" s="39" t="str">
        <f>IF(C800="","",IFERROR(INDEX(art_des,MATCH(C800,art_ref,0))&amp;"","Référence inconnue"))</f>
        <v/>
      </c>
      <c r="E800" s="37" t="n"/>
      <c r="F800" s="39" t="str">
        <f>IF(C800="","",IFERROR(INDEX(art_unit,MATCH(C800,art_ref,0))&amp;"",""))</f>
        <v/>
      </c>
      <c r="G800" s="37" t="n"/>
      <c r="H800" s="37" t="n"/>
      <c r="I800" s="37" t="n"/>
      <c r="J800" s="40" t="str">
        <f>IF(OR(C800="",NOT(ISNUMBER(E800))),"",IFERROR(E800*N(INDEX(art_price,MATCH(C800,art_ref,0))),""))</f>
        <v/>
      </c>
      <c r="K800" s="39" t="str">
        <f>IF(OR(C800="",NOT(ISNUMBER(E800))),"",IFERROR(ROUND(N(INDEX(art_init,MATCH(C800,art_ref,0)))+SUMIFS($E$5:E800,$C$5:C800,C800,$B$5:B800,"Entrée")-SUMIFS($E$5:E800,$C$5:C800,C800,$B$5:B800,"Sortie"),6),""))</f>
        <v/>
      </c>
      <c r="L800" s="39" t="str">
        <f>IF(COUNTA(A800:C800,E800)=0,"",IF(COUNTA(A800:C800,E800)&lt;4,"Ligne incomplète",IF(NOT(ISNUMBER(A800)),"Date invalide",IF(AND(B800&lt;&gt;"Entrée",B800&lt;&gt;"Sortie"),"Type inconnu",IF(ISNA(MATCH(C800,art_ref,0)),"Référence inconnue",IF(OR(NOT(ISNUMBER(E800)),N(E800)&lt;=0),"Quantité invalide",IF(K800&lt;0,"Stock négatif",IF(AND(ISNUMBER(A799),A800&lt;A799),"Date hors ordre","OK"))))))))</f>
        <v/>
      </c>
      <c r="M800" s="39" t="str">
        <f>IF(C800="","",C800&amp;"#"&amp;COUNTIF($C$5:C800,C800))</f>
        <v/>
      </c>
    </row>
    <row r="801">
      <c r="A801" s="41" t="n"/>
      <c r="B801" s="37" t="n"/>
      <c r="C801" s="37" t="n"/>
      <c r="D801" s="39" t="str">
        <f>IF(C801="","",IFERROR(INDEX(art_des,MATCH(C801,art_ref,0))&amp;"","Référence inconnue"))</f>
        <v/>
      </c>
      <c r="E801" s="37" t="n"/>
      <c r="F801" s="39" t="str">
        <f>IF(C801="","",IFERROR(INDEX(art_unit,MATCH(C801,art_ref,0))&amp;"",""))</f>
        <v/>
      </c>
      <c r="G801" s="37" t="n"/>
      <c r="H801" s="37" t="n"/>
      <c r="I801" s="37" t="n"/>
      <c r="J801" s="40" t="str">
        <f>IF(OR(C801="",NOT(ISNUMBER(E801))),"",IFERROR(E801*N(INDEX(art_price,MATCH(C801,art_ref,0))),""))</f>
        <v/>
      </c>
      <c r="K801" s="39" t="str">
        <f>IF(OR(C801="",NOT(ISNUMBER(E801))),"",IFERROR(ROUND(N(INDEX(art_init,MATCH(C801,art_ref,0)))+SUMIFS($E$5:E801,$C$5:C801,C801,$B$5:B801,"Entrée")-SUMIFS($E$5:E801,$C$5:C801,C801,$B$5:B801,"Sortie"),6),""))</f>
        <v/>
      </c>
      <c r="L801" s="39" t="str">
        <f>IF(COUNTA(A801:C801,E801)=0,"",IF(COUNTA(A801:C801,E801)&lt;4,"Ligne incomplète",IF(NOT(ISNUMBER(A801)),"Date invalide",IF(AND(B801&lt;&gt;"Entrée",B801&lt;&gt;"Sortie"),"Type inconnu",IF(ISNA(MATCH(C801,art_ref,0)),"Référence inconnue",IF(OR(NOT(ISNUMBER(E801)),N(E801)&lt;=0),"Quantité invalide",IF(K801&lt;0,"Stock négatif",IF(AND(ISNUMBER(A800),A801&lt;A800),"Date hors ordre","OK"))))))))</f>
        <v/>
      </c>
      <c r="M801" s="39" t="str">
        <f>IF(C801="","",C801&amp;"#"&amp;COUNTIF($C$5:C801,C801))</f>
        <v/>
      </c>
    </row>
    <row r="802">
      <c r="A802" s="41" t="n"/>
      <c r="B802" s="37" t="n"/>
      <c r="C802" s="37" t="n"/>
      <c r="D802" s="39" t="str">
        <f>IF(C802="","",IFERROR(INDEX(art_des,MATCH(C802,art_ref,0))&amp;"","Référence inconnue"))</f>
        <v/>
      </c>
      <c r="E802" s="37" t="n"/>
      <c r="F802" s="39" t="str">
        <f>IF(C802="","",IFERROR(INDEX(art_unit,MATCH(C802,art_ref,0))&amp;"",""))</f>
        <v/>
      </c>
      <c r="G802" s="37" t="n"/>
      <c r="H802" s="37" t="n"/>
      <c r="I802" s="37" t="n"/>
      <c r="J802" s="40" t="str">
        <f>IF(OR(C802="",NOT(ISNUMBER(E802))),"",IFERROR(E802*N(INDEX(art_price,MATCH(C802,art_ref,0))),""))</f>
        <v/>
      </c>
      <c r="K802" s="39" t="str">
        <f>IF(OR(C802="",NOT(ISNUMBER(E802))),"",IFERROR(ROUND(N(INDEX(art_init,MATCH(C802,art_ref,0)))+SUMIFS($E$5:E802,$C$5:C802,C802,$B$5:B802,"Entrée")-SUMIFS($E$5:E802,$C$5:C802,C802,$B$5:B802,"Sortie"),6),""))</f>
        <v/>
      </c>
      <c r="L802" s="39" t="str">
        <f>IF(COUNTA(A802:C802,E802)=0,"",IF(COUNTA(A802:C802,E802)&lt;4,"Ligne incomplète",IF(NOT(ISNUMBER(A802)),"Date invalide",IF(AND(B802&lt;&gt;"Entrée",B802&lt;&gt;"Sortie"),"Type inconnu",IF(ISNA(MATCH(C802,art_ref,0)),"Référence inconnue",IF(OR(NOT(ISNUMBER(E802)),N(E802)&lt;=0),"Quantité invalide",IF(K802&lt;0,"Stock négatif",IF(AND(ISNUMBER(A801),A802&lt;A801),"Date hors ordre","OK"))))))))</f>
        <v/>
      </c>
      <c r="M802" s="39" t="str">
        <f>IF(C802="","",C802&amp;"#"&amp;COUNTIF($C$5:C802,C802))</f>
        <v/>
      </c>
    </row>
    <row r="803">
      <c r="A803" s="41" t="n"/>
      <c r="B803" s="37" t="n"/>
      <c r="C803" s="37" t="n"/>
      <c r="D803" s="39" t="str">
        <f>IF(C803="","",IFERROR(INDEX(art_des,MATCH(C803,art_ref,0))&amp;"","Référence inconnue"))</f>
        <v/>
      </c>
      <c r="E803" s="37" t="n"/>
      <c r="F803" s="39" t="str">
        <f>IF(C803="","",IFERROR(INDEX(art_unit,MATCH(C803,art_ref,0))&amp;"",""))</f>
        <v/>
      </c>
      <c r="G803" s="37" t="n"/>
      <c r="H803" s="37" t="n"/>
      <c r="I803" s="37" t="n"/>
      <c r="J803" s="40" t="str">
        <f>IF(OR(C803="",NOT(ISNUMBER(E803))),"",IFERROR(E803*N(INDEX(art_price,MATCH(C803,art_ref,0))),""))</f>
        <v/>
      </c>
      <c r="K803" s="39" t="str">
        <f>IF(OR(C803="",NOT(ISNUMBER(E803))),"",IFERROR(ROUND(N(INDEX(art_init,MATCH(C803,art_ref,0)))+SUMIFS($E$5:E803,$C$5:C803,C803,$B$5:B803,"Entrée")-SUMIFS($E$5:E803,$C$5:C803,C803,$B$5:B803,"Sortie"),6),""))</f>
        <v/>
      </c>
      <c r="L803" s="39" t="str">
        <f>IF(COUNTA(A803:C803,E803)=0,"",IF(COUNTA(A803:C803,E803)&lt;4,"Ligne incomplète",IF(NOT(ISNUMBER(A803)),"Date invalide",IF(AND(B803&lt;&gt;"Entrée",B803&lt;&gt;"Sortie"),"Type inconnu",IF(ISNA(MATCH(C803,art_ref,0)),"Référence inconnue",IF(OR(NOT(ISNUMBER(E803)),N(E803)&lt;=0),"Quantité invalide",IF(K803&lt;0,"Stock négatif",IF(AND(ISNUMBER(A802),A803&lt;A802),"Date hors ordre","OK"))))))))</f>
        <v/>
      </c>
      <c r="M803" s="39" t="str">
        <f>IF(C803="","",C803&amp;"#"&amp;COUNTIF($C$5:C803,C803))</f>
        <v/>
      </c>
    </row>
    <row r="804">
      <c r="A804" s="41" t="n"/>
      <c r="B804" s="37" t="n"/>
      <c r="C804" s="37" t="n"/>
      <c r="D804" s="39" t="str">
        <f>IF(C804="","",IFERROR(INDEX(art_des,MATCH(C804,art_ref,0))&amp;"","Référence inconnue"))</f>
        <v/>
      </c>
      <c r="E804" s="37" t="n"/>
      <c r="F804" s="39" t="str">
        <f>IF(C804="","",IFERROR(INDEX(art_unit,MATCH(C804,art_ref,0))&amp;"",""))</f>
        <v/>
      </c>
      <c r="G804" s="37" t="n"/>
      <c r="H804" s="37" t="n"/>
      <c r="I804" s="37" t="n"/>
      <c r="J804" s="40" t="str">
        <f>IF(OR(C804="",NOT(ISNUMBER(E804))),"",IFERROR(E804*N(INDEX(art_price,MATCH(C804,art_ref,0))),""))</f>
        <v/>
      </c>
      <c r="K804" s="39" t="str">
        <f>IF(OR(C804="",NOT(ISNUMBER(E804))),"",IFERROR(ROUND(N(INDEX(art_init,MATCH(C804,art_ref,0)))+SUMIFS($E$5:E804,$C$5:C804,C804,$B$5:B804,"Entrée")-SUMIFS($E$5:E804,$C$5:C804,C804,$B$5:B804,"Sortie"),6),""))</f>
        <v/>
      </c>
      <c r="L804" s="39" t="str">
        <f>IF(COUNTA(A804:C804,E804)=0,"",IF(COUNTA(A804:C804,E804)&lt;4,"Ligne incomplète",IF(NOT(ISNUMBER(A804)),"Date invalide",IF(AND(B804&lt;&gt;"Entrée",B804&lt;&gt;"Sortie"),"Type inconnu",IF(ISNA(MATCH(C804,art_ref,0)),"Référence inconnue",IF(OR(NOT(ISNUMBER(E804)),N(E804)&lt;=0),"Quantité invalide",IF(K804&lt;0,"Stock négatif",IF(AND(ISNUMBER(A803),A804&lt;A803),"Date hors ordre","OK"))))))))</f>
        <v/>
      </c>
      <c r="M804" s="39" t="str">
        <f>IF(C804="","",C804&amp;"#"&amp;COUNTIF($C$5:C804,C804))</f>
        <v/>
      </c>
    </row>
    <row r="805">
      <c r="A805" s="41" t="n"/>
      <c r="B805" s="37" t="n"/>
      <c r="C805" s="37" t="n"/>
      <c r="D805" s="39" t="str">
        <f>IF(C805="","",IFERROR(INDEX(art_des,MATCH(C805,art_ref,0))&amp;"","Référence inconnue"))</f>
        <v/>
      </c>
      <c r="E805" s="37" t="n"/>
      <c r="F805" s="39" t="str">
        <f>IF(C805="","",IFERROR(INDEX(art_unit,MATCH(C805,art_ref,0))&amp;"",""))</f>
        <v/>
      </c>
      <c r="G805" s="37" t="n"/>
      <c r="H805" s="37" t="n"/>
      <c r="I805" s="37" t="n"/>
      <c r="J805" s="40" t="str">
        <f>IF(OR(C805="",NOT(ISNUMBER(E805))),"",IFERROR(E805*N(INDEX(art_price,MATCH(C805,art_ref,0))),""))</f>
        <v/>
      </c>
      <c r="K805" s="39" t="str">
        <f>IF(OR(C805="",NOT(ISNUMBER(E805))),"",IFERROR(ROUND(N(INDEX(art_init,MATCH(C805,art_ref,0)))+SUMIFS($E$5:E805,$C$5:C805,C805,$B$5:B805,"Entrée")-SUMIFS($E$5:E805,$C$5:C805,C805,$B$5:B805,"Sortie"),6),""))</f>
        <v/>
      </c>
      <c r="L805" s="39" t="str">
        <f>IF(COUNTA(A805:C805,E805)=0,"",IF(COUNTA(A805:C805,E805)&lt;4,"Ligne incomplète",IF(NOT(ISNUMBER(A805)),"Date invalide",IF(AND(B805&lt;&gt;"Entrée",B805&lt;&gt;"Sortie"),"Type inconnu",IF(ISNA(MATCH(C805,art_ref,0)),"Référence inconnue",IF(OR(NOT(ISNUMBER(E805)),N(E805)&lt;=0),"Quantité invalide",IF(K805&lt;0,"Stock négatif",IF(AND(ISNUMBER(A804),A805&lt;A804),"Date hors ordre","OK"))))))))</f>
        <v/>
      </c>
      <c r="M805" s="39" t="str">
        <f>IF(C805="","",C805&amp;"#"&amp;COUNTIF($C$5:C805,C805))</f>
        <v/>
      </c>
    </row>
    <row r="806">
      <c r="A806" s="41" t="n"/>
      <c r="B806" s="37" t="n"/>
      <c r="C806" s="37" t="n"/>
      <c r="D806" s="39" t="str">
        <f>IF(C806="","",IFERROR(INDEX(art_des,MATCH(C806,art_ref,0))&amp;"","Référence inconnue"))</f>
        <v/>
      </c>
      <c r="E806" s="37" t="n"/>
      <c r="F806" s="39" t="str">
        <f>IF(C806="","",IFERROR(INDEX(art_unit,MATCH(C806,art_ref,0))&amp;"",""))</f>
        <v/>
      </c>
      <c r="G806" s="37" t="n"/>
      <c r="H806" s="37" t="n"/>
      <c r="I806" s="37" t="n"/>
      <c r="J806" s="40" t="str">
        <f>IF(OR(C806="",NOT(ISNUMBER(E806))),"",IFERROR(E806*N(INDEX(art_price,MATCH(C806,art_ref,0))),""))</f>
        <v/>
      </c>
      <c r="K806" s="39" t="str">
        <f>IF(OR(C806="",NOT(ISNUMBER(E806))),"",IFERROR(ROUND(N(INDEX(art_init,MATCH(C806,art_ref,0)))+SUMIFS($E$5:E806,$C$5:C806,C806,$B$5:B806,"Entrée")-SUMIFS($E$5:E806,$C$5:C806,C806,$B$5:B806,"Sortie"),6),""))</f>
        <v/>
      </c>
      <c r="L806" s="39" t="str">
        <f>IF(COUNTA(A806:C806,E806)=0,"",IF(COUNTA(A806:C806,E806)&lt;4,"Ligne incomplète",IF(NOT(ISNUMBER(A806)),"Date invalide",IF(AND(B806&lt;&gt;"Entrée",B806&lt;&gt;"Sortie"),"Type inconnu",IF(ISNA(MATCH(C806,art_ref,0)),"Référence inconnue",IF(OR(NOT(ISNUMBER(E806)),N(E806)&lt;=0),"Quantité invalide",IF(K806&lt;0,"Stock négatif",IF(AND(ISNUMBER(A805),A806&lt;A805),"Date hors ordre","OK"))))))))</f>
        <v/>
      </c>
      <c r="M806" s="39" t="str">
        <f>IF(C806="","",C806&amp;"#"&amp;COUNTIF($C$5:C806,C806))</f>
        <v/>
      </c>
    </row>
    <row r="807">
      <c r="A807" s="41" t="n"/>
      <c r="B807" s="37" t="n"/>
      <c r="C807" s="37" t="n"/>
      <c r="D807" s="39" t="str">
        <f>IF(C807="","",IFERROR(INDEX(art_des,MATCH(C807,art_ref,0))&amp;"","Référence inconnue"))</f>
        <v/>
      </c>
      <c r="E807" s="37" t="n"/>
      <c r="F807" s="39" t="str">
        <f>IF(C807="","",IFERROR(INDEX(art_unit,MATCH(C807,art_ref,0))&amp;"",""))</f>
        <v/>
      </c>
      <c r="G807" s="37" t="n"/>
      <c r="H807" s="37" t="n"/>
      <c r="I807" s="37" t="n"/>
      <c r="J807" s="40" t="str">
        <f>IF(OR(C807="",NOT(ISNUMBER(E807))),"",IFERROR(E807*N(INDEX(art_price,MATCH(C807,art_ref,0))),""))</f>
        <v/>
      </c>
      <c r="K807" s="39" t="str">
        <f>IF(OR(C807="",NOT(ISNUMBER(E807))),"",IFERROR(ROUND(N(INDEX(art_init,MATCH(C807,art_ref,0)))+SUMIFS($E$5:E807,$C$5:C807,C807,$B$5:B807,"Entrée")-SUMIFS($E$5:E807,$C$5:C807,C807,$B$5:B807,"Sortie"),6),""))</f>
        <v/>
      </c>
      <c r="L807" s="39" t="str">
        <f>IF(COUNTA(A807:C807,E807)=0,"",IF(COUNTA(A807:C807,E807)&lt;4,"Ligne incomplète",IF(NOT(ISNUMBER(A807)),"Date invalide",IF(AND(B807&lt;&gt;"Entrée",B807&lt;&gt;"Sortie"),"Type inconnu",IF(ISNA(MATCH(C807,art_ref,0)),"Référence inconnue",IF(OR(NOT(ISNUMBER(E807)),N(E807)&lt;=0),"Quantité invalide",IF(K807&lt;0,"Stock négatif",IF(AND(ISNUMBER(A806),A807&lt;A806),"Date hors ordre","OK"))))))))</f>
        <v/>
      </c>
      <c r="M807" s="39" t="str">
        <f>IF(C807="","",C807&amp;"#"&amp;COUNTIF($C$5:C807,C807))</f>
        <v/>
      </c>
    </row>
    <row r="808">
      <c r="A808" s="41" t="n"/>
      <c r="B808" s="37" t="n"/>
      <c r="C808" s="37" t="n"/>
      <c r="D808" s="39" t="str">
        <f>IF(C808="","",IFERROR(INDEX(art_des,MATCH(C808,art_ref,0))&amp;"","Référence inconnue"))</f>
        <v/>
      </c>
      <c r="E808" s="37" t="n"/>
      <c r="F808" s="39" t="str">
        <f>IF(C808="","",IFERROR(INDEX(art_unit,MATCH(C808,art_ref,0))&amp;"",""))</f>
        <v/>
      </c>
      <c r="G808" s="37" t="n"/>
      <c r="H808" s="37" t="n"/>
      <c r="I808" s="37" t="n"/>
      <c r="J808" s="40" t="str">
        <f>IF(OR(C808="",NOT(ISNUMBER(E808))),"",IFERROR(E808*N(INDEX(art_price,MATCH(C808,art_ref,0))),""))</f>
        <v/>
      </c>
      <c r="K808" s="39" t="str">
        <f>IF(OR(C808="",NOT(ISNUMBER(E808))),"",IFERROR(ROUND(N(INDEX(art_init,MATCH(C808,art_ref,0)))+SUMIFS($E$5:E808,$C$5:C808,C808,$B$5:B808,"Entrée")-SUMIFS($E$5:E808,$C$5:C808,C808,$B$5:B808,"Sortie"),6),""))</f>
        <v/>
      </c>
      <c r="L808" s="39" t="str">
        <f>IF(COUNTA(A808:C808,E808)=0,"",IF(COUNTA(A808:C808,E808)&lt;4,"Ligne incomplète",IF(NOT(ISNUMBER(A808)),"Date invalide",IF(AND(B808&lt;&gt;"Entrée",B808&lt;&gt;"Sortie"),"Type inconnu",IF(ISNA(MATCH(C808,art_ref,0)),"Référence inconnue",IF(OR(NOT(ISNUMBER(E808)),N(E808)&lt;=0),"Quantité invalide",IF(K808&lt;0,"Stock négatif",IF(AND(ISNUMBER(A807),A808&lt;A807),"Date hors ordre","OK"))))))))</f>
        <v/>
      </c>
      <c r="M808" s="39" t="str">
        <f>IF(C808="","",C808&amp;"#"&amp;COUNTIF($C$5:C808,C808))</f>
        <v/>
      </c>
    </row>
    <row r="809">
      <c r="A809" s="41" t="n"/>
      <c r="B809" s="37" t="n"/>
      <c r="C809" s="37" t="n"/>
      <c r="D809" s="39" t="str">
        <f>IF(C809="","",IFERROR(INDEX(art_des,MATCH(C809,art_ref,0))&amp;"","Référence inconnue"))</f>
        <v/>
      </c>
      <c r="E809" s="37" t="n"/>
      <c r="F809" s="39" t="str">
        <f>IF(C809="","",IFERROR(INDEX(art_unit,MATCH(C809,art_ref,0))&amp;"",""))</f>
        <v/>
      </c>
      <c r="G809" s="37" t="n"/>
      <c r="H809" s="37" t="n"/>
      <c r="I809" s="37" t="n"/>
      <c r="J809" s="40" t="str">
        <f>IF(OR(C809="",NOT(ISNUMBER(E809))),"",IFERROR(E809*N(INDEX(art_price,MATCH(C809,art_ref,0))),""))</f>
        <v/>
      </c>
      <c r="K809" s="39" t="str">
        <f>IF(OR(C809="",NOT(ISNUMBER(E809))),"",IFERROR(ROUND(N(INDEX(art_init,MATCH(C809,art_ref,0)))+SUMIFS($E$5:E809,$C$5:C809,C809,$B$5:B809,"Entrée")-SUMIFS($E$5:E809,$C$5:C809,C809,$B$5:B809,"Sortie"),6),""))</f>
        <v/>
      </c>
      <c r="L809" s="39" t="str">
        <f>IF(COUNTA(A809:C809,E809)=0,"",IF(COUNTA(A809:C809,E809)&lt;4,"Ligne incomplète",IF(NOT(ISNUMBER(A809)),"Date invalide",IF(AND(B809&lt;&gt;"Entrée",B809&lt;&gt;"Sortie"),"Type inconnu",IF(ISNA(MATCH(C809,art_ref,0)),"Référence inconnue",IF(OR(NOT(ISNUMBER(E809)),N(E809)&lt;=0),"Quantité invalide",IF(K809&lt;0,"Stock négatif",IF(AND(ISNUMBER(A808),A809&lt;A808),"Date hors ordre","OK"))))))))</f>
        <v/>
      </c>
      <c r="M809" s="39" t="str">
        <f>IF(C809="","",C809&amp;"#"&amp;COUNTIF($C$5:C809,C809))</f>
        <v/>
      </c>
    </row>
    <row r="810">
      <c r="A810" s="41" t="n"/>
      <c r="B810" s="37" t="n"/>
      <c r="C810" s="37" t="n"/>
      <c r="D810" s="39" t="str">
        <f>IF(C810="","",IFERROR(INDEX(art_des,MATCH(C810,art_ref,0))&amp;"","Référence inconnue"))</f>
        <v/>
      </c>
      <c r="E810" s="37" t="n"/>
      <c r="F810" s="39" t="str">
        <f>IF(C810="","",IFERROR(INDEX(art_unit,MATCH(C810,art_ref,0))&amp;"",""))</f>
        <v/>
      </c>
      <c r="G810" s="37" t="n"/>
      <c r="H810" s="37" t="n"/>
      <c r="I810" s="37" t="n"/>
      <c r="J810" s="40" t="str">
        <f>IF(OR(C810="",NOT(ISNUMBER(E810))),"",IFERROR(E810*N(INDEX(art_price,MATCH(C810,art_ref,0))),""))</f>
        <v/>
      </c>
      <c r="K810" s="39" t="str">
        <f>IF(OR(C810="",NOT(ISNUMBER(E810))),"",IFERROR(ROUND(N(INDEX(art_init,MATCH(C810,art_ref,0)))+SUMIFS($E$5:E810,$C$5:C810,C810,$B$5:B810,"Entrée")-SUMIFS($E$5:E810,$C$5:C810,C810,$B$5:B810,"Sortie"),6),""))</f>
        <v/>
      </c>
      <c r="L810" s="39" t="str">
        <f>IF(COUNTA(A810:C810,E810)=0,"",IF(COUNTA(A810:C810,E810)&lt;4,"Ligne incomplète",IF(NOT(ISNUMBER(A810)),"Date invalide",IF(AND(B810&lt;&gt;"Entrée",B810&lt;&gt;"Sortie"),"Type inconnu",IF(ISNA(MATCH(C810,art_ref,0)),"Référence inconnue",IF(OR(NOT(ISNUMBER(E810)),N(E810)&lt;=0),"Quantité invalide",IF(K810&lt;0,"Stock négatif",IF(AND(ISNUMBER(A809),A810&lt;A809),"Date hors ordre","OK"))))))))</f>
        <v/>
      </c>
      <c r="M810" s="39" t="str">
        <f>IF(C810="","",C810&amp;"#"&amp;COUNTIF($C$5:C810,C810))</f>
        <v/>
      </c>
    </row>
    <row r="811">
      <c r="A811" s="41" t="n"/>
      <c r="B811" s="37" t="n"/>
      <c r="C811" s="37" t="n"/>
      <c r="D811" s="39" t="str">
        <f>IF(C811="","",IFERROR(INDEX(art_des,MATCH(C811,art_ref,0))&amp;"","Référence inconnue"))</f>
        <v/>
      </c>
      <c r="E811" s="37" t="n"/>
      <c r="F811" s="39" t="str">
        <f>IF(C811="","",IFERROR(INDEX(art_unit,MATCH(C811,art_ref,0))&amp;"",""))</f>
        <v/>
      </c>
      <c r="G811" s="37" t="n"/>
      <c r="H811" s="37" t="n"/>
      <c r="I811" s="37" t="n"/>
      <c r="J811" s="40" t="str">
        <f>IF(OR(C811="",NOT(ISNUMBER(E811))),"",IFERROR(E811*N(INDEX(art_price,MATCH(C811,art_ref,0))),""))</f>
        <v/>
      </c>
      <c r="K811" s="39" t="str">
        <f>IF(OR(C811="",NOT(ISNUMBER(E811))),"",IFERROR(ROUND(N(INDEX(art_init,MATCH(C811,art_ref,0)))+SUMIFS($E$5:E811,$C$5:C811,C811,$B$5:B811,"Entrée")-SUMIFS($E$5:E811,$C$5:C811,C811,$B$5:B811,"Sortie"),6),""))</f>
        <v/>
      </c>
      <c r="L811" s="39" t="str">
        <f>IF(COUNTA(A811:C811,E811)=0,"",IF(COUNTA(A811:C811,E811)&lt;4,"Ligne incomplète",IF(NOT(ISNUMBER(A811)),"Date invalide",IF(AND(B811&lt;&gt;"Entrée",B811&lt;&gt;"Sortie"),"Type inconnu",IF(ISNA(MATCH(C811,art_ref,0)),"Référence inconnue",IF(OR(NOT(ISNUMBER(E811)),N(E811)&lt;=0),"Quantité invalide",IF(K811&lt;0,"Stock négatif",IF(AND(ISNUMBER(A810),A811&lt;A810),"Date hors ordre","OK"))))))))</f>
        <v/>
      </c>
      <c r="M811" s="39" t="str">
        <f>IF(C811="","",C811&amp;"#"&amp;COUNTIF($C$5:C811,C811))</f>
        <v/>
      </c>
    </row>
    <row r="812">
      <c r="A812" s="41" t="n"/>
      <c r="B812" s="37" t="n"/>
      <c r="C812" s="37" t="n"/>
      <c r="D812" s="39" t="str">
        <f>IF(C812="","",IFERROR(INDEX(art_des,MATCH(C812,art_ref,0))&amp;"","Référence inconnue"))</f>
        <v/>
      </c>
      <c r="E812" s="37" t="n"/>
      <c r="F812" s="39" t="str">
        <f>IF(C812="","",IFERROR(INDEX(art_unit,MATCH(C812,art_ref,0))&amp;"",""))</f>
        <v/>
      </c>
      <c r="G812" s="37" t="n"/>
      <c r="H812" s="37" t="n"/>
      <c r="I812" s="37" t="n"/>
      <c r="J812" s="40" t="str">
        <f>IF(OR(C812="",NOT(ISNUMBER(E812))),"",IFERROR(E812*N(INDEX(art_price,MATCH(C812,art_ref,0))),""))</f>
        <v/>
      </c>
      <c r="K812" s="39" t="str">
        <f>IF(OR(C812="",NOT(ISNUMBER(E812))),"",IFERROR(ROUND(N(INDEX(art_init,MATCH(C812,art_ref,0)))+SUMIFS($E$5:E812,$C$5:C812,C812,$B$5:B812,"Entrée")-SUMIFS($E$5:E812,$C$5:C812,C812,$B$5:B812,"Sortie"),6),""))</f>
        <v/>
      </c>
      <c r="L812" s="39" t="str">
        <f>IF(COUNTA(A812:C812,E812)=0,"",IF(COUNTA(A812:C812,E812)&lt;4,"Ligne incomplète",IF(NOT(ISNUMBER(A812)),"Date invalide",IF(AND(B812&lt;&gt;"Entrée",B812&lt;&gt;"Sortie"),"Type inconnu",IF(ISNA(MATCH(C812,art_ref,0)),"Référence inconnue",IF(OR(NOT(ISNUMBER(E812)),N(E812)&lt;=0),"Quantité invalide",IF(K812&lt;0,"Stock négatif",IF(AND(ISNUMBER(A811),A812&lt;A811),"Date hors ordre","OK"))))))))</f>
        <v/>
      </c>
      <c r="M812" s="39" t="str">
        <f>IF(C812="","",C812&amp;"#"&amp;COUNTIF($C$5:C812,C812))</f>
        <v/>
      </c>
    </row>
    <row r="813">
      <c r="A813" s="41" t="n"/>
      <c r="B813" s="37" t="n"/>
      <c r="C813" s="37" t="n"/>
      <c r="D813" s="39" t="str">
        <f>IF(C813="","",IFERROR(INDEX(art_des,MATCH(C813,art_ref,0))&amp;"","Référence inconnue"))</f>
        <v/>
      </c>
      <c r="E813" s="37" t="n"/>
      <c r="F813" s="39" t="str">
        <f>IF(C813="","",IFERROR(INDEX(art_unit,MATCH(C813,art_ref,0))&amp;"",""))</f>
        <v/>
      </c>
      <c r="G813" s="37" t="n"/>
      <c r="H813" s="37" t="n"/>
      <c r="I813" s="37" t="n"/>
      <c r="J813" s="40" t="str">
        <f>IF(OR(C813="",NOT(ISNUMBER(E813))),"",IFERROR(E813*N(INDEX(art_price,MATCH(C813,art_ref,0))),""))</f>
        <v/>
      </c>
      <c r="K813" s="39" t="str">
        <f>IF(OR(C813="",NOT(ISNUMBER(E813))),"",IFERROR(ROUND(N(INDEX(art_init,MATCH(C813,art_ref,0)))+SUMIFS($E$5:E813,$C$5:C813,C813,$B$5:B813,"Entrée")-SUMIFS($E$5:E813,$C$5:C813,C813,$B$5:B813,"Sortie"),6),""))</f>
        <v/>
      </c>
      <c r="L813" s="39" t="str">
        <f>IF(COUNTA(A813:C813,E813)=0,"",IF(COUNTA(A813:C813,E813)&lt;4,"Ligne incomplète",IF(NOT(ISNUMBER(A813)),"Date invalide",IF(AND(B813&lt;&gt;"Entrée",B813&lt;&gt;"Sortie"),"Type inconnu",IF(ISNA(MATCH(C813,art_ref,0)),"Référence inconnue",IF(OR(NOT(ISNUMBER(E813)),N(E813)&lt;=0),"Quantité invalide",IF(K813&lt;0,"Stock négatif",IF(AND(ISNUMBER(A812),A813&lt;A812),"Date hors ordre","OK"))))))))</f>
        <v/>
      </c>
      <c r="M813" s="39" t="str">
        <f>IF(C813="","",C813&amp;"#"&amp;COUNTIF($C$5:C813,C813))</f>
        <v/>
      </c>
    </row>
    <row r="814">
      <c r="A814" s="41" t="n"/>
      <c r="B814" s="37" t="n"/>
      <c r="C814" s="37" t="n"/>
      <c r="D814" s="39" t="str">
        <f>IF(C814="","",IFERROR(INDEX(art_des,MATCH(C814,art_ref,0))&amp;"","Référence inconnue"))</f>
        <v/>
      </c>
      <c r="E814" s="37" t="n"/>
      <c r="F814" s="39" t="str">
        <f>IF(C814="","",IFERROR(INDEX(art_unit,MATCH(C814,art_ref,0))&amp;"",""))</f>
        <v/>
      </c>
      <c r="G814" s="37" t="n"/>
      <c r="H814" s="37" t="n"/>
      <c r="I814" s="37" t="n"/>
      <c r="J814" s="40" t="str">
        <f>IF(OR(C814="",NOT(ISNUMBER(E814))),"",IFERROR(E814*N(INDEX(art_price,MATCH(C814,art_ref,0))),""))</f>
        <v/>
      </c>
      <c r="K814" s="39" t="str">
        <f>IF(OR(C814="",NOT(ISNUMBER(E814))),"",IFERROR(ROUND(N(INDEX(art_init,MATCH(C814,art_ref,0)))+SUMIFS($E$5:E814,$C$5:C814,C814,$B$5:B814,"Entrée")-SUMIFS($E$5:E814,$C$5:C814,C814,$B$5:B814,"Sortie"),6),""))</f>
        <v/>
      </c>
      <c r="L814" s="39" t="str">
        <f>IF(COUNTA(A814:C814,E814)=0,"",IF(COUNTA(A814:C814,E814)&lt;4,"Ligne incomplète",IF(NOT(ISNUMBER(A814)),"Date invalide",IF(AND(B814&lt;&gt;"Entrée",B814&lt;&gt;"Sortie"),"Type inconnu",IF(ISNA(MATCH(C814,art_ref,0)),"Référence inconnue",IF(OR(NOT(ISNUMBER(E814)),N(E814)&lt;=0),"Quantité invalide",IF(K814&lt;0,"Stock négatif",IF(AND(ISNUMBER(A813),A814&lt;A813),"Date hors ordre","OK"))))))))</f>
        <v/>
      </c>
      <c r="M814" s="39" t="str">
        <f>IF(C814="","",C814&amp;"#"&amp;COUNTIF($C$5:C814,C814))</f>
        <v/>
      </c>
    </row>
    <row r="815">
      <c r="A815" s="41" t="n"/>
      <c r="B815" s="37" t="n"/>
      <c r="C815" s="37" t="n"/>
      <c r="D815" s="39" t="str">
        <f>IF(C815="","",IFERROR(INDEX(art_des,MATCH(C815,art_ref,0))&amp;"","Référence inconnue"))</f>
        <v/>
      </c>
      <c r="E815" s="37" t="n"/>
      <c r="F815" s="39" t="str">
        <f>IF(C815="","",IFERROR(INDEX(art_unit,MATCH(C815,art_ref,0))&amp;"",""))</f>
        <v/>
      </c>
      <c r="G815" s="37" t="n"/>
      <c r="H815" s="37" t="n"/>
      <c r="I815" s="37" t="n"/>
      <c r="J815" s="40" t="str">
        <f>IF(OR(C815="",NOT(ISNUMBER(E815))),"",IFERROR(E815*N(INDEX(art_price,MATCH(C815,art_ref,0))),""))</f>
        <v/>
      </c>
      <c r="K815" s="39" t="str">
        <f>IF(OR(C815="",NOT(ISNUMBER(E815))),"",IFERROR(ROUND(N(INDEX(art_init,MATCH(C815,art_ref,0)))+SUMIFS($E$5:E815,$C$5:C815,C815,$B$5:B815,"Entrée")-SUMIFS($E$5:E815,$C$5:C815,C815,$B$5:B815,"Sortie"),6),""))</f>
        <v/>
      </c>
      <c r="L815" s="39" t="str">
        <f>IF(COUNTA(A815:C815,E815)=0,"",IF(COUNTA(A815:C815,E815)&lt;4,"Ligne incomplète",IF(NOT(ISNUMBER(A815)),"Date invalide",IF(AND(B815&lt;&gt;"Entrée",B815&lt;&gt;"Sortie"),"Type inconnu",IF(ISNA(MATCH(C815,art_ref,0)),"Référence inconnue",IF(OR(NOT(ISNUMBER(E815)),N(E815)&lt;=0),"Quantité invalide",IF(K815&lt;0,"Stock négatif",IF(AND(ISNUMBER(A814),A815&lt;A814),"Date hors ordre","OK"))))))))</f>
        <v/>
      </c>
      <c r="M815" s="39" t="str">
        <f>IF(C815="","",C815&amp;"#"&amp;COUNTIF($C$5:C815,C815))</f>
        <v/>
      </c>
    </row>
    <row r="816">
      <c r="A816" s="41" t="n"/>
      <c r="B816" s="37" t="n"/>
      <c r="C816" s="37" t="n"/>
      <c r="D816" s="39" t="str">
        <f>IF(C816="","",IFERROR(INDEX(art_des,MATCH(C816,art_ref,0))&amp;"","Référence inconnue"))</f>
        <v/>
      </c>
      <c r="E816" s="37" t="n"/>
      <c r="F816" s="39" t="str">
        <f>IF(C816="","",IFERROR(INDEX(art_unit,MATCH(C816,art_ref,0))&amp;"",""))</f>
        <v/>
      </c>
      <c r="G816" s="37" t="n"/>
      <c r="H816" s="37" t="n"/>
      <c r="I816" s="37" t="n"/>
      <c r="J816" s="40" t="str">
        <f>IF(OR(C816="",NOT(ISNUMBER(E816))),"",IFERROR(E816*N(INDEX(art_price,MATCH(C816,art_ref,0))),""))</f>
        <v/>
      </c>
      <c r="K816" s="39" t="str">
        <f>IF(OR(C816="",NOT(ISNUMBER(E816))),"",IFERROR(ROUND(N(INDEX(art_init,MATCH(C816,art_ref,0)))+SUMIFS($E$5:E816,$C$5:C816,C816,$B$5:B816,"Entrée")-SUMIFS($E$5:E816,$C$5:C816,C816,$B$5:B816,"Sortie"),6),""))</f>
        <v/>
      </c>
      <c r="L816" s="39" t="str">
        <f>IF(COUNTA(A816:C816,E816)=0,"",IF(COUNTA(A816:C816,E816)&lt;4,"Ligne incomplète",IF(NOT(ISNUMBER(A816)),"Date invalide",IF(AND(B816&lt;&gt;"Entrée",B816&lt;&gt;"Sortie"),"Type inconnu",IF(ISNA(MATCH(C816,art_ref,0)),"Référence inconnue",IF(OR(NOT(ISNUMBER(E816)),N(E816)&lt;=0),"Quantité invalide",IF(K816&lt;0,"Stock négatif",IF(AND(ISNUMBER(A815),A816&lt;A815),"Date hors ordre","OK"))))))))</f>
        <v/>
      </c>
      <c r="M816" s="39" t="str">
        <f>IF(C816="","",C816&amp;"#"&amp;COUNTIF($C$5:C816,C816))</f>
        <v/>
      </c>
    </row>
    <row r="817">
      <c r="A817" s="41" t="n"/>
      <c r="B817" s="37" t="n"/>
      <c r="C817" s="37" t="n"/>
      <c r="D817" s="39" t="str">
        <f>IF(C817="","",IFERROR(INDEX(art_des,MATCH(C817,art_ref,0))&amp;"","Référence inconnue"))</f>
        <v/>
      </c>
      <c r="E817" s="37" t="n"/>
      <c r="F817" s="39" t="str">
        <f>IF(C817="","",IFERROR(INDEX(art_unit,MATCH(C817,art_ref,0))&amp;"",""))</f>
        <v/>
      </c>
      <c r="G817" s="37" t="n"/>
      <c r="H817" s="37" t="n"/>
      <c r="I817" s="37" t="n"/>
      <c r="J817" s="40" t="str">
        <f>IF(OR(C817="",NOT(ISNUMBER(E817))),"",IFERROR(E817*N(INDEX(art_price,MATCH(C817,art_ref,0))),""))</f>
        <v/>
      </c>
      <c r="K817" s="39" t="str">
        <f>IF(OR(C817="",NOT(ISNUMBER(E817))),"",IFERROR(ROUND(N(INDEX(art_init,MATCH(C817,art_ref,0)))+SUMIFS($E$5:E817,$C$5:C817,C817,$B$5:B817,"Entrée")-SUMIFS($E$5:E817,$C$5:C817,C817,$B$5:B817,"Sortie"),6),""))</f>
        <v/>
      </c>
      <c r="L817" s="39" t="str">
        <f>IF(COUNTA(A817:C817,E817)=0,"",IF(COUNTA(A817:C817,E817)&lt;4,"Ligne incomplète",IF(NOT(ISNUMBER(A817)),"Date invalide",IF(AND(B817&lt;&gt;"Entrée",B817&lt;&gt;"Sortie"),"Type inconnu",IF(ISNA(MATCH(C817,art_ref,0)),"Référence inconnue",IF(OR(NOT(ISNUMBER(E817)),N(E817)&lt;=0),"Quantité invalide",IF(K817&lt;0,"Stock négatif",IF(AND(ISNUMBER(A816),A817&lt;A816),"Date hors ordre","OK"))))))))</f>
        <v/>
      </c>
      <c r="M817" s="39" t="str">
        <f>IF(C817="","",C817&amp;"#"&amp;COUNTIF($C$5:C817,C817))</f>
        <v/>
      </c>
    </row>
    <row r="818">
      <c r="A818" s="41" t="n"/>
      <c r="B818" s="37" t="n"/>
      <c r="C818" s="37" t="n"/>
      <c r="D818" s="39" t="str">
        <f>IF(C818="","",IFERROR(INDEX(art_des,MATCH(C818,art_ref,0))&amp;"","Référence inconnue"))</f>
        <v/>
      </c>
      <c r="E818" s="37" t="n"/>
      <c r="F818" s="39" t="str">
        <f>IF(C818="","",IFERROR(INDEX(art_unit,MATCH(C818,art_ref,0))&amp;"",""))</f>
        <v/>
      </c>
      <c r="G818" s="37" t="n"/>
      <c r="H818" s="37" t="n"/>
      <c r="I818" s="37" t="n"/>
      <c r="J818" s="40" t="str">
        <f>IF(OR(C818="",NOT(ISNUMBER(E818))),"",IFERROR(E818*N(INDEX(art_price,MATCH(C818,art_ref,0))),""))</f>
        <v/>
      </c>
      <c r="K818" s="39" t="str">
        <f>IF(OR(C818="",NOT(ISNUMBER(E818))),"",IFERROR(ROUND(N(INDEX(art_init,MATCH(C818,art_ref,0)))+SUMIFS($E$5:E818,$C$5:C818,C818,$B$5:B818,"Entrée")-SUMIFS($E$5:E818,$C$5:C818,C818,$B$5:B818,"Sortie"),6),""))</f>
        <v/>
      </c>
      <c r="L818" s="39" t="str">
        <f>IF(COUNTA(A818:C818,E818)=0,"",IF(COUNTA(A818:C818,E818)&lt;4,"Ligne incomplète",IF(NOT(ISNUMBER(A818)),"Date invalide",IF(AND(B818&lt;&gt;"Entrée",B818&lt;&gt;"Sortie"),"Type inconnu",IF(ISNA(MATCH(C818,art_ref,0)),"Référence inconnue",IF(OR(NOT(ISNUMBER(E818)),N(E818)&lt;=0),"Quantité invalide",IF(K818&lt;0,"Stock négatif",IF(AND(ISNUMBER(A817),A818&lt;A817),"Date hors ordre","OK"))))))))</f>
        <v/>
      </c>
      <c r="M818" s="39" t="str">
        <f>IF(C818="","",C818&amp;"#"&amp;COUNTIF($C$5:C818,C818))</f>
        <v/>
      </c>
    </row>
    <row r="819">
      <c r="A819" s="41" t="n"/>
      <c r="B819" s="37" t="n"/>
      <c r="C819" s="37" t="n"/>
      <c r="D819" s="39" t="str">
        <f>IF(C819="","",IFERROR(INDEX(art_des,MATCH(C819,art_ref,0))&amp;"","Référence inconnue"))</f>
        <v/>
      </c>
      <c r="E819" s="37" t="n"/>
      <c r="F819" s="39" t="str">
        <f>IF(C819="","",IFERROR(INDEX(art_unit,MATCH(C819,art_ref,0))&amp;"",""))</f>
        <v/>
      </c>
      <c r="G819" s="37" t="n"/>
      <c r="H819" s="37" t="n"/>
      <c r="I819" s="37" t="n"/>
      <c r="J819" s="40" t="str">
        <f>IF(OR(C819="",NOT(ISNUMBER(E819))),"",IFERROR(E819*N(INDEX(art_price,MATCH(C819,art_ref,0))),""))</f>
        <v/>
      </c>
      <c r="K819" s="39" t="str">
        <f>IF(OR(C819="",NOT(ISNUMBER(E819))),"",IFERROR(ROUND(N(INDEX(art_init,MATCH(C819,art_ref,0)))+SUMIFS($E$5:E819,$C$5:C819,C819,$B$5:B819,"Entrée")-SUMIFS($E$5:E819,$C$5:C819,C819,$B$5:B819,"Sortie"),6),""))</f>
        <v/>
      </c>
      <c r="L819" s="39" t="str">
        <f>IF(COUNTA(A819:C819,E819)=0,"",IF(COUNTA(A819:C819,E819)&lt;4,"Ligne incomplète",IF(NOT(ISNUMBER(A819)),"Date invalide",IF(AND(B819&lt;&gt;"Entrée",B819&lt;&gt;"Sortie"),"Type inconnu",IF(ISNA(MATCH(C819,art_ref,0)),"Référence inconnue",IF(OR(NOT(ISNUMBER(E819)),N(E819)&lt;=0),"Quantité invalide",IF(K819&lt;0,"Stock négatif",IF(AND(ISNUMBER(A818),A819&lt;A818),"Date hors ordre","OK"))))))))</f>
        <v/>
      </c>
      <c r="M819" s="39" t="str">
        <f>IF(C819="","",C819&amp;"#"&amp;COUNTIF($C$5:C819,C819))</f>
        <v/>
      </c>
    </row>
    <row r="820">
      <c r="A820" s="41" t="n"/>
      <c r="B820" s="37" t="n"/>
      <c r="C820" s="37" t="n"/>
      <c r="D820" s="39" t="str">
        <f>IF(C820="","",IFERROR(INDEX(art_des,MATCH(C820,art_ref,0))&amp;"","Référence inconnue"))</f>
        <v/>
      </c>
      <c r="E820" s="37" t="n"/>
      <c r="F820" s="39" t="str">
        <f>IF(C820="","",IFERROR(INDEX(art_unit,MATCH(C820,art_ref,0))&amp;"",""))</f>
        <v/>
      </c>
      <c r="G820" s="37" t="n"/>
      <c r="H820" s="37" t="n"/>
      <c r="I820" s="37" t="n"/>
      <c r="J820" s="40" t="str">
        <f>IF(OR(C820="",NOT(ISNUMBER(E820))),"",IFERROR(E820*N(INDEX(art_price,MATCH(C820,art_ref,0))),""))</f>
        <v/>
      </c>
      <c r="K820" s="39" t="str">
        <f>IF(OR(C820="",NOT(ISNUMBER(E820))),"",IFERROR(ROUND(N(INDEX(art_init,MATCH(C820,art_ref,0)))+SUMIFS($E$5:E820,$C$5:C820,C820,$B$5:B820,"Entrée")-SUMIFS($E$5:E820,$C$5:C820,C820,$B$5:B820,"Sortie"),6),""))</f>
        <v/>
      </c>
      <c r="L820" s="39" t="str">
        <f>IF(COUNTA(A820:C820,E820)=0,"",IF(COUNTA(A820:C820,E820)&lt;4,"Ligne incomplète",IF(NOT(ISNUMBER(A820)),"Date invalide",IF(AND(B820&lt;&gt;"Entrée",B820&lt;&gt;"Sortie"),"Type inconnu",IF(ISNA(MATCH(C820,art_ref,0)),"Référence inconnue",IF(OR(NOT(ISNUMBER(E820)),N(E820)&lt;=0),"Quantité invalide",IF(K820&lt;0,"Stock négatif",IF(AND(ISNUMBER(A819),A820&lt;A819),"Date hors ordre","OK"))))))))</f>
        <v/>
      </c>
      <c r="M820" s="39" t="str">
        <f>IF(C820="","",C820&amp;"#"&amp;COUNTIF($C$5:C820,C820))</f>
        <v/>
      </c>
    </row>
    <row r="821">
      <c r="A821" s="41" t="n"/>
      <c r="B821" s="37" t="n"/>
      <c r="C821" s="37" t="n"/>
      <c r="D821" s="39" t="str">
        <f>IF(C821="","",IFERROR(INDEX(art_des,MATCH(C821,art_ref,0))&amp;"","Référence inconnue"))</f>
        <v/>
      </c>
      <c r="E821" s="37" t="n"/>
      <c r="F821" s="39" t="str">
        <f>IF(C821="","",IFERROR(INDEX(art_unit,MATCH(C821,art_ref,0))&amp;"",""))</f>
        <v/>
      </c>
      <c r="G821" s="37" t="n"/>
      <c r="H821" s="37" t="n"/>
      <c r="I821" s="37" t="n"/>
      <c r="J821" s="40" t="str">
        <f>IF(OR(C821="",NOT(ISNUMBER(E821))),"",IFERROR(E821*N(INDEX(art_price,MATCH(C821,art_ref,0))),""))</f>
        <v/>
      </c>
      <c r="K821" s="39" t="str">
        <f>IF(OR(C821="",NOT(ISNUMBER(E821))),"",IFERROR(ROUND(N(INDEX(art_init,MATCH(C821,art_ref,0)))+SUMIFS($E$5:E821,$C$5:C821,C821,$B$5:B821,"Entrée")-SUMIFS($E$5:E821,$C$5:C821,C821,$B$5:B821,"Sortie"),6),""))</f>
        <v/>
      </c>
      <c r="L821" s="39" t="str">
        <f>IF(COUNTA(A821:C821,E821)=0,"",IF(COUNTA(A821:C821,E821)&lt;4,"Ligne incomplète",IF(NOT(ISNUMBER(A821)),"Date invalide",IF(AND(B821&lt;&gt;"Entrée",B821&lt;&gt;"Sortie"),"Type inconnu",IF(ISNA(MATCH(C821,art_ref,0)),"Référence inconnue",IF(OR(NOT(ISNUMBER(E821)),N(E821)&lt;=0),"Quantité invalide",IF(K821&lt;0,"Stock négatif",IF(AND(ISNUMBER(A820),A821&lt;A820),"Date hors ordre","OK"))))))))</f>
        <v/>
      </c>
      <c r="M821" s="39" t="str">
        <f>IF(C821="","",C821&amp;"#"&amp;COUNTIF($C$5:C821,C821))</f>
        <v/>
      </c>
    </row>
    <row r="822">
      <c r="A822" s="41" t="n"/>
      <c r="B822" s="37" t="n"/>
      <c r="C822" s="37" t="n"/>
      <c r="D822" s="39" t="str">
        <f>IF(C822="","",IFERROR(INDEX(art_des,MATCH(C822,art_ref,0))&amp;"","Référence inconnue"))</f>
        <v/>
      </c>
      <c r="E822" s="37" t="n"/>
      <c r="F822" s="39" t="str">
        <f>IF(C822="","",IFERROR(INDEX(art_unit,MATCH(C822,art_ref,0))&amp;"",""))</f>
        <v/>
      </c>
      <c r="G822" s="37" t="n"/>
      <c r="H822" s="37" t="n"/>
      <c r="I822" s="37" t="n"/>
      <c r="J822" s="40" t="str">
        <f>IF(OR(C822="",NOT(ISNUMBER(E822))),"",IFERROR(E822*N(INDEX(art_price,MATCH(C822,art_ref,0))),""))</f>
        <v/>
      </c>
      <c r="K822" s="39" t="str">
        <f>IF(OR(C822="",NOT(ISNUMBER(E822))),"",IFERROR(ROUND(N(INDEX(art_init,MATCH(C822,art_ref,0)))+SUMIFS($E$5:E822,$C$5:C822,C822,$B$5:B822,"Entrée")-SUMIFS($E$5:E822,$C$5:C822,C822,$B$5:B822,"Sortie"),6),""))</f>
        <v/>
      </c>
      <c r="L822" s="39" t="str">
        <f>IF(COUNTA(A822:C822,E822)=0,"",IF(COUNTA(A822:C822,E822)&lt;4,"Ligne incomplète",IF(NOT(ISNUMBER(A822)),"Date invalide",IF(AND(B822&lt;&gt;"Entrée",B822&lt;&gt;"Sortie"),"Type inconnu",IF(ISNA(MATCH(C822,art_ref,0)),"Référence inconnue",IF(OR(NOT(ISNUMBER(E822)),N(E822)&lt;=0),"Quantité invalide",IF(K822&lt;0,"Stock négatif",IF(AND(ISNUMBER(A821),A822&lt;A821),"Date hors ordre","OK"))))))))</f>
        <v/>
      </c>
      <c r="M822" s="39" t="str">
        <f>IF(C822="","",C822&amp;"#"&amp;COUNTIF($C$5:C822,C822))</f>
        <v/>
      </c>
    </row>
    <row r="823">
      <c r="A823" s="41" t="n"/>
      <c r="B823" s="37" t="n"/>
      <c r="C823" s="37" t="n"/>
      <c r="D823" s="39" t="str">
        <f>IF(C823="","",IFERROR(INDEX(art_des,MATCH(C823,art_ref,0))&amp;"","Référence inconnue"))</f>
        <v/>
      </c>
      <c r="E823" s="37" t="n"/>
      <c r="F823" s="39" t="str">
        <f>IF(C823="","",IFERROR(INDEX(art_unit,MATCH(C823,art_ref,0))&amp;"",""))</f>
        <v/>
      </c>
      <c r="G823" s="37" t="n"/>
      <c r="H823" s="37" t="n"/>
      <c r="I823" s="37" t="n"/>
      <c r="J823" s="40" t="str">
        <f>IF(OR(C823="",NOT(ISNUMBER(E823))),"",IFERROR(E823*N(INDEX(art_price,MATCH(C823,art_ref,0))),""))</f>
        <v/>
      </c>
      <c r="K823" s="39" t="str">
        <f>IF(OR(C823="",NOT(ISNUMBER(E823))),"",IFERROR(ROUND(N(INDEX(art_init,MATCH(C823,art_ref,0)))+SUMIFS($E$5:E823,$C$5:C823,C823,$B$5:B823,"Entrée")-SUMIFS($E$5:E823,$C$5:C823,C823,$B$5:B823,"Sortie"),6),""))</f>
        <v/>
      </c>
      <c r="L823" s="39" t="str">
        <f>IF(COUNTA(A823:C823,E823)=0,"",IF(COUNTA(A823:C823,E823)&lt;4,"Ligne incomplète",IF(NOT(ISNUMBER(A823)),"Date invalide",IF(AND(B823&lt;&gt;"Entrée",B823&lt;&gt;"Sortie"),"Type inconnu",IF(ISNA(MATCH(C823,art_ref,0)),"Référence inconnue",IF(OR(NOT(ISNUMBER(E823)),N(E823)&lt;=0),"Quantité invalide",IF(K823&lt;0,"Stock négatif",IF(AND(ISNUMBER(A822),A823&lt;A822),"Date hors ordre","OK"))))))))</f>
        <v/>
      </c>
      <c r="M823" s="39" t="str">
        <f>IF(C823="","",C823&amp;"#"&amp;COUNTIF($C$5:C823,C823))</f>
        <v/>
      </c>
    </row>
    <row r="824">
      <c r="A824" s="41" t="n"/>
      <c r="B824" s="37" t="n"/>
      <c r="C824" s="37" t="n"/>
      <c r="D824" s="39" t="str">
        <f>IF(C824="","",IFERROR(INDEX(art_des,MATCH(C824,art_ref,0))&amp;"","Référence inconnue"))</f>
        <v/>
      </c>
      <c r="E824" s="37" t="n"/>
      <c r="F824" s="39" t="str">
        <f>IF(C824="","",IFERROR(INDEX(art_unit,MATCH(C824,art_ref,0))&amp;"",""))</f>
        <v/>
      </c>
      <c r="G824" s="37" t="n"/>
      <c r="H824" s="37" t="n"/>
      <c r="I824" s="37" t="n"/>
      <c r="J824" s="40" t="str">
        <f>IF(OR(C824="",NOT(ISNUMBER(E824))),"",IFERROR(E824*N(INDEX(art_price,MATCH(C824,art_ref,0))),""))</f>
        <v/>
      </c>
      <c r="K824" s="39" t="str">
        <f>IF(OR(C824="",NOT(ISNUMBER(E824))),"",IFERROR(ROUND(N(INDEX(art_init,MATCH(C824,art_ref,0)))+SUMIFS($E$5:E824,$C$5:C824,C824,$B$5:B824,"Entrée")-SUMIFS($E$5:E824,$C$5:C824,C824,$B$5:B824,"Sortie"),6),""))</f>
        <v/>
      </c>
      <c r="L824" s="39" t="str">
        <f>IF(COUNTA(A824:C824,E824)=0,"",IF(COUNTA(A824:C824,E824)&lt;4,"Ligne incomplète",IF(NOT(ISNUMBER(A824)),"Date invalide",IF(AND(B824&lt;&gt;"Entrée",B824&lt;&gt;"Sortie"),"Type inconnu",IF(ISNA(MATCH(C824,art_ref,0)),"Référence inconnue",IF(OR(NOT(ISNUMBER(E824)),N(E824)&lt;=0),"Quantité invalide",IF(K824&lt;0,"Stock négatif",IF(AND(ISNUMBER(A823),A824&lt;A823),"Date hors ordre","OK"))))))))</f>
        <v/>
      </c>
      <c r="M824" s="39" t="str">
        <f>IF(C824="","",C824&amp;"#"&amp;COUNTIF($C$5:C824,C824))</f>
        <v/>
      </c>
    </row>
    <row r="825">
      <c r="A825" s="41" t="n"/>
      <c r="B825" s="37" t="n"/>
      <c r="C825" s="37" t="n"/>
      <c r="D825" s="39" t="str">
        <f>IF(C825="","",IFERROR(INDEX(art_des,MATCH(C825,art_ref,0))&amp;"","Référence inconnue"))</f>
        <v/>
      </c>
      <c r="E825" s="37" t="n"/>
      <c r="F825" s="39" t="str">
        <f>IF(C825="","",IFERROR(INDEX(art_unit,MATCH(C825,art_ref,0))&amp;"",""))</f>
        <v/>
      </c>
      <c r="G825" s="37" t="n"/>
      <c r="H825" s="37" t="n"/>
      <c r="I825" s="37" t="n"/>
      <c r="J825" s="40" t="str">
        <f>IF(OR(C825="",NOT(ISNUMBER(E825))),"",IFERROR(E825*N(INDEX(art_price,MATCH(C825,art_ref,0))),""))</f>
        <v/>
      </c>
      <c r="K825" s="39" t="str">
        <f>IF(OR(C825="",NOT(ISNUMBER(E825))),"",IFERROR(ROUND(N(INDEX(art_init,MATCH(C825,art_ref,0)))+SUMIFS($E$5:E825,$C$5:C825,C825,$B$5:B825,"Entrée")-SUMIFS($E$5:E825,$C$5:C825,C825,$B$5:B825,"Sortie"),6),""))</f>
        <v/>
      </c>
      <c r="L825" s="39" t="str">
        <f>IF(COUNTA(A825:C825,E825)=0,"",IF(COUNTA(A825:C825,E825)&lt;4,"Ligne incomplète",IF(NOT(ISNUMBER(A825)),"Date invalide",IF(AND(B825&lt;&gt;"Entrée",B825&lt;&gt;"Sortie"),"Type inconnu",IF(ISNA(MATCH(C825,art_ref,0)),"Référence inconnue",IF(OR(NOT(ISNUMBER(E825)),N(E825)&lt;=0),"Quantité invalide",IF(K825&lt;0,"Stock négatif",IF(AND(ISNUMBER(A824),A825&lt;A824),"Date hors ordre","OK"))))))))</f>
        <v/>
      </c>
      <c r="M825" s="39" t="str">
        <f>IF(C825="","",C825&amp;"#"&amp;COUNTIF($C$5:C825,C825))</f>
        <v/>
      </c>
    </row>
    <row r="826">
      <c r="A826" s="41" t="n"/>
      <c r="B826" s="37" t="n"/>
      <c r="C826" s="37" t="n"/>
      <c r="D826" s="39" t="str">
        <f>IF(C826="","",IFERROR(INDEX(art_des,MATCH(C826,art_ref,0))&amp;"","Référence inconnue"))</f>
        <v/>
      </c>
      <c r="E826" s="37" t="n"/>
      <c r="F826" s="39" t="str">
        <f>IF(C826="","",IFERROR(INDEX(art_unit,MATCH(C826,art_ref,0))&amp;"",""))</f>
        <v/>
      </c>
      <c r="G826" s="37" t="n"/>
      <c r="H826" s="37" t="n"/>
      <c r="I826" s="37" t="n"/>
      <c r="J826" s="40" t="str">
        <f>IF(OR(C826="",NOT(ISNUMBER(E826))),"",IFERROR(E826*N(INDEX(art_price,MATCH(C826,art_ref,0))),""))</f>
        <v/>
      </c>
      <c r="K826" s="39" t="str">
        <f>IF(OR(C826="",NOT(ISNUMBER(E826))),"",IFERROR(ROUND(N(INDEX(art_init,MATCH(C826,art_ref,0)))+SUMIFS($E$5:E826,$C$5:C826,C826,$B$5:B826,"Entrée")-SUMIFS($E$5:E826,$C$5:C826,C826,$B$5:B826,"Sortie"),6),""))</f>
        <v/>
      </c>
      <c r="L826" s="39" t="str">
        <f>IF(COUNTA(A826:C826,E826)=0,"",IF(COUNTA(A826:C826,E826)&lt;4,"Ligne incomplète",IF(NOT(ISNUMBER(A826)),"Date invalide",IF(AND(B826&lt;&gt;"Entrée",B826&lt;&gt;"Sortie"),"Type inconnu",IF(ISNA(MATCH(C826,art_ref,0)),"Référence inconnue",IF(OR(NOT(ISNUMBER(E826)),N(E826)&lt;=0),"Quantité invalide",IF(K826&lt;0,"Stock négatif",IF(AND(ISNUMBER(A825),A826&lt;A825),"Date hors ordre","OK"))))))))</f>
        <v/>
      </c>
      <c r="M826" s="39" t="str">
        <f>IF(C826="","",C826&amp;"#"&amp;COUNTIF($C$5:C826,C826))</f>
        <v/>
      </c>
    </row>
    <row r="827">
      <c r="A827" s="41" t="n"/>
      <c r="B827" s="37" t="n"/>
      <c r="C827" s="37" t="n"/>
      <c r="D827" s="39" t="str">
        <f>IF(C827="","",IFERROR(INDEX(art_des,MATCH(C827,art_ref,0))&amp;"","Référence inconnue"))</f>
        <v/>
      </c>
      <c r="E827" s="37" t="n"/>
      <c r="F827" s="39" t="str">
        <f>IF(C827="","",IFERROR(INDEX(art_unit,MATCH(C827,art_ref,0))&amp;"",""))</f>
        <v/>
      </c>
      <c r="G827" s="37" t="n"/>
      <c r="H827" s="37" t="n"/>
      <c r="I827" s="37" t="n"/>
      <c r="J827" s="40" t="str">
        <f>IF(OR(C827="",NOT(ISNUMBER(E827))),"",IFERROR(E827*N(INDEX(art_price,MATCH(C827,art_ref,0))),""))</f>
        <v/>
      </c>
      <c r="K827" s="39" t="str">
        <f>IF(OR(C827="",NOT(ISNUMBER(E827))),"",IFERROR(ROUND(N(INDEX(art_init,MATCH(C827,art_ref,0)))+SUMIFS($E$5:E827,$C$5:C827,C827,$B$5:B827,"Entrée")-SUMIFS($E$5:E827,$C$5:C827,C827,$B$5:B827,"Sortie"),6),""))</f>
        <v/>
      </c>
      <c r="L827" s="39" t="str">
        <f>IF(COUNTA(A827:C827,E827)=0,"",IF(COUNTA(A827:C827,E827)&lt;4,"Ligne incomplète",IF(NOT(ISNUMBER(A827)),"Date invalide",IF(AND(B827&lt;&gt;"Entrée",B827&lt;&gt;"Sortie"),"Type inconnu",IF(ISNA(MATCH(C827,art_ref,0)),"Référence inconnue",IF(OR(NOT(ISNUMBER(E827)),N(E827)&lt;=0),"Quantité invalide",IF(K827&lt;0,"Stock négatif",IF(AND(ISNUMBER(A826),A827&lt;A826),"Date hors ordre","OK"))))))))</f>
        <v/>
      </c>
      <c r="M827" s="39" t="str">
        <f>IF(C827="","",C827&amp;"#"&amp;COUNTIF($C$5:C827,C827))</f>
        <v/>
      </c>
    </row>
    <row r="828">
      <c r="A828" s="41" t="n"/>
      <c r="B828" s="37" t="n"/>
      <c r="C828" s="37" t="n"/>
      <c r="D828" s="39" t="str">
        <f>IF(C828="","",IFERROR(INDEX(art_des,MATCH(C828,art_ref,0))&amp;"","Référence inconnue"))</f>
        <v/>
      </c>
      <c r="E828" s="37" t="n"/>
      <c r="F828" s="39" t="str">
        <f>IF(C828="","",IFERROR(INDEX(art_unit,MATCH(C828,art_ref,0))&amp;"",""))</f>
        <v/>
      </c>
      <c r="G828" s="37" t="n"/>
      <c r="H828" s="37" t="n"/>
      <c r="I828" s="37" t="n"/>
      <c r="J828" s="40" t="str">
        <f>IF(OR(C828="",NOT(ISNUMBER(E828))),"",IFERROR(E828*N(INDEX(art_price,MATCH(C828,art_ref,0))),""))</f>
        <v/>
      </c>
      <c r="K828" s="39" t="str">
        <f>IF(OR(C828="",NOT(ISNUMBER(E828))),"",IFERROR(ROUND(N(INDEX(art_init,MATCH(C828,art_ref,0)))+SUMIFS($E$5:E828,$C$5:C828,C828,$B$5:B828,"Entrée")-SUMIFS($E$5:E828,$C$5:C828,C828,$B$5:B828,"Sortie"),6),""))</f>
        <v/>
      </c>
      <c r="L828" s="39" t="str">
        <f>IF(COUNTA(A828:C828,E828)=0,"",IF(COUNTA(A828:C828,E828)&lt;4,"Ligne incomplète",IF(NOT(ISNUMBER(A828)),"Date invalide",IF(AND(B828&lt;&gt;"Entrée",B828&lt;&gt;"Sortie"),"Type inconnu",IF(ISNA(MATCH(C828,art_ref,0)),"Référence inconnue",IF(OR(NOT(ISNUMBER(E828)),N(E828)&lt;=0),"Quantité invalide",IF(K828&lt;0,"Stock négatif",IF(AND(ISNUMBER(A827),A828&lt;A827),"Date hors ordre","OK"))))))))</f>
        <v/>
      </c>
      <c r="M828" s="39" t="str">
        <f>IF(C828="","",C828&amp;"#"&amp;COUNTIF($C$5:C828,C828))</f>
        <v/>
      </c>
    </row>
    <row r="829">
      <c r="A829" s="41" t="n"/>
      <c r="B829" s="37" t="n"/>
      <c r="C829" s="37" t="n"/>
      <c r="D829" s="39" t="str">
        <f>IF(C829="","",IFERROR(INDEX(art_des,MATCH(C829,art_ref,0))&amp;"","Référence inconnue"))</f>
        <v/>
      </c>
      <c r="E829" s="37" t="n"/>
      <c r="F829" s="39" t="str">
        <f>IF(C829="","",IFERROR(INDEX(art_unit,MATCH(C829,art_ref,0))&amp;"",""))</f>
        <v/>
      </c>
      <c r="G829" s="37" t="n"/>
      <c r="H829" s="37" t="n"/>
      <c r="I829" s="37" t="n"/>
      <c r="J829" s="40" t="str">
        <f>IF(OR(C829="",NOT(ISNUMBER(E829))),"",IFERROR(E829*N(INDEX(art_price,MATCH(C829,art_ref,0))),""))</f>
        <v/>
      </c>
      <c r="K829" s="39" t="str">
        <f>IF(OR(C829="",NOT(ISNUMBER(E829))),"",IFERROR(ROUND(N(INDEX(art_init,MATCH(C829,art_ref,0)))+SUMIFS($E$5:E829,$C$5:C829,C829,$B$5:B829,"Entrée")-SUMIFS($E$5:E829,$C$5:C829,C829,$B$5:B829,"Sortie"),6),""))</f>
        <v/>
      </c>
      <c r="L829" s="39" t="str">
        <f>IF(COUNTA(A829:C829,E829)=0,"",IF(COUNTA(A829:C829,E829)&lt;4,"Ligne incomplète",IF(NOT(ISNUMBER(A829)),"Date invalide",IF(AND(B829&lt;&gt;"Entrée",B829&lt;&gt;"Sortie"),"Type inconnu",IF(ISNA(MATCH(C829,art_ref,0)),"Référence inconnue",IF(OR(NOT(ISNUMBER(E829)),N(E829)&lt;=0),"Quantité invalide",IF(K829&lt;0,"Stock négatif",IF(AND(ISNUMBER(A828),A829&lt;A828),"Date hors ordre","OK"))))))))</f>
        <v/>
      </c>
      <c r="M829" s="39" t="str">
        <f>IF(C829="","",C829&amp;"#"&amp;COUNTIF($C$5:C829,C829))</f>
        <v/>
      </c>
    </row>
    <row r="830">
      <c r="A830" s="41" t="n"/>
      <c r="B830" s="37" t="n"/>
      <c r="C830" s="37" t="n"/>
      <c r="D830" s="39" t="str">
        <f>IF(C830="","",IFERROR(INDEX(art_des,MATCH(C830,art_ref,0))&amp;"","Référence inconnue"))</f>
        <v/>
      </c>
      <c r="E830" s="37" t="n"/>
      <c r="F830" s="39" t="str">
        <f>IF(C830="","",IFERROR(INDEX(art_unit,MATCH(C830,art_ref,0))&amp;"",""))</f>
        <v/>
      </c>
      <c r="G830" s="37" t="n"/>
      <c r="H830" s="37" t="n"/>
      <c r="I830" s="37" t="n"/>
      <c r="J830" s="40" t="str">
        <f>IF(OR(C830="",NOT(ISNUMBER(E830))),"",IFERROR(E830*N(INDEX(art_price,MATCH(C830,art_ref,0))),""))</f>
        <v/>
      </c>
      <c r="K830" s="39" t="str">
        <f>IF(OR(C830="",NOT(ISNUMBER(E830))),"",IFERROR(ROUND(N(INDEX(art_init,MATCH(C830,art_ref,0)))+SUMIFS($E$5:E830,$C$5:C830,C830,$B$5:B830,"Entrée")-SUMIFS($E$5:E830,$C$5:C830,C830,$B$5:B830,"Sortie"),6),""))</f>
        <v/>
      </c>
      <c r="L830" s="39" t="str">
        <f>IF(COUNTA(A830:C830,E830)=0,"",IF(COUNTA(A830:C830,E830)&lt;4,"Ligne incomplète",IF(NOT(ISNUMBER(A830)),"Date invalide",IF(AND(B830&lt;&gt;"Entrée",B830&lt;&gt;"Sortie"),"Type inconnu",IF(ISNA(MATCH(C830,art_ref,0)),"Référence inconnue",IF(OR(NOT(ISNUMBER(E830)),N(E830)&lt;=0),"Quantité invalide",IF(K830&lt;0,"Stock négatif",IF(AND(ISNUMBER(A829),A830&lt;A829),"Date hors ordre","OK"))))))))</f>
        <v/>
      </c>
      <c r="M830" s="39" t="str">
        <f>IF(C830="","",C830&amp;"#"&amp;COUNTIF($C$5:C830,C830))</f>
        <v/>
      </c>
    </row>
    <row r="831">
      <c r="A831" s="41" t="n"/>
      <c r="B831" s="37" t="n"/>
      <c r="C831" s="37" t="n"/>
      <c r="D831" s="39" t="str">
        <f>IF(C831="","",IFERROR(INDEX(art_des,MATCH(C831,art_ref,0))&amp;"","Référence inconnue"))</f>
        <v/>
      </c>
      <c r="E831" s="37" t="n"/>
      <c r="F831" s="39" t="str">
        <f>IF(C831="","",IFERROR(INDEX(art_unit,MATCH(C831,art_ref,0))&amp;"",""))</f>
        <v/>
      </c>
      <c r="G831" s="37" t="n"/>
      <c r="H831" s="37" t="n"/>
      <c r="I831" s="37" t="n"/>
      <c r="J831" s="40" t="str">
        <f>IF(OR(C831="",NOT(ISNUMBER(E831))),"",IFERROR(E831*N(INDEX(art_price,MATCH(C831,art_ref,0))),""))</f>
        <v/>
      </c>
      <c r="K831" s="39" t="str">
        <f>IF(OR(C831="",NOT(ISNUMBER(E831))),"",IFERROR(ROUND(N(INDEX(art_init,MATCH(C831,art_ref,0)))+SUMIFS($E$5:E831,$C$5:C831,C831,$B$5:B831,"Entrée")-SUMIFS($E$5:E831,$C$5:C831,C831,$B$5:B831,"Sortie"),6),""))</f>
        <v/>
      </c>
      <c r="L831" s="39" t="str">
        <f>IF(COUNTA(A831:C831,E831)=0,"",IF(COUNTA(A831:C831,E831)&lt;4,"Ligne incomplète",IF(NOT(ISNUMBER(A831)),"Date invalide",IF(AND(B831&lt;&gt;"Entrée",B831&lt;&gt;"Sortie"),"Type inconnu",IF(ISNA(MATCH(C831,art_ref,0)),"Référence inconnue",IF(OR(NOT(ISNUMBER(E831)),N(E831)&lt;=0),"Quantité invalide",IF(K831&lt;0,"Stock négatif",IF(AND(ISNUMBER(A830),A831&lt;A830),"Date hors ordre","OK"))))))))</f>
        <v/>
      </c>
      <c r="M831" s="39" t="str">
        <f>IF(C831="","",C831&amp;"#"&amp;COUNTIF($C$5:C831,C831))</f>
        <v/>
      </c>
    </row>
    <row r="832">
      <c r="A832" s="41" t="n"/>
      <c r="B832" s="37" t="n"/>
      <c r="C832" s="37" t="n"/>
      <c r="D832" s="39" t="str">
        <f>IF(C832="","",IFERROR(INDEX(art_des,MATCH(C832,art_ref,0))&amp;"","Référence inconnue"))</f>
        <v/>
      </c>
      <c r="E832" s="37" t="n"/>
      <c r="F832" s="39" t="str">
        <f>IF(C832="","",IFERROR(INDEX(art_unit,MATCH(C832,art_ref,0))&amp;"",""))</f>
        <v/>
      </c>
      <c r="G832" s="37" t="n"/>
      <c r="H832" s="37" t="n"/>
      <c r="I832" s="37" t="n"/>
      <c r="J832" s="40" t="str">
        <f>IF(OR(C832="",NOT(ISNUMBER(E832))),"",IFERROR(E832*N(INDEX(art_price,MATCH(C832,art_ref,0))),""))</f>
        <v/>
      </c>
      <c r="K832" s="39" t="str">
        <f>IF(OR(C832="",NOT(ISNUMBER(E832))),"",IFERROR(ROUND(N(INDEX(art_init,MATCH(C832,art_ref,0)))+SUMIFS($E$5:E832,$C$5:C832,C832,$B$5:B832,"Entrée")-SUMIFS($E$5:E832,$C$5:C832,C832,$B$5:B832,"Sortie"),6),""))</f>
        <v/>
      </c>
      <c r="L832" s="39" t="str">
        <f>IF(COUNTA(A832:C832,E832)=0,"",IF(COUNTA(A832:C832,E832)&lt;4,"Ligne incomplète",IF(NOT(ISNUMBER(A832)),"Date invalide",IF(AND(B832&lt;&gt;"Entrée",B832&lt;&gt;"Sortie"),"Type inconnu",IF(ISNA(MATCH(C832,art_ref,0)),"Référence inconnue",IF(OR(NOT(ISNUMBER(E832)),N(E832)&lt;=0),"Quantité invalide",IF(K832&lt;0,"Stock négatif",IF(AND(ISNUMBER(A831),A832&lt;A831),"Date hors ordre","OK"))))))))</f>
        <v/>
      </c>
      <c r="M832" s="39" t="str">
        <f>IF(C832="","",C832&amp;"#"&amp;COUNTIF($C$5:C832,C832))</f>
        <v/>
      </c>
    </row>
    <row r="833">
      <c r="A833" s="41" t="n"/>
      <c r="B833" s="37" t="n"/>
      <c r="C833" s="37" t="n"/>
      <c r="D833" s="39" t="str">
        <f>IF(C833="","",IFERROR(INDEX(art_des,MATCH(C833,art_ref,0))&amp;"","Référence inconnue"))</f>
        <v/>
      </c>
      <c r="E833" s="37" t="n"/>
      <c r="F833" s="39" t="str">
        <f>IF(C833="","",IFERROR(INDEX(art_unit,MATCH(C833,art_ref,0))&amp;"",""))</f>
        <v/>
      </c>
      <c r="G833" s="37" t="n"/>
      <c r="H833" s="37" t="n"/>
      <c r="I833" s="37" t="n"/>
      <c r="J833" s="40" t="str">
        <f>IF(OR(C833="",NOT(ISNUMBER(E833))),"",IFERROR(E833*N(INDEX(art_price,MATCH(C833,art_ref,0))),""))</f>
        <v/>
      </c>
      <c r="K833" s="39" t="str">
        <f>IF(OR(C833="",NOT(ISNUMBER(E833))),"",IFERROR(ROUND(N(INDEX(art_init,MATCH(C833,art_ref,0)))+SUMIFS($E$5:E833,$C$5:C833,C833,$B$5:B833,"Entrée")-SUMIFS($E$5:E833,$C$5:C833,C833,$B$5:B833,"Sortie"),6),""))</f>
        <v/>
      </c>
      <c r="L833" s="39" t="str">
        <f>IF(COUNTA(A833:C833,E833)=0,"",IF(COUNTA(A833:C833,E833)&lt;4,"Ligne incomplète",IF(NOT(ISNUMBER(A833)),"Date invalide",IF(AND(B833&lt;&gt;"Entrée",B833&lt;&gt;"Sortie"),"Type inconnu",IF(ISNA(MATCH(C833,art_ref,0)),"Référence inconnue",IF(OR(NOT(ISNUMBER(E833)),N(E833)&lt;=0),"Quantité invalide",IF(K833&lt;0,"Stock négatif",IF(AND(ISNUMBER(A832),A833&lt;A832),"Date hors ordre","OK"))))))))</f>
        <v/>
      </c>
      <c r="M833" s="39" t="str">
        <f>IF(C833="","",C833&amp;"#"&amp;COUNTIF($C$5:C833,C833))</f>
        <v/>
      </c>
    </row>
    <row r="834">
      <c r="A834" s="41" t="n"/>
      <c r="B834" s="37" t="n"/>
      <c r="C834" s="37" t="n"/>
      <c r="D834" s="39" t="str">
        <f>IF(C834="","",IFERROR(INDEX(art_des,MATCH(C834,art_ref,0))&amp;"","Référence inconnue"))</f>
        <v/>
      </c>
      <c r="E834" s="37" t="n"/>
      <c r="F834" s="39" t="str">
        <f>IF(C834="","",IFERROR(INDEX(art_unit,MATCH(C834,art_ref,0))&amp;"",""))</f>
        <v/>
      </c>
      <c r="G834" s="37" t="n"/>
      <c r="H834" s="37" t="n"/>
      <c r="I834" s="37" t="n"/>
      <c r="J834" s="40" t="str">
        <f>IF(OR(C834="",NOT(ISNUMBER(E834))),"",IFERROR(E834*N(INDEX(art_price,MATCH(C834,art_ref,0))),""))</f>
        <v/>
      </c>
      <c r="K834" s="39" t="str">
        <f>IF(OR(C834="",NOT(ISNUMBER(E834))),"",IFERROR(ROUND(N(INDEX(art_init,MATCH(C834,art_ref,0)))+SUMIFS($E$5:E834,$C$5:C834,C834,$B$5:B834,"Entrée")-SUMIFS($E$5:E834,$C$5:C834,C834,$B$5:B834,"Sortie"),6),""))</f>
        <v/>
      </c>
      <c r="L834" s="39" t="str">
        <f>IF(COUNTA(A834:C834,E834)=0,"",IF(COUNTA(A834:C834,E834)&lt;4,"Ligne incomplète",IF(NOT(ISNUMBER(A834)),"Date invalide",IF(AND(B834&lt;&gt;"Entrée",B834&lt;&gt;"Sortie"),"Type inconnu",IF(ISNA(MATCH(C834,art_ref,0)),"Référence inconnue",IF(OR(NOT(ISNUMBER(E834)),N(E834)&lt;=0),"Quantité invalide",IF(K834&lt;0,"Stock négatif",IF(AND(ISNUMBER(A833),A834&lt;A833),"Date hors ordre","OK"))))))))</f>
        <v/>
      </c>
      <c r="M834" s="39" t="str">
        <f>IF(C834="","",C834&amp;"#"&amp;COUNTIF($C$5:C834,C834))</f>
        <v/>
      </c>
    </row>
    <row r="835">
      <c r="A835" s="41" t="n"/>
      <c r="B835" s="37" t="n"/>
      <c r="C835" s="37" t="n"/>
      <c r="D835" s="39" t="str">
        <f>IF(C835="","",IFERROR(INDEX(art_des,MATCH(C835,art_ref,0))&amp;"","Référence inconnue"))</f>
        <v/>
      </c>
      <c r="E835" s="37" t="n"/>
      <c r="F835" s="39" t="str">
        <f>IF(C835="","",IFERROR(INDEX(art_unit,MATCH(C835,art_ref,0))&amp;"",""))</f>
        <v/>
      </c>
      <c r="G835" s="37" t="n"/>
      <c r="H835" s="37" t="n"/>
      <c r="I835" s="37" t="n"/>
      <c r="J835" s="40" t="str">
        <f>IF(OR(C835="",NOT(ISNUMBER(E835))),"",IFERROR(E835*N(INDEX(art_price,MATCH(C835,art_ref,0))),""))</f>
        <v/>
      </c>
      <c r="K835" s="39" t="str">
        <f>IF(OR(C835="",NOT(ISNUMBER(E835))),"",IFERROR(ROUND(N(INDEX(art_init,MATCH(C835,art_ref,0)))+SUMIFS($E$5:E835,$C$5:C835,C835,$B$5:B835,"Entrée")-SUMIFS($E$5:E835,$C$5:C835,C835,$B$5:B835,"Sortie"),6),""))</f>
        <v/>
      </c>
      <c r="L835" s="39" t="str">
        <f>IF(COUNTA(A835:C835,E835)=0,"",IF(COUNTA(A835:C835,E835)&lt;4,"Ligne incomplète",IF(NOT(ISNUMBER(A835)),"Date invalide",IF(AND(B835&lt;&gt;"Entrée",B835&lt;&gt;"Sortie"),"Type inconnu",IF(ISNA(MATCH(C835,art_ref,0)),"Référence inconnue",IF(OR(NOT(ISNUMBER(E835)),N(E835)&lt;=0),"Quantité invalide",IF(K835&lt;0,"Stock négatif",IF(AND(ISNUMBER(A834),A835&lt;A834),"Date hors ordre","OK"))))))))</f>
        <v/>
      </c>
      <c r="M835" s="39" t="str">
        <f>IF(C835="","",C835&amp;"#"&amp;COUNTIF($C$5:C835,C835))</f>
        <v/>
      </c>
    </row>
    <row r="836">
      <c r="A836" s="41" t="n"/>
      <c r="B836" s="37" t="n"/>
      <c r="C836" s="37" t="n"/>
      <c r="D836" s="39" t="str">
        <f>IF(C836="","",IFERROR(INDEX(art_des,MATCH(C836,art_ref,0))&amp;"","Référence inconnue"))</f>
        <v/>
      </c>
      <c r="E836" s="37" t="n"/>
      <c r="F836" s="39" t="str">
        <f>IF(C836="","",IFERROR(INDEX(art_unit,MATCH(C836,art_ref,0))&amp;"",""))</f>
        <v/>
      </c>
      <c r="G836" s="37" t="n"/>
      <c r="H836" s="37" t="n"/>
      <c r="I836" s="37" t="n"/>
      <c r="J836" s="40" t="str">
        <f>IF(OR(C836="",NOT(ISNUMBER(E836))),"",IFERROR(E836*N(INDEX(art_price,MATCH(C836,art_ref,0))),""))</f>
        <v/>
      </c>
      <c r="K836" s="39" t="str">
        <f>IF(OR(C836="",NOT(ISNUMBER(E836))),"",IFERROR(ROUND(N(INDEX(art_init,MATCH(C836,art_ref,0)))+SUMIFS($E$5:E836,$C$5:C836,C836,$B$5:B836,"Entrée")-SUMIFS($E$5:E836,$C$5:C836,C836,$B$5:B836,"Sortie"),6),""))</f>
        <v/>
      </c>
      <c r="L836" s="39" t="str">
        <f>IF(COUNTA(A836:C836,E836)=0,"",IF(COUNTA(A836:C836,E836)&lt;4,"Ligne incomplète",IF(NOT(ISNUMBER(A836)),"Date invalide",IF(AND(B836&lt;&gt;"Entrée",B836&lt;&gt;"Sortie"),"Type inconnu",IF(ISNA(MATCH(C836,art_ref,0)),"Référence inconnue",IF(OR(NOT(ISNUMBER(E836)),N(E836)&lt;=0),"Quantité invalide",IF(K836&lt;0,"Stock négatif",IF(AND(ISNUMBER(A835),A836&lt;A835),"Date hors ordre","OK"))))))))</f>
        <v/>
      </c>
      <c r="M836" s="39" t="str">
        <f>IF(C836="","",C836&amp;"#"&amp;COUNTIF($C$5:C836,C836))</f>
        <v/>
      </c>
    </row>
    <row r="837">
      <c r="A837" s="41" t="n"/>
      <c r="B837" s="37" t="n"/>
      <c r="C837" s="37" t="n"/>
      <c r="D837" s="39" t="str">
        <f>IF(C837="","",IFERROR(INDEX(art_des,MATCH(C837,art_ref,0))&amp;"","Référence inconnue"))</f>
        <v/>
      </c>
      <c r="E837" s="37" t="n"/>
      <c r="F837" s="39" t="str">
        <f>IF(C837="","",IFERROR(INDEX(art_unit,MATCH(C837,art_ref,0))&amp;"",""))</f>
        <v/>
      </c>
      <c r="G837" s="37" t="n"/>
      <c r="H837" s="37" t="n"/>
      <c r="I837" s="37" t="n"/>
      <c r="J837" s="40" t="str">
        <f>IF(OR(C837="",NOT(ISNUMBER(E837))),"",IFERROR(E837*N(INDEX(art_price,MATCH(C837,art_ref,0))),""))</f>
        <v/>
      </c>
      <c r="K837" s="39" t="str">
        <f>IF(OR(C837="",NOT(ISNUMBER(E837))),"",IFERROR(ROUND(N(INDEX(art_init,MATCH(C837,art_ref,0)))+SUMIFS($E$5:E837,$C$5:C837,C837,$B$5:B837,"Entrée")-SUMIFS($E$5:E837,$C$5:C837,C837,$B$5:B837,"Sortie"),6),""))</f>
        <v/>
      </c>
      <c r="L837" s="39" t="str">
        <f>IF(COUNTA(A837:C837,E837)=0,"",IF(COUNTA(A837:C837,E837)&lt;4,"Ligne incomplète",IF(NOT(ISNUMBER(A837)),"Date invalide",IF(AND(B837&lt;&gt;"Entrée",B837&lt;&gt;"Sortie"),"Type inconnu",IF(ISNA(MATCH(C837,art_ref,0)),"Référence inconnue",IF(OR(NOT(ISNUMBER(E837)),N(E837)&lt;=0),"Quantité invalide",IF(K837&lt;0,"Stock négatif",IF(AND(ISNUMBER(A836),A837&lt;A836),"Date hors ordre","OK"))))))))</f>
        <v/>
      </c>
      <c r="M837" s="39" t="str">
        <f>IF(C837="","",C837&amp;"#"&amp;COUNTIF($C$5:C837,C837))</f>
        <v/>
      </c>
    </row>
    <row r="838">
      <c r="A838" s="41" t="n"/>
      <c r="B838" s="37" t="n"/>
      <c r="C838" s="37" t="n"/>
      <c r="D838" s="39" t="str">
        <f>IF(C838="","",IFERROR(INDEX(art_des,MATCH(C838,art_ref,0))&amp;"","Référence inconnue"))</f>
        <v/>
      </c>
      <c r="E838" s="37" t="n"/>
      <c r="F838" s="39" t="str">
        <f>IF(C838="","",IFERROR(INDEX(art_unit,MATCH(C838,art_ref,0))&amp;"",""))</f>
        <v/>
      </c>
      <c r="G838" s="37" t="n"/>
      <c r="H838" s="37" t="n"/>
      <c r="I838" s="37" t="n"/>
      <c r="J838" s="40" t="str">
        <f>IF(OR(C838="",NOT(ISNUMBER(E838))),"",IFERROR(E838*N(INDEX(art_price,MATCH(C838,art_ref,0))),""))</f>
        <v/>
      </c>
      <c r="K838" s="39" t="str">
        <f>IF(OR(C838="",NOT(ISNUMBER(E838))),"",IFERROR(ROUND(N(INDEX(art_init,MATCH(C838,art_ref,0)))+SUMIFS($E$5:E838,$C$5:C838,C838,$B$5:B838,"Entrée")-SUMIFS($E$5:E838,$C$5:C838,C838,$B$5:B838,"Sortie"),6),""))</f>
        <v/>
      </c>
      <c r="L838" s="39" t="str">
        <f>IF(COUNTA(A838:C838,E838)=0,"",IF(COUNTA(A838:C838,E838)&lt;4,"Ligne incomplète",IF(NOT(ISNUMBER(A838)),"Date invalide",IF(AND(B838&lt;&gt;"Entrée",B838&lt;&gt;"Sortie"),"Type inconnu",IF(ISNA(MATCH(C838,art_ref,0)),"Référence inconnue",IF(OR(NOT(ISNUMBER(E838)),N(E838)&lt;=0),"Quantité invalide",IF(K838&lt;0,"Stock négatif",IF(AND(ISNUMBER(A837),A838&lt;A837),"Date hors ordre","OK"))))))))</f>
        <v/>
      </c>
      <c r="M838" s="39" t="str">
        <f>IF(C838="","",C838&amp;"#"&amp;COUNTIF($C$5:C838,C838))</f>
        <v/>
      </c>
    </row>
    <row r="839">
      <c r="A839" s="41" t="n"/>
      <c r="B839" s="37" t="n"/>
      <c r="C839" s="37" t="n"/>
      <c r="D839" s="39" t="str">
        <f>IF(C839="","",IFERROR(INDEX(art_des,MATCH(C839,art_ref,0))&amp;"","Référence inconnue"))</f>
        <v/>
      </c>
      <c r="E839" s="37" t="n"/>
      <c r="F839" s="39" t="str">
        <f>IF(C839="","",IFERROR(INDEX(art_unit,MATCH(C839,art_ref,0))&amp;"",""))</f>
        <v/>
      </c>
      <c r="G839" s="37" t="n"/>
      <c r="H839" s="37" t="n"/>
      <c r="I839" s="37" t="n"/>
      <c r="J839" s="40" t="str">
        <f>IF(OR(C839="",NOT(ISNUMBER(E839))),"",IFERROR(E839*N(INDEX(art_price,MATCH(C839,art_ref,0))),""))</f>
        <v/>
      </c>
      <c r="K839" s="39" t="str">
        <f>IF(OR(C839="",NOT(ISNUMBER(E839))),"",IFERROR(ROUND(N(INDEX(art_init,MATCH(C839,art_ref,0)))+SUMIFS($E$5:E839,$C$5:C839,C839,$B$5:B839,"Entrée")-SUMIFS($E$5:E839,$C$5:C839,C839,$B$5:B839,"Sortie"),6),""))</f>
        <v/>
      </c>
      <c r="L839" s="39" t="str">
        <f>IF(COUNTA(A839:C839,E839)=0,"",IF(COUNTA(A839:C839,E839)&lt;4,"Ligne incomplète",IF(NOT(ISNUMBER(A839)),"Date invalide",IF(AND(B839&lt;&gt;"Entrée",B839&lt;&gt;"Sortie"),"Type inconnu",IF(ISNA(MATCH(C839,art_ref,0)),"Référence inconnue",IF(OR(NOT(ISNUMBER(E839)),N(E839)&lt;=0),"Quantité invalide",IF(K839&lt;0,"Stock négatif",IF(AND(ISNUMBER(A838),A839&lt;A838),"Date hors ordre","OK"))))))))</f>
        <v/>
      </c>
      <c r="M839" s="39" t="str">
        <f>IF(C839="","",C839&amp;"#"&amp;COUNTIF($C$5:C839,C839))</f>
        <v/>
      </c>
    </row>
    <row r="840">
      <c r="A840" s="41" t="n"/>
      <c r="B840" s="37" t="n"/>
      <c r="C840" s="37" t="n"/>
      <c r="D840" s="39" t="str">
        <f>IF(C840="","",IFERROR(INDEX(art_des,MATCH(C840,art_ref,0))&amp;"","Référence inconnue"))</f>
        <v/>
      </c>
      <c r="E840" s="37" t="n"/>
      <c r="F840" s="39" t="str">
        <f>IF(C840="","",IFERROR(INDEX(art_unit,MATCH(C840,art_ref,0))&amp;"",""))</f>
        <v/>
      </c>
      <c r="G840" s="37" t="n"/>
      <c r="H840" s="37" t="n"/>
      <c r="I840" s="37" t="n"/>
      <c r="J840" s="40" t="str">
        <f>IF(OR(C840="",NOT(ISNUMBER(E840))),"",IFERROR(E840*N(INDEX(art_price,MATCH(C840,art_ref,0))),""))</f>
        <v/>
      </c>
      <c r="K840" s="39" t="str">
        <f>IF(OR(C840="",NOT(ISNUMBER(E840))),"",IFERROR(ROUND(N(INDEX(art_init,MATCH(C840,art_ref,0)))+SUMIFS($E$5:E840,$C$5:C840,C840,$B$5:B840,"Entrée")-SUMIFS($E$5:E840,$C$5:C840,C840,$B$5:B840,"Sortie"),6),""))</f>
        <v/>
      </c>
      <c r="L840" s="39" t="str">
        <f>IF(COUNTA(A840:C840,E840)=0,"",IF(COUNTA(A840:C840,E840)&lt;4,"Ligne incomplète",IF(NOT(ISNUMBER(A840)),"Date invalide",IF(AND(B840&lt;&gt;"Entrée",B840&lt;&gt;"Sortie"),"Type inconnu",IF(ISNA(MATCH(C840,art_ref,0)),"Référence inconnue",IF(OR(NOT(ISNUMBER(E840)),N(E840)&lt;=0),"Quantité invalide",IF(K840&lt;0,"Stock négatif",IF(AND(ISNUMBER(A839),A840&lt;A839),"Date hors ordre","OK"))))))))</f>
        <v/>
      </c>
      <c r="M840" s="39" t="str">
        <f>IF(C840="","",C840&amp;"#"&amp;COUNTIF($C$5:C840,C840))</f>
        <v/>
      </c>
    </row>
    <row r="841">
      <c r="A841" s="41" t="n"/>
      <c r="B841" s="37" t="n"/>
      <c r="C841" s="37" t="n"/>
      <c r="D841" s="39" t="str">
        <f>IF(C841="","",IFERROR(INDEX(art_des,MATCH(C841,art_ref,0))&amp;"","Référence inconnue"))</f>
        <v/>
      </c>
      <c r="E841" s="37" t="n"/>
      <c r="F841" s="39" t="str">
        <f>IF(C841="","",IFERROR(INDEX(art_unit,MATCH(C841,art_ref,0))&amp;"",""))</f>
        <v/>
      </c>
      <c r="G841" s="37" t="n"/>
      <c r="H841" s="37" t="n"/>
      <c r="I841" s="37" t="n"/>
      <c r="J841" s="40" t="str">
        <f>IF(OR(C841="",NOT(ISNUMBER(E841))),"",IFERROR(E841*N(INDEX(art_price,MATCH(C841,art_ref,0))),""))</f>
        <v/>
      </c>
      <c r="K841" s="39" t="str">
        <f>IF(OR(C841="",NOT(ISNUMBER(E841))),"",IFERROR(ROUND(N(INDEX(art_init,MATCH(C841,art_ref,0)))+SUMIFS($E$5:E841,$C$5:C841,C841,$B$5:B841,"Entrée")-SUMIFS($E$5:E841,$C$5:C841,C841,$B$5:B841,"Sortie"),6),""))</f>
        <v/>
      </c>
      <c r="L841" s="39" t="str">
        <f>IF(COUNTA(A841:C841,E841)=0,"",IF(COUNTA(A841:C841,E841)&lt;4,"Ligne incomplète",IF(NOT(ISNUMBER(A841)),"Date invalide",IF(AND(B841&lt;&gt;"Entrée",B841&lt;&gt;"Sortie"),"Type inconnu",IF(ISNA(MATCH(C841,art_ref,0)),"Référence inconnue",IF(OR(NOT(ISNUMBER(E841)),N(E841)&lt;=0),"Quantité invalide",IF(K841&lt;0,"Stock négatif",IF(AND(ISNUMBER(A840),A841&lt;A840),"Date hors ordre","OK"))))))))</f>
        <v/>
      </c>
      <c r="M841" s="39" t="str">
        <f>IF(C841="","",C841&amp;"#"&amp;COUNTIF($C$5:C841,C841))</f>
        <v/>
      </c>
    </row>
    <row r="842">
      <c r="A842" s="41" t="n"/>
      <c r="B842" s="37" t="n"/>
      <c r="C842" s="37" t="n"/>
      <c r="D842" s="39" t="str">
        <f>IF(C842="","",IFERROR(INDEX(art_des,MATCH(C842,art_ref,0))&amp;"","Référence inconnue"))</f>
        <v/>
      </c>
      <c r="E842" s="37" t="n"/>
      <c r="F842" s="39" t="str">
        <f>IF(C842="","",IFERROR(INDEX(art_unit,MATCH(C842,art_ref,0))&amp;"",""))</f>
        <v/>
      </c>
      <c r="G842" s="37" t="n"/>
      <c r="H842" s="37" t="n"/>
      <c r="I842" s="37" t="n"/>
      <c r="J842" s="40" t="str">
        <f>IF(OR(C842="",NOT(ISNUMBER(E842))),"",IFERROR(E842*N(INDEX(art_price,MATCH(C842,art_ref,0))),""))</f>
        <v/>
      </c>
      <c r="K842" s="39" t="str">
        <f>IF(OR(C842="",NOT(ISNUMBER(E842))),"",IFERROR(ROUND(N(INDEX(art_init,MATCH(C842,art_ref,0)))+SUMIFS($E$5:E842,$C$5:C842,C842,$B$5:B842,"Entrée")-SUMIFS($E$5:E842,$C$5:C842,C842,$B$5:B842,"Sortie"),6),""))</f>
        <v/>
      </c>
      <c r="L842" s="39" t="str">
        <f>IF(COUNTA(A842:C842,E842)=0,"",IF(COUNTA(A842:C842,E842)&lt;4,"Ligne incomplète",IF(NOT(ISNUMBER(A842)),"Date invalide",IF(AND(B842&lt;&gt;"Entrée",B842&lt;&gt;"Sortie"),"Type inconnu",IF(ISNA(MATCH(C842,art_ref,0)),"Référence inconnue",IF(OR(NOT(ISNUMBER(E842)),N(E842)&lt;=0),"Quantité invalide",IF(K842&lt;0,"Stock négatif",IF(AND(ISNUMBER(A841),A842&lt;A841),"Date hors ordre","OK"))))))))</f>
        <v/>
      </c>
      <c r="M842" s="39" t="str">
        <f>IF(C842="","",C842&amp;"#"&amp;COUNTIF($C$5:C842,C842))</f>
        <v/>
      </c>
    </row>
    <row r="843">
      <c r="A843" s="41" t="n"/>
      <c r="B843" s="37" t="n"/>
      <c r="C843" s="37" t="n"/>
      <c r="D843" s="39" t="str">
        <f>IF(C843="","",IFERROR(INDEX(art_des,MATCH(C843,art_ref,0))&amp;"","Référence inconnue"))</f>
        <v/>
      </c>
      <c r="E843" s="37" t="n"/>
      <c r="F843" s="39" t="str">
        <f>IF(C843="","",IFERROR(INDEX(art_unit,MATCH(C843,art_ref,0))&amp;"",""))</f>
        <v/>
      </c>
      <c r="G843" s="37" t="n"/>
      <c r="H843" s="37" t="n"/>
      <c r="I843" s="37" t="n"/>
      <c r="J843" s="40" t="str">
        <f>IF(OR(C843="",NOT(ISNUMBER(E843))),"",IFERROR(E843*N(INDEX(art_price,MATCH(C843,art_ref,0))),""))</f>
        <v/>
      </c>
      <c r="K843" s="39" t="str">
        <f>IF(OR(C843="",NOT(ISNUMBER(E843))),"",IFERROR(ROUND(N(INDEX(art_init,MATCH(C843,art_ref,0)))+SUMIFS($E$5:E843,$C$5:C843,C843,$B$5:B843,"Entrée")-SUMIFS($E$5:E843,$C$5:C843,C843,$B$5:B843,"Sortie"),6),""))</f>
        <v/>
      </c>
      <c r="L843" s="39" t="str">
        <f>IF(COUNTA(A843:C843,E843)=0,"",IF(COUNTA(A843:C843,E843)&lt;4,"Ligne incomplète",IF(NOT(ISNUMBER(A843)),"Date invalide",IF(AND(B843&lt;&gt;"Entrée",B843&lt;&gt;"Sortie"),"Type inconnu",IF(ISNA(MATCH(C843,art_ref,0)),"Référence inconnue",IF(OR(NOT(ISNUMBER(E843)),N(E843)&lt;=0),"Quantité invalide",IF(K843&lt;0,"Stock négatif",IF(AND(ISNUMBER(A842),A843&lt;A842),"Date hors ordre","OK"))))))))</f>
        <v/>
      </c>
      <c r="M843" s="39" t="str">
        <f>IF(C843="","",C843&amp;"#"&amp;COUNTIF($C$5:C843,C843))</f>
        <v/>
      </c>
    </row>
    <row r="844">
      <c r="A844" s="41" t="n"/>
      <c r="B844" s="37" t="n"/>
      <c r="C844" s="37" t="n"/>
      <c r="D844" s="39" t="str">
        <f>IF(C844="","",IFERROR(INDEX(art_des,MATCH(C844,art_ref,0))&amp;"","Référence inconnue"))</f>
        <v/>
      </c>
      <c r="E844" s="37" t="n"/>
      <c r="F844" s="39" t="str">
        <f>IF(C844="","",IFERROR(INDEX(art_unit,MATCH(C844,art_ref,0))&amp;"",""))</f>
        <v/>
      </c>
      <c r="G844" s="37" t="n"/>
      <c r="H844" s="37" t="n"/>
      <c r="I844" s="37" t="n"/>
      <c r="J844" s="40" t="str">
        <f>IF(OR(C844="",NOT(ISNUMBER(E844))),"",IFERROR(E844*N(INDEX(art_price,MATCH(C844,art_ref,0))),""))</f>
        <v/>
      </c>
      <c r="K844" s="39" t="str">
        <f>IF(OR(C844="",NOT(ISNUMBER(E844))),"",IFERROR(ROUND(N(INDEX(art_init,MATCH(C844,art_ref,0)))+SUMIFS($E$5:E844,$C$5:C844,C844,$B$5:B844,"Entrée")-SUMIFS($E$5:E844,$C$5:C844,C844,$B$5:B844,"Sortie"),6),""))</f>
        <v/>
      </c>
      <c r="L844" s="39" t="str">
        <f>IF(COUNTA(A844:C844,E844)=0,"",IF(COUNTA(A844:C844,E844)&lt;4,"Ligne incomplète",IF(NOT(ISNUMBER(A844)),"Date invalide",IF(AND(B844&lt;&gt;"Entrée",B844&lt;&gt;"Sortie"),"Type inconnu",IF(ISNA(MATCH(C844,art_ref,0)),"Référence inconnue",IF(OR(NOT(ISNUMBER(E844)),N(E844)&lt;=0),"Quantité invalide",IF(K844&lt;0,"Stock négatif",IF(AND(ISNUMBER(A843),A844&lt;A843),"Date hors ordre","OK"))))))))</f>
        <v/>
      </c>
      <c r="M844" s="39" t="str">
        <f>IF(C844="","",C844&amp;"#"&amp;COUNTIF($C$5:C844,C844))</f>
        <v/>
      </c>
    </row>
    <row r="845">
      <c r="A845" s="41" t="n"/>
      <c r="B845" s="37" t="n"/>
      <c r="C845" s="37" t="n"/>
      <c r="D845" s="39" t="str">
        <f>IF(C845="","",IFERROR(INDEX(art_des,MATCH(C845,art_ref,0))&amp;"","Référence inconnue"))</f>
        <v/>
      </c>
      <c r="E845" s="37" t="n"/>
      <c r="F845" s="39" t="str">
        <f>IF(C845="","",IFERROR(INDEX(art_unit,MATCH(C845,art_ref,0))&amp;"",""))</f>
        <v/>
      </c>
      <c r="G845" s="37" t="n"/>
      <c r="H845" s="37" t="n"/>
      <c r="I845" s="37" t="n"/>
      <c r="J845" s="40" t="str">
        <f>IF(OR(C845="",NOT(ISNUMBER(E845))),"",IFERROR(E845*N(INDEX(art_price,MATCH(C845,art_ref,0))),""))</f>
        <v/>
      </c>
      <c r="K845" s="39" t="str">
        <f>IF(OR(C845="",NOT(ISNUMBER(E845))),"",IFERROR(ROUND(N(INDEX(art_init,MATCH(C845,art_ref,0)))+SUMIFS($E$5:E845,$C$5:C845,C845,$B$5:B845,"Entrée")-SUMIFS($E$5:E845,$C$5:C845,C845,$B$5:B845,"Sortie"),6),""))</f>
        <v/>
      </c>
      <c r="L845" s="39" t="str">
        <f>IF(COUNTA(A845:C845,E845)=0,"",IF(COUNTA(A845:C845,E845)&lt;4,"Ligne incomplète",IF(NOT(ISNUMBER(A845)),"Date invalide",IF(AND(B845&lt;&gt;"Entrée",B845&lt;&gt;"Sortie"),"Type inconnu",IF(ISNA(MATCH(C845,art_ref,0)),"Référence inconnue",IF(OR(NOT(ISNUMBER(E845)),N(E845)&lt;=0),"Quantité invalide",IF(K845&lt;0,"Stock négatif",IF(AND(ISNUMBER(A844),A845&lt;A844),"Date hors ordre","OK"))))))))</f>
        <v/>
      </c>
      <c r="M845" s="39" t="str">
        <f>IF(C845="","",C845&amp;"#"&amp;COUNTIF($C$5:C845,C845))</f>
        <v/>
      </c>
    </row>
    <row r="846">
      <c r="A846" s="41" t="n"/>
      <c r="B846" s="37" t="n"/>
      <c r="C846" s="37" t="n"/>
      <c r="D846" s="39" t="str">
        <f>IF(C846="","",IFERROR(INDEX(art_des,MATCH(C846,art_ref,0))&amp;"","Référence inconnue"))</f>
        <v/>
      </c>
      <c r="E846" s="37" t="n"/>
      <c r="F846" s="39" t="str">
        <f>IF(C846="","",IFERROR(INDEX(art_unit,MATCH(C846,art_ref,0))&amp;"",""))</f>
        <v/>
      </c>
      <c r="G846" s="37" t="n"/>
      <c r="H846" s="37" t="n"/>
      <c r="I846" s="37" t="n"/>
      <c r="J846" s="40" t="str">
        <f>IF(OR(C846="",NOT(ISNUMBER(E846))),"",IFERROR(E846*N(INDEX(art_price,MATCH(C846,art_ref,0))),""))</f>
        <v/>
      </c>
      <c r="K846" s="39" t="str">
        <f>IF(OR(C846="",NOT(ISNUMBER(E846))),"",IFERROR(ROUND(N(INDEX(art_init,MATCH(C846,art_ref,0)))+SUMIFS($E$5:E846,$C$5:C846,C846,$B$5:B846,"Entrée")-SUMIFS($E$5:E846,$C$5:C846,C846,$B$5:B846,"Sortie"),6),""))</f>
        <v/>
      </c>
      <c r="L846" s="39" t="str">
        <f>IF(COUNTA(A846:C846,E846)=0,"",IF(COUNTA(A846:C846,E846)&lt;4,"Ligne incomplète",IF(NOT(ISNUMBER(A846)),"Date invalide",IF(AND(B846&lt;&gt;"Entrée",B846&lt;&gt;"Sortie"),"Type inconnu",IF(ISNA(MATCH(C846,art_ref,0)),"Référence inconnue",IF(OR(NOT(ISNUMBER(E846)),N(E846)&lt;=0),"Quantité invalide",IF(K846&lt;0,"Stock négatif",IF(AND(ISNUMBER(A845),A846&lt;A845),"Date hors ordre","OK"))))))))</f>
        <v/>
      </c>
      <c r="M846" s="39" t="str">
        <f>IF(C846="","",C846&amp;"#"&amp;COUNTIF($C$5:C846,C846))</f>
        <v/>
      </c>
    </row>
    <row r="847">
      <c r="A847" s="41" t="n"/>
      <c r="B847" s="37" t="n"/>
      <c r="C847" s="37" t="n"/>
      <c r="D847" s="39" t="str">
        <f>IF(C847="","",IFERROR(INDEX(art_des,MATCH(C847,art_ref,0))&amp;"","Référence inconnue"))</f>
        <v/>
      </c>
      <c r="E847" s="37" t="n"/>
      <c r="F847" s="39" t="str">
        <f>IF(C847="","",IFERROR(INDEX(art_unit,MATCH(C847,art_ref,0))&amp;"",""))</f>
        <v/>
      </c>
      <c r="G847" s="37" t="n"/>
      <c r="H847" s="37" t="n"/>
      <c r="I847" s="37" t="n"/>
      <c r="J847" s="40" t="str">
        <f>IF(OR(C847="",NOT(ISNUMBER(E847))),"",IFERROR(E847*N(INDEX(art_price,MATCH(C847,art_ref,0))),""))</f>
        <v/>
      </c>
      <c r="K847" s="39" t="str">
        <f>IF(OR(C847="",NOT(ISNUMBER(E847))),"",IFERROR(ROUND(N(INDEX(art_init,MATCH(C847,art_ref,0)))+SUMIFS($E$5:E847,$C$5:C847,C847,$B$5:B847,"Entrée")-SUMIFS($E$5:E847,$C$5:C847,C847,$B$5:B847,"Sortie"),6),""))</f>
        <v/>
      </c>
      <c r="L847" s="39" t="str">
        <f>IF(COUNTA(A847:C847,E847)=0,"",IF(COUNTA(A847:C847,E847)&lt;4,"Ligne incomplète",IF(NOT(ISNUMBER(A847)),"Date invalide",IF(AND(B847&lt;&gt;"Entrée",B847&lt;&gt;"Sortie"),"Type inconnu",IF(ISNA(MATCH(C847,art_ref,0)),"Référence inconnue",IF(OR(NOT(ISNUMBER(E847)),N(E847)&lt;=0),"Quantité invalide",IF(K847&lt;0,"Stock négatif",IF(AND(ISNUMBER(A846),A847&lt;A846),"Date hors ordre","OK"))))))))</f>
        <v/>
      </c>
      <c r="M847" s="39" t="str">
        <f>IF(C847="","",C847&amp;"#"&amp;COUNTIF($C$5:C847,C847))</f>
        <v/>
      </c>
    </row>
    <row r="848">
      <c r="A848" s="41" t="n"/>
      <c r="B848" s="37" t="n"/>
      <c r="C848" s="37" t="n"/>
      <c r="D848" s="39" t="str">
        <f>IF(C848="","",IFERROR(INDEX(art_des,MATCH(C848,art_ref,0))&amp;"","Référence inconnue"))</f>
        <v/>
      </c>
      <c r="E848" s="37" t="n"/>
      <c r="F848" s="39" t="str">
        <f>IF(C848="","",IFERROR(INDEX(art_unit,MATCH(C848,art_ref,0))&amp;"",""))</f>
        <v/>
      </c>
      <c r="G848" s="37" t="n"/>
      <c r="H848" s="37" t="n"/>
      <c r="I848" s="37" t="n"/>
      <c r="J848" s="40" t="str">
        <f>IF(OR(C848="",NOT(ISNUMBER(E848))),"",IFERROR(E848*N(INDEX(art_price,MATCH(C848,art_ref,0))),""))</f>
        <v/>
      </c>
      <c r="K848" s="39" t="str">
        <f>IF(OR(C848="",NOT(ISNUMBER(E848))),"",IFERROR(ROUND(N(INDEX(art_init,MATCH(C848,art_ref,0)))+SUMIFS($E$5:E848,$C$5:C848,C848,$B$5:B848,"Entrée")-SUMIFS($E$5:E848,$C$5:C848,C848,$B$5:B848,"Sortie"),6),""))</f>
        <v/>
      </c>
      <c r="L848" s="39" t="str">
        <f>IF(COUNTA(A848:C848,E848)=0,"",IF(COUNTA(A848:C848,E848)&lt;4,"Ligne incomplète",IF(NOT(ISNUMBER(A848)),"Date invalide",IF(AND(B848&lt;&gt;"Entrée",B848&lt;&gt;"Sortie"),"Type inconnu",IF(ISNA(MATCH(C848,art_ref,0)),"Référence inconnue",IF(OR(NOT(ISNUMBER(E848)),N(E848)&lt;=0),"Quantité invalide",IF(K848&lt;0,"Stock négatif",IF(AND(ISNUMBER(A847),A848&lt;A847),"Date hors ordre","OK"))))))))</f>
        <v/>
      </c>
      <c r="M848" s="39" t="str">
        <f>IF(C848="","",C848&amp;"#"&amp;COUNTIF($C$5:C848,C848))</f>
        <v/>
      </c>
    </row>
    <row r="849">
      <c r="A849" s="41" t="n"/>
      <c r="B849" s="37" t="n"/>
      <c r="C849" s="37" t="n"/>
      <c r="D849" s="39" t="str">
        <f>IF(C849="","",IFERROR(INDEX(art_des,MATCH(C849,art_ref,0))&amp;"","Référence inconnue"))</f>
        <v/>
      </c>
      <c r="E849" s="37" t="n"/>
      <c r="F849" s="39" t="str">
        <f>IF(C849="","",IFERROR(INDEX(art_unit,MATCH(C849,art_ref,0))&amp;"",""))</f>
        <v/>
      </c>
      <c r="G849" s="37" t="n"/>
      <c r="H849" s="37" t="n"/>
      <c r="I849" s="37" t="n"/>
      <c r="J849" s="40" t="str">
        <f>IF(OR(C849="",NOT(ISNUMBER(E849))),"",IFERROR(E849*N(INDEX(art_price,MATCH(C849,art_ref,0))),""))</f>
        <v/>
      </c>
      <c r="K849" s="39" t="str">
        <f>IF(OR(C849="",NOT(ISNUMBER(E849))),"",IFERROR(ROUND(N(INDEX(art_init,MATCH(C849,art_ref,0)))+SUMIFS($E$5:E849,$C$5:C849,C849,$B$5:B849,"Entrée")-SUMIFS($E$5:E849,$C$5:C849,C849,$B$5:B849,"Sortie"),6),""))</f>
        <v/>
      </c>
      <c r="L849" s="39" t="str">
        <f>IF(COUNTA(A849:C849,E849)=0,"",IF(COUNTA(A849:C849,E849)&lt;4,"Ligne incomplète",IF(NOT(ISNUMBER(A849)),"Date invalide",IF(AND(B849&lt;&gt;"Entrée",B849&lt;&gt;"Sortie"),"Type inconnu",IF(ISNA(MATCH(C849,art_ref,0)),"Référence inconnue",IF(OR(NOT(ISNUMBER(E849)),N(E849)&lt;=0),"Quantité invalide",IF(K849&lt;0,"Stock négatif",IF(AND(ISNUMBER(A848),A849&lt;A848),"Date hors ordre","OK"))))))))</f>
        <v/>
      </c>
      <c r="M849" s="39" t="str">
        <f>IF(C849="","",C849&amp;"#"&amp;COUNTIF($C$5:C849,C849))</f>
        <v/>
      </c>
    </row>
    <row r="850">
      <c r="A850" s="41" t="n"/>
      <c r="B850" s="37" t="n"/>
      <c r="C850" s="37" t="n"/>
      <c r="D850" s="39" t="str">
        <f>IF(C850="","",IFERROR(INDEX(art_des,MATCH(C850,art_ref,0))&amp;"","Référence inconnue"))</f>
        <v/>
      </c>
      <c r="E850" s="37" t="n"/>
      <c r="F850" s="39" t="str">
        <f>IF(C850="","",IFERROR(INDEX(art_unit,MATCH(C850,art_ref,0))&amp;"",""))</f>
        <v/>
      </c>
      <c r="G850" s="37" t="n"/>
      <c r="H850" s="37" t="n"/>
      <c r="I850" s="37" t="n"/>
      <c r="J850" s="40" t="str">
        <f>IF(OR(C850="",NOT(ISNUMBER(E850))),"",IFERROR(E850*N(INDEX(art_price,MATCH(C850,art_ref,0))),""))</f>
        <v/>
      </c>
      <c r="K850" s="39" t="str">
        <f>IF(OR(C850="",NOT(ISNUMBER(E850))),"",IFERROR(ROUND(N(INDEX(art_init,MATCH(C850,art_ref,0)))+SUMIFS($E$5:E850,$C$5:C850,C850,$B$5:B850,"Entrée")-SUMIFS($E$5:E850,$C$5:C850,C850,$B$5:B850,"Sortie"),6),""))</f>
        <v/>
      </c>
      <c r="L850" s="39" t="str">
        <f>IF(COUNTA(A850:C850,E850)=0,"",IF(COUNTA(A850:C850,E850)&lt;4,"Ligne incomplète",IF(NOT(ISNUMBER(A850)),"Date invalide",IF(AND(B850&lt;&gt;"Entrée",B850&lt;&gt;"Sortie"),"Type inconnu",IF(ISNA(MATCH(C850,art_ref,0)),"Référence inconnue",IF(OR(NOT(ISNUMBER(E850)),N(E850)&lt;=0),"Quantité invalide",IF(K850&lt;0,"Stock négatif",IF(AND(ISNUMBER(A849),A850&lt;A849),"Date hors ordre","OK"))))))))</f>
        <v/>
      </c>
      <c r="M850" s="39" t="str">
        <f>IF(C850="","",C850&amp;"#"&amp;COUNTIF($C$5:C850,C850))</f>
        <v/>
      </c>
    </row>
    <row r="851">
      <c r="A851" s="41" t="n"/>
      <c r="B851" s="37" t="n"/>
      <c r="C851" s="37" t="n"/>
      <c r="D851" s="39" t="str">
        <f>IF(C851="","",IFERROR(INDEX(art_des,MATCH(C851,art_ref,0))&amp;"","Référence inconnue"))</f>
        <v/>
      </c>
      <c r="E851" s="37" t="n"/>
      <c r="F851" s="39" t="str">
        <f>IF(C851="","",IFERROR(INDEX(art_unit,MATCH(C851,art_ref,0))&amp;"",""))</f>
        <v/>
      </c>
      <c r="G851" s="37" t="n"/>
      <c r="H851" s="37" t="n"/>
      <c r="I851" s="37" t="n"/>
      <c r="J851" s="40" t="str">
        <f>IF(OR(C851="",NOT(ISNUMBER(E851))),"",IFERROR(E851*N(INDEX(art_price,MATCH(C851,art_ref,0))),""))</f>
        <v/>
      </c>
      <c r="K851" s="39" t="str">
        <f>IF(OR(C851="",NOT(ISNUMBER(E851))),"",IFERROR(ROUND(N(INDEX(art_init,MATCH(C851,art_ref,0)))+SUMIFS($E$5:E851,$C$5:C851,C851,$B$5:B851,"Entrée")-SUMIFS($E$5:E851,$C$5:C851,C851,$B$5:B851,"Sortie"),6),""))</f>
        <v/>
      </c>
      <c r="L851" s="39" t="str">
        <f>IF(COUNTA(A851:C851,E851)=0,"",IF(COUNTA(A851:C851,E851)&lt;4,"Ligne incomplète",IF(NOT(ISNUMBER(A851)),"Date invalide",IF(AND(B851&lt;&gt;"Entrée",B851&lt;&gt;"Sortie"),"Type inconnu",IF(ISNA(MATCH(C851,art_ref,0)),"Référence inconnue",IF(OR(NOT(ISNUMBER(E851)),N(E851)&lt;=0),"Quantité invalide",IF(K851&lt;0,"Stock négatif",IF(AND(ISNUMBER(A850),A851&lt;A850),"Date hors ordre","OK"))))))))</f>
        <v/>
      </c>
      <c r="M851" s="39" t="str">
        <f>IF(C851="","",C851&amp;"#"&amp;COUNTIF($C$5:C851,C851))</f>
        <v/>
      </c>
    </row>
    <row r="852">
      <c r="A852" s="41" t="n"/>
      <c r="B852" s="37" t="n"/>
      <c r="C852" s="37" t="n"/>
      <c r="D852" s="39" t="str">
        <f>IF(C852="","",IFERROR(INDEX(art_des,MATCH(C852,art_ref,0))&amp;"","Référence inconnue"))</f>
        <v/>
      </c>
      <c r="E852" s="37" t="n"/>
      <c r="F852" s="39" t="str">
        <f>IF(C852="","",IFERROR(INDEX(art_unit,MATCH(C852,art_ref,0))&amp;"",""))</f>
        <v/>
      </c>
      <c r="G852" s="37" t="n"/>
      <c r="H852" s="37" t="n"/>
      <c r="I852" s="37" t="n"/>
      <c r="J852" s="40" t="str">
        <f>IF(OR(C852="",NOT(ISNUMBER(E852))),"",IFERROR(E852*N(INDEX(art_price,MATCH(C852,art_ref,0))),""))</f>
        <v/>
      </c>
      <c r="K852" s="39" t="str">
        <f>IF(OR(C852="",NOT(ISNUMBER(E852))),"",IFERROR(ROUND(N(INDEX(art_init,MATCH(C852,art_ref,0)))+SUMIFS($E$5:E852,$C$5:C852,C852,$B$5:B852,"Entrée")-SUMIFS($E$5:E852,$C$5:C852,C852,$B$5:B852,"Sortie"),6),""))</f>
        <v/>
      </c>
      <c r="L852" s="39" t="str">
        <f>IF(COUNTA(A852:C852,E852)=0,"",IF(COUNTA(A852:C852,E852)&lt;4,"Ligne incomplète",IF(NOT(ISNUMBER(A852)),"Date invalide",IF(AND(B852&lt;&gt;"Entrée",B852&lt;&gt;"Sortie"),"Type inconnu",IF(ISNA(MATCH(C852,art_ref,0)),"Référence inconnue",IF(OR(NOT(ISNUMBER(E852)),N(E852)&lt;=0),"Quantité invalide",IF(K852&lt;0,"Stock négatif",IF(AND(ISNUMBER(A851),A852&lt;A851),"Date hors ordre","OK"))))))))</f>
        <v/>
      </c>
      <c r="M852" s="39" t="str">
        <f>IF(C852="","",C852&amp;"#"&amp;COUNTIF($C$5:C852,C852))</f>
        <v/>
      </c>
    </row>
    <row r="853">
      <c r="A853" s="41" t="n"/>
      <c r="B853" s="37" t="n"/>
      <c r="C853" s="37" t="n"/>
      <c r="D853" s="39" t="str">
        <f>IF(C853="","",IFERROR(INDEX(art_des,MATCH(C853,art_ref,0))&amp;"","Référence inconnue"))</f>
        <v/>
      </c>
      <c r="E853" s="37" t="n"/>
      <c r="F853" s="39" t="str">
        <f>IF(C853="","",IFERROR(INDEX(art_unit,MATCH(C853,art_ref,0))&amp;"",""))</f>
        <v/>
      </c>
      <c r="G853" s="37" t="n"/>
      <c r="H853" s="37" t="n"/>
      <c r="I853" s="37" t="n"/>
      <c r="J853" s="40" t="str">
        <f>IF(OR(C853="",NOT(ISNUMBER(E853))),"",IFERROR(E853*N(INDEX(art_price,MATCH(C853,art_ref,0))),""))</f>
        <v/>
      </c>
      <c r="K853" s="39" t="str">
        <f>IF(OR(C853="",NOT(ISNUMBER(E853))),"",IFERROR(ROUND(N(INDEX(art_init,MATCH(C853,art_ref,0)))+SUMIFS($E$5:E853,$C$5:C853,C853,$B$5:B853,"Entrée")-SUMIFS($E$5:E853,$C$5:C853,C853,$B$5:B853,"Sortie"),6),""))</f>
        <v/>
      </c>
      <c r="L853" s="39" t="str">
        <f>IF(COUNTA(A853:C853,E853)=0,"",IF(COUNTA(A853:C853,E853)&lt;4,"Ligne incomplète",IF(NOT(ISNUMBER(A853)),"Date invalide",IF(AND(B853&lt;&gt;"Entrée",B853&lt;&gt;"Sortie"),"Type inconnu",IF(ISNA(MATCH(C853,art_ref,0)),"Référence inconnue",IF(OR(NOT(ISNUMBER(E853)),N(E853)&lt;=0),"Quantité invalide",IF(K853&lt;0,"Stock négatif",IF(AND(ISNUMBER(A852),A853&lt;A852),"Date hors ordre","OK"))))))))</f>
        <v/>
      </c>
      <c r="M853" s="39" t="str">
        <f>IF(C853="","",C853&amp;"#"&amp;COUNTIF($C$5:C853,C853))</f>
        <v/>
      </c>
    </row>
    <row r="854">
      <c r="A854" s="41" t="n"/>
      <c r="B854" s="37" t="n"/>
      <c r="C854" s="37" t="n"/>
      <c r="D854" s="39" t="str">
        <f>IF(C854="","",IFERROR(INDEX(art_des,MATCH(C854,art_ref,0))&amp;"","Référence inconnue"))</f>
        <v/>
      </c>
      <c r="E854" s="37" t="n"/>
      <c r="F854" s="39" t="str">
        <f>IF(C854="","",IFERROR(INDEX(art_unit,MATCH(C854,art_ref,0))&amp;"",""))</f>
        <v/>
      </c>
      <c r="G854" s="37" t="n"/>
      <c r="H854" s="37" t="n"/>
      <c r="I854" s="37" t="n"/>
      <c r="J854" s="40" t="str">
        <f>IF(OR(C854="",NOT(ISNUMBER(E854))),"",IFERROR(E854*N(INDEX(art_price,MATCH(C854,art_ref,0))),""))</f>
        <v/>
      </c>
      <c r="K854" s="39" t="str">
        <f>IF(OR(C854="",NOT(ISNUMBER(E854))),"",IFERROR(ROUND(N(INDEX(art_init,MATCH(C854,art_ref,0)))+SUMIFS($E$5:E854,$C$5:C854,C854,$B$5:B854,"Entrée")-SUMIFS($E$5:E854,$C$5:C854,C854,$B$5:B854,"Sortie"),6),""))</f>
        <v/>
      </c>
      <c r="L854" s="39" t="str">
        <f>IF(COUNTA(A854:C854,E854)=0,"",IF(COUNTA(A854:C854,E854)&lt;4,"Ligne incomplète",IF(NOT(ISNUMBER(A854)),"Date invalide",IF(AND(B854&lt;&gt;"Entrée",B854&lt;&gt;"Sortie"),"Type inconnu",IF(ISNA(MATCH(C854,art_ref,0)),"Référence inconnue",IF(OR(NOT(ISNUMBER(E854)),N(E854)&lt;=0),"Quantité invalide",IF(K854&lt;0,"Stock négatif",IF(AND(ISNUMBER(A853),A854&lt;A853),"Date hors ordre","OK"))))))))</f>
        <v/>
      </c>
      <c r="M854" s="39" t="str">
        <f>IF(C854="","",C854&amp;"#"&amp;COUNTIF($C$5:C854,C854))</f>
        <v/>
      </c>
    </row>
    <row r="855">
      <c r="A855" s="41" t="n"/>
      <c r="B855" s="37" t="n"/>
      <c r="C855" s="37" t="n"/>
      <c r="D855" s="39" t="str">
        <f>IF(C855="","",IFERROR(INDEX(art_des,MATCH(C855,art_ref,0))&amp;"","Référence inconnue"))</f>
        <v/>
      </c>
      <c r="E855" s="37" t="n"/>
      <c r="F855" s="39" t="str">
        <f>IF(C855="","",IFERROR(INDEX(art_unit,MATCH(C855,art_ref,0))&amp;"",""))</f>
        <v/>
      </c>
      <c r="G855" s="37" t="n"/>
      <c r="H855" s="37" t="n"/>
      <c r="I855" s="37" t="n"/>
      <c r="J855" s="40" t="str">
        <f>IF(OR(C855="",NOT(ISNUMBER(E855))),"",IFERROR(E855*N(INDEX(art_price,MATCH(C855,art_ref,0))),""))</f>
        <v/>
      </c>
      <c r="K855" s="39" t="str">
        <f>IF(OR(C855="",NOT(ISNUMBER(E855))),"",IFERROR(ROUND(N(INDEX(art_init,MATCH(C855,art_ref,0)))+SUMIFS($E$5:E855,$C$5:C855,C855,$B$5:B855,"Entrée")-SUMIFS($E$5:E855,$C$5:C855,C855,$B$5:B855,"Sortie"),6),""))</f>
        <v/>
      </c>
      <c r="L855" s="39" t="str">
        <f>IF(COUNTA(A855:C855,E855)=0,"",IF(COUNTA(A855:C855,E855)&lt;4,"Ligne incomplète",IF(NOT(ISNUMBER(A855)),"Date invalide",IF(AND(B855&lt;&gt;"Entrée",B855&lt;&gt;"Sortie"),"Type inconnu",IF(ISNA(MATCH(C855,art_ref,0)),"Référence inconnue",IF(OR(NOT(ISNUMBER(E855)),N(E855)&lt;=0),"Quantité invalide",IF(K855&lt;0,"Stock négatif",IF(AND(ISNUMBER(A854),A855&lt;A854),"Date hors ordre","OK"))))))))</f>
        <v/>
      </c>
      <c r="M855" s="39" t="str">
        <f>IF(C855="","",C855&amp;"#"&amp;COUNTIF($C$5:C855,C855))</f>
        <v/>
      </c>
    </row>
    <row r="856">
      <c r="A856" s="41" t="n"/>
      <c r="B856" s="37" t="n"/>
      <c r="C856" s="37" t="n"/>
      <c r="D856" s="39" t="str">
        <f>IF(C856="","",IFERROR(INDEX(art_des,MATCH(C856,art_ref,0))&amp;"","Référence inconnue"))</f>
        <v/>
      </c>
      <c r="E856" s="37" t="n"/>
      <c r="F856" s="39" t="str">
        <f>IF(C856="","",IFERROR(INDEX(art_unit,MATCH(C856,art_ref,0))&amp;"",""))</f>
        <v/>
      </c>
      <c r="G856" s="37" t="n"/>
      <c r="H856" s="37" t="n"/>
      <c r="I856" s="37" t="n"/>
      <c r="J856" s="40" t="str">
        <f>IF(OR(C856="",NOT(ISNUMBER(E856))),"",IFERROR(E856*N(INDEX(art_price,MATCH(C856,art_ref,0))),""))</f>
        <v/>
      </c>
      <c r="K856" s="39" t="str">
        <f>IF(OR(C856="",NOT(ISNUMBER(E856))),"",IFERROR(ROUND(N(INDEX(art_init,MATCH(C856,art_ref,0)))+SUMIFS($E$5:E856,$C$5:C856,C856,$B$5:B856,"Entrée")-SUMIFS($E$5:E856,$C$5:C856,C856,$B$5:B856,"Sortie"),6),""))</f>
        <v/>
      </c>
      <c r="L856" s="39" t="str">
        <f>IF(COUNTA(A856:C856,E856)=0,"",IF(COUNTA(A856:C856,E856)&lt;4,"Ligne incomplète",IF(NOT(ISNUMBER(A856)),"Date invalide",IF(AND(B856&lt;&gt;"Entrée",B856&lt;&gt;"Sortie"),"Type inconnu",IF(ISNA(MATCH(C856,art_ref,0)),"Référence inconnue",IF(OR(NOT(ISNUMBER(E856)),N(E856)&lt;=0),"Quantité invalide",IF(K856&lt;0,"Stock négatif",IF(AND(ISNUMBER(A855),A856&lt;A855),"Date hors ordre","OK"))))))))</f>
        <v/>
      </c>
      <c r="M856" s="39" t="str">
        <f>IF(C856="","",C856&amp;"#"&amp;COUNTIF($C$5:C856,C856))</f>
        <v/>
      </c>
    </row>
    <row r="857">
      <c r="A857" s="41" t="n"/>
      <c r="B857" s="37" t="n"/>
      <c r="C857" s="37" t="n"/>
      <c r="D857" s="39" t="str">
        <f>IF(C857="","",IFERROR(INDEX(art_des,MATCH(C857,art_ref,0))&amp;"","Référence inconnue"))</f>
        <v/>
      </c>
      <c r="E857" s="37" t="n"/>
      <c r="F857" s="39" t="str">
        <f>IF(C857="","",IFERROR(INDEX(art_unit,MATCH(C857,art_ref,0))&amp;"",""))</f>
        <v/>
      </c>
      <c r="G857" s="37" t="n"/>
      <c r="H857" s="37" t="n"/>
      <c r="I857" s="37" t="n"/>
      <c r="J857" s="40" t="str">
        <f>IF(OR(C857="",NOT(ISNUMBER(E857))),"",IFERROR(E857*N(INDEX(art_price,MATCH(C857,art_ref,0))),""))</f>
        <v/>
      </c>
      <c r="K857" s="39" t="str">
        <f>IF(OR(C857="",NOT(ISNUMBER(E857))),"",IFERROR(ROUND(N(INDEX(art_init,MATCH(C857,art_ref,0)))+SUMIFS($E$5:E857,$C$5:C857,C857,$B$5:B857,"Entrée")-SUMIFS($E$5:E857,$C$5:C857,C857,$B$5:B857,"Sortie"),6),""))</f>
        <v/>
      </c>
      <c r="L857" s="39" t="str">
        <f>IF(COUNTA(A857:C857,E857)=0,"",IF(COUNTA(A857:C857,E857)&lt;4,"Ligne incomplète",IF(NOT(ISNUMBER(A857)),"Date invalide",IF(AND(B857&lt;&gt;"Entrée",B857&lt;&gt;"Sortie"),"Type inconnu",IF(ISNA(MATCH(C857,art_ref,0)),"Référence inconnue",IF(OR(NOT(ISNUMBER(E857)),N(E857)&lt;=0),"Quantité invalide",IF(K857&lt;0,"Stock négatif",IF(AND(ISNUMBER(A856),A857&lt;A856),"Date hors ordre","OK"))))))))</f>
        <v/>
      </c>
      <c r="M857" s="39" t="str">
        <f>IF(C857="","",C857&amp;"#"&amp;COUNTIF($C$5:C857,C857))</f>
        <v/>
      </c>
    </row>
    <row r="858">
      <c r="A858" s="41" t="n"/>
      <c r="B858" s="37" t="n"/>
      <c r="C858" s="37" t="n"/>
      <c r="D858" s="39" t="str">
        <f>IF(C858="","",IFERROR(INDEX(art_des,MATCH(C858,art_ref,0))&amp;"","Référence inconnue"))</f>
        <v/>
      </c>
      <c r="E858" s="37" t="n"/>
      <c r="F858" s="39" t="str">
        <f>IF(C858="","",IFERROR(INDEX(art_unit,MATCH(C858,art_ref,0))&amp;"",""))</f>
        <v/>
      </c>
      <c r="G858" s="37" t="n"/>
      <c r="H858" s="37" t="n"/>
      <c r="I858" s="37" t="n"/>
      <c r="J858" s="40" t="str">
        <f>IF(OR(C858="",NOT(ISNUMBER(E858))),"",IFERROR(E858*N(INDEX(art_price,MATCH(C858,art_ref,0))),""))</f>
        <v/>
      </c>
      <c r="K858" s="39" t="str">
        <f>IF(OR(C858="",NOT(ISNUMBER(E858))),"",IFERROR(ROUND(N(INDEX(art_init,MATCH(C858,art_ref,0)))+SUMIFS($E$5:E858,$C$5:C858,C858,$B$5:B858,"Entrée")-SUMIFS($E$5:E858,$C$5:C858,C858,$B$5:B858,"Sortie"),6),""))</f>
        <v/>
      </c>
      <c r="L858" s="39" t="str">
        <f>IF(COUNTA(A858:C858,E858)=0,"",IF(COUNTA(A858:C858,E858)&lt;4,"Ligne incomplète",IF(NOT(ISNUMBER(A858)),"Date invalide",IF(AND(B858&lt;&gt;"Entrée",B858&lt;&gt;"Sortie"),"Type inconnu",IF(ISNA(MATCH(C858,art_ref,0)),"Référence inconnue",IF(OR(NOT(ISNUMBER(E858)),N(E858)&lt;=0),"Quantité invalide",IF(K858&lt;0,"Stock négatif",IF(AND(ISNUMBER(A857),A858&lt;A857),"Date hors ordre","OK"))))))))</f>
        <v/>
      </c>
      <c r="M858" s="39" t="str">
        <f>IF(C858="","",C858&amp;"#"&amp;COUNTIF($C$5:C858,C858))</f>
        <v/>
      </c>
    </row>
    <row r="859">
      <c r="A859" s="41" t="n"/>
      <c r="B859" s="37" t="n"/>
      <c r="C859" s="37" t="n"/>
      <c r="D859" s="39" t="str">
        <f>IF(C859="","",IFERROR(INDEX(art_des,MATCH(C859,art_ref,0))&amp;"","Référence inconnue"))</f>
        <v/>
      </c>
      <c r="E859" s="37" t="n"/>
      <c r="F859" s="39" t="str">
        <f>IF(C859="","",IFERROR(INDEX(art_unit,MATCH(C859,art_ref,0))&amp;"",""))</f>
        <v/>
      </c>
      <c r="G859" s="37" t="n"/>
      <c r="H859" s="37" t="n"/>
      <c r="I859" s="37" t="n"/>
      <c r="J859" s="40" t="str">
        <f>IF(OR(C859="",NOT(ISNUMBER(E859))),"",IFERROR(E859*N(INDEX(art_price,MATCH(C859,art_ref,0))),""))</f>
        <v/>
      </c>
      <c r="K859" s="39" t="str">
        <f>IF(OR(C859="",NOT(ISNUMBER(E859))),"",IFERROR(ROUND(N(INDEX(art_init,MATCH(C859,art_ref,0)))+SUMIFS($E$5:E859,$C$5:C859,C859,$B$5:B859,"Entrée")-SUMIFS($E$5:E859,$C$5:C859,C859,$B$5:B859,"Sortie"),6),""))</f>
        <v/>
      </c>
      <c r="L859" s="39" t="str">
        <f>IF(COUNTA(A859:C859,E859)=0,"",IF(COUNTA(A859:C859,E859)&lt;4,"Ligne incomplète",IF(NOT(ISNUMBER(A859)),"Date invalide",IF(AND(B859&lt;&gt;"Entrée",B859&lt;&gt;"Sortie"),"Type inconnu",IF(ISNA(MATCH(C859,art_ref,0)),"Référence inconnue",IF(OR(NOT(ISNUMBER(E859)),N(E859)&lt;=0),"Quantité invalide",IF(K859&lt;0,"Stock négatif",IF(AND(ISNUMBER(A858),A859&lt;A858),"Date hors ordre","OK"))))))))</f>
        <v/>
      </c>
      <c r="M859" s="39" t="str">
        <f>IF(C859="","",C859&amp;"#"&amp;COUNTIF($C$5:C859,C859))</f>
        <v/>
      </c>
    </row>
    <row r="860">
      <c r="A860" s="41" t="n"/>
      <c r="B860" s="37" t="n"/>
      <c r="C860" s="37" t="n"/>
      <c r="D860" s="39" t="str">
        <f>IF(C860="","",IFERROR(INDEX(art_des,MATCH(C860,art_ref,0))&amp;"","Référence inconnue"))</f>
        <v/>
      </c>
      <c r="E860" s="37" t="n"/>
      <c r="F860" s="39" t="str">
        <f>IF(C860="","",IFERROR(INDEX(art_unit,MATCH(C860,art_ref,0))&amp;"",""))</f>
        <v/>
      </c>
      <c r="G860" s="37" t="n"/>
      <c r="H860" s="37" t="n"/>
      <c r="I860" s="37" t="n"/>
      <c r="J860" s="40" t="str">
        <f>IF(OR(C860="",NOT(ISNUMBER(E860))),"",IFERROR(E860*N(INDEX(art_price,MATCH(C860,art_ref,0))),""))</f>
        <v/>
      </c>
      <c r="K860" s="39" t="str">
        <f>IF(OR(C860="",NOT(ISNUMBER(E860))),"",IFERROR(ROUND(N(INDEX(art_init,MATCH(C860,art_ref,0)))+SUMIFS($E$5:E860,$C$5:C860,C860,$B$5:B860,"Entrée")-SUMIFS($E$5:E860,$C$5:C860,C860,$B$5:B860,"Sortie"),6),""))</f>
        <v/>
      </c>
      <c r="L860" s="39" t="str">
        <f>IF(COUNTA(A860:C860,E860)=0,"",IF(COUNTA(A860:C860,E860)&lt;4,"Ligne incomplète",IF(NOT(ISNUMBER(A860)),"Date invalide",IF(AND(B860&lt;&gt;"Entrée",B860&lt;&gt;"Sortie"),"Type inconnu",IF(ISNA(MATCH(C860,art_ref,0)),"Référence inconnue",IF(OR(NOT(ISNUMBER(E860)),N(E860)&lt;=0),"Quantité invalide",IF(K860&lt;0,"Stock négatif",IF(AND(ISNUMBER(A859),A860&lt;A859),"Date hors ordre","OK"))))))))</f>
        <v/>
      </c>
      <c r="M860" s="39" t="str">
        <f>IF(C860="","",C860&amp;"#"&amp;COUNTIF($C$5:C860,C860))</f>
        <v/>
      </c>
    </row>
    <row r="861">
      <c r="A861" s="41" t="n"/>
      <c r="B861" s="37" t="n"/>
      <c r="C861" s="37" t="n"/>
      <c r="D861" s="39" t="str">
        <f>IF(C861="","",IFERROR(INDEX(art_des,MATCH(C861,art_ref,0))&amp;"","Référence inconnue"))</f>
        <v/>
      </c>
      <c r="E861" s="37" t="n"/>
      <c r="F861" s="39" t="str">
        <f>IF(C861="","",IFERROR(INDEX(art_unit,MATCH(C861,art_ref,0))&amp;"",""))</f>
        <v/>
      </c>
      <c r="G861" s="37" t="n"/>
      <c r="H861" s="37" t="n"/>
      <c r="I861" s="37" t="n"/>
      <c r="J861" s="40" t="str">
        <f>IF(OR(C861="",NOT(ISNUMBER(E861))),"",IFERROR(E861*N(INDEX(art_price,MATCH(C861,art_ref,0))),""))</f>
        <v/>
      </c>
      <c r="K861" s="39" t="str">
        <f>IF(OR(C861="",NOT(ISNUMBER(E861))),"",IFERROR(ROUND(N(INDEX(art_init,MATCH(C861,art_ref,0)))+SUMIFS($E$5:E861,$C$5:C861,C861,$B$5:B861,"Entrée")-SUMIFS($E$5:E861,$C$5:C861,C861,$B$5:B861,"Sortie"),6),""))</f>
        <v/>
      </c>
      <c r="L861" s="39" t="str">
        <f>IF(COUNTA(A861:C861,E861)=0,"",IF(COUNTA(A861:C861,E861)&lt;4,"Ligne incomplète",IF(NOT(ISNUMBER(A861)),"Date invalide",IF(AND(B861&lt;&gt;"Entrée",B861&lt;&gt;"Sortie"),"Type inconnu",IF(ISNA(MATCH(C861,art_ref,0)),"Référence inconnue",IF(OR(NOT(ISNUMBER(E861)),N(E861)&lt;=0),"Quantité invalide",IF(K861&lt;0,"Stock négatif",IF(AND(ISNUMBER(A860),A861&lt;A860),"Date hors ordre","OK"))))))))</f>
        <v/>
      </c>
      <c r="M861" s="39" t="str">
        <f>IF(C861="","",C861&amp;"#"&amp;COUNTIF($C$5:C861,C861))</f>
        <v/>
      </c>
    </row>
    <row r="862">
      <c r="A862" s="41" t="n"/>
      <c r="B862" s="37" t="n"/>
      <c r="C862" s="37" t="n"/>
      <c r="D862" s="39" t="str">
        <f>IF(C862="","",IFERROR(INDEX(art_des,MATCH(C862,art_ref,0))&amp;"","Référence inconnue"))</f>
        <v/>
      </c>
      <c r="E862" s="37" t="n"/>
      <c r="F862" s="39" t="str">
        <f>IF(C862="","",IFERROR(INDEX(art_unit,MATCH(C862,art_ref,0))&amp;"",""))</f>
        <v/>
      </c>
      <c r="G862" s="37" t="n"/>
      <c r="H862" s="37" t="n"/>
      <c r="I862" s="37" t="n"/>
      <c r="J862" s="40" t="str">
        <f>IF(OR(C862="",NOT(ISNUMBER(E862))),"",IFERROR(E862*N(INDEX(art_price,MATCH(C862,art_ref,0))),""))</f>
        <v/>
      </c>
      <c r="K862" s="39" t="str">
        <f>IF(OR(C862="",NOT(ISNUMBER(E862))),"",IFERROR(ROUND(N(INDEX(art_init,MATCH(C862,art_ref,0)))+SUMIFS($E$5:E862,$C$5:C862,C862,$B$5:B862,"Entrée")-SUMIFS($E$5:E862,$C$5:C862,C862,$B$5:B862,"Sortie"),6),""))</f>
        <v/>
      </c>
      <c r="L862" s="39" t="str">
        <f>IF(COUNTA(A862:C862,E862)=0,"",IF(COUNTA(A862:C862,E862)&lt;4,"Ligne incomplète",IF(NOT(ISNUMBER(A862)),"Date invalide",IF(AND(B862&lt;&gt;"Entrée",B862&lt;&gt;"Sortie"),"Type inconnu",IF(ISNA(MATCH(C862,art_ref,0)),"Référence inconnue",IF(OR(NOT(ISNUMBER(E862)),N(E862)&lt;=0),"Quantité invalide",IF(K862&lt;0,"Stock négatif",IF(AND(ISNUMBER(A861),A862&lt;A861),"Date hors ordre","OK"))))))))</f>
        <v/>
      </c>
      <c r="M862" s="39" t="str">
        <f>IF(C862="","",C862&amp;"#"&amp;COUNTIF($C$5:C862,C862))</f>
        <v/>
      </c>
    </row>
    <row r="863">
      <c r="A863" s="41" t="n"/>
      <c r="B863" s="37" t="n"/>
      <c r="C863" s="37" t="n"/>
      <c r="D863" s="39" t="str">
        <f>IF(C863="","",IFERROR(INDEX(art_des,MATCH(C863,art_ref,0))&amp;"","Référence inconnue"))</f>
        <v/>
      </c>
      <c r="E863" s="37" t="n"/>
      <c r="F863" s="39" t="str">
        <f>IF(C863="","",IFERROR(INDEX(art_unit,MATCH(C863,art_ref,0))&amp;"",""))</f>
        <v/>
      </c>
      <c r="G863" s="37" t="n"/>
      <c r="H863" s="37" t="n"/>
      <c r="I863" s="37" t="n"/>
      <c r="J863" s="40" t="str">
        <f>IF(OR(C863="",NOT(ISNUMBER(E863))),"",IFERROR(E863*N(INDEX(art_price,MATCH(C863,art_ref,0))),""))</f>
        <v/>
      </c>
      <c r="K863" s="39" t="str">
        <f>IF(OR(C863="",NOT(ISNUMBER(E863))),"",IFERROR(ROUND(N(INDEX(art_init,MATCH(C863,art_ref,0)))+SUMIFS($E$5:E863,$C$5:C863,C863,$B$5:B863,"Entrée")-SUMIFS($E$5:E863,$C$5:C863,C863,$B$5:B863,"Sortie"),6),""))</f>
        <v/>
      </c>
      <c r="L863" s="39" t="str">
        <f>IF(COUNTA(A863:C863,E863)=0,"",IF(COUNTA(A863:C863,E863)&lt;4,"Ligne incomplète",IF(NOT(ISNUMBER(A863)),"Date invalide",IF(AND(B863&lt;&gt;"Entrée",B863&lt;&gt;"Sortie"),"Type inconnu",IF(ISNA(MATCH(C863,art_ref,0)),"Référence inconnue",IF(OR(NOT(ISNUMBER(E863)),N(E863)&lt;=0),"Quantité invalide",IF(K863&lt;0,"Stock négatif",IF(AND(ISNUMBER(A862),A863&lt;A862),"Date hors ordre","OK"))))))))</f>
        <v/>
      </c>
      <c r="M863" s="39" t="str">
        <f>IF(C863="","",C863&amp;"#"&amp;COUNTIF($C$5:C863,C863))</f>
        <v/>
      </c>
    </row>
    <row r="864">
      <c r="A864" s="41" t="n"/>
      <c r="B864" s="37" t="n"/>
      <c r="C864" s="37" t="n"/>
      <c r="D864" s="39" t="str">
        <f>IF(C864="","",IFERROR(INDEX(art_des,MATCH(C864,art_ref,0))&amp;"","Référence inconnue"))</f>
        <v/>
      </c>
      <c r="E864" s="37" t="n"/>
      <c r="F864" s="39" t="str">
        <f>IF(C864="","",IFERROR(INDEX(art_unit,MATCH(C864,art_ref,0))&amp;"",""))</f>
        <v/>
      </c>
      <c r="G864" s="37" t="n"/>
      <c r="H864" s="37" t="n"/>
      <c r="I864" s="37" t="n"/>
      <c r="J864" s="40" t="str">
        <f>IF(OR(C864="",NOT(ISNUMBER(E864))),"",IFERROR(E864*N(INDEX(art_price,MATCH(C864,art_ref,0))),""))</f>
        <v/>
      </c>
      <c r="K864" s="39" t="str">
        <f>IF(OR(C864="",NOT(ISNUMBER(E864))),"",IFERROR(ROUND(N(INDEX(art_init,MATCH(C864,art_ref,0)))+SUMIFS($E$5:E864,$C$5:C864,C864,$B$5:B864,"Entrée")-SUMIFS($E$5:E864,$C$5:C864,C864,$B$5:B864,"Sortie"),6),""))</f>
        <v/>
      </c>
      <c r="L864" s="39" t="str">
        <f>IF(COUNTA(A864:C864,E864)=0,"",IF(COUNTA(A864:C864,E864)&lt;4,"Ligne incomplète",IF(NOT(ISNUMBER(A864)),"Date invalide",IF(AND(B864&lt;&gt;"Entrée",B864&lt;&gt;"Sortie"),"Type inconnu",IF(ISNA(MATCH(C864,art_ref,0)),"Référence inconnue",IF(OR(NOT(ISNUMBER(E864)),N(E864)&lt;=0),"Quantité invalide",IF(K864&lt;0,"Stock négatif",IF(AND(ISNUMBER(A863),A864&lt;A863),"Date hors ordre","OK"))))))))</f>
        <v/>
      </c>
      <c r="M864" s="39" t="str">
        <f>IF(C864="","",C864&amp;"#"&amp;COUNTIF($C$5:C864,C864))</f>
        <v/>
      </c>
    </row>
    <row r="865">
      <c r="A865" s="41" t="n"/>
      <c r="B865" s="37" t="n"/>
      <c r="C865" s="37" t="n"/>
      <c r="D865" s="39" t="str">
        <f>IF(C865="","",IFERROR(INDEX(art_des,MATCH(C865,art_ref,0))&amp;"","Référence inconnue"))</f>
        <v/>
      </c>
      <c r="E865" s="37" t="n"/>
      <c r="F865" s="39" t="str">
        <f>IF(C865="","",IFERROR(INDEX(art_unit,MATCH(C865,art_ref,0))&amp;"",""))</f>
        <v/>
      </c>
      <c r="G865" s="37" t="n"/>
      <c r="H865" s="37" t="n"/>
      <c r="I865" s="37" t="n"/>
      <c r="J865" s="40" t="str">
        <f>IF(OR(C865="",NOT(ISNUMBER(E865))),"",IFERROR(E865*N(INDEX(art_price,MATCH(C865,art_ref,0))),""))</f>
        <v/>
      </c>
      <c r="K865" s="39" t="str">
        <f>IF(OR(C865="",NOT(ISNUMBER(E865))),"",IFERROR(ROUND(N(INDEX(art_init,MATCH(C865,art_ref,0)))+SUMIFS($E$5:E865,$C$5:C865,C865,$B$5:B865,"Entrée")-SUMIFS($E$5:E865,$C$5:C865,C865,$B$5:B865,"Sortie"),6),""))</f>
        <v/>
      </c>
      <c r="L865" s="39" t="str">
        <f>IF(COUNTA(A865:C865,E865)=0,"",IF(COUNTA(A865:C865,E865)&lt;4,"Ligne incomplète",IF(NOT(ISNUMBER(A865)),"Date invalide",IF(AND(B865&lt;&gt;"Entrée",B865&lt;&gt;"Sortie"),"Type inconnu",IF(ISNA(MATCH(C865,art_ref,0)),"Référence inconnue",IF(OR(NOT(ISNUMBER(E865)),N(E865)&lt;=0),"Quantité invalide",IF(K865&lt;0,"Stock négatif",IF(AND(ISNUMBER(A864),A865&lt;A864),"Date hors ordre","OK"))))))))</f>
        <v/>
      </c>
      <c r="M865" s="39" t="str">
        <f>IF(C865="","",C865&amp;"#"&amp;COUNTIF($C$5:C865,C865))</f>
        <v/>
      </c>
    </row>
    <row r="866">
      <c r="A866" s="41" t="n"/>
      <c r="B866" s="37" t="n"/>
      <c r="C866" s="37" t="n"/>
      <c r="D866" s="39" t="str">
        <f>IF(C866="","",IFERROR(INDEX(art_des,MATCH(C866,art_ref,0))&amp;"","Référence inconnue"))</f>
        <v/>
      </c>
      <c r="E866" s="37" t="n"/>
      <c r="F866" s="39" t="str">
        <f>IF(C866="","",IFERROR(INDEX(art_unit,MATCH(C866,art_ref,0))&amp;"",""))</f>
        <v/>
      </c>
      <c r="G866" s="37" t="n"/>
      <c r="H866" s="37" t="n"/>
      <c r="I866" s="37" t="n"/>
      <c r="J866" s="40" t="str">
        <f>IF(OR(C866="",NOT(ISNUMBER(E866))),"",IFERROR(E866*N(INDEX(art_price,MATCH(C866,art_ref,0))),""))</f>
        <v/>
      </c>
      <c r="K866" s="39" t="str">
        <f>IF(OR(C866="",NOT(ISNUMBER(E866))),"",IFERROR(ROUND(N(INDEX(art_init,MATCH(C866,art_ref,0)))+SUMIFS($E$5:E866,$C$5:C866,C866,$B$5:B866,"Entrée")-SUMIFS($E$5:E866,$C$5:C866,C866,$B$5:B866,"Sortie"),6),""))</f>
        <v/>
      </c>
      <c r="L866" s="39" t="str">
        <f>IF(COUNTA(A866:C866,E866)=0,"",IF(COUNTA(A866:C866,E866)&lt;4,"Ligne incomplète",IF(NOT(ISNUMBER(A866)),"Date invalide",IF(AND(B866&lt;&gt;"Entrée",B866&lt;&gt;"Sortie"),"Type inconnu",IF(ISNA(MATCH(C866,art_ref,0)),"Référence inconnue",IF(OR(NOT(ISNUMBER(E866)),N(E866)&lt;=0),"Quantité invalide",IF(K866&lt;0,"Stock négatif",IF(AND(ISNUMBER(A865),A866&lt;A865),"Date hors ordre","OK"))))))))</f>
        <v/>
      </c>
      <c r="M866" s="39" t="str">
        <f>IF(C866="","",C866&amp;"#"&amp;COUNTIF($C$5:C866,C866))</f>
        <v/>
      </c>
    </row>
    <row r="867">
      <c r="A867" s="41" t="n"/>
      <c r="B867" s="37" t="n"/>
      <c r="C867" s="37" t="n"/>
      <c r="D867" s="39" t="str">
        <f>IF(C867="","",IFERROR(INDEX(art_des,MATCH(C867,art_ref,0))&amp;"","Référence inconnue"))</f>
        <v/>
      </c>
      <c r="E867" s="37" t="n"/>
      <c r="F867" s="39" t="str">
        <f>IF(C867="","",IFERROR(INDEX(art_unit,MATCH(C867,art_ref,0))&amp;"",""))</f>
        <v/>
      </c>
      <c r="G867" s="37" t="n"/>
      <c r="H867" s="37" t="n"/>
      <c r="I867" s="37" t="n"/>
      <c r="J867" s="40" t="str">
        <f>IF(OR(C867="",NOT(ISNUMBER(E867))),"",IFERROR(E867*N(INDEX(art_price,MATCH(C867,art_ref,0))),""))</f>
        <v/>
      </c>
      <c r="K867" s="39" t="str">
        <f>IF(OR(C867="",NOT(ISNUMBER(E867))),"",IFERROR(ROUND(N(INDEX(art_init,MATCH(C867,art_ref,0)))+SUMIFS($E$5:E867,$C$5:C867,C867,$B$5:B867,"Entrée")-SUMIFS($E$5:E867,$C$5:C867,C867,$B$5:B867,"Sortie"),6),""))</f>
        <v/>
      </c>
      <c r="L867" s="39" t="str">
        <f>IF(COUNTA(A867:C867,E867)=0,"",IF(COUNTA(A867:C867,E867)&lt;4,"Ligne incomplète",IF(NOT(ISNUMBER(A867)),"Date invalide",IF(AND(B867&lt;&gt;"Entrée",B867&lt;&gt;"Sortie"),"Type inconnu",IF(ISNA(MATCH(C867,art_ref,0)),"Référence inconnue",IF(OR(NOT(ISNUMBER(E867)),N(E867)&lt;=0),"Quantité invalide",IF(K867&lt;0,"Stock négatif",IF(AND(ISNUMBER(A866),A867&lt;A866),"Date hors ordre","OK"))))))))</f>
        <v/>
      </c>
      <c r="M867" s="39" t="str">
        <f>IF(C867="","",C867&amp;"#"&amp;COUNTIF($C$5:C867,C867))</f>
        <v/>
      </c>
    </row>
    <row r="868">
      <c r="A868" s="41" t="n"/>
      <c r="B868" s="37" t="n"/>
      <c r="C868" s="37" t="n"/>
      <c r="D868" s="39" t="str">
        <f>IF(C868="","",IFERROR(INDEX(art_des,MATCH(C868,art_ref,0))&amp;"","Référence inconnue"))</f>
        <v/>
      </c>
      <c r="E868" s="37" t="n"/>
      <c r="F868" s="39" t="str">
        <f>IF(C868="","",IFERROR(INDEX(art_unit,MATCH(C868,art_ref,0))&amp;"",""))</f>
        <v/>
      </c>
      <c r="G868" s="37" t="n"/>
      <c r="H868" s="37" t="n"/>
      <c r="I868" s="37" t="n"/>
      <c r="J868" s="40" t="str">
        <f>IF(OR(C868="",NOT(ISNUMBER(E868))),"",IFERROR(E868*N(INDEX(art_price,MATCH(C868,art_ref,0))),""))</f>
        <v/>
      </c>
      <c r="K868" s="39" t="str">
        <f>IF(OR(C868="",NOT(ISNUMBER(E868))),"",IFERROR(ROUND(N(INDEX(art_init,MATCH(C868,art_ref,0)))+SUMIFS($E$5:E868,$C$5:C868,C868,$B$5:B868,"Entrée")-SUMIFS($E$5:E868,$C$5:C868,C868,$B$5:B868,"Sortie"),6),""))</f>
        <v/>
      </c>
      <c r="L868" s="39" t="str">
        <f>IF(COUNTA(A868:C868,E868)=0,"",IF(COUNTA(A868:C868,E868)&lt;4,"Ligne incomplète",IF(NOT(ISNUMBER(A868)),"Date invalide",IF(AND(B868&lt;&gt;"Entrée",B868&lt;&gt;"Sortie"),"Type inconnu",IF(ISNA(MATCH(C868,art_ref,0)),"Référence inconnue",IF(OR(NOT(ISNUMBER(E868)),N(E868)&lt;=0),"Quantité invalide",IF(K868&lt;0,"Stock négatif",IF(AND(ISNUMBER(A867),A868&lt;A867),"Date hors ordre","OK"))))))))</f>
        <v/>
      </c>
      <c r="M868" s="39" t="str">
        <f>IF(C868="","",C868&amp;"#"&amp;COUNTIF($C$5:C868,C868))</f>
        <v/>
      </c>
    </row>
    <row r="869">
      <c r="A869" s="41" t="n"/>
      <c r="B869" s="37" t="n"/>
      <c r="C869" s="37" t="n"/>
      <c r="D869" s="39" t="str">
        <f>IF(C869="","",IFERROR(INDEX(art_des,MATCH(C869,art_ref,0))&amp;"","Référence inconnue"))</f>
        <v/>
      </c>
      <c r="E869" s="37" t="n"/>
      <c r="F869" s="39" t="str">
        <f>IF(C869="","",IFERROR(INDEX(art_unit,MATCH(C869,art_ref,0))&amp;"",""))</f>
        <v/>
      </c>
      <c r="G869" s="37" t="n"/>
      <c r="H869" s="37" t="n"/>
      <c r="I869" s="37" t="n"/>
      <c r="J869" s="40" t="str">
        <f>IF(OR(C869="",NOT(ISNUMBER(E869))),"",IFERROR(E869*N(INDEX(art_price,MATCH(C869,art_ref,0))),""))</f>
        <v/>
      </c>
      <c r="K869" s="39" t="str">
        <f>IF(OR(C869="",NOT(ISNUMBER(E869))),"",IFERROR(ROUND(N(INDEX(art_init,MATCH(C869,art_ref,0)))+SUMIFS($E$5:E869,$C$5:C869,C869,$B$5:B869,"Entrée")-SUMIFS($E$5:E869,$C$5:C869,C869,$B$5:B869,"Sortie"),6),""))</f>
        <v/>
      </c>
      <c r="L869" s="39" t="str">
        <f>IF(COUNTA(A869:C869,E869)=0,"",IF(COUNTA(A869:C869,E869)&lt;4,"Ligne incomplète",IF(NOT(ISNUMBER(A869)),"Date invalide",IF(AND(B869&lt;&gt;"Entrée",B869&lt;&gt;"Sortie"),"Type inconnu",IF(ISNA(MATCH(C869,art_ref,0)),"Référence inconnue",IF(OR(NOT(ISNUMBER(E869)),N(E869)&lt;=0),"Quantité invalide",IF(K869&lt;0,"Stock négatif",IF(AND(ISNUMBER(A868),A869&lt;A868),"Date hors ordre","OK"))))))))</f>
        <v/>
      </c>
      <c r="M869" s="39" t="str">
        <f>IF(C869="","",C869&amp;"#"&amp;COUNTIF($C$5:C869,C869))</f>
        <v/>
      </c>
    </row>
    <row r="870">
      <c r="A870" s="41" t="n"/>
      <c r="B870" s="37" t="n"/>
      <c r="C870" s="37" t="n"/>
      <c r="D870" s="39" t="str">
        <f>IF(C870="","",IFERROR(INDEX(art_des,MATCH(C870,art_ref,0))&amp;"","Référence inconnue"))</f>
        <v/>
      </c>
      <c r="E870" s="37" t="n"/>
      <c r="F870" s="39" t="str">
        <f>IF(C870="","",IFERROR(INDEX(art_unit,MATCH(C870,art_ref,0))&amp;"",""))</f>
        <v/>
      </c>
      <c r="G870" s="37" t="n"/>
      <c r="H870" s="37" t="n"/>
      <c r="I870" s="37" t="n"/>
      <c r="J870" s="40" t="str">
        <f>IF(OR(C870="",NOT(ISNUMBER(E870))),"",IFERROR(E870*N(INDEX(art_price,MATCH(C870,art_ref,0))),""))</f>
        <v/>
      </c>
      <c r="K870" s="39" t="str">
        <f>IF(OR(C870="",NOT(ISNUMBER(E870))),"",IFERROR(ROUND(N(INDEX(art_init,MATCH(C870,art_ref,0)))+SUMIFS($E$5:E870,$C$5:C870,C870,$B$5:B870,"Entrée")-SUMIFS($E$5:E870,$C$5:C870,C870,$B$5:B870,"Sortie"),6),""))</f>
        <v/>
      </c>
      <c r="L870" s="39" t="str">
        <f>IF(COUNTA(A870:C870,E870)=0,"",IF(COUNTA(A870:C870,E870)&lt;4,"Ligne incomplète",IF(NOT(ISNUMBER(A870)),"Date invalide",IF(AND(B870&lt;&gt;"Entrée",B870&lt;&gt;"Sortie"),"Type inconnu",IF(ISNA(MATCH(C870,art_ref,0)),"Référence inconnue",IF(OR(NOT(ISNUMBER(E870)),N(E870)&lt;=0),"Quantité invalide",IF(K870&lt;0,"Stock négatif",IF(AND(ISNUMBER(A869),A870&lt;A869),"Date hors ordre","OK"))))))))</f>
        <v/>
      </c>
      <c r="M870" s="39" t="str">
        <f>IF(C870="","",C870&amp;"#"&amp;COUNTIF($C$5:C870,C870))</f>
        <v/>
      </c>
    </row>
    <row r="871">
      <c r="A871" s="41" t="n"/>
      <c r="B871" s="37" t="n"/>
      <c r="C871" s="37" t="n"/>
      <c r="D871" s="39" t="str">
        <f>IF(C871="","",IFERROR(INDEX(art_des,MATCH(C871,art_ref,0))&amp;"","Référence inconnue"))</f>
        <v/>
      </c>
      <c r="E871" s="37" t="n"/>
      <c r="F871" s="39" t="str">
        <f>IF(C871="","",IFERROR(INDEX(art_unit,MATCH(C871,art_ref,0))&amp;"",""))</f>
        <v/>
      </c>
      <c r="G871" s="37" t="n"/>
      <c r="H871" s="37" t="n"/>
      <c r="I871" s="37" t="n"/>
      <c r="J871" s="40" t="str">
        <f>IF(OR(C871="",NOT(ISNUMBER(E871))),"",IFERROR(E871*N(INDEX(art_price,MATCH(C871,art_ref,0))),""))</f>
        <v/>
      </c>
      <c r="K871" s="39" t="str">
        <f>IF(OR(C871="",NOT(ISNUMBER(E871))),"",IFERROR(ROUND(N(INDEX(art_init,MATCH(C871,art_ref,0)))+SUMIFS($E$5:E871,$C$5:C871,C871,$B$5:B871,"Entrée")-SUMIFS($E$5:E871,$C$5:C871,C871,$B$5:B871,"Sortie"),6),""))</f>
        <v/>
      </c>
      <c r="L871" s="39" t="str">
        <f>IF(COUNTA(A871:C871,E871)=0,"",IF(COUNTA(A871:C871,E871)&lt;4,"Ligne incomplète",IF(NOT(ISNUMBER(A871)),"Date invalide",IF(AND(B871&lt;&gt;"Entrée",B871&lt;&gt;"Sortie"),"Type inconnu",IF(ISNA(MATCH(C871,art_ref,0)),"Référence inconnue",IF(OR(NOT(ISNUMBER(E871)),N(E871)&lt;=0),"Quantité invalide",IF(K871&lt;0,"Stock négatif",IF(AND(ISNUMBER(A870),A871&lt;A870),"Date hors ordre","OK"))))))))</f>
        <v/>
      </c>
      <c r="M871" s="39" t="str">
        <f>IF(C871="","",C871&amp;"#"&amp;COUNTIF($C$5:C871,C871))</f>
        <v/>
      </c>
    </row>
    <row r="872">
      <c r="A872" s="41" t="n"/>
      <c r="B872" s="37" t="n"/>
      <c r="C872" s="37" t="n"/>
      <c r="D872" s="39" t="str">
        <f>IF(C872="","",IFERROR(INDEX(art_des,MATCH(C872,art_ref,0))&amp;"","Référence inconnue"))</f>
        <v/>
      </c>
      <c r="E872" s="37" t="n"/>
      <c r="F872" s="39" t="str">
        <f>IF(C872="","",IFERROR(INDEX(art_unit,MATCH(C872,art_ref,0))&amp;"",""))</f>
        <v/>
      </c>
      <c r="G872" s="37" t="n"/>
      <c r="H872" s="37" t="n"/>
      <c r="I872" s="37" t="n"/>
      <c r="J872" s="40" t="str">
        <f>IF(OR(C872="",NOT(ISNUMBER(E872))),"",IFERROR(E872*N(INDEX(art_price,MATCH(C872,art_ref,0))),""))</f>
        <v/>
      </c>
      <c r="K872" s="39" t="str">
        <f>IF(OR(C872="",NOT(ISNUMBER(E872))),"",IFERROR(ROUND(N(INDEX(art_init,MATCH(C872,art_ref,0)))+SUMIFS($E$5:E872,$C$5:C872,C872,$B$5:B872,"Entrée")-SUMIFS($E$5:E872,$C$5:C872,C872,$B$5:B872,"Sortie"),6),""))</f>
        <v/>
      </c>
      <c r="L872" s="39" t="str">
        <f>IF(COUNTA(A872:C872,E872)=0,"",IF(COUNTA(A872:C872,E872)&lt;4,"Ligne incomplète",IF(NOT(ISNUMBER(A872)),"Date invalide",IF(AND(B872&lt;&gt;"Entrée",B872&lt;&gt;"Sortie"),"Type inconnu",IF(ISNA(MATCH(C872,art_ref,0)),"Référence inconnue",IF(OR(NOT(ISNUMBER(E872)),N(E872)&lt;=0),"Quantité invalide",IF(K872&lt;0,"Stock négatif",IF(AND(ISNUMBER(A871),A872&lt;A871),"Date hors ordre","OK"))))))))</f>
        <v/>
      </c>
      <c r="M872" s="39" t="str">
        <f>IF(C872="","",C872&amp;"#"&amp;COUNTIF($C$5:C872,C872))</f>
        <v/>
      </c>
    </row>
    <row r="873">
      <c r="A873" s="41" t="n"/>
      <c r="B873" s="37" t="n"/>
      <c r="C873" s="37" t="n"/>
      <c r="D873" s="39" t="str">
        <f>IF(C873="","",IFERROR(INDEX(art_des,MATCH(C873,art_ref,0))&amp;"","Référence inconnue"))</f>
        <v/>
      </c>
      <c r="E873" s="37" t="n"/>
      <c r="F873" s="39" t="str">
        <f>IF(C873="","",IFERROR(INDEX(art_unit,MATCH(C873,art_ref,0))&amp;"",""))</f>
        <v/>
      </c>
      <c r="G873" s="37" t="n"/>
      <c r="H873" s="37" t="n"/>
      <c r="I873" s="37" t="n"/>
      <c r="J873" s="40" t="str">
        <f>IF(OR(C873="",NOT(ISNUMBER(E873))),"",IFERROR(E873*N(INDEX(art_price,MATCH(C873,art_ref,0))),""))</f>
        <v/>
      </c>
      <c r="K873" s="39" t="str">
        <f>IF(OR(C873="",NOT(ISNUMBER(E873))),"",IFERROR(ROUND(N(INDEX(art_init,MATCH(C873,art_ref,0)))+SUMIFS($E$5:E873,$C$5:C873,C873,$B$5:B873,"Entrée")-SUMIFS($E$5:E873,$C$5:C873,C873,$B$5:B873,"Sortie"),6),""))</f>
        <v/>
      </c>
      <c r="L873" s="39" t="str">
        <f>IF(COUNTA(A873:C873,E873)=0,"",IF(COUNTA(A873:C873,E873)&lt;4,"Ligne incomplète",IF(NOT(ISNUMBER(A873)),"Date invalide",IF(AND(B873&lt;&gt;"Entrée",B873&lt;&gt;"Sortie"),"Type inconnu",IF(ISNA(MATCH(C873,art_ref,0)),"Référence inconnue",IF(OR(NOT(ISNUMBER(E873)),N(E873)&lt;=0),"Quantité invalide",IF(K873&lt;0,"Stock négatif",IF(AND(ISNUMBER(A872),A873&lt;A872),"Date hors ordre","OK"))))))))</f>
        <v/>
      </c>
      <c r="M873" s="39" t="str">
        <f>IF(C873="","",C873&amp;"#"&amp;COUNTIF($C$5:C873,C873))</f>
        <v/>
      </c>
    </row>
    <row r="874">
      <c r="A874" s="41" t="n"/>
      <c r="B874" s="37" t="n"/>
      <c r="C874" s="37" t="n"/>
      <c r="D874" s="39" t="str">
        <f>IF(C874="","",IFERROR(INDEX(art_des,MATCH(C874,art_ref,0))&amp;"","Référence inconnue"))</f>
        <v/>
      </c>
      <c r="E874" s="37" t="n"/>
      <c r="F874" s="39" t="str">
        <f>IF(C874="","",IFERROR(INDEX(art_unit,MATCH(C874,art_ref,0))&amp;"",""))</f>
        <v/>
      </c>
      <c r="G874" s="37" t="n"/>
      <c r="H874" s="37" t="n"/>
      <c r="I874" s="37" t="n"/>
      <c r="J874" s="40" t="str">
        <f>IF(OR(C874="",NOT(ISNUMBER(E874))),"",IFERROR(E874*N(INDEX(art_price,MATCH(C874,art_ref,0))),""))</f>
        <v/>
      </c>
      <c r="K874" s="39" t="str">
        <f>IF(OR(C874="",NOT(ISNUMBER(E874))),"",IFERROR(ROUND(N(INDEX(art_init,MATCH(C874,art_ref,0)))+SUMIFS($E$5:E874,$C$5:C874,C874,$B$5:B874,"Entrée")-SUMIFS($E$5:E874,$C$5:C874,C874,$B$5:B874,"Sortie"),6),""))</f>
        <v/>
      </c>
      <c r="L874" s="39" t="str">
        <f>IF(COUNTA(A874:C874,E874)=0,"",IF(COUNTA(A874:C874,E874)&lt;4,"Ligne incomplète",IF(NOT(ISNUMBER(A874)),"Date invalide",IF(AND(B874&lt;&gt;"Entrée",B874&lt;&gt;"Sortie"),"Type inconnu",IF(ISNA(MATCH(C874,art_ref,0)),"Référence inconnue",IF(OR(NOT(ISNUMBER(E874)),N(E874)&lt;=0),"Quantité invalide",IF(K874&lt;0,"Stock négatif",IF(AND(ISNUMBER(A873),A874&lt;A873),"Date hors ordre","OK"))))))))</f>
        <v/>
      </c>
      <c r="M874" s="39" t="str">
        <f>IF(C874="","",C874&amp;"#"&amp;COUNTIF($C$5:C874,C874))</f>
        <v/>
      </c>
    </row>
    <row r="875">
      <c r="A875" s="41" t="n"/>
      <c r="B875" s="37" t="n"/>
      <c r="C875" s="37" t="n"/>
      <c r="D875" s="39" t="str">
        <f>IF(C875="","",IFERROR(INDEX(art_des,MATCH(C875,art_ref,0))&amp;"","Référence inconnue"))</f>
        <v/>
      </c>
      <c r="E875" s="37" t="n"/>
      <c r="F875" s="39" t="str">
        <f>IF(C875="","",IFERROR(INDEX(art_unit,MATCH(C875,art_ref,0))&amp;"",""))</f>
        <v/>
      </c>
      <c r="G875" s="37" t="n"/>
      <c r="H875" s="37" t="n"/>
      <c r="I875" s="37" t="n"/>
      <c r="J875" s="40" t="str">
        <f>IF(OR(C875="",NOT(ISNUMBER(E875))),"",IFERROR(E875*N(INDEX(art_price,MATCH(C875,art_ref,0))),""))</f>
        <v/>
      </c>
      <c r="K875" s="39" t="str">
        <f>IF(OR(C875="",NOT(ISNUMBER(E875))),"",IFERROR(ROUND(N(INDEX(art_init,MATCH(C875,art_ref,0)))+SUMIFS($E$5:E875,$C$5:C875,C875,$B$5:B875,"Entrée")-SUMIFS($E$5:E875,$C$5:C875,C875,$B$5:B875,"Sortie"),6),""))</f>
        <v/>
      </c>
      <c r="L875" s="39" t="str">
        <f>IF(COUNTA(A875:C875,E875)=0,"",IF(COUNTA(A875:C875,E875)&lt;4,"Ligne incomplète",IF(NOT(ISNUMBER(A875)),"Date invalide",IF(AND(B875&lt;&gt;"Entrée",B875&lt;&gt;"Sortie"),"Type inconnu",IF(ISNA(MATCH(C875,art_ref,0)),"Référence inconnue",IF(OR(NOT(ISNUMBER(E875)),N(E875)&lt;=0),"Quantité invalide",IF(K875&lt;0,"Stock négatif",IF(AND(ISNUMBER(A874),A875&lt;A874),"Date hors ordre","OK"))))))))</f>
        <v/>
      </c>
      <c r="M875" s="39" t="str">
        <f>IF(C875="","",C875&amp;"#"&amp;COUNTIF($C$5:C875,C875))</f>
        <v/>
      </c>
    </row>
    <row r="876">
      <c r="A876" s="41" t="n"/>
      <c r="B876" s="37" t="n"/>
      <c r="C876" s="37" t="n"/>
      <c r="D876" s="39" t="str">
        <f>IF(C876="","",IFERROR(INDEX(art_des,MATCH(C876,art_ref,0))&amp;"","Référence inconnue"))</f>
        <v/>
      </c>
      <c r="E876" s="37" t="n"/>
      <c r="F876" s="39" t="str">
        <f>IF(C876="","",IFERROR(INDEX(art_unit,MATCH(C876,art_ref,0))&amp;"",""))</f>
        <v/>
      </c>
      <c r="G876" s="37" t="n"/>
      <c r="H876" s="37" t="n"/>
      <c r="I876" s="37" t="n"/>
      <c r="J876" s="40" t="str">
        <f>IF(OR(C876="",NOT(ISNUMBER(E876))),"",IFERROR(E876*N(INDEX(art_price,MATCH(C876,art_ref,0))),""))</f>
        <v/>
      </c>
      <c r="K876" s="39" t="str">
        <f>IF(OR(C876="",NOT(ISNUMBER(E876))),"",IFERROR(ROUND(N(INDEX(art_init,MATCH(C876,art_ref,0)))+SUMIFS($E$5:E876,$C$5:C876,C876,$B$5:B876,"Entrée")-SUMIFS($E$5:E876,$C$5:C876,C876,$B$5:B876,"Sortie"),6),""))</f>
        <v/>
      </c>
      <c r="L876" s="39" t="str">
        <f>IF(COUNTA(A876:C876,E876)=0,"",IF(COUNTA(A876:C876,E876)&lt;4,"Ligne incomplète",IF(NOT(ISNUMBER(A876)),"Date invalide",IF(AND(B876&lt;&gt;"Entrée",B876&lt;&gt;"Sortie"),"Type inconnu",IF(ISNA(MATCH(C876,art_ref,0)),"Référence inconnue",IF(OR(NOT(ISNUMBER(E876)),N(E876)&lt;=0),"Quantité invalide",IF(K876&lt;0,"Stock négatif",IF(AND(ISNUMBER(A875),A876&lt;A875),"Date hors ordre","OK"))))))))</f>
        <v/>
      </c>
      <c r="M876" s="39" t="str">
        <f>IF(C876="","",C876&amp;"#"&amp;COUNTIF($C$5:C876,C876))</f>
        <v/>
      </c>
    </row>
    <row r="877">
      <c r="A877" s="41" t="n"/>
      <c r="B877" s="37" t="n"/>
      <c r="C877" s="37" t="n"/>
      <c r="D877" s="39" t="str">
        <f>IF(C877="","",IFERROR(INDEX(art_des,MATCH(C877,art_ref,0))&amp;"","Référence inconnue"))</f>
        <v/>
      </c>
      <c r="E877" s="37" t="n"/>
      <c r="F877" s="39" t="str">
        <f>IF(C877="","",IFERROR(INDEX(art_unit,MATCH(C877,art_ref,0))&amp;"",""))</f>
        <v/>
      </c>
      <c r="G877" s="37" t="n"/>
      <c r="H877" s="37" t="n"/>
      <c r="I877" s="37" t="n"/>
      <c r="J877" s="40" t="str">
        <f>IF(OR(C877="",NOT(ISNUMBER(E877))),"",IFERROR(E877*N(INDEX(art_price,MATCH(C877,art_ref,0))),""))</f>
        <v/>
      </c>
      <c r="K877" s="39" t="str">
        <f>IF(OR(C877="",NOT(ISNUMBER(E877))),"",IFERROR(ROUND(N(INDEX(art_init,MATCH(C877,art_ref,0)))+SUMIFS($E$5:E877,$C$5:C877,C877,$B$5:B877,"Entrée")-SUMIFS($E$5:E877,$C$5:C877,C877,$B$5:B877,"Sortie"),6),""))</f>
        <v/>
      </c>
      <c r="L877" s="39" t="str">
        <f>IF(COUNTA(A877:C877,E877)=0,"",IF(COUNTA(A877:C877,E877)&lt;4,"Ligne incomplète",IF(NOT(ISNUMBER(A877)),"Date invalide",IF(AND(B877&lt;&gt;"Entrée",B877&lt;&gt;"Sortie"),"Type inconnu",IF(ISNA(MATCH(C877,art_ref,0)),"Référence inconnue",IF(OR(NOT(ISNUMBER(E877)),N(E877)&lt;=0),"Quantité invalide",IF(K877&lt;0,"Stock négatif",IF(AND(ISNUMBER(A876),A877&lt;A876),"Date hors ordre","OK"))))))))</f>
        <v/>
      </c>
      <c r="M877" s="39" t="str">
        <f>IF(C877="","",C877&amp;"#"&amp;COUNTIF($C$5:C877,C877))</f>
        <v/>
      </c>
    </row>
    <row r="878">
      <c r="A878" s="41" t="n"/>
      <c r="B878" s="37" t="n"/>
      <c r="C878" s="37" t="n"/>
      <c r="D878" s="39" t="str">
        <f>IF(C878="","",IFERROR(INDEX(art_des,MATCH(C878,art_ref,0))&amp;"","Référence inconnue"))</f>
        <v/>
      </c>
      <c r="E878" s="37" t="n"/>
      <c r="F878" s="39" t="str">
        <f>IF(C878="","",IFERROR(INDEX(art_unit,MATCH(C878,art_ref,0))&amp;"",""))</f>
        <v/>
      </c>
      <c r="G878" s="37" t="n"/>
      <c r="H878" s="37" t="n"/>
      <c r="I878" s="37" t="n"/>
      <c r="J878" s="40" t="str">
        <f>IF(OR(C878="",NOT(ISNUMBER(E878))),"",IFERROR(E878*N(INDEX(art_price,MATCH(C878,art_ref,0))),""))</f>
        <v/>
      </c>
      <c r="K878" s="39" t="str">
        <f>IF(OR(C878="",NOT(ISNUMBER(E878))),"",IFERROR(ROUND(N(INDEX(art_init,MATCH(C878,art_ref,0)))+SUMIFS($E$5:E878,$C$5:C878,C878,$B$5:B878,"Entrée")-SUMIFS($E$5:E878,$C$5:C878,C878,$B$5:B878,"Sortie"),6),""))</f>
        <v/>
      </c>
      <c r="L878" s="39" t="str">
        <f>IF(COUNTA(A878:C878,E878)=0,"",IF(COUNTA(A878:C878,E878)&lt;4,"Ligne incomplète",IF(NOT(ISNUMBER(A878)),"Date invalide",IF(AND(B878&lt;&gt;"Entrée",B878&lt;&gt;"Sortie"),"Type inconnu",IF(ISNA(MATCH(C878,art_ref,0)),"Référence inconnue",IF(OR(NOT(ISNUMBER(E878)),N(E878)&lt;=0),"Quantité invalide",IF(K878&lt;0,"Stock négatif",IF(AND(ISNUMBER(A877),A878&lt;A877),"Date hors ordre","OK"))))))))</f>
        <v/>
      </c>
      <c r="M878" s="39" t="str">
        <f>IF(C878="","",C878&amp;"#"&amp;COUNTIF($C$5:C878,C878))</f>
        <v/>
      </c>
    </row>
    <row r="879">
      <c r="A879" s="41" t="n"/>
      <c r="B879" s="37" t="n"/>
      <c r="C879" s="37" t="n"/>
      <c r="D879" s="39" t="str">
        <f>IF(C879="","",IFERROR(INDEX(art_des,MATCH(C879,art_ref,0))&amp;"","Référence inconnue"))</f>
        <v/>
      </c>
      <c r="E879" s="37" t="n"/>
      <c r="F879" s="39" t="str">
        <f>IF(C879="","",IFERROR(INDEX(art_unit,MATCH(C879,art_ref,0))&amp;"",""))</f>
        <v/>
      </c>
      <c r="G879" s="37" t="n"/>
      <c r="H879" s="37" t="n"/>
      <c r="I879" s="37" t="n"/>
      <c r="J879" s="40" t="str">
        <f>IF(OR(C879="",NOT(ISNUMBER(E879))),"",IFERROR(E879*N(INDEX(art_price,MATCH(C879,art_ref,0))),""))</f>
        <v/>
      </c>
      <c r="K879" s="39" t="str">
        <f>IF(OR(C879="",NOT(ISNUMBER(E879))),"",IFERROR(ROUND(N(INDEX(art_init,MATCH(C879,art_ref,0)))+SUMIFS($E$5:E879,$C$5:C879,C879,$B$5:B879,"Entrée")-SUMIFS($E$5:E879,$C$5:C879,C879,$B$5:B879,"Sortie"),6),""))</f>
        <v/>
      </c>
      <c r="L879" s="39" t="str">
        <f>IF(COUNTA(A879:C879,E879)=0,"",IF(COUNTA(A879:C879,E879)&lt;4,"Ligne incomplète",IF(NOT(ISNUMBER(A879)),"Date invalide",IF(AND(B879&lt;&gt;"Entrée",B879&lt;&gt;"Sortie"),"Type inconnu",IF(ISNA(MATCH(C879,art_ref,0)),"Référence inconnue",IF(OR(NOT(ISNUMBER(E879)),N(E879)&lt;=0),"Quantité invalide",IF(K879&lt;0,"Stock négatif",IF(AND(ISNUMBER(A878),A879&lt;A878),"Date hors ordre","OK"))))))))</f>
        <v/>
      </c>
      <c r="M879" s="39" t="str">
        <f>IF(C879="","",C879&amp;"#"&amp;COUNTIF($C$5:C879,C879))</f>
        <v/>
      </c>
    </row>
    <row r="880">
      <c r="A880" s="41" t="n"/>
      <c r="B880" s="37" t="n"/>
      <c r="C880" s="37" t="n"/>
      <c r="D880" s="39" t="str">
        <f>IF(C880="","",IFERROR(INDEX(art_des,MATCH(C880,art_ref,0))&amp;"","Référence inconnue"))</f>
        <v/>
      </c>
      <c r="E880" s="37" t="n"/>
      <c r="F880" s="39" t="str">
        <f>IF(C880="","",IFERROR(INDEX(art_unit,MATCH(C880,art_ref,0))&amp;"",""))</f>
        <v/>
      </c>
      <c r="G880" s="37" t="n"/>
      <c r="H880" s="37" t="n"/>
      <c r="I880" s="37" t="n"/>
      <c r="J880" s="40" t="str">
        <f>IF(OR(C880="",NOT(ISNUMBER(E880))),"",IFERROR(E880*N(INDEX(art_price,MATCH(C880,art_ref,0))),""))</f>
        <v/>
      </c>
      <c r="K880" s="39" t="str">
        <f>IF(OR(C880="",NOT(ISNUMBER(E880))),"",IFERROR(ROUND(N(INDEX(art_init,MATCH(C880,art_ref,0)))+SUMIFS($E$5:E880,$C$5:C880,C880,$B$5:B880,"Entrée")-SUMIFS($E$5:E880,$C$5:C880,C880,$B$5:B880,"Sortie"),6),""))</f>
        <v/>
      </c>
      <c r="L880" s="39" t="str">
        <f>IF(COUNTA(A880:C880,E880)=0,"",IF(COUNTA(A880:C880,E880)&lt;4,"Ligne incomplète",IF(NOT(ISNUMBER(A880)),"Date invalide",IF(AND(B880&lt;&gt;"Entrée",B880&lt;&gt;"Sortie"),"Type inconnu",IF(ISNA(MATCH(C880,art_ref,0)),"Référence inconnue",IF(OR(NOT(ISNUMBER(E880)),N(E880)&lt;=0),"Quantité invalide",IF(K880&lt;0,"Stock négatif",IF(AND(ISNUMBER(A879),A880&lt;A879),"Date hors ordre","OK"))))))))</f>
        <v/>
      </c>
      <c r="M880" s="39" t="str">
        <f>IF(C880="","",C880&amp;"#"&amp;COUNTIF($C$5:C880,C880))</f>
        <v/>
      </c>
    </row>
    <row r="881">
      <c r="A881" s="41" t="n"/>
      <c r="B881" s="37" t="n"/>
      <c r="C881" s="37" t="n"/>
      <c r="D881" s="39" t="str">
        <f>IF(C881="","",IFERROR(INDEX(art_des,MATCH(C881,art_ref,0))&amp;"","Référence inconnue"))</f>
        <v/>
      </c>
      <c r="E881" s="37" t="n"/>
      <c r="F881" s="39" t="str">
        <f>IF(C881="","",IFERROR(INDEX(art_unit,MATCH(C881,art_ref,0))&amp;"",""))</f>
        <v/>
      </c>
      <c r="G881" s="37" t="n"/>
      <c r="H881" s="37" t="n"/>
      <c r="I881" s="37" t="n"/>
      <c r="J881" s="40" t="str">
        <f>IF(OR(C881="",NOT(ISNUMBER(E881))),"",IFERROR(E881*N(INDEX(art_price,MATCH(C881,art_ref,0))),""))</f>
        <v/>
      </c>
      <c r="K881" s="39" t="str">
        <f>IF(OR(C881="",NOT(ISNUMBER(E881))),"",IFERROR(ROUND(N(INDEX(art_init,MATCH(C881,art_ref,0)))+SUMIFS($E$5:E881,$C$5:C881,C881,$B$5:B881,"Entrée")-SUMIFS($E$5:E881,$C$5:C881,C881,$B$5:B881,"Sortie"),6),""))</f>
        <v/>
      </c>
      <c r="L881" s="39" t="str">
        <f>IF(COUNTA(A881:C881,E881)=0,"",IF(COUNTA(A881:C881,E881)&lt;4,"Ligne incomplète",IF(NOT(ISNUMBER(A881)),"Date invalide",IF(AND(B881&lt;&gt;"Entrée",B881&lt;&gt;"Sortie"),"Type inconnu",IF(ISNA(MATCH(C881,art_ref,0)),"Référence inconnue",IF(OR(NOT(ISNUMBER(E881)),N(E881)&lt;=0),"Quantité invalide",IF(K881&lt;0,"Stock négatif",IF(AND(ISNUMBER(A880),A881&lt;A880),"Date hors ordre","OK"))))))))</f>
        <v/>
      </c>
      <c r="M881" s="39" t="str">
        <f>IF(C881="","",C881&amp;"#"&amp;COUNTIF($C$5:C881,C881))</f>
        <v/>
      </c>
    </row>
    <row r="882">
      <c r="A882" s="41" t="n"/>
      <c r="B882" s="37" t="n"/>
      <c r="C882" s="37" t="n"/>
      <c r="D882" s="39" t="str">
        <f>IF(C882="","",IFERROR(INDEX(art_des,MATCH(C882,art_ref,0))&amp;"","Référence inconnue"))</f>
        <v/>
      </c>
      <c r="E882" s="37" t="n"/>
      <c r="F882" s="39" t="str">
        <f>IF(C882="","",IFERROR(INDEX(art_unit,MATCH(C882,art_ref,0))&amp;"",""))</f>
        <v/>
      </c>
      <c r="G882" s="37" t="n"/>
      <c r="H882" s="37" t="n"/>
      <c r="I882" s="37" t="n"/>
      <c r="J882" s="40" t="str">
        <f>IF(OR(C882="",NOT(ISNUMBER(E882))),"",IFERROR(E882*N(INDEX(art_price,MATCH(C882,art_ref,0))),""))</f>
        <v/>
      </c>
      <c r="K882" s="39" t="str">
        <f>IF(OR(C882="",NOT(ISNUMBER(E882))),"",IFERROR(ROUND(N(INDEX(art_init,MATCH(C882,art_ref,0)))+SUMIFS($E$5:E882,$C$5:C882,C882,$B$5:B882,"Entrée")-SUMIFS($E$5:E882,$C$5:C882,C882,$B$5:B882,"Sortie"),6),""))</f>
        <v/>
      </c>
      <c r="L882" s="39" t="str">
        <f>IF(COUNTA(A882:C882,E882)=0,"",IF(COUNTA(A882:C882,E882)&lt;4,"Ligne incomplète",IF(NOT(ISNUMBER(A882)),"Date invalide",IF(AND(B882&lt;&gt;"Entrée",B882&lt;&gt;"Sortie"),"Type inconnu",IF(ISNA(MATCH(C882,art_ref,0)),"Référence inconnue",IF(OR(NOT(ISNUMBER(E882)),N(E882)&lt;=0),"Quantité invalide",IF(K882&lt;0,"Stock négatif",IF(AND(ISNUMBER(A881),A882&lt;A881),"Date hors ordre","OK"))))))))</f>
        <v/>
      </c>
      <c r="M882" s="39" t="str">
        <f>IF(C882="","",C882&amp;"#"&amp;COUNTIF($C$5:C882,C882))</f>
        <v/>
      </c>
    </row>
    <row r="883">
      <c r="A883" s="41" t="n"/>
      <c r="B883" s="37" t="n"/>
      <c r="C883" s="37" t="n"/>
      <c r="D883" s="39" t="str">
        <f>IF(C883="","",IFERROR(INDEX(art_des,MATCH(C883,art_ref,0))&amp;"","Référence inconnue"))</f>
        <v/>
      </c>
      <c r="E883" s="37" t="n"/>
      <c r="F883" s="39" t="str">
        <f>IF(C883="","",IFERROR(INDEX(art_unit,MATCH(C883,art_ref,0))&amp;"",""))</f>
        <v/>
      </c>
      <c r="G883" s="37" t="n"/>
      <c r="H883" s="37" t="n"/>
      <c r="I883" s="37" t="n"/>
      <c r="J883" s="40" t="str">
        <f>IF(OR(C883="",NOT(ISNUMBER(E883))),"",IFERROR(E883*N(INDEX(art_price,MATCH(C883,art_ref,0))),""))</f>
        <v/>
      </c>
      <c r="K883" s="39" t="str">
        <f>IF(OR(C883="",NOT(ISNUMBER(E883))),"",IFERROR(ROUND(N(INDEX(art_init,MATCH(C883,art_ref,0)))+SUMIFS($E$5:E883,$C$5:C883,C883,$B$5:B883,"Entrée")-SUMIFS($E$5:E883,$C$5:C883,C883,$B$5:B883,"Sortie"),6),""))</f>
        <v/>
      </c>
      <c r="L883" s="39" t="str">
        <f>IF(COUNTA(A883:C883,E883)=0,"",IF(COUNTA(A883:C883,E883)&lt;4,"Ligne incomplète",IF(NOT(ISNUMBER(A883)),"Date invalide",IF(AND(B883&lt;&gt;"Entrée",B883&lt;&gt;"Sortie"),"Type inconnu",IF(ISNA(MATCH(C883,art_ref,0)),"Référence inconnue",IF(OR(NOT(ISNUMBER(E883)),N(E883)&lt;=0),"Quantité invalide",IF(K883&lt;0,"Stock négatif",IF(AND(ISNUMBER(A882),A883&lt;A882),"Date hors ordre","OK"))))))))</f>
        <v/>
      </c>
      <c r="M883" s="39" t="str">
        <f>IF(C883="","",C883&amp;"#"&amp;COUNTIF($C$5:C883,C883))</f>
        <v/>
      </c>
    </row>
    <row r="884">
      <c r="A884" s="41" t="n"/>
      <c r="B884" s="37" t="n"/>
      <c r="C884" s="37" t="n"/>
      <c r="D884" s="39" t="str">
        <f>IF(C884="","",IFERROR(INDEX(art_des,MATCH(C884,art_ref,0))&amp;"","Référence inconnue"))</f>
        <v/>
      </c>
      <c r="E884" s="37" t="n"/>
      <c r="F884" s="39" t="str">
        <f>IF(C884="","",IFERROR(INDEX(art_unit,MATCH(C884,art_ref,0))&amp;"",""))</f>
        <v/>
      </c>
      <c r="G884" s="37" t="n"/>
      <c r="H884" s="37" t="n"/>
      <c r="I884" s="37" t="n"/>
      <c r="J884" s="40" t="str">
        <f>IF(OR(C884="",NOT(ISNUMBER(E884))),"",IFERROR(E884*N(INDEX(art_price,MATCH(C884,art_ref,0))),""))</f>
        <v/>
      </c>
      <c r="K884" s="39" t="str">
        <f>IF(OR(C884="",NOT(ISNUMBER(E884))),"",IFERROR(ROUND(N(INDEX(art_init,MATCH(C884,art_ref,0)))+SUMIFS($E$5:E884,$C$5:C884,C884,$B$5:B884,"Entrée")-SUMIFS($E$5:E884,$C$5:C884,C884,$B$5:B884,"Sortie"),6),""))</f>
        <v/>
      </c>
      <c r="L884" s="39" t="str">
        <f>IF(COUNTA(A884:C884,E884)=0,"",IF(COUNTA(A884:C884,E884)&lt;4,"Ligne incomplète",IF(NOT(ISNUMBER(A884)),"Date invalide",IF(AND(B884&lt;&gt;"Entrée",B884&lt;&gt;"Sortie"),"Type inconnu",IF(ISNA(MATCH(C884,art_ref,0)),"Référence inconnue",IF(OR(NOT(ISNUMBER(E884)),N(E884)&lt;=0),"Quantité invalide",IF(K884&lt;0,"Stock négatif",IF(AND(ISNUMBER(A883),A884&lt;A883),"Date hors ordre","OK"))))))))</f>
        <v/>
      </c>
      <c r="M884" s="39" t="str">
        <f>IF(C884="","",C884&amp;"#"&amp;COUNTIF($C$5:C884,C884))</f>
        <v/>
      </c>
    </row>
    <row r="885">
      <c r="A885" s="41" t="n"/>
      <c r="B885" s="37" t="n"/>
      <c r="C885" s="37" t="n"/>
      <c r="D885" s="39" t="str">
        <f>IF(C885="","",IFERROR(INDEX(art_des,MATCH(C885,art_ref,0))&amp;"","Référence inconnue"))</f>
        <v/>
      </c>
      <c r="E885" s="37" t="n"/>
      <c r="F885" s="39" t="str">
        <f>IF(C885="","",IFERROR(INDEX(art_unit,MATCH(C885,art_ref,0))&amp;"",""))</f>
        <v/>
      </c>
      <c r="G885" s="37" t="n"/>
      <c r="H885" s="37" t="n"/>
      <c r="I885" s="37" t="n"/>
      <c r="J885" s="40" t="str">
        <f>IF(OR(C885="",NOT(ISNUMBER(E885))),"",IFERROR(E885*N(INDEX(art_price,MATCH(C885,art_ref,0))),""))</f>
        <v/>
      </c>
      <c r="K885" s="39" t="str">
        <f>IF(OR(C885="",NOT(ISNUMBER(E885))),"",IFERROR(ROUND(N(INDEX(art_init,MATCH(C885,art_ref,0)))+SUMIFS($E$5:E885,$C$5:C885,C885,$B$5:B885,"Entrée")-SUMIFS($E$5:E885,$C$5:C885,C885,$B$5:B885,"Sortie"),6),""))</f>
        <v/>
      </c>
      <c r="L885" s="39" t="str">
        <f>IF(COUNTA(A885:C885,E885)=0,"",IF(COUNTA(A885:C885,E885)&lt;4,"Ligne incomplète",IF(NOT(ISNUMBER(A885)),"Date invalide",IF(AND(B885&lt;&gt;"Entrée",B885&lt;&gt;"Sortie"),"Type inconnu",IF(ISNA(MATCH(C885,art_ref,0)),"Référence inconnue",IF(OR(NOT(ISNUMBER(E885)),N(E885)&lt;=0),"Quantité invalide",IF(K885&lt;0,"Stock négatif",IF(AND(ISNUMBER(A884),A885&lt;A884),"Date hors ordre","OK"))))))))</f>
        <v/>
      </c>
      <c r="M885" s="39" t="str">
        <f>IF(C885="","",C885&amp;"#"&amp;COUNTIF($C$5:C885,C885))</f>
        <v/>
      </c>
    </row>
    <row r="886">
      <c r="A886" s="41" t="n"/>
      <c r="B886" s="37" t="n"/>
      <c r="C886" s="37" t="n"/>
      <c r="D886" s="39" t="str">
        <f>IF(C886="","",IFERROR(INDEX(art_des,MATCH(C886,art_ref,0))&amp;"","Référence inconnue"))</f>
        <v/>
      </c>
      <c r="E886" s="37" t="n"/>
      <c r="F886" s="39" t="str">
        <f>IF(C886="","",IFERROR(INDEX(art_unit,MATCH(C886,art_ref,0))&amp;"",""))</f>
        <v/>
      </c>
      <c r="G886" s="37" t="n"/>
      <c r="H886" s="37" t="n"/>
      <c r="I886" s="37" t="n"/>
      <c r="J886" s="40" t="str">
        <f>IF(OR(C886="",NOT(ISNUMBER(E886))),"",IFERROR(E886*N(INDEX(art_price,MATCH(C886,art_ref,0))),""))</f>
        <v/>
      </c>
      <c r="K886" s="39" t="str">
        <f>IF(OR(C886="",NOT(ISNUMBER(E886))),"",IFERROR(ROUND(N(INDEX(art_init,MATCH(C886,art_ref,0)))+SUMIFS($E$5:E886,$C$5:C886,C886,$B$5:B886,"Entrée")-SUMIFS($E$5:E886,$C$5:C886,C886,$B$5:B886,"Sortie"),6),""))</f>
        <v/>
      </c>
      <c r="L886" s="39" t="str">
        <f>IF(COUNTA(A886:C886,E886)=0,"",IF(COUNTA(A886:C886,E886)&lt;4,"Ligne incomplète",IF(NOT(ISNUMBER(A886)),"Date invalide",IF(AND(B886&lt;&gt;"Entrée",B886&lt;&gt;"Sortie"),"Type inconnu",IF(ISNA(MATCH(C886,art_ref,0)),"Référence inconnue",IF(OR(NOT(ISNUMBER(E886)),N(E886)&lt;=0),"Quantité invalide",IF(K886&lt;0,"Stock négatif",IF(AND(ISNUMBER(A885),A886&lt;A885),"Date hors ordre","OK"))))))))</f>
        <v/>
      </c>
      <c r="M886" s="39" t="str">
        <f>IF(C886="","",C886&amp;"#"&amp;COUNTIF($C$5:C886,C886))</f>
        <v/>
      </c>
    </row>
    <row r="887">
      <c r="A887" s="41" t="n"/>
      <c r="B887" s="37" t="n"/>
      <c r="C887" s="37" t="n"/>
      <c r="D887" s="39" t="str">
        <f>IF(C887="","",IFERROR(INDEX(art_des,MATCH(C887,art_ref,0))&amp;"","Référence inconnue"))</f>
        <v/>
      </c>
      <c r="E887" s="37" t="n"/>
      <c r="F887" s="39" t="str">
        <f>IF(C887="","",IFERROR(INDEX(art_unit,MATCH(C887,art_ref,0))&amp;"",""))</f>
        <v/>
      </c>
      <c r="G887" s="37" t="n"/>
      <c r="H887" s="37" t="n"/>
      <c r="I887" s="37" t="n"/>
      <c r="J887" s="40" t="str">
        <f>IF(OR(C887="",NOT(ISNUMBER(E887))),"",IFERROR(E887*N(INDEX(art_price,MATCH(C887,art_ref,0))),""))</f>
        <v/>
      </c>
      <c r="K887" s="39" t="str">
        <f>IF(OR(C887="",NOT(ISNUMBER(E887))),"",IFERROR(ROUND(N(INDEX(art_init,MATCH(C887,art_ref,0)))+SUMIFS($E$5:E887,$C$5:C887,C887,$B$5:B887,"Entrée")-SUMIFS($E$5:E887,$C$5:C887,C887,$B$5:B887,"Sortie"),6),""))</f>
        <v/>
      </c>
      <c r="L887" s="39" t="str">
        <f>IF(COUNTA(A887:C887,E887)=0,"",IF(COUNTA(A887:C887,E887)&lt;4,"Ligne incomplète",IF(NOT(ISNUMBER(A887)),"Date invalide",IF(AND(B887&lt;&gt;"Entrée",B887&lt;&gt;"Sortie"),"Type inconnu",IF(ISNA(MATCH(C887,art_ref,0)),"Référence inconnue",IF(OR(NOT(ISNUMBER(E887)),N(E887)&lt;=0),"Quantité invalide",IF(K887&lt;0,"Stock négatif",IF(AND(ISNUMBER(A886),A887&lt;A886),"Date hors ordre","OK"))))))))</f>
        <v/>
      </c>
      <c r="M887" s="39" t="str">
        <f>IF(C887="","",C887&amp;"#"&amp;COUNTIF($C$5:C887,C887))</f>
        <v/>
      </c>
    </row>
    <row r="888">
      <c r="A888" s="41" t="n"/>
      <c r="B888" s="37" t="n"/>
      <c r="C888" s="37" t="n"/>
      <c r="D888" s="39" t="str">
        <f>IF(C888="","",IFERROR(INDEX(art_des,MATCH(C888,art_ref,0))&amp;"","Référence inconnue"))</f>
        <v/>
      </c>
      <c r="E888" s="37" t="n"/>
      <c r="F888" s="39" t="str">
        <f>IF(C888="","",IFERROR(INDEX(art_unit,MATCH(C888,art_ref,0))&amp;"",""))</f>
        <v/>
      </c>
      <c r="G888" s="37" t="n"/>
      <c r="H888" s="37" t="n"/>
      <c r="I888" s="37" t="n"/>
      <c r="J888" s="40" t="str">
        <f>IF(OR(C888="",NOT(ISNUMBER(E888))),"",IFERROR(E888*N(INDEX(art_price,MATCH(C888,art_ref,0))),""))</f>
        <v/>
      </c>
      <c r="K888" s="39" t="str">
        <f>IF(OR(C888="",NOT(ISNUMBER(E888))),"",IFERROR(ROUND(N(INDEX(art_init,MATCH(C888,art_ref,0)))+SUMIFS($E$5:E888,$C$5:C888,C888,$B$5:B888,"Entrée")-SUMIFS($E$5:E888,$C$5:C888,C888,$B$5:B888,"Sortie"),6),""))</f>
        <v/>
      </c>
      <c r="L888" s="39" t="str">
        <f>IF(COUNTA(A888:C888,E888)=0,"",IF(COUNTA(A888:C888,E888)&lt;4,"Ligne incomplète",IF(NOT(ISNUMBER(A888)),"Date invalide",IF(AND(B888&lt;&gt;"Entrée",B888&lt;&gt;"Sortie"),"Type inconnu",IF(ISNA(MATCH(C888,art_ref,0)),"Référence inconnue",IF(OR(NOT(ISNUMBER(E888)),N(E888)&lt;=0),"Quantité invalide",IF(K888&lt;0,"Stock négatif",IF(AND(ISNUMBER(A887),A888&lt;A887),"Date hors ordre","OK"))))))))</f>
        <v/>
      </c>
      <c r="M888" s="39" t="str">
        <f>IF(C888="","",C888&amp;"#"&amp;COUNTIF($C$5:C888,C888))</f>
        <v/>
      </c>
    </row>
    <row r="889">
      <c r="A889" s="41" t="n"/>
      <c r="B889" s="37" t="n"/>
      <c r="C889" s="37" t="n"/>
      <c r="D889" s="39" t="str">
        <f>IF(C889="","",IFERROR(INDEX(art_des,MATCH(C889,art_ref,0))&amp;"","Référence inconnue"))</f>
        <v/>
      </c>
      <c r="E889" s="37" t="n"/>
      <c r="F889" s="39" t="str">
        <f>IF(C889="","",IFERROR(INDEX(art_unit,MATCH(C889,art_ref,0))&amp;"",""))</f>
        <v/>
      </c>
      <c r="G889" s="37" t="n"/>
      <c r="H889" s="37" t="n"/>
      <c r="I889" s="37" t="n"/>
      <c r="J889" s="40" t="str">
        <f>IF(OR(C889="",NOT(ISNUMBER(E889))),"",IFERROR(E889*N(INDEX(art_price,MATCH(C889,art_ref,0))),""))</f>
        <v/>
      </c>
      <c r="K889" s="39" t="str">
        <f>IF(OR(C889="",NOT(ISNUMBER(E889))),"",IFERROR(ROUND(N(INDEX(art_init,MATCH(C889,art_ref,0)))+SUMIFS($E$5:E889,$C$5:C889,C889,$B$5:B889,"Entrée")-SUMIFS($E$5:E889,$C$5:C889,C889,$B$5:B889,"Sortie"),6),""))</f>
        <v/>
      </c>
      <c r="L889" s="39" t="str">
        <f>IF(COUNTA(A889:C889,E889)=0,"",IF(COUNTA(A889:C889,E889)&lt;4,"Ligne incomplète",IF(NOT(ISNUMBER(A889)),"Date invalide",IF(AND(B889&lt;&gt;"Entrée",B889&lt;&gt;"Sortie"),"Type inconnu",IF(ISNA(MATCH(C889,art_ref,0)),"Référence inconnue",IF(OR(NOT(ISNUMBER(E889)),N(E889)&lt;=0),"Quantité invalide",IF(K889&lt;0,"Stock négatif",IF(AND(ISNUMBER(A888),A889&lt;A888),"Date hors ordre","OK"))))))))</f>
        <v/>
      </c>
      <c r="M889" s="39" t="str">
        <f>IF(C889="","",C889&amp;"#"&amp;COUNTIF($C$5:C889,C889))</f>
        <v/>
      </c>
    </row>
    <row r="890">
      <c r="A890" s="41" t="n"/>
      <c r="B890" s="37" t="n"/>
      <c r="C890" s="37" t="n"/>
      <c r="D890" s="39" t="str">
        <f>IF(C890="","",IFERROR(INDEX(art_des,MATCH(C890,art_ref,0))&amp;"","Référence inconnue"))</f>
        <v/>
      </c>
      <c r="E890" s="37" t="n"/>
      <c r="F890" s="39" t="str">
        <f>IF(C890="","",IFERROR(INDEX(art_unit,MATCH(C890,art_ref,0))&amp;"",""))</f>
        <v/>
      </c>
      <c r="G890" s="37" t="n"/>
      <c r="H890" s="37" t="n"/>
      <c r="I890" s="37" t="n"/>
      <c r="J890" s="40" t="str">
        <f>IF(OR(C890="",NOT(ISNUMBER(E890))),"",IFERROR(E890*N(INDEX(art_price,MATCH(C890,art_ref,0))),""))</f>
        <v/>
      </c>
      <c r="K890" s="39" t="str">
        <f>IF(OR(C890="",NOT(ISNUMBER(E890))),"",IFERROR(ROUND(N(INDEX(art_init,MATCH(C890,art_ref,0)))+SUMIFS($E$5:E890,$C$5:C890,C890,$B$5:B890,"Entrée")-SUMIFS($E$5:E890,$C$5:C890,C890,$B$5:B890,"Sortie"),6),""))</f>
        <v/>
      </c>
      <c r="L890" s="39" t="str">
        <f>IF(COUNTA(A890:C890,E890)=0,"",IF(COUNTA(A890:C890,E890)&lt;4,"Ligne incomplète",IF(NOT(ISNUMBER(A890)),"Date invalide",IF(AND(B890&lt;&gt;"Entrée",B890&lt;&gt;"Sortie"),"Type inconnu",IF(ISNA(MATCH(C890,art_ref,0)),"Référence inconnue",IF(OR(NOT(ISNUMBER(E890)),N(E890)&lt;=0),"Quantité invalide",IF(K890&lt;0,"Stock négatif",IF(AND(ISNUMBER(A889),A890&lt;A889),"Date hors ordre","OK"))))))))</f>
        <v/>
      </c>
      <c r="M890" s="39" t="str">
        <f>IF(C890="","",C890&amp;"#"&amp;COUNTIF($C$5:C890,C890))</f>
        <v/>
      </c>
    </row>
    <row r="891">
      <c r="A891" s="41" t="n"/>
      <c r="B891" s="37" t="n"/>
      <c r="C891" s="37" t="n"/>
      <c r="D891" s="39" t="str">
        <f>IF(C891="","",IFERROR(INDEX(art_des,MATCH(C891,art_ref,0))&amp;"","Référence inconnue"))</f>
        <v/>
      </c>
      <c r="E891" s="37" t="n"/>
      <c r="F891" s="39" t="str">
        <f>IF(C891="","",IFERROR(INDEX(art_unit,MATCH(C891,art_ref,0))&amp;"",""))</f>
        <v/>
      </c>
      <c r="G891" s="37" t="n"/>
      <c r="H891" s="37" t="n"/>
      <c r="I891" s="37" t="n"/>
      <c r="J891" s="40" t="str">
        <f>IF(OR(C891="",NOT(ISNUMBER(E891))),"",IFERROR(E891*N(INDEX(art_price,MATCH(C891,art_ref,0))),""))</f>
        <v/>
      </c>
      <c r="K891" s="39" t="str">
        <f>IF(OR(C891="",NOT(ISNUMBER(E891))),"",IFERROR(ROUND(N(INDEX(art_init,MATCH(C891,art_ref,0)))+SUMIFS($E$5:E891,$C$5:C891,C891,$B$5:B891,"Entrée")-SUMIFS($E$5:E891,$C$5:C891,C891,$B$5:B891,"Sortie"),6),""))</f>
        <v/>
      </c>
      <c r="L891" s="39" t="str">
        <f>IF(COUNTA(A891:C891,E891)=0,"",IF(COUNTA(A891:C891,E891)&lt;4,"Ligne incomplète",IF(NOT(ISNUMBER(A891)),"Date invalide",IF(AND(B891&lt;&gt;"Entrée",B891&lt;&gt;"Sortie"),"Type inconnu",IF(ISNA(MATCH(C891,art_ref,0)),"Référence inconnue",IF(OR(NOT(ISNUMBER(E891)),N(E891)&lt;=0),"Quantité invalide",IF(K891&lt;0,"Stock négatif",IF(AND(ISNUMBER(A890),A891&lt;A890),"Date hors ordre","OK"))))))))</f>
        <v/>
      </c>
      <c r="M891" s="39" t="str">
        <f>IF(C891="","",C891&amp;"#"&amp;COUNTIF($C$5:C891,C891))</f>
        <v/>
      </c>
    </row>
    <row r="892">
      <c r="A892" s="41" t="n"/>
      <c r="B892" s="37" t="n"/>
      <c r="C892" s="37" t="n"/>
      <c r="D892" s="39" t="str">
        <f>IF(C892="","",IFERROR(INDEX(art_des,MATCH(C892,art_ref,0))&amp;"","Référence inconnue"))</f>
        <v/>
      </c>
      <c r="E892" s="37" t="n"/>
      <c r="F892" s="39" t="str">
        <f>IF(C892="","",IFERROR(INDEX(art_unit,MATCH(C892,art_ref,0))&amp;"",""))</f>
        <v/>
      </c>
      <c r="G892" s="37" t="n"/>
      <c r="H892" s="37" t="n"/>
      <c r="I892" s="37" t="n"/>
      <c r="J892" s="40" t="str">
        <f>IF(OR(C892="",NOT(ISNUMBER(E892))),"",IFERROR(E892*N(INDEX(art_price,MATCH(C892,art_ref,0))),""))</f>
        <v/>
      </c>
      <c r="K892" s="39" t="str">
        <f>IF(OR(C892="",NOT(ISNUMBER(E892))),"",IFERROR(ROUND(N(INDEX(art_init,MATCH(C892,art_ref,0)))+SUMIFS($E$5:E892,$C$5:C892,C892,$B$5:B892,"Entrée")-SUMIFS($E$5:E892,$C$5:C892,C892,$B$5:B892,"Sortie"),6),""))</f>
        <v/>
      </c>
      <c r="L892" s="39" t="str">
        <f>IF(COUNTA(A892:C892,E892)=0,"",IF(COUNTA(A892:C892,E892)&lt;4,"Ligne incomplète",IF(NOT(ISNUMBER(A892)),"Date invalide",IF(AND(B892&lt;&gt;"Entrée",B892&lt;&gt;"Sortie"),"Type inconnu",IF(ISNA(MATCH(C892,art_ref,0)),"Référence inconnue",IF(OR(NOT(ISNUMBER(E892)),N(E892)&lt;=0),"Quantité invalide",IF(K892&lt;0,"Stock négatif",IF(AND(ISNUMBER(A891),A892&lt;A891),"Date hors ordre","OK"))))))))</f>
        <v/>
      </c>
      <c r="M892" s="39" t="str">
        <f>IF(C892="","",C892&amp;"#"&amp;COUNTIF($C$5:C892,C892))</f>
        <v/>
      </c>
    </row>
    <row r="893">
      <c r="A893" s="41" t="n"/>
      <c r="B893" s="37" t="n"/>
      <c r="C893" s="37" t="n"/>
      <c r="D893" s="39" t="str">
        <f>IF(C893="","",IFERROR(INDEX(art_des,MATCH(C893,art_ref,0))&amp;"","Référence inconnue"))</f>
        <v/>
      </c>
      <c r="E893" s="37" t="n"/>
      <c r="F893" s="39" t="str">
        <f>IF(C893="","",IFERROR(INDEX(art_unit,MATCH(C893,art_ref,0))&amp;"",""))</f>
        <v/>
      </c>
      <c r="G893" s="37" t="n"/>
      <c r="H893" s="37" t="n"/>
      <c r="I893" s="37" t="n"/>
      <c r="J893" s="40" t="str">
        <f>IF(OR(C893="",NOT(ISNUMBER(E893))),"",IFERROR(E893*N(INDEX(art_price,MATCH(C893,art_ref,0))),""))</f>
        <v/>
      </c>
      <c r="K893" s="39" t="str">
        <f>IF(OR(C893="",NOT(ISNUMBER(E893))),"",IFERROR(ROUND(N(INDEX(art_init,MATCH(C893,art_ref,0)))+SUMIFS($E$5:E893,$C$5:C893,C893,$B$5:B893,"Entrée")-SUMIFS($E$5:E893,$C$5:C893,C893,$B$5:B893,"Sortie"),6),""))</f>
        <v/>
      </c>
      <c r="L893" s="39" t="str">
        <f>IF(COUNTA(A893:C893,E893)=0,"",IF(COUNTA(A893:C893,E893)&lt;4,"Ligne incomplète",IF(NOT(ISNUMBER(A893)),"Date invalide",IF(AND(B893&lt;&gt;"Entrée",B893&lt;&gt;"Sortie"),"Type inconnu",IF(ISNA(MATCH(C893,art_ref,0)),"Référence inconnue",IF(OR(NOT(ISNUMBER(E893)),N(E893)&lt;=0),"Quantité invalide",IF(K893&lt;0,"Stock négatif",IF(AND(ISNUMBER(A892),A893&lt;A892),"Date hors ordre","OK"))))))))</f>
        <v/>
      </c>
      <c r="M893" s="39" t="str">
        <f>IF(C893="","",C893&amp;"#"&amp;COUNTIF($C$5:C893,C893))</f>
        <v/>
      </c>
    </row>
    <row r="894">
      <c r="A894" s="41" t="n"/>
      <c r="B894" s="37" t="n"/>
      <c r="C894" s="37" t="n"/>
      <c r="D894" s="39" t="str">
        <f>IF(C894="","",IFERROR(INDEX(art_des,MATCH(C894,art_ref,0))&amp;"","Référence inconnue"))</f>
        <v/>
      </c>
      <c r="E894" s="37" t="n"/>
      <c r="F894" s="39" t="str">
        <f>IF(C894="","",IFERROR(INDEX(art_unit,MATCH(C894,art_ref,0))&amp;"",""))</f>
        <v/>
      </c>
      <c r="G894" s="37" t="n"/>
      <c r="H894" s="37" t="n"/>
      <c r="I894" s="37" t="n"/>
      <c r="J894" s="40" t="str">
        <f>IF(OR(C894="",NOT(ISNUMBER(E894))),"",IFERROR(E894*N(INDEX(art_price,MATCH(C894,art_ref,0))),""))</f>
        <v/>
      </c>
      <c r="K894" s="39" t="str">
        <f>IF(OR(C894="",NOT(ISNUMBER(E894))),"",IFERROR(ROUND(N(INDEX(art_init,MATCH(C894,art_ref,0)))+SUMIFS($E$5:E894,$C$5:C894,C894,$B$5:B894,"Entrée")-SUMIFS($E$5:E894,$C$5:C894,C894,$B$5:B894,"Sortie"),6),""))</f>
        <v/>
      </c>
      <c r="L894" s="39" t="str">
        <f>IF(COUNTA(A894:C894,E894)=0,"",IF(COUNTA(A894:C894,E894)&lt;4,"Ligne incomplète",IF(NOT(ISNUMBER(A894)),"Date invalide",IF(AND(B894&lt;&gt;"Entrée",B894&lt;&gt;"Sortie"),"Type inconnu",IF(ISNA(MATCH(C894,art_ref,0)),"Référence inconnue",IF(OR(NOT(ISNUMBER(E894)),N(E894)&lt;=0),"Quantité invalide",IF(K894&lt;0,"Stock négatif",IF(AND(ISNUMBER(A893),A894&lt;A893),"Date hors ordre","OK"))))))))</f>
        <v/>
      </c>
      <c r="M894" s="39" t="str">
        <f>IF(C894="","",C894&amp;"#"&amp;COUNTIF($C$5:C894,C894))</f>
        <v/>
      </c>
    </row>
    <row r="895">
      <c r="A895" s="41" t="n"/>
      <c r="B895" s="37" t="n"/>
      <c r="C895" s="37" t="n"/>
      <c r="D895" s="39" t="str">
        <f>IF(C895="","",IFERROR(INDEX(art_des,MATCH(C895,art_ref,0))&amp;"","Référence inconnue"))</f>
        <v/>
      </c>
      <c r="E895" s="37" t="n"/>
      <c r="F895" s="39" t="str">
        <f>IF(C895="","",IFERROR(INDEX(art_unit,MATCH(C895,art_ref,0))&amp;"",""))</f>
        <v/>
      </c>
      <c r="G895" s="37" t="n"/>
      <c r="H895" s="37" t="n"/>
      <c r="I895" s="37" t="n"/>
      <c r="J895" s="40" t="str">
        <f>IF(OR(C895="",NOT(ISNUMBER(E895))),"",IFERROR(E895*N(INDEX(art_price,MATCH(C895,art_ref,0))),""))</f>
        <v/>
      </c>
      <c r="K895" s="39" t="str">
        <f>IF(OR(C895="",NOT(ISNUMBER(E895))),"",IFERROR(ROUND(N(INDEX(art_init,MATCH(C895,art_ref,0)))+SUMIFS($E$5:E895,$C$5:C895,C895,$B$5:B895,"Entrée")-SUMIFS($E$5:E895,$C$5:C895,C895,$B$5:B895,"Sortie"),6),""))</f>
        <v/>
      </c>
      <c r="L895" s="39" t="str">
        <f>IF(COUNTA(A895:C895,E895)=0,"",IF(COUNTA(A895:C895,E895)&lt;4,"Ligne incomplète",IF(NOT(ISNUMBER(A895)),"Date invalide",IF(AND(B895&lt;&gt;"Entrée",B895&lt;&gt;"Sortie"),"Type inconnu",IF(ISNA(MATCH(C895,art_ref,0)),"Référence inconnue",IF(OR(NOT(ISNUMBER(E895)),N(E895)&lt;=0),"Quantité invalide",IF(K895&lt;0,"Stock négatif",IF(AND(ISNUMBER(A894),A895&lt;A894),"Date hors ordre","OK"))))))))</f>
        <v/>
      </c>
      <c r="M895" s="39" t="str">
        <f>IF(C895="","",C895&amp;"#"&amp;COUNTIF($C$5:C895,C895))</f>
        <v/>
      </c>
    </row>
    <row r="896">
      <c r="A896" s="41" t="n"/>
      <c r="B896" s="37" t="n"/>
      <c r="C896" s="37" t="n"/>
      <c r="D896" s="39" t="str">
        <f>IF(C896="","",IFERROR(INDEX(art_des,MATCH(C896,art_ref,0))&amp;"","Référence inconnue"))</f>
        <v/>
      </c>
      <c r="E896" s="37" t="n"/>
      <c r="F896" s="39" t="str">
        <f>IF(C896="","",IFERROR(INDEX(art_unit,MATCH(C896,art_ref,0))&amp;"",""))</f>
        <v/>
      </c>
      <c r="G896" s="37" t="n"/>
      <c r="H896" s="37" t="n"/>
      <c r="I896" s="37" t="n"/>
      <c r="J896" s="40" t="str">
        <f>IF(OR(C896="",NOT(ISNUMBER(E896))),"",IFERROR(E896*N(INDEX(art_price,MATCH(C896,art_ref,0))),""))</f>
        <v/>
      </c>
      <c r="K896" s="39" t="str">
        <f>IF(OR(C896="",NOT(ISNUMBER(E896))),"",IFERROR(ROUND(N(INDEX(art_init,MATCH(C896,art_ref,0)))+SUMIFS($E$5:E896,$C$5:C896,C896,$B$5:B896,"Entrée")-SUMIFS($E$5:E896,$C$5:C896,C896,$B$5:B896,"Sortie"),6),""))</f>
        <v/>
      </c>
      <c r="L896" s="39" t="str">
        <f>IF(COUNTA(A896:C896,E896)=0,"",IF(COUNTA(A896:C896,E896)&lt;4,"Ligne incomplète",IF(NOT(ISNUMBER(A896)),"Date invalide",IF(AND(B896&lt;&gt;"Entrée",B896&lt;&gt;"Sortie"),"Type inconnu",IF(ISNA(MATCH(C896,art_ref,0)),"Référence inconnue",IF(OR(NOT(ISNUMBER(E896)),N(E896)&lt;=0),"Quantité invalide",IF(K896&lt;0,"Stock négatif",IF(AND(ISNUMBER(A895),A896&lt;A895),"Date hors ordre","OK"))))))))</f>
        <v/>
      </c>
      <c r="M896" s="39" t="str">
        <f>IF(C896="","",C896&amp;"#"&amp;COUNTIF($C$5:C896,C896))</f>
        <v/>
      </c>
    </row>
    <row r="897">
      <c r="A897" s="41" t="n"/>
      <c r="B897" s="37" t="n"/>
      <c r="C897" s="37" t="n"/>
      <c r="D897" s="39" t="str">
        <f>IF(C897="","",IFERROR(INDEX(art_des,MATCH(C897,art_ref,0))&amp;"","Référence inconnue"))</f>
        <v/>
      </c>
      <c r="E897" s="37" t="n"/>
      <c r="F897" s="39" t="str">
        <f>IF(C897="","",IFERROR(INDEX(art_unit,MATCH(C897,art_ref,0))&amp;"",""))</f>
        <v/>
      </c>
      <c r="G897" s="37" t="n"/>
      <c r="H897" s="37" t="n"/>
      <c r="I897" s="37" t="n"/>
      <c r="J897" s="40" t="str">
        <f>IF(OR(C897="",NOT(ISNUMBER(E897))),"",IFERROR(E897*N(INDEX(art_price,MATCH(C897,art_ref,0))),""))</f>
        <v/>
      </c>
      <c r="K897" s="39" t="str">
        <f>IF(OR(C897="",NOT(ISNUMBER(E897))),"",IFERROR(ROUND(N(INDEX(art_init,MATCH(C897,art_ref,0)))+SUMIFS($E$5:E897,$C$5:C897,C897,$B$5:B897,"Entrée")-SUMIFS($E$5:E897,$C$5:C897,C897,$B$5:B897,"Sortie"),6),""))</f>
        <v/>
      </c>
      <c r="L897" s="39" t="str">
        <f>IF(COUNTA(A897:C897,E897)=0,"",IF(COUNTA(A897:C897,E897)&lt;4,"Ligne incomplète",IF(NOT(ISNUMBER(A897)),"Date invalide",IF(AND(B897&lt;&gt;"Entrée",B897&lt;&gt;"Sortie"),"Type inconnu",IF(ISNA(MATCH(C897,art_ref,0)),"Référence inconnue",IF(OR(NOT(ISNUMBER(E897)),N(E897)&lt;=0),"Quantité invalide",IF(K897&lt;0,"Stock négatif",IF(AND(ISNUMBER(A896),A897&lt;A896),"Date hors ordre","OK"))))))))</f>
        <v/>
      </c>
      <c r="M897" s="39" t="str">
        <f>IF(C897="","",C897&amp;"#"&amp;COUNTIF($C$5:C897,C897))</f>
        <v/>
      </c>
    </row>
    <row r="898">
      <c r="A898" s="41" t="n"/>
      <c r="B898" s="37" t="n"/>
      <c r="C898" s="37" t="n"/>
      <c r="D898" s="39" t="str">
        <f>IF(C898="","",IFERROR(INDEX(art_des,MATCH(C898,art_ref,0))&amp;"","Référence inconnue"))</f>
        <v/>
      </c>
      <c r="E898" s="37" t="n"/>
      <c r="F898" s="39" t="str">
        <f>IF(C898="","",IFERROR(INDEX(art_unit,MATCH(C898,art_ref,0))&amp;"",""))</f>
        <v/>
      </c>
      <c r="G898" s="37" t="n"/>
      <c r="H898" s="37" t="n"/>
      <c r="I898" s="37" t="n"/>
      <c r="J898" s="40" t="str">
        <f>IF(OR(C898="",NOT(ISNUMBER(E898))),"",IFERROR(E898*N(INDEX(art_price,MATCH(C898,art_ref,0))),""))</f>
        <v/>
      </c>
      <c r="K898" s="39" t="str">
        <f>IF(OR(C898="",NOT(ISNUMBER(E898))),"",IFERROR(ROUND(N(INDEX(art_init,MATCH(C898,art_ref,0)))+SUMIFS($E$5:E898,$C$5:C898,C898,$B$5:B898,"Entrée")-SUMIFS($E$5:E898,$C$5:C898,C898,$B$5:B898,"Sortie"),6),""))</f>
        <v/>
      </c>
      <c r="L898" s="39" t="str">
        <f>IF(COUNTA(A898:C898,E898)=0,"",IF(COUNTA(A898:C898,E898)&lt;4,"Ligne incomplète",IF(NOT(ISNUMBER(A898)),"Date invalide",IF(AND(B898&lt;&gt;"Entrée",B898&lt;&gt;"Sortie"),"Type inconnu",IF(ISNA(MATCH(C898,art_ref,0)),"Référence inconnue",IF(OR(NOT(ISNUMBER(E898)),N(E898)&lt;=0),"Quantité invalide",IF(K898&lt;0,"Stock négatif",IF(AND(ISNUMBER(A897),A898&lt;A897),"Date hors ordre","OK"))))))))</f>
        <v/>
      </c>
      <c r="M898" s="39" t="str">
        <f>IF(C898="","",C898&amp;"#"&amp;COUNTIF($C$5:C898,C898))</f>
        <v/>
      </c>
    </row>
    <row r="899">
      <c r="A899" s="41" t="n"/>
      <c r="B899" s="37" t="n"/>
      <c r="C899" s="37" t="n"/>
      <c r="D899" s="39" t="str">
        <f>IF(C899="","",IFERROR(INDEX(art_des,MATCH(C899,art_ref,0))&amp;"","Référence inconnue"))</f>
        <v/>
      </c>
      <c r="E899" s="37" t="n"/>
      <c r="F899" s="39" t="str">
        <f>IF(C899="","",IFERROR(INDEX(art_unit,MATCH(C899,art_ref,0))&amp;"",""))</f>
        <v/>
      </c>
      <c r="G899" s="37" t="n"/>
      <c r="H899" s="37" t="n"/>
      <c r="I899" s="37" t="n"/>
      <c r="J899" s="40" t="str">
        <f>IF(OR(C899="",NOT(ISNUMBER(E899))),"",IFERROR(E899*N(INDEX(art_price,MATCH(C899,art_ref,0))),""))</f>
        <v/>
      </c>
      <c r="K899" s="39" t="str">
        <f>IF(OR(C899="",NOT(ISNUMBER(E899))),"",IFERROR(ROUND(N(INDEX(art_init,MATCH(C899,art_ref,0)))+SUMIFS($E$5:E899,$C$5:C899,C899,$B$5:B899,"Entrée")-SUMIFS($E$5:E899,$C$5:C899,C899,$B$5:B899,"Sortie"),6),""))</f>
        <v/>
      </c>
      <c r="L899" s="39" t="str">
        <f>IF(COUNTA(A899:C899,E899)=0,"",IF(COUNTA(A899:C899,E899)&lt;4,"Ligne incomplète",IF(NOT(ISNUMBER(A899)),"Date invalide",IF(AND(B899&lt;&gt;"Entrée",B899&lt;&gt;"Sortie"),"Type inconnu",IF(ISNA(MATCH(C899,art_ref,0)),"Référence inconnue",IF(OR(NOT(ISNUMBER(E899)),N(E899)&lt;=0),"Quantité invalide",IF(K899&lt;0,"Stock négatif",IF(AND(ISNUMBER(A898),A899&lt;A898),"Date hors ordre","OK"))))))))</f>
        <v/>
      </c>
      <c r="M899" s="39" t="str">
        <f>IF(C899="","",C899&amp;"#"&amp;COUNTIF($C$5:C899,C899))</f>
        <v/>
      </c>
    </row>
    <row r="900">
      <c r="A900" s="41" t="n"/>
      <c r="B900" s="37" t="n"/>
      <c r="C900" s="37" t="n"/>
      <c r="D900" s="39" t="str">
        <f>IF(C900="","",IFERROR(INDEX(art_des,MATCH(C900,art_ref,0))&amp;"","Référence inconnue"))</f>
        <v/>
      </c>
      <c r="E900" s="37" t="n"/>
      <c r="F900" s="39" t="str">
        <f>IF(C900="","",IFERROR(INDEX(art_unit,MATCH(C900,art_ref,0))&amp;"",""))</f>
        <v/>
      </c>
      <c r="G900" s="37" t="n"/>
      <c r="H900" s="37" t="n"/>
      <c r="I900" s="37" t="n"/>
      <c r="J900" s="40" t="str">
        <f>IF(OR(C900="",NOT(ISNUMBER(E900))),"",IFERROR(E900*N(INDEX(art_price,MATCH(C900,art_ref,0))),""))</f>
        <v/>
      </c>
      <c r="K900" s="39" t="str">
        <f>IF(OR(C900="",NOT(ISNUMBER(E900))),"",IFERROR(ROUND(N(INDEX(art_init,MATCH(C900,art_ref,0)))+SUMIFS($E$5:E900,$C$5:C900,C900,$B$5:B900,"Entrée")-SUMIFS($E$5:E900,$C$5:C900,C900,$B$5:B900,"Sortie"),6),""))</f>
        <v/>
      </c>
      <c r="L900" s="39" t="str">
        <f>IF(COUNTA(A900:C900,E900)=0,"",IF(COUNTA(A900:C900,E900)&lt;4,"Ligne incomplète",IF(NOT(ISNUMBER(A900)),"Date invalide",IF(AND(B900&lt;&gt;"Entrée",B900&lt;&gt;"Sortie"),"Type inconnu",IF(ISNA(MATCH(C900,art_ref,0)),"Référence inconnue",IF(OR(NOT(ISNUMBER(E900)),N(E900)&lt;=0),"Quantité invalide",IF(K900&lt;0,"Stock négatif",IF(AND(ISNUMBER(A899),A900&lt;A899),"Date hors ordre","OK"))))))))</f>
        <v/>
      </c>
      <c r="M900" s="39" t="str">
        <f>IF(C900="","",C900&amp;"#"&amp;COUNTIF($C$5:C900,C900))</f>
        <v/>
      </c>
    </row>
    <row r="901">
      <c r="A901" s="41" t="n"/>
      <c r="B901" s="37" t="n"/>
      <c r="C901" s="37" t="n"/>
      <c r="D901" s="39" t="str">
        <f>IF(C901="","",IFERROR(INDEX(art_des,MATCH(C901,art_ref,0))&amp;"","Référence inconnue"))</f>
        <v/>
      </c>
      <c r="E901" s="37" t="n"/>
      <c r="F901" s="39" t="str">
        <f>IF(C901="","",IFERROR(INDEX(art_unit,MATCH(C901,art_ref,0))&amp;"",""))</f>
        <v/>
      </c>
      <c r="G901" s="37" t="n"/>
      <c r="H901" s="37" t="n"/>
      <c r="I901" s="37" t="n"/>
      <c r="J901" s="40" t="str">
        <f>IF(OR(C901="",NOT(ISNUMBER(E901))),"",IFERROR(E901*N(INDEX(art_price,MATCH(C901,art_ref,0))),""))</f>
        <v/>
      </c>
      <c r="K901" s="39" t="str">
        <f>IF(OR(C901="",NOT(ISNUMBER(E901))),"",IFERROR(ROUND(N(INDEX(art_init,MATCH(C901,art_ref,0)))+SUMIFS($E$5:E901,$C$5:C901,C901,$B$5:B901,"Entrée")-SUMIFS($E$5:E901,$C$5:C901,C901,$B$5:B901,"Sortie"),6),""))</f>
        <v/>
      </c>
      <c r="L901" s="39" t="str">
        <f>IF(COUNTA(A901:C901,E901)=0,"",IF(COUNTA(A901:C901,E901)&lt;4,"Ligne incomplète",IF(NOT(ISNUMBER(A901)),"Date invalide",IF(AND(B901&lt;&gt;"Entrée",B901&lt;&gt;"Sortie"),"Type inconnu",IF(ISNA(MATCH(C901,art_ref,0)),"Référence inconnue",IF(OR(NOT(ISNUMBER(E901)),N(E901)&lt;=0),"Quantité invalide",IF(K901&lt;0,"Stock négatif",IF(AND(ISNUMBER(A900),A901&lt;A900),"Date hors ordre","OK"))))))))</f>
        <v/>
      </c>
      <c r="M901" s="39" t="str">
        <f>IF(C901="","",C901&amp;"#"&amp;COUNTIF($C$5:C901,C901))</f>
        <v/>
      </c>
    </row>
    <row r="902">
      <c r="A902" s="41" t="n"/>
      <c r="B902" s="37" t="n"/>
      <c r="C902" s="37" t="n"/>
      <c r="D902" s="39" t="str">
        <f>IF(C902="","",IFERROR(INDEX(art_des,MATCH(C902,art_ref,0))&amp;"","Référence inconnue"))</f>
        <v/>
      </c>
      <c r="E902" s="37" t="n"/>
      <c r="F902" s="39" t="str">
        <f>IF(C902="","",IFERROR(INDEX(art_unit,MATCH(C902,art_ref,0))&amp;"",""))</f>
        <v/>
      </c>
      <c r="G902" s="37" t="n"/>
      <c r="H902" s="37" t="n"/>
      <c r="I902" s="37" t="n"/>
      <c r="J902" s="40" t="str">
        <f>IF(OR(C902="",NOT(ISNUMBER(E902))),"",IFERROR(E902*N(INDEX(art_price,MATCH(C902,art_ref,0))),""))</f>
        <v/>
      </c>
      <c r="K902" s="39" t="str">
        <f>IF(OR(C902="",NOT(ISNUMBER(E902))),"",IFERROR(ROUND(N(INDEX(art_init,MATCH(C902,art_ref,0)))+SUMIFS($E$5:E902,$C$5:C902,C902,$B$5:B902,"Entrée")-SUMIFS($E$5:E902,$C$5:C902,C902,$B$5:B902,"Sortie"),6),""))</f>
        <v/>
      </c>
      <c r="L902" s="39" t="str">
        <f>IF(COUNTA(A902:C902,E902)=0,"",IF(COUNTA(A902:C902,E902)&lt;4,"Ligne incomplète",IF(NOT(ISNUMBER(A902)),"Date invalide",IF(AND(B902&lt;&gt;"Entrée",B902&lt;&gt;"Sortie"),"Type inconnu",IF(ISNA(MATCH(C902,art_ref,0)),"Référence inconnue",IF(OR(NOT(ISNUMBER(E902)),N(E902)&lt;=0),"Quantité invalide",IF(K902&lt;0,"Stock négatif",IF(AND(ISNUMBER(A901),A902&lt;A901),"Date hors ordre","OK"))))))))</f>
        <v/>
      </c>
      <c r="M902" s="39" t="str">
        <f>IF(C902="","",C902&amp;"#"&amp;COUNTIF($C$5:C902,C902))</f>
        <v/>
      </c>
    </row>
    <row r="903">
      <c r="A903" s="41" t="n"/>
      <c r="B903" s="37" t="n"/>
      <c r="C903" s="37" t="n"/>
      <c r="D903" s="39" t="str">
        <f>IF(C903="","",IFERROR(INDEX(art_des,MATCH(C903,art_ref,0))&amp;"","Référence inconnue"))</f>
        <v/>
      </c>
      <c r="E903" s="37" t="n"/>
      <c r="F903" s="39" t="str">
        <f>IF(C903="","",IFERROR(INDEX(art_unit,MATCH(C903,art_ref,0))&amp;"",""))</f>
        <v/>
      </c>
      <c r="G903" s="37" t="n"/>
      <c r="H903" s="37" t="n"/>
      <c r="I903" s="37" t="n"/>
      <c r="J903" s="40" t="str">
        <f>IF(OR(C903="",NOT(ISNUMBER(E903))),"",IFERROR(E903*N(INDEX(art_price,MATCH(C903,art_ref,0))),""))</f>
        <v/>
      </c>
      <c r="K903" s="39" t="str">
        <f>IF(OR(C903="",NOT(ISNUMBER(E903))),"",IFERROR(ROUND(N(INDEX(art_init,MATCH(C903,art_ref,0)))+SUMIFS($E$5:E903,$C$5:C903,C903,$B$5:B903,"Entrée")-SUMIFS($E$5:E903,$C$5:C903,C903,$B$5:B903,"Sortie"),6),""))</f>
        <v/>
      </c>
      <c r="L903" s="39" t="str">
        <f>IF(COUNTA(A903:C903,E903)=0,"",IF(COUNTA(A903:C903,E903)&lt;4,"Ligne incomplète",IF(NOT(ISNUMBER(A903)),"Date invalide",IF(AND(B903&lt;&gt;"Entrée",B903&lt;&gt;"Sortie"),"Type inconnu",IF(ISNA(MATCH(C903,art_ref,0)),"Référence inconnue",IF(OR(NOT(ISNUMBER(E903)),N(E903)&lt;=0),"Quantité invalide",IF(K903&lt;0,"Stock négatif",IF(AND(ISNUMBER(A902),A903&lt;A902),"Date hors ordre","OK"))))))))</f>
        <v/>
      </c>
      <c r="M903" s="39" t="str">
        <f>IF(C903="","",C903&amp;"#"&amp;COUNTIF($C$5:C903,C903))</f>
        <v/>
      </c>
    </row>
    <row r="904">
      <c r="A904" s="41" t="n"/>
      <c r="B904" s="37" t="n"/>
      <c r="C904" s="37" t="n"/>
      <c r="D904" s="39" t="str">
        <f>IF(C904="","",IFERROR(INDEX(art_des,MATCH(C904,art_ref,0))&amp;"","Référence inconnue"))</f>
        <v/>
      </c>
      <c r="E904" s="37" t="n"/>
      <c r="F904" s="39" t="str">
        <f>IF(C904="","",IFERROR(INDEX(art_unit,MATCH(C904,art_ref,0))&amp;"",""))</f>
        <v/>
      </c>
      <c r="G904" s="37" t="n"/>
      <c r="H904" s="37" t="n"/>
      <c r="I904" s="37" t="n"/>
      <c r="J904" s="40" t="str">
        <f>IF(OR(C904="",NOT(ISNUMBER(E904))),"",IFERROR(E904*N(INDEX(art_price,MATCH(C904,art_ref,0))),""))</f>
        <v/>
      </c>
      <c r="K904" s="39" t="str">
        <f>IF(OR(C904="",NOT(ISNUMBER(E904))),"",IFERROR(ROUND(N(INDEX(art_init,MATCH(C904,art_ref,0)))+SUMIFS($E$5:E904,$C$5:C904,C904,$B$5:B904,"Entrée")-SUMIFS($E$5:E904,$C$5:C904,C904,$B$5:B904,"Sortie"),6),""))</f>
        <v/>
      </c>
      <c r="L904" s="39" t="str">
        <f>IF(COUNTA(A904:C904,E904)=0,"",IF(COUNTA(A904:C904,E904)&lt;4,"Ligne incomplète",IF(NOT(ISNUMBER(A904)),"Date invalide",IF(AND(B904&lt;&gt;"Entrée",B904&lt;&gt;"Sortie"),"Type inconnu",IF(ISNA(MATCH(C904,art_ref,0)),"Référence inconnue",IF(OR(NOT(ISNUMBER(E904)),N(E904)&lt;=0),"Quantité invalide",IF(K904&lt;0,"Stock négatif",IF(AND(ISNUMBER(A903),A904&lt;A903),"Date hors ordre","OK"))))))))</f>
        <v/>
      </c>
      <c r="M904" s="39" t="str">
        <f>IF(C904="","",C904&amp;"#"&amp;COUNTIF($C$5:C904,C904))</f>
        <v/>
      </c>
    </row>
    <row r="905">
      <c r="A905" s="41" t="n"/>
      <c r="B905" s="37" t="n"/>
      <c r="C905" s="37" t="n"/>
      <c r="D905" s="39" t="str">
        <f>IF(C905="","",IFERROR(INDEX(art_des,MATCH(C905,art_ref,0))&amp;"","Référence inconnue"))</f>
        <v/>
      </c>
      <c r="E905" s="37" t="n"/>
      <c r="F905" s="39" t="str">
        <f>IF(C905="","",IFERROR(INDEX(art_unit,MATCH(C905,art_ref,0))&amp;"",""))</f>
        <v/>
      </c>
      <c r="G905" s="37" t="n"/>
      <c r="H905" s="37" t="n"/>
      <c r="I905" s="37" t="n"/>
      <c r="J905" s="40" t="str">
        <f>IF(OR(C905="",NOT(ISNUMBER(E905))),"",IFERROR(E905*N(INDEX(art_price,MATCH(C905,art_ref,0))),""))</f>
        <v/>
      </c>
      <c r="K905" s="39" t="str">
        <f>IF(OR(C905="",NOT(ISNUMBER(E905))),"",IFERROR(ROUND(N(INDEX(art_init,MATCH(C905,art_ref,0)))+SUMIFS($E$5:E905,$C$5:C905,C905,$B$5:B905,"Entrée")-SUMIFS($E$5:E905,$C$5:C905,C905,$B$5:B905,"Sortie"),6),""))</f>
        <v/>
      </c>
      <c r="L905" s="39" t="str">
        <f>IF(COUNTA(A905:C905,E905)=0,"",IF(COUNTA(A905:C905,E905)&lt;4,"Ligne incomplète",IF(NOT(ISNUMBER(A905)),"Date invalide",IF(AND(B905&lt;&gt;"Entrée",B905&lt;&gt;"Sortie"),"Type inconnu",IF(ISNA(MATCH(C905,art_ref,0)),"Référence inconnue",IF(OR(NOT(ISNUMBER(E905)),N(E905)&lt;=0),"Quantité invalide",IF(K905&lt;0,"Stock négatif",IF(AND(ISNUMBER(A904),A905&lt;A904),"Date hors ordre","OK"))))))))</f>
        <v/>
      </c>
      <c r="M905" s="39" t="str">
        <f>IF(C905="","",C905&amp;"#"&amp;COUNTIF($C$5:C905,C905))</f>
        <v/>
      </c>
    </row>
    <row r="906">
      <c r="A906" s="41" t="n"/>
      <c r="B906" s="37" t="n"/>
      <c r="C906" s="37" t="n"/>
      <c r="D906" s="39" t="str">
        <f>IF(C906="","",IFERROR(INDEX(art_des,MATCH(C906,art_ref,0))&amp;"","Référence inconnue"))</f>
        <v/>
      </c>
      <c r="E906" s="37" t="n"/>
      <c r="F906" s="39" t="str">
        <f>IF(C906="","",IFERROR(INDEX(art_unit,MATCH(C906,art_ref,0))&amp;"",""))</f>
        <v/>
      </c>
      <c r="G906" s="37" t="n"/>
      <c r="H906" s="37" t="n"/>
      <c r="I906" s="37" t="n"/>
      <c r="J906" s="40" t="str">
        <f>IF(OR(C906="",NOT(ISNUMBER(E906))),"",IFERROR(E906*N(INDEX(art_price,MATCH(C906,art_ref,0))),""))</f>
        <v/>
      </c>
      <c r="K906" s="39" t="str">
        <f>IF(OR(C906="",NOT(ISNUMBER(E906))),"",IFERROR(ROUND(N(INDEX(art_init,MATCH(C906,art_ref,0)))+SUMIFS($E$5:E906,$C$5:C906,C906,$B$5:B906,"Entrée")-SUMIFS($E$5:E906,$C$5:C906,C906,$B$5:B906,"Sortie"),6),""))</f>
        <v/>
      </c>
      <c r="L906" s="39" t="str">
        <f>IF(COUNTA(A906:C906,E906)=0,"",IF(COUNTA(A906:C906,E906)&lt;4,"Ligne incomplète",IF(NOT(ISNUMBER(A906)),"Date invalide",IF(AND(B906&lt;&gt;"Entrée",B906&lt;&gt;"Sortie"),"Type inconnu",IF(ISNA(MATCH(C906,art_ref,0)),"Référence inconnue",IF(OR(NOT(ISNUMBER(E906)),N(E906)&lt;=0),"Quantité invalide",IF(K906&lt;0,"Stock négatif",IF(AND(ISNUMBER(A905),A906&lt;A905),"Date hors ordre","OK"))))))))</f>
        <v/>
      </c>
      <c r="M906" s="39" t="str">
        <f>IF(C906="","",C906&amp;"#"&amp;COUNTIF($C$5:C906,C906))</f>
        <v/>
      </c>
    </row>
    <row r="907">
      <c r="A907" s="41" t="n"/>
      <c r="B907" s="37" t="n"/>
      <c r="C907" s="37" t="n"/>
      <c r="D907" s="39" t="str">
        <f>IF(C907="","",IFERROR(INDEX(art_des,MATCH(C907,art_ref,0))&amp;"","Référence inconnue"))</f>
        <v/>
      </c>
      <c r="E907" s="37" t="n"/>
      <c r="F907" s="39" t="str">
        <f>IF(C907="","",IFERROR(INDEX(art_unit,MATCH(C907,art_ref,0))&amp;"",""))</f>
        <v/>
      </c>
      <c r="G907" s="37" t="n"/>
      <c r="H907" s="37" t="n"/>
      <c r="I907" s="37" t="n"/>
      <c r="J907" s="40" t="str">
        <f>IF(OR(C907="",NOT(ISNUMBER(E907))),"",IFERROR(E907*N(INDEX(art_price,MATCH(C907,art_ref,0))),""))</f>
        <v/>
      </c>
      <c r="K907" s="39" t="str">
        <f>IF(OR(C907="",NOT(ISNUMBER(E907))),"",IFERROR(ROUND(N(INDEX(art_init,MATCH(C907,art_ref,0)))+SUMIFS($E$5:E907,$C$5:C907,C907,$B$5:B907,"Entrée")-SUMIFS($E$5:E907,$C$5:C907,C907,$B$5:B907,"Sortie"),6),""))</f>
        <v/>
      </c>
      <c r="L907" s="39" t="str">
        <f>IF(COUNTA(A907:C907,E907)=0,"",IF(COUNTA(A907:C907,E907)&lt;4,"Ligne incomplète",IF(NOT(ISNUMBER(A907)),"Date invalide",IF(AND(B907&lt;&gt;"Entrée",B907&lt;&gt;"Sortie"),"Type inconnu",IF(ISNA(MATCH(C907,art_ref,0)),"Référence inconnue",IF(OR(NOT(ISNUMBER(E907)),N(E907)&lt;=0),"Quantité invalide",IF(K907&lt;0,"Stock négatif",IF(AND(ISNUMBER(A906),A907&lt;A906),"Date hors ordre","OK"))))))))</f>
        <v/>
      </c>
      <c r="M907" s="39" t="str">
        <f>IF(C907="","",C907&amp;"#"&amp;COUNTIF($C$5:C907,C907))</f>
        <v/>
      </c>
    </row>
    <row r="908">
      <c r="A908" s="41" t="n"/>
      <c r="B908" s="37" t="n"/>
      <c r="C908" s="37" t="n"/>
      <c r="D908" s="39" t="str">
        <f>IF(C908="","",IFERROR(INDEX(art_des,MATCH(C908,art_ref,0))&amp;"","Référence inconnue"))</f>
        <v/>
      </c>
      <c r="E908" s="37" t="n"/>
      <c r="F908" s="39" t="str">
        <f>IF(C908="","",IFERROR(INDEX(art_unit,MATCH(C908,art_ref,0))&amp;"",""))</f>
        <v/>
      </c>
      <c r="G908" s="37" t="n"/>
      <c r="H908" s="37" t="n"/>
      <c r="I908" s="37" t="n"/>
      <c r="J908" s="40" t="str">
        <f>IF(OR(C908="",NOT(ISNUMBER(E908))),"",IFERROR(E908*N(INDEX(art_price,MATCH(C908,art_ref,0))),""))</f>
        <v/>
      </c>
      <c r="K908" s="39" t="str">
        <f>IF(OR(C908="",NOT(ISNUMBER(E908))),"",IFERROR(ROUND(N(INDEX(art_init,MATCH(C908,art_ref,0)))+SUMIFS($E$5:E908,$C$5:C908,C908,$B$5:B908,"Entrée")-SUMIFS($E$5:E908,$C$5:C908,C908,$B$5:B908,"Sortie"),6),""))</f>
        <v/>
      </c>
      <c r="L908" s="39" t="str">
        <f>IF(COUNTA(A908:C908,E908)=0,"",IF(COUNTA(A908:C908,E908)&lt;4,"Ligne incomplète",IF(NOT(ISNUMBER(A908)),"Date invalide",IF(AND(B908&lt;&gt;"Entrée",B908&lt;&gt;"Sortie"),"Type inconnu",IF(ISNA(MATCH(C908,art_ref,0)),"Référence inconnue",IF(OR(NOT(ISNUMBER(E908)),N(E908)&lt;=0),"Quantité invalide",IF(K908&lt;0,"Stock négatif",IF(AND(ISNUMBER(A907),A908&lt;A907),"Date hors ordre","OK"))))))))</f>
        <v/>
      </c>
      <c r="M908" s="39" t="str">
        <f>IF(C908="","",C908&amp;"#"&amp;COUNTIF($C$5:C908,C908))</f>
        <v/>
      </c>
    </row>
    <row r="909">
      <c r="A909" s="41" t="n"/>
      <c r="B909" s="37" t="n"/>
      <c r="C909" s="37" t="n"/>
      <c r="D909" s="39" t="str">
        <f>IF(C909="","",IFERROR(INDEX(art_des,MATCH(C909,art_ref,0))&amp;"","Référence inconnue"))</f>
        <v/>
      </c>
      <c r="E909" s="37" t="n"/>
      <c r="F909" s="39" t="str">
        <f>IF(C909="","",IFERROR(INDEX(art_unit,MATCH(C909,art_ref,0))&amp;"",""))</f>
        <v/>
      </c>
      <c r="G909" s="37" t="n"/>
      <c r="H909" s="37" t="n"/>
      <c r="I909" s="37" t="n"/>
      <c r="J909" s="40" t="str">
        <f>IF(OR(C909="",NOT(ISNUMBER(E909))),"",IFERROR(E909*N(INDEX(art_price,MATCH(C909,art_ref,0))),""))</f>
        <v/>
      </c>
      <c r="K909" s="39" t="str">
        <f>IF(OR(C909="",NOT(ISNUMBER(E909))),"",IFERROR(ROUND(N(INDEX(art_init,MATCH(C909,art_ref,0)))+SUMIFS($E$5:E909,$C$5:C909,C909,$B$5:B909,"Entrée")-SUMIFS($E$5:E909,$C$5:C909,C909,$B$5:B909,"Sortie"),6),""))</f>
        <v/>
      </c>
      <c r="L909" s="39" t="str">
        <f>IF(COUNTA(A909:C909,E909)=0,"",IF(COUNTA(A909:C909,E909)&lt;4,"Ligne incomplète",IF(NOT(ISNUMBER(A909)),"Date invalide",IF(AND(B909&lt;&gt;"Entrée",B909&lt;&gt;"Sortie"),"Type inconnu",IF(ISNA(MATCH(C909,art_ref,0)),"Référence inconnue",IF(OR(NOT(ISNUMBER(E909)),N(E909)&lt;=0),"Quantité invalide",IF(K909&lt;0,"Stock négatif",IF(AND(ISNUMBER(A908),A909&lt;A908),"Date hors ordre","OK"))))))))</f>
        <v/>
      </c>
      <c r="M909" s="39" t="str">
        <f>IF(C909="","",C909&amp;"#"&amp;COUNTIF($C$5:C909,C909))</f>
        <v/>
      </c>
    </row>
    <row r="910">
      <c r="A910" s="41" t="n"/>
      <c r="B910" s="37" t="n"/>
      <c r="C910" s="37" t="n"/>
      <c r="D910" s="39" t="str">
        <f>IF(C910="","",IFERROR(INDEX(art_des,MATCH(C910,art_ref,0))&amp;"","Référence inconnue"))</f>
        <v/>
      </c>
      <c r="E910" s="37" t="n"/>
      <c r="F910" s="39" t="str">
        <f>IF(C910="","",IFERROR(INDEX(art_unit,MATCH(C910,art_ref,0))&amp;"",""))</f>
        <v/>
      </c>
      <c r="G910" s="37" t="n"/>
      <c r="H910" s="37" t="n"/>
      <c r="I910" s="37" t="n"/>
      <c r="J910" s="40" t="str">
        <f>IF(OR(C910="",NOT(ISNUMBER(E910))),"",IFERROR(E910*N(INDEX(art_price,MATCH(C910,art_ref,0))),""))</f>
        <v/>
      </c>
      <c r="K910" s="39" t="str">
        <f>IF(OR(C910="",NOT(ISNUMBER(E910))),"",IFERROR(ROUND(N(INDEX(art_init,MATCH(C910,art_ref,0)))+SUMIFS($E$5:E910,$C$5:C910,C910,$B$5:B910,"Entrée")-SUMIFS($E$5:E910,$C$5:C910,C910,$B$5:B910,"Sortie"),6),""))</f>
        <v/>
      </c>
      <c r="L910" s="39" t="str">
        <f>IF(COUNTA(A910:C910,E910)=0,"",IF(COUNTA(A910:C910,E910)&lt;4,"Ligne incomplète",IF(NOT(ISNUMBER(A910)),"Date invalide",IF(AND(B910&lt;&gt;"Entrée",B910&lt;&gt;"Sortie"),"Type inconnu",IF(ISNA(MATCH(C910,art_ref,0)),"Référence inconnue",IF(OR(NOT(ISNUMBER(E910)),N(E910)&lt;=0),"Quantité invalide",IF(K910&lt;0,"Stock négatif",IF(AND(ISNUMBER(A909),A910&lt;A909),"Date hors ordre","OK"))))))))</f>
        <v/>
      </c>
      <c r="M910" s="39" t="str">
        <f>IF(C910="","",C910&amp;"#"&amp;COUNTIF($C$5:C910,C910))</f>
        <v/>
      </c>
    </row>
    <row r="911">
      <c r="A911" s="41" t="n"/>
      <c r="B911" s="37" t="n"/>
      <c r="C911" s="37" t="n"/>
      <c r="D911" s="39" t="str">
        <f>IF(C911="","",IFERROR(INDEX(art_des,MATCH(C911,art_ref,0))&amp;"","Référence inconnue"))</f>
        <v/>
      </c>
      <c r="E911" s="37" t="n"/>
      <c r="F911" s="39" t="str">
        <f>IF(C911="","",IFERROR(INDEX(art_unit,MATCH(C911,art_ref,0))&amp;"",""))</f>
        <v/>
      </c>
      <c r="G911" s="37" t="n"/>
      <c r="H911" s="37" t="n"/>
      <c r="I911" s="37" t="n"/>
      <c r="J911" s="40" t="str">
        <f>IF(OR(C911="",NOT(ISNUMBER(E911))),"",IFERROR(E911*N(INDEX(art_price,MATCH(C911,art_ref,0))),""))</f>
        <v/>
      </c>
      <c r="K911" s="39" t="str">
        <f>IF(OR(C911="",NOT(ISNUMBER(E911))),"",IFERROR(ROUND(N(INDEX(art_init,MATCH(C911,art_ref,0)))+SUMIFS($E$5:E911,$C$5:C911,C911,$B$5:B911,"Entrée")-SUMIFS($E$5:E911,$C$5:C911,C911,$B$5:B911,"Sortie"),6),""))</f>
        <v/>
      </c>
      <c r="L911" s="39" t="str">
        <f>IF(COUNTA(A911:C911,E911)=0,"",IF(COUNTA(A911:C911,E911)&lt;4,"Ligne incomplète",IF(NOT(ISNUMBER(A911)),"Date invalide",IF(AND(B911&lt;&gt;"Entrée",B911&lt;&gt;"Sortie"),"Type inconnu",IF(ISNA(MATCH(C911,art_ref,0)),"Référence inconnue",IF(OR(NOT(ISNUMBER(E911)),N(E911)&lt;=0),"Quantité invalide",IF(K911&lt;0,"Stock négatif",IF(AND(ISNUMBER(A910),A911&lt;A910),"Date hors ordre","OK"))))))))</f>
        <v/>
      </c>
      <c r="M911" s="39" t="str">
        <f>IF(C911="","",C911&amp;"#"&amp;COUNTIF($C$5:C911,C911))</f>
        <v/>
      </c>
    </row>
    <row r="912">
      <c r="A912" s="41" t="n"/>
      <c r="B912" s="37" t="n"/>
      <c r="C912" s="37" t="n"/>
      <c r="D912" s="39" t="str">
        <f>IF(C912="","",IFERROR(INDEX(art_des,MATCH(C912,art_ref,0))&amp;"","Référence inconnue"))</f>
        <v/>
      </c>
      <c r="E912" s="37" t="n"/>
      <c r="F912" s="39" t="str">
        <f>IF(C912="","",IFERROR(INDEX(art_unit,MATCH(C912,art_ref,0))&amp;"",""))</f>
        <v/>
      </c>
      <c r="G912" s="37" t="n"/>
      <c r="H912" s="37" t="n"/>
      <c r="I912" s="37" t="n"/>
      <c r="J912" s="40" t="str">
        <f>IF(OR(C912="",NOT(ISNUMBER(E912))),"",IFERROR(E912*N(INDEX(art_price,MATCH(C912,art_ref,0))),""))</f>
        <v/>
      </c>
      <c r="K912" s="39" t="str">
        <f>IF(OR(C912="",NOT(ISNUMBER(E912))),"",IFERROR(ROUND(N(INDEX(art_init,MATCH(C912,art_ref,0)))+SUMIFS($E$5:E912,$C$5:C912,C912,$B$5:B912,"Entrée")-SUMIFS($E$5:E912,$C$5:C912,C912,$B$5:B912,"Sortie"),6),""))</f>
        <v/>
      </c>
      <c r="L912" s="39" t="str">
        <f>IF(COUNTA(A912:C912,E912)=0,"",IF(COUNTA(A912:C912,E912)&lt;4,"Ligne incomplète",IF(NOT(ISNUMBER(A912)),"Date invalide",IF(AND(B912&lt;&gt;"Entrée",B912&lt;&gt;"Sortie"),"Type inconnu",IF(ISNA(MATCH(C912,art_ref,0)),"Référence inconnue",IF(OR(NOT(ISNUMBER(E912)),N(E912)&lt;=0),"Quantité invalide",IF(K912&lt;0,"Stock négatif",IF(AND(ISNUMBER(A911),A912&lt;A911),"Date hors ordre","OK"))))))))</f>
        <v/>
      </c>
      <c r="M912" s="39" t="str">
        <f>IF(C912="","",C912&amp;"#"&amp;COUNTIF($C$5:C912,C912))</f>
        <v/>
      </c>
    </row>
    <row r="913">
      <c r="A913" s="41" t="n"/>
      <c r="B913" s="37" t="n"/>
      <c r="C913" s="37" t="n"/>
      <c r="D913" s="39" t="str">
        <f>IF(C913="","",IFERROR(INDEX(art_des,MATCH(C913,art_ref,0))&amp;"","Référence inconnue"))</f>
        <v/>
      </c>
      <c r="E913" s="37" t="n"/>
      <c r="F913" s="39" t="str">
        <f>IF(C913="","",IFERROR(INDEX(art_unit,MATCH(C913,art_ref,0))&amp;"",""))</f>
        <v/>
      </c>
      <c r="G913" s="37" t="n"/>
      <c r="H913" s="37" t="n"/>
      <c r="I913" s="37" t="n"/>
      <c r="J913" s="40" t="str">
        <f>IF(OR(C913="",NOT(ISNUMBER(E913))),"",IFERROR(E913*N(INDEX(art_price,MATCH(C913,art_ref,0))),""))</f>
        <v/>
      </c>
      <c r="K913" s="39" t="str">
        <f>IF(OR(C913="",NOT(ISNUMBER(E913))),"",IFERROR(ROUND(N(INDEX(art_init,MATCH(C913,art_ref,0)))+SUMIFS($E$5:E913,$C$5:C913,C913,$B$5:B913,"Entrée")-SUMIFS($E$5:E913,$C$5:C913,C913,$B$5:B913,"Sortie"),6),""))</f>
        <v/>
      </c>
      <c r="L913" s="39" t="str">
        <f>IF(COUNTA(A913:C913,E913)=0,"",IF(COUNTA(A913:C913,E913)&lt;4,"Ligne incomplète",IF(NOT(ISNUMBER(A913)),"Date invalide",IF(AND(B913&lt;&gt;"Entrée",B913&lt;&gt;"Sortie"),"Type inconnu",IF(ISNA(MATCH(C913,art_ref,0)),"Référence inconnue",IF(OR(NOT(ISNUMBER(E913)),N(E913)&lt;=0),"Quantité invalide",IF(K913&lt;0,"Stock négatif",IF(AND(ISNUMBER(A912),A913&lt;A912),"Date hors ordre","OK"))))))))</f>
        <v/>
      </c>
      <c r="M913" s="39" t="str">
        <f>IF(C913="","",C913&amp;"#"&amp;COUNTIF($C$5:C913,C913))</f>
        <v/>
      </c>
    </row>
    <row r="914">
      <c r="A914" s="41" t="n"/>
      <c r="B914" s="37" t="n"/>
      <c r="C914" s="37" t="n"/>
      <c r="D914" s="39" t="str">
        <f>IF(C914="","",IFERROR(INDEX(art_des,MATCH(C914,art_ref,0))&amp;"","Référence inconnue"))</f>
        <v/>
      </c>
      <c r="E914" s="37" t="n"/>
      <c r="F914" s="39" t="str">
        <f>IF(C914="","",IFERROR(INDEX(art_unit,MATCH(C914,art_ref,0))&amp;"",""))</f>
        <v/>
      </c>
      <c r="G914" s="37" t="n"/>
      <c r="H914" s="37" t="n"/>
      <c r="I914" s="37" t="n"/>
      <c r="J914" s="40" t="str">
        <f>IF(OR(C914="",NOT(ISNUMBER(E914))),"",IFERROR(E914*N(INDEX(art_price,MATCH(C914,art_ref,0))),""))</f>
        <v/>
      </c>
      <c r="K914" s="39" t="str">
        <f>IF(OR(C914="",NOT(ISNUMBER(E914))),"",IFERROR(ROUND(N(INDEX(art_init,MATCH(C914,art_ref,0)))+SUMIFS($E$5:E914,$C$5:C914,C914,$B$5:B914,"Entrée")-SUMIFS($E$5:E914,$C$5:C914,C914,$B$5:B914,"Sortie"),6),""))</f>
        <v/>
      </c>
      <c r="L914" s="39" t="str">
        <f>IF(COUNTA(A914:C914,E914)=0,"",IF(COUNTA(A914:C914,E914)&lt;4,"Ligne incomplète",IF(NOT(ISNUMBER(A914)),"Date invalide",IF(AND(B914&lt;&gt;"Entrée",B914&lt;&gt;"Sortie"),"Type inconnu",IF(ISNA(MATCH(C914,art_ref,0)),"Référence inconnue",IF(OR(NOT(ISNUMBER(E914)),N(E914)&lt;=0),"Quantité invalide",IF(K914&lt;0,"Stock négatif",IF(AND(ISNUMBER(A913),A914&lt;A913),"Date hors ordre","OK"))))))))</f>
        <v/>
      </c>
      <c r="M914" s="39" t="str">
        <f>IF(C914="","",C914&amp;"#"&amp;COUNTIF($C$5:C914,C914))</f>
        <v/>
      </c>
    </row>
    <row r="915">
      <c r="A915" s="41" t="n"/>
      <c r="B915" s="37" t="n"/>
      <c r="C915" s="37" t="n"/>
      <c r="D915" s="39" t="str">
        <f>IF(C915="","",IFERROR(INDEX(art_des,MATCH(C915,art_ref,0))&amp;"","Référence inconnue"))</f>
        <v/>
      </c>
      <c r="E915" s="37" t="n"/>
      <c r="F915" s="39" t="str">
        <f>IF(C915="","",IFERROR(INDEX(art_unit,MATCH(C915,art_ref,0))&amp;"",""))</f>
        <v/>
      </c>
      <c r="G915" s="37" t="n"/>
      <c r="H915" s="37" t="n"/>
      <c r="I915" s="37" t="n"/>
      <c r="J915" s="40" t="str">
        <f>IF(OR(C915="",NOT(ISNUMBER(E915))),"",IFERROR(E915*N(INDEX(art_price,MATCH(C915,art_ref,0))),""))</f>
        <v/>
      </c>
      <c r="K915" s="39" t="str">
        <f>IF(OR(C915="",NOT(ISNUMBER(E915))),"",IFERROR(ROUND(N(INDEX(art_init,MATCH(C915,art_ref,0)))+SUMIFS($E$5:E915,$C$5:C915,C915,$B$5:B915,"Entrée")-SUMIFS($E$5:E915,$C$5:C915,C915,$B$5:B915,"Sortie"),6),""))</f>
        <v/>
      </c>
      <c r="L915" s="39" t="str">
        <f>IF(COUNTA(A915:C915,E915)=0,"",IF(COUNTA(A915:C915,E915)&lt;4,"Ligne incomplète",IF(NOT(ISNUMBER(A915)),"Date invalide",IF(AND(B915&lt;&gt;"Entrée",B915&lt;&gt;"Sortie"),"Type inconnu",IF(ISNA(MATCH(C915,art_ref,0)),"Référence inconnue",IF(OR(NOT(ISNUMBER(E915)),N(E915)&lt;=0),"Quantité invalide",IF(K915&lt;0,"Stock négatif",IF(AND(ISNUMBER(A914),A915&lt;A914),"Date hors ordre","OK"))))))))</f>
        <v/>
      </c>
      <c r="M915" s="39" t="str">
        <f>IF(C915="","",C915&amp;"#"&amp;COUNTIF($C$5:C915,C915))</f>
        <v/>
      </c>
    </row>
    <row r="916">
      <c r="A916" s="41" t="n"/>
      <c r="B916" s="37" t="n"/>
      <c r="C916" s="37" t="n"/>
      <c r="D916" s="39" t="str">
        <f>IF(C916="","",IFERROR(INDEX(art_des,MATCH(C916,art_ref,0))&amp;"","Référence inconnue"))</f>
        <v/>
      </c>
      <c r="E916" s="37" t="n"/>
      <c r="F916" s="39" t="str">
        <f>IF(C916="","",IFERROR(INDEX(art_unit,MATCH(C916,art_ref,0))&amp;"",""))</f>
        <v/>
      </c>
      <c r="G916" s="37" t="n"/>
      <c r="H916" s="37" t="n"/>
      <c r="I916" s="37" t="n"/>
      <c r="J916" s="40" t="str">
        <f>IF(OR(C916="",NOT(ISNUMBER(E916))),"",IFERROR(E916*N(INDEX(art_price,MATCH(C916,art_ref,0))),""))</f>
        <v/>
      </c>
      <c r="K916" s="39" t="str">
        <f>IF(OR(C916="",NOT(ISNUMBER(E916))),"",IFERROR(ROUND(N(INDEX(art_init,MATCH(C916,art_ref,0)))+SUMIFS($E$5:E916,$C$5:C916,C916,$B$5:B916,"Entrée")-SUMIFS($E$5:E916,$C$5:C916,C916,$B$5:B916,"Sortie"),6),""))</f>
        <v/>
      </c>
      <c r="L916" s="39" t="str">
        <f>IF(COUNTA(A916:C916,E916)=0,"",IF(COUNTA(A916:C916,E916)&lt;4,"Ligne incomplète",IF(NOT(ISNUMBER(A916)),"Date invalide",IF(AND(B916&lt;&gt;"Entrée",B916&lt;&gt;"Sortie"),"Type inconnu",IF(ISNA(MATCH(C916,art_ref,0)),"Référence inconnue",IF(OR(NOT(ISNUMBER(E916)),N(E916)&lt;=0),"Quantité invalide",IF(K916&lt;0,"Stock négatif",IF(AND(ISNUMBER(A915),A916&lt;A915),"Date hors ordre","OK"))))))))</f>
        <v/>
      </c>
      <c r="M916" s="39" t="str">
        <f>IF(C916="","",C916&amp;"#"&amp;COUNTIF($C$5:C916,C916))</f>
        <v/>
      </c>
    </row>
    <row r="917">
      <c r="A917" s="41" t="n"/>
      <c r="B917" s="37" t="n"/>
      <c r="C917" s="37" t="n"/>
      <c r="D917" s="39" t="str">
        <f>IF(C917="","",IFERROR(INDEX(art_des,MATCH(C917,art_ref,0))&amp;"","Référence inconnue"))</f>
        <v/>
      </c>
      <c r="E917" s="37" t="n"/>
      <c r="F917" s="39" t="str">
        <f>IF(C917="","",IFERROR(INDEX(art_unit,MATCH(C917,art_ref,0))&amp;"",""))</f>
        <v/>
      </c>
      <c r="G917" s="37" t="n"/>
      <c r="H917" s="37" t="n"/>
      <c r="I917" s="37" t="n"/>
      <c r="J917" s="40" t="str">
        <f>IF(OR(C917="",NOT(ISNUMBER(E917))),"",IFERROR(E917*N(INDEX(art_price,MATCH(C917,art_ref,0))),""))</f>
        <v/>
      </c>
      <c r="K917" s="39" t="str">
        <f>IF(OR(C917="",NOT(ISNUMBER(E917))),"",IFERROR(ROUND(N(INDEX(art_init,MATCH(C917,art_ref,0)))+SUMIFS($E$5:E917,$C$5:C917,C917,$B$5:B917,"Entrée")-SUMIFS($E$5:E917,$C$5:C917,C917,$B$5:B917,"Sortie"),6),""))</f>
        <v/>
      </c>
      <c r="L917" s="39" t="str">
        <f>IF(COUNTA(A917:C917,E917)=0,"",IF(COUNTA(A917:C917,E917)&lt;4,"Ligne incomplète",IF(NOT(ISNUMBER(A917)),"Date invalide",IF(AND(B917&lt;&gt;"Entrée",B917&lt;&gt;"Sortie"),"Type inconnu",IF(ISNA(MATCH(C917,art_ref,0)),"Référence inconnue",IF(OR(NOT(ISNUMBER(E917)),N(E917)&lt;=0),"Quantité invalide",IF(K917&lt;0,"Stock négatif",IF(AND(ISNUMBER(A916),A917&lt;A916),"Date hors ordre","OK"))))))))</f>
        <v/>
      </c>
      <c r="M917" s="39" t="str">
        <f>IF(C917="","",C917&amp;"#"&amp;COUNTIF($C$5:C917,C917))</f>
        <v/>
      </c>
    </row>
    <row r="918">
      <c r="A918" s="41" t="n"/>
      <c r="B918" s="37" t="n"/>
      <c r="C918" s="37" t="n"/>
      <c r="D918" s="39" t="str">
        <f>IF(C918="","",IFERROR(INDEX(art_des,MATCH(C918,art_ref,0))&amp;"","Référence inconnue"))</f>
        <v/>
      </c>
      <c r="E918" s="37" t="n"/>
      <c r="F918" s="39" t="str">
        <f>IF(C918="","",IFERROR(INDEX(art_unit,MATCH(C918,art_ref,0))&amp;"",""))</f>
        <v/>
      </c>
      <c r="G918" s="37" t="n"/>
      <c r="H918" s="37" t="n"/>
      <c r="I918" s="37" t="n"/>
      <c r="J918" s="40" t="str">
        <f>IF(OR(C918="",NOT(ISNUMBER(E918))),"",IFERROR(E918*N(INDEX(art_price,MATCH(C918,art_ref,0))),""))</f>
        <v/>
      </c>
      <c r="K918" s="39" t="str">
        <f>IF(OR(C918="",NOT(ISNUMBER(E918))),"",IFERROR(ROUND(N(INDEX(art_init,MATCH(C918,art_ref,0)))+SUMIFS($E$5:E918,$C$5:C918,C918,$B$5:B918,"Entrée")-SUMIFS($E$5:E918,$C$5:C918,C918,$B$5:B918,"Sortie"),6),""))</f>
        <v/>
      </c>
      <c r="L918" s="39" t="str">
        <f>IF(COUNTA(A918:C918,E918)=0,"",IF(COUNTA(A918:C918,E918)&lt;4,"Ligne incomplète",IF(NOT(ISNUMBER(A918)),"Date invalide",IF(AND(B918&lt;&gt;"Entrée",B918&lt;&gt;"Sortie"),"Type inconnu",IF(ISNA(MATCH(C918,art_ref,0)),"Référence inconnue",IF(OR(NOT(ISNUMBER(E918)),N(E918)&lt;=0),"Quantité invalide",IF(K918&lt;0,"Stock négatif",IF(AND(ISNUMBER(A917),A918&lt;A917),"Date hors ordre","OK"))))))))</f>
        <v/>
      </c>
      <c r="M918" s="39" t="str">
        <f>IF(C918="","",C918&amp;"#"&amp;COUNTIF($C$5:C918,C918))</f>
        <v/>
      </c>
    </row>
    <row r="919">
      <c r="A919" s="41" t="n"/>
      <c r="B919" s="37" t="n"/>
      <c r="C919" s="37" t="n"/>
      <c r="D919" s="39" t="str">
        <f>IF(C919="","",IFERROR(INDEX(art_des,MATCH(C919,art_ref,0))&amp;"","Référence inconnue"))</f>
        <v/>
      </c>
      <c r="E919" s="37" t="n"/>
      <c r="F919" s="39" t="str">
        <f>IF(C919="","",IFERROR(INDEX(art_unit,MATCH(C919,art_ref,0))&amp;"",""))</f>
        <v/>
      </c>
      <c r="G919" s="37" t="n"/>
      <c r="H919" s="37" t="n"/>
      <c r="I919" s="37" t="n"/>
      <c r="J919" s="40" t="str">
        <f>IF(OR(C919="",NOT(ISNUMBER(E919))),"",IFERROR(E919*N(INDEX(art_price,MATCH(C919,art_ref,0))),""))</f>
        <v/>
      </c>
      <c r="K919" s="39" t="str">
        <f>IF(OR(C919="",NOT(ISNUMBER(E919))),"",IFERROR(ROUND(N(INDEX(art_init,MATCH(C919,art_ref,0)))+SUMIFS($E$5:E919,$C$5:C919,C919,$B$5:B919,"Entrée")-SUMIFS($E$5:E919,$C$5:C919,C919,$B$5:B919,"Sortie"),6),""))</f>
        <v/>
      </c>
      <c r="L919" s="39" t="str">
        <f>IF(COUNTA(A919:C919,E919)=0,"",IF(COUNTA(A919:C919,E919)&lt;4,"Ligne incomplète",IF(NOT(ISNUMBER(A919)),"Date invalide",IF(AND(B919&lt;&gt;"Entrée",B919&lt;&gt;"Sortie"),"Type inconnu",IF(ISNA(MATCH(C919,art_ref,0)),"Référence inconnue",IF(OR(NOT(ISNUMBER(E919)),N(E919)&lt;=0),"Quantité invalide",IF(K919&lt;0,"Stock négatif",IF(AND(ISNUMBER(A918),A919&lt;A918),"Date hors ordre","OK"))))))))</f>
        <v/>
      </c>
      <c r="M919" s="39" t="str">
        <f>IF(C919="","",C919&amp;"#"&amp;COUNTIF($C$5:C919,C919))</f>
        <v/>
      </c>
    </row>
    <row r="920">
      <c r="A920" s="41" t="n"/>
      <c r="B920" s="37" t="n"/>
      <c r="C920" s="37" t="n"/>
      <c r="D920" s="39" t="str">
        <f>IF(C920="","",IFERROR(INDEX(art_des,MATCH(C920,art_ref,0))&amp;"","Référence inconnue"))</f>
        <v/>
      </c>
      <c r="E920" s="37" t="n"/>
      <c r="F920" s="39" t="str">
        <f>IF(C920="","",IFERROR(INDEX(art_unit,MATCH(C920,art_ref,0))&amp;"",""))</f>
        <v/>
      </c>
      <c r="G920" s="37" t="n"/>
      <c r="H920" s="37" t="n"/>
      <c r="I920" s="37" t="n"/>
      <c r="J920" s="40" t="str">
        <f>IF(OR(C920="",NOT(ISNUMBER(E920))),"",IFERROR(E920*N(INDEX(art_price,MATCH(C920,art_ref,0))),""))</f>
        <v/>
      </c>
      <c r="K920" s="39" t="str">
        <f>IF(OR(C920="",NOT(ISNUMBER(E920))),"",IFERROR(ROUND(N(INDEX(art_init,MATCH(C920,art_ref,0)))+SUMIFS($E$5:E920,$C$5:C920,C920,$B$5:B920,"Entrée")-SUMIFS($E$5:E920,$C$5:C920,C920,$B$5:B920,"Sortie"),6),""))</f>
        <v/>
      </c>
      <c r="L920" s="39" t="str">
        <f>IF(COUNTA(A920:C920,E920)=0,"",IF(COUNTA(A920:C920,E920)&lt;4,"Ligne incomplète",IF(NOT(ISNUMBER(A920)),"Date invalide",IF(AND(B920&lt;&gt;"Entrée",B920&lt;&gt;"Sortie"),"Type inconnu",IF(ISNA(MATCH(C920,art_ref,0)),"Référence inconnue",IF(OR(NOT(ISNUMBER(E920)),N(E920)&lt;=0),"Quantité invalide",IF(K920&lt;0,"Stock négatif",IF(AND(ISNUMBER(A919),A920&lt;A919),"Date hors ordre","OK"))))))))</f>
        <v/>
      </c>
      <c r="M920" s="39" t="str">
        <f>IF(C920="","",C920&amp;"#"&amp;COUNTIF($C$5:C920,C920))</f>
        <v/>
      </c>
    </row>
    <row r="921">
      <c r="A921" s="41" t="n"/>
      <c r="B921" s="37" t="n"/>
      <c r="C921" s="37" t="n"/>
      <c r="D921" s="39" t="str">
        <f>IF(C921="","",IFERROR(INDEX(art_des,MATCH(C921,art_ref,0))&amp;"","Référence inconnue"))</f>
        <v/>
      </c>
      <c r="E921" s="37" t="n"/>
      <c r="F921" s="39" t="str">
        <f>IF(C921="","",IFERROR(INDEX(art_unit,MATCH(C921,art_ref,0))&amp;"",""))</f>
        <v/>
      </c>
      <c r="G921" s="37" t="n"/>
      <c r="H921" s="37" t="n"/>
      <c r="I921" s="37" t="n"/>
      <c r="J921" s="40" t="str">
        <f>IF(OR(C921="",NOT(ISNUMBER(E921))),"",IFERROR(E921*N(INDEX(art_price,MATCH(C921,art_ref,0))),""))</f>
        <v/>
      </c>
      <c r="K921" s="39" t="str">
        <f>IF(OR(C921="",NOT(ISNUMBER(E921))),"",IFERROR(ROUND(N(INDEX(art_init,MATCH(C921,art_ref,0)))+SUMIFS($E$5:E921,$C$5:C921,C921,$B$5:B921,"Entrée")-SUMIFS($E$5:E921,$C$5:C921,C921,$B$5:B921,"Sortie"),6),""))</f>
        <v/>
      </c>
      <c r="L921" s="39" t="str">
        <f>IF(COUNTA(A921:C921,E921)=0,"",IF(COUNTA(A921:C921,E921)&lt;4,"Ligne incomplète",IF(NOT(ISNUMBER(A921)),"Date invalide",IF(AND(B921&lt;&gt;"Entrée",B921&lt;&gt;"Sortie"),"Type inconnu",IF(ISNA(MATCH(C921,art_ref,0)),"Référence inconnue",IF(OR(NOT(ISNUMBER(E921)),N(E921)&lt;=0),"Quantité invalide",IF(K921&lt;0,"Stock négatif",IF(AND(ISNUMBER(A920),A921&lt;A920),"Date hors ordre","OK"))))))))</f>
        <v/>
      </c>
      <c r="M921" s="39" t="str">
        <f>IF(C921="","",C921&amp;"#"&amp;COUNTIF($C$5:C921,C921))</f>
        <v/>
      </c>
    </row>
    <row r="922">
      <c r="A922" s="41" t="n"/>
      <c r="B922" s="37" t="n"/>
      <c r="C922" s="37" t="n"/>
      <c r="D922" s="39" t="str">
        <f>IF(C922="","",IFERROR(INDEX(art_des,MATCH(C922,art_ref,0))&amp;"","Référence inconnue"))</f>
        <v/>
      </c>
      <c r="E922" s="37" t="n"/>
      <c r="F922" s="39" t="str">
        <f>IF(C922="","",IFERROR(INDEX(art_unit,MATCH(C922,art_ref,0))&amp;"",""))</f>
        <v/>
      </c>
      <c r="G922" s="37" t="n"/>
      <c r="H922" s="37" t="n"/>
      <c r="I922" s="37" t="n"/>
      <c r="J922" s="40" t="str">
        <f>IF(OR(C922="",NOT(ISNUMBER(E922))),"",IFERROR(E922*N(INDEX(art_price,MATCH(C922,art_ref,0))),""))</f>
        <v/>
      </c>
      <c r="K922" s="39" t="str">
        <f>IF(OR(C922="",NOT(ISNUMBER(E922))),"",IFERROR(ROUND(N(INDEX(art_init,MATCH(C922,art_ref,0)))+SUMIFS($E$5:E922,$C$5:C922,C922,$B$5:B922,"Entrée")-SUMIFS($E$5:E922,$C$5:C922,C922,$B$5:B922,"Sortie"),6),""))</f>
        <v/>
      </c>
      <c r="L922" s="39" t="str">
        <f>IF(COUNTA(A922:C922,E922)=0,"",IF(COUNTA(A922:C922,E922)&lt;4,"Ligne incomplète",IF(NOT(ISNUMBER(A922)),"Date invalide",IF(AND(B922&lt;&gt;"Entrée",B922&lt;&gt;"Sortie"),"Type inconnu",IF(ISNA(MATCH(C922,art_ref,0)),"Référence inconnue",IF(OR(NOT(ISNUMBER(E922)),N(E922)&lt;=0),"Quantité invalide",IF(K922&lt;0,"Stock négatif",IF(AND(ISNUMBER(A921),A922&lt;A921),"Date hors ordre","OK"))))))))</f>
        <v/>
      </c>
      <c r="M922" s="39" t="str">
        <f>IF(C922="","",C922&amp;"#"&amp;COUNTIF($C$5:C922,C922))</f>
        <v/>
      </c>
    </row>
    <row r="923">
      <c r="A923" s="41" t="n"/>
      <c r="B923" s="37" t="n"/>
      <c r="C923" s="37" t="n"/>
      <c r="D923" s="39" t="str">
        <f>IF(C923="","",IFERROR(INDEX(art_des,MATCH(C923,art_ref,0))&amp;"","Référence inconnue"))</f>
        <v/>
      </c>
      <c r="E923" s="37" t="n"/>
      <c r="F923" s="39" t="str">
        <f>IF(C923="","",IFERROR(INDEX(art_unit,MATCH(C923,art_ref,0))&amp;"",""))</f>
        <v/>
      </c>
      <c r="G923" s="37" t="n"/>
      <c r="H923" s="37" t="n"/>
      <c r="I923" s="37" t="n"/>
      <c r="J923" s="40" t="str">
        <f>IF(OR(C923="",NOT(ISNUMBER(E923))),"",IFERROR(E923*N(INDEX(art_price,MATCH(C923,art_ref,0))),""))</f>
        <v/>
      </c>
      <c r="K923" s="39" t="str">
        <f>IF(OR(C923="",NOT(ISNUMBER(E923))),"",IFERROR(ROUND(N(INDEX(art_init,MATCH(C923,art_ref,0)))+SUMIFS($E$5:E923,$C$5:C923,C923,$B$5:B923,"Entrée")-SUMIFS($E$5:E923,$C$5:C923,C923,$B$5:B923,"Sortie"),6),""))</f>
        <v/>
      </c>
      <c r="L923" s="39" t="str">
        <f>IF(COUNTA(A923:C923,E923)=0,"",IF(COUNTA(A923:C923,E923)&lt;4,"Ligne incomplète",IF(NOT(ISNUMBER(A923)),"Date invalide",IF(AND(B923&lt;&gt;"Entrée",B923&lt;&gt;"Sortie"),"Type inconnu",IF(ISNA(MATCH(C923,art_ref,0)),"Référence inconnue",IF(OR(NOT(ISNUMBER(E923)),N(E923)&lt;=0),"Quantité invalide",IF(K923&lt;0,"Stock négatif",IF(AND(ISNUMBER(A922),A923&lt;A922),"Date hors ordre","OK"))))))))</f>
        <v/>
      </c>
      <c r="M923" s="39" t="str">
        <f>IF(C923="","",C923&amp;"#"&amp;COUNTIF($C$5:C923,C923))</f>
        <v/>
      </c>
    </row>
    <row r="924">
      <c r="A924" s="41" t="n"/>
      <c r="B924" s="37" t="n"/>
      <c r="C924" s="37" t="n"/>
      <c r="D924" s="39" t="str">
        <f>IF(C924="","",IFERROR(INDEX(art_des,MATCH(C924,art_ref,0))&amp;"","Référence inconnue"))</f>
        <v/>
      </c>
      <c r="E924" s="37" t="n"/>
      <c r="F924" s="39" t="str">
        <f>IF(C924="","",IFERROR(INDEX(art_unit,MATCH(C924,art_ref,0))&amp;"",""))</f>
        <v/>
      </c>
      <c r="G924" s="37" t="n"/>
      <c r="H924" s="37" t="n"/>
      <c r="I924" s="37" t="n"/>
      <c r="J924" s="40" t="str">
        <f>IF(OR(C924="",NOT(ISNUMBER(E924))),"",IFERROR(E924*N(INDEX(art_price,MATCH(C924,art_ref,0))),""))</f>
        <v/>
      </c>
      <c r="K924" s="39" t="str">
        <f>IF(OR(C924="",NOT(ISNUMBER(E924))),"",IFERROR(ROUND(N(INDEX(art_init,MATCH(C924,art_ref,0)))+SUMIFS($E$5:E924,$C$5:C924,C924,$B$5:B924,"Entrée")-SUMIFS($E$5:E924,$C$5:C924,C924,$B$5:B924,"Sortie"),6),""))</f>
        <v/>
      </c>
      <c r="L924" s="39" t="str">
        <f>IF(COUNTA(A924:C924,E924)=0,"",IF(COUNTA(A924:C924,E924)&lt;4,"Ligne incomplète",IF(NOT(ISNUMBER(A924)),"Date invalide",IF(AND(B924&lt;&gt;"Entrée",B924&lt;&gt;"Sortie"),"Type inconnu",IF(ISNA(MATCH(C924,art_ref,0)),"Référence inconnue",IF(OR(NOT(ISNUMBER(E924)),N(E924)&lt;=0),"Quantité invalide",IF(K924&lt;0,"Stock négatif",IF(AND(ISNUMBER(A923),A924&lt;A923),"Date hors ordre","OK"))))))))</f>
        <v/>
      </c>
      <c r="M924" s="39" t="str">
        <f>IF(C924="","",C924&amp;"#"&amp;COUNTIF($C$5:C924,C924))</f>
        <v/>
      </c>
    </row>
    <row r="925">
      <c r="A925" s="41" t="n"/>
      <c r="B925" s="37" t="n"/>
      <c r="C925" s="37" t="n"/>
      <c r="D925" s="39" t="str">
        <f>IF(C925="","",IFERROR(INDEX(art_des,MATCH(C925,art_ref,0))&amp;"","Référence inconnue"))</f>
        <v/>
      </c>
      <c r="E925" s="37" t="n"/>
      <c r="F925" s="39" t="str">
        <f>IF(C925="","",IFERROR(INDEX(art_unit,MATCH(C925,art_ref,0))&amp;"",""))</f>
        <v/>
      </c>
      <c r="G925" s="37" t="n"/>
      <c r="H925" s="37" t="n"/>
      <c r="I925" s="37" t="n"/>
      <c r="J925" s="40" t="str">
        <f>IF(OR(C925="",NOT(ISNUMBER(E925))),"",IFERROR(E925*N(INDEX(art_price,MATCH(C925,art_ref,0))),""))</f>
        <v/>
      </c>
      <c r="K925" s="39" t="str">
        <f>IF(OR(C925="",NOT(ISNUMBER(E925))),"",IFERROR(ROUND(N(INDEX(art_init,MATCH(C925,art_ref,0)))+SUMIFS($E$5:E925,$C$5:C925,C925,$B$5:B925,"Entrée")-SUMIFS($E$5:E925,$C$5:C925,C925,$B$5:B925,"Sortie"),6),""))</f>
        <v/>
      </c>
      <c r="L925" s="39" t="str">
        <f>IF(COUNTA(A925:C925,E925)=0,"",IF(COUNTA(A925:C925,E925)&lt;4,"Ligne incomplète",IF(NOT(ISNUMBER(A925)),"Date invalide",IF(AND(B925&lt;&gt;"Entrée",B925&lt;&gt;"Sortie"),"Type inconnu",IF(ISNA(MATCH(C925,art_ref,0)),"Référence inconnue",IF(OR(NOT(ISNUMBER(E925)),N(E925)&lt;=0),"Quantité invalide",IF(K925&lt;0,"Stock négatif",IF(AND(ISNUMBER(A924),A925&lt;A924),"Date hors ordre","OK"))))))))</f>
        <v/>
      </c>
      <c r="M925" s="39" t="str">
        <f>IF(C925="","",C925&amp;"#"&amp;COUNTIF($C$5:C925,C925))</f>
        <v/>
      </c>
    </row>
    <row r="926">
      <c r="A926" s="41" t="n"/>
      <c r="B926" s="37" t="n"/>
      <c r="C926" s="37" t="n"/>
      <c r="D926" s="39" t="str">
        <f>IF(C926="","",IFERROR(INDEX(art_des,MATCH(C926,art_ref,0))&amp;"","Référence inconnue"))</f>
        <v/>
      </c>
      <c r="E926" s="37" t="n"/>
      <c r="F926" s="39" t="str">
        <f>IF(C926="","",IFERROR(INDEX(art_unit,MATCH(C926,art_ref,0))&amp;"",""))</f>
        <v/>
      </c>
      <c r="G926" s="37" t="n"/>
      <c r="H926" s="37" t="n"/>
      <c r="I926" s="37" t="n"/>
      <c r="J926" s="40" t="str">
        <f>IF(OR(C926="",NOT(ISNUMBER(E926))),"",IFERROR(E926*N(INDEX(art_price,MATCH(C926,art_ref,0))),""))</f>
        <v/>
      </c>
      <c r="K926" s="39" t="str">
        <f>IF(OR(C926="",NOT(ISNUMBER(E926))),"",IFERROR(ROUND(N(INDEX(art_init,MATCH(C926,art_ref,0)))+SUMIFS($E$5:E926,$C$5:C926,C926,$B$5:B926,"Entrée")-SUMIFS($E$5:E926,$C$5:C926,C926,$B$5:B926,"Sortie"),6),""))</f>
        <v/>
      </c>
      <c r="L926" s="39" t="str">
        <f>IF(COUNTA(A926:C926,E926)=0,"",IF(COUNTA(A926:C926,E926)&lt;4,"Ligne incomplète",IF(NOT(ISNUMBER(A926)),"Date invalide",IF(AND(B926&lt;&gt;"Entrée",B926&lt;&gt;"Sortie"),"Type inconnu",IF(ISNA(MATCH(C926,art_ref,0)),"Référence inconnue",IF(OR(NOT(ISNUMBER(E926)),N(E926)&lt;=0),"Quantité invalide",IF(K926&lt;0,"Stock négatif",IF(AND(ISNUMBER(A925),A926&lt;A925),"Date hors ordre","OK"))))))))</f>
        <v/>
      </c>
      <c r="M926" s="39" t="str">
        <f>IF(C926="","",C926&amp;"#"&amp;COUNTIF($C$5:C926,C926))</f>
        <v/>
      </c>
    </row>
    <row r="927">
      <c r="A927" s="41" t="n"/>
      <c r="B927" s="37" t="n"/>
      <c r="C927" s="37" t="n"/>
      <c r="D927" s="39" t="str">
        <f>IF(C927="","",IFERROR(INDEX(art_des,MATCH(C927,art_ref,0))&amp;"","Référence inconnue"))</f>
        <v/>
      </c>
      <c r="E927" s="37" t="n"/>
      <c r="F927" s="39" t="str">
        <f>IF(C927="","",IFERROR(INDEX(art_unit,MATCH(C927,art_ref,0))&amp;"",""))</f>
        <v/>
      </c>
      <c r="G927" s="37" t="n"/>
      <c r="H927" s="37" t="n"/>
      <c r="I927" s="37" t="n"/>
      <c r="J927" s="40" t="str">
        <f>IF(OR(C927="",NOT(ISNUMBER(E927))),"",IFERROR(E927*N(INDEX(art_price,MATCH(C927,art_ref,0))),""))</f>
        <v/>
      </c>
      <c r="K927" s="39" t="str">
        <f>IF(OR(C927="",NOT(ISNUMBER(E927))),"",IFERROR(ROUND(N(INDEX(art_init,MATCH(C927,art_ref,0)))+SUMIFS($E$5:E927,$C$5:C927,C927,$B$5:B927,"Entrée")-SUMIFS($E$5:E927,$C$5:C927,C927,$B$5:B927,"Sortie"),6),""))</f>
        <v/>
      </c>
      <c r="L927" s="39" t="str">
        <f>IF(COUNTA(A927:C927,E927)=0,"",IF(COUNTA(A927:C927,E927)&lt;4,"Ligne incomplète",IF(NOT(ISNUMBER(A927)),"Date invalide",IF(AND(B927&lt;&gt;"Entrée",B927&lt;&gt;"Sortie"),"Type inconnu",IF(ISNA(MATCH(C927,art_ref,0)),"Référence inconnue",IF(OR(NOT(ISNUMBER(E927)),N(E927)&lt;=0),"Quantité invalide",IF(K927&lt;0,"Stock négatif",IF(AND(ISNUMBER(A926),A927&lt;A926),"Date hors ordre","OK"))))))))</f>
        <v/>
      </c>
      <c r="M927" s="39" t="str">
        <f>IF(C927="","",C927&amp;"#"&amp;COUNTIF($C$5:C927,C927))</f>
        <v/>
      </c>
    </row>
    <row r="928">
      <c r="A928" s="41" t="n"/>
      <c r="B928" s="37" t="n"/>
      <c r="C928" s="37" t="n"/>
      <c r="D928" s="39" t="str">
        <f>IF(C928="","",IFERROR(INDEX(art_des,MATCH(C928,art_ref,0))&amp;"","Référence inconnue"))</f>
        <v/>
      </c>
      <c r="E928" s="37" t="n"/>
      <c r="F928" s="39" t="str">
        <f>IF(C928="","",IFERROR(INDEX(art_unit,MATCH(C928,art_ref,0))&amp;"",""))</f>
        <v/>
      </c>
      <c r="G928" s="37" t="n"/>
      <c r="H928" s="37" t="n"/>
      <c r="I928" s="37" t="n"/>
      <c r="J928" s="40" t="str">
        <f>IF(OR(C928="",NOT(ISNUMBER(E928))),"",IFERROR(E928*N(INDEX(art_price,MATCH(C928,art_ref,0))),""))</f>
        <v/>
      </c>
      <c r="K928" s="39" t="str">
        <f>IF(OR(C928="",NOT(ISNUMBER(E928))),"",IFERROR(ROUND(N(INDEX(art_init,MATCH(C928,art_ref,0)))+SUMIFS($E$5:E928,$C$5:C928,C928,$B$5:B928,"Entrée")-SUMIFS($E$5:E928,$C$5:C928,C928,$B$5:B928,"Sortie"),6),""))</f>
        <v/>
      </c>
      <c r="L928" s="39" t="str">
        <f>IF(COUNTA(A928:C928,E928)=0,"",IF(COUNTA(A928:C928,E928)&lt;4,"Ligne incomplète",IF(NOT(ISNUMBER(A928)),"Date invalide",IF(AND(B928&lt;&gt;"Entrée",B928&lt;&gt;"Sortie"),"Type inconnu",IF(ISNA(MATCH(C928,art_ref,0)),"Référence inconnue",IF(OR(NOT(ISNUMBER(E928)),N(E928)&lt;=0),"Quantité invalide",IF(K928&lt;0,"Stock négatif",IF(AND(ISNUMBER(A927),A928&lt;A927),"Date hors ordre","OK"))))))))</f>
        <v/>
      </c>
      <c r="M928" s="39" t="str">
        <f>IF(C928="","",C928&amp;"#"&amp;COUNTIF($C$5:C928,C928))</f>
        <v/>
      </c>
    </row>
    <row r="929">
      <c r="A929" s="41" t="n"/>
      <c r="B929" s="37" t="n"/>
      <c r="C929" s="37" t="n"/>
      <c r="D929" s="39" t="str">
        <f>IF(C929="","",IFERROR(INDEX(art_des,MATCH(C929,art_ref,0))&amp;"","Référence inconnue"))</f>
        <v/>
      </c>
      <c r="E929" s="37" t="n"/>
      <c r="F929" s="39" t="str">
        <f>IF(C929="","",IFERROR(INDEX(art_unit,MATCH(C929,art_ref,0))&amp;"",""))</f>
        <v/>
      </c>
      <c r="G929" s="37" t="n"/>
      <c r="H929" s="37" t="n"/>
      <c r="I929" s="37" t="n"/>
      <c r="J929" s="40" t="str">
        <f>IF(OR(C929="",NOT(ISNUMBER(E929))),"",IFERROR(E929*N(INDEX(art_price,MATCH(C929,art_ref,0))),""))</f>
        <v/>
      </c>
      <c r="K929" s="39" t="str">
        <f>IF(OR(C929="",NOT(ISNUMBER(E929))),"",IFERROR(ROUND(N(INDEX(art_init,MATCH(C929,art_ref,0)))+SUMIFS($E$5:E929,$C$5:C929,C929,$B$5:B929,"Entrée")-SUMIFS($E$5:E929,$C$5:C929,C929,$B$5:B929,"Sortie"),6),""))</f>
        <v/>
      </c>
      <c r="L929" s="39" t="str">
        <f>IF(COUNTA(A929:C929,E929)=0,"",IF(COUNTA(A929:C929,E929)&lt;4,"Ligne incomplète",IF(NOT(ISNUMBER(A929)),"Date invalide",IF(AND(B929&lt;&gt;"Entrée",B929&lt;&gt;"Sortie"),"Type inconnu",IF(ISNA(MATCH(C929,art_ref,0)),"Référence inconnue",IF(OR(NOT(ISNUMBER(E929)),N(E929)&lt;=0),"Quantité invalide",IF(K929&lt;0,"Stock négatif",IF(AND(ISNUMBER(A928),A929&lt;A928),"Date hors ordre","OK"))))))))</f>
        <v/>
      </c>
      <c r="M929" s="39" t="str">
        <f>IF(C929="","",C929&amp;"#"&amp;COUNTIF($C$5:C929,C929))</f>
        <v/>
      </c>
    </row>
    <row r="930">
      <c r="A930" s="41" t="n"/>
      <c r="B930" s="37" t="n"/>
      <c r="C930" s="37" t="n"/>
      <c r="D930" s="39" t="str">
        <f>IF(C930="","",IFERROR(INDEX(art_des,MATCH(C930,art_ref,0))&amp;"","Référence inconnue"))</f>
        <v/>
      </c>
      <c r="E930" s="37" t="n"/>
      <c r="F930" s="39" t="str">
        <f>IF(C930="","",IFERROR(INDEX(art_unit,MATCH(C930,art_ref,0))&amp;"",""))</f>
        <v/>
      </c>
      <c r="G930" s="37" t="n"/>
      <c r="H930" s="37" t="n"/>
      <c r="I930" s="37" t="n"/>
      <c r="J930" s="40" t="str">
        <f>IF(OR(C930="",NOT(ISNUMBER(E930))),"",IFERROR(E930*N(INDEX(art_price,MATCH(C930,art_ref,0))),""))</f>
        <v/>
      </c>
      <c r="K930" s="39" t="str">
        <f>IF(OR(C930="",NOT(ISNUMBER(E930))),"",IFERROR(ROUND(N(INDEX(art_init,MATCH(C930,art_ref,0)))+SUMIFS($E$5:E930,$C$5:C930,C930,$B$5:B930,"Entrée")-SUMIFS($E$5:E930,$C$5:C930,C930,$B$5:B930,"Sortie"),6),""))</f>
        <v/>
      </c>
      <c r="L930" s="39" t="str">
        <f>IF(COUNTA(A930:C930,E930)=0,"",IF(COUNTA(A930:C930,E930)&lt;4,"Ligne incomplète",IF(NOT(ISNUMBER(A930)),"Date invalide",IF(AND(B930&lt;&gt;"Entrée",B930&lt;&gt;"Sortie"),"Type inconnu",IF(ISNA(MATCH(C930,art_ref,0)),"Référence inconnue",IF(OR(NOT(ISNUMBER(E930)),N(E930)&lt;=0),"Quantité invalide",IF(K930&lt;0,"Stock négatif",IF(AND(ISNUMBER(A929),A930&lt;A929),"Date hors ordre","OK"))))))))</f>
        <v/>
      </c>
      <c r="M930" s="39" t="str">
        <f>IF(C930="","",C930&amp;"#"&amp;COUNTIF($C$5:C930,C930))</f>
        <v/>
      </c>
    </row>
    <row r="931">
      <c r="A931" s="41" t="n"/>
      <c r="B931" s="37" t="n"/>
      <c r="C931" s="37" t="n"/>
      <c r="D931" s="39" t="str">
        <f>IF(C931="","",IFERROR(INDEX(art_des,MATCH(C931,art_ref,0))&amp;"","Référence inconnue"))</f>
        <v/>
      </c>
      <c r="E931" s="37" t="n"/>
      <c r="F931" s="39" t="str">
        <f>IF(C931="","",IFERROR(INDEX(art_unit,MATCH(C931,art_ref,0))&amp;"",""))</f>
        <v/>
      </c>
      <c r="G931" s="37" t="n"/>
      <c r="H931" s="37" t="n"/>
      <c r="I931" s="37" t="n"/>
      <c r="J931" s="40" t="str">
        <f>IF(OR(C931="",NOT(ISNUMBER(E931))),"",IFERROR(E931*N(INDEX(art_price,MATCH(C931,art_ref,0))),""))</f>
        <v/>
      </c>
      <c r="K931" s="39" t="str">
        <f>IF(OR(C931="",NOT(ISNUMBER(E931))),"",IFERROR(ROUND(N(INDEX(art_init,MATCH(C931,art_ref,0)))+SUMIFS($E$5:E931,$C$5:C931,C931,$B$5:B931,"Entrée")-SUMIFS($E$5:E931,$C$5:C931,C931,$B$5:B931,"Sortie"),6),""))</f>
        <v/>
      </c>
      <c r="L931" s="39" t="str">
        <f>IF(COUNTA(A931:C931,E931)=0,"",IF(COUNTA(A931:C931,E931)&lt;4,"Ligne incomplète",IF(NOT(ISNUMBER(A931)),"Date invalide",IF(AND(B931&lt;&gt;"Entrée",B931&lt;&gt;"Sortie"),"Type inconnu",IF(ISNA(MATCH(C931,art_ref,0)),"Référence inconnue",IF(OR(NOT(ISNUMBER(E931)),N(E931)&lt;=0),"Quantité invalide",IF(K931&lt;0,"Stock négatif",IF(AND(ISNUMBER(A930),A931&lt;A930),"Date hors ordre","OK"))))))))</f>
        <v/>
      </c>
      <c r="M931" s="39" t="str">
        <f>IF(C931="","",C931&amp;"#"&amp;COUNTIF($C$5:C931,C931))</f>
        <v/>
      </c>
    </row>
    <row r="932">
      <c r="A932" s="41" t="n"/>
      <c r="B932" s="37" t="n"/>
      <c r="C932" s="37" t="n"/>
      <c r="D932" s="39" t="str">
        <f>IF(C932="","",IFERROR(INDEX(art_des,MATCH(C932,art_ref,0))&amp;"","Référence inconnue"))</f>
        <v/>
      </c>
      <c r="E932" s="37" t="n"/>
      <c r="F932" s="39" t="str">
        <f>IF(C932="","",IFERROR(INDEX(art_unit,MATCH(C932,art_ref,0))&amp;"",""))</f>
        <v/>
      </c>
      <c r="G932" s="37" t="n"/>
      <c r="H932" s="37" t="n"/>
      <c r="I932" s="37" t="n"/>
      <c r="J932" s="40" t="str">
        <f>IF(OR(C932="",NOT(ISNUMBER(E932))),"",IFERROR(E932*N(INDEX(art_price,MATCH(C932,art_ref,0))),""))</f>
        <v/>
      </c>
      <c r="K932" s="39" t="str">
        <f>IF(OR(C932="",NOT(ISNUMBER(E932))),"",IFERROR(ROUND(N(INDEX(art_init,MATCH(C932,art_ref,0)))+SUMIFS($E$5:E932,$C$5:C932,C932,$B$5:B932,"Entrée")-SUMIFS($E$5:E932,$C$5:C932,C932,$B$5:B932,"Sortie"),6),""))</f>
        <v/>
      </c>
      <c r="L932" s="39" t="str">
        <f>IF(COUNTA(A932:C932,E932)=0,"",IF(COUNTA(A932:C932,E932)&lt;4,"Ligne incomplète",IF(NOT(ISNUMBER(A932)),"Date invalide",IF(AND(B932&lt;&gt;"Entrée",B932&lt;&gt;"Sortie"),"Type inconnu",IF(ISNA(MATCH(C932,art_ref,0)),"Référence inconnue",IF(OR(NOT(ISNUMBER(E932)),N(E932)&lt;=0),"Quantité invalide",IF(K932&lt;0,"Stock négatif",IF(AND(ISNUMBER(A931),A932&lt;A931),"Date hors ordre","OK"))))))))</f>
        <v/>
      </c>
      <c r="M932" s="39" t="str">
        <f>IF(C932="","",C932&amp;"#"&amp;COUNTIF($C$5:C932,C932))</f>
        <v/>
      </c>
    </row>
    <row r="933">
      <c r="A933" s="41" t="n"/>
      <c r="B933" s="37" t="n"/>
      <c r="C933" s="37" t="n"/>
      <c r="D933" s="39" t="str">
        <f>IF(C933="","",IFERROR(INDEX(art_des,MATCH(C933,art_ref,0))&amp;"","Référence inconnue"))</f>
        <v/>
      </c>
      <c r="E933" s="37" t="n"/>
      <c r="F933" s="39" t="str">
        <f>IF(C933="","",IFERROR(INDEX(art_unit,MATCH(C933,art_ref,0))&amp;"",""))</f>
        <v/>
      </c>
      <c r="G933" s="37" t="n"/>
      <c r="H933" s="37" t="n"/>
      <c r="I933" s="37" t="n"/>
      <c r="J933" s="40" t="str">
        <f>IF(OR(C933="",NOT(ISNUMBER(E933))),"",IFERROR(E933*N(INDEX(art_price,MATCH(C933,art_ref,0))),""))</f>
        <v/>
      </c>
      <c r="K933" s="39" t="str">
        <f>IF(OR(C933="",NOT(ISNUMBER(E933))),"",IFERROR(ROUND(N(INDEX(art_init,MATCH(C933,art_ref,0)))+SUMIFS($E$5:E933,$C$5:C933,C933,$B$5:B933,"Entrée")-SUMIFS($E$5:E933,$C$5:C933,C933,$B$5:B933,"Sortie"),6),""))</f>
        <v/>
      </c>
      <c r="L933" s="39" t="str">
        <f>IF(COUNTA(A933:C933,E933)=0,"",IF(COUNTA(A933:C933,E933)&lt;4,"Ligne incomplète",IF(NOT(ISNUMBER(A933)),"Date invalide",IF(AND(B933&lt;&gt;"Entrée",B933&lt;&gt;"Sortie"),"Type inconnu",IF(ISNA(MATCH(C933,art_ref,0)),"Référence inconnue",IF(OR(NOT(ISNUMBER(E933)),N(E933)&lt;=0),"Quantité invalide",IF(K933&lt;0,"Stock négatif",IF(AND(ISNUMBER(A932),A933&lt;A932),"Date hors ordre","OK"))))))))</f>
        <v/>
      </c>
      <c r="M933" s="39" t="str">
        <f>IF(C933="","",C933&amp;"#"&amp;COUNTIF($C$5:C933,C933))</f>
        <v/>
      </c>
    </row>
    <row r="934">
      <c r="A934" s="41" t="n"/>
      <c r="B934" s="37" t="n"/>
      <c r="C934" s="37" t="n"/>
      <c r="D934" s="39" t="str">
        <f>IF(C934="","",IFERROR(INDEX(art_des,MATCH(C934,art_ref,0))&amp;"","Référence inconnue"))</f>
        <v/>
      </c>
      <c r="E934" s="37" t="n"/>
      <c r="F934" s="39" t="str">
        <f>IF(C934="","",IFERROR(INDEX(art_unit,MATCH(C934,art_ref,0))&amp;"",""))</f>
        <v/>
      </c>
      <c r="G934" s="37" t="n"/>
      <c r="H934" s="37" t="n"/>
      <c r="I934" s="37" t="n"/>
      <c r="J934" s="40" t="str">
        <f>IF(OR(C934="",NOT(ISNUMBER(E934))),"",IFERROR(E934*N(INDEX(art_price,MATCH(C934,art_ref,0))),""))</f>
        <v/>
      </c>
      <c r="K934" s="39" t="str">
        <f>IF(OR(C934="",NOT(ISNUMBER(E934))),"",IFERROR(ROUND(N(INDEX(art_init,MATCH(C934,art_ref,0)))+SUMIFS($E$5:E934,$C$5:C934,C934,$B$5:B934,"Entrée")-SUMIFS($E$5:E934,$C$5:C934,C934,$B$5:B934,"Sortie"),6),""))</f>
        <v/>
      </c>
      <c r="L934" s="39" t="str">
        <f>IF(COUNTA(A934:C934,E934)=0,"",IF(COUNTA(A934:C934,E934)&lt;4,"Ligne incomplète",IF(NOT(ISNUMBER(A934)),"Date invalide",IF(AND(B934&lt;&gt;"Entrée",B934&lt;&gt;"Sortie"),"Type inconnu",IF(ISNA(MATCH(C934,art_ref,0)),"Référence inconnue",IF(OR(NOT(ISNUMBER(E934)),N(E934)&lt;=0),"Quantité invalide",IF(K934&lt;0,"Stock négatif",IF(AND(ISNUMBER(A933),A934&lt;A933),"Date hors ordre","OK"))))))))</f>
        <v/>
      </c>
      <c r="M934" s="39" t="str">
        <f>IF(C934="","",C934&amp;"#"&amp;COUNTIF($C$5:C934,C934))</f>
        <v/>
      </c>
    </row>
    <row r="935">
      <c r="A935" s="41" t="n"/>
      <c r="B935" s="37" t="n"/>
      <c r="C935" s="37" t="n"/>
      <c r="D935" s="39" t="str">
        <f>IF(C935="","",IFERROR(INDEX(art_des,MATCH(C935,art_ref,0))&amp;"","Référence inconnue"))</f>
        <v/>
      </c>
      <c r="E935" s="37" t="n"/>
      <c r="F935" s="39" t="str">
        <f>IF(C935="","",IFERROR(INDEX(art_unit,MATCH(C935,art_ref,0))&amp;"",""))</f>
        <v/>
      </c>
      <c r="G935" s="37" t="n"/>
      <c r="H935" s="37" t="n"/>
      <c r="I935" s="37" t="n"/>
      <c r="J935" s="40" t="str">
        <f>IF(OR(C935="",NOT(ISNUMBER(E935))),"",IFERROR(E935*N(INDEX(art_price,MATCH(C935,art_ref,0))),""))</f>
        <v/>
      </c>
      <c r="K935" s="39" t="str">
        <f>IF(OR(C935="",NOT(ISNUMBER(E935))),"",IFERROR(ROUND(N(INDEX(art_init,MATCH(C935,art_ref,0)))+SUMIFS($E$5:E935,$C$5:C935,C935,$B$5:B935,"Entrée")-SUMIFS($E$5:E935,$C$5:C935,C935,$B$5:B935,"Sortie"),6),""))</f>
        <v/>
      </c>
      <c r="L935" s="39" t="str">
        <f>IF(COUNTA(A935:C935,E935)=0,"",IF(COUNTA(A935:C935,E935)&lt;4,"Ligne incomplète",IF(NOT(ISNUMBER(A935)),"Date invalide",IF(AND(B935&lt;&gt;"Entrée",B935&lt;&gt;"Sortie"),"Type inconnu",IF(ISNA(MATCH(C935,art_ref,0)),"Référence inconnue",IF(OR(NOT(ISNUMBER(E935)),N(E935)&lt;=0),"Quantité invalide",IF(K935&lt;0,"Stock négatif",IF(AND(ISNUMBER(A934),A935&lt;A934),"Date hors ordre","OK"))))))))</f>
        <v/>
      </c>
      <c r="M935" s="39" t="str">
        <f>IF(C935="","",C935&amp;"#"&amp;COUNTIF($C$5:C935,C935))</f>
        <v/>
      </c>
    </row>
    <row r="936">
      <c r="A936" s="41" t="n"/>
      <c r="B936" s="37" t="n"/>
      <c r="C936" s="37" t="n"/>
      <c r="D936" s="39" t="str">
        <f>IF(C936="","",IFERROR(INDEX(art_des,MATCH(C936,art_ref,0))&amp;"","Référence inconnue"))</f>
        <v/>
      </c>
      <c r="E936" s="37" t="n"/>
      <c r="F936" s="39" t="str">
        <f>IF(C936="","",IFERROR(INDEX(art_unit,MATCH(C936,art_ref,0))&amp;"",""))</f>
        <v/>
      </c>
      <c r="G936" s="37" t="n"/>
      <c r="H936" s="37" t="n"/>
      <c r="I936" s="37" t="n"/>
      <c r="J936" s="40" t="str">
        <f>IF(OR(C936="",NOT(ISNUMBER(E936))),"",IFERROR(E936*N(INDEX(art_price,MATCH(C936,art_ref,0))),""))</f>
        <v/>
      </c>
      <c r="K936" s="39" t="str">
        <f>IF(OR(C936="",NOT(ISNUMBER(E936))),"",IFERROR(ROUND(N(INDEX(art_init,MATCH(C936,art_ref,0)))+SUMIFS($E$5:E936,$C$5:C936,C936,$B$5:B936,"Entrée")-SUMIFS($E$5:E936,$C$5:C936,C936,$B$5:B936,"Sortie"),6),""))</f>
        <v/>
      </c>
      <c r="L936" s="39" t="str">
        <f>IF(COUNTA(A936:C936,E936)=0,"",IF(COUNTA(A936:C936,E936)&lt;4,"Ligne incomplète",IF(NOT(ISNUMBER(A936)),"Date invalide",IF(AND(B936&lt;&gt;"Entrée",B936&lt;&gt;"Sortie"),"Type inconnu",IF(ISNA(MATCH(C936,art_ref,0)),"Référence inconnue",IF(OR(NOT(ISNUMBER(E936)),N(E936)&lt;=0),"Quantité invalide",IF(K936&lt;0,"Stock négatif",IF(AND(ISNUMBER(A935),A936&lt;A935),"Date hors ordre","OK"))))))))</f>
        <v/>
      </c>
      <c r="M936" s="39" t="str">
        <f>IF(C936="","",C936&amp;"#"&amp;COUNTIF($C$5:C936,C936))</f>
        <v/>
      </c>
    </row>
    <row r="937">
      <c r="A937" s="41" t="n"/>
      <c r="B937" s="37" t="n"/>
      <c r="C937" s="37" t="n"/>
      <c r="D937" s="39" t="str">
        <f>IF(C937="","",IFERROR(INDEX(art_des,MATCH(C937,art_ref,0))&amp;"","Référence inconnue"))</f>
        <v/>
      </c>
      <c r="E937" s="37" t="n"/>
      <c r="F937" s="39" t="str">
        <f>IF(C937="","",IFERROR(INDEX(art_unit,MATCH(C937,art_ref,0))&amp;"",""))</f>
        <v/>
      </c>
      <c r="G937" s="37" t="n"/>
      <c r="H937" s="37" t="n"/>
      <c r="I937" s="37" t="n"/>
      <c r="J937" s="40" t="str">
        <f>IF(OR(C937="",NOT(ISNUMBER(E937))),"",IFERROR(E937*N(INDEX(art_price,MATCH(C937,art_ref,0))),""))</f>
        <v/>
      </c>
      <c r="K937" s="39" t="str">
        <f>IF(OR(C937="",NOT(ISNUMBER(E937))),"",IFERROR(ROUND(N(INDEX(art_init,MATCH(C937,art_ref,0)))+SUMIFS($E$5:E937,$C$5:C937,C937,$B$5:B937,"Entrée")-SUMIFS($E$5:E937,$C$5:C937,C937,$B$5:B937,"Sortie"),6),""))</f>
        <v/>
      </c>
      <c r="L937" s="39" t="str">
        <f>IF(COUNTA(A937:C937,E937)=0,"",IF(COUNTA(A937:C937,E937)&lt;4,"Ligne incomplète",IF(NOT(ISNUMBER(A937)),"Date invalide",IF(AND(B937&lt;&gt;"Entrée",B937&lt;&gt;"Sortie"),"Type inconnu",IF(ISNA(MATCH(C937,art_ref,0)),"Référence inconnue",IF(OR(NOT(ISNUMBER(E937)),N(E937)&lt;=0),"Quantité invalide",IF(K937&lt;0,"Stock négatif",IF(AND(ISNUMBER(A936),A937&lt;A936),"Date hors ordre","OK"))))))))</f>
        <v/>
      </c>
      <c r="M937" s="39" t="str">
        <f>IF(C937="","",C937&amp;"#"&amp;COUNTIF($C$5:C937,C937))</f>
        <v/>
      </c>
    </row>
    <row r="938">
      <c r="A938" s="41" t="n"/>
      <c r="B938" s="37" t="n"/>
      <c r="C938" s="37" t="n"/>
      <c r="D938" s="39" t="str">
        <f>IF(C938="","",IFERROR(INDEX(art_des,MATCH(C938,art_ref,0))&amp;"","Référence inconnue"))</f>
        <v/>
      </c>
      <c r="E938" s="37" t="n"/>
      <c r="F938" s="39" t="str">
        <f>IF(C938="","",IFERROR(INDEX(art_unit,MATCH(C938,art_ref,0))&amp;"",""))</f>
        <v/>
      </c>
      <c r="G938" s="37" t="n"/>
      <c r="H938" s="37" t="n"/>
      <c r="I938" s="37" t="n"/>
      <c r="J938" s="40" t="str">
        <f>IF(OR(C938="",NOT(ISNUMBER(E938))),"",IFERROR(E938*N(INDEX(art_price,MATCH(C938,art_ref,0))),""))</f>
        <v/>
      </c>
      <c r="K938" s="39" t="str">
        <f>IF(OR(C938="",NOT(ISNUMBER(E938))),"",IFERROR(ROUND(N(INDEX(art_init,MATCH(C938,art_ref,0)))+SUMIFS($E$5:E938,$C$5:C938,C938,$B$5:B938,"Entrée")-SUMIFS($E$5:E938,$C$5:C938,C938,$B$5:B938,"Sortie"),6),""))</f>
        <v/>
      </c>
      <c r="L938" s="39" t="str">
        <f>IF(COUNTA(A938:C938,E938)=0,"",IF(COUNTA(A938:C938,E938)&lt;4,"Ligne incomplète",IF(NOT(ISNUMBER(A938)),"Date invalide",IF(AND(B938&lt;&gt;"Entrée",B938&lt;&gt;"Sortie"),"Type inconnu",IF(ISNA(MATCH(C938,art_ref,0)),"Référence inconnue",IF(OR(NOT(ISNUMBER(E938)),N(E938)&lt;=0),"Quantité invalide",IF(K938&lt;0,"Stock négatif",IF(AND(ISNUMBER(A937),A938&lt;A937),"Date hors ordre","OK"))))))))</f>
        <v/>
      </c>
      <c r="M938" s="39" t="str">
        <f>IF(C938="","",C938&amp;"#"&amp;COUNTIF($C$5:C938,C938))</f>
        <v/>
      </c>
    </row>
    <row r="939">
      <c r="A939" s="41" t="n"/>
      <c r="B939" s="37" t="n"/>
      <c r="C939" s="37" t="n"/>
      <c r="D939" s="39" t="str">
        <f>IF(C939="","",IFERROR(INDEX(art_des,MATCH(C939,art_ref,0))&amp;"","Référence inconnue"))</f>
        <v/>
      </c>
      <c r="E939" s="37" t="n"/>
      <c r="F939" s="39" t="str">
        <f>IF(C939="","",IFERROR(INDEX(art_unit,MATCH(C939,art_ref,0))&amp;"",""))</f>
        <v/>
      </c>
      <c r="G939" s="37" t="n"/>
      <c r="H939" s="37" t="n"/>
      <c r="I939" s="37" t="n"/>
      <c r="J939" s="40" t="str">
        <f>IF(OR(C939="",NOT(ISNUMBER(E939))),"",IFERROR(E939*N(INDEX(art_price,MATCH(C939,art_ref,0))),""))</f>
        <v/>
      </c>
      <c r="K939" s="39" t="str">
        <f>IF(OR(C939="",NOT(ISNUMBER(E939))),"",IFERROR(ROUND(N(INDEX(art_init,MATCH(C939,art_ref,0)))+SUMIFS($E$5:E939,$C$5:C939,C939,$B$5:B939,"Entrée")-SUMIFS($E$5:E939,$C$5:C939,C939,$B$5:B939,"Sortie"),6),""))</f>
        <v/>
      </c>
      <c r="L939" s="39" t="str">
        <f>IF(COUNTA(A939:C939,E939)=0,"",IF(COUNTA(A939:C939,E939)&lt;4,"Ligne incomplète",IF(NOT(ISNUMBER(A939)),"Date invalide",IF(AND(B939&lt;&gt;"Entrée",B939&lt;&gt;"Sortie"),"Type inconnu",IF(ISNA(MATCH(C939,art_ref,0)),"Référence inconnue",IF(OR(NOT(ISNUMBER(E939)),N(E939)&lt;=0),"Quantité invalide",IF(K939&lt;0,"Stock négatif",IF(AND(ISNUMBER(A938),A939&lt;A938),"Date hors ordre","OK"))))))))</f>
        <v/>
      </c>
      <c r="M939" s="39" t="str">
        <f>IF(C939="","",C939&amp;"#"&amp;COUNTIF($C$5:C939,C939))</f>
        <v/>
      </c>
    </row>
    <row r="940">
      <c r="A940" s="41" t="n"/>
      <c r="B940" s="37" t="n"/>
      <c r="C940" s="37" t="n"/>
      <c r="D940" s="39" t="str">
        <f>IF(C940="","",IFERROR(INDEX(art_des,MATCH(C940,art_ref,0))&amp;"","Référence inconnue"))</f>
        <v/>
      </c>
      <c r="E940" s="37" t="n"/>
      <c r="F940" s="39" t="str">
        <f>IF(C940="","",IFERROR(INDEX(art_unit,MATCH(C940,art_ref,0))&amp;"",""))</f>
        <v/>
      </c>
      <c r="G940" s="37" t="n"/>
      <c r="H940" s="37" t="n"/>
      <c r="I940" s="37" t="n"/>
      <c r="J940" s="40" t="str">
        <f>IF(OR(C940="",NOT(ISNUMBER(E940))),"",IFERROR(E940*N(INDEX(art_price,MATCH(C940,art_ref,0))),""))</f>
        <v/>
      </c>
      <c r="K940" s="39" t="str">
        <f>IF(OR(C940="",NOT(ISNUMBER(E940))),"",IFERROR(ROUND(N(INDEX(art_init,MATCH(C940,art_ref,0)))+SUMIFS($E$5:E940,$C$5:C940,C940,$B$5:B940,"Entrée")-SUMIFS($E$5:E940,$C$5:C940,C940,$B$5:B940,"Sortie"),6),""))</f>
        <v/>
      </c>
      <c r="L940" s="39" t="str">
        <f>IF(COUNTA(A940:C940,E940)=0,"",IF(COUNTA(A940:C940,E940)&lt;4,"Ligne incomplète",IF(NOT(ISNUMBER(A940)),"Date invalide",IF(AND(B940&lt;&gt;"Entrée",B940&lt;&gt;"Sortie"),"Type inconnu",IF(ISNA(MATCH(C940,art_ref,0)),"Référence inconnue",IF(OR(NOT(ISNUMBER(E940)),N(E940)&lt;=0),"Quantité invalide",IF(K940&lt;0,"Stock négatif",IF(AND(ISNUMBER(A939),A940&lt;A939),"Date hors ordre","OK"))))))))</f>
        <v/>
      </c>
      <c r="M940" s="39" t="str">
        <f>IF(C940="","",C940&amp;"#"&amp;COUNTIF($C$5:C940,C940))</f>
        <v/>
      </c>
    </row>
    <row r="941">
      <c r="A941" s="41" t="n"/>
      <c r="B941" s="37" t="n"/>
      <c r="C941" s="37" t="n"/>
      <c r="D941" s="39" t="str">
        <f>IF(C941="","",IFERROR(INDEX(art_des,MATCH(C941,art_ref,0))&amp;"","Référence inconnue"))</f>
        <v/>
      </c>
      <c r="E941" s="37" t="n"/>
      <c r="F941" s="39" t="str">
        <f>IF(C941="","",IFERROR(INDEX(art_unit,MATCH(C941,art_ref,0))&amp;"",""))</f>
        <v/>
      </c>
      <c r="G941" s="37" t="n"/>
      <c r="H941" s="37" t="n"/>
      <c r="I941" s="37" t="n"/>
      <c r="J941" s="40" t="str">
        <f>IF(OR(C941="",NOT(ISNUMBER(E941))),"",IFERROR(E941*N(INDEX(art_price,MATCH(C941,art_ref,0))),""))</f>
        <v/>
      </c>
      <c r="K941" s="39" t="str">
        <f>IF(OR(C941="",NOT(ISNUMBER(E941))),"",IFERROR(ROUND(N(INDEX(art_init,MATCH(C941,art_ref,0)))+SUMIFS($E$5:E941,$C$5:C941,C941,$B$5:B941,"Entrée")-SUMIFS($E$5:E941,$C$5:C941,C941,$B$5:B941,"Sortie"),6),""))</f>
        <v/>
      </c>
      <c r="L941" s="39" t="str">
        <f>IF(COUNTA(A941:C941,E941)=0,"",IF(COUNTA(A941:C941,E941)&lt;4,"Ligne incomplète",IF(NOT(ISNUMBER(A941)),"Date invalide",IF(AND(B941&lt;&gt;"Entrée",B941&lt;&gt;"Sortie"),"Type inconnu",IF(ISNA(MATCH(C941,art_ref,0)),"Référence inconnue",IF(OR(NOT(ISNUMBER(E941)),N(E941)&lt;=0),"Quantité invalide",IF(K941&lt;0,"Stock négatif",IF(AND(ISNUMBER(A940),A941&lt;A940),"Date hors ordre","OK"))))))))</f>
        <v/>
      </c>
      <c r="M941" s="39" t="str">
        <f>IF(C941="","",C941&amp;"#"&amp;COUNTIF($C$5:C941,C941))</f>
        <v/>
      </c>
    </row>
    <row r="942">
      <c r="A942" s="41" t="n"/>
      <c r="B942" s="37" t="n"/>
      <c r="C942" s="37" t="n"/>
      <c r="D942" s="39" t="str">
        <f>IF(C942="","",IFERROR(INDEX(art_des,MATCH(C942,art_ref,0))&amp;"","Référence inconnue"))</f>
        <v/>
      </c>
      <c r="E942" s="37" t="n"/>
      <c r="F942" s="39" t="str">
        <f>IF(C942="","",IFERROR(INDEX(art_unit,MATCH(C942,art_ref,0))&amp;"",""))</f>
        <v/>
      </c>
      <c r="G942" s="37" t="n"/>
      <c r="H942" s="37" t="n"/>
      <c r="I942" s="37" t="n"/>
      <c r="J942" s="40" t="str">
        <f>IF(OR(C942="",NOT(ISNUMBER(E942))),"",IFERROR(E942*N(INDEX(art_price,MATCH(C942,art_ref,0))),""))</f>
        <v/>
      </c>
      <c r="K942" s="39" t="str">
        <f>IF(OR(C942="",NOT(ISNUMBER(E942))),"",IFERROR(ROUND(N(INDEX(art_init,MATCH(C942,art_ref,0)))+SUMIFS($E$5:E942,$C$5:C942,C942,$B$5:B942,"Entrée")-SUMIFS($E$5:E942,$C$5:C942,C942,$B$5:B942,"Sortie"),6),""))</f>
        <v/>
      </c>
      <c r="L942" s="39" t="str">
        <f>IF(COUNTA(A942:C942,E942)=0,"",IF(COUNTA(A942:C942,E942)&lt;4,"Ligne incomplète",IF(NOT(ISNUMBER(A942)),"Date invalide",IF(AND(B942&lt;&gt;"Entrée",B942&lt;&gt;"Sortie"),"Type inconnu",IF(ISNA(MATCH(C942,art_ref,0)),"Référence inconnue",IF(OR(NOT(ISNUMBER(E942)),N(E942)&lt;=0),"Quantité invalide",IF(K942&lt;0,"Stock négatif",IF(AND(ISNUMBER(A941),A942&lt;A941),"Date hors ordre","OK"))))))))</f>
        <v/>
      </c>
      <c r="M942" s="39" t="str">
        <f>IF(C942="","",C942&amp;"#"&amp;COUNTIF($C$5:C942,C942))</f>
        <v/>
      </c>
    </row>
    <row r="943">
      <c r="A943" s="41" t="n"/>
      <c r="B943" s="37" t="n"/>
      <c r="C943" s="37" t="n"/>
      <c r="D943" s="39" t="str">
        <f>IF(C943="","",IFERROR(INDEX(art_des,MATCH(C943,art_ref,0))&amp;"","Référence inconnue"))</f>
        <v/>
      </c>
      <c r="E943" s="37" t="n"/>
      <c r="F943" s="39" t="str">
        <f>IF(C943="","",IFERROR(INDEX(art_unit,MATCH(C943,art_ref,0))&amp;"",""))</f>
        <v/>
      </c>
      <c r="G943" s="37" t="n"/>
      <c r="H943" s="37" t="n"/>
      <c r="I943" s="37" t="n"/>
      <c r="J943" s="40" t="str">
        <f>IF(OR(C943="",NOT(ISNUMBER(E943))),"",IFERROR(E943*N(INDEX(art_price,MATCH(C943,art_ref,0))),""))</f>
        <v/>
      </c>
      <c r="K943" s="39" t="str">
        <f>IF(OR(C943="",NOT(ISNUMBER(E943))),"",IFERROR(ROUND(N(INDEX(art_init,MATCH(C943,art_ref,0)))+SUMIFS($E$5:E943,$C$5:C943,C943,$B$5:B943,"Entrée")-SUMIFS($E$5:E943,$C$5:C943,C943,$B$5:B943,"Sortie"),6),""))</f>
        <v/>
      </c>
      <c r="L943" s="39" t="str">
        <f>IF(COUNTA(A943:C943,E943)=0,"",IF(COUNTA(A943:C943,E943)&lt;4,"Ligne incomplète",IF(NOT(ISNUMBER(A943)),"Date invalide",IF(AND(B943&lt;&gt;"Entrée",B943&lt;&gt;"Sortie"),"Type inconnu",IF(ISNA(MATCH(C943,art_ref,0)),"Référence inconnue",IF(OR(NOT(ISNUMBER(E943)),N(E943)&lt;=0),"Quantité invalide",IF(K943&lt;0,"Stock négatif",IF(AND(ISNUMBER(A942),A943&lt;A942),"Date hors ordre","OK"))))))))</f>
        <v/>
      </c>
      <c r="M943" s="39" t="str">
        <f>IF(C943="","",C943&amp;"#"&amp;COUNTIF($C$5:C943,C943))</f>
        <v/>
      </c>
    </row>
    <row r="944">
      <c r="A944" s="41" t="n"/>
      <c r="B944" s="37" t="n"/>
      <c r="C944" s="37" t="n"/>
      <c r="D944" s="39" t="str">
        <f>IF(C944="","",IFERROR(INDEX(art_des,MATCH(C944,art_ref,0))&amp;"","Référence inconnue"))</f>
        <v/>
      </c>
      <c r="E944" s="37" t="n"/>
      <c r="F944" s="39" t="str">
        <f>IF(C944="","",IFERROR(INDEX(art_unit,MATCH(C944,art_ref,0))&amp;"",""))</f>
        <v/>
      </c>
      <c r="G944" s="37" t="n"/>
      <c r="H944" s="37" t="n"/>
      <c r="I944" s="37" t="n"/>
      <c r="J944" s="40" t="str">
        <f>IF(OR(C944="",NOT(ISNUMBER(E944))),"",IFERROR(E944*N(INDEX(art_price,MATCH(C944,art_ref,0))),""))</f>
        <v/>
      </c>
      <c r="K944" s="39" t="str">
        <f>IF(OR(C944="",NOT(ISNUMBER(E944))),"",IFERROR(ROUND(N(INDEX(art_init,MATCH(C944,art_ref,0)))+SUMIFS($E$5:E944,$C$5:C944,C944,$B$5:B944,"Entrée")-SUMIFS($E$5:E944,$C$5:C944,C944,$B$5:B944,"Sortie"),6),""))</f>
        <v/>
      </c>
      <c r="L944" s="39" t="str">
        <f>IF(COUNTA(A944:C944,E944)=0,"",IF(COUNTA(A944:C944,E944)&lt;4,"Ligne incomplète",IF(NOT(ISNUMBER(A944)),"Date invalide",IF(AND(B944&lt;&gt;"Entrée",B944&lt;&gt;"Sortie"),"Type inconnu",IF(ISNA(MATCH(C944,art_ref,0)),"Référence inconnue",IF(OR(NOT(ISNUMBER(E944)),N(E944)&lt;=0),"Quantité invalide",IF(K944&lt;0,"Stock négatif",IF(AND(ISNUMBER(A943),A944&lt;A943),"Date hors ordre","OK"))))))))</f>
        <v/>
      </c>
      <c r="M944" s="39" t="str">
        <f>IF(C944="","",C944&amp;"#"&amp;COUNTIF($C$5:C944,C944))</f>
        <v/>
      </c>
    </row>
    <row r="945">
      <c r="A945" s="41" t="n"/>
      <c r="B945" s="37" t="n"/>
      <c r="C945" s="37" t="n"/>
      <c r="D945" s="39" t="str">
        <f>IF(C945="","",IFERROR(INDEX(art_des,MATCH(C945,art_ref,0))&amp;"","Référence inconnue"))</f>
        <v/>
      </c>
      <c r="E945" s="37" t="n"/>
      <c r="F945" s="39" t="str">
        <f>IF(C945="","",IFERROR(INDEX(art_unit,MATCH(C945,art_ref,0))&amp;"",""))</f>
        <v/>
      </c>
      <c r="G945" s="37" t="n"/>
      <c r="H945" s="37" t="n"/>
      <c r="I945" s="37" t="n"/>
      <c r="J945" s="40" t="str">
        <f>IF(OR(C945="",NOT(ISNUMBER(E945))),"",IFERROR(E945*N(INDEX(art_price,MATCH(C945,art_ref,0))),""))</f>
        <v/>
      </c>
      <c r="K945" s="39" t="str">
        <f>IF(OR(C945="",NOT(ISNUMBER(E945))),"",IFERROR(ROUND(N(INDEX(art_init,MATCH(C945,art_ref,0)))+SUMIFS($E$5:E945,$C$5:C945,C945,$B$5:B945,"Entrée")-SUMIFS($E$5:E945,$C$5:C945,C945,$B$5:B945,"Sortie"),6),""))</f>
        <v/>
      </c>
      <c r="L945" s="39" t="str">
        <f>IF(COUNTA(A945:C945,E945)=0,"",IF(COUNTA(A945:C945,E945)&lt;4,"Ligne incomplète",IF(NOT(ISNUMBER(A945)),"Date invalide",IF(AND(B945&lt;&gt;"Entrée",B945&lt;&gt;"Sortie"),"Type inconnu",IF(ISNA(MATCH(C945,art_ref,0)),"Référence inconnue",IF(OR(NOT(ISNUMBER(E945)),N(E945)&lt;=0),"Quantité invalide",IF(K945&lt;0,"Stock négatif",IF(AND(ISNUMBER(A944),A945&lt;A944),"Date hors ordre","OK"))))))))</f>
        <v/>
      </c>
      <c r="M945" s="39" t="str">
        <f>IF(C945="","",C945&amp;"#"&amp;COUNTIF($C$5:C945,C945))</f>
        <v/>
      </c>
    </row>
    <row r="946">
      <c r="A946" s="41" t="n"/>
      <c r="B946" s="37" t="n"/>
      <c r="C946" s="37" t="n"/>
      <c r="D946" s="39" t="str">
        <f>IF(C946="","",IFERROR(INDEX(art_des,MATCH(C946,art_ref,0))&amp;"","Référence inconnue"))</f>
        <v/>
      </c>
      <c r="E946" s="37" t="n"/>
      <c r="F946" s="39" t="str">
        <f>IF(C946="","",IFERROR(INDEX(art_unit,MATCH(C946,art_ref,0))&amp;"",""))</f>
        <v/>
      </c>
      <c r="G946" s="37" t="n"/>
      <c r="H946" s="37" t="n"/>
      <c r="I946" s="37" t="n"/>
      <c r="J946" s="40" t="str">
        <f>IF(OR(C946="",NOT(ISNUMBER(E946))),"",IFERROR(E946*N(INDEX(art_price,MATCH(C946,art_ref,0))),""))</f>
        <v/>
      </c>
      <c r="K946" s="39" t="str">
        <f>IF(OR(C946="",NOT(ISNUMBER(E946))),"",IFERROR(ROUND(N(INDEX(art_init,MATCH(C946,art_ref,0)))+SUMIFS($E$5:E946,$C$5:C946,C946,$B$5:B946,"Entrée")-SUMIFS($E$5:E946,$C$5:C946,C946,$B$5:B946,"Sortie"),6),""))</f>
        <v/>
      </c>
      <c r="L946" s="39" t="str">
        <f>IF(COUNTA(A946:C946,E946)=0,"",IF(COUNTA(A946:C946,E946)&lt;4,"Ligne incomplète",IF(NOT(ISNUMBER(A946)),"Date invalide",IF(AND(B946&lt;&gt;"Entrée",B946&lt;&gt;"Sortie"),"Type inconnu",IF(ISNA(MATCH(C946,art_ref,0)),"Référence inconnue",IF(OR(NOT(ISNUMBER(E946)),N(E946)&lt;=0),"Quantité invalide",IF(K946&lt;0,"Stock négatif",IF(AND(ISNUMBER(A945),A946&lt;A945),"Date hors ordre","OK"))))))))</f>
        <v/>
      </c>
      <c r="M946" s="39" t="str">
        <f>IF(C946="","",C946&amp;"#"&amp;COUNTIF($C$5:C946,C946))</f>
        <v/>
      </c>
    </row>
    <row r="947">
      <c r="A947" s="41" t="n"/>
      <c r="B947" s="37" t="n"/>
      <c r="C947" s="37" t="n"/>
      <c r="D947" s="39" t="str">
        <f>IF(C947="","",IFERROR(INDEX(art_des,MATCH(C947,art_ref,0))&amp;"","Référence inconnue"))</f>
        <v/>
      </c>
      <c r="E947" s="37" t="n"/>
      <c r="F947" s="39" t="str">
        <f>IF(C947="","",IFERROR(INDEX(art_unit,MATCH(C947,art_ref,0))&amp;"",""))</f>
        <v/>
      </c>
      <c r="G947" s="37" t="n"/>
      <c r="H947" s="37" t="n"/>
      <c r="I947" s="37" t="n"/>
      <c r="J947" s="40" t="str">
        <f>IF(OR(C947="",NOT(ISNUMBER(E947))),"",IFERROR(E947*N(INDEX(art_price,MATCH(C947,art_ref,0))),""))</f>
        <v/>
      </c>
      <c r="K947" s="39" t="str">
        <f>IF(OR(C947="",NOT(ISNUMBER(E947))),"",IFERROR(ROUND(N(INDEX(art_init,MATCH(C947,art_ref,0)))+SUMIFS($E$5:E947,$C$5:C947,C947,$B$5:B947,"Entrée")-SUMIFS($E$5:E947,$C$5:C947,C947,$B$5:B947,"Sortie"),6),""))</f>
        <v/>
      </c>
      <c r="L947" s="39" t="str">
        <f>IF(COUNTA(A947:C947,E947)=0,"",IF(COUNTA(A947:C947,E947)&lt;4,"Ligne incomplète",IF(NOT(ISNUMBER(A947)),"Date invalide",IF(AND(B947&lt;&gt;"Entrée",B947&lt;&gt;"Sortie"),"Type inconnu",IF(ISNA(MATCH(C947,art_ref,0)),"Référence inconnue",IF(OR(NOT(ISNUMBER(E947)),N(E947)&lt;=0),"Quantité invalide",IF(K947&lt;0,"Stock négatif",IF(AND(ISNUMBER(A946),A947&lt;A946),"Date hors ordre","OK"))))))))</f>
        <v/>
      </c>
      <c r="M947" s="39" t="str">
        <f>IF(C947="","",C947&amp;"#"&amp;COUNTIF($C$5:C947,C947))</f>
        <v/>
      </c>
    </row>
    <row r="948">
      <c r="A948" s="41" t="n"/>
      <c r="B948" s="37" t="n"/>
      <c r="C948" s="37" t="n"/>
      <c r="D948" s="39" t="str">
        <f>IF(C948="","",IFERROR(INDEX(art_des,MATCH(C948,art_ref,0))&amp;"","Référence inconnue"))</f>
        <v/>
      </c>
      <c r="E948" s="37" t="n"/>
      <c r="F948" s="39" t="str">
        <f>IF(C948="","",IFERROR(INDEX(art_unit,MATCH(C948,art_ref,0))&amp;"",""))</f>
        <v/>
      </c>
      <c r="G948" s="37" t="n"/>
      <c r="H948" s="37" t="n"/>
      <c r="I948" s="37" t="n"/>
      <c r="J948" s="40" t="str">
        <f>IF(OR(C948="",NOT(ISNUMBER(E948))),"",IFERROR(E948*N(INDEX(art_price,MATCH(C948,art_ref,0))),""))</f>
        <v/>
      </c>
      <c r="K948" s="39" t="str">
        <f>IF(OR(C948="",NOT(ISNUMBER(E948))),"",IFERROR(ROUND(N(INDEX(art_init,MATCH(C948,art_ref,0)))+SUMIFS($E$5:E948,$C$5:C948,C948,$B$5:B948,"Entrée")-SUMIFS($E$5:E948,$C$5:C948,C948,$B$5:B948,"Sortie"),6),""))</f>
        <v/>
      </c>
      <c r="L948" s="39" t="str">
        <f>IF(COUNTA(A948:C948,E948)=0,"",IF(COUNTA(A948:C948,E948)&lt;4,"Ligne incomplète",IF(NOT(ISNUMBER(A948)),"Date invalide",IF(AND(B948&lt;&gt;"Entrée",B948&lt;&gt;"Sortie"),"Type inconnu",IF(ISNA(MATCH(C948,art_ref,0)),"Référence inconnue",IF(OR(NOT(ISNUMBER(E948)),N(E948)&lt;=0),"Quantité invalide",IF(K948&lt;0,"Stock négatif",IF(AND(ISNUMBER(A947),A948&lt;A947),"Date hors ordre","OK"))))))))</f>
        <v/>
      </c>
      <c r="M948" s="39" t="str">
        <f>IF(C948="","",C948&amp;"#"&amp;COUNTIF($C$5:C948,C948))</f>
        <v/>
      </c>
    </row>
    <row r="949">
      <c r="A949" s="41" t="n"/>
      <c r="B949" s="37" t="n"/>
      <c r="C949" s="37" t="n"/>
      <c r="D949" s="39" t="str">
        <f>IF(C949="","",IFERROR(INDEX(art_des,MATCH(C949,art_ref,0))&amp;"","Référence inconnue"))</f>
        <v/>
      </c>
      <c r="E949" s="37" t="n"/>
      <c r="F949" s="39" t="str">
        <f>IF(C949="","",IFERROR(INDEX(art_unit,MATCH(C949,art_ref,0))&amp;"",""))</f>
        <v/>
      </c>
      <c r="G949" s="37" t="n"/>
      <c r="H949" s="37" t="n"/>
      <c r="I949" s="37" t="n"/>
      <c r="J949" s="40" t="str">
        <f>IF(OR(C949="",NOT(ISNUMBER(E949))),"",IFERROR(E949*N(INDEX(art_price,MATCH(C949,art_ref,0))),""))</f>
        <v/>
      </c>
      <c r="K949" s="39" t="str">
        <f>IF(OR(C949="",NOT(ISNUMBER(E949))),"",IFERROR(ROUND(N(INDEX(art_init,MATCH(C949,art_ref,0)))+SUMIFS($E$5:E949,$C$5:C949,C949,$B$5:B949,"Entrée")-SUMIFS($E$5:E949,$C$5:C949,C949,$B$5:B949,"Sortie"),6),""))</f>
        <v/>
      </c>
      <c r="L949" s="39" t="str">
        <f>IF(COUNTA(A949:C949,E949)=0,"",IF(COUNTA(A949:C949,E949)&lt;4,"Ligne incomplète",IF(NOT(ISNUMBER(A949)),"Date invalide",IF(AND(B949&lt;&gt;"Entrée",B949&lt;&gt;"Sortie"),"Type inconnu",IF(ISNA(MATCH(C949,art_ref,0)),"Référence inconnue",IF(OR(NOT(ISNUMBER(E949)),N(E949)&lt;=0),"Quantité invalide",IF(K949&lt;0,"Stock négatif",IF(AND(ISNUMBER(A948),A949&lt;A948),"Date hors ordre","OK"))))))))</f>
        <v/>
      </c>
      <c r="M949" s="39" t="str">
        <f>IF(C949="","",C949&amp;"#"&amp;COUNTIF($C$5:C949,C949))</f>
        <v/>
      </c>
    </row>
    <row r="950">
      <c r="A950" s="41" t="n"/>
      <c r="B950" s="37" t="n"/>
      <c r="C950" s="37" t="n"/>
      <c r="D950" s="39" t="str">
        <f>IF(C950="","",IFERROR(INDEX(art_des,MATCH(C950,art_ref,0))&amp;"","Référence inconnue"))</f>
        <v/>
      </c>
      <c r="E950" s="37" t="n"/>
      <c r="F950" s="39" t="str">
        <f>IF(C950="","",IFERROR(INDEX(art_unit,MATCH(C950,art_ref,0))&amp;"",""))</f>
        <v/>
      </c>
      <c r="G950" s="37" t="n"/>
      <c r="H950" s="37" t="n"/>
      <c r="I950" s="37" t="n"/>
      <c r="J950" s="40" t="str">
        <f>IF(OR(C950="",NOT(ISNUMBER(E950))),"",IFERROR(E950*N(INDEX(art_price,MATCH(C950,art_ref,0))),""))</f>
        <v/>
      </c>
      <c r="K950" s="39" t="str">
        <f>IF(OR(C950="",NOT(ISNUMBER(E950))),"",IFERROR(ROUND(N(INDEX(art_init,MATCH(C950,art_ref,0)))+SUMIFS($E$5:E950,$C$5:C950,C950,$B$5:B950,"Entrée")-SUMIFS($E$5:E950,$C$5:C950,C950,$B$5:B950,"Sortie"),6),""))</f>
        <v/>
      </c>
      <c r="L950" s="39" t="str">
        <f>IF(COUNTA(A950:C950,E950)=0,"",IF(COUNTA(A950:C950,E950)&lt;4,"Ligne incomplète",IF(NOT(ISNUMBER(A950)),"Date invalide",IF(AND(B950&lt;&gt;"Entrée",B950&lt;&gt;"Sortie"),"Type inconnu",IF(ISNA(MATCH(C950,art_ref,0)),"Référence inconnue",IF(OR(NOT(ISNUMBER(E950)),N(E950)&lt;=0),"Quantité invalide",IF(K950&lt;0,"Stock négatif",IF(AND(ISNUMBER(A949),A950&lt;A949),"Date hors ordre","OK"))))))))</f>
        <v/>
      </c>
      <c r="M950" s="39" t="str">
        <f>IF(C950="","",C950&amp;"#"&amp;COUNTIF($C$5:C950,C950))</f>
        <v/>
      </c>
    </row>
    <row r="951">
      <c r="A951" s="41" t="n"/>
      <c r="B951" s="37" t="n"/>
      <c r="C951" s="37" t="n"/>
      <c r="D951" s="39" t="str">
        <f>IF(C951="","",IFERROR(INDEX(art_des,MATCH(C951,art_ref,0))&amp;"","Référence inconnue"))</f>
        <v/>
      </c>
      <c r="E951" s="37" t="n"/>
      <c r="F951" s="39" t="str">
        <f>IF(C951="","",IFERROR(INDEX(art_unit,MATCH(C951,art_ref,0))&amp;"",""))</f>
        <v/>
      </c>
      <c r="G951" s="37" t="n"/>
      <c r="H951" s="37" t="n"/>
      <c r="I951" s="37" t="n"/>
      <c r="J951" s="40" t="str">
        <f>IF(OR(C951="",NOT(ISNUMBER(E951))),"",IFERROR(E951*N(INDEX(art_price,MATCH(C951,art_ref,0))),""))</f>
        <v/>
      </c>
      <c r="K951" s="39" t="str">
        <f>IF(OR(C951="",NOT(ISNUMBER(E951))),"",IFERROR(ROUND(N(INDEX(art_init,MATCH(C951,art_ref,0)))+SUMIFS($E$5:E951,$C$5:C951,C951,$B$5:B951,"Entrée")-SUMIFS($E$5:E951,$C$5:C951,C951,$B$5:B951,"Sortie"),6),""))</f>
        <v/>
      </c>
      <c r="L951" s="39" t="str">
        <f>IF(COUNTA(A951:C951,E951)=0,"",IF(COUNTA(A951:C951,E951)&lt;4,"Ligne incomplète",IF(NOT(ISNUMBER(A951)),"Date invalide",IF(AND(B951&lt;&gt;"Entrée",B951&lt;&gt;"Sortie"),"Type inconnu",IF(ISNA(MATCH(C951,art_ref,0)),"Référence inconnue",IF(OR(NOT(ISNUMBER(E951)),N(E951)&lt;=0),"Quantité invalide",IF(K951&lt;0,"Stock négatif",IF(AND(ISNUMBER(A950),A951&lt;A950),"Date hors ordre","OK"))))))))</f>
        <v/>
      </c>
      <c r="M951" s="39" t="str">
        <f>IF(C951="","",C951&amp;"#"&amp;COUNTIF($C$5:C951,C951))</f>
        <v/>
      </c>
    </row>
    <row r="952">
      <c r="A952" s="41" t="n"/>
      <c r="B952" s="37" t="n"/>
      <c r="C952" s="37" t="n"/>
      <c r="D952" s="39" t="str">
        <f>IF(C952="","",IFERROR(INDEX(art_des,MATCH(C952,art_ref,0))&amp;"","Référence inconnue"))</f>
        <v/>
      </c>
      <c r="E952" s="37" t="n"/>
      <c r="F952" s="39" t="str">
        <f>IF(C952="","",IFERROR(INDEX(art_unit,MATCH(C952,art_ref,0))&amp;"",""))</f>
        <v/>
      </c>
      <c r="G952" s="37" t="n"/>
      <c r="H952" s="37" t="n"/>
      <c r="I952" s="37" t="n"/>
      <c r="J952" s="40" t="str">
        <f>IF(OR(C952="",NOT(ISNUMBER(E952))),"",IFERROR(E952*N(INDEX(art_price,MATCH(C952,art_ref,0))),""))</f>
        <v/>
      </c>
      <c r="K952" s="39" t="str">
        <f>IF(OR(C952="",NOT(ISNUMBER(E952))),"",IFERROR(ROUND(N(INDEX(art_init,MATCH(C952,art_ref,0)))+SUMIFS($E$5:E952,$C$5:C952,C952,$B$5:B952,"Entrée")-SUMIFS($E$5:E952,$C$5:C952,C952,$B$5:B952,"Sortie"),6),""))</f>
        <v/>
      </c>
      <c r="L952" s="39" t="str">
        <f>IF(COUNTA(A952:C952,E952)=0,"",IF(COUNTA(A952:C952,E952)&lt;4,"Ligne incomplète",IF(NOT(ISNUMBER(A952)),"Date invalide",IF(AND(B952&lt;&gt;"Entrée",B952&lt;&gt;"Sortie"),"Type inconnu",IF(ISNA(MATCH(C952,art_ref,0)),"Référence inconnue",IF(OR(NOT(ISNUMBER(E952)),N(E952)&lt;=0),"Quantité invalide",IF(K952&lt;0,"Stock négatif",IF(AND(ISNUMBER(A951),A952&lt;A951),"Date hors ordre","OK"))))))))</f>
        <v/>
      </c>
      <c r="M952" s="39" t="str">
        <f>IF(C952="","",C952&amp;"#"&amp;COUNTIF($C$5:C952,C952))</f>
        <v/>
      </c>
    </row>
    <row r="953">
      <c r="A953" s="41" t="n"/>
      <c r="B953" s="37" t="n"/>
      <c r="C953" s="37" t="n"/>
      <c r="D953" s="39" t="str">
        <f>IF(C953="","",IFERROR(INDEX(art_des,MATCH(C953,art_ref,0))&amp;"","Référence inconnue"))</f>
        <v/>
      </c>
      <c r="E953" s="37" t="n"/>
      <c r="F953" s="39" t="str">
        <f>IF(C953="","",IFERROR(INDEX(art_unit,MATCH(C953,art_ref,0))&amp;"",""))</f>
        <v/>
      </c>
      <c r="G953" s="37" t="n"/>
      <c r="H953" s="37" t="n"/>
      <c r="I953" s="37" t="n"/>
      <c r="J953" s="40" t="str">
        <f>IF(OR(C953="",NOT(ISNUMBER(E953))),"",IFERROR(E953*N(INDEX(art_price,MATCH(C953,art_ref,0))),""))</f>
        <v/>
      </c>
      <c r="K953" s="39" t="str">
        <f>IF(OR(C953="",NOT(ISNUMBER(E953))),"",IFERROR(ROUND(N(INDEX(art_init,MATCH(C953,art_ref,0)))+SUMIFS($E$5:E953,$C$5:C953,C953,$B$5:B953,"Entrée")-SUMIFS($E$5:E953,$C$5:C953,C953,$B$5:B953,"Sortie"),6),""))</f>
        <v/>
      </c>
      <c r="L953" s="39" t="str">
        <f>IF(COUNTA(A953:C953,E953)=0,"",IF(COUNTA(A953:C953,E953)&lt;4,"Ligne incomplète",IF(NOT(ISNUMBER(A953)),"Date invalide",IF(AND(B953&lt;&gt;"Entrée",B953&lt;&gt;"Sortie"),"Type inconnu",IF(ISNA(MATCH(C953,art_ref,0)),"Référence inconnue",IF(OR(NOT(ISNUMBER(E953)),N(E953)&lt;=0),"Quantité invalide",IF(K953&lt;0,"Stock négatif",IF(AND(ISNUMBER(A952),A953&lt;A952),"Date hors ordre","OK"))))))))</f>
        <v/>
      </c>
      <c r="M953" s="39" t="str">
        <f>IF(C953="","",C953&amp;"#"&amp;COUNTIF($C$5:C953,C953))</f>
        <v/>
      </c>
    </row>
    <row r="954">
      <c r="A954" s="41" t="n"/>
      <c r="B954" s="37" t="n"/>
      <c r="C954" s="37" t="n"/>
      <c r="D954" s="39" t="str">
        <f>IF(C954="","",IFERROR(INDEX(art_des,MATCH(C954,art_ref,0))&amp;"","Référence inconnue"))</f>
        <v/>
      </c>
      <c r="E954" s="37" t="n"/>
      <c r="F954" s="39" t="str">
        <f>IF(C954="","",IFERROR(INDEX(art_unit,MATCH(C954,art_ref,0))&amp;"",""))</f>
        <v/>
      </c>
      <c r="G954" s="37" t="n"/>
      <c r="H954" s="37" t="n"/>
      <c r="I954" s="37" t="n"/>
      <c r="J954" s="40" t="str">
        <f>IF(OR(C954="",NOT(ISNUMBER(E954))),"",IFERROR(E954*N(INDEX(art_price,MATCH(C954,art_ref,0))),""))</f>
        <v/>
      </c>
      <c r="K954" s="39" t="str">
        <f>IF(OR(C954="",NOT(ISNUMBER(E954))),"",IFERROR(ROUND(N(INDEX(art_init,MATCH(C954,art_ref,0)))+SUMIFS($E$5:E954,$C$5:C954,C954,$B$5:B954,"Entrée")-SUMIFS($E$5:E954,$C$5:C954,C954,$B$5:B954,"Sortie"),6),""))</f>
        <v/>
      </c>
      <c r="L954" s="39" t="str">
        <f>IF(COUNTA(A954:C954,E954)=0,"",IF(COUNTA(A954:C954,E954)&lt;4,"Ligne incomplète",IF(NOT(ISNUMBER(A954)),"Date invalide",IF(AND(B954&lt;&gt;"Entrée",B954&lt;&gt;"Sortie"),"Type inconnu",IF(ISNA(MATCH(C954,art_ref,0)),"Référence inconnue",IF(OR(NOT(ISNUMBER(E954)),N(E954)&lt;=0),"Quantité invalide",IF(K954&lt;0,"Stock négatif",IF(AND(ISNUMBER(A953),A954&lt;A953),"Date hors ordre","OK"))))))))</f>
        <v/>
      </c>
      <c r="M954" s="39" t="str">
        <f>IF(C954="","",C954&amp;"#"&amp;COUNTIF($C$5:C954,C954))</f>
        <v/>
      </c>
    </row>
    <row r="955">
      <c r="A955" s="41" t="n"/>
      <c r="B955" s="37" t="n"/>
      <c r="C955" s="37" t="n"/>
      <c r="D955" s="39" t="str">
        <f>IF(C955="","",IFERROR(INDEX(art_des,MATCH(C955,art_ref,0))&amp;"","Référence inconnue"))</f>
        <v/>
      </c>
      <c r="E955" s="37" t="n"/>
      <c r="F955" s="39" t="str">
        <f>IF(C955="","",IFERROR(INDEX(art_unit,MATCH(C955,art_ref,0))&amp;"",""))</f>
        <v/>
      </c>
      <c r="G955" s="37" t="n"/>
      <c r="H955" s="37" t="n"/>
      <c r="I955" s="37" t="n"/>
      <c r="J955" s="40" t="str">
        <f>IF(OR(C955="",NOT(ISNUMBER(E955))),"",IFERROR(E955*N(INDEX(art_price,MATCH(C955,art_ref,0))),""))</f>
        <v/>
      </c>
      <c r="K955" s="39" t="str">
        <f>IF(OR(C955="",NOT(ISNUMBER(E955))),"",IFERROR(ROUND(N(INDEX(art_init,MATCH(C955,art_ref,0)))+SUMIFS($E$5:E955,$C$5:C955,C955,$B$5:B955,"Entrée")-SUMIFS($E$5:E955,$C$5:C955,C955,$B$5:B955,"Sortie"),6),""))</f>
        <v/>
      </c>
      <c r="L955" s="39" t="str">
        <f>IF(COUNTA(A955:C955,E955)=0,"",IF(COUNTA(A955:C955,E955)&lt;4,"Ligne incomplète",IF(NOT(ISNUMBER(A955)),"Date invalide",IF(AND(B955&lt;&gt;"Entrée",B955&lt;&gt;"Sortie"),"Type inconnu",IF(ISNA(MATCH(C955,art_ref,0)),"Référence inconnue",IF(OR(NOT(ISNUMBER(E955)),N(E955)&lt;=0),"Quantité invalide",IF(K955&lt;0,"Stock négatif",IF(AND(ISNUMBER(A954),A955&lt;A954),"Date hors ordre","OK"))))))))</f>
        <v/>
      </c>
      <c r="M955" s="39" t="str">
        <f>IF(C955="","",C955&amp;"#"&amp;COUNTIF($C$5:C955,C955))</f>
        <v/>
      </c>
    </row>
    <row r="956">
      <c r="A956" s="41" t="n"/>
      <c r="B956" s="37" t="n"/>
      <c r="C956" s="37" t="n"/>
      <c r="D956" s="39" t="str">
        <f>IF(C956="","",IFERROR(INDEX(art_des,MATCH(C956,art_ref,0))&amp;"","Référence inconnue"))</f>
        <v/>
      </c>
      <c r="E956" s="37" t="n"/>
      <c r="F956" s="39" t="str">
        <f>IF(C956="","",IFERROR(INDEX(art_unit,MATCH(C956,art_ref,0))&amp;"",""))</f>
        <v/>
      </c>
      <c r="G956" s="37" t="n"/>
      <c r="H956" s="37" t="n"/>
      <c r="I956" s="37" t="n"/>
      <c r="J956" s="40" t="str">
        <f>IF(OR(C956="",NOT(ISNUMBER(E956))),"",IFERROR(E956*N(INDEX(art_price,MATCH(C956,art_ref,0))),""))</f>
        <v/>
      </c>
      <c r="K956" s="39" t="str">
        <f>IF(OR(C956="",NOT(ISNUMBER(E956))),"",IFERROR(ROUND(N(INDEX(art_init,MATCH(C956,art_ref,0)))+SUMIFS($E$5:E956,$C$5:C956,C956,$B$5:B956,"Entrée")-SUMIFS($E$5:E956,$C$5:C956,C956,$B$5:B956,"Sortie"),6),""))</f>
        <v/>
      </c>
      <c r="L956" s="39" t="str">
        <f>IF(COUNTA(A956:C956,E956)=0,"",IF(COUNTA(A956:C956,E956)&lt;4,"Ligne incomplète",IF(NOT(ISNUMBER(A956)),"Date invalide",IF(AND(B956&lt;&gt;"Entrée",B956&lt;&gt;"Sortie"),"Type inconnu",IF(ISNA(MATCH(C956,art_ref,0)),"Référence inconnue",IF(OR(NOT(ISNUMBER(E956)),N(E956)&lt;=0),"Quantité invalide",IF(K956&lt;0,"Stock négatif",IF(AND(ISNUMBER(A955),A956&lt;A955),"Date hors ordre","OK"))))))))</f>
        <v/>
      </c>
      <c r="M956" s="39" t="str">
        <f>IF(C956="","",C956&amp;"#"&amp;COUNTIF($C$5:C956,C956))</f>
        <v/>
      </c>
    </row>
    <row r="957">
      <c r="A957" s="41" t="n"/>
      <c r="B957" s="37" t="n"/>
      <c r="C957" s="37" t="n"/>
      <c r="D957" s="39" t="str">
        <f>IF(C957="","",IFERROR(INDEX(art_des,MATCH(C957,art_ref,0))&amp;"","Référence inconnue"))</f>
        <v/>
      </c>
      <c r="E957" s="37" t="n"/>
      <c r="F957" s="39" t="str">
        <f>IF(C957="","",IFERROR(INDEX(art_unit,MATCH(C957,art_ref,0))&amp;"",""))</f>
        <v/>
      </c>
      <c r="G957" s="37" t="n"/>
      <c r="H957" s="37" t="n"/>
      <c r="I957" s="37" t="n"/>
      <c r="J957" s="40" t="str">
        <f>IF(OR(C957="",NOT(ISNUMBER(E957))),"",IFERROR(E957*N(INDEX(art_price,MATCH(C957,art_ref,0))),""))</f>
        <v/>
      </c>
      <c r="K957" s="39" t="str">
        <f>IF(OR(C957="",NOT(ISNUMBER(E957))),"",IFERROR(ROUND(N(INDEX(art_init,MATCH(C957,art_ref,0)))+SUMIFS($E$5:E957,$C$5:C957,C957,$B$5:B957,"Entrée")-SUMIFS($E$5:E957,$C$5:C957,C957,$B$5:B957,"Sortie"),6),""))</f>
        <v/>
      </c>
      <c r="L957" s="39" t="str">
        <f>IF(COUNTA(A957:C957,E957)=0,"",IF(COUNTA(A957:C957,E957)&lt;4,"Ligne incomplète",IF(NOT(ISNUMBER(A957)),"Date invalide",IF(AND(B957&lt;&gt;"Entrée",B957&lt;&gt;"Sortie"),"Type inconnu",IF(ISNA(MATCH(C957,art_ref,0)),"Référence inconnue",IF(OR(NOT(ISNUMBER(E957)),N(E957)&lt;=0),"Quantité invalide",IF(K957&lt;0,"Stock négatif",IF(AND(ISNUMBER(A956),A957&lt;A956),"Date hors ordre","OK"))))))))</f>
        <v/>
      </c>
      <c r="M957" s="39" t="str">
        <f>IF(C957="","",C957&amp;"#"&amp;COUNTIF($C$5:C957,C957))</f>
        <v/>
      </c>
    </row>
    <row r="958">
      <c r="A958" s="41" t="n"/>
      <c r="B958" s="37" t="n"/>
      <c r="C958" s="37" t="n"/>
      <c r="D958" s="39" t="str">
        <f>IF(C958="","",IFERROR(INDEX(art_des,MATCH(C958,art_ref,0))&amp;"","Référence inconnue"))</f>
        <v/>
      </c>
      <c r="E958" s="37" t="n"/>
      <c r="F958" s="39" t="str">
        <f>IF(C958="","",IFERROR(INDEX(art_unit,MATCH(C958,art_ref,0))&amp;"",""))</f>
        <v/>
      </c>
      <c r="G958" s="37" t="n"/>
      <c r="H958" s="37" t="n"/>
      <c r="I958" s="37" t="n"/>
      <c r="J958" s="40" t="str">
        <f>IF(OR(C958="",NOT(ISNUMBER(E958))),"",IFERROR(E958*N(INDEX(art_price,MATCH(C958,art_ref,0))),""))</f>
        <v/>
      </c>
      <c r="K958" s="39" t="str">
        <f>IF(OR(C958="",NOT(ISNUMBER(E958))),"",IFERROR(ROUND(N(INDEX(art_init,MATCH(C958,art_ref,0)))+SUMIFS($E$5:E958,$C$5:C958,C958,$B$5:B958,"Entrée")-SUMIFS($E$5:E958,$C$5:C958,C958,$B$5:B958,"Sortie"),6),""))</f>
        <v/>
      </c>
      <c r="L958" s="39" t="str">
        <f>IF(COUNTA(A958:C958,E958)=0,"",IF(COUNTA(A958:C958,E958)&lt;4,"Ligne incomplète",IF(NOT(ISNUMBER(A958)),"Date invalide",IF(AND(B958&lt;&gt;"Entrée",B958&lt;&gt;"Sortie"),"Type inconnu",IF(ISNA(MATCH(C958,art_ref,0)),"Référence inconnue",IF(OR(NOT(ISNUMBER(E958)),N(E958)&lt;=0),"Quantité invalide",IF(K958&lt;0,"Stock négatif",IF(AND(ISNUMBER(A957),A958&lt;A957),"Date hors ordre","OK"))))))))</f>
        <v/>
      </c>
      <c r="M958" s="39" t="str">
        <f>IF(C958="","",C958&amp;"#"&amp;COUNTIF($C$5:C958,C958))</f>
        <v/>
      </c>
    </row>
    <row r="959">
      <c r="A959" s="41" t="n"/>
      <c r="B959" s="37" t="n"/>
      <c r="C959" s="37" t="n"/>
      <c r="D959" s="39" t="str">
        <f>IF(C959="","",IFERROR(INDEX(art_des,MATCH(C959,art_ref,0))&amp;"","Référence inconnue"))</f>
        <v/>
      </c>
      <c r="E959" s="37" t="n"/>
      <c r="F959" s="39" t="str">
        <f>IF(C959="","",IFERROR(INDEX(art_unit,MATCH(C959,art_ref,0))&amp;"",""))</f>
        <v/>
      </c>
      <c r="G959" s="37" t="n"/>
      <c r="H959" s="37" t="n"/>
      <c r="I959" s="37" t="n"/>
      <c r="J959" s="40" t="str">
        <f>IF(OR(C959="",NOT(ISNUMBER(E959))),"",IFERROR(E959*N(INDEX(art_price,MATCH(C959,art_ref,0))),""))</f>
        <v/>
      </c>
      <c r="K959" s="39" t="str">
        <f>IF(OR(C959="",NOT(ISNUMBER(E959))),"",IFERROR(ROUND(N(INDEX(art_init,MATCH(C959,art_ref,0)))+SUMIFS($E$5:E959,$C$5:C959,C959,$B$5:B959,"Entrée")-SUMIFS($E$5:E959,$C$5:C959,C959,$B$5:B959,"Sortie"),6),""))</f>
        <v/>
      </c>
      <c r="L959" s="39" t="str">
        <f>IF(COUNTA(A959:C959,E959)=0,"",IF(COUNTA(A959:C959,E959)&lt;4,"Ligne incomplète",IF(NOT(ISNUMBER(A959)),"Date invalide",IF(AND(B959&lt;&gt;"Entrée",B959&lt;&gt;"Sortie"),"Type inconnu",IF(ISNA(MATCH(C959,art_ref,0)),"Référence inconnue",IF(OR(NOT(ISNUMBER(E959)),N(E959)&lt;=0),"Quantité invalide",IF(K959&lt;0,"Stock négatif",IF(AND(ISNUMBER(A958),A959&lt;A958),"Date hors ordre","OK"))))))))</f>
        <v/>
      </c>
      <c r="M959" s="39" t="str">
        <f>IF(C959="","",C959&amp;"#"&amp;COUNTIF($C$5:C959,C959))</f>
        <v/>
      </c>
    </row>
    <row r="960">
      <c r="A960" s="41" t="n"/>
      <c r="B960" s="37" t="n"/>
      <c r="C960" s="37" t="n"/>
      <c r="D960" s="39" t="str">
        <f>IF(C960="","",IFERROR(INDEX(art_des,MATCH(C960,art_ref,0))&amp;"","Référence inconnue"))</f>
        <v/>
      </c>
      <c r="E960" s="37" t="n"/>
      <c r="F960" s="39" t="str">
        <f>IF(C960="","",IFERROR(INDEX(art_unit,MATCH(C960,art_ref,0))&amp;"",""))</f>
        <v/>
      </c>
      <c r="G960" s="37" t="n"/>
      <c r="H960" s="37" t="n"/>
      <c r="I960" s="37" t="n"/>
      <c r="J960" s="40" t="str">
        <f>IF(OR(C960="",NOT(ISNUMBER(E960))),"",IFERROR(E960*N(INDEX(art_price,MATCH(C960,art_ref,0))),""))</f>
        <v/>
      </c>
      <c r="K960" s="39" t="str">
        <f>IF(OR(C960="",NOT(ISNUMBER(E960))),"",IFERROR(ROUND(N(INDEX(art_init,MATCH(C960,art_ref,0)))+SUMIFS($E$5:E960,$C$5:C960,C960,$B$5:B960,"Entrée")-SUMIFS($E$5:E960,$C$5:C960,C960,$B$5:B960,"Sortie"),6),""))</f>
        <v/>
      </c>
      <c r="L960" s="39" t="str">
        <f>IF(COUNTA(A960:C960,E960)=0,"",IF(COUNTA(A960:C960,E960)&lt;4,"Ligne incomplète",IF(NOT(ISNUMBER(A960)),"Date invalide",IF(AND(B960&lt;&gt;"Entrée",B960&lt;&gt;"Sortie"),"Type inconnu",IF(ISNA(MATCH(C960,art_ref,0)),"Référence inconnue",IF(OR(NOT(ISNUMBER(E960)),N(E960)&lt;=0),"Quantité invalide",IF(K960&lt;0,"Stock négatif",IF(AND(ISNUMBER(A959),A960&lt;A959),"Date hors ordre","OK"))))))))</f>
        <v/>
      </c>
      <c r="M960" s="39" t="str">
        <f>IF(C960="","",C960&amp;"#"&amp;COUNTIF($C$5:C960,C960))</f>
        <v/>
      </c>
    </row>
    <row r="961">
      <c r="A961" s="41" t="n"/>
      <c r="B961" s="37" t="n"/>
      <c r="C961" s="37" t="n"/>
      <c r="D961" s="39" t="str">
        <f>IF(C961="","",IFERROR(INDEX(art_des,MATCH(C961,art_ref,0))&amp;"","Référence inconnue"))</f>
        <v/>
      </c>
      <c r="E961" s="37" t="n"/>
      <c r="F961" s="39" t="str">
        <f>IF(C961="","",IFERROR(INDEX(art_unit,MATCH(C961,art_ref,0))&amp;"",""))</f>
        <v/>
      </c>
      <c r="G961" s="37" t="n"/>
      <c r="H961" s="37" t="n"/>
      <c r="I961" s="37" t="n"/>
      <c r="J961" s="40" t="str">
        <f>IF(OR(C961="",NOT(ISNUMBER(E961))),"",IFERROR(E961*N(INDEX(art_price,MATCH(C961,art_ref,0))),""))</f>
        <v/>
      </c>
      <c r="K961" s="39" t="str">
        <f>IF(OR(C961="",NOT(ISNUMBER(E961))),"",IFERROR(ROUND(N(INDEX(art_init,MATCH(C961,art_ref,0)))+SUMIFS($E$5:E961,$C$5:C961,C961,$B$5:B961,"Entrée")-SUMIFS($E$5:E961,$C$5:C961,C961,$B$5:B961,"Sortie"),6),""))</f>
        <v/>
      </c>
      <c r="L961" s="39" t="str">
        <f>IF(COUNTA(A961:C961,E961)=0,"",IF(COUNTA(A961:C961,E961)&lt;4,"Ligne incomplète",IF(NOT(ISNUMBER(A961)),"Date invalide",IF(AND(B961&lt;&gt;"Entrée",B961&lt;&gt;"Sortie"),"Type inconnu",IF(ISNA(MATCH(C961,art_ref,0)),"Référence inconnue",IF(OR(NOT(ISNUMBER(E961)),N(E961)&lt;=0),"Quantité invalide",IF(K961&lt;0,"Stock négatif",IF(AND(ISNUMBER(A960),A961&lt;A960),"Date hors ordre","OK"))))))))</f>
        <v/>
      </c>
      <c r="M961" s="39" t="str">
        <f>IF(C961="","",C961&amp;"#"&amp;COUNTIF($C$5:C961,C961))</f>
        <v/>
      </c>
    </row>
    <row r="962">
      <c r="A962" s="41" t="n"/>
      <c r="B962" s="37" t="n"/>
      <c r="C962" s="37" t="n"/>
      <c r="D962" s="39" t="str">
        <f>IF(C962="","",IFERROR(INDEX(art_des,MATCH(C962,art_ref,0))&amp;"","Référence inconnue"))</f>
        <v/>
      </c>
      <c r="E962" s="37" t="n"/>
      <c r="F962" s="39" t="str">
        <f>IF(C962="","",IFERROR(INDEX(art_unit,MATCH(C962,art_ref,0))&amp;"",""))</f>
        <v/>
      </c>
      <c r="G962" s="37" t="n"/>
      <c r="H962" s="37" t="n"/>
      <c r="I962" s="37" t="n"/>
      <c r="J962" s="40" t="str">
        <f>IF(OR(C962="",NOT(ISNUMBER(E962))),"",IFERROR(E962*N(INDEX(art_price,MATCH(C962,art_ref,0))),""))</f>
        <v/>
      </c>
      <c r="K962" s="39" t="str">
        <f>IF(OR(C962="",NOT(ISNUMBER(E962))),"",IFERROR(ROUND(N(INDEX(art_init,MATCH(C962,art_ref,0)))+SUMIFS($E$5:E962,$C$5:C962,C962,$B$5:B962,"Entrée")-SUMIFS($E$5:E962,$C$5:C962,C962,$B$5:B962,"Sortie"),6),""))</f>
        <v/>
      </c>
      <c r="L962" s="39" t="str">
        <f>IF(COUNTA(A962:C962,E962)=0,"",IF(COUNTA(A962:C962,E962)&lt;4,"Ligne incomplète",IF(NOT(ISNUMBER(A962)),"Date invalide",IF(AND(B962&lt;&gt;"Entrée",B962&lt;&gt;"Sortie"),"Type inconnu",IF(ISNA(MATCH(C962,art_ref,0)),"Référence inconnue",IF(OR(NOT(ISNUMBER(E962)),N(E962)&lt;=0),"Quantité invalide",IF(K962&lt;0,"Stock négatif",IF(AND(ISNUMBER(A961),A962&lt;A961),"Date hors ordre","OK"))))))))</f>
        <v/>
      </c>
      <c r="M962" s="39" t="str">
        <f>IF(C962="","",C962&amp;"#"&amp;COUNTIF($C$5:C962,C962))</f>
        <v/>
      </c>
    </row>
    <row r="963">
      <c r="A963" s="41" t="n"/>
      <c r="B963" s="37" t="n"/>
      <c r="C963" s="37" t="n"/>
      <c r="D963" s="39" t="str">
        <f>IF(C963="","",IFERROR(INDEX(art_des,MATCH(C963,art_ref,0))&amp;"","Référence inconnue"))</f>
        <v/>
      </c>
      <c r="E963" s="37" t="n"/>
      <c r="F963" s="39" t="str">
        <f>IF(C963="","",IFERROR(INDEX(art_unit,MATCH(C963,art_ref,0))&amp;"",""))</f>
        <v/>
      </c>
      <c r="G963" s="37" t="n"/>
      <c r="H963" s="37" t="n"/>
      <c r="I963" s="37" t="n"/>
      <c r="J963" s="40" t="str">
        <f>IF(OR(C963="",NOT(ISNUMBER(E963))),"",IFERROR(E963*N(INDEX(art_price,MATCH(C963,art_ref,0))),""))</f>
        <v/>
      </c>
      <c r="K963" s="39" t="str">
        <f>IF(OR(C963="",NOT(ISNUMBER(E963))),"",IFERROR(ROUND(N(INDEX(art_init,MATCH(C963,art_ref,0)))+SUMIFS($E$5:E963,$C$5:C963,C963,$B$5:B963,"Entrée")-SUMIFS($E$5:E963,$C$5:C963,C963,$B$5:B963,"Sortie"),6),""))</f>
        <v/>
      </c>
      <c r="L963" s="39" t="str">
        <f>IF(COUNTA(A963:C963,E963)=0,"",IF(COUNTA(A963:C963,E963)&lt;4,"Ligne incomplète",IF(NOT(ISNUMBER(A963)),"Date invalide",IF(AND(B963&lt;&gt;"Entrée",B963&lt;&gt;"Sortie"),"Type inconnu",IF(ISNA(MATCH(C963,art_ref,0)),"Référence inconnue",IF(OR(NOT(ISNUMBER(E963)),N(E963)&lt;=0),"Quantité invalide",IF(K963&lt;0,"Stock négatif",IF(AND(ISNUMBER(A962),A963&lt;A962),"Date hors ordre","OK"))))))))</f>
        <v/>
      </c>
      <c r="M963" s="39" t="str">
        <f>IF(C963="","",C963&amp;"#"&amp;COUNTIF($C$5:C963,C963))</f>
        <v/>
      </c>
    </row>
    <row r="964">
      <c r="A964" s="41" t="n"/>
      <c r="B964" s="37" t="n"/>
      <c r="C964" s="37" t="n"/>
      <c r="D964" s="39" t="str">
        <f>IF(C964="","",IFERROR(INDEX(art_des,MATCH(C964,art_ref,0))&amp;"","Référence inconnue"))</f>
        <v/>
      </c>
      <c r="E964" s="37" t="n"/>
      <c r="F964" s="39" t="str">
        <f>IF(C964="","",IFERROR(INDEX(art_unit,MATCH(C964,art_ref,0))&amp;"",""))</f>
        <v/>
      </c>
      <c r="G964" s="37" t="n"/>
      <c r="H964" s="37" t="n"/>
      <c r="I964" s="37" t="n"/>
      <c r="J964" s="40" t="str">
        <f>IF(OR(C964="",NOT(ISNUMBER(E964))),"",IFERROR(E964*N(INDEX(art_price,MATCH(C964,art_ref,0))),""))</f>
        <v/>
      </c>
      <c r="K964" s="39" t="str">
        <f>IF(OR(C964="",NOT(ISNUMBER(E964))),"",IFERROR(ROUND(N(INDEX(art_init,MATCH(C964,art_ref,0)))+SUMIFS($E$5:E964,$C$5:C964,C964,$B$5:B964,"Entrée")-SUMIFS($E$5:E964,$C$5:C964,C964,$B$5:B964,"Sortie"),6),""))</f>
        <v/>
      </c>
      <c r="L964" s="39" t="str">
        <f>IF(COUNTA(A964:C964,E964)=0,"",IF(COUNTA(A964:C964,E964)&lt;4,"Ligne incomplète",IF(NOT(ISNUMBER(A964)),"Date invalide",IF(AND(B964&lt;&gt;"Entrée",B964&lt;&gt;"Sortie"),"Type inconnu",IF(ISNA(MATCH(C964,art_ref,0)),"Référence inconnue",IF(OR(NOT(ISNUMBER(E964)),N(E964)&lt;=0),"Quantité invalide",IF(K964&lt;0,"Stock négatif",IF(AND(ISNUMBER(A963),A964&lt;A963),"Date hors ordre","OK"))))))))</f>
        <v/>
      </c>
      <c r="M964" s="39" t="str">
        <f>IF(C964="","",C964&amp;"#"&amp;COUNTIF($C$5:C964,C964))</f>
        <v/>
      </c>
    </row>
    <row r="965">
      <c r="A965" s="41" t="n"/>
      <c r="B965" s="37" t="n"/>
      <c r="C965" s="37" t="n"/>
      <c r="D965" s="39" t="str">
        <f>IF(C965="","",IFERROR(INDEX(art_des,MATCH(C965,art_ref,0))&amp;"","Référence inconnue"))</f>
        <v/>
      </c>
      <c r="E965" s="37" t="n"/>
      <c r="F965" s="39" t="str">
        <f>IF(C965="","",IFERROR(INDEX(art_unit,MATCH(C965,art_ref,0))&amp;"",""))</f>
        <v/>
      </c>
      <c r="G965" s="37" t="n"/>
      <c r="H965" s="37" t="n"/>
      <c r="I965" s="37" t="n"/>
      <c r="J965" s="40" t="str">
        <f>IF(OR(C965="",NOT(ISNUMBER(E965))),"",IFERROR(E965*N(INDEX(art_price,MATCH(C965,art_ref,0))),""))</f>
        <v/>
      </c>
      <c r="K965" s="39" t="str">
        <f>IF(OR(C965="",NOT(ISNUMBER(E965))),"",IFERROR(ROUND(N(INDEX(art_init,MATCH(C965,art_ref,0)))+SUMIFS($E$5:E965,$C$5:C965,C965,$B$5:B965,"Entrée")-SUMIFS($E$5:E965,$C$5:C965,C965,$B$5:B965,"Sortie"),6),""))</f>
        <v/>
      </c>
      <c r="L965" s="39" t="str">
        <f>IF(COUNTA(A965:C965,E965)=0,"",IF(COUNTA(A965:C965,E965)&lt;4,"Ligne incomplète",IF(NOT(ISNUMBER(A965)),"Date invalide",IF(AND(B965&lt;&gt;"Entrée",B965&lt;&gt;"Sortie"),"Type inconnu",IF(ISNA(MATCH(C965,art_ref,0)),"Référence inconnue",IF(OR(NOT(ISNUMBER(E965)),N(E965)&lt;=0),"Quantité invalide",IF(K965&lt;0,"Stock négatif",IF(AND(ISNUMBER(A964),A965&lt;A964),"Date hors ordre","OK"))))))))</f>
        <v/>
      </c>
      <c r="M965" s="39" t="str">
        <f>IF(C965="","",C965&amp;"#"&amp;COUNTIF($C$5:C965,C965))</f>
        <v/>
      </c>
    </row>
    <row r="966">
      <c r="A966" s="41" t="n"/>
      <c r="B966" s="37" t="n"/>
      <c r="C966" s="37" t="n"/>
      <c r="D966" s="39" t="str">
        <f>IF(C966="","",IFERROR(INDEX(art_des,MATCH(C966,art_ref,0))&amp;"","Référence inconnue"))</f>
        <v/>
      </c>
      <c r="E966" s="37" t="n"/>
      <c r="F966" s="39" t="str">
        <f>IF(C966="","",IFERROR(INDEX(art_unit,MATCH(C966,art_ref,0))&amp;"",""))</f>
        <v/>
      </c>
      <c r="G966" s="37" t="n"/>
      <c r="H966" s="37" t="n"/>
      <c r="I966" s="37" t="n"/>
      <c r="J966" s="40" t="str">
        <f>IF(OR(C966="",NOT(ISNUMBER(E966))),"",IFERROR(E966*N(INDEX(art_price,MATCH(C966,art_ref,0))),""))</f>
        <v/>
      </c>
      <c r="K966" s="39" t="str">
        <f>IF(OR(C966="",NOT(ISNUMBER(E966))),"",IFERROR(ROUND(N(INDEX(art_init,MATCH(C966,art_ref,0)))+SUMIFS($E$5:E966,$C$5:C966,C966,$B$5:B966,"Entrée")-SUMIFS($E$5:E966,$C$5:C966,C966,$B$5:B966,"Sortie"),6),""))</f>
        <v/>
      </c>
      <c r="L966" s="39" t="str">
        <f>IF(COUNTA(A966:C966,E966)=0,"",IF(COUNTA(A966:C966,E966)&lt;4,"Ligne incomplète",IF(NOT(ISNUMBER(A966)),"Date invalide",IF(AND(B966&lt;&gt;"Entrée",B966&lt;&gt;"Sortie"),"Type inconnu",IF(ISNA(MATCH(C966,art_ref,0)),"Référence inconnue",IF(OR(NOT(ISNUMBER(E966)),N(E966)&lt;=0),"Quantité invalide",IF(K966&lt;0,"Stock négatif",IF(AND(ISNUMBER(A965),A966&lt;A965),"Date hors ordre","OK"))))))))</f>
        <v/>
      </c>
      <c r="M966" s="39" t="str">
        <f>IF(C966="","",C966&amp;"#"&amp;COUNTIF($C$5:C966,C966))</f>
        <v/>
      </c>
    </row>
    <row r="967">
      <c r="A967" s="41" t="n"/>
      <c r="B967" s="37" t="n"/>
      <c r="C967" s="37" t="n"/>
      <c r="D967" s="39" t="str">
        <f>IF(C967="","",IFERROR(INDEX(art_des,MATCH(C967,art_ref,0))&amp;"","Référence inconnue"))</f>
        <v/>
      </c>
      <c r="E967" s="37" t="n"/>
      <c r="F967" s="39" t="str">
        <f>IF(C967="","",IFERROR(INDEX(art_unit,MATCH(C967,art_ref,0))&amp;"",""))</f>
        <v/>
      </c>
      <c r="G967" s="37" t="n"/>
      <c r="H967" s="37" t="n"/>
      <c r="I967" s="37" t="n"/>
      <c r="J967" s="40" t="str">
        <f>IF(OR(C967="",NOT(ISNUMBER(E967))),"",IFERROR(E967*N(INDEX(art_price,MATCH(C967,art_ref,0))),""))</f>
        <v/>
      </c>
      <c r="K967" s="39" t="str">
        <f>IF(OR(C967="",NOT(ISNUMBER(E967))),"",IFERROR(ROUND(N(INDEX(art_init,MATCH(C967,art_ref,0)))+SUMIFS($E$5:E967,$C$5:C967,C967,$B$5:B967,"Entrée")-SUMIFS($E$5:E967,$C$5:C967,C967,$B$5:B967,"Sortie"),6),""))</f>
        <v/>
      </c>
      <c r="L967" s="39" t="str">
        <f>IF(COUNTA(A967:C967,E967)=0,"",IF(COUNTA(A967:C967,E967)&lt;4,"Ligne incomplète",IF(NOT(ISNUMBER(A967)),"Date invalide",IF(AND(B967&lt;&gt;"Entrée",B967&lt;&gt;"Sortie"),"Type inconnu",IF(ISNA(MATCH(C967,art_ref,0)),"Référence inconnue",IF(OR(NOT(ISNUMBER(E967)),N(E967)&lt;=0),"Quantité invalide",IF(K967&lt;0,"Stock négatif",IF(AND(ISNUMBER(A966),A967&lt;A966),"Date hors ordre","OK"))))))))</f>
        <v/>
      </c>
      <c r="M967" s="39" t="str">
        <f>IF(C967="","",C967&amp;"#"&amp;COUNTIF($C$5:C967,C967))</f>
        <v/>
      </c>
    </row>
    <row r="968">
      <c r="A968" s="41" t="n"/>
      <c r="B968" s="37" t="n"/>
      <c r="C968" s="37" t="n"/>
      <c r="D968" s="39" t="str">
        <f>IF(C968="","",IFERROR(INDEX(art_des,MATCH(C968,art_ref,0))&amp;"","Référence inconnue"))</f>
        <v/>
      </c>
      <c r="E968" s="37" t="n"/>
      <c r="F968" s="39" t="str">
        <f>IF(C968="","",IFERROR(INDEX(art_unit,MATCH(C968,art_ref,0))&amp;"",""))</f>
        <v/>
      </c>
      <c r="G968" s="37" t="n"/>
      <c r="H968" s="37" t="n"/>
      <c r="I968" s="37" t="n"/>
      <c r="J968" s="40" t="str">
        <f>IF(OR(C968="",NOT(ISNUMBER(E968))),"",IFERROR(E968*N(INDEX(art_price,MATCH(C968,art_ref,0))),""))</f>
        <v/>
      </c>
      <c r="K968" s="39" t="str">
        <f>IF(OR(C968="",NOT(ISNUMBER(E968))),"",IFERROR(ROUND(N(INDEX(art_init,MATCH(C968,art_ref,0)))+SUMIFS($E$5:E968,$C$5:C968,C968,$B$5:B968,"Entrée")-SUMIFS($E$5:E968,$C$5:C968,C968,$B$5:B968,"Sortie"),6),""))</f>
        <v/>
      </c>
      <c r="L968" s="39" t="str">
        <f>IF(COUNTA(A968:C968,E968)=0,"",IF(COUNTA(A968:C968,E968)&lt;4,"Ligne incomplète",IF(NOT(ISNUMBER(A968)),"Date invalide",IF(AND(B968&lt;&gt;"Entrée",B968&lt;&gt;"Sortie"),"Type inconnu",IF(ISNA(MATCH(C968,art_ref,0)),"Référence inconnue",IF(OR(NOT(ISNUMBER(E968)),N(E968)&lt;=0),"Quantité invalide",IF(K968&lt;0,"Stock négatif",IF(AND(ISNUMBER(A967),A968&lt;A967),"Date hors ordre","OK"))))))))</f>
        <v/>
      </c>
      <c r="M968" s="39" t="str">
        <f>IF(C968="","",C968&amp;"#"&amp;COUNTIF($C$5:C968,C968))</f>
        <v/>
      </c>
    </row>
    <row r="969">
      <c r="A969" s="41" t="n"/>
      <c r="B969" s="37" t="n"/>
      <c r="C969" s="37" t="n"/>
      <c r="D969" s="39" t="str">
        <f>IF(C969="","",IFERROR(INDEX(art_des,MATCH(C969,art_ref,0))&amp;"","Référence inconnue"))</f>
        <v/>
      </c>
      <c r="E969" s="37" t="n"/>
      <c r="F969" s="39" t="str">
        <f>IF(C969="","",IFERROR(INDEX(art_unit,MATCH(C969,art_ref,0))&amp;"",""))</f>
        <v/>
      </c>
      <c r="G969" s="37" t="n"/>
      <c r="H969" s="37" t="n"/>
      <c r="I969" s="37" t="n"/>
      <c r="J969" s="40" t="str">
        <f>IF(OR(C969="",NOT(ISNUMBER(E969))),"",IFERROR(E969*N(INDEX(art_price,MATCH(C969,art_ref,0))),""))</f>
        <v/>
      </c>
      <c r="K969" s="39" t="str">
        <f>IF(OR(C969="",NOT(ISNUMBER(E969))),"",IFERROR(ROUND(N(INDEX(art_init,MATCH(C969,art_ref,0)))+SUMIFS($E$5:E969,$C$5:C969,C969,$B$5:B969,"Entrée")-SUMIFS($E$5:E969,$C$5:C969,C969,$B$5:B969,"Sortie"),6),""))</f>
        <v/>
      </c>
      <c r="L969" s="39" t="str">
        <f>IF(COUNTA(A969:C969,E969)=0,"",IF(COUNTA(A969:C969,E969)&lt;4,"Ligne incomplète",IF(NOT(ISNUMBER(A969)),"Date invalide",IF(AND(B969&lt;&gt;"Entrée",B969&lt;&gt;"Sortie"),"Type inconnu",IF(ISNA(MATCH(C969,art_ref,0)),"Référence inconnue",IF(OR(NOT(ISNUMBER(E969)),N(E969)&lt;=0),"Quantité invalide",IF(K969&lt;0,"Stock négatif",IF(AND(ISNUMBER(A968),A969&lt;A968),"Date hors ordre","OK"))))))))</f>
        <v/>
      </c>
      <c r="M969" s="39" t="str">
        <f>IF(C969="","",C969&amp;"#"&amp;COUNTIF($C$5:C969,C969))</f>
        <v/>
      </c>
    </row>
    <row r="970">
      <c r="A970" s="41" t="n"/>
      <c r="B970" s="37" t="n"/>
      <c r="C970" s="37" t="n"/>
      <c r="D970" s="39" t="str">
        <f>IF(C970="","",IFERROR(INDEX(art_des,MATCH(C970,art_ref,0))&amp;"","Référence inconnue"))</f>
        <v/>
      </c>
      <c r="E970" s="37" t="n"/>
      <c r="F970" s="39" t="str">
        <f>IF(C970="","",IFERROR(INDEX(art_unit,MATCH(C970,art_ref,0))&amp;"",""))</f>
        <v/>
      </c>
      <c r="G970" s="37" t="n"/>
      <c r="H970" s="37" t="n"/>
      <c r="I970" s="37" t="n"/>
      <c r="J970" s="40" t="str">
        <f>IF(OR(C970="",NOT(ISNUMBER(E970))),"",IFERROR(E970*N(INDEX(art_price,MATCH(C970,art_ref,0))),""))</f>
        <v/>
      </c>
      <c r="K970" s="39" t="str">
        <f>IF(OR(C970="",NOT(ISNUMBER(E970))),"",IFERROR(ROUND(N(INDEX(art_init,MATCH(C970,art_ref,0)))+SUMIFS($E$5:E970,$C$5:C970,C970,$B$5:B970,"Entrée")-SUMIFS($E$5:E970,$C$5:C970,C970,$B$5:B970,"Sortie"),6),""))</f>
        <v/>
      </c>
      <c r="L970" s="39" t="str">
        <f>IF(COUNTA(A970:C970,E970)=0,"",IF(COUNTA(A970:C970,E970)&lt;4,"Ligne incomplète",IF(NOT(ISNUMBER(A970)),"Date invalide",IF(AND(B970&lt;&gt;"Entrée",B970&lt;&gt;"Sortie"),"Type inconnu",IF(ISNA(MATCH(C970,art_ref,0)),"Référence inconnue",IF(OR(NOT(ISNUMBER(E970)),N(E970)&lt;=0),"Quantité invalide",IF(K970&lt;0,"Stock négatif",IF(AND(ISNUMBER(A969),A970&lt;A969),"Date hors ordre","OK"))))))))</f>
        <v/>
      </c>
      <c r="M970" s="39" t="str">
        <f>IF(C970="","",C970&amp;"#"&amp;COUNTIF($C$5:C970,C970))</f>
        <v/>
      </c>
    </row>
    <row r="971">
      <c r="A971" s="41" t="n"/>
      <c r="B971" s="37" t="n"/>
      <c r="C971" s="37" t="n"/>
      <c r="D971" s="39" t="str">
        <f>IF(C971="","",IFERROR(INDEX(art_des,MATCH(C971,art_ref,0))&amp;"","Référence inconnue"))</f>
        <v/>
      </c>
      <c r="E971" s="37" t="n"/>
      <c r="F971" s="39" t="str">
        <f>IF(C971="","",IFERROR(INDEX(art_unit,MATCH(C971,art_ref,0))&amp;"",""))</f>
        <v/>
      </c>
      <c r="G971" s="37" t="n"/>
      <c r="H971" s="37" t="n"/>
      <c r="I971" s="37" t="n"/>
      <c r="J971" s="40" t="str">
        <f>IF(OR(C971="",NOT(ISNUMBER(E971))),"",IFERROR(E971*N(INDEX(art_price,MATCH(C971,art_ref,0))),""))</f>
        <v/>
      </c>
      <c r="K971" s="39" t="str">
        <f>IF(OR(C971="",NOT(ISNUMBER(E971))),"",IFERROR(ROUND(N(INDEX(art_init,MATCH(C971,art_ref,0)))+SUMIFS($E$5:E971,$C$5:C971,C971,$B$5:B971,"Entrée")-SUMIFS($E$5:E971,$C$5:C971,C971,$B$5:B971,"Sortie"),6),""))</f>
        <v/>
      </c>
      <c r="L971" s="39" t="str">
        <f>IF(COUNTA(A971:C971,E971)=0,"",IF(COUNTA(A971:C971,E971)&lt;4,"Ligne incomplète",IF(NOT(ISNUMBER(A971)),"Date invalide",IF(AND(B971&lt;&gt;"Entrée",B971&lt;&gt;"Sortie"),"Type inconnu",IF(ISNA(MATCH(C971,art_ref,0)),"Référence inconnue",IF(OR(NOT(ISNUMBER(E971)),N(E971)&lt;=0),"Quantité invalide",IF(K971&lt;0,"Stock négatif",IF(AND(ISNUMBER(A970),A971&lt;A970),"Date hors ordre","OK"))))))))</f>
        <v/>
      </c>
      <c r="M971" s="39" t="str">
        <f>IF(C971="","",C971&amp;"#"&amp;COUNTIF($C$5:C971,C971))</f>
        <v/>
      </c>
    </row>
    <row r="972">
      <c r="A972" s="41" t="n"/>
      <c r="B972" s="37" t="n"/>
      <c r="C972" s="37" t="n"/>
      <c r="D972" s="39" t="str">
        <f>IF(C972="","",IFERROR(INDEX(art_des,MATCH(C972,art_ref,0))&amp;"","Référence inconnue"))</f>
        <v/>
      </c>
      <c r="E972" s="37" t="n"/>
      <c r="F972" s="39" t="str">
        <f>IF(C972="","",IFERROR(INDEX(art_unit,MATCH(C972,art_ref,0))&amp;"",""))</f>
        <v/>
      </c>
      <c r="G972" s="37" t="n"/>
      <c r="H972" s="37" t="n"/>
      <c r="I972" s="37" t="n"/>
      <c r="J972" s="40" t="str">
        <f>IF(OR(C972="",NOT(ISNUMBER(E972))),"",IFERROR(E972*N(INDEX(art_price,MATCH(C972,art_ref,0))),""))</f>
        <v/>
      </c>
      <c r="K972" s="39" t="str">
        <f>IF(OR(C972="",NOT(ISNUMBER(E972))),"",IFERROR(ROUND(N(INDEX(art_init,MATCH(C972,art_ref,0)))+SUMIFS($E$5:E972,$C$5:C972,C972,$B$5:B972,"Entrée")-SUMIFS($E$5:E972,$C$5:C972,C972,$B$5:B972,"Sortie"),6),""))</f>
        <v/>
      </c>
      <c r="L972" s="39" t="str">
        <f>IF(COUNTA(A972:C972,E972)=0,"",IF(COUNTA(A972:C972,E972)&lt;4,"Ligne incomplète",IF(NOT(ISNUMBER(A972)),"Date invalide",IF(AND(B972&lt;&gt;"Entrée",B972&lt;&gt;"Sortie"),"Type inconnu",IF(ISNA(MATCH(C972,art_ref,0)),"Référence inconnue",IF(OR(NOT(ISNUMBER(E972)),N(E972)&lt;=0),"Quantité invalide",IF(K972&lt;0,"Stock négatif",IF(AND(ISNUMBER(A971),A972&lt;A971),"Date hors ordre","OK"))))))))</f>
        <v/>
      </c>
      <c r="M972" s="39" t="str">
        <f>IF(C972="","",C972&amp;"#"&amp;COUNTIF($C$5:C972,C972))</f>
        <v/>
      </c>
    </row>
    <row r="973">
      <c r="A973" s="41" t="n"/>
      <c r="B973" s="37" t="n"/>
      <c r="C973" s="37" t="n"/>
      <c r="D973" s="39" t="str">
        <f>IF(C973="","",IFERROR(INDEX(art_des,MATCH(C973,art_ref,0))&amp;"","Référence inconnue"))</f>
        <v/>
      </c>
      <c r="E973" s="37" t="n"/>
      <c r="F973" s="39" t="str">
        <f>IF(C973="","",IFERROR(INDEX(art_unit,MATCH(C973,art_ref,0))&amp;"",""))</f>
        <v/>
      </c>
      <c r="G973" s="37" t="n"/>
      <c r="H973" s="37" t="n"/>
      <c r="I973" s="37" t="n"/>
      <c r="J973" s="40" t="str">
        <f>IF(OR(C973="",NOT(ISNUMBER(E973))),"",IFERROR(E973*N(INDEX(art_price,MATCH(C973,art_ref,0))),""))</f>
        <v/>
      </c>
      <c r="K973" s="39" t="str">
        <f>IF(OR(C973="",NOT(ISNUMBER(E973))),"",IFERROR(ROUND(N(INDEX(art_init,MATCH(C973,art_ref,0)))+SUMIFS($E$5:E973,$C$5:C973,C973,$B$5:B973,"Entrée")-SUMIFS($E$5:E973,$C$5:C973,C973,$B$5:B973,"Sortie"),6),""))</f>
        <v/>
      </c>
      <c r="L973" s="39" t="str">
        <f>IF(COUNTA(A973:C973,E973)=0,"",IF(COUNTA(A973:C973,E973)&lt;4,"Ligne incomplète",IF(NOT(ISNUMBER(A973)),"Date invalide",IF(AND(B973&lt;&gt;"Entrée",B973&lt;&gt;"Sortie"),"Type inconnu",IF(ISNA(MATCH(C973,art_ref,0)),"Référence inconnue",IF(OR(NOT(ISNUMBER(E973)),N(E973)&lt;=0),"Quantité invalide",IF(K973&lt;0,"Stock négatif",IF(AND(ISNUMBER(A972),A973&lt;A972),"Date hors ordre","OK"))))))))</f>
        <v/>
      </c>
      <c r="M973" s="39" t="str">
        <f>IF(C973="","",C973&amp;"#"&amp;COUNTIF($C$5:C973,C973))</f>
        <v/>
      </c>
    </row>
    <row r="974">
      <c r="A974" s="41" t="n"/>
      <c r="B974" s="37" t="n"/>
      <c r="C974" s="37" t="n"/>
      <c r="D974" s="39" t="str">
        <f>IF(C974="","",IFERROR(INDEX(art_des,MATCH(C974,art_ref,0))&amp;"","Référence inconnue"))</f>
        <v/>
      </c>
      <c r="E974" s="37" t="n"/>
      <c r="F974" s="39" t="str">
        <f>IF(C974="","",IFERROR(INDEX(art_unit,MATCH(C974,art_ref,0))&amp;"",""))</f>
        <v/>
      </c>
      <c r="G974" s="37" t="n"/>
      <c r="H974" s="37" t="n"/>
      <c r="I974" s="37" t="n"/>
      <c r="J974" s="40" t="str">
        <f>IF(OR(C974="",NOT(ISNUMBER(E974))),"",IFERROR(E974*N(INDEX(art_price,MATCH(C974,art_ref,0))),""))</f>
        <v/>
      </c>
      <c r="K974" s="39" t="str">
        <f>IF(OR(C974="",NOT(ISNUMBER(E974))),"",IFERROR(ROUND(N(INDEX(art_init,MATCH(C974,art_ref,0)))+SUMIFS($E$5:E974,$C$5:C974,C974,$B$5:B974,"Entrée")-SUMIFS($E$5:E974,$C$5:C974,C974,$B$5:B974,"Sortie"),6),""))</f>
        <v/>
      </c>
      <c r="L974" s="39" t="str">
        <f>IF(COUNTA(A974:C974,E974)=0,"",IF(COUNTA(A974:C974,E974)&lt;4,"Ligne incomplète",IF(NOT(ISNUMBER(A974)),"Date invalide",IF(AND(B974&lt;&gt;"Entrée",B974&lt;&gt;"Sortie"),"Type inconnu",IF(ISNA(MATCH(C974,art_ref,0)),"Référence inconnue",IF(OR(NOT(ISNUMBER(E974)),N(E974)&lt;=0),"Quantité invalide",IF(K974&lt;0,"Stock négatif",IF(AND(ISNUMBER(A973),A974&lt;A973),"Date hors ordre","OK"))))))))</f>
        <v/>
      </c>
      <c r="M974" s="39" t="str">
        <f>IF(C974="","",C974&amp;"#"&amp;COUNTIF($C$5:C974,C974))</f>
        <v/>
      </c>
    </row>
    <row r="975">
      <c r="A975" s="41" t="n"/>
      <c r="B975" s="37" t="n"/>
      <c r="C975" s="37" t="n"/>
      <c r="D975" s="39" t="str">
        <f>IF(C975="","",IFERROR(INDEX(art_des,MATCH(C975,art_ref,0))&amp;"","Référence inconnue"))</f>
        <v/>
      </c>
      <c r="E975" s="37" t="n"/>
      <c r="F975" s="39" t="str">
        <f>IF(C975="","",IFERROR(INDEX(art_unit,MATCH(C975,art_ref,0))&amp;"",""))</f>
        <v/>
      </c>
      <c r="G975" s="37" t="n"/>
      <c r="H975" s="37" t="n"/>
      <c r="I975" s="37" t="n"/>
      <c r="J975" s="40" t="str">
        <f>IF(OR(C975="",NOT(ISNUMBER(E975))),"",IFERROR(E975*N(INDEX(art_price,MATCH(C975,art_ref,0))),""))</f>
        <v/>
      </c>
      <c r="K975" s="39" t="str">
        <f>IF(OR(C975="",NOT(ISNUMBER(E975))),"",IFERROR(ROUND(N(INDEX(art_init,MATCH(C975,art_ref,0)))+SUMIFS($E$5:E975,$C$5:C975,C975,$B$5:B975,"Entrée")-SUMIFS($E$5:E975,$C$5:C975,C975,$B$5:B975,"Sortie"),6),""))</f>
        <v/>
      </c>
      <c r="L975" s="39" t="str">
        <f>IF(COUNTA(A975:C975,E975)=0,"",IF(COUNTA(A975:C975,E975)&lt;4,"Ligne incomplète",IF(NOT(ISNUMBER(A975)),"Date invalide",IF(AND(B975&lt;&gt;"Entrée",B975&lt;&gt;"Sortie"),"Type inconnu",IF(ISNA(MATCH(C975,art_ref,0)),"Référence inconnue",IF(OR(NOT(ISNUMBER(E975)),N(E975)&lt;=0),"Quantité invalide",IF(K975&lt;0,"Stock négatif",IF(AND(ISNUMBER(A974),A975&lt;A974),"Date hors ordre","OK"))))))))</f>
        <v/>
      </c>
      <c r="M975" s="39" t="str">
        <f>IF(C975="","",C975&amp;"#"&amp;COUNTIF($C$5:C975,C975))</f>
        <v/>
      </c>
    </row>
    <row r="976">
      <c r="A976" s="41" t="n"/>
      <c r="B976" s="37" t="n"/>
      <c r="C976" s="37" t="n"/>
      <c r="D976" s="39" t="str">
        <f>IF(C976="","",IFERROR(INDEX(art_des,MATCH(C976,art_ref,0))&amp;"","Référence inconnue"))</f>
        <v/>
      </c>
      <c r="E976" s="37" t="n"/>
      <c r="F976" s="39" t="str">
        <f>IF(C976="","",IFERROR(INDEX(art_unit,MATCH(C976,art_ref,0))&amp;"",""))</f>
        <v/>
      </c>
      <c r="G976" s="37" t="n"/>
      <c r="H976" s="37" t="n"/>
      <c r="I976" s="37" t="n"/>
      <c r="J976" s="40" t="str">
        <f>IF(OR(C976="",NOT(ISNUMBER(E976))),"",IFERROR(E976*N(INDEX(art_price,MATCH(C976,art_ref,0))),""))</f>
        <v/>
      </c>
      <c r="K976" s="39" t="str">
        <f>IF(OR(C976="",NOT(ISNUMBER(E976))),"",IFERROR(ROUND(N(INDEX(art_init,MATCH(C976,art_ref,0)))+SUMIFS($E$5:E976,$C$5:C976,C976,$B$5:B976,"Entrée")-SUMIFS($E$5:E976,$C$5:C976,C976,$B$5:B976,"Sortie"),6),""))</f>
        <v/>
      </c>
      <c r="L976" s="39" t="str">
        <f>IF(COUNTA(A976:C976,E976)=0,"",IF(COUNTA(A976:C976,E976)&lt;4,"Ligne incomplète",IF(NOT(ISNUMBER(A976)),"Date invalide",IF(AND(B976&lt;&gt;"Entrée",B976&lt;&gt;"Sortie"),"Type inconnu",IF(ISNA(MATCH(C976,art_ref,0)),"Référence inconnue",IF(OR(NOT(ISNUMBER(E976)),N(E976)&lt;=0),"Quantité invalide",IF(K976&lt;0,"Stock négatif",IF(AND(ISNUMBER(A975),A976&lt;A975),"Date hors ordre","OK"))))))))</f>
        <v/>
      </c>
      <c r="M976" s="39" t="str">
        <f>IF(C976="","",C976&amp;"#"&amp;COUNTIF($C$5:C976,C976))</f>
        <v/>
      </c>
    </row>
    <row r="977">
      <c r="A977" s="41" t="n"/>
      <c r="B977" s="37" t="n"/>
      <c r="C977" s="37" t="n"/>
      <c r="D977" s="39" t="str">
        <f>IF(C977="","",IFERROR(INDEX(art_des,MATCH(C977,art_ref,0))&amp;"","Référence inconnue"))</f>
        <v/>
      </c>
      <c r="E977" s="37" t="n"/>
      <c r="F977" s="39" t="str">
        <f>IF(C977="","",IFERROR(INDEX(art_unit,MATCH(C977,art_ref,0))&amp;"",""))</f>
        <v/>
      </c>
      <c r="G977" s="37" t="n"/>
      <c r="H977" s="37" t="n"/>
      <c r="I977" s="37" t="n"/>
      <c r="J977" s="40" t="str">
        <f>IF(OR(C977="",NOT(ISNUMBER(E977))),"",IFERROR(E977*N(INDEX(art_price,MATCH(C977,art_ref,0))),""))</f>
        <v/>
      </c>
      <c r="K977" s="39" t="str">
        <f>IF(OR(C977="",NOT(ISNUMBER(E977))),"",IFERROR(ROUND(N(INDEX(art_init,MATCH(C977,art_ref,0)))+SUMIFS($E$5:E977,$C$5:C977,C977,$B$5:B977,"Entrée")-SUMIFS($E$5:E977,$C$5:C977,C977,$B$5:B977,"Sortie"),6),""))</f>
        <v/>
      </c>
      <c r="L977" s="39" t="str">
        <f>IF(COUNTA(A977:C977,E977)=0,"",IF(COUNTA(A977:C977,E977)&lt;4,"Ligne incomplète",IF(NOT(ISNUMBER(A977)),"Date invalide",IF(AND(B977&lt;&gt;"Entrée",B977&lt;&gt;"Sortie"),"Type inconnu",IF(ISNA(MATCH(C977,art_ref,0)),"Référence inconnue",IF(OR(NOT(ISNUMBER(E977)),N(E977)&lt;=0),"Quantité invalide",IF(K977&lt;0,"Stock négatif",IF(AND(ISNUMBER(A976),A977&lt;A976),"Date hors ordre","OK"))))))))</f>
        <v/>
      </c>
      <c r="M977" s="39" t="str">
        <f>IF(C977="","",C977&amp;"#"&amp;COUNTIF($C$5:C977,C977))</f>
        <v/>
      </c>
    </row>
    <row r="978">
      <c r="A978" s="41" t="n"/>
      <c r="B978" s="37" t="n"/>
      <c r="C978" s="37" t="n"/>
      <c r="D978" s="39" t="str">
        <f>IF(C978="","",IFERROR(INDEX(art_des,MATCH(C978,art_ref,0))&amp;"","Référence inconnue"))</f>
        <v/>
      </c>
      <c r="E978" s="37" t="n"/>
      <c r="F978" s="39" t="str">
        <f>IF(C978="","",IFERROR(INDEX(art_unit,MATCH(C978,art_ref,0))&amp;"",""))</f>
        <v/>
      </c>
      <c r="G978" s="37" t="n"/>
      <c r="H978" s="37" t="n"/>
      <c r="I978" s="37" t="n"/>
      <c r="J978" s="40" t="str">
        <f>IF(OR(C978="",NOT(ISNUMBER(E978))),"",IFERROR(E978*N(INDEX(art_price,MATCH(C978,art_ref,0))),""))</f>
        <v/>
      </c>
      <c r="K978" s="39" t="str">
        <f>IF(OR(C978="",NOT(ISNUMBER(E978))),"",IFERROR(ROUND(N(INDEX(art_init,MATCH(C978,art_ref,0)))+SUMIFS($E$5:E978,$C$5:C978,C978,$B$5:B978,"Entrée")-SUMIFS($E$5:E978,$C$5:C978,C978,$B$5:B978,"Sortie"),6),""))</f>
        <v/>
      </c>
      <c r="L978" s="39" t="str">
        <f>IF(COUNTA(A978:C978,E978)=0,"",IF(COUNTA(A978:C978,E978)&lt;4,"Ligne incomplète",IF(NOT(ISNUMBER(A978)),"Date invalide",IF(AND(B978&lt;&gt;"Entrée",B978&lt;&gt;"Sortie"),"Type inconnu",IF(ISNA(MATCH(C978,art_ref,0)),"Référence inconnue",IF(OR(NOT(ISNUMBER(E978)),N(E978)&lt;=0),"Quantité invalide",IF(K978&lt;0,"Stock négatif",IF(AND(ISNUMBER(A977),A978&lt;A977),"Date hors ordre","OK"))))))))</f>
        <v/>
      </c>
      <c r="M978" s="39" t="str">
        <f>IF(C978="","",C978&amp;"#"&amp;COUNTIF($C$5:C978,C978))</f>
        <v/>
      </c>
    </row>
    <row r="979">
      <c r="A979" s="41" t="n"/>
      <c r="B979" s="37" t="n"/>
      <c r="C979" s="37" t="n"/>
      <c r="D979" s="39" t="str">
        <f>IF(C979="","",IFERROR(INDEX(art_des,MATCH(C979,art_ref,0))&amp;"","Référence inconnue"))</f>
        <v/>
      </c>
      <c r="E979" s="37" t="n"/>
      <c r="F979" s="39" t="str">
        <f>IF(C979="","",IFERROR(INDEX(art_unit,MATCH(C979,art_ref,0))&amp;"",""))</f>
        <v/>
      </c>
      <c r="G979" s="37" t="n"/>
      <c r="H979" s="37" t="n"/>
      <c r="I979" s="37" t="n"/>
      <c r="J979" s="40" t="str">
        <f>IF(OR(C979="",NOT(ISNUMBER(E979))),"",IFERROR(E979*N(INDEX(art_price,MATCH(C979,art_ref,0))),""))</f>
        <v/>
      </c>
      <c r="K979" s="39" t="str">
        <f>IF(OR(C979="",NOT(ISNUMBER(E979))),"",IFERROR(ROUND(N(INDEX(art_init,MATCH(C979,art_ref,0)))+SUMIFS($E$5:E979,$C$5:C979,C979,$B$5:B979,"Entrée")-SUMIFS($E$5:E979,$C$5:C979,C979,$B$5:B979,"Sortie"),6),""))</f>
        <v/>
      </c>
      <c r="L979" s="39" t="str">
        <f>IF(COUNTA(A979:C979,E979)=0,"",IF(COUNTA(A979:C979,E979)&lt;4,"Ligne incomplète",IF(NOT(ISNUMBER(A979)),"Date invalide",IF(AND(B979&lt;&gt;"Entrée",B979&lt;&gt;"Sortie"),"Type inconnu",IF(ISNA(MATCH(C979,art_ref,0)),"Référence inconnue",IF(OR(NOT(ISNUMBER(E979)),N(E979)&lt;=0),"Quantité invalide",IF(K979&lt;0,"Stock négatif",IF(AND(ISNUMBER(A978),A979&lt;A978),"Date hors ordre","OK"))))))))</f>
        <v/>
      </c>
      <c r="M979" s="39" t="str">
        <f>IF(C979="","",C979&amp;"#"&amp;COUNTIF($C$5:C979,C979))</f>
        <v/>
      </c>
    </row>
    <row r="980">
      <c r="A980" s="41" t="n"/>
      <c r="B980" s="37" t="n"/>
      <c r="C980" s="37" t="n"/>
      <c r="D980" s="39" t="str">
        <f>IF(C980="","",IFERROR(INDEX(art_des,MATCH(C980,art_ref,0))&amp;"","Référence inconnue"))</f>
        <v/>
      </c>
      <c r="E980" s="37" t="n"/>
      <c r="F980" s="39" t="str">
        <f>IF(C980="","",IFERROR(INDEX(art_unit,MATCH(C980,art_ref,0))&amp;"",""))</f>
        <v/>
      </c>
      <c r="G980" s="37" t="n"/>
      <c r="H980" s="37" t="n"/>
      <c r="I980" s="37" t="n"/>
      <c r="J980" s="40" t="str">
        <f>IF(OR(C980="",NOT(ISNUMBER(E980))),"",IFERROR(E980*N(INDEX(art_price,MATCH(C980,art_ref,0))),""))</f>
        <v/>
      </c>
      <c r="K980" s="39" t="str">
        <f>IF(OR(C980="",NOT(ISNUMBER(E980))),"",IFERROR(ROUND(N(INDEX(art_init,MATCH(C980,art_ref,0)))+SUMIFS($E$5:E980,$C$5:C980,C980,$B$5:B980,"Entrée")-SUMIFS($E$5:E980,$C$5:C980,C980,$B$5:B980,"Sortie"),6),""))</f>
        <v/>
      </c>
      <c r="L980" s="39" t="str">
        <f>IF(COUNTA(A980:C980,E980)=0,"",IF(COUNTA(A980:C980,E980)&lt;4,"Ligne incomplète",IF(NOT(ISNUMBER(A980)),"Date invalide",IF(AND(B980&lt;&gt;"Entrée",B980&lt;&gt;"Sortie"),"Type inconnu",IF(ISNA(MATCH(C980,art_ref,0)),"Référence inconnue",IF(OR(NOT(ISNUMBER(E980)),N(E980)&lt;=0),"Quantité invalide",IF(K980&lt;0,"Stock négatif",IF(AND(ISNUMBER(A979),A980&lt;A979),"Date hors ordre","OK"))))))))</f>
        <v/>
      </c>
      <c r="M980" s="39" t="str">
        <f>IF(C980="","",C980&amp;"#"&amp;COUNTIF($C$5:C980,C980))</f>
        <v/>
      </c>
    </row>
    <row r="981">
      <c r="A981" s="41" t="n"/>
      <c r="B981" s="37" t="n"/>
      <c r="C981" s="37" t="n"/>
      <c r="D981" s="39" t="str">
        <f>IF(C981="","",IFERROR(INDEX(art_des,MATCH(C981,art_ref,0))&amp;"","Référence inconnue"))</f>
        <v/>
      </c>
      <c r="E981" s="37" t="n"/>
      <c r="F981" s="39" t="str">
        <f>IF(C981="","",IFERROR(INDEX(art_unit,MATCH(C981,art_ref,0))&amp;"",""))</f>
        <v/>
      </c>
      <c r="G981" s="37" t="n"/>
      <c r="H981" s="37" t="n"/>
      <c r="I981" s="37" t="n"/>
      <c r="J981" s="40" t="str">
        <f>IF(OR(C981="",NOT(ISNUMBER(E981))),"",IFERROR(E981*N(INDEX(art_price,MATCH(C981,art_ref,0))),""))</f>
        <v/>
      </c>
      <c r="K981" s="39" t="str">
        <f>IF(OR(C981="",NOT(ISNUMBER(E981))),"",IFERROR(ROUND(N(INDEX(art_init,MATCH(C981,art_ref,0)))+SUMIFS($E$5:E981,$C$5:C981,C981,$B$5:B981,"Entrée")-SUMIFS($E$5:E981,$C$5:C981,C981,$B$5:B981,"Sortie"),6),""))</f>
        <v/>
      </c>
      <c r="L981" s="39" t="str">
        <f>IF(COUNTA(A981:C981,E981)=0,"",IF(COUNTA(A981:C981,E981)&lt;4,"Ligne incomplète",IF(NOT(ISNUMBER(A981)),"Date invalide",IF(AND(B981&lt;&gt;"Entrée",B981&lt;&gt;"Sortie"),"Type inconnu",IF(ISNA(MATCH(C981,art_ref,0)),"Référence inconnue",IF(OR(NOT(ISNUMBER(E981)),N(E981)&lt;=0),"Quantité invalide",IF(K981&lt;0,"Stock négatif",IF(AND(ISNUMBER(A980),A981&lt;A980),"Date hors ordre","OK"))))))))</f>
        <v/>
      </c>
      <c r="M981" s="39" t="str">
        <f>IF(C981="","",C981&amp;"#"&amp;COUNTIF($C$5:C981,C981))</f>
        <v/>
      </c>
    </row>
    <row r="982">
      <c r="A982" s="41" t="n"/>
      <c r="B982" s="37" t="n"/>
      <c r="C982" s="37" t="n"/>
      <c r="D982" s="39" t="str">
        <f>IF(C982="","",IFERROR(INDEX(art_des,MATCH(C982,art_ref,0))&amp;"","Référence inconnue"))</f>
        <v/>
      </c>
      <c r="E982" s="37" t="n"/>
      <c r="F982" s="39" t="str">
        <f>IF(C982="","",IFERROR(INDEX(art_unit,MATCH(C982,art_ref,0))&amp;"",""))</f>
        <v/>
      </c>
      <c r="G982" s="37" t="n"/>
      <c r="H982" s="37" t="n"/>
      <c r="I982" s="37" t="n"/>
      <c r="J982" s="40" t="str">
        <f>IF(OR(C982="",NOT(ISNUMBER(E982))),"",IFERROR(E982*N(INDEX(art_price,MATCH(C982,art_ref,0))),""))</f>
        <v/>
      </c>
      <c r="K982" s="39" t="str">
        <f>IF(OR(C982="",NOT(ISNUMBER(E982))),"",IFERROR(ROUND(N(INDEX(art_init,MATCH(C982,art_ref,0)))+SUMIFS($E$5:E982,$C$5:C982,C982,$B$5:B982,"Entrée")-SUMIFS($E$5:E982,$C$5:C982,C982,$B$5:B982,"Sortie"),6),""))</f>
        <v/>
      </c>
      <c r="L982" s="39" t="str">
        <f>IF(COUNTA(A982:C982,E982)=0,"",IF(COUNTA(A982:C982,E982)&lt;4,"Ligne incomplète",IF(NOT(ISNUMBER(A982)),"Date invalide",IF(AND(B982&lt;&gt;"Entrée",B982&lt;&gt;"Sortie"),"Type inconnu",IF(ISNA(MATCH(C982,art_ref,0)),"Référence inconnue",IF(OR(NOT(ISNUMBER(E982)),N(E982)&lt;=0),"Quantité invalide",IF(K982&lt;0,"Stock négatif",IF(AND(ISNUMBER(A981),A982&lt;A981),"Date hors ordre","OK"))))))))</f>
        <v/>
      </c>
      <c r="M982" s="39" t="str">
        <f>IF(C982="","",C982&amp;"#"&amp;COUNTIF($C$5:C982,C982))</f>
        <v/>
      </c>
    </row>
    <row r="983">
      <c r="A983" s="41" t="n"/>
      <c r="B983" s="37" t="n"/>
      <c r="C983" s="37" t="n"/>
      <c r="D983" s="39" t="str">
        <f>IF(C983="","",IFERROR(INDEX(art_des,MATCH(C983,art_ref,0))&amp;"","Référence inconnue"))</f>
        <v/>
      </c>
      <c r="E983" s="37" t="n"/>
      <c r="F983" s="39" t="str">
        <f>IF(C983="","",IFERROR(INDEX(art_unit,MATCH(C983,art_ref,0))&amp;"",""))</f>
        <v/>
      </c>
      <c r="G983" s="37" t="n"/>
      <c r="H983" s="37" t="n"/>
      <c r="I983" s="37" t="n"/>
      <c r="J983" s="40" t="str">
        <f>IF(OR(C983="",NOT(ISNUMBER(E983))),"",IFERROR(E983*N(INDEX(art_price,MATCH(C983,art_ref,0))),""))</f>
        <v/>
      </c>
      <c r="K983" s="39" t="str">
        <f>IF(OR(C983="",NOT(ISNUMBER(E983))),"",IFERROR(ROUND(N(INDEX(art_init,MATCH(C983,art_ref,0)))+SUMIFS($E$5:E983,$C$5:C983,C983,$B$5:B983,"Entrée")-SUMIFS($E$5:E983,$C$5:C983,C983,$B$5:B983,"Sortie"),6),""))</f>
        <v/>
      </c>
      <c r="L983" s="39" t="str">
        <f>IF(COUNTA(A983:C983,E983)=0,"",IF(COUNTA(A983:C983,E983)&lt;4,"Ligne incomplète",IF(NOT(ISNUMBER(A983)),"Date invalide",IF(AND(B983&lt;&gt;"Entrée",B983&lt;&gt;"Sortie"),"Type inconnu",IF(ISNA(MATCH(C983,art_ref,0)),"Référence inconnue",IF(OR(NOT(ISNUMBER(E983)),N(E983)&lt;=0),"Quantité invalide",IF(K983&lt;0,"Stock négatif",IF(AND(ISNUMBER(A982),A983&lt;A982),"Date hors ordre","OK"))))))))</f>
        <v/>
      </c>
      <c r="M983" s="39" t="str">
        <f>IF(C983="","",C983&amp;"#"&amp;COUNTIF($C$5:C983,C983))</f>
        <v/>
      </c>
    </row>
    <row r="984">
      <c r="A984" s="41" t="n"/>
      <c r="B984" s="37" t="n"/>
      <c r="C984" s="37" t="n"/>
      <c r="D984" s="39" t="str">
        <f>IF(C984="","",IFERROR(INDEX(art_des,MATCH(C984,art_ref,0))&amp;"","Référence inconnue"))</f>
        <v/>
      </c>
      <c r="E984" s="37" t="n"/>
      <c r="F984" s="39" t="str">
        <f>IF(C984="","",IFERROR(INDEX(art_unit,MATCH(C984,art_ref,0))&amp;"",""))</f>
        <v/>
      </c>
      <c r="G984" s="37" t="n"/>
      <c r="H984" s="37" t="n"/>
      <c r="I984" s="37" t="n"/>
      <c r="J984" s="40" t="str">
        <f>IF(OR(C984="",NOT(ISNUMBER(E984))),"",IFERROR(E984*N(INDEX(art_price,MATCH(C984,art_ref,0))),""))</f>
        <v/>
      </c>
      <c r="K984" s="39" t="str">
        <f>IF(OR(C984="",NOT(ISNUMBER(E984))),"",IFERROR(ROUND(N(INDEX(art_init,MATCH(C984,art_ref,0)))+SUMIFS($E$5:E984,$C$5:C984,C984,$B$5:B984,"Entrée")-SUMIFS($E$5:E984,$C$5:C984,C984,$B$5:B984,"Sortie"),6),""))</f>
        <v/>
      </c>
      <c r="L984" s="39" t="str">
        <f>IF(COUNTA(A984:C984,E984)=0,"",IF(COUNTA(A984:C984,E984)&lt;4,"Ligne incomplète",IF(NOT(ISNUMBER(A984)),"Date invalide",IF(AND(B984&lt;&gt;"Entrée",B984&lt;&gt;"Sortie"),"Type inconnu",IF(ISNA(MATCH(C984,art_ref,0)),"Référence inconnue",IF(OR(NOT(ISNUMBER(E984)),N(E984)&lt;=0),"Quantité invalide",IF(K984&lt;0,"Stock négatif",IF(AND(ISNUMBER(A983),A984&lt;A983),"Date hors ordre","OK"))))))))</f>
        <v/>
      </c>
      <c r="M984" s="39" t="str">
        <f>IF(C984="","",C984&amp;"#"&amp;COUNTIF($C$5:C984,C984))</f>
        <v/>
      </c>
    </row>
    <row r="985">
      <c r="A985" s="41" t="n"/>
      <c r="B985" s="37" t="n"/>
      <c r="C985" s="37" t="n"/>
      <c r="D985" s="39" t="str">
        <f>IF(C985="","",IFERROR(INDEX(art_des,MATCH(C985,art_ref,0))&amp;"","Référence inconnue"))</f>
        <v/>
      </c>
      <c r="E985" s="37" t="n"/>
      <c r="F985" s="39" t="str">
        <f>IF(C985="","",IFERROR(INDEX(art_unit,MATCH(C985,art_ref,0))&amp;"",""))</f>
        <v/>
      </c>
      <c r="G985" s="37" t="n"/>
      <c r="H985" s="37" t="n"/>
      <c r="I985" s="37" t="n"/>
      <c r="J985" s="40" t="str">
        <f>IF(OR(C985="",NOT(ISNUMBER(E985))),"",IFERROR(E985*N(INDEX(art_price,MATCH(C985,art_ref,0))),""))</f>
        <v/>
      </c>
      <c r="K985" s="39" t="str">
        <f>IF(OR(C985="",NOT(ISNUMBER(E985))),"",IFERROR(ROUND(N(INDEX(art_init,MATCH(C985,art_ref,0)))+SUMIFS($E$5:E985,$C$5:C985,C985,$B$5:B985,"Entrée")-SUMIFS($E$5:E985,$C$5:C985,C985,$B$5:B985,"Sortie"),6),""))</f>
        <v/>
      </c>
      <c r="L985" s="39" t="str">
        <f>IF(COUNTA(A985:C985,E985)=0,"",IF(COUNTA(A985:C985,E985)&lt;4,"Ligne incomplète",IF(NOT(ISNUMBER(A985)),"Date invalide",IF(AND(B985&lt;&gt;"Entrée",B985&lt;&gt;"Sortie"),"Type inconnu",IF(ISNA(MATCH(C985,art_ref,0)),"Référence inconnue",IF(OR(NOT(ISNUMBER(E985)),N(E985)&lt;=0),"Quantité invalide",IF(K985&lt;0,"Stock négatif",IF(AND(ISNUMBER(A984),A985&lt;A984),"Date hors ordre","OK"))))))))</f>
        <v/>
      </c>
      <c r="M985" s="39" t="str">
        <f>IF(C985="","",C985&amp;"#"&amp;COUNTIF($C$5:C985,C985))</f>
        <v/>
      </c>
    </row>
    <row r="986">
      <c r="A986" s="41" t="n"/>
      <c r="B986" s="37" t="n"/>
      <c r="C986" s="37" t="n"/>
      <c r="D986" s="39" t="str">
        <f>IF(C986="","",IFERROR(INDEX(art_des,MATCH(C986,art_ref,0))&amp;"","Référence inconnue"))</f>
        <v/>
      </c>
      <c r="E986" s="37" t="n"/>
      <c r="F986" s="39" t="str">
        <f>IF(C986="","",IFERROR(INDEX(art_unit,MATCH(C986,art_ref,0))&amp;"",""))</f>
        <v/>
      </c>
      <c r="G986" s="37" t="n"/>
      <c r="H986" s="37" t="n"/>
      <c r="I986" s="37" t="n"/>
      <c r="J986" s="40" t="str">
        <f>IF(OR(C986="",NOT(ISNUMBER(E986))),"",IFERROR(E986*N(INDEX(art_price,MATCH(C986,art_ref,0))),""))</f>
        <v/>
      </c>
      <c r="K986" s="39" t="str">
        <f>IF(OR(C986="",NOT(ISNUMBER(E986))),"",IFERROR(ROUND(N(INDEX(art_init,MATCH(C986,art_ref,0)))+SUMIFS($E$5:E986,$C$5:C986,C986,$B$5:B986,"Entrée")-SUMIFS($E$5:E986,$C$5:C986,C986,$B$5:B986,"Sortie"),6),""))</f>
        <v/>
      </c>
      <c r="L986" s="39" t="str">
        <f>IF(COUNTA(A986:C986,E986)=0,"",IF(COUNTA(A986:C986,E986)&lt;4,"Ligne incomplète",IF(NOT(ISNUMBER(A986)),"Date invalide",IF(AND(B986&lt;&gt;"Entrée",B986&lt;&gt;"Sortie"),"Type inconnu",IF(ISNA(MATCH(C986,art_ref,0)),"Référence inconnue",IF(OR(NOT(ISNUMBER(E986)),N(E986)&lt;=0),"Quantité invalide",IF(K986&lt;0,"Stock négatif",IF(AND(ISNUMBER(A985),A986&lt;A985),"Date hors ordre","OK"))))))))</f>
        <v/>
      </c>
      <c r="M986" s="39" t="str">
        <f>IF(C986="","",C986&amp;"#"&amp;COUNTIF($C$5:C986,C986))</f>
        <v/>
      </c>
    </row>
    <row r="987">
      <c r="A987" s="41" t="n"/>
      <c r="B987" s="37" t="n"/>
      <c r="C987" s="37" t="n"/>
      <c r="D987" s="39" t="str">
        <f>IF(C987="","",IFERROR(INDEX(art_des,MATCH(C987,art_ref,0))&amp;"","Référence inconnue"))</f>
        <v/>
      </c>
      <c r="E987" s="37" t="n"/>
      <c r="F987" s="39" t="str">
        <f>IF(C987="","",IFERROR(INDEX(art_unit,MATCH(C987,art_ref,0))&amp;"",""))</f>
        <v/>
      </c>
      <c r="G987" s="37" t="n"/>
      <c r="H987" s="37" t="n"/>
      <c r="I987" s="37" t="n"/>
      <c r="J987" s="40" t="str">
        <f>IF(OR(C987="",NOT(ISNUMBER(E987))),"",IFERROR(E987*N(INDEX(art_price,MATCH(C987,art_ref,0))),""))</f>
        <v/>
      </c>
      <c r="K987" s="39" t="str">
        <f>IF(OR(C987="",NOT(ISNUMBER(E987))),"",IFERROR(ROUND(N(INDEX(art_init,MATCH(C987,art_ref,0)))+SUMIFS($E$5:E987,$C$5:C987,C987,$B$5:B987,"Entrée")-SUMIFS($E$5:E987,$C$5:C987,C987,$B$5:B987,"Sortie"),6),""))</f>
        <v/>
      </c>
      <c r="L987" s="39" t="str">
        <f>IF(COUNTA(A987:C987,E987)=0,"",IF(COUNTA(A987:C987,E987)&lt;4,"Ligne incomplète",IF(NOT(ISNUMBER(A987)),"Date invalide",IF(AND(B987&lt;&gt;"Entrée",B987&lt;&gt;"Sortie"),"Type inconnu",IF(ISNA(MATCH(C987,art_ref,0)),"Référence inconnue",IF(OR(NOT(ISNUMBER(E987)),N(E987)&lt;=0),"Quantité invalide",IF(K987&lt;0,"Stock négatif",IF(AND(ISNUMBER(A986),A987&lt;A986),"Date hors ordre","OK"))))))))</f>
        <v/>
      </c>
      <c r="M987" s="39" t="str">
        <f>IF(C987="","",C987&amp;"#"&amp;COUNTIF($C$5:C987,C987))</f>
        <v/>
      </c>
    </row>
    <row r="988">
      <c r="A988" s="41" t="n"/>
      <c r="B988" s="37" t="n"/>
      <c r="C988" s="37" t="n"/>
      <c r="D988" s="39" t="str">
        <f>IF(C988="","",IFERROR(INDEX(art_des,MATCH(C988,art_ref,0))&amp;"","Référence inconnue"))</f>
        <v/>
      </c>
      <c r="E988" s="37" t="n"/>
      <c r="F988" s="39" t="str">
        <f>IF(C988="","",IFERROR(INDEX(art_unit,MATCH(C988,art_ref,0))&amp;"",""))</f>
        <v/>
      </c>
      <c r="G988" s="37" t="n"/>
      <c r="H988" s="37" t="n"/>
      <c r="I988" s="37" t="n"/>
      <c r="J988" s="40" t="str">
        <f>IF(OR(C988="",NOT(ISNUMBER(E988))),"",IFERROR(E988*N(INDEX(art_price,MATCH(C988,art_ref,0))),""))</f>
        <v/>
      </c>
      <c r="K988" s="39" t="str">
        <f>IF(OR(C988="",NOT(ISNUMBER(E988))),"",IFERROR(ROUND(N(INDEX(art_init,MATCH(C988,art_ref,0)))+SUMIFS($E$5:E988,$C$5:C988,C988,$B$5:B988,"Entrée")-SUMIFS($E$5:E988,$C$5:C988,C988,$B$5:B988,"Sortie"),6),""))</f>
        <v/>
      </c>
      <c r="L988" s="39" t="str">
        <f>IF(COUNTA(A988:C988,E988)=0,"",IF(COUNTA(A988:C988,E988)&lt;4,"Ligne incomplète",IF(NOT(ISNUMBER(A988)),"Date invalide",IF(AND(B988&lt;&gt;"Entrée",B988&lt;&gt;"Sortie"),"Type inconnu",IF(ISNA(MATCH(C988,art_ref,0)),"Référence inconnue",IF(OR(NOT(ISNUMBER(E988)),N(E988)&lt;=0),"Quantité invalide",IF(K988&lt;0,"Stock négatif",IF(AND(ISNUMBER(A987),A988&lt;A987),"Date hors ordre","OK"))))))))</f>
        <v/>
      </c>
      <c r="M988" s="39" t="str">
        <f>IF(C988="","",C988&amp;"#"&amp;COUNTIF($C$5:C988,C988))</f>
        <v/>
      </c>
    </row>
    <row r="989">
      <c r="A989" s="41" t="n"/>
      <c r="B989" s="37" t="n"/>
      <c r="C989" s="37" t="n"/>
      <c r="D989" s="39" t="str">
        <f>IF(C989="","",IFERROR(INDEX(art_des,MATCH(C989,art_ref,0))&amp;"","Référence inconnue"))</f>
        <v/>
      </c>
      <c r="E989" s="37" t="n"/>
      <c r="F989" s="39" t="str">
        <f>IF(C989="","",IFERROR(INDEX(art_unit,MATCH(C989,art_ref,0))&amp;"",""))</f>
        <v/>
      </c>
      <c r="G989" s="37" t="n"/>
      <c r="H989" s="37" t="n"/>
      <c r="I989" s="37" t="n"/>
      <c r="J989" s="40" t="str">
        <f>IF(OR(C989="",NOT(ISNUMBER(E989))),"",IFERROR(E989*N(INDEX(art_price,MATCH(C989,art_ref,0))),""))</f>
        <v/>
      </c>
      <c r="K989" s="39" t="str">
        <f>IF(OR(C989="",NOT(ISNUMBER(E989))),"",IFERROR(ROUND(N(INDEX(art_init,MATCH(C989,art_ref,0)))+SUMIFS($E$5:E989,$C$5:C989,C989,$B$5:B989,"Entrée")-SUMIFS($E$5:E989,$C$5:C989,C989,$B$5:B989,"Sortie"),6),""))</f>
        <v/>
      </c>
      <c r="L989" s="39" t="str">
        <f>IF(COUNTA(A989:C989,E989)=0,"",IF(COUNTA(A989:C989,E989)&lt;4,"Ligne incomplète",IF(NOT(ISNUMBER(A989)),"Date invalide",IF(AND(B989&lt;&gt;"Entrée",B989&lt;&gt;"Sortie"),"Type inconnu",IF(ISNA(MATCH(C989,art_ref,0)),"Référence inconnue",IF(OR(NOT(ISNUMBER(E989)),N(E989)&lt;=0),"Quantité invalide",IF(K989&lt;0,"Stock négatif",IF(AND(ISNUMBER(A988),A989&lt;A988),"Date hors ordre","OK"))))))))</f>
        <v/>
      </c>
      <c r="M989" s="39" t="str">
        <f>IF(C989="","",C989&amp;"#"&amp;COUNTIF($C$5:C989,C989))</f>
        <v/>
      </c>
    </row>
    <row r="990">
      <c r="A990" s="41" t="n"/>
      <c r="B990" s="37" t="n"/>
      <c r="C990" s="37" t="n"/>
      <c r="D990" s="39" t="str">
        <f>IF(C990="","",IFERROR(INDEX(art_des,MATCH(C990,art_ref,0))&amp;"","Référence inconnue"))</f>
        <v/>
      </c>
      <c r="E990" s="37" t="n"/>
      <c r="F990" s="39" t="str">
        <f>IF(C990="","",IFERROR(INDEX(art_unit,MATCH(C990,art_ref,0))&amp;"",""))</f>
        <v/>
      </c>
      <c r="G990" s="37" t="n"/>
      <c r="H990" s="37" t="n"/>
      <c r="I990" s="37" t="n"/>
      <c r="J990" s="40" t="str">
        <f>IF(OR(C990="",NOT(ISNUMBER(E990))),"",IFERROR(E990*N(INDEX(art_price,MATCH(C990,art_ref,0))),""))</f>
        <v/>
      </c>
      <c r="K990" s="39" t="str">
        <f>IF(OR(C990="",NOT(ISNUMBER(E990))),"",IFERROR(ROUND(N(INDEX(art_init,MATCH(C990,art_ref,0)))+SUMIFS($E$5:E990,$C$5:C990,C990,$B$5:B990,"Entrée")-SUMIFS($E$5:E990,$C$5:C990,C990,$B$5:B990,"Sortie"),6),""))</f>
        <v/>
      </c>
      <c r="L990" s="39" t="str">
        <f>IF(COUNTA(A990:C990,E990)=0,"",IF(COUNTA(A990:C990,E990)&lt;4,"Ligne incomplète",IF(NOT(ISNUMBER(A990)),"Date invalide",IF(AND(B990&lt;&gt;"Entrée",B990&lt;&gt;"Sortie"),"Type inconnu",IF(ISNA(MATCH(C990,art_ref,0)),"Référence inconnue",IF(OR(NOT(ISNUMBER(E990)),N(E990)&lt;=0),"Quantité invalide",IF(K990&lt;0,"Stock négatif",IF(AND(ISNUMBER(A989),A990&lt;A989),"Date hors ordre","OK"))))))))</f>
        <v/>
      </c>
      <c r="M990" s="39" t="str">
        <f>IF(C990="","",C990&amp;"#"&amp;COUNTIF($C$5:C990,C990))</f>
        <v/>
      </c>
    </row>
    <row r="991">
      <c r="A991" s="41" t="n"/>
      <c r="B991" s="37" t="n"/>
      <c r="C991" s="37" t="n"/>
      <c r="D991" s="39" t="str">
        <f>IF(C991="","",IFERROR(INDEX(art_des,MATCH(C991,art_ref,0))&amp;"","Référence inconnue"))</f>
        <v/>
      </c>
      <c r="E991" s="37" t="n"/>
      <c r="F991" s="39" t="str">
        <f>IF(C991="","",IFERROR(INDEX(art_unit,MATCH(C991,art_ref,0))&amp;"",""))</f>
        <v/>
      </c>
      <c r="G991" s="37" t="n"/>
      <c r="H991" s="37" t="n"/>
      <c r="I991" s="37" t="n"/>
      <c r="J991" s="40" t="str">
        <f>IF(OR(C991="",NOT(ISNUMBER(E991))),"",IFERROR(E991*N(INDEX(art_price,MATCH(C991,art_ref,0))),""))</f>
        <v/>
      </c>
      <c r="K991" s="39" t="str">
        <f>IF(OR(C991="",NOT(ISNUMBER(E991))),"",IFERROR(ROUND(N(INDEX(art_init,MATCH(C991,art_ref,0)))+SUMIFS($E$5:E991,$C$5:C991,C991,$B$5:B991,"Entrée")-SUMIFS($E$5:E991,$C$5:C991,C991,$B$5:B991,"Sortie"),6),""))</f>
        <v/>
      </c>
      <c r="L991" s="39" t="str">
        <f>IF(COUNTA(A991:C991,E991)=0,"",IF(COUNTA(A991:C991,E991)&lt;4,"Ligne incomplète",IF(NOT(ISNUMBER(A991)),"Date invalide",IF(AND(B991&lt;&gt;"Entrée",B991&lt;&gt;"Sortie"),"Type inconnu",IF(ISNA(MATCH(C991,art_ref,0)),"Référence inconnue",IF(OR(NOT(ISNUMBER(E991)),N(E991)&lt;=0),"Quantité invalide",IF(K991&lt;0,"Stock négatif",IF(AND(ISNUMBER(A990),A991&lt;A990),"Date hors ordre","OK"))))))))</f>
        <v/>
      </c>
      <c r="M991" s="39" t="str">
        <f>IF(C991="","",C991&amp;"#"&amp;COUNTIF($C$5:C991,C991))</f>
        <v/>
      </c>
    </row>
    <row r="992">
      <c r="A992" s="41" t="n"/>
      <c r="B992" s="37" t="n"/>
      <c r="C992" s="37" t="n"/>
      <c r="D992" s="39" t="str">
        <f>IF(C992="","",IFERROR(INDEX(art_des,MATCH(C992,art_ref,0))&amp;"","Référence inconnue"))</f>
        <v/>
      </c>
      <c r="E992" s="37" t="n"/>
      <c r="F992" s="39" t="str">
        <f>IF(C992="","",IFERROR(INDEX(art_unit,MATCH(C992,art_ref,0))&amp;"",""))</f>
        <v/>
      </c>
      <c r="G992" s="37" t="n"/>
      <c r="H992" s="37" t="n"/>
      <c r="I992" s="37" t="n"/>
      <c r="J992" s="40" t="str">
        <f>IF(OR(C992="",NOT(ISNUMBER(E992))),"",IFERROR(E992*N(INDEX(art_price,MATCH(C992,art_ref,0))),""))</f>
        <v/>
      </c>
      <c r="K992" s="39" t="str">
        <f>IF(OR(C992="",NOT(ISNUMBER(E992))),"",IFERROR(ROUND(N(INDEX(art_init,MATCH(C992,art_ref,0)))+SUMIFS($E$5:E992,$C$5:C992,C992,$B$5:B992,"Entrée")-SUMIFS($E$5:E992,$C$5:C992,C992,$B$5:B992,"Sortie"),6),""))</f>
        <v/>
      </c>
      <c r="L992" s="39" t="str">
        <f>IF(COUNTA(A992:C992,E992)=0,"",IF(COUNTA(A992:C992,E992)&lt;4,"Ligne incomplète",IF(NOT(ISNUMBER(A992)),"Date invalide",IF(AND(B992&lt;&gt;"Entrée",B992&lt;&gt;"Sortie"),"Type inconnu",IF(ISNA(MATCH(C992,art_ref,0)),"Référence inconnue",IF(OR(NOT(ISNUMBER(E992)),N(E992)&lt;=0),"Quantité invalide",IF(K992&lt;0,"Stock négatif",IF(AND(ISNUMBER(A991),A992&lt;A991),"Date hors ordre","OK"))))))))</f>
        <v/>
      </c>
      <c r="M992" s="39" t="str">
        <f>IF(C992="","",C992&amp;"#"&amp;COUNTIF($C$5:C992,C992))</f>
        <v/>
      </c>
    </row>
    <row r="993">
      <c r="A993" s="41" t="n"/>
      <c r="B993" s="37" t="n"/>
      <c r="C993" s="37" t="n"/>
      <c r="D993" s="39" t="str">
        <f>IF(C993="","",IFERROR(INDEX(art_des,MATCH(C993,art_ref,0))&amp;"","Référence inconnue"))</f>
        <v/>
      </c>
      <c r="E993" s="37" t="n"/>
      <c r="F993" s="39" t="str">
        <f>IF(C993="","",IFERROR(INDEX(art_unit,MATCH(C993,art_ref,0))&amp;"",""))</f>
        <v/>
      </c>
      <c r="G993" s="37" t="n"/>
      <c r="H993" s="37" t="n"/>
      <c r="I993" s="37" t="n"/>
      <c r="J993" s="40" t="str">
        <f>IF(OR(C993="",NOT(ISNUMBER(E993))),"",IFERROR(E993*N(INDEX(art_price,MATCH(C993,art_ref,0))),""))</f>
        <v/>
      </c>
      <c r="K993" s="39" t="str">
        <f>IF(OR(C993="",NOT(ISNUMBER(E993))),"",IFERROR(ROUND(N(INDEX(art_init,MATCH(C993,art_ref,0)))+SUMIFS($E$5:E993,$C$5:C993,C993,$B$5:B993,"Entrée")-SUMIFS($E$5:E993,$C$5:C993,C993,$B$5:B993,"Sortie"),6),""))</f>
        <v/>
      </c>
      <c r="L993" s="39" t="str">
        <f>IF(COUNTA(A993:C993,E993)=0,"",IF(COUNTA(A993:C993,E993)&lt;4,"Ligne incomplète",IF(NOT(ISNUMBER(A993)),"Date invalide",IF(AND(B993&lt;&gt;"Entrée",B993&lt;&gt;"Sortie"),"Type inconnu",IF(ISNA(MATCH(C993,art_ref,0)),"Référence inconnue",IF(OR(NOT(ISNUMBER(E993)),N(E993)&lt;=0),"Quantité invalide",IF(K993&lt;0,"Stock négatif",IF(AND(ISNUMBER(A992),A993&lt;A992),"Date hors ordre","OK"))))))))</f>
        <v/>
      </c>
      <c r="M993" s="39" t="str">
        <f>IF(C993="","",C993&amp;"#"&amp;COUNTIF($C$5:C993,C993))</f>
        <v/>
      </c>
    </row>
    <row r="994">
      <c r="A994" s="41" t="n"/>
      <c r="B994" s="37" t="n"/>
      <c r="C994" s="37" t="n"/>
      <c r="D994" s="39" t="str">
        <f>IF(C994="","",IFERROR(INDEX(art_des,MATCH(C994,art_ref,0))&amp;"","Référence inconnue"))</f>
        <v/>
      </c>
      <c r="E994" s="37" t="n"/>
      <c r="F994" s="39" t="str">
        <f>IF(C994="","",IFERROR(INDEX(art_unit,MATCH(C994,art_ref,0))&amp;"",""))</f>
        <v/>
      </c>
      <c r="G994" s="37" t="n"/>
      <c r="H994" s="37" t="n"/>
      <c r="I994" s="37" t="n"/>
      <c r="J994" s="40" t="str">
        <f>IF(OR(C994="",NOT(ISNUMBER(E994))),"",IFERROR(E994*N(INDEX(art_price,MATCH(C994,art_ref,0))),""))</f>
        <v/>
      </c>
      <c r="K994" s="39" t="str">
        <f>IF(OR(C994="",NOT(ISNUMBER(E994))),"",IFERROR(ROUND(N(INDEX(art_init,MATCH(C994,art_ref,0)))+SUMIFS($E$5:E994,$C$5:C994,C994,$B$5:B994,"Entrée")-SUMIFS($E$5:E994,$C$5:C994,C994,$B$5:B994,"Sortie"),6),""))</f>
        <v/>
      </c>
      <c r="L994" s="39" t="str">
        <f>IF(COUNTA(A994:C994,E994)=0,"",IF(COUNTA(A994:C994,E994)&lt;4,"Ligne incomplète",IF(NOT(ISNUMBER(A994)),"Date invalide",IF(AND(B994&lt;&gt;"Entrée",B994&lt;&gt;"Sortie"),"Type inconnu",IF(ISNA(MATCH(C994,art_ref,0)),"Référence inconnue",IF(OR(NOT(ISNUMBER(E994)),N(E994)&lt;=0),"Quantité invalide",IF(K994&lt;0,"Stock négatif",IF(AND(ISNUMBER(A993),A994&lt;A993),"Date hors ordre","OK"))))))))</f>
        <v/>
      </c>
      <c r="M994" s="39" t="str">
        <f>IF(C994="","",C994&amp;"#"&amp;COUNTIF($C$5:C994,C994))</f>
        <v/>
      </c>
    </row>
    <row r="995">
      <c r="A995" s="41" t="n"/>
      <c r="B995" s="37" t="n"/>
      <c r="C995" s="37" t="n"/>
      <c r="D995" s="39" t="str">
        <f>IF(C995="","",IFERROR(INDEX(art_des,MATCH(C995,art_ref,0))&amp;"","Référence inconnue"))</f>
        <v/>
      </c>
      <c r="E995" s="37" t="n"/>
      <c r="F995" s="39" t="str">
        <f>IF(C995="","",IFERROR(INDEX(art_unit,MATCH(C995,art_ref,0))&amp;"",""))</f>
        <v/>
      </c>
      <c r="G995" s="37" t="n"/>
      <c r="H995" s="37" t="n"/>
      <c r="I995" s="37" t="n"/>
      <c r="J995" s="40" t="str">
        <f>IF(OR(C995="",NOT(ISNUMBER(E995))),"",IFERROR(E995*N(INDEX(art_price,MATCH(C995,art_ref,0))),""))</f>
        <v/>
      </c>
      <c r="K995" s="39" t="str">
        <f>IF(OR(C995="",NOT(ISNUMBER(E995))),"",IFERROR(ROUND(N(INDEX(art_init,MATCH(C995,art_ref,0)))+SUMIFS($E$5:E995,$C$5:C995,C995,$B$5:B995,"Entrée")-SUMIFS($E$5:E995,$C$5:C995,C995,$B$5:B995,"Sortie"),6),""))</f>
        <v/>
      </c>
      <c r="L995" s="39" t="str">
        <f>IF(COUNTA(A995:C995,E995)=0,"",IF(COUNTA(A995:C995,E995)&lt;4,"Ligne incomplète",IF(NOT(ISNUMBER(A995)),"Date invalide",IF(AND(B995&lt;&gt;"Entrée",B995&lt;&gt;"Sortie"),"Type inconnu",IF(ISNA(MATCH(C995,art_ref,0)),"Référence inconnue",IF(OR(NOT(ISNUMBER(E995)),N(E995)&lt;=0),"Quantité invalide",IF(K995&lt;0,"Stock négatif",IF(AND(ISNUMBER(A994),A995&lt;A994),"Date hors ordre","OK"))))))))</f>
        <v/>
      </c>
      <c r="M995" s="39" t="str">
        <f>IF(C995="","",C995&amp;"#"&amp;COUNTIF($C$5:C995,C995))</f>
        <v/>
      </c>
    </row>
    <row r="996">
      <c r="A996" s="41" t="n"/>
      <c r="B996" s="37" t="n"/>
      <c r="C996" s="37" t="n"/>
      <c r="D996" s="39" t="str">
        <f>IF(C996="","",IFERROR(INDEX(art_des,MATCH(C996,art_ref,0))&amp;"","Référence inconnue"))</f>
        <v/>
      </c>
      <c r="E996" s="37" t="n"/>
      <c r="F996" s="39" t="str">
        <f>IF(C996="","",IFERROR(INDEX(art_unit,MATCH(C996,art_ref,0))&amp;"",""))</f>
        <v/>
      </c>
      <c r="G996" s="37" t="n"/>
      <c r="H996" s="37" t="n"/>
      <c r="I996" s="37" t="n"/>
      <c r="J996" s="40" t="str">
        <f>IF(OR(C996="",NOT(ISNUMBER(E996))),"",IFERROR(E996*N(INDEX(art_price,MATCH(C996,art_ref,0))),""))</f>
        <v/>
      </c>
      <c r="K996" s="39" t="str">
        <f>IF(OR(C996="",NOT(ISNUMBER(E996))),"",IFERROR(ROUND(N(INDEX(art_init,MATCH(C996,art_ref,0)))+SUMIFS($E$5:E996,$C$5:C996,C996,$B$5:B996,"Entrée")-SUMIFS($E$5:E996,$C$5:C996,C996,$B$5:B996,"Sortie"),6),""))</f>
        <v/>
      </c>
      <c r="L996" s="39" t="str">
        <f>IF(COUNTA(A996:C996,E996)=0,"",IF(COUNTA(A996:C996,E996)&lt;4,"Ligne incomplète",IF(NOT(ISNUMBER(A996)),"Date invalide",IF(AND(B996&lt;&gt;"Entrée",B996&lt;&gt;"Sortie"),"Type inconnu",IF(ISNA(MATCH(C996,art_ref,0)),"Référence inconnue",IF(OR(NOT(ISNUMBER(E996)),N(E996)&lt;=0),"Quantité invalide",IF(K996&lt;0,"Stock négatif",IF(AND(ISNUMBER(A995),A996&lt;A995),"Date hors ordre","OK"))))))))</f>
        <v/>
      </c>
      <c r="M996" s="39" t="str">
        <f>IF(C996="","",C996&amp;"#"&amp;COUNTIF($C$5:C996,C996))</f>
        <v/>
      </c>
    </row>
    <row r="997">
      <c r="A997" s="41" t="n"/>
      <c r="B997" s="37" t="n"/>
      <c r="C997" s="37" t="n"/>
      <c r="D997" s="39" t="str">
        <f>IF(C997="","",IFERROR(INDEX(art_des,MATCH(C997,art_ref,0))&amp;"","Référence inconnue"))</f>
        <v/>
      </c>
      <c r="E997" s="37" t="n"/>
      <c r="F997" s="39" t="str">
        <f>IF(C997="","",IFERROR(INDEX(art_unit,MATCH(C997,art_ref,0))&amp;"",""))</f>
        <v/>
      </c>
      <c r="G997" s="37" t="n"/>
      <c r="H997" s="37" t="n"/>
      <c r="I997" s="37" t="n"/>
      <c r="J997" s="40" t="str">
        <f>IF(OR(C997="",NOT(ISNUMBER(E997))),"",IFERROR(E997*N(INDEX(art_price,MATCH(C997,art_ref,0))),""))</f>
        <v/>
      </c>
      <c r="K997" s="39" t="str">
        <f>IF(OR(C997="",NOT(ISNUMBER(E997))),"",IFERROR(ROUND(N(INDEX(art_init,MATCH(C997,art_ref,0)))+SUMIFS($E$5:E997,$C$5:C997,C997,$B$5:B997,"Entrée")-SUMIFS($E$5:E997,$C$5:C997,C997,$B$5:B997,"Sortie"),6),""))</f>
        <v/>
      </c>
      <c r="L997" s="39" t="str">
        <f>IF(COUNTA(A997:C997,E997)=0,"",IF(COUNTA(A997:C997,E997)&lt;4,"Ligne incomplète",IF(NOT(ISNUMBER(A997)),"Date invalide",IF(AND(B997&lt;&gt;"Entrée",B997&lt;&gt;"Sortie"),"Type inconnu",IF(ISNA(MATCH(C997,art_ref,0)),"Référence inconnue",IF(OR(NOT(ISNUMBER(E997)),N(E997)&lt;=0),"Quantité invalide",IF(K997&lt;0,"Stock négatif",IF(AND(ISNUMBER(A996),A997&lt;A996),"Date hors ordre","OK"))))))))</f>
        <v/>
      </c>
      <c r="M997" s="39" t="str">
        <f>IF(C997="","",C997&amp;"#"&amp;COUNTIF($C$5:C997,C997))</f>
        <v/>
      </c>
    </row>
    <row r="998">
      <c r="A998" s="41" t="n"/>
      <c r="B998" s="37" t="n"/>
      <c r="C998" s="37" t="n"/>
      <c r="D998" s="39" t="str">
        <f>IF(C998="","",IFERROR(INDEX(art_des,MATCH(C998,art_ref,0))&amp;"","Référence inconnue"))</f>
        <v/>
      </c>
      <c r="E998" s="37" t="n"/>
      <c r="F998" s="39" t="str">
        <f>IF(C998="","",IFERROR(INDEX(art_unit,MATCH(C998,art_ref,0))&amp;"",""))</f>
        <v/>
      </c>
      <c r="G998" s="37" t="n"/>
      <c r="H998" s="37" t="n"/>
      <c r="I998" s="37" t="n"/>
      <c r="J998" s="40" t="str">
        <f>IF(OR(C998="",NOT(ISNUMBER(E998))),"",IFERROR(E998*N(INDEX(art_price,MATCH(C998,art_ref,0))),""))</f>
        <v/>
      </c>
      <c r="K998" s="39" t="str">
        <f>IF(OR(C998="",NOT(ISNUMBER(E998))),"",IFERROR(ROUND(N(INDEX(art_init,MATCH(C998,art_ref,0)))+SUMIFS($E$5:E998,$C$5:C998,C998,$B$5:B998,"Entrée")-SUMIFS($E$5:E998,$C$5:C998,C998,$B$5:B998,"Sortie"),6),""))</f>
        <v/>
      </c>
      <c r="L998" s="39" t="str">
        <f>IF(COUNTA(A998:C998,E998)=0,"",IF(COUNTA(A998:C998,E998)&lt;4,"Ligne incomplète",IF(NOT(ISNUMBER(A998)),"Date invalide",IF(AND(B998&lt;&gt;"Entrée",B998&lt;&gt;"Sortie"),"Type inconnu",IF(ISNA(MATCH(C998,art_ref,0)),"Référence inconnue",IF(OR(NOT(ISNUMBER(E998)),N(E998)&lt;=0),"Quantité invalide",IF(K998&lt;0,"Stock négatif",IF(AND(ISNUMBER(A997),A998&lt;A997),"Date hors ordre","OK"))))))))</f>
        <v/>
      </c>
      <c r="M998" s="39" t="str">
        <f>IF(C998="","",C998&amp;"#"&amp;COUNTIF($C$5:C998,C998))</f>
        <v/>
      </c>
    </row>
    <row r="999">
      <c r="A999" s="41" t="n"/>
      <c r="B999" s="37" t="n"/>
      <c r="C999" s="37" t="n"/>
      <c r="D999" s="39" t="str">
        <f>IF(C999="","",IFERROR(INDEX(art_des,MATCH(C999,art_ref,0))&amp;"","Référence inconnue"))</f>
        <v/>
      </c>
      <c r="E999" s="37" t="n"/>
      <c r="F999" s="39" t="str">
        <f>IF(C999="","",IFERROR(INDEX(art_unit,MATCH(C999,art_ref,0))&amp;"",""))</f>
        <v/>
      </c>
      <c r="G999" s="37" t="n"/>
      <c r="H999" s="37" t="n"/>
      <c r="I999" s="37" t="n"/>
      <c r="J999" s="40" t="str">
        <f>IF(OR(C999="",NOT(ISNUMBER(E999))),"",IFERROR(E999*N(INDEX(art_price,MATCH(C999,art_ref,0))),""))</f>
        <v/>
      </c>
      <c r="K999" s="39" t="str">
        <f>IF(OR(C999="",NOT(ISNUMBER(E999))),"",IFERROR(ROUND(N(INDEX(art_init,MATCH(C999,art_ref,0)))+SUMIFS($E$5:E999,$C$5:C999,C999,$B$5:B999,"Entrée")-SUMIFS($E$5:E999,$C$5:C999,C999,$B$5:B999,"Sortie"),6),""))</f>
        <v/>
      </c>
      <c r="L999" s="39" t="str">
        <f>IF(COUNTA(A999:C999,E999)=0,"",IF(COUNTA(A999:C999,E999)&lt;4,"Ligne incomplète",IF(NOT(ISNUMBER(A999)),"Date invalide",IF(AND(B999&lt;&gt;"Entrée",B999&lt;&gt;"Sortie"),"Type inconnu",IF(ISNA(MATCH(C999,art_ref,0)),"Référence inconnue",IF(OR(NOT(ISNUMBER(E999)),N(E999)&lt;=0),"Quantité invalide",IF(K999&lt;0,"Stock négatif",IF(AND(ISNUMBER(A998),A999&lt;A998),"Date hors ordre","OK"))))))))</f>
        <v/>
      </c>
      <c r="M999" s="39" t="str">
        <f>IF(C999="","",C999&amp;"#"&amp;COUNTIF($C$5:C999,C999))</f>
        <v/>
      </c>
    </row>
    <row r="1000">
      <c r="A1000" s="41" t="n"/>
      <c r="B1000" s="37" t="n"/>
      <c r="C1000" s="37" t="n"/>
      <c r="D1000" s="39" t="str">
        <f>IF(C1000="","",IFERROR(INDEX(art_des,MATCH(C1000,art_ref,0))&amp;"","Référence inconnue"))</f>
        <v/>
      </c>
      <c r="E1000" s="37" t="n"/>
      <c r="F1000" s="39" t="str">
        <f>IF(C1000="","",IFERROR(INDEX(art_unit,MATCH(C1000,art_ref,0))&amp;"",""))</f>
        <v/>
      </c>
      <c r="G1000" s="37" t="n"/>
      <c r="H1000" s="37" t="n"/>
      <c r="I1000" s="37" t="n"/>
      <c r="J1000" s="40" t="str">
        <f>IF(OR(C1000="",NOT(ISNUMBER(E1000))),"",IFERROR(E1000*N(INDEX(art_price,MATCH(C1000,art_ref,0))),""))</f>
        <v/>
      </c>
      <c r="K1000" s="39" t="str">
        <f>IF(OR(C1000="",NOT(ISNUMBER(E1000))),"",IFERROR(ROUND(N(INDEX(art_init,MATCH(C1000,art_ref,0)))+SUMIFS($E$5:E1000,$C$5:C1000,C1000,$B$5:B1000,"Entrée")-SUMIFS($E$5:E1000,$C$5:C1000,C1000,$B$5:B1000,"Sortie"),6),""))</f>
        <v/>
      </c>
      <c r="L1000" s="39" t="str">
        <f>IF(COUNTA(A1000:C1000,E1000)=0,"",IF(COUNTA(A1000:C1000,E1000)&lt;4,"Ligne incomplète",IF(NOT(ISNUMBER(A1000)),"Date invalide",IF(AND(B1000&lt;&gt;"Entrée",B1000&lt;&gt;"Sortie"),"Type inconnu",IF(ISNA(MATCH(C1000,art_ref,0)),"Référence inconnue",IF(OR(NOT(ISNUMBER(E1000)),N(E1000)&lt;=0),"Quantité invalide",IF(K1000&lt;0,"Stock négatif",IF(AND(ISNUMBER(A999),A1000&lt;A999),"Date hors ordre","OK"))))))))</f>
        <v/>
      </c>
      <c r="M1000" s="39" t="str">
        <f>IF(C1000="","",C1000&amp;"#"&amp;COUNTIF($C$5:C1000,C1000))</f>
        <v/>
      </c>
    </row>
    <row r="1001">
      <c r="A1001" s="41" t="n"/>
      <c r="B1001" s="37" t="n"/>
      <c r="C1001" s="37" t="n"/>
      <c r="D1001" s="39" t="str">
        <f>IF(C1001="","",IFERROR(INDEX(art_des,MATCH(C1001,art_ref,0))&amp;"","Référence inconnue"))</f>
        <v/>
      </c>
      <c r="E1001" s="37" t="n"/>
      <c r="F1001" s="39" t="str">
        <f>IF(C1001="","",IFERROR(INDEX(art_unit,MATCH(C1001,art_ref,0))&amp;"",""))</f>
        <v/>
      </c>
      <c r="G1001" s="37" t="n"/>
      <c r="H1001" s="37" t="n"/>
      <c r="I1001" s="37" t="n"/>
      <c r="J1001" s="40" t="str">
        <f>IF(OR(C1001="",NOT(ISNUMBER(E1001))),"",IFERROR(E1001*N(INDEX(art_price,MATCH(C1001,art_ref,0))),""))</f>
        <v/>
      </c>
      <c r="K1001" s="39" t="str">
        <f>IF(OR(C1001="",NOT(ISNUMBER(E1001))),"",IFERROR(ROUND(N(INDEX(art_init,MATCH(C1001,art_ref,0)))+SUMIFS($E$5:E1001,$C$5:C1001,C1001,$B$5:B1001,"Entrée")-SUMIFS($E$5:E1001,$C$5:C1001,C1001,$B$5:B1001,"Sortie"),6),""))</f>
        <v/>
      </c>
      <c r="L1001" s="39" t="str">
        <f>IF(COUNTA(A1001:C1001,E1001)=0,"",IF(COUNTA(A1001:C1001,E1001)&lt;4,"Ligne incomplète",IF(NOT(ISNUMBER(A1001)),"Date invalide",IF(AND(B1001&lt;&gt;"Entrée",B1001&lt;&gt;"Sortie"),"Type inconnu",IF(ISNA(MATCH(C1001,art_ref,0)),"Référence inconnue",IF(OR(NOT(ISNUMBER(E1001)),N(E1001)&lt;=0),"Quantité invalide",IF(K1001&lt;0,"Stock négatif",IF(AND(ISNUMBER(A1000),A1001&lt;A1000),"Date hors ordre","OK"))))))))</f>
        <v/>
      </c>
      <c r="M1001" s="39" t="str">
        <f>IF(C1001="","",C1001&amp;"#"&amp;COUNTIF($C$5:C1001,C1001))</f>
        <v/>
      </c>
    </row>
    <row r="1002">
      <c r="A1002" s="41" t="n"/>
      <c r="B1002" s="37" t="n"/>
      <c r="C1002" s="37" t="n"/>
      <c r="D1002" s="39" t="str">
        <f>IF(C1002="","",IFERROR(INDEX(art_des,MATCH(C1002,art_ref,0))&amp;"","Référence inconnue"))</f>
        <v/>
      </c>
      <c r="E1002" s="37" t="n"/>
      <c r="F1002" s="39" t="str">
        <f>IF(C1002="","",IFERROR(INDEX(art_unit,MATCH(C1002,art_ref,0))&amp;"",""))</f>
        <v/>
      </c>
      <c r="G1002" s="37" t="n"/>
      <c r="H1002" s="37" t="n"/>
      <c r="I1002" s="37" t="n"/>
      <c r="J1002" s="40" t="str">
        <f>IF(OR(C1002="",NOT(ISNUMBER(E1002))),"",IFERROR(E1002*N(INDEX(art_price,MATCH(C1002,art_ref,0))),""))</f>
        <v/>
      </c>
      <c r="K1002" s="39" t="str">
        <f>IF(OR(C1002="",NOT(ISNUMBER(E1002))),"",IFERROR(ROUND(N(INDEX(art_init,MATCH(C1002,art_ref,0)))+SUMIFS($E$5:E1002,$C$5:C1002,C1002,$B$5:B1002,"Entrée")-SUMIFS($E$5:E1002,$C$5:C1002,C1002,$B$5:B1002,"Sortie"),6),""))</f>
        <v/>
      </c>
      <c r="L1002" s="39" t="str">
        <f>IF(COUNTA(A1002:C1002,E1002)=0,"",IF(COUNTA(A1002:C1002,E1002)&lt;4,"Ligne incomplète",IF(NOT(ISNUMBER(A1002)),"Date invalide",IF(AND(B1002&lt;&gt;"Entrée",B1002&lt;&gt;"Sortie"),"Type inconnu",IF(ISNA(MATCH(C1002,art_ref,0)),"Référence inconnue",IF(OR(NOT(ISNUMBER(E1002)),N(E1002)&lt;=0),"Quantité invalide",IF(K1002&lt;0,"Stock négatif",IF(AND(ISNUMBER(A1001),A1002&lt;A1001),"Date hors ordre","OK"))))))))</f>
        <v/>
      </c>
      <c r="M1002" s="39" t="str">
        <f>IF(C1002="","",C1002&amp;"#"&amp;COUNTIF($C$5:C1002,C1002))</f>
        <v/>
      </c>
    </row>
    <row r="1003">
      <c r="A1003" s="41" t="n"/>
      <c r="B1003" s="37" t="n"/>
      <c r="C1003" s="37" t="n"/>
      <c r="D1003" s="39" t="str">
        <f>IF(C1003="","",IFERROR(INDEX(art_des,MATCH(C1003,art_ref,0))&amp;"","Référence inconnue"))</f>
        <v/>
      </c>
      <c r="E1003" s="37" t="n"/>
      <c r="F1003" s="39" t="str">
        <f>IF(C1003="","",IFERROR(INDEX(art_unit,MATCH(C1003,art_ref,0))&amp;"",""))</f>
        <v/>
      </c>
      <c r="G1003" s="37" t="n"/>
      <c r="H1003" s="37" t="n"/>
      <c r="I1003" s="37" t="n"/>
      <c r="J1003" s="40" t="str">
        <f>IF(OR(C1003="",NOT(ISNUMBER(E1003))),"",IFERROR(E1003*N(INDEX(art_price,MATCH(C1003,art_ref,0))),""))</f>
        <v/>
      </c>
      <c r="K1003" s="39" t="str">
        <f>IF(OR(C1003="",NOT(ISNUMBER(E1003))),"",IFERROR(ROUND(N(INDEX(art_init,MATCH(C1003,art_ref,0)))+SUMIFS($E$5:E1003,$C$5:C1003,C1003,$B$5:B1003,"Entrée")-SUMIFS($E$5:E1003,$C$5:C1003,C1003,$B$5:B1003,"Sortie"),6),""))</f>
        <v/>
      </c>
      <c r="L1003" s="39" t="str">
        <f>IF(COUNTA(A1003:C1003,E1003)=0,"",IF(COUNTA(A1003:C1003,E1003)&lt;4,"Ligne incomplète",IF(NOT(ISNUMBER(A1003)),"Date invalide",IF(AND(B1003&lt;&gt;"Entrée",B1003&lt;&gt;"Sortie"),"Type inconnu",IF(ISNA(MATCH(C1003,art_ref,0)),"Référence inconnue",IF(OR(NOT(ISNUMBER(E1003)),N(E1003)&lt;=0),"Quantité invalide",IF(K1003&lt;0,"Stock négatif",IF(AND(ISNUMBER(A1002),A1003&lt;A1002),"Date hors ordre","OK"))))))))</f>
        <v/>
      </c>
      <c r="M1003" s="39" t="str">
        <f>IF(C1003="","",C1003&amp;"#"&amp;COUNTIF($C$5:C1003,C1003))</f>
        <v/>
      </c>
    </row>
    <row r="1004">
      <c r="A1004" s="41" t="n"/>
      <c r="B1004" s="37" t="n"/>
      <c r="C1004" s="37" t="n"/>
      <c r="D1004" s="39" t="str">
        <f>IF(C1004="","",IFERROR(INDEX(art_des,MATCH(C1004,art_ref,0))&amp;"","Référence inconnue"))</f>
        <v/>
      </c>
      <c r="E1004" s="37" t="n"/>
      <c r="F1004" s="39" t="str">
        <f>IF(C1004="","",IFERROR(INDEX(art_unit,MATCH(C1004,art_ref,0))&amp;"",""))</f>
        <v/>
      </c>
      <c r="G1004" s="37" t="n"/>
      <c r="H1004" s="37" t="n"/>
      <c r="I1004" s="37" t="n"/>
      <c r="J1004" s="40" t="str">
        <f>IF(OR(C1004="",NOT(ISNUMBER(E1004))),"",IFERROR(E1004*N(INDEX(art_price,MATCH(C1004,art_ref,0))),""))</f>
        <v/>
      </c>
      <c r="K1004" s="39" t="str">
        <f>IF(OR(C1004="",NOT(ISNUMBER(E1004))),"",IFERROR(ROUND(N(INDEX(art_init,MATCH(C1004,art_ref,0)))+SUMIFS($E$5:E1004,$C$5:C1004,C1004,$B$5:B1004,"Entrée")-SUMIFS($E$5:E1004,$C$5:C1004,C1004,$B$5:B1004,"Sortie"),6),""))</f>
        <v/>
      </c>
      <c r="L1004" s="39" t="str">
        <f>IF(COUNTA(A1004:C1004,E1004)=0,"",IF(COUNTA(A1004:C1004,E1004)&lt;4,"Ligne incomplète",IF(NOT(ISNUMBER(A1004)),"Date invalide",IF(AND(B1004&lt;&gt;"Entrée",B1004&lt;&gt;"Sortie"),"Type inconnu",IF(ISNA(MATCH(C1004,art_ref,0)),"Référence inconnue",IF(OR(NOT(ISNUMBER(E1004)),N(E1004)&lt;=0),"Quantité invalide",IF(K1004&lt;0,"Stock négatif",IF(AND(ISNUMBER(A1003),A1004&lt;A1003),"Date hors ordre","OK"))))))))</f>
        <v/>
      </c>
      <c r="M1004" s="39" t="str">
        <f>IF(C1004="","",C1004&amp;"#"&amp;COUNTIF($C$5:C1004,C1004))</f>
        <v/>
      </c>
    </row>
    <row r="1005">
      <c r="A1005" s="41" t="n"/>
      <c r="B1005" s="37" t="n"/>
      <c r="C1005" s="37" t="n"/>
      <c r="D1005" s="39" t="str">
        <f>IF(C1005="","",IFERROR(INDEX(art_des,MATCH(C1005,art_ref,0))&amp;"","Référence inconnue"))</f>
        <v/>
      </c>
      <c r="E1005" s="37" t="n"/>
      <c r="F1005" s="39" t="str">
        <f>IF(C1005="","",IFERROR(INDEX(art_unit,MATCH(C1005,art_ref,0))&amp;"",""))</f>
        <v/>
      </c>
      <c r="G1005" s="37" t="n"/>
      <c r="H1005" s="37" t="n"/>
      <c r="I1005" s="37" t="n"/>
      <c r="J1005" s="40" t="str">
        <f>IF(OR(C1005="",NOT(ISNUMBER(E1005))),"",IFERROR(E1005*N(INDEX(art_price,MATCH(C1005,art_ref,0))),""))</f>
        <v/>
      </c>
      <c r="K1005" s="39" t="str">
        <f>IF(OR(C1005="",NOT(ISNUMBER(E1005))),"",IFERROR(ROUND(N(INDEX(art_init,MATCH(C1005,art_ref,0)))+SUMIFS($E$5:E1005,$C$5:C1005,C1005,$B$5:B1005,"Entrée")-SUMIFS($E$5:E1005,$C$5:C1005,C1005,$B$5:B1005,"Sortie"),6),""))</f>
        <v/>
      </c>
      <c r="L1005" s="39" t="str">
        <f>IF(COUNTA(A1005:C1005,E1005)=0,"",IF(COUNTA(A1005:C1005,E1005)&lt;4,"Ligne incomplète",IF(NOT(ISNUMBER(A1005)),"Date invalide",IF(AND(B1005&lt;&gt;"Entrée",B1005&lt;&gt;"Sortie"),"Type inconnu",IF(ISNA(MATCH(C1005,art_ref,0)),"Référence inconnue",IF(OR(NOT(ISNUMBER(E1005)),N(E1005)&lt;=0),"Quantité invalide",IF(K1005&lt;0,"Stock négatif",IF(AND(ISNUMBER(A1004),A1005&lt;A1004),"Date hors ordre","OK"))))))))</f>
        <v/>
      </c>
      <c r="M1005" s="39" t="str">
        <f>IF(C1005="","",C1005&amp;"#"&amp;COUNTIF($C$5:C1005,C1005))</f>
        <v/>
      </c>
    </row>
    <row r="1006">
      <c r="A1006" s="41" t="n"/>
      <c r="B1006" s="37" t="n"/>
      <c r="C1006" s="37" t="n"/>
      <c r="D1006" s="39" t="str">
        <f>IF(C1006="","",IFERROR(INDEX(art_des,MATCH(C1006,art_ref,0))&amp;"","Référence inconnue"))</f>
        <v/>
      </c>
      <c r="E1006" s="37" t="n"/>
      <c r="F1006" s="39" t="str">
        <f>IF(C1006="","",IFERROR(INDEX(art_unit,MATCH(C1006,art_ref,0))&amp;"",""))</f>
        <v/>
      </c>
      <c r="G1006" s="37" t="n"/>
      <c r="H1006" s="37" t="n"/>
      <c r="I1006" s="37" t="n"/>
      <c r="J1006" s="40" t="str">
        <f>IF(OR(C1006="",NOT(ISNUMBER(E1006))),"",IFERROR(E1006*N(INDEX(art_price,MATCH(C1006,art_ref,0))),""))</f>
        <v/>
      </c>
      <c r="K1006" s="39" t="str">
        <f>IF(OR(C1006="",NOT(ISNUMBER(E1006))),"",IFERROR(ROUND(N(INDEX(art_init,MATCH(C1006,art_ref,0)))+SUMIFS($E$5:E1006,$C$5:C1006,C1006,$B$5:B1006,"Entrée")-SUMIFS($E$5:E1006,$C$5:C1006,C1006,$B$5:B1006,"Sortie"),6),""))</f>
        <v/>
      </c>
      <c r="L1006" s="39" t="str">
        <f>IF(COUNTA(A1006:C1006,E1006)=0,"",IF(COUNTA(A1006:C1006,E1006)&lt;4,"Ligne incomplète",IF(NOT(ISNUMBER(A1006)),"Date invalide",IF(AND(B1006&lt;&gt;"Entrée",B1006&lt;&gt;"Sortie"),"Type inconnu",IF(ISNA(MATCH(C1006,art_ref,0)),"Référence inconnue",IF(OR(NOT(ISNUMBER(E1006)),N(E1006)&lt;=0),"Quantité invalide",IF(K1006&lt;0,"Stock négatif",IF(AND(ISNUMBER(A1005),A1006&lt;A1005),"Date hors ordre","OK"))))))))</f>
        <v/>
      </c>
      <c r="M1006" s="39" t="str">
        <f>IF(C1006="","",C1006&amp;"#"&amp;COUNTIF($C$5:C1006,C1006))</f>
        <v/>
      </c>
    </row>
    <row r="1007">
      <c r="A1007" s="41" t="n"/>
      <c r="B1007" s="37" t="n"/>
      <c r="C1007" s="37" t="n"/>
      <c r="D1007" s="39" t="str">
        <f>IF(C1007="","",IFERROR(INDEX(art_des,MATCH(C1007,art_ref,0))&amp;"","Référence inconnue"))</f>
        <v/>
      </c>
      <c r="E1007" s="37" t="n"/>
      <c r="F1007" s="39" t="str">
        <f>IF(C1007="","",IFERROR(INDEX(art_unit,MATCH(C1007,art_ref,0))&amp;"",""))</f>
        <v/>
      </c>
      <c r="G1007" s="37" t="n"/>
      <c r="H1007" s="37" t="n"/>
      <c r="I1007" s="37" t="n"/>
      <c r="J1007" s="40" t="str">
        <f>IF(OR(C1007="",NOT(ISNUMBER(E1007))),"",IFERROR(E1007*N(INDEX(art_price,MATCH(C1007,art_ref,0))),""))</f>
        <v/>
      </c>
      <c r="K1007" s="39" t="str">
        <f>IF(OR(C1007="",NOT(ISNUMBER(E1007))),"",IFERROR(ROUND(N(INDEX(art_init,MATCH(C1007,art_ref,0)))+SUMIFS($E$5:E1007,$C$5:C1007,C1007,$B$5:B1007,"Entrée")-SUMIFS($E$5:E1007,$C$5:C1007,C1007,$B$5:B1007,"Sortie"),6),""))</f>
        <v/>
      </c>
      <c r="L1007" s="39" t="str">
        <f>IF(COUNTA(A1007:C1007,E1007)=0,"",IF(COUNTA(A1007:C1007,E1007)&lt;4,"Ligne incomplète",IF(NOT(ISNUMBER(A1007)),"Date invalide",IF(AND(B1007&lt;&gt;"Entrée",B1007&lt;&gt;"Sortie"),"Type inconnu",IF(ISNA(MATCH(C1007,art_ref,0)),"Référence inconnue",IF(OR(NOT(ISNUMBER(E1007)),N(E1007)&lt;=0),"Quantité invalide",IF(K1007&lt;0,"Stock négatif",IF(AND(ISNUMBER(A1006),A1007&lt;A1006),"Date hors ordre","OK"))))))))</f>
        <v/>
      </c>
      <c r="M1007" s="39" t="str">
        <f>IF(C1007="","",C1007&amp;"#"&amp;COUNTIF($C$5:C1007,C1007))</f>
        <v/>
      </c>
    </row>
    <row r="1008">
      <c r="A1008" s="41" t="n"/>
      <c r="B1008" s="37" t="n"/>
      <c r="C1008" s="37" t="n"/>
      <c r="D1008" s="39" t="str">
        <f>IF(C1008="","",IFERROR(INDEX(art_des,MATCH(C1008,art_ref,0))&amp;"","Référence inconnue"))</f>
        <v/>
      </c>
      <c r="E1008" s="37" t="n"/>
      <c r="F1008" s="39" t="str">
        <f>IF(C1008="","",IFERROR(INDEX(art_unit,MATCH(C1008,art_ref,0))&amp;"",""))</f>
        <v/>
      </c>
      <c r="G1008" s="37" t="n"/>
      <c r="H1008" s="37" t="n"/>
      <c r="I1008" s="37" t="n"/>
      <c r="J1008" s="40" t="str">
        <f>IF(OR(C1008="",NOT(ISNUMBER(E1008))),"",IFERROR(E1008*N(INDEX(art_price,MATCH(C1008,art_ref,0))),""))</f>
        <v/>
      </c>
      <c r="K1008" s="39" t="str">
        <f>IF(OR(C1008="",NOT(ISNUMBER(E1008))),"",IFERROR(ROUND(N(INDEX(art_init,MATCH(C1008,art_ref,0)))+SUMIFS($E$5:E1008,$C$5:C1008,C1008,$B$5:B1008,"Entrée")-SUMIFS($E$5:E1008,$C$5:C1008,C1008,$B$5:B1008,"Sortie"),6),""))</f>
        <v/>
      </c>
      <c r="L1008" s="39" t="str">
        <f>IF(COUNTA(A1008:C1008,E1008)=0,"",IF(COUNTA(A1008:C1008,E1008)&lt;4,"Ligne incomplète",IF(NOT(ISNUMBER(A1008)),"Date invalide",IF(AND(B1008&lt;&gt;"Entrée",B1008&lt;&gt;"Sortie"),"Type inconnu",IF(ISNA(MATCH(C1008,art_ref,0)),"Référence inconnue",IF(OR(NOT(ISNUMBER(E1008)),N(E1008)&lt;=0),"Quantité invalide",IF(K1008&lt;0,"Stock négatif",IF(AND(ISNUMBER(A1007),A1008&lt;A1007),"Date hors ordre","OK"))))))))</f>
        <v/>
      </c>
      <c r="M1008" s="39" t="str">
        <f>IF(C1008="","",C1008&amp;"#"&amp;COUNTIF($C$5:C1008,C1008))</f>
        <v/>
      </c>
    </row>
    <row r="1009">
      <c r="A1009" s="41" t="n"/>
      <c r="B1009" s="37" t="n"/>
      <c r="C1009" s="37" t="n"/>
      <c r="D1009" s="39" t="str">
        <f>IF(C1009="","",IFERROR(INDEX(art_des,MATCH(C1009,art_ref,0))&amp;"","Référence inconnue"))</f>
        <v/>
      </c>
      <c r="E1009" s="37" t="n"/>
      <c r="F1009" s="39" t="str">
        <f>IF(C1009="","",IFERROR(INDEX(art_unit,MATCH(C1009,art_ref,0))&amp;"",""))</f>
        <v/>
      </c>
      <c r="G1009" s="37" t="n"/>
      <c r="H1009" s="37" t="n"/>
      <c r="I1009" s="37" t="n"/>
      <c r="J1009" s="40" t="str">
        <f>IF(OR(C1009="",NOT(ISNUMBER(E1009))),"",IFERROR(E1009*N(INDEX(art_price,MATCH(C1009,art_ref,0))),""))</f>
        <v/>
      </c>
      <c r="K1009" s="39" t="str">
        <f>IF(OR(C1009="",NOT(ISNUMBER(E1009))),"",IFERROR(ROUND(N(INDEX(art_init,MATCH(C1009,art_ref,0)))+SUMIFS($E$5:E1009,$C$5:C1009,C1009,$B$5:B1009,"Entrée")-SUMIFS($E$5:E1009,$C$5:C1009,C1009,$B$5:B1009,"Sortie"),6),""))</f>
        <v/>
      </c>
      <c r="L1009" s="39" t="str">
        <f>IF(COUNTA(A1009:C1009,E1009)=0,"",IF(COUNTA(A1009:C1009,E1009)&lt;4,"Ligne incomplète",IF(NOT(ISNUMBER(A1009)),"Date invalide",IF(AND(B1009&lt;&gt;"Entrée",B1009&lt;&gt;"Sortie"),"Type inconnu",IF(ISNA(MATCH(C1009,art_ref,0)),"Référence inconnue",IF(OR(NOT(ISNUMBER(E1009)),N(E1009)&lt;=0),"Quantité invalide",IF(K1009&lt;0,"Stock négatif",IF(AND(ISNUMBER(A1008),A1009&lt;A1008),"Date hors ordre","OK"))))))))</f>
        <v/>
      </c>
      <c r="M1009" s="39" t="str">
        <f>IF(C1009="","",C1009&amp;"#"&amp;COUNTIF($C$5:C1009,C1009))</f>
        <v/>
      </c>
    </row>
    <row r="1010">
      <c r="A1010" s="41" t="n"/>
      <c r="B1010" s="37" t="n"/>
      <c r="C1010" s="37" t="n"/>
      <c r="D1010" s="39" t="str">
        <f>IF(C1010="","",IFERROR(INDEX(art_des,MATCH(C1010,art_ref,0))&amp;"","Référence inconnue"))</f>
        <v/>
      </c>
      <c r="E1010" s="37" t="n"/>
      <c r="F1010" s="39" t="str">
        <f>IF(C1010="","",IFERROR(INDEX(art_unit,MATCH(C1010,art_ref,0))&amp;"",""))</f>
        <v/>
      </c>
      <c r="G1010" s="37" t="n"/>
      <c r="H1010" s="37" t="n"/>
      <c r="I1010" s="37" t="n"/>
      <c r="J1010" s="40" t="str">
        <f>IF(OR(C1010="",NOT(ISNUMBER(E1010))),"",IFERROR(E1010*N(INDEX(art_price,MATCH(C1010,art_ref,0))),""))</f>
        <v/>
      </c>
      <c r="K1010" s="39" t="str">
        <f>IF(OR(C1010="",NOT(ISNUMBER(E1010))),"",IFERROR(ROUND(N(INDEX(art_init,MATCH(C1010,art_ref,0)))+SUMIFS($E$5:E1010,$C$5:C1010,C1010,$B$5:B1010,"Entrée")-SUMIFS($E$5:E1010,$C$5:C1010,C1010,$B$5:B1010,"Sortie"),6),""))</f>
        <v/>
      </c>
      <c r="L1010" s="39" t="str">
        <f>IF(COUNTA(A1010:C1010,E1010)=0,"",IF(COUNTA(A1010:C1010,E1010)&lt;4,"Ligne incomplète",IF(NOT(ISNUMBER(A1010)),"Date invalide",IF(AND(B1010&lt;&gt;"Entrée",B1010&lt;&gt;"Sortie"),"Type inconnu",IF(ISNA(MATCH(C1010,art_ref,0)),"Référence inconnue",IF(OR(NOT(ISNUMBER(E1010)),N(E1010)&lt;=0),"Quantité invalide",IF(K1010&lt;0,"Stock négatif",IF(AND(ISNUMBER(A1009),A1010&lt;A1009),"Date hors ordre","OK"))))))))</f>
        <v/>
      </c>
      <c r="M1010" s="39" t="str">
        <f>IF(C1010="","",C1010&amp;"#"&amp;COUNTIF($C$5:C1010,C1010))</f>
        <v/>
      </c>
    </row>
    <row r="1011">
      <c r="A1011" s="41" t="n"/>
      <c r="B1011" s="37" t="n"/>
      <c r="C1011" s="37" t="n"/>
      <c r="D1011" s="39" t="str">
        <f>IF(C1011="","",IFERROR(INDEX(art_des,MATCH(C1011,art_ref,0))&amp;"","Référence inconnue"))</f>
        <v/>
      </c>
      <c r="E1011" s="37" t="n"/>
      <c r="F1011" s="39" t="str">
        <f>IF(C1011="","",IFERROR(INDEX(art_unit,MATCH(C1011,art_ref,0))&amp;"",""))</f>
        <v/>
      </c>
      <c r="G1011" s="37" t="n"/>
      <c r="H1011" s="37" t="n"/>
      <c r="I1011" s="37" t="n"/>
      <c r="J1011" s="40" t="str">
        <f>IF(OR(C1011="",NOT(ISNUMBER(E1011))),"",IFERROR(E1011*N(INDEX(art_price,MATCH(C1011,art_ref,0))),""))</f>
        <v/>
      </c>
      <c r="K1011" s="39" t="str">
        <f>IF(OR(C1011="",NOT(ISNUMBER(E1011))),"",IFERROR(ROUND(N(INDEX(art_init,MATCH(C1011,art_ref,0)))+SUMIFS($E$5:E1011,$C$5:C1011,C1011,$B$5:B1011,"Entrée")-SUMIFS($E$5:E1011,$C$5:C1011,C1011,$B$5:B1011,"Sortie"),6),""))</f>
        <v/>
      </c>
      <c r="L1011" s="39" t="str">
        <f>IF(COUNTA(A1011:C1011,E1011)=0,"",IF(COUNTA(A1011:C1011,E1011)&lt;4,"Ligne incomplète",IF(NOT(ISNUMBER(A1011)),"Date invalide",IF(AND(B1011&lt;&gt;"Entrée",B1011&lt;&gt;"Sortie"),"Type inconnu",IF(ISNA(MATCH(C1011,art_ref,0)),"Référence inconnue",IF(OR(NOT(ISNUMBER(E1011)),N(E1011)&lt;=0),"Quantité invalide",IF(K1011&lt;0,"Stock négatif",IF(AND(ISNUMBER(A1010),A1011&lt;A1010),"Date hors ordre","OK"))))))))</f>
        <v/>
      </c>
      <c r="M1011" s="39" t="str">
        <f>IF(C1011="","",C1011&amp;"#"&amp;COUNTIF($C$5:C1011,C1011))</f>
        <v/>
      </c>
    </row>
    <row r="1012">
      <c r="A1012" s="41" t="n"/>
      <c r="B1012" s="37" t="n"/>
      <c r="C1012" s="37" t="n"/>
      <c r="D1012" s="39" t="str">
        <f>IF(C1012="","",IFERROR(INDEX(art_des,MATCH(C1012,art_ref,0))&amp;"","Référence inconnue"))</f>
        <v/>
      </c>
      <c r="E1012" s="37" t="n"/>
      <c r="F1012" s="39" t="str">
        <f>IF(C1012="","",IFERROR(INDEX(art_unit,MATCH(C1012,art_ref,0))&amp;"",""))</f>
        <v/>
      </c>
      <c r="G1012" s="37" t="n"/>
      <c r="H1012" s="37" t="n"/>
      <c r="I1012" s="37" t="n"/>
      <c r="J1012" s="40" t="str">
        <f>IF(OR(C1012="",NOT(ISNUMBER(E1012))),"",IFERROR(E1012*N(INDEX(art_price,MATCH(C1012,art_ref,0))),""))</f>
        <v/>
      </c>
      <c r="K1012" s="39" t="str">
        <f>IF(OR(C1012="",NOT(ISNUMBER(E1012))),"",IFERROR(ROUND(N(INDEX(art_init,MATCH(C1012,art_ref,0)))+SUMIFS($E$5:E1012,$C$5:C1012,C1012,$B$5:B1012,"Entrée")-SUMIFS($E$5:E1012,$C$5:C1012,C1012,$B$5:B1012,"Sortie"),6),""))</f>
        <v/>
      </c>
      <c r="L1012" s="39" t="str">
        <f>IF(COUNTA(A1012:C1012,E1012)=0,"",IF(COUNTA(A1012:C1012,E1012)&lt;4,"Ligne incomplète",IF(NOT(ISNUMBER(A1012)),"Date invalide",IF(AND(B1012&lt;&gt;"Entrée",B1012&lt;&gt;"Sortie"),"Type inconnu",IF(ISNA(MATCH(C1012,art_ref,0)),"Référence inconnue",IF(OR(NOT(ISNUMBER(E1012)),N(E1012)&lt;=0),"Quantité invalide",IF(K1012&lt;0,"Stock négatif",IF(AND(ISNUMBER(A1011),A1012&lt;A1011),"Date hors ordre","OK"))))))))</f>
        <v/>
      </c>
      <c r="M1012" s="39" t="str">
        <f>IF(C1012="","",C1012&amp;"#"&amp;COUNTIF($C$5:C1012,C1012))</f>
        <v/>
      </c>
    </row>
    <row r="1013">
      <c r="A1013" s="41" t="n"/>
      <c r="B1013" s="37" t="n"/>
      <c r="C1013" s="37" t="n"/>
      <c r="D1013" s="39" t="str">
        <f>IF(C1013="","",IFERROR(INDEX(art_des,MATCH(C1013,art_ref,0))&amp;"","Référence inconnue"))</f>
        <v/>
      </c>
      <c r="E1013" s="37" t="n"/>
      <c r="F1013" s="39" t="str">
        <f>IF(C1013="","",IFERROR(INDEX(art_unit,MATCH(C1013,art_ref,0))&amp;"",""))</f>
        <v/>
      </c>
      <c r="G1013" s="37" t="n"/>
      <c r="H1013" s="37" t="n"/>
      <c r="I1013" s="37" t="n"/>
      <c r="J1013" s="40" t="str">
        <f>IF(OR(C1013="",NOT(ISNUMBER(E1013))),"",IFERROR(E1013*N(INDEX(art_price,MATCH(C1013,art_ref,0))),""))</f>
        <v/>
      </c>
      <c r="K1013" s="39" t="str">
        <f>IF(OR(C1013="",NOT(ISNUMBER(E1013))),"",IFERROR(ROUND(N(INDEX(art_init,MATCH(C1013,art_ref,0)))+SUMIFS($E$5:E1013,$C$5:C1013,C1013,$B$5:B1013,"Entrée")-SUMIFS($E$5:E1013,$C$5:C1013,C1013,$B$5:B1013,"Sortie"),6),""))</f>
        <v/>
      </c>
      <c r="L1013" s="39" t="str">
        <f>IF(COUNTA(A1013:C1013,E1013)=0,"",IF(COUNTA(A1013:C1013,E1013)&lt;4,"Ligne incomplète",IF(NOT(ISNUMBER(A1013)),"Date invalide",IF(AND(B1013&lt;&gt;"Entrée",B1013&lt;&gt;"Sortie"),"Type inconnu",IF(ISNA(MATCH(C1013,art_ref,0)),"Référence inconnue",IF(OR(NOT(ISNUMBER(E1013)),N(E1013)&lt;=0),"Quantité invalide",IF(K1013&lt;0,"Stock négatif",IF(AND(ISNUMBER(A1012),A1013&lt;A1012),"Date hors ordre","OK"))))))))</f>
        <v/>
      </c>
      <c r="M1013" s="39" t="str">
        <f>IF(C1013="","",C1013&amp;"#"&amp;COUNTIF($C$5:C1013,C1013))</f>
        <v/>
      </c>
    </row>
    <row r="1014">
      <c r="A1014" s="41" t="n"/>
      <c r="B1014" s="37" t="n"/>
      <c r="C1014" s="37" t="n"/>
      <c r="D1014" s="39" t="str">
        <f>IF(C1014="","",IFERROR(INDEX(art_des,MATCH(C1014,art_ref,0))&amp;"","Référence inconnue"))</f>
        <v/>
      </c>
      <c r="E1014" s="37" t="n"/>
      <c r="F1014" s="39" t="str">
        <f>IF(C1014="","",IFERROR(INDEX(art_unit,MATCH(C1014,art_ref,0))&amp;"",""))</f>
        <v/>
      </c>
      <c r="G1014" s="37" t="n"/>
      <c r="H1014" s="37" t="n"/>
      <c r="I1014" s="37" t="n"/>
      <c r="J1014" s="40" t="str">
        <f>IF(OR(C1014="",NOT(ISNUMBER(E1014))),"",IFERROR(E1014*N(INDEX(art_price,MATCH(C1014,art_ref,0))),""))</f>
        <v/>
      </c>
      <c r="K1014" s="39" t="str">
        <f>IF(OR(C1014="",NOT(ISNUMBER(E1014))),"",IFERROR(ROUND(N(INDEX(art_init,MATCH(C1014,art_ref,0)))+SUMIFS($E$5:E1014,$C$5:C1014,C1014,$B$5:B1014,"Entrée")-SUMIFS($E$5:E1014,$C$5:C1014,C1014,$B$5:B1014,"Sortie"),6),""))</f>
        <v/>
      </c>
      <c r="L1014" s="39" t="str">
        <f>IF(COUNTA(A1014:C1014,E1014)=0,"",IF(COUNTA(A1014:C1014,E1014)&lt;4,"Ligne incomplète",IF(NOT(ISNUMBER(A1014)),"Date invalide",IF(AND(B1014&lt;&gt;"Entrée",B1014&lt;&gt;"Sortie"),"Type inconnu",IF(ISNA(MATCH(C1014,art_ref,0)),"Référence inconnue",IF(OR(NOT(ISNUMBER(E1014)),N(E1014)&lt;=0),"Quantité invalide",IF(K1014&lt;0,"Stock négatif",IF(AND(ISNUMBER(A1013),A1014&lt;A1013),"Date hors ordre","OK"))))))))</f>
        <v/>
      </c>
      <c r="M1014" s="39" t="str">
        <f>IF(C1014="","",C1014&amp;"#"&amp;COUNTIF($C$5:C1014,C1014))</f>
        <v/>
      </c>
    </row>
    <row r="1015">
      <c r="A1015" s="41" t="n"/>
      <c r="B1015" s="37" t="n"/>
      <c r="C1015" s="37" t="n"/>
      <c r="D1015" s="39" t="str">
        <f>IF(C1015="","",IFERROR(INDEX(art_des,MATCH(C1015,art_ref,0))&amp;"","Référence inconnue"))</f>
        <v/>
      </c>
      <c r="E1015" s="37" t="n"/>
      <c r="F1015" s="39" t="str">
        <f>IF(C1015="","",IFERROR(INDEX(art_unit,MATCH(C1015,art_ref,0))&amp;"",""))</f>
        <v/>
      </c>
      <c r="G1015" s="37" t="n"/>
      <c r="H1015" s="37" t="n"/>
      <c r="I1015" s="37" t="n"/>
      <c r="J1015" s="40" t="str">
        <f>IF(OR(C1015="",NOT(ISNUMBER(E1015))),"",IFERROR(E1015*N(INDEX(art_price,MATCH(C1015,art_ref,0))),""))</f>
        <v/>
      </c>
      <c r="K1015" s="39" t="str">
        <f>IF(OR(C1015="",NOT(ISNUMBER(E1015))),"",IFERROR(ROUND(N(INDEX(art_init,MATCH(C1015,art_ref,0)))+SUMIFS($E$5:E1015,$C$5:C1015,C1015,$B$5:B1015,"Entrée")-SUMIFS($E$5:E1015,$C$5:C1015,C1015,$B$5:B1015,"Sortie"),6),""))</f>
        <v/>
      </c>
      <c r="L1015" s="39" t="str">
        <f>IF(COUNTA(A1015:C1015,E1015)=0,"",IF(COUNTA(A1015:C1015,E1015)&lt;4,"Ligne incomplète",IF(NOT(ISNUMBER(A1015)),"Date invalide",IF(AND(B1015&lt;&gt;"Entrée",B1015&lt;&gt;"Sortie"),"Type inconnu",IF(ISNA(MATCH(C1015,art_ref,0)),"Référence inconnue",IF(OR(NOT(ISNUMBER(E1015)),N(E1015)&lt;=0),"Quantité invalide",IF(K1015&lt;0,"Stock négatif",IF(AND(ISNUMBER(A1014),A1015&lt;A1014),"Date hors ordre","OK"))))))))</f>
        <v/>
      </c>
      <c r="M1015" s="39" t="str">
        <f>IF(C1015="","",C1015&amp;"#"&amp;COUNTIF($C$5:C1015,C1015))</f>
        <v/>
      </c>
    </row>
    <row r="1016">
      <c r="A1016" s="41" t="n"/>
      <c r="B1016" s="37" t="n"/>
      <c r="C1016" s="37" t="n"/>
      <c r="D1016" s="39" t="str">
        <f>IF(C1016="","",IFERROR(INDEX(art_des,MATCH(C1016,art_ref,0))&amp;"","Référence inconnue"))</f>
        <v/>
      </c>
      <c r="E1016" s="37" t="n"/>
      <c r="F1016" s="39" t="str">
        <f>IF(C1016="","",IFERROR(INDEX(art_unit,MATCH(C1016,art_ref,0))&amp;"",""))</f>
        <v/>
      </c>
      <c r="G1016" s="37" t="n"/>
      <c r="H1016" s="37" t="n"/>
      <c r="I1016" s="37" t="n"/>
      <c r="J1016" s="40" t="str">
        <f>IF(OR(C1016="",NOT(ISNUMBER(E1016))),"",IFERROR(E1016*N(INDEX(art_price,MATCH(C1016,art_ref,0))),""))</f>
        <v/>
      </c>
      <c r="K1016" s="39" t="str">
        <f>IF(OR(C1016="",NOT(ISNUMBER(E1016))),"",IFERROR(ROUND(N(INDEX(art_init,MATCH(C1016,art_ref,0)))+SUMIFS($E$5:E1016,$C$5:C1016,C1016,$B$5:B1016,"Entrée")-SUMIFS($E$5:E1016,$C$5:C1016,C1016,$B$5:B1016,"Sortie"),6),""))</f>
        <v/>
      </c>
      <c r="L1016" s="39" t="str">
        <f>IF(COUNTA(A1016:C1016,E1016)=0,"",IF(COUNTA(A1016:C1016,E1016)&lt;4,"Ligne incomplète",IF(NOT(ISNUMBER(A1016)),"Date invalide",IF(AND(B1016&lt;&gt;"Entrée",B1016&lt;&gt;"Sortie"),"Type inconnu",IF(ISNA(MATCH(C1016,art_ref,0)),"Référence inconnue",IF(OR(NOT(ISNUMBER(E1016)),N(E1016)&lt;=0),"Quantité invalide",IF(K1016&lt;0,"Stock négatif",IF(AND(ISNUMBER(A1015),A1016&lt;A1015),"Date hors ordre","OK"))))))))</f>
        <v/>
      </c>
      <c r="M1016" s="39" t="str">
        <f>IF(C1016="","",C1016&amp;"#"&amp;COUNTIF($C$5:C1016,C1016))</f>
        <v/>
      </c>
    </row>
    <row r="1017">
      <c r="A1017" s="41" t="n"/>
      <c r="B1017" s="37" t="n"/>
      <c r="C1017" s="37" t="n"/>
      <c r="D1017" s="39" t="str">
        <f>IF(C1017="","",IFERROR(INDEX(art_des,MATCH(C1017,art_ref,0))&amp;"","Référence inconnue"))</f>
        <v/>
      </c>
      <c r="E1017" s="37" t="n"/>
      <c r="F1017" s="39" t="str">
        <f>IF(C1017="","",IFERROR(INDEX(art_unit,MATCH(C1017,art_ref,0))&amp;"",""))</f>
        <v/>
      </c>
      <c r="G1017" s="37" t="n"/>
      <c r="H1017" s="37" t="n"/>
      <c r="I1017" s="37" t="n"/>
      <c r="J1017" s="40" t="str">
        <f>IF(OR(C1017="",NOT(ISNUMBER(E1017))),"",IFERROR(E1017*N(INDEX(art_price,MATCH(C1017,art_ref,0))),""))</f>
        <v/>
      </c>
      <c r="K1017" s="39" t="str">
        <f>IF(OR(C1017="",NOT(ISNUMBER(E1017))),"",IFERROR(ROUND(N(INDEX(art_init,MATCH(C1017,art_ref,0)))+SUMIFS($E$5:E1017,$C$5:C1017,C1017,$B$5:B1017,"Entrée")-SUMIFS($E$5:E1017,$C$5:C1017,C1017,$B$5:B1017,"Sortie"),6),""))</f>
        <v/>
      </c>
      <c r="L1017" s="39" t="str">
        <f>IF(COUNTA(A1017:C1017,E1017)=0,"",IF(COUNTA(A1017:C1017,E1017)&lt;4,"Ligne incomplète",IF(NOT(ISNUMBER(A1017)),"Date invalide",IF(AND(B1017&lt;&gt;"Entrée",B1017&lt;&gt;"Sortie"),"Type inconnu",IF(ISNA(MATCH(C1017,art_ref,0)),"Référence inconnue",IF(OR(NOT(ISNUMBER(E1017)),N(E1017)&lt;=0),"Quantité invalide",IF(K1017&lt;0,"Stock négatif",IF(AND(ISNUMBER(A1016),A1017&lt;A1016),"Date hors ordre","OK"))))))))</f>
        <v/>
      </c>
      <c r="M1017" s="39" t="str">
        <f>IF(C1017="","",C1017&amp;"#"&amp;COUNTIF($C$5:C1017,C1017))</f>
        <v/>
      </c>
    </row>
    <row r="1018">
      <c r="A1018" s="41" t="n"/>
      <c r="B1018" s="37" t="n"/>
      <c r="C1018" s="37" t="n"/>
      <c r="D1018" s="39" t="str">
        <f>IF(C1018="","",IFERROR(INDEX(art_des,MATCH(C1018,art_ref,0))&amp;"","Référence inconnue"))</f>
        <v/>
      </c>
      <c r="E1018" s="37" t="n"/>
      <c r="F1018" s="39" t="str">
        <f>IF(C1018="","",IFERROR(INDEX(art_unit,MATCH(C1018,art_ref,0))&amp;"",""))</f>
        <v/>
      </c>
      <c r="G1018" s="37" t="n"/>
      <c r="H1018" s="37" t="n"/>
      <c r="I1018" s="37" t="n"/>
      <c r="J1018" s="40" t="str">
        <f>IF(OR(C1018="",NOT(ISNUMBER(E1018))),"",IFERROR(E1018*N(INDEX(art_price,MATCH(C1018,art_ref,0))),""))</f>
        <v/>
      </c>
      <c r="K1018" s="39" t="str">
        <f>IF(OR(C1018="",NOT(ISNUMBER(E1018))),"",IFERROR(ROUND(N(INDEX(art_init,MATCH(C1018,art_ref,0)))+SUMIFS($E$5:E1018,$C$5:C1018,C1018,$B$5:B1018,"Entrée")-SUMIFS($E$5:E1018,$C$5:C1018,C1018,$B$5:B1018,"Sortie"),6),""))</f>
        <v/>
      </c>
      <c r="L1018" s="39" t="str">
        <f>IF(COUNTA(A1018:C1018,E1018)=0,"",IF(COUNTA(A1018:C1018,E1018)&lt;4,"Ligne incomplète",IF(NOT(ISNUMBER(A1018)),"Date invalide",IF(AND(B1018&lt;&gt;"Entrée",B1018&lt;&gt;"Sortie"),"Type inconnu",IF(ISNA(MATCH(C1018,art_ref,0)),"Référence inconnue",IF(OR(NOT(ISNUMBER(E1018)),N(E1018)&lt;=0),"Quantité invalide",IF(K1018&lt;0,"Stock négatif",IF(AND(ISNUMBER(A1017),A1018&lt;A1017),"Date hors ordre","OK"))))))))</f>
        <v/>
      </c>
      <c r="M1018" s="39" t="str">
        <f>IF(C1018="","",C1018&amp;"#"&amp;COUNTIF($C$5:C1018,C1018))</f>
        <v/>
      </c>
    </row>
    <row r="1019">
      <c r="A1019" s="41" t="n"/>
      <c r="B1019" s="37" t="n"/>
      <c r="C1019" s="37" t="n"/>
      <c r="D1019" s="39" t="str">
        <f>IF(C1019="","",IFERROR(INDEX(art_des,MATCH(C1019,art_ref,0))&amp;"","Référence inconnue"))</f>
        <v/>
      </c>
      <c r="E1019" s="37" t="n"/>
      <c r="F1019" s="39" t="str">
        <f>IF(C1019="","",IFERROR(INDEX(art_unit,MATCH(C1019,art_ref,0))&amp;"",""))</f>
        <v/>
      </c>
      <c r="G1019" s="37" t="n"/>
      <c r="H1019" s="37" t="n"/>
      <c r="I1019" s="37" t="n"/>
      <c r="J1019" s="40" t="str">
        <f>IF(OR(C1019="",NOT(ISNUMBER(E1019))),"",IFERROR(E1019*N(INDEX(art_price,MATCH(C1019,art_ref,0))),""))</f>
        <v/>
      </c>
      <c r="K1019" s="39" t="str">
        <f>IF(OR(C1019="",NOT(ISNUMBER(E1019))),"",IFERROR(ROUND(N(INDEX(art_init,MATCH(C1019,art_ref,0)))+SUMIFS($E$5:E1019,$C$5:C1019,C1019,$B$5:B1019,"Entrée")-SUMIFS($E$5:E1019,$C$5:C1019,C1019,$B$5:B1019,"Sortie"),6),""))</f>
        <v/>
      </c>
      <c r="L1019" s="39" t="str">
        <f>IF(COUNTA(A1019:C1019,E1019)=0,"",IF(COUNTA(A1019:C1019,E1019)&lt;4,"Ligne incomplète",IF(NOT(ISNUMBER(A1019)),"Date invalide",IF(AND(B1019&lt;&gt;"Entrée",B1019&lt;&gt;"Sortie"),"Type inconnu",IF(ISNA(MATCH(C1019,art_ref,0)),"Référence inconnue",IF(OR(NOT(ISNUMBER(E1019)),N(E1019)&lt;=0),"Quantité invalide",IF(K1019&lt;0,"Stock négatif",IF(AND(ISNUMBER(A1018),A1019&lt;A1018),"Date hors ordre","OK"))))))))</f>
        <v/>
      </c>
      <c r="M1019" s="39" t="str">
        <f>IF(C1019="","",C1019&amp;"#"&amp;COUNTIF($C$5:C1019,C1019))</f>
        <v/>
      </c>
    </row>
    <row r="1020">
      <c r="A1020" s="41" t="n"/>
      <c r="B1020" s="37" t="n"/>
      <c r="C1020" s="37" t="n"/>
      <c r="D1020" s="39" t="str">
        <f>IF(C1020="","",IFERROR(INDEX(art_des,MATCH(C1020,art_ref,0))&amp;"","Référence inconnue"))</f>
        <v/>
      </c>
      <c r="E1020" s="37" t="n"/>
      <c r="F1020" s="39" t="str">
        <f>IF(C1020="","",IFERROR(INDEX(art_unit,MATCH(C1020,art_ref,0))&amp;"",""))</f>
        <v/>
      </c>
      <c r="G1020" s="37" t="n"/>
      <c r="H1020" s="37" t="n"/>
      <c r="I1020" s="37" t="n"/>
      <c r="J1020" s="40" t="str">
        <f>IF(OR(C1020="",NOT(ISNUMBER(E1020))),"",IFERROR(E1020*N(INDEX(art_price,MATCH(C1020,art_ref,0))),""))</f>
        <v/>
      </c>
      <c r="K1020" s="39" t="str">
        <f>IF(OR(C1020="",NOT(ISNUMBER(E1020))),"",IFERROR(ROUND(N(INDEX(art_init,MATCH(C1020,art_ref,0)))+SUMIFS($E$5:E1020,$C$5:C1020,C1020,$B$5:B1020,"Entrée")-SUMIFS($E$5:E1020,$C$5:C1020,C1020,$B$5:B1020,"Sortie"),6),""))</f>
        <v/>
      </c>
      <c r="L1020" s="39" t="str">
        <f>IF(COUNTA(A1020:C1020,E1020)=0,"",IF(COUNTA(A1020:C1020,E1020)&lt;4,"Ligne incomplète",IF(NOT(ISNUMBER(A1020)),"Date invalide",IF(AND(B1020&lt;&gt;"Entrée",B1020&lt;&gt;"Sortie"),"Type inconnu",IF(ISNA(MATCH(C1020,art_ref,0)),"Référence inconnue",IF(OR(NOT(ISNUMBER(E1020)),N(E1020)&lt;=0),"Quantité invalide",IF(K1020&lt;0,"Stock négatif",IF(AND(ISNUMBER(A1019),A1020&lt;A1019),"Date hors ordre","OK"))))))))</f>
        <v/>
      </c>
      <c r="M1020" s="39" t="str">
        <f>IF(C1020="","",C1020&amp;"#"&amp;COUNTIF($C$5:C1020,C1020))</f>
        <v/>
      </c>
    </row>
    <row r="1021">
      <c r="A1021" s="41" t="n"/>
      <c r="B1021" s="37" t="n"/>
      <c r="C1021" s="37" t="n"/>
      <c r="D1021" s="39" t="str">
        <f>IF(C1021="","",IFERROR(INDEX(art_des,MATCH(C1021,art_ref,0))&amp;"","Référence inconnue"))</f>
        <v/>
      </c>
      <c r="E1021" s="37" t="n"/>
      <c r="F1021" s="39" t="str">
        <f>IF(C1021="","",IFERROR(INDEX(art_unit,MATCH(C1021,art_ref,0))&amp;"",""))</f>
        <v/>
      </c>
      <c r="G1021" s="37" t="n"/>
      <c r="H1021" s="37" t="n"/>
      <c r="I1021" s="37" t="n"/>
      <c r="J1021" s="40" t="str">
        <f>IF(OR(C1021="",NOT(ISNUMBER(E1021))),"",IFERROR(E1021*N(INDEX(art_price,MATCH(C1021,art_ref,0))),""))</f>
        <v/>
      </c>
      <c r="K1021" s="39" t="str">
        <f>IF(OR(C1021="",NOT(ISNUMBER(E1021))),"",IFERROR(ROUND(N(INDEX(art_init,MATCH(C1021,art_ref,0)))+SUMIFS($E$5:E1021,$C$5:C1021,C1021,$B$5:B1021,"Entrée")-SUMIFS($E$5:E1021,$C$5:C1021,C1021,$B$5:B1021,"Sortie"),6),""))</f>
        <v/>
      </c>
      <c r="L1021" s="39" t="str">
        <f>IF(COUNTA(A1021:C1021,E1021)=0,"",IF(COUNTA(A1021:C1021,E1021)&lt;4,"Ligne incomplète",IF(NOT(ISNUMBER(A1021)),"Date invalide",IF(AND(B1021&lt;&gt;"Entrée",B1021&lt;&gt;"Sortie"),"Type inconnu",IF(ISNA(MATCH(C1021,art_ref,0)),"Référence inconnue",IF(OR(NOT(ISNUMBER(E1021)),N(E1021)&lt;=0),"Quantité invalide",IF(K1021&lt;0,"Stock négatif",IF(AND(ISNUMBER(A1020),A1021&lt;A1020),"Date hors ordre","OK"))))))))</f>
        <v/>
      </c>
      <c r="M1021" s="39" t="str">
        <f>IF(C1021="","",C1021&amp;"#"&amp;COUNTIF($C$5:C1021,C1021))</f>
        <v/>
      </c>
    </row>
    <row r="1022">
      <c r="A1022" s="41" t="n"/>
      <c r="B1022" s="37" t="n"/>
      <c r="C1022" s="37" t="n"/>
      <c r="D1022" s="39" t="str">
        <f>IF(C1022="","",IFERROR(INDEX(art_des,MATCH(C1022,art_ref,0))&amp;"","Référence inconnue"))</f>
        <v/>
      </c>
      <c r="E1022" s="37" t="n"/>
      <c r="F1022" s="39" t="str">
        <f>IF(C1022="","",IFERROR(INDEX(art_unit,MATCH(C1022,art_ref,0))&amp;"",""))</f>
        <v/>
      </c>
      <c r="G1022" s="37" t="n"/>
      <c r="H1022" s="37" t="n"/>
      <c r="I1022" s="37" t="n"/>
      <c r="J1022" s="40" t="str">
        <f>IF(OR(C1022="",NOT(ISNUMBER(E1022))),"",IFERROR(E1022*N(INDEX(art_price,MATCH(C1022,art_ref,0))),""))</f>
        <v/>
      </c>
      <c r="K1022" s="39" t="str">
        <f>IF(OR(C1022="",NOT(ISNUMBER(E1022))),"",IFERROR(ROUND(N(INDEX(art_init,MATCH(C1022,art_ref,0)))+SUMIFS($E$5:E1022,$C$5:C1022,C1022,$B$5:B1022,"Entrée")-SUMIFS($E$5:E1022,$C$5:C1022,C1022,$B$5:B1022,"Sortie"),6),""))</f>
        <v/>
      </c>
      <c r="L1022" s="39" t="str">
        <f>IF(COUNTA(A1022:C1022,E1022)=0,"",IF(COUNTA(A1022:C1022,E1022)&lt;4,"Ligne incomplète",IF(NOT(ISNUMBER(A1022)),"Date invalide",IF(AND(B1022&lt;&gt;"Entrée",B1022&lt;&gt;"Sortie"),"Type inconnu",IF(ISNA(MATCH(C1022,art_ref,0)),"Référence inconnue",IF(OR(NOT(ISNUMBER(E1022)),N(E1022)&lt;=0),"Quantité invalide",IF(K1022&lt;0,"Stock négatif",IF(AND(ISNUMBER(A1021),A1022&lt;A1021),"Date hors ordre","OK"))))))))</f>
        <v/>
      </c>
      <c r="M1022" s="39" t="str">
        <f>IF(C1022="","",C1022&amp;"#"&amp;COUNTIF($C$5:C1022,C1022))</f>
        <v/>
      </c>
    </row>
    <row r="1023">
      <c r="A1023" s="41" t="n"/>
      <c r="B1023" s="37" t="n"/>
      <c r="C1023" s="37" t="n"/>
      <c r="D1023" s="39" t="str">
        <f>IF(C1023="","",IFERROR(INDEX(art_des,MATCH(C1023,art_ref,0))&amp;"","Référence inconnue"))</f>
        <v/>
      </c>
      <c r="E1023" s="37" t="n"/>
      <c r="F1023" s="39" t="str">
        <f>IF(C1023="","",IFERROR(INDEX(art_unit,MATCH(C1023,art_ref,0))&amp;"",""))</f>
        <v/>
      </c>
      <c r="G1023" s="37" t="n"/>
      <c r="H1023" s="37" t="n"/>
      <c r="I1023" s="37" t="n"/>
      <c r="J1023" s="40" t="str">
        <f>IF(OR(C1023="",NOT(ISNUMBER(E1023))),"",IFERROR(E1023*N(INDEX(art_price,MATCH(C1023,art_ref,0))),""))</f>
        <v/>
      </c>
      <c r="K1023" s="39" t="str">
        <f>IF(OR(C1023="",NOT(ISNUMBER(E1023))),"",IFERROR(ROUND(N(INDEX(art_init,MATCH(C1023,art_ref,0)))+SUMIFS($E$5:E1023,$C$5:C1023,C1023,$B$5:B1023,"Entrée")-SUMIFS($E$5:E1023,$C$5:C1023,C1023,$B$5:B1023,"Sortie"),6),""))</f>
        <v/>
      </c>
      <c r="L1023" s="39" t="str">
        <f>IF(COUNTA(A1023:C1023,E1023)=0,"",IF(COUNTA(A1023:C1023,E1023)&lt;4,"Ligne incomplète",IF(NOT(ISNUMBER(A1023)),"Date invalide",IF(AND(B1023&lt;&gt;"Entrée",B1023&lt;&gt;"Sortie"),"Type inconnu",IF(ISNA(MATCH(C1023,art_ref,0)),"Référence inconnue",IF(OR(NOT(ISNUMBER(E1023)),N(E1023)&lt;=0),"Quantité invalide",IF(K1023&lt;0,"Stock négatif",IF(AND(ISNUMBER(A1022),A1023&lt;A1022),"Date hors ordre","OK"))))))))</f>
        <v/>
      </c>
      <c r="M1023" s="39" t="str">
        <f>IF(C1023="","",C1023&amp;"#"&amp;COUNTIF($C$5:C1023,C1023))</f>
        <v/>
      </c>
    </row>
    <row r="1024">
      <c r="A1024" s="41" t="n"/>
      <c r="B1024" s="37" t="n"/>
      <c r="C1024" s="37" t="n"/>
      <c r="D1024" s="39" t="str">
        <f>IF(C1024="","",IFERROR(INDEX(art_des,MATCH(C1024,art_ref,0))&amp;"","Référence inconnue"))</f>
        <v/>
      </c>
      <c r="E1024" s="37" t="n"/>
      <c r="F1024" s="39" t="str">
        <f>IF(C1024="","",IFERROR(INDEX(art_unit,MATCH(C1024,art_ref,0))&amp;"",""))</f>
        <v/>
      </c>
      <c r="G1024" s="37" t="n"/>
      <c r="H1024" s="37" t="n"/>
      <c r="I1024" s="37" t="n"/>
      <c r="J1024" s="40" t="str">
        <f>IF(OR(C1024="",NOT(ISNUMBER(E1024))),"",IFERROR(E1024*N(INDEX(art_price,MATCH(C1024,art_ref,0))),""))</f>
        <v/>
      </c>
      <c r="K1024" s="39" t="str">
        <f>IF(OR(C1024="",NOT(ISNUMBER(E1024))),"",IFERROR(ROUND(N(INDEX(art_init,MATCH(C1024,art_ref,0)))+SUMIFS($E$5:E1024,$C$5:C1024,C1024,$B$5:B1024,"Entrée")-SUMIFS($E$5:E1024,$C$5:C1024,C1024,$B$5:B1024,"Sortie"),6),""))</f>
        <v/>
      </c>
      <c r="L1024" s="39" t="str">
        <f>IF(COUNTA(A1024:C1024,E1024)=0,"",IF(COUNTA(A1024:C1024,E1024)&lt;4,"Ligne incomplète",IF(NOT(ISNUMBER(A1024)),"Date invalide",IF(AND(B1024&lt;&gt;"Entrée",B1024&lt;&gt;"Sortie"),"Type inconnu",IF(ISNA(MATCH(C1024,art_ref,0)),"Référence inconnue",IF(OR(NOT(ISNUMBER(E1024)),N(E1024)&lt;=0),"Quantité invalide",IF(K1024&lt;0,"Stock négatif",IF(AND(ISNUMBER(A1023),A1024&lt;A1023),"Date hors ordre","OK"))))))))</f>
        <v/>
      </c>
      <c r="M1024" s="39" t="str">
        <f>IF(C1024="","",C1024&amp;"#"&amp;COUNTIF($C$5:C1024,C1024))</f>
        <v/>
      </c>
    </row>
    <row r="1025">
      <c r="A1025" s="41" t="n"/>
      <c r="B1025" s="37" t="n"/>
      <c r="C1025" s="37" t="n"/>
      <c r="D1025" s="39" t="str">
        <f>IF(C1025="","",IFERROR(INDEX(art_des,MATCH(C1025,art_ref,0))&amp;"","Référence inconnue"))</f>
        <v/>
      </c>
      <c r="E1025" s="37" t="n"/>
      <c r="F1025" s="39" t="str">
        <f>IF(C1025="","",IFERROR(INDEX(art_unit,MATCH(C1025,art_ref,0))&amp;"",""))</f>
        <v/>
      </c>
      <c r="G1025" s="37" t="n"/>
      <c r="H1025" s="37" t="n"/>
      <c r="I1025" s="37" t="n"/>
      <c r="J1025" s="40" t="str">
        <f>IF(OR(C1025="",NOT(ISNUMBER(E1025))),"",IFERROR(E1025*N(INDEX(art_price,MATCH(C1025,art_ref,0))),""))</f>
        <v/>
      </c>
      <c r="K1025" s="39" t="str">
        <f>IF(OR(C1025="",NOT(ISNUMBER(E1025))),"",IFERROR(ROUND(N(INDEX(art_init,MATCH(C1025,art_ref,0)))+SUMIFS($E$5:E1025,$C$5:C1025,C1025,$B$5:B1025,"Entrée")-SUMIFS($E$5:E1025,$C$5:C1025,C1025,$B$5:B1025,"Sortie"),6),""))</f>
        <v/>
      </c>
      <c r="L1025" s="39" t="str">
        <f>IF(COUNTA(A1025:C1025,E1025)=0,"",IF(COUNTA(A1025:C1025,E1025)&lt;4,"Ligne incomplète",IF(NOT(ISNUMBER(A1025)),"Date invalide",IF(AND(B1025&lt;&gt;"Entrée",B1025&lt;&gt;"Sortie"),"Type inconnu",IF(ISNA(MATCH(C1025,art_ref,0)),"Référence inconnue",IF(OR(NOT(ISNUMBER(E1025)),N(E1025)&lt;=0),"Quantité invalide",IF(K1025&lt;0,"Stock négatif",IF(AND(ISNUMBER(A1024),A1025&lt;A1024),"Date hors ordre","OK"))))))))</f>
        <v/>
      </c>
      <c r="M1025" s="39" t="str">
        <f>IF(C1025="","",C1025&amp;"#"&amp;COUNTIF($C$5:C1025,C1025))</f>
        <v/>
      </c>
    </row>
    <row r="1026">
      <c r="A1026" s="41" t="n"/>
      <c r="B1026" s="37" t="n"/>
      <c r="C1026" s="37" t="n"/>
      <c r="D1026" s="39" t="str">
        <f>IF(C1026="","",IFERROR(INDEX(art_des,MATCH(C1026,art_ref,0))&amp;"","Référence inconnue"))</f>
        <v/>
      </c>
      <c r="E1026" s="37" t="n"/>
      <c r="F1026" s="39" t="str">
        <f>IF(C1026="","",IFERROR(INDEX(art_unit,MATCH(C1026,art_ref,0))&amp;"",""))</f>
        <v/>
      </c>
      <c r="G1026" s="37" t="n"/>
      <c r="H1026" s="37" t="n"/>
      <c r="I1026" s="37" t="n"/>
      <c r="J1026" s="40" t="str">
        <f>IF(OR(C1026="",NOT(ISNUMBER(E1026))),"",IFERROR(E1026*N(INDEX(art_price,MATCH(C1026,art_ref,0))),""))</f>
        <v/>
      </c>
      <c r="K1026" s="39" t="str">
        <f>IF(OR(C1026="",NOT(ISNUMBER(E1026))),"",IFERROR(ROUND(N(INDEX(art_init,MATCH(C1026,art_ref,0)))+SUMIFS($E$5:E1026,$C$5:C1026,C1026,$B$5:B1026,"Entrée")-SUMIFS($E$5:E1026,$C$5:C1026,C1026,$B$5:B1026,"Sortie"),6),""))</f>
        <v/>
      </c>
      <c r="L1026" s="39" t="str">
        <f>IF(COUNTA(A1026:C1026,E1026)=0,"",IF(COUNTA(A1026:C1026,E1026)&lt;4,"Ligne incomplète",IF(NOT(ISNUMBER(A1026)),"Date invalide",IF(AND(B1026&lt;&gt;"Entrée",B1026&lt;&gt;"Sortie"),"Type inconnu",IF(ISNA(MATCH(C1026,art_ref,0)),"Référence inconnue",IF(OR(NOT(ISNUMBER(E1026)),N(E1026)&lt;=0),"Quantité invalide",IF(K1026&lt;0,"Stock négatif",IF(AND(ISNUMBER(A1025),A1026&lt;A1025),"Date hors ordre","OK"))))))))</f>
        <v/>
      </c>
      <c r="M1026" s="39" t="str">
        <f>IF(C1026="","",C1026&amp;"#"&amp;COUNTIF($C$5:C1026,C1026))</f>
        <v/>
      </c>
    </row>
    <row r="1027">
      <c r="A1027" s="41" t="n"/>
      <c r="B1027" s="37" t="n"/>
      <c r="C1027" s="37" t="n"/>
      <c r="D1027" s="39" t="str">
        <f>IF(C1027="","",IFERROR(INDEX(art_des,MATCH(C1027,art_ref,0))&amp;"","Référence inconnue"))</f>
        <v/>
      </c>
      <c r="E1027" s="37" t="n"/>
      <c r="F1027" s="39" t="str">
        <f>IF(C1027="","",IFERROR(INDEX(art_unit,MATCH(C1027,art_ref,0))&amp;"",""))</f>
        <v/>
      </c>
      <c r="G1027" s="37" t="n"/>
      <c r="H1027" s="37" t="n"/>
      <c r="I1027" s="37" t="n"/>
      <c r="J1027" s="40" t="str">
        <f>IF(OR(C1027="",NOT(ISNUMBER(E1027))),"",IFERROR(E1027*N(INDEX(art_price,MATCH(C1027,art_ref,0))),""))</f>
        <v/>
      </c>
      <c r="K1027" s="39" t="str">
        <f>IF(OR(C1027="",NOT(ISNUMBER(E1027))),"",IFERROR(ROUND(N(INDEX(art_init,MATCH(C1027,art_ref,0)))+SUMIFS($E$5:E1027,$C$5:C1027,C1027,$B$5:B1027,"Entrée")-SUMIFS($E$5:E1027,$C$5:C1027,C1027,$B$5:B1027,"Sortie"),6),""))</f>
        <v/>
      </c>
      <c r="L1027" s="39" t="str">
        <f>IF(COUNTA(A1027:C1027,E1027)=0,"",IF(COUNTA(A1027:C1027,E1027)&lt;4,"Ligne incomplète",IF(NOT(ISNUMBER(A1027)),"Date invalide",IF(AND(B1027&lt;&gt;"Entrée",B1027&lt;&gt;"Sortie"),"Type inconnu",IF(ISNA(MATCH(C1027,art_ref,0)),"Référence inconnue",IF(OR(NOT(ISNUMBER(E1027)),N(E1027)&lt;=0),"Quantité invalide",IF(K1027&lt;0,"Stock négatif",IF(AND(ISNUMBER(A1026),A1027&lt;A1026),"Date hors ordre","OK"))))))))</f>
        <v/>
      </c>
      <c r="M1027" s="39" t="str">
        <f>IF(C1027="","",C1027&amp;"#"&amp;COUNTIF($C$5:C1027,C1027))</f>
        <v/>
      </c>
    </row>
    <row r="1028">
      <c r="A1028" s="41" t="n"/>
      <c r="B1028" s="37" t="n"/>
      <c r="C1028" s="37" t="n"/>
      <c r="D1028" s="39" t="str">
        <f>IF(C1028="","",IFERROR(INDEX(art_des,MATCH(C1028,art_ref,0))&amp;"","Référence inconnue"))</f>
        <v/>
      </c>
      <c r="E1028" s="37" t="n"/>
      <c r="F1028" s="39" t="str">
        <f>IF(C1028="","",IFERROR(INDEX(art_unit,MATCH(C1028,art_ref,0))&amp;"",""))</f>
        <v/>
      </c>
      <c r="G1028" s="37" t="n"/>
      <c r="H1028" s="37" t="n"/>
      <c r="I1028" s="37" t="n"/>
      <c r="J1028" s="40" t="str">
        <f>IF(OR(C1028="",NOT(ISNUMBER(E1028))),"",IFERROR(E1028*N(INDEX(art_price,MATCH(C1028,art_ref,0))),""))</f>
        <v/>
      </c>
      <c r="K1028" s="39" t="str">
        <f>IF(OR(C1028="",NOT(ISNUMBER(E1028))),"",IFERROR(ROUND(N(INDEX(art_init,MATCH(C1028,art_ref,0)))+SUMIFS($E$5:E1028,$C$5:C1028,C1028,$B$5:B1028,"Entrée")-SUMIFS($E$5:E1028,$C$5:C1028,C1028,$B$5:B1028,"Sortie"),6),""))</f>
        <v/>
      </c>
      <c r="L1028" s="39" t="str">
        <f>IF(COUNTA(A1028:C1028,E1028)=0,"",IF(COUNTA(A1028:C1028,E1028)&lt;4,"Ligne incomplète",IF(NOT(ISNUMBER(A1028)),"Date invalide",IF(AND(B1028&lt;&gt;"Entrée",B1028&lt;&gt;"Sortie"),"Type inconnu",IF(ISNA(MATCH(C1028,art_ref,0)),"Référence inconnue",IF(OR(NOT(ISNUMBER(E1028)),N(E1028)&lt;=0),"Quantité invalide",IF(K1028&lt;0,"Stock négatif",IF(AND(ISNUMBER(A1027),A1028&lt;A1027),"Date hors ordre","OK"))))))))</f>
        <v/>
      </c>
      <c r="M1028" s="39" t="str">
        <f>IF(C1028="","",C1028&amp;"#"&amp;COUNTIF($C$5:C1028,C1028))</f>
        <v/>
      </c>
    </row>
    <row r="1029">
      <c r="A1029" s="41" t="n"/>
      <c r="B1029" s="37" t="n"/>
      <c r="C1029" s="37" t="n"/>
      <c r="D1029" s="39" t="str">
        <f>IF(C1029="","",IFERROR(INDEX(art_des,MATCH(C1029,art_ref,0))&amp;"","Référence inconnue"))</f>
        <v/>
      </c>
      <c r="E1029" s="37" t="n"/>
      <c r="F1029" s="39" t="str">
        <f>IF(C1029="","",IFERROR(INDEX(art_unit,MATCH(C1029,art_ref,0))&amp;"",""))</f>
        <v/>
      </c>
      <c r="G1029" s="37" t="n"/>
      <c r="H1029" s="37" t="n"/>
      <c r="I1029" s="37" t="n"/>
      <c r="J1029" s="40" t="str">
        <f>IF(OR(C1029="",NOT(ISNUMBER(E1029))),"",IFERROR(E1029*N(INDEX(art_price,MATCH(C1029,art_ref,0))),""))</f>
        <v/>
      </c>
      <c r="K1029" s="39" t="str">
        <f>IF(OR(C1029="",NOT(ISNUMBER(E1029))),"",IFERROR(ROUND(N(INDEX(art_init,MATCH(C1029,art_ref,0)))+SUMIFS($E$5:E1029,$C$5:C1029,C1029,$B$5:B1029,"Entrée")-SUMIFS($E$5:E1029,$C$5:C1029,C1029,$B$5:B1029,"Sortie"),6),""))</f>
        <v/>
      </c>
      <c r="L1029" s="39" t="str">
        <f>IF(COUNTA(A1029:C1029,E1029)=0,"",IF(COUNTA(A1029:C1029,E1029)&lt;4,"Ligne incomplète",IF(NOT(ISNUMBER(A1029)),"Date invalide",IF(AND(B1029&lt;&gt;"Entrée",B1029&lt;&gt;"Sortie"),"Type inconnu",IF(ISNA(MATCH(C1029,art_ref,0)),"Référence inconnue",IF(OR(NOT(ISNUMBER(E1029)),N(E1029)&lt;=0),"Quantité invalide",IF(K1029&lt;0,"Stock négatif",IF(AND(ISNUMBER(A1028),A1029&lt;A1028),"Date hors ordre","OK"))))))))</f>
        <v/>
      </c>
      <c r="M1029" s="39" t="str">
        <f>IF(C1029="","",C1029&amp;"#"&amp;COUNTIF($C$5:C1029,C1029))</f>
        <v/>
      </c>
    </row>
    <row r="1030">
      <c r="A1030" s="41" t="n"/>
      <c r="B1030" s="37" t="n"/>
      <c r="C1030" s="37" t="n"/>
      <c r="D1030" s="39" t="str">
        <f>IF(C1030="","",IFERROR(INDEX(art_des,MATCH(C1030,art_ref,0))&amp;"","Référence inconnue"))</f>
        <v/>
      </c>
      <c r="E1030" s="37" t="n"/>
      <c r="F1030" s="39" t="str">
        <f>IF(C1030="","",IFERROR(INDEX(art_unit,MATCH(C1030,art_ref,0))&amp;"",""))</f>
        <v/>
      </c>
      <c r="G1030" s="37" t="n"/>
      <c r="H1030" s="37" t="n"/>
      <c r="I1030" s="37" t="n"/>
      <c r="J1030" s="40" t="str">
        <f>IF(OR(C1030="",NOT(ISNUMBER(E1030))),"",IFERROR(E1030*N(INDEX(art_price,MATCH(C1030,art_ref,0))),""))</f>
        <v/>
      </c>
      <c r="K1030" s="39" t="str">
        <f>IF(OR(C1030="",NOT(ISNUMBER(E1030))),"",IFERROR(ROUND(N(INDEX(art_init,MATCH(C1030,art_ref,0)))+SUMIFS($E$5:E1030,$C$5:C1030,C1030,$B$5:B1030,"Entrée")-SUMIFS($E$5:E1030,$C$5:C1030,C1030,$B$5:B1030,"Sortie"),6),""))</f>
        <v/>
      </c>
      <c r="L1030" s="39" t="str">
        <f>IF(COUNTA(A1030:C1030,E1030)=0,"",IF(COUNTA(A1030:C1030,E1030)&lt;4,"Ligne incomplète",IF(NOT(ISNUMBER(A1030)),"Date invalide",IF(AND(B1030&lt;&gt;"Entrée",B1030&lt;&gt;"Sortie"),"Type inconnu",IF(ISNA(MATCH(C1030,art_ref,0)),"Référence inconnue",IF(OR(NOT(ISNUMBER(E1030)),N(E1030)&lt;=0),"Quantité invalide",IF(K1030&lt;0,"Stock négatif",IF(AND(ISNUMBER(A1029),A1030&lt;A1029),"Date hors ordre","OK"))))))))</f>
        <v/>
      </c>
      <c r="M1030" s="39" t="str">
        <f>IF(C1030="","",C1030&amp;"#"&amp;COUNTIF($C$5:C1030,C1030))</f>
        <v/>
      </c>
    </row>
    <row r="1031">
      <c r="A1031" s="41" t="n"/>
      <c r="B1031" s="37" t="n"/>
      <c r="C1031" s="37" t="n"/>
      <c r="D1031" s="39" t="str">
        <f>IF(C1031="","",IFERROR(INDEX(art_des,MATCH(C1031,art_ref,0))&amp;"","Référence inconnue"))</f>
        <v/>
      </c>
      <c r="E1031" s="37" t="n"/>
      <c r="F1031" s="39" t="str">
        <f>IF(C1031="","",IFERROR(INDEX(art_unit,MATCH(C1031,art_ref,0))&amp;"",""))</f>
        <v/>
      </c>
      <c r="G1031" s="37" t="n"/>
      <c r="H1031" s="37" t="n"/>
      <c r="I1031" s="37" t="n"/>
      <c r="J1031" s="40" t="str">
        <f>IF(OR(C1031="",NOT(ISNUMBER(E1031))),"",IFERROR(E1031*N(INDEX(art_price,MATCH(C1031,art_ref,0))),""))</f>
        <v/>
      </c>
      <c r="K1031" s="39" t="str">
        <f>IF(OR(C1031="",NOT(ISNUMBER(E1031))),"",IFERROR(ROUND(N(INDEX(art_init,MATCH(C1031,art_ref,0)))+SUMIFS($E$5:E1031,$C$5:C1031,C1031,$B$5:B1031,"Entrée")-SUMIFS($E$5:E1031,$C$5:C1031,C1031,$B$5:B1031,"Sortie"),6),""))</f>
        <v/>
      </c>
      <c r="L1031" s="39" t="str">
        <f>IF(COUNTA(A1031:C1031,E1031)=0,"",IF(COUNTA(A1031:C1031,E1031)&lt;4,"Ligne incomplète",IF(NOT(ISNUMBER(A1031)),"Date invalide",IF(AND(B1031&lt;&gt;"Entrée",B1031&lt;&gt;"Sortie"),"Type inconnu",IF(ISNA(MATCH(C1031,art_ref,0)),"Référence inconnue",IF(OR(NOT(ISNUMBER(E1031)),N(E1031)&lt;=0),"Quantité invalide",IF(K1031&lt;0,"Stock négatif",IF(AND(ISNUMBER(A1030),A1031&lt;A1030),"Date hors ordre","OK"))))))))</f>
        <v/>
      </c>
      <c r="M1031" s="39" t="str">
        <f>IF(C1031="","",C1031&amp;"#"&amp;COUNTIF($C$5:C1031,C1031))</f>
        <v/>
      </c>
    </row>
    <row r="1032">
      <c r="A1032" s="41" t="n"/>
      <c r="B1032" s="37" t="n"/>
      <c r="C1032" s="37" t="n"/>
      <c r="D1032" s="39" t="str">
        <f>IF(C1032="","",IFERROR(INDEX(art_des,MATCH(C1032,art_ref,0))&amp;"","Référence inconnue"))</f>
        <v/>
      </c>
      <c r="E1032" s="37" t="n"/>
      <c r="F1032" s="39" t="str">
        <f>IF(C1032="","",IFERROR(INDEX(art_unit,MATCH(C1032,art_ref,0))&amp;"",""))</f>
        <v/>
      </c>
      <c r="G1032" s="37" t="n"/>
      <c r="H1032" s="37" t="n"/>
      <c r="I1032" s="37" t="n"/>
      <c r="J1032" s="40" t="str">
        <f>IF(OR(C1032="",NOT(ISNUMBER(E1032))),"",IFERROR(E1032*N(INDEX(art_price,MATCH(C1032,art_ref,0))),""))</f>
        <v/>
      </c>
      <c r="K1032" s="39" t="str">
        <f>IF(OR(C1032="",NOT(ISNUMBER(E1032))),"",IFERROR(ROUND(N(INDEX(art_init,MATCH(C1032,art_ref,0)))+SUMIFS($E$5:E1032,$C$5:C1032,C1032,$B$5:B1032,"Entrée")-SUMIFS($E$5:E1032,$C$5:C1032,C1032,$B$5:B1032,"Sortie"),6),""))</f>
        <v/>
      </c>
      <c r="L1032" s="39" t="str">
        <f>IF(COUNTA(A1032:C1032,E1032)=0,"",IF(COUNTA(A1032:C1032,E1032)&lt;4,"Ligne incomplète",IF(NOT(ISNUMBER(A1032)),"Date invalide",IF(AND(B1032&lt;&gt;"Entrée",B1032&lt;&gt;"Sortie"),"Type inconnu",IF(ISNA(MATCH(C1032,art_ref,0)),"Référence inconnue",IF(OR(NOT(ISNUMBER(E1032)),N(E1032)&lt;=0),"Quantité invalide",IF(K1032&lt;0,"Stock négatif",IF(AND(ISNUMBER(A1031),A1032&lt;A1031),"Date hors ordre","OK"))))))))</f>
        <v/>
      </c>
      <c r="M1032" s="39" t="str">
        <f>IF(C1032="","",C1032&amp;"#"&amp;COUNTIF($C$5:C1032,C1032))</f>
        <v/>
      </c>
    </row>
    <row r="1033">
      <c r="A1033" s="41" t="n"/>
      <c r="B1033" s="37" t="n"/>
      <c r="C1033" s="37" t="n"/>
      <c r="D1033" s="39" t="str">
        <f>IF(C1033="","",IFERROR(INDEX(art_des,MATCH(C1033,art_ref,0))&amp;"","Référence inconnue"))</f>
        <v/>
      </c>
      <c r="E1033" s="37" t="n"/>
      <c r="F1033" s="39" t="str">
        <f>IF(C1033="","",IFERROR(INDEX(art_unit,MATCH(C1033,art_ref,0))&amp;"",""))</f>
        <v/>
      </c>
      <c r="G1033" s="37" t="n"/>
      <c r="H1033" s="37" t="n"/>
      <c r="I1033" s="37" t="n"/>
      <c r="J1033" s="40" t="str">
        <f>IF(OR(C1033="",NOT(ISNUMBER(E1033))),"",IFERROR(E1033*N(INDEX(art_price,MATCH(C1033,art_ref,0))),""))</f>
        <v/>
      </c>
      <c r="K1033" s="39" t="str">
        <f>IF(OR(C1033="",NOT(ISNUMBER(E1033))),"",IFERROR(ROUND(N(INDEX(art_init,MATCH(C1033,art_ref,0)))+SUMIFS($E$5:E1033,$C$5:C1033,C1033,$B$5:B1033,"Entrée")-SUMIFS($E$5:E1033,$C$5:C1033,C1033,$B$5:B1033,"Sortie"),6),""))</f>
        <v/>
      </c>
      <c r="L1033" s="39" t="str">
        <f>IF(COUNTA(A1033:C1033,E1033)=0,"",IF(COUNTA(A1033:C1033,E1033)&lt;4,"Ligne incomplète",IF(NOT(ISNUMBER(A1033)),"Date invalide",IF(AND(B1033&lt;&gt;"Entrée",B1033&lt;&gt;"Sortie"),"Type inconnu",IF(ISNA(MATCH(C1033,art_ref,0)),"Référence inconnue",IF(OR(NOT(ISNUMBER(E1033)),N(E1033)&lt;=0),"Quantité invalide",IF(K1033&lt;0,"Stock négatif",IF(AND(ISNUMBER(A1032),A1033&lt;A1032),"Date hors ordre","OK"))))))))</f>
        <v/>
      </c>
      <c r="M1033" s="39" t="str">
        <f>IF(C1033="","",C1033&amp;"#"&amp;COUNTIF($C$5:C1033,C1033))</f>
        <v/>
      </c>
    </row>
    <row r="1034">
      <c r="A1034" s="41" t="n"/>
      <c r="B1034" s="37" t="n"/>
      <c r="C1034" s="37" t="n"/>
      <c r="D1034" s="39" t="str">
        <f>IF(C1034="","",IFERROR(INDEX(art_des,MATCH(C1034,art_ref,0))&amp;"","Référence inconnue"))</f>
        <v/>
      </c>
      <c r="E1034" s="37" t="n"/>
      <c r="F1034" s="39" t="str">
        <f>IF(C1034="","",IFERROR(INDEX(art_unit,MATCH(C1034,art_ref,0))&amp;"",""))</f>
        <v/>
      </c>
      <c r="G1034" s="37" t="n"/>
      <c r="H1034" s="37" t="n"/>
      <c r="I1034" s="37" t="n"/>
      <c r="J1034" s="40" t="str">
        <f>IF(OR(C1034="",NOT(ISNUMBER(E1034))),"",IFERROR(E1034*N(INDEX(art_price,MATCH(C1034,art_ref,0))),""))</f>
        <v/>
      </c>
      <c r="K1034" s="39" t="str">
        <f>IF(OR(C1034="",NOT(ISNUMBER(E1034))),"",IFERROR(ROUND(N(INDEX(art_init,MATCH(C1034,art_ref,0)))+SUMIFS($E$5:E1034,$C$5:C1034,C1034,$B$5:B1034,"Entrée")-SUMIFS($E$5:E1034,$C$5:C1034,C1034,$B$5:B1034,"Sortie"),6),""))</f>
        <v/>
      </c>
      <c r="L1034" s="39" t="str">
        <f>IF(COUNTA(A1034:C1034,E1034)=0,"",IF(COUNTA(A1034:C1034,E1034)&lt;4,"Ligne incomplète",IF(NOT(ISNUMBER(A1034)),"Date invalide",IF(AND(B1034&lt;&gt;"Entrée",B1034&lt;&gt;"Sortie"),"Type inconnu",IF(ISNA(MATCH(C1034,art_ref,0)),"Référence inconnue",IF(OR(NOT(ISNUMBER(E1034)),N(E1034)&lt;=0),"Quantité invalide",IF(K1034&lt;0,"Stock négatif",IF(AND(ISNUMBER(A1033),A1034&lt;A1033),"Date hors ordre","OK"))))))))</f>
        <v/>
      </c>
      <c r="M1034" s="39" t="str">
        <f>IF(C1034="","",C1034&amp;"#"&amp;COUNTIF($C$5:C1034,C1034))</f>
        <v/>
      </c>
    </row>
    <row r="1035">
      <c r="A1035" s="41" t="n"/>
      <c r="B1035" s="37" t="n"/>
      <c r="C1035" s="37" t="n"/>
      <c r="D1035" s="39" t="str">
        <f>IF(C1035="","",IFERROR(INDEX(art_des,MATCH(C1035,art_ref,0))&amp;"","Référence inconnue"))</f>
        <v/>
      </c>
      <c r="E1035" s="37" t="n"/>
      <c r="F1035" s="39" t="str">
        <f>IF(C1035="","",IFERROR(INDEX(art_unit,MATCH(C1035,art_ref,0))&amp;"",""))</f>
        <v/>
      </c>
      <c r="G1035" s="37" t="n"/>
      <c r="H1035" s="37" t="n"/>
      <c r="I1035" s="37" t="n"/>
      <c r="J1035" s="40" t="str">
        <f>IF(OR(C1035="",NOT(ISNUMBER(E1035))),"",IFERROR(E1035*N(INDEX(art_price,MATCH(C1035,art_ref,0))),""))</f>
        <v/>
      </c>
      <c r="K1035" s="39" t="str">
        <f>IF(OR(C1035="",NOT(ISNUMBER(E1035))),"",IFERROR(ROUND(N(INDEX(art_init,MATCH(C1035,art_ref,0)))+SUMIFS($E$5:E1035,$C$5:C1035,C1035,$B$5:B1035,"Entrée")-SUMIFS($E$5:E1035,$C$5:C1035,C1035,$B$5:B1035,"Sortie"),6),""))</f>
        <v/>
      </c>
      <c r="L1035" s="39" t="str">
        <f>IF(COUNTA(A1035:C1035,E1035)=0,"",IF(COUNTA(A1035:C1035,E1035)&lt;4,"Ligne incomplète",IF(NOT(ISNUMBER(A1035)),"Date invalide",IF(AND(B1035&lt;&gt;"Entrée",B1035&lt;&gt;"Sortie"),"Type inconnu",IF(ISNA(MATCH(C1035,art_ref,0)),"Référence inconnue",IF(OR(NOT(ISNUMBER(E1035)),N(E1035)&lt;=0),"Quantité invalide",IF(K1035&lt;0,"Stock négatif",IF(AND(ISNUMBER(A1034),A1035&lt;A1034),"Date hors ordre","OK"))))))))</f>
        <v/>
      </c>
      <c r="M1035" s="39" t="str">
        <f>IF(C1035="","",C1035&amp;"#"&amp;COUNTIF($C$5:C1035,C1035))</f>
        <v/>
      </c>
    </row>
    <row r="1036">
      <c r="A1036" s="41" t="n"/>
      <c r="B1036" s="37" t="n"/>
      <c r="C1036" s="37" t="n"/>
      <c r="D1036" s="39" t="str">
        <f>IF(C1036="","",IFERROR(INDEX(art_des,MATCH(C1036,art_ref,0))&amp;"","Référence inconnue"))</f>
        <v/>
      </c>
      <c r="E1036" s="37" t="n"/>
      <c r="F1036" s="39" t="str">
        <f>IF(C1036="","",IFERROR(INDEX(art_unit,MATCH(C1036,art_ref,0))&amp;"",""))</f>
        <v/>
      </c>
      <c r="G1036" s="37" t="n"/>
      <c r="H1036" s="37" t="n"/>
      <c r="I1036" s="37" t="n"/>
      <c r="J1036" s="40" t="str">
        <f>IF(OR(C1036="",NOT(ISNUMBER(E1036))),"",IFERROR(E1036*N(INDEX(art_price,MATCH(C1036,art_ref,0))),""))</f>
        <v/>
      </c>
      <c r="K1036" s="39" t="str">
        <f>IF(OR(C1036="",NOT(ISNUMBER(E1036))),"",IFERROR(ROUND(N(INDEX(art_init,MATCH(C1036,art_ref,0)))+SUMIFS($E$5:E1036,$C$5:C1036,C1036,$B$5:B1036,"Entrée")-SUMIFS($E$5:E1036,$C$5:C1036,C1036,$B$5:B1036,"Sortie"),6),""))</f>
        <v/>
      </c>
      <c r="L1036" s="39" t="str">
        <f>IF(COUNTA(A1036:C1036,E1036)=0,"",IF(COUNTA(A1036:C1036,E1036)&lt;4,"Ligne incomplète",IF(NOT(ISNUMBER(A1036)),"Date invalide",IF(AND(B1036&lt;&gt;"Entrée",B1036&lt;&gt;"Sortie"),"Type inconnu",IF(ISNA(MATCH(C1036,art_ref,0)),"Référence inconnue",IF(OR(NOT(ISNUMBER(E1036)),N(E1036)&lt;=0),"Quantité invalide",IF(K1036&lt;0,"Stock négatif",IF(AND(ISNUMBER(A1035),A1036&lt;A1035),"Date hors ordre","OK"))))))))</f>
        <v/>
      </c>
      <c r="M1036" s="39" t="str">
        <f>IF(C1036="","",C1036&amp;"#"&amp;COUNTIF($C$5:C1036,C1036))</f>
        <v/>
      </c>
    </row>
    <row r="1037">
      <c r="A1037" s="41" t="n"/>
      <c r="B1037" s="37" t="n"/>
      <c r="C1037" s="37" t="n"/>
      <c r="D1037" s="39" t="str">
        <f>IF(C1037="","",IFERROR(INDEX(art_des,MATCH(C1037,art_ref,0))&amp;"","Référence inconnue"))</f>
        <v/>
      </c>
      <c r="E1037" s="37" t="n"/>
      <c r="F1037" s="39" t="str">
        <f>IF(C1037="","",IFERROR(INDEX(art_unit,MATCH(C1037,art_ref,0))&amp;"",""))</f>
        <v/>
      </c>
      <c r="G1037" s="37" t="n"/>
      <c r="H1037" s="37" t="n"/>
      <c r="I1037" s="37" t="n"/>
      <c r="J1037" s="40" t="str">
        <f>IF(OR(C1037="",NOT(ISNUMBER(E1037))),"",IFERROR(E1037*N(INDEX(art_price,MATCH(C1037,art_ref,0))),""))</f>
        <v/>
      </c>
      <c r="K1037" s="39" t="str">
        <f>IF(OR(C1037="",NOT(ISNUMBER(E1037))),"",IFERROR(ROUND(N(INDEX(art_init,MATCH(C1037,art_ref,0)))+SUMIFS($E$5:E1037,$C$5:C1037,C1037,$B$5:B1037,"Entrée")-SUMIFS($E$5:E1037,$C$5:C1037,C1037,$B$5:B1037,"Sortie"),6),""))</f>
        <v/>
      </c>
      <c r="L1037" s="39" t="str">
        <f>IF(COUNTA(A1037:C1037,E1037)=0,"",IF(COUNTA(A1037:C1037,E1037)&lt;4,"Ligne incomplète",IF(NOT(ISNUMBER(A1037)),"Date invalide",IF(AND(B1037&lt;&gt;"Entrée",B1037&lt;&gt;"Sortie"),"Type inconnu",IF(ISNA(MATCH(C1037,art_ref,0)),"Référence inconnue",IF(OR(NOT(ISNUMBER(E1037)),N(E1037)&lt;=0),"Quantité invalide",IF(K1037&lt;0,"Stock négatif",IF(AND(ISNUMBER(A1036),A1037&lt;A1036),"Date hors ordre","OK"))))))))</f>
        <v/>
      </c>
      <c r="M1037" s="39" t="str">
        <f>IF(C1037="","",C1037&amp;"#"&amp;COUNTIF($C$5:C1037,C1037))</f>
        <v/>
      </c>
    </row>
    <row r="1038">
      <c r="A1038" s="41" t="n"/>
      <c r="B1038" s="37" t="n"/>
      <c r="C1038" s="37" t="n"/>
      <c r="D1038" s="39" t="str">
        <f>IF(C1038="","",IFERROR(INDEX(art_des,MATCH(C1038,art_ref,0))&amp;"","Référence inconnue"))</f>
        <v/>
      </c>
      <c r="E1038" s="37" t="n"/>
      <c r="F1038" s="39" t="str">
        <f>IF(C1038="","",IFERROR(INDEX(art_unit,MATCH(C1038,art_ref,0))&amp;"",""))</f>
        <v/>
      </c>
      <c r="G1038" s="37" t="n"/>
      <c r="H1038" s="37" t="n"/>
      <c r="I1038" s="37" t="n"/>
      <c r="J1038" s="40" t="str">
        <f>IF(OR(C1038="",NOT(ISNUMBER(E1038))),"",IFERROR(E1038*N(INDEX(art_price,MATCH(C1038,art_ref,0))),""))</f>
        <v/>
      </c>
      <c r="K1038" s="39" t="str">
        <f>IF(OR(C1038="",NOT(ISNUMBER(E1038))),"",IFERROR(ROUND(N(INDEX(art_init,MATCH(C1038,art_ref,0)))+SUMIFS($E$5:E1038,$C$5:C1038,C1038,$B$5:B1038,"Entrée")-SUMIFS($E$5:E1038,$C$5:C1038,C1038,$B$5:B1038,"Sortie"),6),""))</f>
        <v/>
      </c>
      <c r="L1038" s="39" t="str">
        <f>IF(COUNTA(A1038:C1038,E1038)=0,"",IF(COUNTA(A1038:C1038,E1038)&lt;4,"Ligne incomplète",IF(NOT(ISNUMBER(A1038)),"Date invalide",IF(AND(B1038&lt;&gt;"Entrée",B1038&lt;&gt;"Sortie"),"Type inconnu",IF(ISNA(MATCH(C1038,art_ref,0)),"Référence inconnue",IF(OR(NOT(ISNUMBER(E1038)),N(E1038)&lt;=0),"Quantité invalide",IF(K1038&lt;0,"Stock négatif",IF(AND(ISNUMBER(A1037),A1038&lt;A1037),"Date hors ordre","OK"))))))))</f>
        <v/>
      </c>
      <c r="M1038" s="39" t="str">
        <f>IF(C1038="","",C1038&amp;"#"&amp;COUNTIF($C$5:C1038,C1038))</f>
        <v/>
      </c>
    </row>
    <row r="1039">
      <c r="A1039" s="41" t="n"/>
      <c r="B1039" s="37" t="n"/>
      <c r="C1039" s="37" t="n"/>
      <c r="D1039" s="39" t="str">
        <f>IF(C1039="","",IFERROR(INDEX(art_des,MATCH(C1039,art_ref,0))&amp;"","Référence inconnue"))</f>
        <v/>
      </c>
      <c r="E1039" s="37" t="n"/>
      <c r="F1039" s="39" t="str">
        <f>IF(C1039="","",IFERROR(INDEX(art_unit,MATCH(C1039,art_ref,0))&amp;"",""))</f>
        <v/>
      </c>
      <c r="G1039" s="37" t="n"/>
      <c r="H1039" s="37" t="n"/>
      <c r="I1039" s="37" t="n"/>
      <c r="J1039" s="40" t="str">
        <f>IF(OR(C1039="",NOT(ISNUMBER(E1039))),"",IFERROR(E1039*N(INDEX(art_price,MATCH(C1039,art_ref,0))),""))</f>
        <v/>
      </c>
      <c r="K1039" s="39" t="str">
        <f>IF(OR(C1039="",NOT(ISNUMBER(E1039))),"",IFERROR(ROUND(N(INDEX(art_init,MATCH(C1039,art_ref,0)))+SUMIFS($E$5:E1039,$C$5:C1039,C1039,$B$5:B1039,"Entrée")-SUMIFS($E$5:E1039,$C$5:C1039,C1039,$B$5:B1039,"Sortie"),6),""))</f>
        <v/>
      </c>
      <c r="L1039" s="39" t="str">
        <f>IF(COUNTA(A1039:C1039,E1039)=0,"",IF(COUNTA(A1039:C1039,E1039)&lt;4,"Ligne incomplète",IF(NOT(ISNUMBER(A1039)),"Date invalide",IF(AND(B1039&lt;&gt;"Entrée",B1039&lt;&gt;"Sortie"),"Type inconnu",IF(ISNA(MATCH(C1039,art_ref,0)),"Référence inconnue",IF(OR(NOT(ISNUMBER(E1039)),N(E1039)&lt;=0),"Quantité invalide",IF(K1039&lt;0,"Stock négatif",IF(AND(ISNUMBER(A1038),A1039&lt;A1038),"Date hors ordre","OK"))))))))</f>
        <v/>
      </c>
      <c r="M1039" s="39" t="str">
        <f>IF(C1039="","",C1039&amp;"#"&amp;COUNTIF($C$5:C1039,C1039))</f>
        <v/>
      </c>
    </row>
    <row r="1040">
      <c r="A1040" s="41" t="n"/>
      <c r="B1040" s="37" t="n"/>
      <c r="C1040" s="37" t="n"/>
      <c r="D1040" s="39" t="str">
        <f>IF(C1040="","",IFERROR(INDEX(art_des,MATCH(C1040,art_ref,0))&amp;"","Référence inconnue"))</f>
        <v/>
      </c>
      <c r="E1040" s="37" t="n"/>
      <c r="F1040" s="39" t="str">
        <f>IF(C1040="","",IFERROR(INDEX(art_unit,MATCH(C1040,art_ref,0))&amp;"",""))</f>
        <v/>
      </c>
      <c r="G1040" s="37" t="n"/>
      <c r="H1040" s="37" t="n"/>
      <c r="I1040" s="37" t="n"/>
      <c r="J1040" s="40" t="str">
        <f>IF(OR(C1040="",NOT(ISNUMBER(E1040))),"",IFERROR(E1040*N(INDEX(art_price,MATCH(C1040,art_ref,0))),""))</f>
        <v/>
      </c>
      <c r="K1040" s="39" t="str">
        <f>IF(OR(C1040="",NOT(ISNUMBER(E1040))),"",IFERROR(ROUND(N(INDEX(art_init,MATCH(C1040,art_ref,0)))+SUMIFS($E$5:E1040,$C$5:C1040,C1040,$B$5:B1040,"Entrée")-SUMIFS($E$5:E1040,$C$5:C1040,C1040,$B$5:B1040,"Sortie"),6),""))</f>
        <v/>
      </c>
      <c r="L1040" s="39" t="str">
        <f>IF(COUNTA(A1040:C1040,E1040)=0,"",IF(COUNTA(A1040:C1040,E1040)&lt;4,"Ligne incomplète",IF(NOT(ISNUMBER(A1040)),"Date invalide",IF(AND(B1040&lt;&gt;"Entrée",B1040&lt;&gt;"Sortie"),"Type inconnu",IF(ISNA(MATCH(C1040,art_ref,0)),"Référence inconnue",IF(OR(NOT(ISNUMBER(E1040)),N(E1040)&lt;=0),"Quantité invalide",IF(K1040&lt;0,"Stock négatif",IF(AND(ISNUMBER(A1039),A1040&lt;A1039),"Date hors ordre","OK"))))))))</f>
        <v/>
      </c>
      <c r="M1040" s="39" t="str">
        <f>IF(C1040="","",C1040&amp;"#"&amp;COUNTIF($C$5:C1040,C1040))</f>
        <v/>
      </c>
    </row>
    <row r="1041">
      <c r="A1041" s="41" t="n"/>
      <c r="B1041" s="37" t="n"/>
      <c r="C1041" s="37" t="n"/>
      <c r="D1041" s="39" t="str">
        <f>IF(C1041="","",IFERROR(INDEX(art_des,MATCH(C1041,art_ref,0))&amp;"","Référence inconnue"))</f>
        <v/>
      </c>
      <c r="E1041" s="37" t="n"/>
      <c r="F1041" s="39" t="str">
        <f>IF(C1041="","",IFERROR(INDEX(art_unit,MATCH(C1041,art_ref,0))&amp;"",""))</f>
        <v/>
      </c>
      <c r="G1041" s="37" t="n"/>
      <c r="H1041" s="37" t="n"/>
      <c r="I1041" s="37" t="n"/>
      <c r="J1041" s="40" t="str">
        <f>IF(OR(C1041="",NOT(ISNUMBER(E1041))),"",IFERROR(E1041*N(INDEX(art_price,MATCH(C1041,art_ref,0))),""))</f>
        <v/>
      </c>
      <c r="K1041" s="39" t="str">
        <f>IF(OR(C1041="",NOT(ISNUMBER(E1041))),"",IFERROR(ROUND(N(INDEX(art_init,MATCH(C1041,art_ref,0)))+SUMIFS($E$5:E1041,$C$5:C1041,C1041,$B$5:B1041,"Entrée")-SUMIFS($E$5:E1041,$C$5:C1041,C1041,$B$5:B1041,"Sortie"),6),""))</f>
        <v/>
      </c>
      <c r="L1041" s="39" t="str">
        <f>IF(COUNTA(A1041:C1041,E1041)=0,"",IF(COUNTA(A1041:C1041,E1041)&lt;4,"Ligne incomplète",IF(NOT(ISNUMBER(A1041)),"Date invalide",IF(AND(B1041&lt;&gt;"Entrée",B1041&lt;&gt;"Sortie"),"Type inconnu",IF(ISNA(MATCH(C1041,art_ref,0)),"Référence inconnue",IF(OR(NOT(ISNUMBER(E1041)),N(E1041)&lt;=0),"Quantité invalide",IF(K1041&lt;0,"Stock négatif",IF(AND(ISNUMBER(A1040),A1041&lt;A1040),"Date hors ordre","OK"))))))))</f>
        <v/>
      </c>
      <c r="M1041" s="39" t="str">
        <f>IF(C1041="","",C1041&amp;"#"&amp;COUNTIF($C$5:C1041,C1041))</f>
        <v/>
      </c>
    </row>
    <row r="1042">
      <c r="A1042" s="41" t="n"/>
      <c r="B1042" s="37" t="n"/>
      <c r="C1042" s="37" t="n"/>
      <c r="D1042" s="39" t="str">
        <f>IF(C1042="","",IFERROR(INDEX(art_des,MATCH(C1042,art_ref,0))&amp;"","Référence inconnue"))</f>
        <v/>
      </c>
      <c r="E1042" s="37" t="n"/>
      <c r="F1042" s="39" t="str">
        <f>IF(C1042="","",IFERROR(INDEX(art_unit,MATCH(C1042,art_ref,0))&amp;"",""))</f>
        <v/>
      </c>
      <c r="G1042" s="37" t="n"/>
      <c r="H1042" s="37" t="n"/>
      <c r="I1042" s="37" t="n"/>
      <c r="J1042" s="40" t="str">
        <f>IF(OR(C1042="",NOT(ISNUMBER(E1042))),"",IFERROR(E1042*N(INDEX(art_price,MATCH(C1042,art_ref,0))),""))</f>
        <v/>
      </c>
      <c r="K1042" s="39" t="str">
        <f>IF(OR(C1042="",NOT(ISNUMBER(E1042))),"",IFERROR(ROUND(N(INDEX(art_init,MATCH(C1042,art_ref,0)))+SUMIFS($E$5:E1042,$C$5:C1042,C1042,$B$5:B1042,"Entrée")-SUMIFS($E$5:E1042,$C$5:C1042,C1042,$B$5:B1042,"Sortie"),6),""))</f>
        <v/>
      </c>
      <c r="L1042" s="39" t="str">
        <f>IF(COUNTA(A1042:C1042,E1042)=0,"",IF(COUNTA(A1042:C1042,E1042)&lt;4,"Ligne incomplète",IF(NOT(ISNUMBER(A1042)),"Date invalide",IF(AND(B1042&lt;&gt;"Entrée",B1042&lt;&gt;"Sortie"),"Type inconnu",IF(ISNA(MATCH(C1042,art_ref,0)),"Référence inconnue",IF(OR(NOT(ISNUMBER(E1042)),N(E1042)&lt;=0),"Quantité invalide",IF(K1042&lt;0,"Stock négatif",IF(AND(ISNUMBER(A1041),A1042&lt;A1041),"Date hors ordre","OK"))))))))</f>
        <v/>
      </c>
      <c r="M1042" s="39" t="str">
        <f>IF(C1042="","",C1042&amp;"#"&amp;COUNTIF($C$5:C1042,C1042))</f>
        <v/>
      </c>
    </row>
    <row r="1043">
      <c r="A1043" s="41" t="n"/>
      <c r="B1043" s="37" t="n"/>
      <c r="C1043" s="37" t="n"/>
      <c r="D1043" s="39" t="str">
        <f>IF(C1043="","",IFERROR(INDEX(art_des,MATCH(C1043,art_ref,0))&amp;"","Référence inconnue"))</f>
        <v/>
      </c>
      <c r="E1043" s="37" t="n"/>
      <c r="F1043" s="39" t="str">
        <f>IF(C1043="","",IFERROR(INDEX(art_unit,MATCH(C1043,art_ref,0))&amp;"",""))</f>
        <v/>
      </c>
      <c r="G1043" s="37" t="n"/>
      <c r="H1043" s="37" t="n"/>
      <c r="I1043" s="37" t="n"/>
      <c r="J1043" s="40" t="str">
        <f>IF(OR(C1043="",NOT(ISNUMBER(E1043))),"",IFERROR(E1043*N(INDEX(art_price,MATCH(C1043,art_ref,0))),""))</f>
        <v/>
      </c>
      <c r="K1043" s="39" t="str">
        <f>IF(OR(C1043="",NOT(ISNUMBER(E1043))),"",IFERROR(ROUND(N(INDEX(art_init,MATCH(C1043,art_ref,0)))+SUMIFS($E$5:E1043,$C$5:C1043,C1043,$B$5:B1043,"Entrée")-SUMIFS($E$5:E1043,$C$5:C1043,C1043,$B$5:B1043,"Sortie"),6),""))</f>
        <v/>
      </c>
      <c r="L1043" s="39" t="str">
        <f>IF(COUNTA(A1043:C1043,E1043)=0,"",IF(COUNTA(A1043:C1043,E1043)&lt;4,"Ligne incomplète",IF(NOT(ISNUMBER(A1043)),"Date invalide",IF(AND(B1043&lt;&gt;"Entrée",B1043&lt;&gt;"Sortie"),"Type inconnu",IF(ISNA(MATCH(C1043,art_ref,0)),"Référence inconnue",IF(OR(NOT(ISNUMBER(E1043)),N(E1043)&lt;=0),"Quantité invalide",IF(K1043&lt;0,"Stock négatif",IF(AND(ISNUMBER(A1042),A1043&lt;A1042),"Date hors ordre","OK"))))))))</f>
        <v/>
      </c>
      <c r="M1043" s="39" t="str">
        <f>IF(C1043="","",C1043&amp;"#"&amp;COUNTIF($C$5:C1043,C1043))</f>
        <v/>
      </c>
    </row>
    <row r="1044">
      <c r="A1044" s="41" t="n"/>
      <c r="B1044" s="37" t="n"/>
      <c r="C1044" s="37" t="n"/>
      <c r="D1044" s="39" t="str">
        <f>IF(C1044="","",IFERROR(INDEX(art_des,MATCH(C1044,art_ref,0))&amp;"","Référence inconnue"))</f>
        <v/>
      </c>
      <c r="E1044" s="37" t="n"/>
      <c r="F1044" s="39" t="str">
        <f>IF(C1044="","",IFERROR(INDEX(art_unit,MATCH(C1044,art_ref,0))&amp;"",""))</f>
        <v/>
      </c>
      <c r="G1044" s="37" t="n"/>
      <c r="H1044" s="37" t="n"/>
      <c r="I1044" s="37" t="n"/>
      <c r="J1044" s="40" t="str">
        <f>IF(OR(C1044="",NOT(ISNUMBER(E1044))),"",IFERROR(E1044*N(INDEX(art_price,MATCH(C1044,art_ref,0))),""))</f>
        <v/>
      </c>
      <c r="K1044" s="39" t="str">
        <f>IF(OR(C1044="",NOT(ISNUMBER(E1044))),"",IFERROR(ROUND(N(INDEX(art_init,MATCH(C1044,art_ref,0)))+SUMIFS($E$5:E1044,$C$5:C1044,C1044,$B$5:B1044,"Entrée")-SUMIFS($E$5:E1044,$C$5:C1044,C1044,$B$5:B1044,"Sortie"),6),""))</f>
        <v/>
      </c>
      <c r="L1044" s="39" t="str">
        <f>IF(COUNTA(A1044:C1044,E1044)=0,"",IF(COUNTA(A1044:C1044,E1044)&lt;4,"Ligne incomplète",IF(NOT(ISNUMBER(A1044)),"Date invalide",IF(AND(B1044&lt;&gt;"Entrée",B1044&lt;&gt;"Sortie"),"Type inconnu",IF(ISNA(MATCH(C1044,art_ref,0)),"Référence inconnue",IF(OR(NOT(ISNUMBER(E1044)),N(E1044)&lt;=0),"Quantité invalide",IF(K1044&lt;0,"Stock négatif",IF(AND(ISNUMBER(A1043),A1044&lt;A1043),"Date hors ordre","OK"))))))))</f>
        <v/>
      </c>
      <c r="M1044" s="39" t="str">
        <f>IF(C1044="","",C1044&amp;"#"&amp;COUNTIF($C$5:C1044,C1044))</f>
        <v/>
      </c>
    </row>
    <row r="1045">
      <c r="A1045" s="41" t="n"/>
      <c r="B1045" s="37" t="n"/>
      <c r="C1045" s="37" t="n"/>
      <c r="D1045" s="39" t="str">
        <f>IF(C1045="","",IFERROR(INDEX(art_des,MATCH(C1045,art_ref,0))&amp;"","Référence inconnue"))</f>
        <v/>
      </c>
      <c r="E1045" s="37" t="n"/>
      <c r="F1045" s="39" t="str">
        <f>IF(C1045="","",IFERROR(INDEX(art_unit,MATCH(C1045,art_ref,0))&amp;"",""))</f>
        <v/>
      </c>
      <c r="G1045" s="37" t="n"/>
      <c r="H1045" s="37" t="n"/>
      <c r="I1045" s="37" t="n"/>
      <c r="J1045" s="40" t="str">
        <f>IF(OR(C1045="",NOT(ISNUMBER(E1045))),"",IFERROR(E1045*N(INDEX(art_price,MATCH(C1045,art_ref,0))),""))</f>
        <v/>
      </c>
      <c r="K1045" s="39" t="str">
        <f>IF(OR(C1045="",NOT(ISNUMBER(E1045))),"",IFERROR(ROUND(N(INDEX(art_init,MATCH(C1045,art_ref,0)))+SUMIFS($E$5:E1045,$C$5:C1045,C1045,$B$5:B1045,"Entrée")-SUMIFS($E$5:E1045,$C$5:C1045,C1045,$B$5:B1045,"Sortie"),6),""))</f>
        <v/>
      </c>
      <c r="L1045" s="39" t="str">
        <f>IF(COUNTA(A1045:C1045,E1045)=0,"",IF(COUNTA(A1045:C1045,E1045)&lt;4,"Ligne incomplète",IF(NOT(ISNUMBER(A1045)),"Date invalide",IF(AND(B1045&lt;&gt;"Entrée",B1045&lt;&gt;"Sortie"),"Type inconnu",IF(ISNA(MATCH(C1045,art_ref,0)),"Référence inconnue",IF(OR(NOT(ISNUMBER(E1045)),N(E1045)&lt;=0),"Quantité invalide",IF(K1045&lt;0,"Stock négatif",IF(AND(ISNUMBER(A1044),A1045&lt;A1044),"Date hors ordre","OK"))))))))</f>
        <v/>
      </c>
      <c r="M1045" s="39" t="str">
        <f>IF(C1045="","",C1045&amp;"#"&amp;COUNTIF($C$5:C1045,C1045))</f>
        <v/>
      </c>
    </row>
    <row r="1046">
      <c r="A1046" s="41" t="n"/>
      <c r="B1046" s="37" t="n"/>
      <c r="C1046" s="37" t="n"/>
      <c r="D1046" s="39" t="str">
        <f>IF(C1046="","",IFERROR(INDEX(art_des,MATCH(C1046,art_ref,0))&amp;"","Référence inconnue"))</f>
        <v/>
      </c>
      <c r="E1046" s="37" t="n"/>
      <c r="F1046" s="39" t="str">
        <f>IF(C1046="","",IFERROR(INDEX(art_unit,MATCH(C1046,art_ref,0))&amp;"",""))</f>
        <v/>
      </c>
      <c r="G1046" s="37" t="n"/>
      <c r="H1046" s="37" t="n"/>
      <c r="I1046" s="37" t="n"/>
      <c r="J1046" s="40" t="str">
        <f>IF(OR(C1046="",NOT(ISNUMBER(E1046))),"",IFERROR(E1046*N(INDEX(art_price,MATCH(C1046,art_ref,0))),""))</f>
        <v/>
      </c>
      <c r="K1046" s="39" t="str">
        <f>IF(OR(C1046="",NOT(ISNUMBER(E1046))),"",IFERROR(ROUND(N(INDEX(art_init,MATCH(C1046,art_ref,0)))+SUMIFS($E$5:E1046,$C$5:C1046,C1046,$B$5:B1046,"Entrée")-SUMIFS($E$5:E1046,$C$5:C1046,C1046,$B$5:B1046,"Sortie"),6),""))</f>
        <v/>
      </c>
      <c r="L1046" s="39" t="str">
        <f>IF(COUNTA(A1046:C1046,E1046)=0,"",IF(COUNTA(A1046:C1046,E1046)&lt;4,"Ligne incomplète",IF(NOT(ISNUMBER(A1046)),"Date invalide",IF(AND(B1046&lt;&gt;"Entrée",B1046&lt;&gt;"Sortie"),"Type inconnu",IF(ISNA(MATCH(C1046,art_ref,0)),"Référence inconnue",IF(OR(NOT(ISNUMBER(E1046)),N(E1046)&lt;=0),"Quantité invalide",IF(K1046&lt;0,"Stock négatif",IF(AND(ISNUMBER(A1045),A1046&lt;A1045),"Date hors ordre","OK"))))))))</f>
        <v/>
      </c>
      <c r="M1046" s="39" t="str">
        <f>IF(C1046="","",C1046&amp;"#"&amp;COUNTIF($C$5:C1046,C1046))</f>
        <v/>
      </c>
    </row>
    <row r="1047">
      <c r="A1047" s="41" t="n"/>
      <c r="B1047" s="37" t="n"/>
      <c r="C1047" s="37" t="n"/>
      <c r="D1047" s="39" t="str">
        <f>IF(C1047="","",IFERROR(INDEX(art_des,MATCH(C1047,art_ref,0))&amp;"","Référence inconnue"))</f>
        <v/>
      </c>
      <c r="E1047" s="37" t="n"/>
      <c r="F1047" s="39" t="str">
        <f>IF(C1047="","",IFERROR(INDEX(art_unit,MATCH(C1047,art_ref,0))&amp;"",""))</f>
        <v/>
      </c>
      <c r="G1047" s="37" t="n"/>
      <c r="H1047" s="37" t="n"/>
      <c r="I1047" s="37" t="n"/>
      <c r="J1047" s="40" t="str">
        <f>IF(OR(C1047="",NOT(ISNUMBER(E1047))),"",IFERROR(E1047*N(INDEX(art_price,MATCH(C1047,art_ref,0))),""))</f>
        <v/>
      </c>
      <c r="K1047" s="39" t="str">
        <f>IF(OR(C1047="",NOT(ISNUMBER(E1047))),"",IFERROR(ROUND(N(INDEX(art_init,MATCH(C1047,art_ref,0)))+SUMIFS($E$5:E1047,$C$5:C1047,C1047,$B$5:B1047,"Entrée")-SUMIFS($E$5:E1047,$C$5:C1047,C1047,$B$5:B1047,"Sortie"),6),""))</f>
        <v/>
      </c>
      <c r="L1047" s="39" t="str">
        <f>IF(COUNTA(A1047:C1047,E1047)=0,"",IF(COUNTA(A1047:C1047,E1047)&lt;4,"Ligne incomplète",IF(NOT(ISNUMBER(A1047)),"Date invalide",IF(AND(B1047&lt;&gt;"Entrée",B1047&lt;&gt;"Sortie"),"Type inconnu",IF(ISNA(MATCH(C1047,art_ref,0)),"Référence inconnue",IF(OR(NOT(ISNUMBER(E1047)),N(E1047)&lt;=0),"Quantité invalide",IF(K1047&lt;0,"Stock négatif",IF(AND(ISNUMBER(A1046),A1047&lt;A1046),"Date hors ordre","OK"))))))))</f>
        <v/>
      </c>
      <c r="M1047" s="39" t="str">
        <f>IF(C1047="","",C1047&amp;"#"&amp;COUNTIF($C$5:C1047,C1047))</f>
        <v/>
      </c>
    </row>
    <row r="1048">
      <c r="A1048" s="41" t="n"/>
      <c r="B1048" s="37" t="n"/>
      <c r="C1048" s="37" t="n"/>
      <c r="D1048" s="39" t="str">
        <f>IF(C1048="","",IFERROR(INDEX(art_des,MATCH(C1048,art_ref,0))&amp;"","Référence inconnue"))</f>
        <v/>
      </c>
      <c r="E1048" s="37" t="n"/>
      <c r="F1048" s="39" t="str">
        <f>IF(C1048="","",IFERROR(INDEX(art_unit,MATCH(C1048,art_ref,0))&amp;"",""))</f>
        <v/>
      </c>
      <c r="G1048" s="37" t="n"/>
      <c r="H1048" s="37" t="n"/>
      <c r="I1048" s="37" t="n"/>
      <c r="J1048" s="40" t="str">
        <f>IF(OR(C1048="",NOT(ISNUMBER(E1048))),"",IFERROR(E1048*N(INDEX(art_price,MATCH(C1048,art_ref,0))),""))</f>
        <v/>
      </c>
      <c r="K1048" s="39" t="str">
        <f>IF(OR(C1048="",NOT(ISNUMBER(E1048))),"",IFERROR(ROUND(N(INDEX(art_init,MATCH(C1048,art_ref,0)))+SUMIFS($E$5:E1048,$C$5:C1048,C1048,$B$5:B1048,"Entrée")-SUMIFS($E$5:E1048,$C$5:C1048,C1048,$B$5:B1048,"Sortie"),6),""))</f>
        <v/>
      </c>
      <c r="L1048" s="39" t="str">
        <f>IF(COUNTA(A1048:C1048,E1048)=0,"",IF(COUNTA(A1048:C1048,E1048)&lt;4,"Ligne incomplète",IF(NOT(ISNUMBER(A1048)),"Date invalide",IF(AND(B1048&lt;&gt;"Entrée",B1048&lt;&gt;"Sortie"),"Type inconnu",IF(ISNA(MATCH(C1048,art_ref,0)),"Référence inconnue",IF(OR(NOT(ISNUMBER(E1048)),N(E1048)&lt;=0),"Quantité invalide",IF(K1048&lt;0,"Stock négatif",IF(AND(ISNUMBER(A1047),A1048&lt;A1047),"Date hors ordre","OK"))))))))</f>
        <v/>
      </c>
      <c r="M1048" s="39" t="str">
        <f>IF(C1048="","",C1048&amp;"#"&amp;COUNTIF($C$5:C1048,C1048))</f>
        <v/>
      </c>
    </row>
    <row r="1049">
      <c r="A1049" s="41" t="n"/>
      <c r="B1049" s="37" t="n"/>
      <c r="C1049" s="37" t="n"/>
      <c r="D1049" s="39" t="str">
        <f>IF(C1049="","",IFERROR(INDEX(art_des,MATCH(C1049,art_ref,0))&amp;"","Référence inconnue"))</f>
        <v/>
      </c>
      <c r="E1049" s="37" t="n"/>
      <c r="F1049" s="39" t="str">
        <f>IF(C1049="","",IFERROR(INDEX(art_unit,MATCH(C1049,art_ref,0))&amp;"",""))</f>
        <v/>
      </c>
      <c r="G1049" s="37" t="n"/>
      <c r="H1049" s="37" t="n"/>
      <c r="I1049" s="37" t="n"/>
      <c r="J1049" s="40" t="str">
        <f>IF(OR(C1049="",NOT(ISNUMBER(E1049))),"",IFERROR(E1049*N(INDEX(art_price,MATCH(C1049,art_ref,0))),""))</f>
        <v/>
      </c>
      <c r="K1049" s="39" t="str">
        <f>IF(OR(C1049="",NOT(ISNUMBER(E1049))),"",IFERROR(ROUND(N(INDEX(art_init,MATCH(C1049,art_ref,0)))+SUMIFS($E$5:E1049,$C$5:C1049,C1049,$B$5:B1049,"Entrée")-SUMIFS($E$5:E1049,$C$5:C1049,C1049,$B$5:B1049,"Sortie"),6),""))</f>
        <v/>
      </c>
      <c r="L1049" s="39" t="str">
        <f>IF(COUNTA(A1049:C1049,E1049)=0,"",IF(COUNTA(A1049:C1049,E1049)&lt;4,"Ligne incomplète",IF(NOT(ISNUMBER(A1049)),"Date invalide",IF(AND(B1049&lt;&gt;"Entrée",B1049&lt;&gt;"Sortie"),"Type inconnu",IF(ISNA(MATCH(C1049,art_ref,0)),"Référence inconnue",IF(OR(NOT(ISNUMBER(E1049)),N(E1049)&lt;=0),"Quantité invalide",IF(K1049&lt;0,"Stock négatif",IF(AND(ISNUMBER(A1048),A1049&lt;A1048),"Date hors ordre","OK"))))))))</f>
        <v/>
      </c>
      <c r="M1049" s="39" t="str">
        <f>IF(C1049="","",C1049&amp;"#"&amp;COUNTIF($C$5:C1049,C1049))</f>
        <v/>
      </c>
    </row>
    <row r="1050">
      <c r="A1050" s="41" t="n"/>
      <c r="B1050" s="37" t="n"/>
      <c r="C1050" s="37" t="n"/>
      <c r="D1050" s="39" t="str">
        <f>IF(C1050="","",IFERROR(INDEX(art_des,MATCH(C1050,art_ref,0))&amp;"","Référence inconnue"))</f>
        <v/>
      </c>
      <c r="E1050" s="37" t="n"/>
      <c r="F1050" s="39" t="str">
        <f>IF(C1050="","",IFERROR(INDEX(art_unit,MATCH(C1050,art_ref,0))&amp;"",""))</f>
        <v/>
      </c>
      <c r="G1050" s="37" t="n"/>
      <c r="H1050" s="37" t="n"/>
      <c r="I1050" s="37" t="n"/>
      <c r="J1050" s="40" t="str">
        <f>IF(OR(C1050="",NOT(ISNUMBER(E1050))),"",IFERROR(E1050*N(INDEX(art_price,MATCH(C1050,art_ref,0))),""))</f>
        <v/>
      </c>
      <c r="K1050" s="39" t="str">
        <f>IF(OR(C1050="",NOT(ISNUMBER(E1050))),"",IFERROR(ROUND(N(INDEX(art_init,MATCH(C1050,art_ref,0)))+SUMIFS($E$5:E1050,$C$5:C1050,C1050,$B$5:B1050,"Entrée")-SUMIFS($E$5:E1050,$C$5:C1050,C1050,$B$5:B1050,"Sortie"),6),""))</f>
        <v/>
      </c>
      <c r="L1050" s="39" t="str">
        <f>IF(COUNTA(A1050:C1050,E1050)=0,"",IF(COUNTA(A1050:C1050,E1050)&lt;4,"Ligne incomplète",IF(NOT(ISNUMBER(A1050)),"Date invalide",IF(AND(B1050&lt;&gt;"Entrée",B1050&lt;&gt;"Sortie"),"Type inconnu",IF(ISNA(MATCH(C1050,art_ref,0)),"Référence inconnue",IF(OR(NOT(ISNUMBER(E1050)),N(E1050)&lt;=0),"Quantité invalide",IF(K1050&lt;0,"Stock négatif",IF(AND(ISNUMBER(A1049),A1050&lt;A1049),"Date hors ordre","OK"))))))))</f>
        <v/>
      </c>
      <c r="M1050" s="39" t="str">
        <f>IF(C1050="","",C1050&amp;"#"&amp;COUNTIF($C$5:C1050,C1050))</f>
        <v/>
      </c>
    </row>
    <row r="1051">
      <c r="A1051" s="41" t="n"/>
      <c r="B1051" s="37" t="n"/>
      <c r="C1051" s="37" t="n"/>
      <c r="D1051" s="39" t="str">
        <f>IF(C1051="","",IFERROR(INDEX(art_des,MATCH(C1051,art_ref,0))&amp;"","Référence inconnue"))</f>
        <v/>
      </c>
      <c r="E1051" s="37" t="n"/>
      <c r="F1051" s="39" t="str">
        <f>IF(C1051="","",IFERROR(INDEX(art_unit,MATCH(C1051,art_ref,0))&amp;"",""))</f>
        <v/>
      </c>
      <c r="G1051" s="37" t="n"/>
      <c r="H1051" s="37" t="n"/>
      <c r="I1051" s="37" t="n"/>
      <c r="J1051" s="40" t="str">
        <f>IF(OR(C1051="",NOT(ISNUMBER(E1051))),"",IFERROR(E1051*N(INDEX(art_price,MATCH(C1051,art_ref,0))),""))</f>
        <v/>
      </c>
      <c r="K1051" s="39" t="str">
        <f>IF(OR(C1051="",NOT(ISNUMBER(E1051))),"",IFERROR(ROUND(N(INDEX(art_init,MATCH(C1051,art_ref,0)))+SUMIFS($E$5:E1051,$C$5:C1051,C1051,$B$5:B1051,"Entrée")-SUMIFS($E$5:E1051,$C$5:C1051,C1051,$B$5:B1051,"Sortie"),6),""))</f>
        <v/>
      </c>
      <c r="L1051" s="39" t="str">
        <f>IF(COUNTA(A1051:C1051,E1051)=0,"",IF(COUNTA(A1051:C1051,E1051)&lt;4,"Ligne incomplète",IF(NOT(ISNUMBER(A1051)),"Date invalide",IF(AND(B1051&lt;&gt;"Entrée",B1051&lt;&gt;"Sortie"),"Type inconnu",IF(ISNA(MATCH(C1051,art_ref,0)),"Référence inconnue",IF(OR(NOT(ISNUMBER(E1051)),N(E1051)&lt;=0),"Quantité invalide",IF(K1051&lt;0,"Stock négatif",IF(AND(ISNUMBER(A1050),A1051&lt;A1050),"Date hors ordre","OK"))))))))</f>
        <v/>
      </c>
      <c r="M1051" s="39" t="str">
        <f>IF(C1051="","",C1051&amp;"#"&amp;COUNTIF($C$5:C1051,C1051))</f>
        <v/>
      </c>
    </row>
    <row r="1052">
      <c r="A1052" s="41" t="n"/>
      <c r="B1052" s="37" t="n"/>
      <c r="C1052" s="37" t="n"/>
      <c r="D1052" s="39" t="str">
        <f>IF(C1052="","",IFERROR(INDEX(art_des,MATCH(C1052,art_ref,0))&amp;"","Référence inconnue"))</f>
        <v/>
      </c>
      <c r="E1052" s="37" t="n"/>
      <c r="F1052" s="39" t="str">
        <f>IF(C1052="","",IFERROR(INDEX(art_unit,MATCH(C1052,art_ref,0))&amp;"",""))</f>
        <v/>
      </c>
      <c r="G1052" s="37" t="n"/>
      <c r="H1052" s="37" t="n"/>
      <c r="I1052" s="37" t="n"/>
      <c r="J1052" s="40" t="str">
        <f>IF(OR(C1052="",NOT(ISNUMBER(E1052))),"",IFERROR(E1052*N(INDEX(art_price,MATCH(C1052,art_ref,0))),""))</f>
        <v/>
      </c>
      <c r="K1052" s="39" t="str">
        <f>IF(OR(C1052="",NOT(ISNUMBER(E1052))),"",IFERROR(ROUND(N(INDEX(art_init,MATCH(C1052,art_ref,0)))+SUMIFS($E$5:E1052,$C$5:C1052,C1052,$B$5:B1052,"Entrée")-SUMIFS($E$5:E1052,$C$5:C1052,C1052,$B$5:B1052,"Sortie"),6),""))</f>
        <v/>
      </c>
      <c r="L1052" s="39" t="str">
        <f>IF(COUNTA(A1052:C1052,E1052)=0,"",IF(COUNTA(A1052:C1052,E1052)&lt;4,"Ligne incomplète",IF(NOT(ISNUMBER(A1052)),"Date invalide",IF(AND(B1052&lt;&gt;"Entrée",B1052&lt;&gt;"Sortie"),"Type inconnu",IF(ISNA(MATCH(C1052,art_ref,0)),"Référence inconnue",IF(OR(NOT(ISNUMBER(E1052)),N(E1052)&lt;=0),"Quantité invalide",IF(K1052&lt;0,"Stock négatif",IF(AND(ISNUMBER(A1051),A1052&lt;A1051),"Date hors ordre","OK"))))))))</f>
        <v/>
      </c>
      <c r="M1052" s="39" t="str">
        <f>IF(C1052="","",C1052&amp;"#"&amp;COUNTIF($C$5:C1052,C1052))</f>
        <v/>
      </c>
    </row>
    <row r="1053">
      <c r="A1053" s="41" t="n"/>
      <c r="B1053" s="37" t="n"/>
      <c r="C1053" s="37" t="n"/>
      <c r="D1053" s="39" t="str">
        <f>IF(C1053="","",IFERROR(INDEX(art_des,MATCH(C1053,art_ref,0))&amp;"","Référence inconnue"))</f>
        <v/>
      </c>
      <c r="E1053" s="37" t="n"/>
      <c r="F1053" s="39" t="str">
        <f>IF(C1053="","",IFERROR(INDEX(art_unit,MATCH(C1053,art_ref,0))&amp;"",""))</f>
        <v/>
      </c>
      <c r="G1053" s="37" t="n"/>
      <c r="H1053" s="37" t="n"/>
      <c r="I1053" s="37" t="n"/>
      <c r="J1053" s="40" t="str">
        <f>IF(OR(C1053="",NOT(ISNUMBER(E1053))),"",IFERROR(E1053*N(INDEX(art_price,MATCH(C1053,art_ref,0))),""))</f>
        <v/>
      </c>
      <c r="K1053" s="39" t="str">
        <f>IF(OR(C1053="",NOT(ISNUMBER(E1053))),"",IFERROR(ROUND(N(INDEX(art_init,MATCH(C1053,art_ref,0)))+SUMIFS($E$5:E1053,$C$5:C1053,C1053,$B$5:B1053,"Entrée")-SUMIFS($E$5:E1053,$C$5:C1053,C1053,$B$5:B1053,"Sortie"),6),""))</f>
        <v/>
      </c>
      <c r="L1053" s="39" t="str">
        <f>IF(COUNTA(A1053:C1053,E1053)=0,"",IF(COUNTA(A1053:C1053,E1053)&lt;4,"Ligne incomplète",IF(NOT(ISNUMBER(A1053)),"Date invalide",IF(AND(B1053&lt;&gt;"Entrée",B1053&lt;&gt;"Sortie"),"Type inconnu",IF(ISNA(MATCH(C1053,art_ref,0)),"Référence inconnue",IF(OR(NOT(ISNUMBER(E1053)),N(E1053)&lt;=0),"Quantité invalide",IF(K1053&lt;0,"Stock négatif",IF(AND(ISNUMBER(A1052),A1053&lt;A1052),"Date hors ordre","OK"))))))))</f>
        <v/>
      </c>
      <c r="M1053" s="39" t="str">
        <f>IF(C1053="","",C1053&amp;"#"&amp;COUNTIF($C$5:C1053,C1053))</f>
        <v/>
      </c>
    </row>
    <row r="1054">
      <c r="A1054" s="41" t="n"/>
      <c r="B1054" s="37" t="n"/>
      <c r="C1054" s="37" t="n"/>
      <c r="D1054" s="39" t="str">
        <f>IF(C1054="","",IFERROR(INDEX(art_des,MATCH(C1054,art_ref,0))&amp;"","Référence inconnue"))</f>
        <v/>
      </c>
      <c r="E1054" s="37" t="n"/>
      <c r="F1054" s="39" t="str">
        <f>IF(C1054="","",IFERROR(INDEX(art_unit,MATCH(C1054,art_ref,0))&amp;"",""))</f>
        <v/>
      </c>
      <c r="G1054" s="37" t="n"/>
      <c r="H1054" s="37" t="n"/>
      <c r="I1054" s="37" t="n"/>
      <c r="J1054" s="40" t="str">
        <f>IF(OR(C1054="",NOT(ISNUMBER(E1054))),"",IFERROR(E1054*N(INDEX(art_price,MATCH(C1054,art_ref,0))),""))</f>
        <v/>
      </c>
      <c r="K1054" s="39" t="str">
        <f>IF(OR(C1054="",NOT(ISNUMBER(E1054))),"",IFERROR(ROUND(N(INDEX(art_init,MATCH(C1054,art_ref,0)))+SUMIFS($E$5:E1054,$C$5:C1054,C1054,$B$5:B1054,"Entrée")-SUMIFS($E$5:E1054,$C$5:C1054,C1054,$B$5:B1054,"Sortie"),6),""))</f>
        <v/>
      </c>
      <c r="L1054" s="39" t="str">
        <f>IF(COUNTA(A1054:C1054,E1054)=0,"",IF(COUNTA(A1054:C1054,E1054)&lt;4,"Ligne incomplète",IF(NOT(ISNUMBER(A1054)),"Date invalide",IF(AND(B1054&lt;&gt;"Entrée",B1054&lt;&gt;"Sortie"),"Type inconnu",IF(ISNA(MATCH(C1054,art_ref,0)),"Référence inconnue",IF(OR(NOT(ISNUMBER(E1054)),N(E1054)&lt;=0),"Quantité invalide",IF(K1054&lt;0,"Stock négatif",IF(AND(ISNUMBER(A1053),A1054&lt;A1053),"Date hors ordre","OK"))))))))</f>
        <v/>
      </c>
      <c r="M1054" s="39" t="str">
        <f>IF(C1054="","",C1054&amp;"#"&amp;COUNTIF($C$5:C1054,C1054))</f>
        <v/>
      </c>
    </row>
    <row r="1055">
      <c r="A1055" s="41" t="n"/>
      <c r="B1055" s="37" t="n"/>
      <c r="C1055" s="37" t="n"/>
      <c r="D1055" s="39" t="str">
        <f>IF(C1055="","",IFERROR(INDEX(art_des,MATCH(C1055,art_ref,0))&amp;"","Référence inconnue"))</f>
        <v/>
      </c>
      <c r="E1055" s="37" t="n"/>
      <c r="F1055" s="39" t="str">
        <f>IF(C1055="","",IFERROR(INDEX(art_unit,MATCH(C1055,art_ref,0))&amp;"",""))</f>
        <v/>
      </c>
      <c r="G1055" s="37" t="n"/>
      <c r="H1055" s="37" t="n"/>
      <c r="I1055" s="37" t="n"/>
      <c r="J1055" s="40" t="str">
        <f>IF(OR(C1055="",NOT(ISNUMBER(E1055))),"",IFERROR(E1055*N(INDEX(art_price,MATCH(C1055,art_ref,0))),""))</f>
        <v/>
      </c>
      <c r="K1055" s="39" t="str">
        <f>IF(OR(C1055="",NOT(ISNUMBER(E1055))),"",IFERROR(ROUND(N(INDEX(art_init,MATCH(C1055,art_ref,0)))+SUMIFS($E$5:E1055,$C$5:C1055,C1055,$B$5:B1055,"Entrée")-SUMIFS($E$5:E1055,$C$5:C1055,C1055,$B$5:B1055,"Sortie"),6),""))</f>
        <v/>
      </c>
      <c r="L1055" s="39" t="str">
        <f>IF(COUNTA(A1055:C1055,E1055)=0,"",IF(COUNTA(A1055:C1055,E1055)&lt;4,"Ligne incomplète",IF(NOT(ISNUMBER(A1055)),"Date invalide",IF(AND(B1055&lt;&gt;"Entrée",B1055&lt;&gt;"Sortie"),"Type inconnu",IF(ISNA(MATCH(C1055,art_ref,0)),"Référence inconnue",IF(OR(NOT(ISNUMBER(E1055)),N(E1055)&lt;=0),"Quantité invalide",IF(K1055&lt;0,"Stock négatif",IF(AND(ISNUMBER(A1054),A1055&lt;A1054),"Date hors ordre","OK"))))))))</f>
        <v/>
      </c>
      <c r="M1055" s="39" t="str">
        <f>IF(C1055="","",C1055&amp;"#"&amp;COUNTIF($C$5:C1055,C1055))</f>
        <v/>
      </c>
    </row>
    <row r="1056">
      <c r="A1056" s="41" t="n"/>
      <c r="B1056" s="37" t="n"/>
      <c r="C1056" s="37" t="n"/>
      <c r="D1056" s="39" t="str">
        <f>IF(C1056="","",IFERROR(INDEX(art_des,MATCH(C1056,art_ref,0))&amp;"","Référence inconnue"))</f>
        <v/>
      </c>
      <c r="E1056" s="37" t="n"/>
      <c r="F1056" s="39" t="str">
        <f>IF(C1056="","",IFERROR(INDEX(art_unit,MATCH(C1056,art_ref,0))&amp;"",""))</f>
        <v/>
      </c>
      <c r="G1056" s="37" t="n"/>
      <c r="H1056" s="37" t="n"/>
      <c r="I1056" s="37" t="n"/>
      <c r="J1056" s="40" t="str">
        <f>IF(OR(C1056="",NOT(ISNUMBER(E1056))),"",IFERROR(E1056*N(INDEX(art_price,MATCH(C1056,art_ref,0))),""))</f>
        <v/>
      </c>
      <c r="K1056" s="39" t="str">
        <f>IF(OR(C1056="",NOT(ISNUMBER(E1056))),"",IFERROR(ROUND(N(INDEX(art_init,MATCH(C1056,art_ref,0)))+SUMIFS($E$5:E1056,$C$5:C1056,C1056,$B$5:B1056,"Entrée")-SUMIFS($E$5:E1056,$C$5:C1056,C1056,$B$5:B1056,"Sortie"),6),""))</f>
        <v/>
      </c>
      <c r="L1056" s="39" t="str">
        <f>IF(COUNTA(A1056:C1056,E1056)=0,"",IF(COUNTA(A1056:C1056,E1056)&lt;4,"Ligne incomplète",IF(NOT(ISNUMBER(A1056)),"Date invalide",IF(AND(B1056&lt;&gt;"Entrée",B1056&lt;&gt;"Sortie"),"Type inconnu",IF(ISNA(MATCH(C1056,art_ref,0)),"Référence inconnue",IF(OR(NOT(ISNUMBER(E1056)),N(E1056)&lt;=0),"Quantité invalide",IF(K1056&lt;0,"Stock négatif",IF(AND(ISNUMBER(A1055),A1056&lt;A1055),"Date hors ordre","OK"))))))))</f>
        <v/>
      </c>
      <c r="M1056" s="39" t="str">
        <f>IF(C1056="","",C1056&amp;"#"&amp;COUNTIF($C$5:C1056,C1056))</f>
        <v/>
      </c>
    </row>
    <row r="1057">
      <c r="A1057" s="41" t="n"/>
      <c r="B1057" s="37" t="n"/>
      <c r="C1057" s="37" t="n"/>
      <c r="D1057" s="39" t="str">
        <f>IF(C1057="","",IFERROR(INDEX(art_des,MATCH(C1057,art_ref,0))&amp;"","Référence inconnue"))</f>
        <v/>
      </c>
      <c r="E1057" s="37" t="n"/>
      <c r="F1057" s="39" t="str">
        <f>IF(C1057="","",IFERROR(INDEX(art_unit,MATCH(C1057,art_ref,0))&amp;"",""))</f>
        <v/>
      </c>
      <c r="G1057" s="37" t="n"/>
      <c r="H1057" s="37" t="n"/>
      <c r="I1057" s="37" t="n"/>
      <c r="J1057" s="40" t="str">
        <f>IF(OR(C1057="",NOT(ISNUMBER(E1057))),"",IFERROR(E1057*N(INDEX(art_price,MATCH(C1057,art_ref,0))),""))</f>
        <v/>
      </c>
      <c r="K1057" s="39" t="str">
        <f>IF(OR(C1057="",NOT(ISNUMBER(E1057))),"",IFERROR(ROUND(N(INDEX(art_init,MATCH(C1057,art_ref,0)))+SUMIFS($E$5:E1057,$C$5:C1057,C1057,$B$5:B1057,"Entrée")-SUMIFS($E$5:E1057,$C$5:C1057,C1057,$B$5:B1057,"Sortie"),6),""))</f>
        <v/>
      </c>
      <c r="L1057" s="39" t="str">
        <f>IF(COUNTA(A1057:C1057,E1057)=0,"",IF(COUNTA(A1057:C1057,E1057)&lt;4,"Ligne incomplète",IF(NOT(ISNUMBER(A1057)),"Date invalide",IF(AND(B1057&lt;&gt;"Entrée",B1057&lt;&gt;"Sortie"),"Type inconnu",IF(ISNA(MATCH(C1057,art_ref,0)),"Référence inconnue",IF(OR(NOT(ISNUMBER(E1057)),N(E1057)&lt;=0),"Quantité invalide",IF(K1057&lt;0,"Stock négatif",IF(AND(ISNUMBER(A1056),A1057&lt;A1056),"Date hors ordre","OK"))))))))</f>
        <v/>
      </c>
      <c r="M1057" s="39" t="str">
        <f>IF(C1057="","",C1057&amp;"#"&amp;COUNTIF($C$5:C1057,C1057))</f>
        <v/>
      </c>
    </row>
    <row r="1058">
      <c r="A1058" s="41" t="n"/>
      <c r="B1058" s="37" t="n"/>
      <c r="C1058" s="37" t="n"/>
      <c r="D1058" s="39" t="str">
        <f>IF(C1058="","",IFERROR(INDEX(art_des,MATCH(C1058,art_ref,0))&amp;"","Référence inconnue"))</f>
        <v/>
      </c>
      <c r="E1058" s="37" t="n"/>
      <c r="F1058" s="39" t="str">
        <f>IF(C1058="","",IFERROR(INDEX(art_unit,MATCH(C1058,art_ref,0))&amp;"",""))</f>
        <v/>
      </c>
      <c r="G1058" s="37" t="n"/>
      <c r="H1058" s="37" t="n"/>
      <c r="I1058" s="37" t="n"/>
      <c r="J1058" s="40" t="str">
        <f>IF(OR(C1058="",NOT(ISNUMBER(E1058))),"",IFERROR(E1058*N(INDEX(art_price,MATCH(C1058,art_ref,0))),""))</f>
        <v/>
      </c>
      <c r="K1058" s="39" t="str">
        <f>IF(OR(C1058="",NOT(ISNUMBER(E1058))),"",IFERROR(ROUND(N(INDEX(art_init,MATCH(C1058,art_ref,0)))+SUMIFS($E$5:E1058,$C$5:C1058,C1058,$B$5:B1058,"Entrée")-SUMIFS($E$5:E1058,$C$5:C1058,C1058,$B$5:B1058,"Sortie"),6),""))</f>
        <v/>
      </c>
      <c r="L1058" s="39" t="str">
        <f>IF(COUNTA(A1058:C1058,E1058)=0,"",IF(COUNTA(A1058:C1058,E1058)&lt;4,"Ligne incomplète",IF(NOT(ISNUMBER(A1058)),"Date invalide",IF(AND(B1058&lt;&gt;"Entrée",B1058&lt;&gt;"Sortie"),"Type inconnu",IF(ISNA(MATCH(C1058,art_ref,0)),"Référence inconnue",IF(OR(NOT(ISNUMBER(E1058)),N(E1058)&lt;=0),"Quantité invalide",IF(K1058&lt;0,"Stock négatif",IF(AND(ISNUMBER(A1057),A1058&lt;A1057),"Date hors ordre","OK"))))))))</f>
        <v/>
      </c>
      <c r="M1058" s="39" t="str">
        <f>IF(C1058="","",C1058&amp;"#"&amp;COUNTIF($C$5:C1058,C1058))</f>
        <v/>
      </c>
    </row>
    <row r="1059">
      <c r="A1059" s="41" t="n"/>
      <c r="B1059" s="37" t="n"/>
      <c r="C1059" s="37" t="n"/>
      <c r="D1059" s="39" t="str">
        <f>IF(C1059="","",IFERROR(INDEX(art_des,MATCH(C1059,art_ref,0))&amp;"","Référence inconnue"))</f>
        <v/>
      </c>
      <c r="E1059" s="37" t="n"/>
      <c r="F1059" s="39" t="str">
        <f>IF(C1059="","",IFERROR(INDEX(art_unit,MATCH(C1059,art_ref,0))&amp;"",""))</f>
        <v/>
      </c>
      <c r="G1059" s="37" t="n"/>
      <c r="H1059" s="37" t="n"/>
      <c r="I1059" s="37" t="n"/>
      <c r="J1059" s="40" t="str">
        <f>IF(OR(C1059="",NOT(ISNUMBER(E1059))),"",IFERROR(E1059*N(INDEX(art_price,MATCH(C1059,art_ref,0))),""))</f>
        <v/>
      </c>
      <c r="K1059" s="39" t="str">
        <f>IF(OR(C1059="",NOT(ISNUMBER(E1059))),"",IFERROR(ROUND(N(INDEX(art_init,MATCH(C1059,art_ref,0)))+SUMIFS($E$5:E1059,$C$5:C1059,C1059,$B$5:B1059,"Entrée")-SUMIFS($E$5:E1059,$C$5:C1059,C1059,$B$5:B1059,"Sortie"),6),""))</f>
        <v/>
      </c>
      <c r="L1059" s="39" t="str">
        <f>IF(COUNTA(A1059:C1059,E1059)=0,"",IF(COUNTA(A1059:C1059,E1059)&lt;4,"Ligne incomplète",IF(NOT(ISNUMBER(A1059)),"Date invalide",IF(AND(B1059&lt;&gt;"Entrée",B1059&lt;&gt;"Sortie"),"Type inconnu",IF(ISNA(MATCH(C1059,art_ref,0)),"Référence inconnue",IF(OR(NOT(ISNUMBER(E1059)),N(E1059)&lt;=0),"Quantité invalide",IF(K1059&lt;0,"Stock négatif",IF(AND(ISNUMBER(A1058),A1059&lt;A1058),"Date hors ordre","OK"))))))))</f>
        <v/>
      </c>
      <c r="M1059" s="39" t="str">
        <f>IF(C1059="","",C1059&amp;"#"&amp;COUNTIF($C$5:C1059,C1059))</f>
        <v/>
      </c>
    </row>
    <row r="1060">
      <c r="A1060" s="41" t="n"/>
      <c r="B1060" s="37" t="n"/>
      <c r="C1060" s="37" t="n"/>
      <c r="D1060" s="39" t="str">
        <f>IF(C1060="","",IFERROR(INDEX(art_des,MATCH(C1060,art_ref,0))&amp;"","Référence inconnue"))</f>
        <v/>
      </c>
      <c r="E1060" s="37" t="n"/>
      <c r="F1060" s="39" t="str">
        <f>IF(C1060="","",IFERROR(INDEX(art_unit,MATCH(C1060,art_ref,0))&amp;"",""))</f>
        <v/>
      </c>
      <c r="G1060" s="37" t="n"/>
      <c r="H1060" s="37" t="n"/>
      <c r="I1060" s="37" t="n"/>
      <c r="J1060" s="40" t="str">
        <f>IF(OR(C1060="",NOT(ISNUMBER(E1060))),"",IFERROR(E1060*N(INDEX(art_price,MATCH(C1060,art_ref,0))),""))</f>
        <v/>
      </c>
      <c r="K1060" s="39" t="str">
        <f>IF(OR(C1060="",NOT(ISNUMBER(E1060))),"",IFERROR(ROUND(N(INDEX(art_init,MATCH(C1060,art_ref,0)))+SUMIFS($E$5:E1060,$C$5:C1060,C1060,$B$5:B1060,"Entrée")-SUMIFS($E$5:E1060,$C$5:C1060,C1060,$B$5:B1060,"Sortie"),6),""))</f>
        <v/>
      </c>
      <c r="L1060" s="39" t="str">
        <f>IF(COUNTA(A1060:C1060,E1060)=0,"",IF(COUNTA(A1060:C1060,E1060)&lt;4,"Ligne incomplète",IF(NOT(ISNUMBER(A1060)),"Date invalide",IF(AND(B1060&lt;&gt;"Entrée",B1060&lt;&gt;"Sortie"),"Type inconnu",IF(ISNA(MATCH(C1060,art_ref,0)),"Référence inconnue",IF(OR(NOT(ISNUMBER(E1060)),N(E1060)&lt;=0),"Quantité invalide",IF(K1060&lt;0,"Stock négatif",IF(AND(ISNUMBER(A1059),A1060&lt;A1059),"Date hors ordre","OK"))))))))</f>
        <v/>
      </c>
      <c r="M1060" s="39" t="str">
        <f>IF(C1060="","",C1060&amp;"#"&amp;COUNTIF($C$5:C1060,C1060))</f>
        <v/>
      </c>
    </row>
    <row r="1061">
      <c r="A1061" s="41" t="n"/>
      <c r="B1061" s="37" t="n"/>
      <c r="C1061" s="37" t="n"/>
      <c r="D1061" s="39" t="str">
        <f>IF(C1061="","",IFERROR(INDEX(art_des,MATCH(C1061,art_ref,0))&amp;"","Référence inconnue"))</f>
        <v/>
      </c>
      <c r="E1061" s="37" t="n"/>
      <c r="F1061" s="39" t="str">
        <f>IF(C1061="","",IFERROR(INDEX(art_unit,MATCH(C1061,art_ref,0))&amp;"",""))</f>
        <v/>
      </c>
      <c r="G1061" s="37" t="n"/>
      <c r="H1061" s="37" t="n"/>
      <c r="I1061" s="37" t="n"/>
      <c r="J1061" s="40" t="str">
        <f>IF(OR(C1061="",NOT(ISNUMBER(E1061))),"",IFERROR(E1061*N(INDEX(art_price,MATCH(C1061,art_ref,0))),""))</f>
        <v/>
      </c>
      <c r="K1061" s="39" t="str">
        <f>IF(OR(C1061="",NOT(ISNUMBER(E1061))),"",IFERROR(ROUND(N(INDEX(art_init,MATCH(C1061,art_ref,0)))+SUMIFS($E$5:E1061,$C$5:C1061,C1061,$B$5:B1061,"Entrée")-SUMIFS($E$5:E1061,$C$5:C1061,C1061,$B$5:B1061,"Sortie"),6),""))</f>
        <v/>
      </c>
      <c r="L1061" s="39" t="str">
        <f>IF(COUNTA(A1061:C1061,E1061)=0,"",IF(COUNTA(A1061:C1061,E1061)&lt;4,"Ligne incomplète",IF(NOT(ISNUMBER(A1061)),"Date invalide",IF(AND(B1061&lt;&gt;"Entrée",B1061&lt;&gt;"Sortie"),"Type inconnu",IF(ISNA(MATCH(C1061,art_ref,0)),"Référence inconnue",IF(OR(NOT(ISNUMBER(E1061)),N(E1061)&lt;=0),"Quantité invalide",IF(K1061&lt;0,"Stock négatif",IF(AND(ISNUMBER(A1060),A1061&lt;A1060),"Date hors ordre","OK"))))))))</f>
        <v/>
      </c>
      <c r="M1061" s="39" t="str">
        <f>IF(C1061="","",C1061&amp;"#"&amp;COUNTIF($C$5:C1061,C1061))</f>
        <v/>
      </c>
    </row>
    <row r="1062">
      <c r="A1062" s="41" t="n"/>
      <c r="B1062" s="37" t="n"/>
      <c r="C1062" s="37" t="n"/>
      <c r="D1062" s="39" t="str">
        <f>IF(C1062="","",IFERROR(INDEX(art_des,MATCH(C1062,art_ref,0))&amp;"","Référence inconnue"))</f>
        <v/>
      </c>
      <c r="E1062" s="37" t="n"/>
      <c r="F1062" s="39" t="str">
        <f>IF(C1062="","",IFERROR(INDEX(art_unit,MATCH(C1062,art_ref,0))&amp;"",""))</f>
        <v/>
      </c>
      <c r="G1062" s="37" t="n"/>
      <c r="H1062" s="37" t="n"/>
      <c r="I1062" s="37" t="n"/>
      <c r="J1062" s="40" t="str">
        <f>IF(OR(C1062="",NOT(ISNUMBER(E1062))),"",IFERROR(E1062*N(INDEX(art_price,MATCH(C1062,art_ref,0))),""))</f>
        <v/>
      </c>
      <c r="K1062" s="39" t="str">
        <f>IF(OR(C1062="",NOT(ISNUMBER(E1062))),"",IFERROR(ROUND(N(INDEX(art_init,MATCH(C1062,art_ref,0)))+SUMIFS($E$5:E1062,$C$5:C1062,C1062,$B$5:B1062,"Entrée")-SUMIFS($E$5:E1062,$C$5:C1062,C1062,$B$5:B1062,"Sortie"),6),""))</f>
        <v/>
      </c>
      <c r="L1062" s="39" t="str">
        <f>IF(COUNTA(A1062:C1062,E1062)=0,"",IF(COUNTA(A1062:C1062,E1062)&lt;4,"Ligne incomplète",IF(NOT(ISNUMBER(A1062)),"Date invalide",IF(AND(B1062&lt;&gt;"Entrée",B1062&lt;&gt;"Sortie"),"Type inconnu",IF(ISNA(MATCH(C1062,art_ref,0)),"Référence inconnue",IF(OR(NOT(ISNUMBER(E1062)),N(E1062)&lt;=0),"Quantité invalide",IF(K1062&lt;0,"Stock négatif",IF(AND(ISNUMBER(A1061),A1062&lt;A1061),"Date hors ordre","OK"))))))))</f>
        <v/>
      </c>
      <c r="M1062" s="39" t="str">
        <f>IF(C1062="","",C1062&amp;"#"&amp;COUNTIF($C$5:C1062,C1062))</f>
        <v/>
      </c>
    </row>
    <row r="1063">
      <c r="A1063" s="41" t="n"/>
      <c r="B1063" s="37" t="n"/>
      <c r="C1063" s="37" t="n"/>
      <c r="D1063" s="39" t="str">
        <f>IF(C1063="","",IFERROR(INDEX(art_des,MATCH(C1063,art_ref,0))&amp;"","Référence inconnue"))</f>
        <v/>
      </c>
      <c r="E1063" s="37" t="n"/>
      <c r="F1063" s="39" t="str">
        <f>IF(C1063="","",IFERROR(INDEX(art_unit,MATCH(C1063,art_ref,0))&amp;"",""))</f>
        <v/>
      </c>
      <c r="G1063" s="37" t="n"/>
      <c r="H1063" s="37" t="n"/>
      <c r="I1063" s="37" t="n"/>
      <c r="J1063" s="40" t="str">
        <f>IF(OR(C1063="",NOT(ISNUMBER(E1063))),"",IFERROR(E1063*N(INDEX(art_price,MATCH(C1063,art_ref,0))),""))</f>
        <v/>
      </c>
      <c r="K1063" s="39" t="str">
        <f>IF(OR(C1063="",NOT(ISNUMBER(E1063))),"",IFERROR(ROUND(N(INDEX(art_init,MATCH(C1063,art_ref,0)))+SUMIFS($E$5:E1063,$C$5:C1063,C1063,$B$5:B1063,"Entrée")-SUMIFS($E$5:E1063,$C$5:C1063,C1063,$B$5:B1063,"Sortie"),6),""))</f>
        <v/>
      </c>
      <c r="L1063" s="39" t="str">
        <f>IF(COUNTA(A1063:C1063,E1063)=0,"",IF(COUNTA(A1063:C1063,E1063)&lt;4,"Ligne incomplète",IF(NOT(ISNUMBER(A1063)),"Date invalide",IF(AND(B1063&lt;&gt;"Entrée",B1063&lt;&gt;"Sortie"),"Type inconnu",IF(ISNA(MATCH(C1063,art_ref,0)),"Référence inconnue",IF(OR(NOT(ISNUMBER(E1063)),N(E1063)&lt;=0),"Quantité invalide",IF(K1063&lt;0,"Stock négatif",IF(AND(ISNUMBER(A1062),A1063&lt;A1062),"Date hors ordre","OK"))))))))</f>
        <v/>
      </c>
      <c r="M1063" s="39" t="str">
        <f>IF(C1063="","",C1063&amp;"#"&amp;COUNTIF($C$5:C1063,C1063))</f>
        <v/>
      </c>
    </row>
    <row r="1064">
      <c r="A1064" s="41" t="n"/>
      <c r="B1064" s="37" t="n"/>
      <c r="C1064" s="37" t="n"/>
      <c r="D1064" s="39" t="str">
        <f>IF(C1064="","",IFERROR(INDEX(art_des,MATCH(C1064,art_ref,0))&amp;"","Référence inconnue"))</f>
        <v/>
      </c>
      <c r="E1064" s="37" t="n"/>
      <c r="F1064" s="39" t="str">
        <f>IF(C1064="","",IFERROR(INDEX(art_unit,MATCH(C1064,art_ref,0))&amp;"",""))</f>
        <v/>
      </c>
      <c r="G1064" s="37" t="n"/>
      <c r="H1064" s="37" t="n"/>
      <c r="I1064" s="37" t="n"/>
      <c r="J1064" s="40" t="str">
        <f>IF(OR(C1064="",NOT(ISNUMBER(E1064))),"",IFERROR(E1064*N(INDEX(art_price,MATCH(C1064,art_ref,0))),""))</f>
        <v/>
      </c>
      <c r="K1064" s="39" t="str">
        <f>IF(OR(C1064="",NOT(ISNUMBER(E1064))),"",IFERROR(ROUND(N(INDEX(art_init,MATCH(C1064,art_ref,0)))+SUMIFS($E$5:E1064,$C$5:C1064,C1064,$B$5:B1064,"Entrée")-SUMIFS($E$5:E1064,$C$5:C1064,C1064,$B$5:B1064,"Sortie"),6),""))</f>
        <v/>
      </c>
      <c r="L1064" s="39" t="str">
        <f>IF(COUNTA(A1064:C1064,E1064)=0,"",IF(COUNTA(A1064:C1064,E1064)&lt;4,"Ligne incomplète",IF(NOT(ISNUMBER(A1064)),"Date invalide",IF(AND(B1064&lt;&gt;"Entrée",B1064&lt;&gt;"Sortie"),"Type inconnu",IF(ISNA(MATCH(C1064,art_ref,0)),"Référence inconnue",IF(OR(NOT(ISNUMBER(E1064)),N(E1064)&lt;=0),"Quantité invalide",IF(K1064&lt;0,"Stock négatif",IF(AND(ISNUMBER(A1063),A1064&lt;A1063),"Date hors ordre","OK"))))))))</f>
        <v/>
      </c>
      <c r="M1064" s="39" t="str">
        <f>IF(C1064="","",C1064&amp;"#"&amp;COUNTIF($C$5:C1064,C1064))</f>
        <v/>
      </c>
    </row>
    <row r="1065">
      <c r="A1065" s="41" t="n"/>
      <c r="B1065" s="37" t="n"/>
      <c r="C1065" s="37" t="n"/>
      <c r="D1065" s="39" t="str">
        <f>IF(C1065="","",IFERROR(INDEX(art_des,MATCH(C1065,art_ref,0))&amp;"","Référence inconnue"))</f>
        <v/>
      </c>
      <c r="E1065" s="37" t="n"/>
      <c r="F1065" s="39" t="str">
        <f>IF(C1065="","",IFERROR(INDEX(art_unit,MATCH(C1065,art_ref,0))&amp;"",""))</f>
        <v/>
      </c>
      <c r="G1065" s="37" t="n"/>
      <c r="H1065" s="37" t="n"/>
      <c r="I1065" s="37" t="n"/>
      <c r="J1065" s="40" t="str">
        <f>IF(OR(C1065="",NOT(ISNUMBER(E1065))),"",IFERROR(E1065*N(INDEX(art_price,MATCH(C1065,art_ref,0))),""))</f>
        <v/>
      </c>
      <c r="K1065" s="39" t="str">
        <f>IF(OR(C1065="",NOT(ISNUMBER(E1065))),"",IFERROR(ROUND(N(INDEX(art_init,MATCH(C1065,art_ref,0)))+SUMIFS($E$5:E1065,$C$5:C1065,C1065,$B$5:B1065,"Entrée")-SUMIFS($E$5:E1065,$C$5:C1065,C1065,$B$5:B1065,"Sortie"),6),""))</f>
        <v/>
      </c>
      <c r="L1065" s="39" t="str">
        <f>IF(COUNTA(A1065:C1065,E1065)=0,"",IF(COUNTA(A1065:C1065,E1065)&lt;4,"Ligne incomplète",IF(NOT(ISNUMBER(A1065)),"Date invalide",IF(AND(B1065&lt;&gt;"Entrée",B1065&lt;&gt;"Sortie"),"Type inconnu",IF(ISNA(MATCH(C1065,art_ref,0)),"Référence inconnue",IF(OR(NOT(ISNUMBER(E1065)),N(E1065)&lt;=0),"Quantité invalide",IF(K1065&lt;0,"Stock négatif",IF(AND(ISNUMBER(A1064),A1065&lt;A1064),"Date hors ordre","OK"))))))))</f>
        <v/>
      </c>
      <c r="M1065" s="39" t="str">
        <f>IF(C1065="","",C1065&amp;"#"&amp;COUNTIF($C$5:C1065,C1065))</f>
        <v/>
      </c>
    </row>
    <row r="1066">
      <c r="A1066" s="41" t="n"/>
      <c r="B1066" s="37" t="n"/>
      <c r="C1066" s="37" t="n"/>
      <c r="D1066" s="39" t="str">
        <f>IF(C1066="","",IFERROR(INDEX(art_des,MATCH(C1066,art_ref,0))&amp;"","Référence inconnue"))</f>
        <v/>
      </c>
      <c r="E1066" s="37" t="n"/>
      <c r="F1066" s="39" t="str">
        <f>IF(C1066="","",IFERROR(INDEX(art_unit,MATCH(C1066,art_ref,0))&amp;"",""))</f>
        <v/>
      </c>
      <c r="G1066" s="37" t="n"/>
      <c r="H1066" s="37" t="n"/>
      <c r="I1066" s="37" t="n"/>
      <c r="J1066" s="40" t="str">
        <f>IF(OR(C1066="",NOT(ISNUMBER(E1066))),"",IFERROR(E1066*N(INDEX(art_price,MATCH(C1066,art_ref,0))),""))</f>
        <v/>
      </c>
      <c r="K1066" s="39" t="str">
        <f>IF(OR(C1066="",NOT(ISNUMBER(E1066))),"",IFERROR(ROUND(N(INDEX(art_init,MATCH(C1066,art_ref,0)))+SUMIFS($E$5:E1066,$C$5:C1066,C1066,$B$5:B1066,"Entrée")-SUMIFS($E$5:E1066,$C$5:C1066,C1066,$B$5:B1066,"Sortie"),6),""))</f>
        <v/>
      </c>
      <c r="L1066" s="39" t="str">
        <f>IF(COUNTA(A1066:C1066,E1066)=0,"",IF(COUNTA(A1066:C1066,E1066)&lt;4,"Ligne incomplète",IF(NOT(ISNUMBER(A1066)),"Date invalide",IF(AND(B1066&lt;&gt;"Entrée",B1066&lt;&gt;"Sortie"),"Type inconnu",IF(ISNA(MATCH(C1066,art_ref,0)),"Référence inconnue",IF(OR(NOT(ISNUMBER(E1066)),N(E1066)&lt;=0),"Quantité invalide",IF(K1066&lt;0,"Stock négatif",IF(AND(ISNUMBER(A1065),A1066&lt;A1065),"Date hors ordre","OK"))))))))</f>
        <v/>
      </c>
      <c r="M1066" s="39" t="str">
        <f>IF(C1066="","",C1066&amp;"#"&amp;COUNTIF($C$5:C1066,C1066))</f>
        <v/>
      </c>
    </row>
    <row r="1067">
      <c r="A1067" s="41" t="n"/>
      <c r="B1067" s="37" t="n"/>
      <c r="C1067" s="37" t="n"/>
      <c r="D1067" s="39" t="str">
        <f>IF(C1067="","",IFERROR(INDEX(art_des,MATCH(C1067,art_ref,0))&amp;"","Référence inconnue"))</f>
        <v/>
      </c>
      <c r="E1067" s="37" t="n"/>
      <c r="F1067" s="39" t="str">
        <f>IF(C1067="","",IFERROR(INDEX(art_unit,MATCH(C1067,art_ref,0))&amp;"",""))</f>
        <v/>
      </c>
      <c r="G1067" s="37" t="n"/>
      <c r="H1067" s="37" t="n"/>
      <c r="I1067" s="37" t="n"/>
      <c r="J1067" s="40" t="str">
        <f>IF(OR(C1067="",NOT(ISNUMBER(E1067))),"",IFERROR(E1067*N(INDEX(art_price,MATCH(C1067,art_ref,0))),""))</f>
        <v/>
      </c>
      <c r="K1067" s="39" t="str">
        <f>IF(OR(C1067="",NOT(ISNUMBER(E1067))),"",IFERROR(ROUND(N(INDEX(art_init,MATCH(C1067,art_ref,0)))+SUMIFS($E$5:E1067,$C$5:C1067,C1067,$B$5:B1067,"Entrée")-SUMIFS($E$5:E1067,$C$5:C1067,C1067,$B$5:B1067,"Sortie"),6),""))</f>
        <v/>
      </c>
      <c r="L1067" s="39" t="str">
        <f>IF(COUNTA(A1067:C1067,E1067)=0,"",IF(COUNTA(A1067:C1067,E1067)&lt;4,"Ligne incomplète",IF(NOT(ISNUMBER(A1067)),"Date invalide",IF(AND(B1067&lt;&gt;"Entrée",B1067&lt;&gt;"Sortie"),"Type inconnu",IF(ISNA(MATCH(C1067,art_ref,0)),"Référence inconnue",IF(OR(NOT(ISNUMBER(E1067)),N(E1067)&lt;=0),"Quantité invalide",IF(K1067&lt;0,"Stock négatif",IF(AND(ISNUMBER(A1066),A1067&lt;A1066),"Date hors ordre","OK"))))))))</f>
        <v/>
      </c>
      <c r="M1067" s="39" t="str">
        <f>IF(C1067="","",C1067&amp;"#"&amp;COUNTIF($C$5:C1067,C1067))</f>
        <v/>
      </c>
    </row>
    <row r="1068">
      <c r="A1068" s="41" t="n"/>
      <c r="B1068" s="37" t="n"/>
      <c r="C1068" s="37" t="n"/>
      <c r="D1068" s="39" t="str">
        <f>IF(C1068="","",IFERROR(INDEX(art_des,MATCH(C1068,art_ref,0))&amp;"","Référence inconnue"))</f>
        <v/>
      </c>
      <c r="E1068" s="37" t="n"/>
      <c r="F1068" s="39" t="str">
        <f>IF(C1068="","",IFERROR(INDEX(art_unit,MATCH(C1068,art_ref,0))&amp;"",""))</f>
        <v/>
      </c>
      <c r="G1068" s="37" t="n"/>
      <c r="H1068" s="37" t="n"/>
      <c r="I1068" s="37" t="n"/>
      <c r="J1068" s="40" t="str">
        <f>IF(OR(C1068="",NOT(ISNUMBER(E1068))),"",IFERROR(E1068*N(INDEX(art_price,MATCH(C1068,art_ref,0))),""))</f>
        <v/>
      </c>
      <c r="K1068" s="39" t="str">
        <f>IF(OR(C1068="",NOT(ISNUMBER(E1068))),"",IFERROR(ROUND(N(INDEX(art_init,MATCH(C1068,art_ref,0)))+SUMIFS($E$5:E1068,$C$5:C1068,C1068,$B$5:B1068,"Entrée")-SUMIFS($E$5:E1068,$C$5:C1068,C1068,$B$5:B1068,"Sortie"),6),""))</f>
        <v/>
      </c>
      <c r="L1068" s="39" t="str">
        <f>IF(COUNTA(A1068:C1068,E1068)=0,"",IF(COUNTA(A1068:C1068,E1068)&lt;4,"Ligne incomplète",IF(NOT(ISNUMBER(A1068)),"Date invalide",IF(AND(B1068&lt;&gt;"Entrée",B1068&lt;&gt;"Sortie"),"Type inconnu",IF(ISNA(MATCH(C1068,art_ref,0)),"Référence inconnue",IF(OR(NOT(ISNUMBER(E1068)),N(E1068)&lt;=0),"Quantité invalide",IF(K1068&lt;0,"Stock négatif",IF(AND(ISNUMBER(A1067),A1068&lt;A1067),"Date hors ordre","OK"))))))))</f>
        <v/>
      </c>
      <c r="M1068" s="39" t="str">
        <f>IF(C1068="","",C1068&amp;"#"&amp;COUNTIF($C$5:C1068,C1068))</f>
        <v/>
      </c>
    </row>
    <row r="1069">
      <c r="A1069" s="41" t="n"/>
      <c r="B1069" s="37" t="n"/>
      <c r="C1069" s="37" t="n"/>
      <c r="D1069" s="39" t="str">
        <f>IF(C1069="","",IFERROR(INDEX(art_des,MATCH(C1069,art_ref,0))&amp;"","Référence inconnue"))</f>
        <v/>
      </c>
      <c r="E1069" s="37" t="n"/>
      <c r="F1069" s="39" t="str">
        <f>IF(C1069="","",IFERROR(INDEX(art_unit,MATCH(C1069,art_ref,0))&amp;"",""))</f>
        <v/>
      </c>
      <c r="G1069" s="37" t="n"/>
      <c r="H1069" s="37" t="n"/>
      <c r="I1069" s="37" t="n"/>
      <c r="J1069" s="40" t="str">
        <f>IF(OR(C1069="",NOT(ISNUMBER(E1069))),"",IFERROR(E1069*N(INDEX(art_price,MATCH(C1069,art_ref,0))),""))</f>
        <v/>
      </c>
      <c r="K1069" s="39" t="str">
        <f>IF(OR(C1069="",NOT(ISNUMBER(E1069))),"",IFERROR(ROUND(N(INDEX(art_init,MATCH(C1069,art_ref,0)))+SUMIFS($E$5:E1069,$C$5:C1069,C1069,$B$5:B1069,"Entrée")-SUMIFS($E$5:E1069,$C$5:C1069,C1069,$B$5:B1069,"Sortie"),6),""))</f>
        <v/>
      </c>
      <c r="L1069" s="39" t="str">
        <f>IF(COUNTA(A1069:C1069,E1069)=0,"",IF(COUNTA(A1069:C1069,E1069)&lt;4,"Ligne incomplète",IF(NOT(ISNUMBER(A1069)),"Date invalide",IF(AND(B1069&lt;&gt;"Entrée",B1069&lt;&gt;"Sortie"),"Type inconnu",IF(ISNA(MATCH(C1069,art_ref,0)),"Référence inconnue",IF(OR(NOT(ISNUMBER(E1069)),N(E1069)&lt;=0),"Quantité invalide",IF(K1069&lt;0,"Stock négatif",IF(AND(ISNUMBER(A1068),A1069&lt;A1068),"Date hors ordre","OK"))))))))</f>
        <v/>
      </c>
      <c r="M1069" s="39" t="str">
        <f>IF(C1069="","",C1069&amp;"#"&amp;COUNTIF($C$5:C1069,C1069))</f>
        <v/>
      </c>
    </row>
    <row r="1070">
      <c r="A1070" s="41" t="n"/>
      <c r="B1070" s="37" t="n"/>
      <c r="C1070" s="37" t="n"/>
      <c r="D1070" s="39" t="str">
        <f>IF(C1070="","",IFERROR(INDEX(art_des,MATCH(C1070,art_ref,0))&amp;"","Référence inconnue"))</f>
        <v/>
      </c>
      <c r="E1070" s="37" t="n"/>
      <c r="F1070" s="39" t="str">
        <f>IF(C1070="","",IFERROR(INDEX(art_unit,MATCH(C1070,art_ref,0))&amp;"",""))</f>
        <v/>
      </c>
      <c r="G1070" s="37" t="n"/>
      <c r="H1070" s="37" t="n"/>
      <c r="I1070" s="37" t="n"/>
      <c r="J1070" s="40" t="str">
        <f>IF(OR(C1070="",NOT(ISNUMBER(E1070))),"",IFERROR(E1070*N(INDEX(art_price,MATCH(C1070,art_ref,0))),""))</f>
        <v/>
      </c>
      <c r="K1070" s="39" t="str">
        <f>IF(OR(C1070="",NOT(ISNUMBER(E1070))),"",IFERROR(ROUND(N(INDEX(art_init,MATCH(C1070,art_ref,0)))+SUMIFS($E$5:E1070,$C$5:C1070,C1070,$B$5:B1070,"Entrée")-SUMIFS($E$5:E1070,$C$5:C1070,C1070,$B$5:B1070,"Sortie"),6),""))</f>
        <v/>
      </c>
      <c r="L1070" s="39" t="str">
        <f>IF(COUNTA(A1070:C1070,E1070)=0,"",IF(COUNTA(A1070:C1070,E1070)&lt;4,"Ligne incomplète",IF(NOT(ISNUMBER(A1070)),"Date invalide",IF(AND(B1070&lt;&gt;"Entrée",B1070&lt;&gt;"Sortie"),"Type inconnu",IF(ISNA(MATCH(C1070,art_ref,0)),"Référence inconnue",IF(OR(NOT(ISNUMBER(E1070)),N(E1070)&lt;=0),"Quantité invalide",IF(K1070&lt;0,"Stock négatif",IF(AND(ISNUMBER(A1069),A1070&lt;A1069),"Date hors ordre","OK"))))))))</f>
        <v/>
      </c>
      <c r="M1070" s="39" t="str">
        <f>IF(C1070="","",C1070&amp;"#"&amp;COUNTIF($C$5:C1070,C1070))</f>
        <v/>
      </c>
    </row>
    <row r="1071">
      <c r="A1071" s="41" t="n"/>
      <c r="B1071" s="37" t="n"/>
      <c r="C1071" s="37" t="n"/>
      <c r="D1071" s="39" t="str">
        <f>IF(C1071="","",IFERROR(INDEX(art_des,MATCH(C1071,art_ref,0))&amp;"","Référence inconnue"))</f>
        <v/>
      </c>
      <c r="E1071" s="37" t="n"/>
      <c r="F1071" s="39" t="str">
        <f>IF(C1071="","",IFERROR(INDEX(art_unit,MATCH(C1071,art_ref,0))&amp;"",""))</f>
        <v/>
      </c>
      <c r="G1071" s="37" t="n"/>
      <c r="H1071" s="37" t="n"/>
      <c r="I1071" s="37" t="n"/>
      <c r="J1071" s="40" t="str">
        <f>IF(OR(C1071="",NOT(ISNUMBER(E1071))),"",IFERROR(E1071*N(INDEX(art_price,MATCH(C1071,art_ref,0))),""))</f>
        <v/>
      </c>
      <c r="K1071" s="39" t="str">
        <f>IF(OR(C1071="",NOT(ISNUMBER(E1071))),"",IFERROR(ROUND(N(INDEX(art_init,MATCH(C1071,art_ref,0)))+SUMIFS($E$5:E1071,$C$5:C1071,C1071,$B$5:B1071,"Entrée")-SUMIFS($E$5:E1071,$C$5:C1071,C1071,$B$5:B1071,"Sortie"),6),""))</f>
        <v/>
      </c>
      <c r="L1071" s="39" t="str">
        <f>IF(COUNTA(A1071:C1071,E1071)=0,"",IF(COUNTA(A1071:C1071,E1071)&lt;4,"Ligne incomplète",IF(NOT(ISNUMBER(A1071)),"Date invalide",IF(AND(B1071&lt;&gt;"Entrée",B1071&lt;&gt;"Sortie"),"Type inconnu",IF(ISNA(MATCH(C1071,art_ref,0)),"Référence inconnue",IF(OR(NOT(ISNUMBER(E1071)),N(E1071)&lt;=0),"Quantité invalide",IF(K1071&lt;0,"Stock négatif",IF(AND(ISNUMBER(A1070),A1071&lt;A1070),"Date hors ordre","OK"))))))))</f>
        <v/>
      </c>
      <c r="M1071" s="39" t="str">
        <f>IF(C1071="","",C1071&amp;"#"&amp;COUNTIF($C$5:C1071,C1071))</f>
        <v/>
      </c>
    </row>
    <row r="1072">
      <c r="A1072" s="41" t="n"/>
      <c r="B1072" s="37" t="n"/>
      <c r="C1072" s="37" t="n"/>
      <c r="D1072" s="39" t="str">
        <f>IF(C1072="","",IFERROR(INDEX(art_des,MATCH(C1072,art_ref,0))&amp;"","Référence inconnue"))</f>
        <v/>
      </c>
      <c r="E1072" s="37" t="n"/>
      <c r="F1072" s="39" t="str">
        <f>IF(C1072="","",IFERROR(INDEX(art_unit,MATCH(C1072,art_ref,0))&amp;"",""))</f>
        <v/>
      </c>
      <c r="G1072" s="37" t="n"/>
      <c r="H1072" s="37" t="n"/>
      <c r="I1072" s="37" t="n"/>
      <c r="J1072" s="40" t="str">
        <f>IF(OR(C1072="",NOT(ISNUMBER(E1072))),"",IFERROR(E1072*N(INDEX(art_price,MATCH(C1072,art_ref,0))),""))</f>
        <v/>
      </c>
      <c r="K1072" s="39" t="str">
        <f>IF(OR(C1072="",NOT(ISNUMBER(E1072))),"",IFERROR(ROUND(N(INDEX(art_init,MATCH(C1072,art_ref,0)))+SUMIFS($E$5:E1072,$C$5:C1072,C1072,$B$5:B1072,"Entrée")-SUMIFS($E$5:E1072,$C$5:C1072,C1072,$B$5:B1072,"Sortie"),6),""))</f>
        <v/>
      </c>
      <c r="L1072" s="39" t="str">
        <f>IF(COUNTA(A1072:C1072,E1072)=0,"",IF(COUNTA(A1072:C1072,E1072)&lt;4,"Ligne incomplète",IF(NOT(ISNUMBER(A1072)),"Date invalide",IF(AND(B1072&lt;&gt;"Entrée",B1072&lt;&gt;"Sortie"),"Type inconnu",IF(ISNA(MATCH(C1072,art_ref,0)),"Référence inconnue",IF(OR(NOT(ISNUMBER(E1072)),N(E1072)&lt;=0),"Quantité invalide",IF(K1072&lt;0,"Stock négatif",IF(AND(ISNUMBER(A1071),A1072&lt;A1071),"Date hors ordre","OK"))))))))</f>
        <v/>
      </c>
      <c r="M1072" s="39" t="str">
        <f>IF(C1072="","",C1072&amp;"#"&amp;COUNTIF($C$5:C1072,C1072))</f>
        <v/>
      </c>
    </row>
    <row r="1073">
      <c r="A1073" s="41" t="n"/>
      <c r="B1073" s="37" t="n"/>
      <c r="C1073" s="37" t="n"/>
      <c r="D1073" s="39" t="str">
        <f>IF(C1073="","",IFERROR(INDEX(art_des,MATCH(C1073,art_ref,0))&amp;"","Référence inconnue"))</f>
        <v/>
      </c>
      <c r="E1073" s="37" t="n"/>
      <c r="F1073" s="39" t="str">
        <f>IF(C1073="","",IFERROR(INDEX(art_unit,MATCH(C1073,art_ref,0))&amp;"",""))</f>
        <v/>
      </c>
      <c r="G1073" s="37" t="n"/>
      <c r="H1073" s="37" t="n"/>
      <c r="I1073" s="37" t="n"/>
      <c r="J1073" s="40" t="str">
        <f>IF(OR(C1073="",NOT(ISNUMBER(E1073))),"",IFERROR(E1073*N(INDEX(art_price,MATCH(C1073,art_ref,0))),""))</f>
        <v/>
      </c>
      <c r="K1073" s="39" t="str">
        <f>IF(OR(C1073="",NOT(ISNUMBER(E1073))),"",IFERROR(ROUND(N(INDEX(art_init,MATCH(C1073,art_ref,0)))+SUMIFS($E$5:E1073,$C$5:C1073,C1073,$B$5:B1073,"Entrée")-SUMIFS($E$5:E1073,$C$5:C1073,C1073,$B$5:B1073,"Sortie"),6),""))</f>
        <v/>
      </c>
      <c r="L1073" s="39" t="str">
        <f>IF(COUNTA(A1073:C1073,E1073)=0,"",IF(COUNTA(A1073:C1073,E1073)&lt;4,"Ligne incomplète",IF(NOT(ISNUMBER(A1073)),"Date invalide",IF(AND(B1073&lt;&gt;"Entrée",B1073&lt;&gt;"Sortie"),"Type inconnu",IF(ISNA(MATCH(C1073,art_ref,0)),"Référence inconnue",IF(OR(NOT(ISNUMBER(E1073)),N(E1073)&lt;=0),"Quantité invalide",IF(K1073&lt;0,"Stock négatif",IF(AND(ISNUMBER(A1072),A1073&lt;A1072),"Date hors ordre","OK"))))))))</f>
        <v/>
      </c>
      <c r="M1073" s="39" t="str">
        <f>IF(C1073="","",C1073&amp;"#"&amp;COUNTIF($C$5:C1073,C1073))</f>
        <v/>
      </c>
    </row>
    <row r="1074">
      <c r="A1074" s="41" t="n"/>
      <c r="B1074" s="37" t="n"/>
      <c r="C1074" s="37" t="n"/>
      <c r="D1074" s="39" t="str">
        <f>IF(C1074="","",IFERROR(INDEX(art_des,MATCH(C1074,art_ref,0))&amp;"","Référence inconnue"))</f>
        <v/>
      </c>
      <c r="E1074" s="37" t="n"/>
      <c r="F1074" s="39" t="str">
        <f>IF(C1074="","",IFERROR(INDEX(art_unit,MATCH(C1074,art_ref,0))&amp;"",""))</f>
        <v/>
      </c>
      <c r="G1074" s="37" t="n"/>
      <c r="H1074" s="37" t="n"/>
      <c r="I1074" s="37" t="n"/>
      <c r="J1074" s="40" t="str">
        <f>IF(OR(C1074="",NOT(ISNUMBER(E1074))),"",IFERROR(E1074*N(INDEX(art_price,MATCH(C1074,art_ref,0))),""))</f>
        <v/>
      </c>
      <c r="K1074" s="39" t="str">
        <f>IF(OR(C1074="",NOT(ISNUMBER(E1074))),"",IFERROR(ROUND(N(INDEX(art_init,MATCH(C1074,art_ref,0)))+SUMIFS($E$5:E1074,$C$5:C1074,C1074,$B$5:B1074,"Entrée")-SUMIFS($E$5:E1074,$C$5:C1074,C1074,$B$5:B1074,"Sortie"),6),""))</f>
        <v/>
      </c>
      <c r="L1074" s="39" t="str">
        <f>IF(COUNTA(A1074:C1074,E1074)=0,"",IF(COUNTA(A1074:C1074,E1074)&lt;4,"Ligne incomplète",IF(NOT(ISNUMBER(A1074)),"Date invalide",IF(AND(B1074&lt;&gt;"Entrée",B1074&lt;&gt;"Sortie"),"Type inconnu",IF(ISNA(MATCH(C1074,art_ref,0)),"Référence inconnue",IF(OR(NOT(ISNUMBER(E1074)),N(E1074)&lt;=0),"Quantité invalide",IF(K1074&lt;0,"Stock négatif",IF(AND(ISNUMBER(A1073),A1074&lt;A1073),"Date hors ordre","OK"))))))))</f>
        <v/>
      </c>
      <c r="M1074" s="39" t="str">
        <f>IF(C1074="","",C1074&amp;"#"&amp;COUNTIF($C$5:C1074,C1074))</f>
        <v/>
      </c>
    </row>
    <row r="1075">
      <c r="A1075" s="41" t="n"/>
      <c r="B1075" s="37" t="n"/>
      <c r="C1075" s="37" t="n"/>
      <c r="D1075" s="39" t="str">
        <f>IF(C1075="","",IFERROR(INDEX(art_des,MATCH(C1075,art_ref,0))&amp;"","Référence inconnue"))</f>
        <v/>
      </c>
      <c r="E1075" s="37" t="n"/>
      <c r="F1075" s="39" t="str">
        <f>IF(C1075="","",IFERROR(INDEX(art_unit,MATCH(C1075,art_ref,0))&amp;"",""))</f>
        <v/>
      </c>
      <c r="G1075" s="37" t="n"/>
      <c r="H1075" s="37" t="n"/>
      <c r="I1075" s="37" t="n"/>
      <c r="J1075" s="40" t="str">
        <f>IF(OR(C1075="",NOT(ISNUMBER(E1075))),"",IFERROR(E1075*N(INDEX(art_price,MATCH(C1075,art_ref,0))),""))</f>
        <v/>
      </c>
      <c r="K1075" s="39" t="str">
        <f>IF(OR(C1075="",NOT(ISNUMBER(E1075))),"",IFERROR(ROUND(N(INDEX(art_init,MATCH(C1075,art_ref,0)))+SUMIFS($E$5:E1075,$C$5:C1075,C1075,$B$5:B1075,"Entrée")-SUMIFS($E$5:E1075,$C$5:C1075,C1075,$B$5:B1075,"Sortie"),6),""))</f>
        <v/>
      </c>
      <c r="L1075" s="39" t="str">
        <f>IF(COUNTA(A1075:C1075,E1075)=0,"",IF(COUNTA(A1075:C1075,E1075)&lt;4,"Ligne incomplète",IF(NOT(ISNUMBER(A1075)),"Date invalide",IF(AND(B1075&lt;&gt;"Entrée",B1075&lt;&gt;"Sortie"),"Type inconnu",IF(ISNA(MATCH(C1075,art_ref,0)),"Référence inconnue",IF(OR(NOT(ISNUMBER(E1075)),N(E1075)&lt;=0),"Quantité invalide",IF(K1075&lt;0,"Stock négatif",IF(AND(ISNUMBER(A1074),A1075&lt;A1074),"Date hors ordre","OK"))))))))</f>
        <v/>
      </c>
      <c r="M1075" s="39" t="str">
        <f>IF(C1075="","",C1075&amp;"#"&amp;COUNTIF($C$5:C1075,C1075))</f>
        <v/>
      </c>
    </row>
    <row r="1076">
      <c r="A1076" s="41" t="n"/>
      <c r="B1076" s="37" t="n"/>
      <c r="C1076" s="37" t="n"/>
      <c r="D1076" s="39" t="str">
        <f>IF(C1076="","",IFERROR(INDEX(art_des,MATCH(C1076,art_ref,0))&amp;"","Référence inconnue"))</f>
        <v/>
      </c>
      <c r="E1076" s="37" t="n"/>
      <c r="F1076" s="39" t="str">
        <f>IF(C1076="","",IFERROR(INDEX(art_unit,MATCH(C1076,art_ref,0))&amp;"",""))</f>
        <v/>
      </c>
      <c r="G1076" s="37" t="n"/>
      <c r="H1076" s="37" t="n"/>
      <c r="I1076" s="37" t="n"/>
      <c r="J1076" s="40" t="str">
        <f>IF(OR(C1076="",NOT(ISNUMBER(E1076))),"",IFERROR(E1076*N(INDEX(art_price,MATCH(C1076,art_ref,0))),""))</f>
        <v/>
      </c>
      <c r="K1076" s="39" t="str">
        <f>IF(OR(C1076="",NOT(ISNUMBER(E1076))),"",IFERROR(ROUND(N(INDEX(art_init,MATCH(C1076,art_ref,0)))+SUMIFS($E$5:E1076,$C$5:C1076,C1076,$B$5:B1076,"Entrée")-SUMIFS($E$5:E1076,$C$5:C1076,C1076,$B$5:B1076,"Sortie"),6),""))</f>
        <v/>
      </c>
      <c r="L1076" s="39" t="str">
        <f>IF(COUNTA(A1076:C1076,E1076)=0,"",IF(COUNTA(A1076:C1076,E1076)&lt;4,"Ligne incomplète",IF(NOT(ISNUMBER(A1076)),"Date invalide",IF(AND(B1076&lt;&gt;"Entrée",B1076&lt;&gt;"Sortie"),"Type inconnu",IF(ISNA(MATCH(C1076,art_ref,0)),"Référence inconnue",IF(OR(NOT(ISNUMBER(E1076)),N(E1076)&lt;=0),"Quantité invalide",IF(K1076&lt;0,"Stock négatif",IF(AND(ISNUMBER(A1075),A1076&lt;A1075),"Date hors ordre","OK"))))))))</f>
        <v/>
      </c>
      <c r="M1076" s="39" t="str">
        <f>IF(C1076="","",C1076&amp;"#"&amp;COUNTIF($C$5:C1076,C1076))</f>
        <v/>
      </c>
    </row>
    <row r="1077">
      <c r="A1077" s="41" t="n"/>
      <c r="B1077" s="37" t="n"/>
      <c r="C1077" s="37" t="n"/>
      <c r="D1077" s="39" t="str">
        <f>IF(C1077="","",IFERROR(INDEX(art_des,MATCH(C1077,art_ref,0))&amp;"","Référence inconnue"))</f>
        <v/>
      </c>
      <c r="E1077" s="37" t="n"/>
      <c r="F1077" s="39" t="str">
        <f>IF(C1077="","",IFERROR(INDEX(art_unit,MATCH(C1077,art_ref,0))&amp;"",""))</f>
        <v/>
      </c>
      <c r="G1077" s="37" t="n"/>
      <c r="H1077" s="37" t="n"/>
      <c r="I1077" s="37" t="n"/>
      <c r="J1077" s="40" t="str">
        <f>IF(OR(C1077="",NOT(ISNUMBER(E1077))),"",IFERROR(E1077*N(INDEX(art_price,MATCH(C1077,art_ref,0))),""))</f>
        <v/>
      </c>
      <c r="K1077" s="39" t="str">
        <f>IF(OR(C1077="",NOT(ISNUMBER(E1077))),"",IFERROR(ROUND(N(INDEX(art_init,MATCH(C1077,art_ref,0)))+SUMIFS($E$5:E1077,$C$5:C1077,C1077,$B$5:B1077,"Entrée")-SUMIFS($E$5:E1077,$C$5:C1077,C1077,$B$5:B1077,"Sortie"),6),""))</f>
        <v/>
      </c>
      <c r="L1077" s="39" t="str">
        <f>IF(COUNTA(A1077:C1077,E1077)=0,"",IF(COUNTA(A1077:C1077,E1077)&lt;4,"Ligne incomplète",IF(NOT(ISNUMBER(A1077)),"Date invalide",IF(AND(B1077&lt;&gt;"Entrée",B1077&lt;&gt;"Sortie"),"Type inconnu",IF(ISNA(MATCH(C1077,art_ref,0)),"Référence inconnue",IF(OR(NOT(ISNUMBER(E1077)),N(E1077)&lt;=0),"Quantité invalide",IF(K1077&lt;0,"Stock négatif",IF(AND(ISNUMBER(A1076),A1077&lt;A1076),"Date hors ordre","OK"))))))))</f>
        <v/>
      </c>
      <c r="M1077" s="39" t="str">
        <f>IF(C1077="","",C1077&amp;"#"&amp;COUNTIF($C$5:C1077,C1077))</f>
        <v/>
      </c>
    </row>
    <row r="1078">
      <c r="A1078" s="41" t="n"/>
      <c r="B1078" s="37" t="n"/>
      <c r="C1078" s="37" t="n"/>
      <c r="D1078" s="39" t="str">
        <f>IF(C1078="","",IFERROR(INDEX(art_des,MATCH(C1078,art_ref,0))&amp;"","Référence inconnue"))</f>
        <v/>
      </c>
      <c r="E1078" s="37" t="n"/>
      <c r="F1078" s="39" t="str">
        <f>IF(C1078="","",IFERROR(INDEX(art_unit,MATCH(C1078,art_ref,0))&amp;"",""))</f>
        <v/>
      </c>
      <c r="G1078" s="37" t="n"/>
      <c r="H1078" s="37" t="n"/>
      <c r="I1078" s="37" t="n"/>
      <c r="J1078" s="40" t="str">
        <f>IF(OR(C1078="",NOT(ISNUMBER(E1078))),"",IFERROR(E1078*N(INDEX(art_price,MATCH(C1078,art_ref,0))),""))</f>
        <v/>
      </c>
      <c r="K1078" s="39" t="str">
        <f>IF(OR(C1078="",NOT(ISNUMBER(E1078))),"",IFERROR(ROUND(N(INDEX(art_init,MATCH(C1078,art_ref,0)))+SUMIFS($E$5:E1078,$C$5:C1078,C1078,$B$5:B1078,"Entrée")-SUMIFS($E$5:E1078,$C$5:C1078,C1078,$B$5:B1078,"Sortie"),6),""))</f>
        <v/>
      </c>
      <c r="L1078" s="39" t="str">
        <f>IF(COUNTA(A1078:C1078,E1078)=0,"",IF(COUNTA(A1078:C1078,E1078)&lt;4,"Ligne incomplète",IF(NOT(ISNUMBER(A1078)),"Date invalide",IF(AND(B1078&lt;&gt;"Entrée",B1078&lt;&gt;"Sortie"),"Type inconnu",IF(ISNA(MATCH(C1078,art_ref,0)),"Référence inconnue",IF(OR(NOT(ISNUMBER(E1078)),N(E1078)&lt;=0),"Quantité invalide",IF(K1078&lt;0,"Stock négatif",IF(AND(ISNUMBER(A1077),A1078&lt;A1077),"Date hors ordre","OK"))))))))</f>
        <v/>
      </c>
      <c r="M1078" s="39" t="str">
        <f>IF(C1078="","",C1078&amp;"#"&amp;COUNTIF($C$5:C1078,C1078))</f>
        <v/>
      </c>
    </row>
    <row r="1079">
      <c r="A1079" s="41" t="n"/>
      <c r="B1079" s="37" t="n"/>
      <c r="C1079" s="37" t="n"/>
      <c r="D1079" s="39" t="str">
        <f>IF(C1079="","",IFERROR(INDEX(art_des,MATCH(C1079,art_ref,0))&amp;"","Référence inconnue"))</f>
        <v/>
      </c>
      <c r="E1079" s="37" t="n"/>
      <c r="F1079" s="39" t="str">
        <f>IF(C1079="","",IFERROR(INDEX(art_unit,MATCH(C1079,art_ref,0))&amp;"",""))</f>
        <v/>
      </c>
      <c r="G1079" s="37" t="n"/>
      <c r="H1079" s="37" t="n"/>
      <c r="I1079" s="37" t="n"/>
      <c r="J1079" s="40" t="str">
        <f>IF(OR(C1079="",NOT(ISNUMBER(E1079))),"",IFERROR(E1079*N(INDEX(art_price,MATCH(C1079,art_ref,0))),""))</f>
        <v/>
      </c>
      <c r="K1079" s="39" t="str">
        <f>IF(OR(C1079="",NOT(ISNUMBER(E1079))),"",IFERROR(ROUND(N(INDEX(art_init,MATCH(C1079,art_ref,0)))+SUMIFS($E$5:E1079,$C$5:C1079,C1079,$B$5:B1079,"Entrée")-SUMIFS($E$5:E1079,$C$5:C1079,C1079,$B$5:B1079,"Sortie"),6),""))</f>
        <v/>
      </c>
      <c r="L1079" s="39" t="str">
        <f>IF(COUNTA(A1079:C1079,E1079)=0,"",IF(COUNTA(A1079:C1079,E1079)&lt;4,"Ligne incomplète",IF(NOT(ISNUMBER(A1079)),"Date invalide",IF(AND(B1079&lt;&gt;"Entrée",B1079&lt;&gt;"Sortie"),"Type inconnu",IF(ISNA(MATCH(C1079,art_ref,0)),"Référence inconnue",IF(OR(NOT(ISNUMBER(E1079)),N(E1079)&lt;=0),"Quantité invalide",IF(K1079&lt;0,"Stock négatif",IF(AND(ISNUMBER(A1078),A1079&lt;A1078),"Date hors ordre","OK"))))))))</f>
        <v/>
      </c>
      <c r="M1079" s="39" t="str">
        <f>IF(C1079="","",C1079&amp;"#"&amp;COUNTIF($C$5:C1079,C1079))</f>
        <v/>
      </c>
    </row>
    <row r="1080">
      <c r="A1080" s="41" t="n"/>
      <c r="B1080" s="37" t="n"/>
      <c r="C1080" s="37" t="n"/>
      <c r="D1080" s="39" t="str">
        <f>IF(C1080="","",IFERROR(INDEX(art_des,MATCH(C1080,art_ref,0))&amp;"","Référence inconnue"))</f>
        <v/>
      </c>
      <c r="E1080" s="37" t="n"/>
      <c r="F1080" s="39" t="str">
        <f>IF(C1080="","",IFERROR(INDEX(art_unit,MATCH(C1080,art_ref,0))&amp;"",""))</f>
        <v/>
      </c>
      <c r="G1080" s="37" t="n"/>
      <c r="H1080" s="37" t="n"/>
      <c r="I1080" s="37" t="n"/>
      <c r="J1080" s="40" t="str">
        <f>IF(OR(C1080="",NOT(ISNUMBER(E1080))),"",IFERROR(E1080*N(INDEX(art_price,MATCH(C1080,art_ref,0))),""))</f>
        <v/>
      </c>
      <c r="K1080" s="39" t="str">
        <f>IF(OR(C1080="",NOT(ISNUMBER(E1080))),"",IFERROR(ROUND(N(INDEX(art_init,MATCH(C1080,art_ref,0)))+SUMIFS($E$5:E1080,$C$5:C1080,C1080,$B$5:B1080,"Entrée")-SUMIFS($E$5:E1080,$C$5:C1080,C1080,$B$5:B1080,"Sortie"),6),""))</f>
        <v/>
      </c>
      <c r="L1080" s="39" t="str">
        <f>IF(COUNTA(A1080:C1080,E1080)=0,"",IF(COUNTA(A1080:C1080,E1080)&lt;4,"Ligne incomplète",IF(NOT(ISNUMBER(A1080)),"Date invalide",IF(AND(B1080&lt;&gt;"Entrée",B1080&lt;&gt;"Sortie"),"Type inconnu",IF(ISNA(MATCH(C1080,art_ref,0)),"Référence inconnue",IF(OR(NOT(ISNUMBER(E1080)),N(E1080)&lt;=0),"Quantité invalide",IF(K1080&lt;0,"Stock négatif",IF(AND(ISNUMBER(A1079),A1080&lt;A1079),"Date hors ordre","OK"))))))))</f>
        <v/>
      </c>
      <c r="M1080" s="39" t="str">
        <f>IF(C1080="","",C1080&amp;"#"&amp;COUNTIF($C$5:C1080,C1080))</f>
        <v/>
      </c>
    </row>
    <row r="1081">
      <c r="A1081" s="41" t="n"/>
      <c r="B1081" s="37" t="n"/>
      <c r="C1081" s="37" t="n"/>
      <c r="D1081" s="39" t="str">
        <f>IF(C1081="","",IFERROR(INDEX(art_des,MATCH(C1081,art_ref,0))&amp;"","Référence inconnue"))</f>
        <v/>
      </c>
      <c r="E1081" s="37" t="n"/>
      <c r="F1081" s="39" t="str">
        <f>IF(C1081="","",IFERROR(INDEX(art_unit,MATCH(C1081,art_ref,0))&amp;"",""))</f>
        <v/>
      </c>
      <c r="G1081" s="37" t="n"/>
      <c r="H1081" s="37" t="n"/>
      <c r="I1081" s="37" t="n"/>
      <c r="J1081" s="40" t="str">
        <f>IF(OR(C1081="",NOT(ISNUMBER(E1081))),"",IFERROR(E1081*N(INDEX(art_price,MATCH(C1081,art_ref,0))),""))</f>
        <v/>
      </c>
      <c r="K1081" s="39" t="str">
        <f>IF(OR(C1081="",NOT(ISNUMBER(E1081))),"",IFERROR(ROUND(N(INDEX(art_init,MATCH(C1081,art_ref,0)))+SUMIFS($E$5:E1081,$C$5:C1081,C1081,$B$5:B1081,"Entrée")-SUMIFS($E$5:E1081,$C$5:C1081,C1081,$B$5:B1081,"Sortie"),6),""))</f>
        <v/>
      </c>
      <c r="L1081" s="39" t="str">
        <f>IF(COUNTA(A1081:C1081,E1081)=0,"",IF(COUNTA(A1081:C1081,E1081)&lt;4,"Ligne incomplète",IF(NOT(ISNUMBER(A1081)),"Date invalide",IF(AND(B1081&lt;&gt;"Entrée",B1081&lt;&gt;"Sortie"),"Type inconnu",IF(ISNA(MATCH(C1081,art_ref,0)),"Référence inconnue",IF(OR(NOT(ISNUMBER(E1081)),N(E1081)&lt;=0),"Quantité invalide",IF(K1081&lt;0,"Stock négatif",IF(AND(ISNUMBER(A1080),A1081&lt;A1080),"Date hors ordre","OK"))))))))</f>
        <v/>
      </c>
      <c r="M1081" s="39" t="str">
        <f>IF(C1081="","",C1081&amp;"#"&amp;COUNTIF($C$5:C1081,C1081))</f>
        <v/>
      </c>
    </row>
    <row r="1082">
      <c r="A1082" s="41" t="n"/>
      <c r="B1082" s="37" t="n"/>
      <c r="C1082" s="37" t="n"/>
      <c r="D1082" s="39" t="str">
        <f>IF(C1082="","",IFERROR(INDEX(art_des,MATCH(C1082,art_ref,0))&amp;"","Référence inconnue"))</f>
        <v/>
      </c>
      <c r="E1082" s="37" t="n"/>
      <c r="F1082" s="39" t="str">
        <f>IF(C1082="","",IFERROR(INDEX(art_unit,MATCH(C1082,art_ref,0))&amp;"",""))</f>
        <v/>
      </c>
      <c r="G1082" s="37" t="n"/>
      <c r="H1082" s="37" t="n"/>
      <c r="I1082" s="37" t="n"/>
      <c r="J1082" s="40" t="str">
        <f>IF(OR(C1082="",NOT(ISNUMBER(E1082))),"",IFERROR(E1082*N(INDEX(art_price,MATCH(C1082,art_ref,0))),""))</f>
        <v/>
      </c>
      <c r="K1082" s="39" t="str">
        <f>IF(OR(C1082="",NOT(ISNUMBER(E1082))),"",IFERROR(ROUND(N(INDEX(art_init,MATCH(C1082,art_ref,0)))+SUMIFS($E$5:E1082,$C$5:C1082,C1082,$B$5:B1082,"Entrée")-SUMIFS($E$5:E1082,$C$5:C1082,C1082,$B$5:B1082,"Sortie"),6),""))</f>
        <v/>
      </c>
      <c r="L1082" s="39" t="str">
        <f>IF(COUNTA(A1082:C1082,E1082)=0,"",IF(COUNTA(A1082:C1082,E1082)&lt;4,"Ligne incomplète",IF(NOT(ISNUMBER(A1082)),"Date invalide",IF(AND(B1082&lt;&gt;"Entrée",B1082&lt;&gt;"Sortie"),"Type inconnu",IF(ISNA(MATCH(C1082,art_ref,0)),"Référence inconnue",IF(OR(NOT(ISNUMBER(E1082)),N(E1082)&lt;=0),"Quantité invalide",IF(K1082&lt;0,"Stock négatif",IF(AND(ISNUMBER(A1081),A1082&lt;A1081),"Date hors ordre","OK"))))))))</f>
        <v/>
      </c>
      <c r="M1082" s="39" t="str">
        <f>IF(C1082="","",C1082&amp;"#"&amp;COUNTIF($C$5:C1082,C1082))</f>
        <v/>
      </c>
    </row>
    <row r="1083">
      <c r="A1083" s="41" t="n"/>
      <c r="B1083" s="37" t="n"/>
      <c r="C1083" s="37" t="n"/>
      <c r="D1083" s="39" t="str">
        <f>IF(C1083="","",IFERROR(INDEX(art_des,MATCH(C1083,art_ref,0))&amp;"","Référence inconnue"))</f>
        <v/>
      </c>
      <c r="E1083" s="37" t="n"/>
      <c r="F1083" s="39" t="str">
        <f>IF(C1083="","",IFERROR(INDEX(art_unit,MATCH(C1083,art_ref,0))&amp;"",""))</f>
        <v/>
      </c>
      <c r="G1083" s="37" t="n"/>
      <c r="H1083" s="37" t="n"/>
      <c r="I1083" s="37" t="n"/>
      <c r="J1083" s="40" t="str">
        <f>IF(OR(C1083="",NOT(ISNUMBER(E1083))),"",IFERROR(E1083*N(INDEX(art_price,MATCH(C1083,art_ref,0))),""))</f>
        <v/>
      </c>
      <c r="K1083" s="39" t="str">
        <f>IF(OR(C1083="",NOT(ISNUMBER(E1083))),"",IFERROR(ROUND(N(INDEX(art_init,MATCH(C1083,art_ref,0)))+SUMIFS($E$5:E1083,$C$5:C1083,C1083,$B$5:B1083,"Entrée")-SUMIFS($E$5:E1083,$C$5:C1083,C1083,$B$5:B1083,"Sortie"),6),""))</f>
        <v/>
      </c>
      <c r="L1083" s="39" t="str">
        <f>IF(COUNTA(A1083:C1083,E1083)=0,"",IF(COUNTA(A1083:C1083,E1083)&lt;4,"Ligne incomplète",IF(NOT(ISNUMBER(A1083)),"Date invalide",IF(AND(B1083&lt;&gt;"Entrée",B1083&lt;&gt;"Sortie"),"Type inconnu",IF(ISNA(MATCH(C1083,art_ref,0)),"Référence inconnue",IF(OR(NOT(ISNUMBER(E1083)),N(E1083)&lt;=0),"Quantité invalide",IF(K1083&lt;0,"Stock négatif",IF(AND(ISNUMBER(A1082),A1083&lt;A1082),"Date hors ordre","OK"))))))))</f>
        <v/>
      </c>
      <c r="M1083" s="39" t="str">
        <f>IF(C1083="","",C1083&amp;"#"&amp;COUNTIF($C$5:C1083,C1083))</f>
        <v/>
      </c>
    </row>
    <row r="1084">
      <c r="A1084" s="41" t="n"/>
      <c r="B1084" s="37" t="n"/>
      <c r="C1084" s="37" t="n"/>
      <c r="D1084" s="39" t="str">
        <f>IF(C1084="","",IFERROR(INDEX(art_des,MATCH(C1084,art_ref,0))&amp;"","Référence inconnue"))</f>
        <v/>
      </c>
      <c r="E1084" s="37" t="n"/>
      <c r="F1084" s="39" t="str">
        <f>IF(C1084="","",IFERROR(INDEX(art_unit,MATCH(C1084,art_ref,0))&amp;"",""))</f>
        <v/>
      </c>
      <c r="G1084" s="37" t="n"/>
      <c r="H1084" s="37" t="n"/>
      <c r="I1084" s="37" t="n"/>
      <c r="J1084" s="40" t="str">
        <f>IF(OR(C1084="",NOT(ISNUMBER(E1084))),"",IFERROR(E1084*N(INDEX(art_price,MATCH(C1084,art_ref,0))),""))</f>
        <v/>
      </c>
      <c r="K1084" s="39" t="str">
        <f>IF(OR(C1084="",NOT(ISNUMBER(E1084))),"",IFERROR(ROUND(N(INDEX(art_init,MATCH(C1084,art_ref,0)))+SUMIFS($E$5:E1084,$C$5:C1084,C1084,$B$5:B1084,"Entrée")-SUMIFS($E$5:E1084,$C$5:C1084,C1084,$B$5:B1084,"Sortie"),6),""))</f>
        <v/>
      </c>
      <c r="L1084" s="39" t="str">
        <f>IF(COUNTA(A1084:C1084,E1084)=0,"",IF(COUNTA(A1084:C1084,E1084)&lt;4,"Ligne incomplète",IF(NOT(ISNUMBER(A1084)),"Date invalide",IF(AND(B1084&lt;&gt;"Entrée",B1084&lt;&gt;"Sortie"),"Type inconnu",IF(ISNA(MATCH(C1084,art_ref,0)),"Référence inconnue",IF(OR(NOT(ISNUMBER(E1084)),N(E1084)&lt;=0),"Quantité invalide",IF(K1084&lt;0,"Stock négatif",IF(AND(ISNUMBER(A1083),A1084&lt;A1083),"Date hors ordre","OK"))))))))</f>
        <v/>
      </c>
      <c r="M1084" s="39" t="str">
        <f>IF(C1084="","",C1084&amp;"#"&amp;COUNTIF($C$5:C1084,C1084))</f>
        <v/>
      </c>
    </row>
    <row r="1085">
      <c r="A1085" s="41" t="n"/>
      <c r="B1085" s="37" t="n"/>
      <c r="C1085" s="37" t="n"/>
      <c r="D1085" s="39" t="str">
        <f>IF(C1085="","",IFERROR(INDEX(art_des,MATCH(C1085,art_ref,0))&amp;"","Référence inconnue"))</f>
        <v/>
      </c>
      <c r="E1085" s="37" t="n"/>
      <c r="F1085" s="39" t="str">
        <f>IF(C1085="","",IFERROR(INDEX(art_unit,MATCH(C1085,art_ref,0))&amp;"",""))</f>
        <v/>
      </c>
      <c r="G1085" s="37" t="n"/>
      <c r="H1085" s="37" t="n"/>
      <c r="I1085" s="37" t="n"/>
      <c r="J1085" s="40" t="str">
        <f>IF(OR(C1085="",NOT(ISNUMBER(E1085))),"",IFERROR(E1085*N(INDEX(art_price,MATCH(C1085,art_ref,0))),""))</f>
        <v/>
      </c>
      <c r="K1085" s="39" t="str">
        <f>IF(OR(C1085="",NOT(ISNUMBER(E1085))),"",IFERROR(ROUND(N(INDEX(art_init,MATCH(C1085,art_ref,0)))+SUMIFS($E$5:E1085,$C$5:C1085,C1085,$B$5:B1085,"Entrée")-SUMIFS($E$5:E1085,$C$5:C1085,C1085,$B$5:B1085,"Sortie"),6),""))</f>
        <v/>
      </c>
      <c r="L1085" s="39" t="str">
        <f>IF(COUNTA(A1085:C1085,E1085)=0,"",IF(COUNTA(A1085:C1085,E1085)&lt;4,"Ligne incomplète",IF(NOT(ISNUMBER(A1085)),"Date invalide",IF(AND(B1085&lt;&gt;"Entrée",B1085&lt;&gt;"Sortie"),"Type inconnu",IF(ISNA(MATCH(C1085,art_ref,0)),"Référence inconnue",IF(OR(NOT(ISNUMBER(E1085)),N(E1085)&lt;=0),"Quantité invalide",IF(K1085&lt;0,"Stock négatif",IF(AND(ISNUMBER(A1084),A1085&lt;A1084),"Date hors ordre","OK"))))))))</f>
        <v/>
      </c>
      <c r="M1085" s="39" t="str">
        <f>IF(C1085="","",C1085&amp;"#"&amp;COUNTIF($C$5:C1085,C1085))</f>
        <v/>
      </c>
    </row>
    <row r="1086">
      <c r="A1086" s="41" t="n"/>
      <c r="B1086" s="37" t="n"/>
      <c r="C1086" s="37" t="n"/>
      <c r="D1086" s="39" t="str">
        <f>IF(C1086="","",IFERROR(INDEX(art_des,MATCH(C1086,art_ref,0))&amp;"","Référence inconnue"))</f>
        <v/>
      </c>
      <c r="E1086" s="37" t="n"/>
      <c r="F1086" s="39" t="str">
        <f>IF(C1086="","",IFERROR(INDEX(art_unit,MATCH(C1086,art_ref,0))&amp;"",""))</f>
        <v/>
      </c>
      <c r="G1086" s="37" t="n"/>
      <c r="H1086" s="37" t="n"/>
      <c r="I1086" s="37" t="n"/>
      <c r="J1086" s="40" t="str">
        <f>IF(OR(C1086="",NOT(ISNUMBER(E1086))),"",IFERROR(E1086*N(INDEX(art_price,MATCH(C1086,art_ref,0))),""))</f>
        <v/>
      </c>
      <c r="K1086" s="39" t="str">
        <f>IF(OR(C1086="",NOT(ISNUMBER(E1086))),"",IFERROR(ROUND(N(INDEX(art_init,MATCH(C1086,art_ref,0)))+SUMIFS($E$5:E1086,$C$5:C1086,C1086,$B$5:B1086,"Entrée")-SUMIFS($E$5:E1086,$C$5:C1086,C1086,$B$5:B1086,"Sortie"),6),""))</f>
        <v/>
      </c>
      <c r="L1086" s="39" t="str">
        <f>IF(COUNTA(A1086:C1086,E1086)=0,"",IF(COUNTA(A1086:C1086,E1086)&lt;4,"Ligne incomplète",IF(NOT(ISNUMBER(A1086)),"Date invalide",IF(AND(B1086&lt;&gt;"Entrée",B1086&lt;&gt;"Sortie"),"Type inconnu",IF(ISNA(MATCH(C1086,art_ref,0)),"Référence inconnue",IF(OR(NOT(ISNUMBER(E1086)),N(E1086)&lt;=0),"Quantité invalide",IF(K1086&lt;0,"Stock négatif",IF(AND(ISNUMBER(A1085),A1086&lt;A1085),"Date hors ordre","OK"))))))))</f>
        <v/>
      </c>
      <c r="M1086" s="39" t="str">
        <f>IF(C1086="","",C1086&amp;"#"&amp;COUNTIF($C$5:C1086,C1086))</f>
        <v/>
      </c>
    </row>
    <row r="1087">
      <c r="A1087" s="41" t="n"/>
      <c r="B1087" s="37" t="n"/>
      <c r="C1087" s="37" t="n"/>
      <c r="D1087" s="39" t="str">
        <f>IF(C1087="","",IFERROR(INDEX(art_des,MATCH(C1087,art_ref,0))&amp;"","Référence inconnue"))</f>
        <v/>
      </c>
      <c r="E1087" s="37" t="n"/>
      <c r="F1087" s="39" t="str">
        <f>IF(C1087="","",IFERROR(INDEX(art_unit,MATCH(C1087,art_ref,0))&amp;"",""))</f>
        <v/>
      </c>
      <c r="G1087" s="37" t="n"/>
      <c r="H1087" s="37" t="n"/>
      <c r="I1087" s="37" t="n"/>
      <c r="J1087" s="40" t="str">
        <f>IF(OR(C1087="",NOT(ISNUMBER(E1087))),"",IFERROR(E1087*N(INDEX(art_price,MATCH(C1087,art_ref,0))),""))</f>
        <v/>
      </c>
      <c r="K1087" s="39" t="str">
        <f>IF(OR(C1087="",NOT(ISNUMBER(E1087))),"",IFERROR(ROUND(N(INDEX(art_init,MATCH(C1087,art_ref,0)))+SUMIFS($E$5:E1087,$C$5:C1087,C1087,$B$5:B1087,"Entrée")-SUMIFS($E$5:E1087,$C$5:C1087,C1087,$B$5:B1087,"Sortie"),6),""))</f>
        <v/>
      </c>
      <c r="L1087" s="39" t="str">
        <f>IF(COUNTA(A1087:C1087,E1087)=0,"",IF(COUNTA(A1087:C1087,E1087)&lt;4,"Ligne incomplète",IF(NOT(ISNUMBER(A1087)),"Date invalide",IF(AND(B1087&lt;&gt;"Entrée",B1087&lt;&gt;"Sortie"),"Type inconnu",IF(ISNA(MATCH(C1087,art_ref,0)),"Référence inconnue",IF(OR(NOT(ISNUMBER(E1087)),N(E1087)&lt;=0),"Quantité invalide",IF(K1087&lt;0,"Stock négatif",IF(AND(ISNUMBER(A1086),A1087&lt;A1086),"Date hors ordre","OK"))))))))</f>
        <v/>
      </c>
      <c r="M1087" s="39" t="str">
        <f>IF(C1087="","",C1087&amp;"#"&amp;COUNTIF($C$5:C1087,C1087))</f>
        <v/>
      </c>
    </row>
    <row r="1088">
      <c r="A1088" s="41" t="n"/>
      <c r="B1088" s="37" t="n"/>
      <c r="C1088" s="37" t="n"/>
      <c r="D1088" s="39" t="str">
        <f>IF(C1088="","",IFERROR(INDEX(art_des,MATCH(C1088,art_ref,0))&amp;"","Référence inconnue"))</f>
        <v/>
      </c>
      <c r="E1088" s="37" t="n"/>
      <c r="F1088" s="39" t="str">
        <f>IF(C1088="","",IFERROR(INDEX(art_unit,MATCH(C1088,art_ref,0))&amp;"",""))</f>
        <v/>
      </c>
      <c r="G1088" s="37" t="n"/>
      <c r="H1088" s="37" t="n"/>
      <c r="I1088" s="37" t="n"/>
      <c r="J1088" s="40" t="str">
        <f>IF(OR(C1088="",NOT(ISNUMBER(E1088))),"",IFERROR(E1088*N(INDEX(art_price,MATCH(C1088,art_ref,0))),""))</f>
        <v/>
      </c>
      <c r="K1088" s="39" t="str">
        <f>IF(OR(C1088="",NOT(ISNUMBER(E1088))),"",IFERROR(ROUND(N(INDEX(art_init,MATCH(C1088,art_ref,0)))+SUMIFS($E$5:E1088,$C$5:C1088,C1088,$B$5:B1088,"Entrée")-SUMIFS($E$5:E1088,$C$5:C1088,C1088,$B$5:B1088,"Sortie"),6),""))</f>
        <v/>
      </c>
      <c r="L1088" s="39" t="str">
        <f>IF(COUNTA(A1088:C1088,E1088)=0,"",IF(COUNTA(A1088:C1088,E1088)&lt;4,"Ligne incomplète",IF(NOT(ISNUMBER(A1088)),"Date invalide",IF(AND(B1088&lt;&gt;"Entrée",B1088&lt;&gt;"Sortie"),"Type inconnu",IF(ISNA(MATCH(C1088,art_ref,0)),"Référence inconnue",IF(OR(NOT(ISNUMBER(E1088)),N(E1088)&lt;=0),"Quantité invalide",IF(K1088&lt;0,"Stock négatif",IF(AND(ISNUMBER(A1087),A1088&lt;A1087),"Date hors ordre","OK"))))))))</f>
        <v/>
      </c>
      <c r="M1088" s="39" t="str">
        <f>IF(C1088="","",C1088&amp;"#"&amp;COUNTIF($C$5:C1088,C1088))</f>
        <v/>
      </c>
    </row>
    <row r="1089">
      <c r="A1089" s="41" t="n"/>
      <c r="B1089" s="37" t="n"/>
      <c r="C1089" s="37" t="n"/>
      <c r="D1089" s="39" t="str">
        <f>IF(C1089="","",IFERROR(INDEX(art_des,MATCH(C1089,art_ref,0))&amp;"","Référence inconnue"))</f>
        <v/>
      </c>
      <c r="E1089" s="37" t="n"/>
      <c r="F1089" s="39" t="str">
        <f>IF(C1089="","",IFERROR(INDEX(art_unit,MATCH(C1089,art_ref,0))&amp;"",""))</f>
        <v/>
      </c>
      <c r="G1089" s="37" t="n"/>
      <c r="H1089" s="37" t="n"/>
      <c r="I1089" s="37" t="n"/>
      <c r="J1089" s="40" t="str">
        <f>IF(OR(C1089="",NOT(ISNUMBER(E1089))),"",IFERROR(E1089*N(INDEX(art_price,MATCH(C1089,art_ref,0))),""))</f>
        <v/>
      </c>
      <c r="K1089" s="39" t="str">
        <f>IF(OR(C1089="",NOT(ISNUMBER(E1089))),"",IFERROR(ROUND(N(INDEX(art_init,MATCH(C1089,art_ref,0)))+SUMIFS($E$5:E1089,$C$5:C1089,C1089,$B$5:B1089,"Entrée")-SUMIFS($E$5:E1089,$C$5:C1089,C1089,$B$5:B1089,"Sortie"),6),""))</f>
        <v/>
      </c>
      <c r="L1089" s="39" t="str">
        <f>IF(COUNTA(A1089:C1089,E1089)=0,"",IF(COUNTA(A1089:C1089,E1089)&lt;4,"Ligne incomplète",IF(NOT(ISNUMBER(A1089)),"Date invalide",IF(AND(B1089&lt;&gt;"Entrée",B1089&lt;&gt;"Sortie"),"Type inconnu",IF(ISNA(MATCH(C1089,art_ref,0)),"Référence inconnue",IF(OR(NOT(ISNUMBER(E1089)),N(E1089)&lt;=0),"Quantité invalide",IF(K1089&lt;0,"Stock négatif",IF(AND(ISNUMBER(A1088),A1089&lt;A1088),"Date hors ordre","OK"))))))))</f>
        <v/>
      </c>
      <c r="M1089" s="39" t="str">
        <f>IF(C1089="","",C1089&amp;"#"&amp;COUNTIF($C$5:C1089,C1089))</f>
        <v/>
      </c>
    </row>
    <row r="1090">
      <c r="A1090" s="41" t="n"/>
      <c r="B1090" s="37" t="n"/>
      <c r="C1090" s="37" t="n"/>
      <c r="D1090" s="39" t="str">
        <f>IF(C1090="","",IFERROR(INDEX(art_des,MATCH(C1090,art_ref,0))&amp;"","Référence inconnue"))</f>
        <v/>
      </c>
      <c r="E1090" s="37" t="n"/>
      <c r="F1090" s="39" t="str">
        <f>IF(C1090="","",IFERROR(INDEX(art_unit,MATCH(C1090,art_ref,0))&amp;"",""))</f>
        <v/>
      </c>
      <c r="G1090" s="37" t="n"/>
      <c r="H1090" s="37" t="n"/>
      <c r="I1090" s="37" t="n"/>
      <c r="J1090" s="40" t="str">
        <f>IF(OR(C1090="",NOT(ISNUMBER(E1090))),"",IFERROR(E1090*N(INDEX(art_price,MATCH(C1090,art_ref,0))),""))</f>
        <v/>
      </c>
      <c r="K1090" s="39" t="str">
        <f>IF(OR(C1090="",NOT(ISNUMBER(E1090))),"",IFERROR(ROUND(N(INDEX(art_init,MATCH(C1090,art_ref,0)))+SUMIFS($E$5:E1090,$C$5:C1090,C1090,$B$5:B1090,"Entrée")-SUMIFS($E$5:E1090,$C$5:C1090,C1090,$B$5:B1090,"Sortie"),6),""))</f>
        <v/>
      </c>
      <c r="L1090" s="39" t="str">
        <f>IF(COUNTA(A1090:C1090,E1090)=0,"",IF(COUNTA(A1090:C1090,E1090)&lt;4,"Ligne incomplète",IF(NOT(ISNUMBER(A1090)),"Date invalide",IF(AND(B1090&lt;&gt;"Entrée",B1090&lt;&gt;"Sortie"),"Type inconnu",IF(ISNA(MATCH(C1090,art_ref,0)),"Référence inconnue",IF(OR(NOT(ISNUMBER(E1090)),N(E1090)&lt;=0),"Quantité invalide",IF(K1090&lt;0,"Stock négatif",IF(AND(ISNUMBER(A1089),A1090&lt;A1089),"Date hors ordre","OK"))))))))</f>
        <v/>
      </c>
      <c r="M1090" s="39" t="str">
        <f>IF(C1090="","",C1090&amp;"#"&amp;COUNTIF($C$5:C1090,C1090))</f>
        <v/>
      </c>
    </row>
    <row r="1091">
      <c r="A1091" s="41" t="n"/>
      <c r="B1091" s="37" t="n"/>
      <c r="C1091" s="37" t="n"/>
      <c r="D1091" s="39" t="str">
        <f>IF(C1091="","",IFERROR(INDEX(art_des,MATCH(C1091,art_ref,0))&amp;"","Référence inconnue"))</f>
        <v/>
      </c>
      <c r="E1091" s="37" t="n"/>
      <c r="F1091" s="39" t="str">
        <f>IF(C1091="","",IFERROR(INDEX(art_unit,MATCH(C1091,art_ref,0))&amp;"",""))</f>
        <v/>
      </c>
      <c r="G1091" s="37" t="n"/>
      <c r="H1091" s="37" t="n"/>
      <c r="I1091" s="37" t="n"/>
      <c r="J1091" s="40" t="str">
        <f>IF(OR(C1091="",NOT(ISNUMBER(E1091))),"",IFERROR(E1091*N(INDEX(art_price,MATCH(C1091,art_ref,0))),""))</f>
        <v/>
      </c>
      <c r="K1091" s="39" t="str">
        <f>IF(OR(C1091="",NOT(ISNUMBER(E1091))),"",IFERROR(ROUND(N(INDEX(art_init,MATCH(C1091,art_ref,0)))+SUMIFS($E$5:E1091,$C$5:C1091,C1091,$B$5:B1091,"Entrée")-SUMIFS($E$5:E1091,$C$5:C1091,C1091,$B$5:B1091,"Sortie"),6),""))</f>
        <v/>
      </c>
      <c r="L1091" s="39" t="str">
        <f>IF(COUNTA(A1091:C1091,E1091)=0,"",IF(COUNTA(A1091:C1091,E1091)&lt;4,"Ligne incomplète",IF(NOT(ISNUMBER(A1091)),"Date invalide",IF(AND(B1091&lt;&gt;"Entrée",B1091&lt;&gt;"Sortie"),"Type inconnu",IF(ISNA(MATCH(C1091,art_ref,0)),"Référence inconnue",IF(OR(NOT(ISNUMBER(E1091)),N(E1091)&lt;=0),"Quantité invalide",IF(K1091&lt;0,"Stock négatif",IF(AND(ISNUMBER(A1090),A1091&lt;A1090),"Date hors ordre","OK"))))))))</f>
        <v/>
      </c>
      <c r="M1091" s="39" t="str">
        <f>IF(C1091="","",C1091&amp;"#"&amp;COUNTIF($C$5:C1091,C1091))</f>
        <v/>
      </c>
    </row>
    <row r="1092">
      <c r="A1092" s="41" t="n"/>
      <c r="B1092" s="37" t="n"/>
      <c r="C1092" s="37" t="n"/>
      <c r="D1092" s="39" t="str">
        <f>IF(C1092="","",IFERROR(INDEX(art_des,MATCH(C1092,art_ref,0))&amp;"","Référence inconnue"))</f>
        <v/>
      </c>
      <c r="E1092" s="37" t="n"/>
      <c r="F1092" s="39" t="str">
        <f>IF(C1092="","",IFERROR(INDEX(art_unit,MATCH(C1092,art_ref,0))&amp;"",""))</f>
        <v/>
      </c>
      <c r="G1092" s="37" t="n"/>
      <c r="H1092" s="37" t="n"/>
      <c r="I1092" s="37" t="n"/>
      <c r="J1092" s="40" t="str">
        <f>IF(OR(C1092="",NOT(ISNUMBER(E1092))),"",IFERROR(E1092*N(INDEX(art_price,MATCH(C1092,art_ref,0))),""))</f>
        <v/>
      </c>
      <c r="K1092" s="39" t="str">
        <f>IF(OR(C1092="",NOT(ISNUMBER(E1092))),"",IFERROR(ROUND(N(INDEX(art_init,MATCH(C1092,art_ref,0)))+SUMIFS($E$5:E1092,$C$5:C1092,C1092,$B$5:B1092,"Entrée")-SUMIFS($E$5:E1092,$C$5:C1092,C1092,$B$5:B1092,"Sortie"),6),""))</f>
        <v/>
      </c>
      <c r="L1092" s="39" t="str">
        <f>IF(COUNTA(A1092:C1092,E1092)=0,"",IF(COUNTA(A1092:C1092,E1092)&lt;4,"Ligne incomplète",IF(NOT(ISNUMBER(A1092)),"Date invalide",IF(AND(B1092&lt;&gt;"Entrée",B1092&lt;&gt;"Sortie"),"Type inconnu",IF(ISNA(MATCH(C1092,art_ref,0)),"Référence inconnue",IF(OR(NOT(ISNUMBER(E1092)),N(E1092)&lt;=0),"Quantité invalide",IF(K1092&lt;0,"Stock négatif",IF(AND(ISNUMBER(A1091),A1092&lt;A1091),"Date hors ordre","OK"))))))))</f>
        <v/>
      </c>
      <c r="M1092" s="39" t="str">
        <f>IF(C1092="","",C1092&amp;"#"&amp;COUNTIF($C$5:C1092,C1092))</f>
        <v/>
      </c>
    </row>
    <row r="1093">
      <c r="A1093" s="41" t="n"/>
      <c r="B1093" s="37" t="n"/>
      <c r="C1093" s="37" t="n"/>
      <c r="D1093" s="39" t="str">
        <f>IF(C1093="","",IFERROR(INDEX(art_des,MATCH(C1093,art_ref,0))&amp;"","Référence inconnue"))</f>
        <v/>
      </c>
      <c r="E1093" s="37" t="n"/>
      <c r="F1093" s="39" t="str">
        <f>IF(C1093="","",IFERROR(INDEX(art_unit,MATCH(C1093,art_ref,0))&amp;"",""))</f>
        <v/>
      </c>
      <c r="G1093" s="37" t="n"/>
      <c r="H1093" s="37" t="n"/>
      <c r="I1093" s="37" t="n"/>
      <c r="J1093" s="40" t="str">
        <f>IF(OR(C1093="",NOT(ISNUMBER(E1093))),"",IFERROR(E1093*N(INDEX(art_price,MATCH(C1093,art_ref,0))),""))</f>
        <v/>
      </c>
      <c r="K1093" s="39" t="str">
        <f>IF(OR(C1093="",NOT(ISNUMBER(E1093))),"",IFERROR(ROUND(N(INDEX(art_init,MATCH(C1093,art_ref,0)))+SUMIFS($E$5:E1093,$C$5:C1093,C1093,$B$5:B1093,"Entrée")-SUMIFS($E$5:E1093,$C$5:C1093,C1093,$B$5:B1093,"Sortie"),6),""))</f>
        <v/>
      </c>
      <c r="L1093" s="39" t="str">
        <f>IF(COUNTA(A1093:C1093,E1093)=0,"",IF(COUNTA(A1093:C1093,E1093)&lt;4,"Ligne incomplète",IF(NOT(ISNUMBER(A1093)),"Date invalide",IF(AND(B1093&lt;&gt;"Entrée",B1093&lt;&gt;"Sortie"),"Type inconnu",IF(ISNA(MATCH(C1093,art_ref,0)),"Référence inconnue",IF(OR(NOT(ISNUMBER(E1093)),N(E1093)&lt;=0),"Quantité invalide",IF(K1093&lt;0,"Stock négatif",IF(AND(ISNUMBER(A1092),A1093&lt;A1092),"Date hors ordre","OK"))))))))</f>
        <v/>
      </c>
      <c r="M1093" s="39" t="str">
        <f>IF(C1093="","",C1093&amp;"#"&amp;COUNTIF($C$5:C1093,C1093))</f>
        <v/>
      </c>
    </row>
    <row r="1094">
      <c r="A1094" s="41" t="n"/>
      <c r="B1094" s="37" t="n"/>
      <c r="C1094" s="37" t="n"/>
      <c r="D1094" s="39" t="str">
        <f>IF(C1094="","",IFERROR(INDEX(art_des,MATCH(C1094,art_ref,0))&amp;"","Référence inconnue"))</f>
        <v/>
      </c>
      <c r="E1094" s="37" t="n"/>
      <c r="F1094" s="39" t="str">
        <f>IF(C1094="","",IFERROR(INDEX(art_unit,MATCH(C1094,art_ref,0))&amp;"",""))</f>
        <v/>
      </c>
      <c r="G1094" s="37" t="n"/>
      <c r="H1094" s="37" t="n"/>
      <c r="I1094" s="37" t="n"/>
      <c r="J1094" s="40" t="str">
        <f>IF(OR(C1094="",NOT(ISNUMBER(E1094))),"",IFERROR(E1094*N(INDEX(art_price,MATCH(C1094,art_ref,0))),""))</f>
        <v/>
      </c>
      <c r="K1094" s="39" t="str">
        <f>IF(OR(C1094="",NOT(ISNUMBER(E1094))),"",IFERROR(ROUND(N(INDEX(art_init,MATCH(C1094,art_ref,0)))+SUMIFS($E$5:E1094,$C$5:C1094,C1094,$B$5:B1094,"Entrée")-SUMIFS($E$5:E1094,$C$5:C1094,C1094,$B$5:B1094,"Sortie"),6),""))</f>
        <v/>
      </c>
      <c r="L1094" s="39" t="str">
        <f>IF(COUNTA(A1094:C1094,E1094)=0,"",IF(COUNTA(A1094:C1094,E1094)&lt;4,"Ligne incomplète",IF(NOT(ISNUMBER(A1094)),"Date invalide",IF(AND(B1094&lt;&gt;"Entrée",B1094&lt;&gt;"Sortie"),"Type inconnu",IF(ISNA(MATCH(C1094,art_ref,0)),"Référence inconnue",IF(OR(NOT(ISNUMBER(E1094)),N(E1094)&lt;=0),"Quantité invalide",IF(K1094&lt;0,"Stock négatif",IF(AND(ISNUMBER(A1093),A1094&lt;A1093),"Date hors ordre","OK"))))))))</f>
        <v/>
      </c>
      <c r="M1094" s="39" t="str">
        <f>IF(C1094="","",C1094&amp;"#"&amp;COUNTIF($C$5:C1094,C1094))</f>
        <v/>
      </c>
    </row>
    <row r="1095">
      <c r="A1095" s="41" t="n"/>
      <c r="B1095" s="37" t="n"/>
      <c r="C1095" s="37" t="n"/>
      <c r="D1095" s="39" t="str">
        <f>IF(C1095="","",IFERROR(INDEX(art_des,MATCH(C1095,art_ref,0))&amp;"","Référence inconnue"))</f>
        <v/>
      </c>
      <c r="E1095" s="37" t="n"/>
      <c r="F1095" s="39" t="str">
        <f>IF(C1095="","",IFERROR(INDEX(art_unit,MATCH(C1095,art_ref,0))&amp;"",""))</f>
        <v/>
      </c>
      <c r="G1095" s="37" t="n"/>
      <c r="H1095" s="37" t="n"/>
      <c r="I1095" s="37" t="n"/>
      <c r="J1095" s="40" t="str">
        <f>IF(OR(C1095="",NOT(ISNUMBER(E1095))),"",IFERROR(E1095*N(INDEX(art_price,MATCH(C1095,art_ref,0))),""))</f>
        <v/>
      </c>
      <c r="K1095" s="39" t="str">
        <f>IF(OR(C1095="",NOT(ISNUMBER(E1095))),"",IFERROR(ROUND(N(INDEX(art_init,MATCH(C1095,art_ref,0)))+SUMIFS($E$5:E1095,$C$5:C1095,C1095,$B$5:B1095,"Entrée")-SUMIFS($E$5:E1095,$C$5:C1095,C1095,$B$5:B1095,"Sortie"),6),""))</f>
        <v/>
      </c>
      <c r="L1095" s="39" t="str">
        <f>IF(COUNTA(A1095:C1095,E1095)=0,"",IF(COUNTA(A1095:C1095,E1095)&lt;4,"Ligne incomplète",IF(NOT(ISNUMBER(A1095)),"Date invalide",IF(AND(B1095&lt;&gt;"Entrée",B1095&lt;&gt;"Sortie"),"Type inconnu",IF(ISNA(MATCH(C1095,art_ref,0)),"Référence inconnue",IF(OR(NOT(ISNUMBER(E1095)),N(E1095)&lt;=0),"Quantité invalide",IF(K1095&lt;0,"Stock négatif",IF(AND(ISNUMBER(A1094),A1095&lt;A1094),"Date hors ordre","OK"))))))))</f>
        <v/>
      </c>
      <c r="M1095" s="39" t="str">
        <f>IF(C1095="","",C1095&amp;"#"&amp;COUNTIF($C$5:C1095,C1095))</f>
        <v/>
      </c>
    </row>
    <row r="1096">
      <c r="A1096" s="41" t="n"/>
      <c r="B1096" s="37" t="n"/>
      <c r="C1096" s="37" t="n"/>
      <c r="D1096" s="39" t="str">
        <f>IF(C1096="","",IFERROR(INDEX(art_des,MATCH(C1096,art_ref,0))&amp;"","Référence inconnue"))</f>
        <v/>
      </c>
      <c r="E1096" s="37" t="n"/>
      <c r="F1096" s="39" t="str">
        <f>IF(C1096="","",IFERROR(INDEX(art_unit,MATCH(C1096,art_ref,0))&amp;"",""))</f>
        <v/>
      </c>
      <c r="G1096" s="37" t="n"/>
      <c r="H1096" s="37" t="n"/>
      <c r="I1096" s="37" t="n"/>
      <c r="J1096" s="40" t="str">
        <f>IF(OR(C1096="",NOT(ISNUMBER(E1096))),"",IFERROR(E1096*N(INDEX(art_price,MATCH(C1096,art_ref,0))),""))</f>
        <v/>
      </c>
      <c r="K1096" s="39" t="str">
        <f>IF(OR(C1096="",NOT(ISNUMBER(E1096))),"",IFERROR(ROUND(N(INDEX(art_init,MATCH(C1096,art_ref,0)))+SUMIFS($E$5:E1096,$C$5:C1096,C1096,$B$5:B1096,"Entrée")-SUMIFS($E$5:E1096,$C$5:C1096,C1096,$B$5:B1096,"Sortie"),6),""))</f>
        <v/>
      </c>
      <c r="L1096" s="39" t="str">
        <f>IF(COUNTA(A1096:C1096,E1096)=0,"",IF(COUNTA(A1096:C1096,E1096)&lt;4,"Ligne incomplète",IF(NOT(ISNUMBER(A1096)),"Date invalide",IF(AND(B1096&lt;&gt;"Entrée",B1096&lt;&gt;"Sortie"),"Type inconnu",IF(ISNA(MATCH(C1096,art_ref,0)),"Référence inconnue",IF(OR(NOT(ISNUMBER(E1096)),N(E1096)&lt;=0),"Quantité invalide",IF(K1096&lt;0,"Stock négatif",IF(AND(ISNUMBER(A1095),A1096&lt;A1095),"Date hors ordre","OK"))))))))</f>
        <v/>
      </c>
      <c r="M1096" s="39" t="str">
        <f>IF(C1096="","",C1096&amp;"#"&amp;COUNTIF($C$5:C1096,C1096))</f>
        <v/>
      </c>
    </row>
    <row r="1097">
      <c r="A1097" s="41" t="n"/>
      <c r="B1097" s="37" t="n"/>
      <c r="C1097" s="37" t="n"/>
      <c r="D1097" s="39" t="str">
        <f>IF(C1097="","",IFERROR(INDEX(art_des,MATCH(C1097,art_ref,0))&amp;"","Référence inconnue"))</f>
        <v/>
      </c>
      <c r="E1097" s="37" t="n"/>
      <c r="F1097" s="39" t="str">
        <f>IF(C1097="","",IFERROR(INDEX(art_unit,MATCH(C1097,art_ref,0))&amp;"",""))</f>
        <v/>
      </c>
      <c r="G1097" s="37" t="n"/>
      <c r="H1097" s="37" t="n"/>
      <c r="I1097" s="37" t="n"/>
      <c r="J1097" s="40" t="str">
        <f>IF(OR(C1097="",NOT(ISNUMBER(E1097))),"",IFERROR(E1097*N(INDEX(art_price,MATCH(C1097,art_ref,0))),""))</f>
        <v/>
      </c>
      <c r="K1097" s="39" t="str">
        <f>IF(OR(C1097="",NOT(ISNUMBER(E1097))),"",IFERROR(ROUND(N(INDEX(art_init,MATCH(C1097,art_ref,0)))+SUMIFS($E$5:E1097,$C$5:C1097,C1097,$B$5:B1097,"Entrée")-SUMIFS($E$5:E1097,$C$5:C1097,C1097,$B$5:B1097,"Sortie"),6),""))</f>
        <v/>
      </c>
      <c r="L1097" s="39" t="str">
        <f>IF(COUNTA(A1097:C1097,E1097)=0,"",IF(COUNTA(A1097:C1097,E1097)&lt;4,"Ligne incomplète",IF(NOT(ISNUMBER(A1097)),"Date invalide",IF(AND(B1097&lt;&gt;"Entrée",B1097&lt;&gt;"Sortie"),"Type inconnu",IF(ISNA(MATCH(C1097,art_ref,0)),"Référence inconnue",IF(OR(NOT(ISNUMBER(E1097)),N(E1097)&lt;=0),"Quantité invalide",IF(K1097&lt;0,"Stock négatif",IF(AND(ISNUMBER(A1096),A1097&lt;A1096),"Date hors ordre","OK"))))))))</f>
        <v/>
      </c>
      <c r="M1097" s="39" t="str">
        <f>IF(C1097="","",C1097&amp;"#"&amp;COUNTIF($C$5:C1097,C1097))</f>
        <v/>
      </c>
    </row>
    <row r="1098">
      <c r="A1098" s="41" t="n"/>
      <c r="B1098" s="37" t="n"/>
      <c r="C1098" s="37" t="n"/>
      <c r="D1098" s="39" t="str">
        <f>IF(C1098="","",IFERROR(INDEX(art_des,MATCH(C1098,art_ref,0))&amp;"","Référence inconnue"))</f>
        <v/>
      </c>
      <c r="E1098" s="37" t="n"/>
      <c r="F1098" s="39" t="str">
        <f>IF(C1098="","",IFERROR(INDEX(art_unit,MATCH(C1098,art_ref,0))&amp;"",""))</f>
        <v/>
      </c>
      <c r="G1098" s="37" t="n"/>
      <c r="H1098" s="37" t="n"/>
      <c r="I1098" s="37" t="n"/>
      <c r="J1098" s="40" t="str">
        <f>IF(OR(C1098="",NOT(ISNUMBER(E1098))),"",IFERROR(E1098*N(INDEX(art_price,MATCH(C1098,art_ref,0))),""))</f>
        <v/>
      </c>
      <c r="K1098" s="39" t="str">
        <f>IF(OR(C1098="",NOT(ISNUMBER(E1098))),"",IFERROR(ROUND(N(INDEX(art_init,MATCH(C1098,art_ref,0)))+SUMIFS($E$5:E1098,$C$5:C1098,C1098,$B$5:B1098,"Entrée")-SUMIFS($E$5:E1098,$C$5:C1098,C1098,$B$5:B1098,"Sortie"),6),""))</f>
        <v/>
      </c>
      <c r="L1098" s="39" t="str">
        <f>IF(COUNTA(A1098:C1098,E1098)=0,"",IF(COUNTA(A1098:C1098,E1098)&lt;4,"Ligne incomplète",IF(NOT(ISNUMBER(A1098)),"Date invalide",IF(AND(B1098&lt;&gt;"Entrée",B1098&lt;&gt;"Sortie"),"Type inconnu",IF(ISNA(MATCH(C1098,art_ref,0)),"Référence inconnue",IF(OR(NOT(ISNUMBER(E1098)),N(E1098)&lt;=0),"Quantité invalide",IF(K1098&lt;0,"Stock négatif",IF(AND(ISNUMBER(A1097),A1098&lt;A1097),"Date hors ordre","OK"))))))))</f>
        <v/>
      </c>
      <c r="M1098" s="39" t="str">
        <f>IF(C1098="","",C1098&amp;"#"&amp;COUNTIF($C$5:C1098,C1098))</f>
        <v/>
      </c>
    </row>
    <row r="1099">
      <c r="A1099" s="41" t="n"/>
      <c r="B1099" s="37" t="n"/>
      <c r="C1099" s="37" t="n"/>
      <c r="D1099" s="39" t="str">
        <f>IF(C1099="","",IFERROR(INDEX(art_des,MATCH(C1099,art_ref,0))&amp;"","Référence inconnue"))</f>
        <v/>
      </c>
      <c r="E1099" s="37" t="n"/>
      <c r="F1099" s="39" t="str">
        <f>IF(C1099="","",IFERROR(INDEX(art_unit,MATCH(C1099,art_ref,0))&amp;"",""))</f>
        <v/>
      </c>
      <c r="G1099" s="37" t="n"/>
      <c r="H1099" s="37" t="n"/>
      <c r="I1099" s="37" t="n"/>
      <c r="J1099" s="40" t="str">
        <f>IF(OR(C1099="",NOT(ISNUMBER(E1099))),"",IFERROR(E1099*N(INDEX(art_price,MATCH(C1099,art_ref,0))),""))</f>
        <v/>
      </c>
      <c r="K1099" s="39" t="str">
        <f>IF(OR(C1099="",NOT(ISNUMBER(E1099))),"",IFERROR(ROUND(N(INDEX(art_init,MATCH(C1099,art_ref,0)))+SUMIFS($E$5:E1099,$C$5:C1099,C1099,$B$5:B1099,"Entrée")-SUMIFS($E$5:E1099,$C$5:C1099,C1099,$B$5:B1099,"Sortie"),6),""))</f>
        <v/>
      </c>
      <c r="L1099" s="39" t="str">
        <f>IF(COUNTA(A1099:C1099,E1099)=0,"",IF(COUNTA(A1099:C1099,E1099)&lt;4,"Ligne incomplète",IF(NOT(ISNUMBER(A1099)),"Date invalide",IF(AND(B1099&lt;&gt;"Entrée",B1099&lt;&gt;"Sortie"),"Type inconnu",IF(ISNA(MATCH(C1099,art_ref,0)),"Référence inconnue",IF(OR(NOT(ISNUMBER(E1099)),N(E1099)&lt;=0),"Quantité invalide",IF(K1099&lt;0,"Stock négatif",IF(AND(ISNUMBER(A1098),A1099&lt;A1098),"Date hors ordre","OK"))))))))</f>
        <v/>
      </c>
      <c r="M1099" s="39" t="str">
        <f>IF(C1099="","",C1099&amp;"#"&amp;COUNTIF($C$5:C1099,C1099))</f>
        <v/>
      </c>
    </row>
    <row r="1100">
      <c r="A1100" s="41" t="n"/>
      <c r="B1100" s="37" t="n"/>
      <c r="C1100" s="37" t="n"/>
      <c r="D1100" s="39" t="str">
        <f>IF(C1100="","",IFERROR(INDEX(art_des,MATCH(C1100,art_ref,0))&amp;"","Référence inconnue"))</f>
        <v/>
      </c>
      <c r="E1100" s="37" t="n"/>
      <c r="F1100" s="39" t="str">
        <f>IF(C1100="","",IFERROR(INDEX(art_unit,MATCH(C1100,art_ref,0))&amp;"",""))</f>
        <v/>
      </c>
      <c r="G1100" s="37" t="n"/>
      <c r="H1100" s="37" t="n"/>
      <c r="I1100" s="37" t="n"/>
      <c r="J1100" s="40" t="str">
        <f>IF(OR(C1100="",NOT(ISNUMBER(E1100))),"",IFERROR(E1100*N(INDEX(art_price,MATCH(C1100,art_ref,0))),""))</f>
        <v/>
      </c>
      <c r="K1100" s="39" t="str">
        <f>IF(OR(C1100="",NOT(ISNUMBER(E1100))),"",IFERROR(ROUND(N(INDEX(art_init,MATCH(C1100,art_ref,0)))+SUMIFS($E$5:E1100,$C$5:C1100,C1100,$B$5:B1100,"Entrée")-SUMIFS($E$5:E1100,$C$5:C1100,C1100,$B$5:B1100,"Sortie"),6),""))</f>
        <v/>
      </c>
      <c r="L1100" s="39" t="str">
        <f>IF(COUNTA(A1100:C1100,E1100)=0,"",IF(COUNTA(A1100:C1100,E1100)&lt;4,"Ligne incomplète",IF(NOT(ISNUMBER(A1100)),"Date invalide",IF(AND(B1100&lt;&gt;"Entrée",B1100&lt;&gt;"Sortie"),"Type inconnu",IF(ISNA(MATCH(C1100,art_ref,0)),"Référence inconnue",IF(OR(NOT(ISNUMBER(E1100)),N(E1100)&lt;=0),"Quantité invalide",IF(K1100&lt;0,"Stock négatif",IF(AND(ISNUMBER(A1099),A1100&lt;A1099),"Date hors ordre","OK"))))))))</f>
        <v/>
      </c>
      <c r="M1100" s="39" t="str">
        <f>IF(C1100="","",C1100&amp;"#"&amp;COUNTIF($C$5:C1100,C1100))</f>
        <v/>
      </c>
    </row>
    <row r="1101">
      <c r="A1101" s="41" t="n"/>
      <c r="B1101" s="37" t="n"/>
      <c r="C1101" s="37" t="n"/>
      <c r="D1101" s="39" t="str">
        <f>IF(C1101="","",IFERROR(INDEX(art_des,MATCH(C1101,art_ref,0))&amp;"","Référence inconnue"))</f>
        <v/>
      </c>
      <c r="E1101" s="37" t="n"/>
      <c r="F1101" s="39" t="str">
        <f>IF(C1101="","",IFERROR(INDEX(art_unit,MATCH(C1101,art_ref,0))&amp;"",""))</f>
        <v/>
      </c>
      <c r="G1101" s="37" t="n"/>
      <c r="H1101" s="37" t="n"/>
      <c r="I1101" s="37" t="n"/>
      <c r="J1101" s="40" t="str">
        <f>IF(OR(C1101="",NOT(ISNUMBER(E1101))),"",IFERROR(E1101*N(INDEX(art_price,MATCH(C1101,art_ref,0))),""))</f>
        <v/>
      </c>
      <c r="K1101" s="39" t="str">
        <f>IF(OR(C1101="",NOT(ISNUMBER(E1101))),"",IFERROR(ROUND(N(INDEX(art_init,MATCH(C1101,art_ref,0)))+SUMIFS($E$5:E1101,$C$5:C1101,C1101,$B$5:B1101,"Entrée")-SUMIFS($E$5:E1101,$C$5:C1101,C1101,$B$5:B1101,"Sortie"),6),""))</f>
        <v/>
      </c>
      <c r="L1101" s="39" t="str">
        <f>IF(COUNTA(A1101:C1101,E1101)=0,"",IF(COUNTA(A1101:C1101,E1101)&lt;4,"Ligne incomplète",IF(NOT(ISNUMBER(A1101)),"Date invalide",IF(AND(B1101&lt;&gt;"Entrée",B1101&lt;&gt;"Sortie"),"Type inconnu",IF(ISNA(MATCH(C1101,art_ref,0)),"Référence inconnue",IF(OR(NOT(ISNUMBER(E1101)),N(E1101)&lt;=0),"Quantité invalide",IF(K1101&lt;0,"Stock négatif",IF(AND(ISNUMBER(A1100),A1101&lt;A1100),"Date hors ordre","OK"))))))))</f>
        <v/>
      </c>
      <c r="M1101" s="39" t="str">
        <f>IF(C1101="","",C1101&amp;"#"&amp;COUNTIF($C$5:C1101,C1101))</f>
        <v/>
      </c>
    </row>
    <row r="1102">
      <c r="A1102" s="41" t="n"/>
      <c r="B1102" s="37" t="n"/>
      <c r="C1102" s="37" t="n"/>
      <c r="D1102" s="39" t="str">
        <f>IF(C1102="","",IFERROR(INDEX(art_des,MATCH(C1102,art_ref,0))&amp;"","Référence inconnue"))</f>
        <v/>
      </c>
      <c r="E1102" s="37" t="n"/>
      <c r="F1102" s="39" t="str">
        <f>IF(C1102="","",IFERROR(INDEX(art_unit,MATCH(C1102,art_ref,0))&amp;"",""))</f>
        <v/>
      </c>
      <c r="G1102" s="37" t="n"/>
      <c r="H1102" s="37" t="n"/>
      <c r="I1102" s="37" t="n"/>
      <c r="J1102" s="40" t="str">
        <f>IF(OR(C1102="",NOT(ISNUMBER(E1102))),"",IFERROR(E1102*N(INDEX(art_price,MATCH(C1102,art_ref,0))),""))</f>
        <v/>
      </c>
      <c r="K1102" s="39" t="str">
        <f>IF(OR(C1102="",NOT(ISNUMBER(E1102))),"",IFERROR(ROUND(N(INDEX(art_init,MATCH(C1102,art_ref,0)))+SUMIFS($E$5:E1102,$C$5:C1102,C1102,$B$5:B1102,"Entrée")-SUMIFS($E$5:E1102,$C$5:C1102,C1102,$B$5:B1102,"Sortie"),6),""))</f>
        <v/>
      </c>
      <c r="L1102" s="39" t="str">
        <f>IF(COUNTA(A1102:C1102,E1102)=0,"",IF(COUNTA(A1102:C1102,E1102)&lt;4,"Ligne incomplète",IF(NOT(ISNUMBER(A1102)),"Date invalide",IF(AND(B1102&lt;&gt;"Entrée",B1102&lt;&gt;"Sortie"),"Type inconnu",IF(ISNA(MATCH(C1102,art_ref,0)),"Référence inconnue",IF(OR(NOT(ISNUMBER(E1102)),N(E1102)&lt;=0),"Quantité invalide",IF(K1102&lt;0,"Stock négatif",IF(AND(ISNUMBER(A1101),A1102&lt;A1101),"Date hors ordre","OK"))))))))</f>
        <v/>
      </c>
      <c r="M1102" s="39" t="str">
        <f>IF(C1102="","",C1102&amp;"#"&amp;COUNTIF($C$5:C1102,C1102))</f>
        <v/>
      </c>
    </row>
    <row r="1103">
      <c r="A1103" s="41" t="n"/>
      <c r="B1103" s="37" t="n"/>
      <c r="C1103" s="37" t="n"/>
      <c r="D1103" s="39" t="str">
        <f>IF(C1103="","",IFERROR(INDEX(art_des,MATCH(C1103,art_ref,0))&amp;"","Référence inconnue"))</f>
        <v/>
      </c>
      <c r="E1103" s="37" t="n"/>
      <c r="F1103" s="39" t="str">
        <f>IF(C1103="","",IFERROR(INDEX(art_unit,MATCH(C1103,art_ref,0))&amp;"",""))</f>
        <v/>
      </c>
      <c r="G1103" s="37" t="n"/>
      <c r="H1103" s="37" t="n"/>
      <c r="I1103" s="37" t="n"/>
      <c r="J1103" s="40" t="str">
        <f>IF(OR(C1103="",NOT(ISNUMBER(E1103))),"",IFERROR(E1103*N(INDEX(art_price,MATCH(C1103,art_ref,0))),""))</f>
        <v/>
      </c>
      <c r="K1103" s="39" t="str">
        <f>IF(OR(C1103="",NOT(ISNUMBER(E1103))),"",IFERROR(ROUND(N(INDEX(art_init,MATCH(C1103,art_ref,0)))+SUMIFS($E$5:E1103,$C$5:C1103,C1103,$B$5:B1103,"Entrée")-SUMIFS($E$5:E1103,$C$5:C1103,C1103,$B$5:B1103,"Sortie"),6),""))</f>
        <v/>
      </c>
      <c r="L1103" s="39" t="str">
        <f>IF(COUNTA(A1103:C1103,E1103)=0,"",IF(COUNTA(A1103:C1103,E1103)&lt;4,"Ligne incomplète",IF(NOT(ISNUMBER(A1103)),"Date invalide",IF(AND(B1103&lt;&gt;"Entrée",B1103&lt;&gt;"Sortie"),"Type inconnu",IF(ISNA(MATCH(C1103,art_ref,0)),"Référence inconnue",IF(OR(NOT(ISNUMBER(E1103)),N(E1103)&lt;=0),"Quantité invalide",IF(K1103&lt;0,"Stock négatif",IF(AND(ISNUMBER(A1102),A1103&lt;A1102),"Date hors ordre","OK"))))))))</f>
        <v/>
      </c>
      <c r="M1103" s="39" t="str">
        <f>IF(C1103="","",C1103&amp;"#"&amp;COUNTIF($C$5:C1103,C1103))</f>
        <v/>
      </c>
    </row>
    <row r="1104">
      <c r="A1104" s="41" t="n"/>
      <c r="B1104" s="37" t="n"/>
      <c r="C1104" s="37" t="n"/>
      <c r="D1104" s="39" t="str">
        <f>IF(C1104="","",IFERROR(INDEX(art_des,MATCH(C1104,art_ref,0))&amp;"","Référence inconnue"))</f>
        <v/>
      </c>
      <c r="E1104" s="37" t="n"/>
      <c r="F1104" s="39" t="str">
        <f>IF(C1104="","",IFERROR(INDEX(art_unit,MATCH(C1104,art_ref,0))&amp;"",""))</f>
        <v/>
      </c>
      <c r="G1104" s="37" t="n"/>
      <c r="H1104" s="37" t="n"/>
      <c r="I1104" s="37" t="n"/>
      <c r="J1104" s="40" t="str">
        <f>IF(OR(C1104="",NOT(ISNUMBER(E1104))),"",IFERROR(E1104*N(INDEX(art_price,MATCH(C1104,art_ref,0))),""))</f>
        <v/>
      </c>
      <c r="K1104" s="39" t="str">
        <f>IF(OR(C1104="",NOT(ISNUMBER(E1104))),"",IFERROR(ROUND(N(INDEX(art_init,MATCH(C1104,art_ref,0)))+SUMIFS($E$5:E1104,$C$5:C1104,C1104,$B$5:B1104,"Entrée")-SUMIFS($E$5:E1104,$C$5:C1104,C1104,$B$5:B1104,"Sortie"),6),""))</f>
        <v/>
      </c>
      <c r="L1104" s="39" t="str">
        <f>IF(COUNTA(A1104:C1104,E1104)=0,"",IF(COUNTA(A1104:C1104,E1104)&lt;4,"Ligne incomplète",IF(NOT(ISNUMBER(A1104)),"Date invalide",IF(AND(B1104&lt;&gt;"Entrée",B1104&lt;&gt;"Sortie"),"Type inconnu",IF(ISNA(MATCH(C1104,art_ref,0)),"Référence inconnue",IF(OR(NOT(ISNUMBER(E1104)),N(E1104)&lt;=0),"Quantité invalide",IF(K1104&lt;0,"Stock négatif",IF(AND(ISNUMBER(A1103),A1104&lt;A1103),"Date hors ordre","OK"))))))))</f>
        <v/>
      </c>
      <c r="M1104" s="39" t="str">
        <f>IF(C1104="","",C1104&amp;"#"&amp;COUNTIF($C$5:C1104,C1104))</f>
        <v/>
      </c>
    </row>
    <row r="1105">
      <c r="A1105" s="41" t="n"/>
      <c r="B1105" s="37" t="n"/>
      <c r="C1105" s="37" t="n"/>
      <c r="D1105" s="39" t="str">
        <f>IF(C1105="","",IFERROR(INDEX(art_des,MATCH(C1105,art_ref,0))&amp;"","Référence inconnue"))</f>
        <v/>
      </c>
      <c r="E1105" s="37" t="n"/>
      <c r="F1105" s="39" t="str">
        <f>IF(C1105="","",IFERROR(INDEX(art_unit,MATCH(C1105,art_ref,0))&amp;"",""))</f>
        <v/>
      </c>
      <c r="G1105" s="37" t="n"/>
      <c r="H1105" s="37" t="n"/>
      <c r="I1105" s="37" t="n"/>
      <c r="J1105" s="40" t="str">
        <f>IF(OR(C1105="",NOT(ISNUMBER(E1105))),"",IFERROR(E1105*N(INDEX(art_price,MATCH(C1105,art_ref,0))),""))</f>
        <v/>
      </c>
      <c r="K1105" s="39" t="str">
        <f>IF(OR(C1105="",NOT(ISNUMBER(E1105))),"",IFERROR(ROUND(N(INDEX(art_init,MATCH(C1105,art_ref,0)))+SUMIFS($E$5:E1105,$C$5:C1105,C1105,$B$5:B1105,"Entrée")-SUMIFS($E$5:E1105,$C$5:C1105,C1105,$B$5:B1105,"Sortie"),6),""))</f>
        <v/>
      </c>
      <c r="L1105" s="39" t="str">
        <f>IF(COUNTA(A1105:C1105,E1105)=0,"",IF(COUNTA(A1105:C1105,E1105)&lt;4,"Ligne incomplète",IF(NOT(ISNUMBER(A1105)),"Date invalide",IF(AND(B1105&lt;&gt;"Entrée",B1105&lt;&gt;"Sortie"),"Type inconnu",IF(ISNA(MATCH(C1105,art_ref,0)),"Référence inconnue",IF(OR(NOT(ISNUMBER(E1105)),N(E1105)&lt;=0),"Quantité invalide",IF(K1105&lt;0,"Stock négatif",IF(AND(ISNUMBER(A1104),A1105&lt;A1104),"Date hors ordre","OK"))))))))</f>
        <v/>
      </c>
      <c r="M1105" s="39" t="str">
        <f>IF(C1105="","",C1105&amp;"#"&amp;COUNTIF($C$5:C1105,C1105))</f>
        <v/>
      </c>
    </row>
    <row r="1106">
      <c r="A1106" s="41" t="n"/>
      <c r="B1106" s="37" t="n"/>
      <c r="C1106" s="37" t="n"/>
      <c r="D1106" s="39" t="str">
        <f>IF(C1106="","",IFERROR(INDEX(art_des,MATCH(C1106,art_ref,0))&amp;"","Référence inconnue"))</f>
        <v/>
      </c>
      <c r="E1106" s="37" t="n"/>
      <c r="F1106" s="39" t="str">
        <f>IF(C1106="","",IFERROR(INDEX(art_unit,MATCH(C1106,art_ref,0))&amp;"",""))</f>
        <v/>
      </c>
      <c r="G1106" s="37" t="n"/>
      <c r="H1106" s="37" t="n"/>
      <c r="I1106" s="37" t="n"/>
      <c r="J1106" s="40" t="str">
        <f>IF(OR(C1106="",NOT(ISNUMBER(E1106))),"",IFERROR(E1106*N(INDEX(art_price,MATCH(C1106,art_ref,0))),""))</f>
        <v/>
      </c>
      <c r="K1106" s="39" t="str">
        <f>IF(OR(C1106="",NOT(ISNUMBER(E1106))),"",IFERROR(ROUND(N(INDEX(art_init,MATCH(C1106,art_ref,0)))+SUMIFS($E$5:E1106,$C$5:C1106,C1106,$B$5:B1106,"Entrée")-SUMIFS($E$5:E1106,$C$5:C1106,C1106,$B$5:B1106,"Sortie"),6),""))</f>
        <v/>
      </c>
      <c r="L1106" s="39" t="str">
        <f>IF(COUNTA(A1106:C1106,E1106)=0,"",IF(COUNTA(A1106:C1106,E1106)&lt;4,"Ligne incomplète",IF(NOT(ISNUMBER(A1106)),"Date invalide",IF(AND(B1106&lt;&gt;"Entrée",B1106&lt;&gt;"Sortie"),"Type inconnu",IF(ISNA(MATCH(C1106,art_ref,0)),"Référence inconnue",IF(OR(NOT(ISNUMBER(E1106)),N(E1106)&lt;=0),"Quantité invalide",IF(K1106&lt;0,"Stock négatif",IF(AND(ISNUMBER(A1105),A1106&lt;A1105),"Date hors ordre","OK"))))))))</f>
        <v/>
      </c>
      <c r="M1106" s="39" t="str">
        <f>IF(C1106="","",C1106&amp;"#"&amp;COUNTIF($C$5:C1106,C1106))</f>
        <v/>
      </c>
    </row>
    <row r="1107">
      <c r="A1107" s="41" t="n"/>
      <c r="B1107" s="37" t="n"/>
      <c r="C1107" s="37" t="n"/>
      <c r="D1107" s="39" t="str">
        <f>IF(C1107="","",IFERROR(INDEX(art_des,MATCH(C1107,art_ref,0))&amp;"","Référence inconnue"))</f>
        <v/>
      </c>
      <c r="E1107" s="37" t="n"/>
      <c r="F1107" s="39" t="str">
        <f>IF(C1107="","",IFERROR(INDEX(art_unit,MATCH(C1107,art_ref,0))&amp;"",""))</f>
        <v/>
      </c>
      <c r="G1107" s="37" t="n"/>
      <c r="H1107" s="37" t="n"/>
      <c r="I1107" s="37" t="n"/>
      <c r="J1107" s="40" t="str">
        <f>IF(OR(C1107="",NOT(ISNUMBER(E1107))),"",IFERROR(E1107*N(INDEX(art_price,MATCH(C1107,art_ref,0))),""))</f>
        <v/>
      </c>
      <c r="K1107" s="39" t="str">
        <f>IF(OR(C1107="",NOT(ISNUMBER(E1107))),"",IFERROR(ROUND(N(INDEX(art_init,MATCH(C1107,art_ref,0)))+SUMIFS($E$5:E1107,$C$5:C1107,C1107,$B$5:B1107,"Entrée")-SUMIFS($E$5:E1107,$C$5:C1107,C1107,$B$5:B1107,"Sortie"),6),""))</f>
        <v/>
      </c>
      <c r="L1107" s="39" t="str">
        <f>IF(COUNTA(A1107:C1107,E1107)=0,"",IF(COUNTA(A1107:C1107,E1107)&lt;4,"Ligne incomplète",IF(NOT(ISNUMBER(A1107)),"Date invalide",IF(AND(B1107&lt;&gt;"Entrée",B1107&lt;&gt;"Sortie"),"Type inconnu",IF(ISNA(MATCH(C1107,art_ref,0)),"Référence inconnue",IF(OR(NOT(ISNUMBER(E1107)),N(E1107)&lt;=0),"Quantité invalide",IF(K1107&lt;0,"Stock négatif",IF(AND(ISNUMBER(A1106),A1107&lt;A1106),"Date hors ordre","OK"))))))))</f>
        <v/>
      </c>
      <c r="M1107" s="39" t="str">
        <f>IF(C1107="","",C1107&amp;"#"&amp;COUNTIF($C$5:C1107,C1107))</f>
        <v/>
      </c>
    </row>
    <row r="1108">
      <c r="A1108" s="41" t="n"/>
      <c r="B1108" s="37" t="n"/>
      <c r="C1108" s="37" t="n"/>
      <c r="D1108" s="39" t="str">
        <f>IF(C1108="","",IFERROR(INDEX(art_des,MATCH(C1108,art_ref,0))&amp;"","Référence inconnue"))</f>
        <v/>
      </c>
      <c r="E1108" s="37" t="n"/>
      <c r="F1108" s="39" t="str">
        <f>IF(C1108="","",IFERROR(INDEX(art_unit,MATCH(C1108,art_ref,0))&amp;"",""))</f>
        <v/>
      </c>
      <c r="G1108" s="37" t="n"/>
      <c r="H1108" s="37" t="n"/>
      <c r="I1108" s="37" t="n"/>
      <c r="J1108" s="40" t="str">
        <f>IF(OR(C1108="",NOT(ISNUMBER(E1108))),"",IFERROR(E1108*N(INDEX(art_price,MATCH(C1108,art_ref,0))),""))</f>
        <v/>
      </c>
      <c r="K1108" s="39" t="str">
        <f>IF(OR(C1108="",NOT(ISNUMBER(E1108))),"",IFERROR(ROUND(N(INDEX(art_init,MATCH(C1108,art_ref,0)))+SUMIFS($E$5:E1108,$C$5:C1108,C1108,$B$5:B1108,"Entrée")-SUMIFS($E$5:E1108,$C$5:C1108,C1108,$B$5:B1108,"Sortie"),6),""))</f>
        <v/>
      </c>
      <c r="L1108" s="39" t="str">
        <f>IF(COUNTA(A1108:C1108,E1108)=0,"",IF(COUNTA(A1108:C1108,E1108)&lt;4,"Ligne incomplète",IF(NOT(ISNUMBER(A1108)),"Date invalide",IF(AND(B1108&lt;&gt;"Entrée",B1108&lt;&gt;"Sortie"),"Type inconnu",IF(ISNA(MATCH(C1108,art_ref,0)),"Référence inconnue",IF(OR(NOT(ISNUMBER(E1108)),N(E1108)&lt;=0),"Quantité invalide",IF(K1108&lt;0,"Stock négatif",IF(AND(ISNUMBER(A1107),A1108&lt;A1107),"Date hors ordre","OK"))))))))</f>
        <v/>
      </c>
      <c r="M1108" s="39" t="str">
        <f>IF(C1108="","",C1108&amp;"#"&amp;COUNTIF($C$5:C1108,C1108))</f>
        <v/>
      </c>
    </row>
    <row r="1109">
      <c r="A1109" s="41" t="n"/>
      <c r="B1109" s="37" t="n"/>
      <c r="C1109" s="37" t="n"/>
      <c r="D1109" s="39" t="str">
        <f>IF(C1109="","",IFERROR(INDEX(art_des,MATCH(C1109,art_ref,0))&amp;"","Référence inconnue"))</f>
        <v/>
      </c>
      <c r="E1109" s="37" t="n"/>
      <c r="F1109" s="39" t="str">
        <f>IF(C1109="","",IFERROR(INDEX(art_unit,MATCH(C1109,art_ref,0))&amp;"",""))</f>
        <v/>
      </c>
      <c r="G1109" s="37" t="n"/>
      <c r="H1109" s="37" t="n"/>
      <c r="I1109" s="37" t="n"/>
      <c r="J1109" s="40" t="str">
        <f>IF(OR(C1109="",NOT(ISNUMBER(E1109))),"",IFERROR(E1109*N(INDEX(art_price,MATCH(C1109,art_ref,0))),""))</f>
        <v/>
      </c>
      <c r="K1109" s="39" t="str">
        <f>IF(OR(C1109="",NOT(ISNUMBER(E1109))),"",IFERROR(ROUND(N(INDEX(art_init,MATCH(C1109,art_ref,0)))+SUMIFS($E$5:E1109,$C$5:C1109,C1109,$B$5:B1109,"Entrée")-SUMIFS($E$5:E1109,$C$5:C1109,C1109,$B$5:B1109,"Sortie"),6),""))</f>
        <v/>
      </c>
      <c r="L1109" s="39" t="str">
        <f>IF(COUNTA(A1109:C1109,E1109)=0,"",IF(COUNTA(A1109:C1109,E1109)&lt;4,"Ligne incomplète",IF(NOT(ISNUMBER(A1109)),"Date invalide",IF(AND(B1109&lt;&gt;"Entrée",B1109&lt;&gt;"Sortie"),"Type inconnu",IF(ISNA(MATCH(C1109,art_ref,0)),"Référence inconnue",IF(OR(NOT(ISNUMBER(E1109)),N(E1109)&lt;=0),"Quantité invalide",IF(K1109&lt;0,"Stock négatif",IF(AND(ISNUMBER(A1108),A1109&lt;A1108),"Date hors ordre","OK"))))))))</f>
        <v/>
      </c>
      <c r="M1109" s="39" t="str">
        <f>IF(C1109="","",C1109&amp;"#"&amp;COUNTIF($C$5:C1109,C1109))</f>
        <v/>
      </c>
    </row>
    <row r="1110">
      <c r="A1110" s="41" t="n"/>
      <c r="B1110" s="37" t="n"/>
      <c r="C1110" s="37" t="n"/>
      <c r="D1110" s="39" t="str">
        <f>IF(C1110="","",IFERROR(INDEX(art_des,MATCH(C1110,art_ref,0))&amp;"","Référence inconnue"))</f>
        <v/>
      </c>
      <c r="E1110" s="37" t="n"/>
      <c r="F1110" s="39" t="str">
        <f>IF(C1110="","",IFERROR(INDEX(art_unit,MATCH(C1110,art_ref,0))&amp;"",""))</f>
        <v/>
      </c>
      <c r="G1110" s="37" t="n"/>
      <c r="H1110" s="37" t="n"/>
      <c r="I1110" s="37" t="n"/>
      <c r="J1110" s="40" t="str">
        <f>IF(OR(C1110="",NOT(ISNUMBER(E1110))),"",IFERROR(E1110*N(INDEX(art_price,MATCH(C1110,art_ref,0))),""))</f>
        <v/>
      </c>
      <c r="K1110" s="39" t="str">
        <f>IF(OR(C1110="",NOT(ISNUMBER(E1110))),"",IFERROR(ROUND(N(INDEX(art_init,MATCH(C1110,art_ref,0)))+SUMIFS($E$5:E1110,$C$5:C1110,C1110,$B$5:B1110,"Entrée")-SUMIFS($E$5:E1110,$C$5:C1110,C1110,$B$5:B1110,"Sortie"),6),""))</f>
        <v/>
      </c>
      <c r="L1110" s="39" t="str">
        <f>IF(COUNTA(A1110:C1110,E1110)=0,"",IF(COUNTA(A1110:C1110,E1110)&lt;4,"Ligne incomplète",IF(NOT(ISNUMBER(A1110)),"Date invalide",IF(AND(B1110&lt;&gt;"Entrée",B1110&lt;&gt;"Sortie"),"Type inconnu",IF(ISNA(MATCH(C1110,art_ref,0)),"Référence inconnue",IF(OR(NOT(ISNUMBER(E1110)),N(E1110)&lt;=0),"Quantité invalide",IF(K1110&lt;0,"Stock négatif",IF(AND(ISNUMBER(A1109),A1110&lt;A1109),"Date hors ordre","OK"))))))))</f>
        <v/>
      </c>
      <c r="M1110" s="39" t="str">
        <f>IF(C1110="","",C1110&amp;"#"&amp;COUNTIF($C$5:C1110,C1110))</f>
        <v/>
      </c>
    </row>
    <row r="1111">
      <c r="A1111" s="41" t="n"/>
      <c r="B1111" s="37" t="n"/>
      <c r="C1111" s="37" t="n"/>
      <c r="D1111" s="39" t="str">
        <f>IF(C1111="","",IFERROR(INDEX(art_des,MATCH(C1111,art_ref,0))&amp;"","Référence inconnue"))</f>
        <v/>
      </c>
      <c r="E1111" s="37" t="n"/>
      <c r="F1111" s="39" t="str">
        <f>IF(C1111="","",IFERROR(INDEX(art_unit,MATCH(C1111,art_ref,0))&amp;"",""))</f>
        <v/>
      </c>
      <c r="G1111" s="37" t="n"/>
      <c r="H1111" s="37" t="n"/>
      <c r="I1111" s="37" t="n"/>
      <c r="J1111" s="40" t="str">
        <f>IF(OR(C1111="",NOT(ISNUMBER(E1111))),"",IFERROR(E1111*N(INDEX(art_price,MATCH(C1111,art_ref,0))),""))</f>
        <v/>
      </c>
      <c r="K1111" s="39" t="str">
        <f>IF(OR(C1111="",NOT(ISNUMBER(E1111))),"",IFERROR(ROUND(N(INDEX(art_init,MATCH(C1111,art_ref,0)))+SUMIFS($E$5:E1111,$C$5:C1111,C1111,$B$5:B1111,"Entrée")-SUMIFS($E$5:E1111,$C$5:C1111,C1111,$B$5:B1111,"Sortie"),6),""))</f>
        <v/>
      </c>
      <c r="L1111" s="39" t="str">
        <f>IF(COUNTA(A1111:C1111,E1111)=0,"",IF(COUNTA(A1111:C1111,E1111)&lt;4,"Ligne incomplète",IF(NOT(ISNUMBER(A1111)),"Date invalide",IF(AND(B1111&lt;&gt;"Entrée",B1111&lt;&gt;"Sortie"),"Type inconnu",IF(ISNA(MATCH(C1111,art_ref,0)),"Référence inconnue",IF(OR(NOT(ISNUMBER(E1111)),N(E1111)&lt;=0),"Quantité invalide",IF(K1111&lt;0,"Stock négatif",IF(AND(ISNUMBER(A1110),A1111&lt;A1110),"Date hors ordre","OK"))))))))</f>
        <v/>
      </c>
      <c r="M1111" s="39" t="str">
        <f>IF(C1111="","",C1111&amp;"#"&amp;COUNTIF($C$5:C1111,C1111))</f>
        <v/>
      </c>
    </row>
    <row r="1112">
      <c r="A1112" s="41" t="n"/>
      <c r="B1112" s="37" t="n"/>
      <c r="C1112" s="37" t="n"/>
      <c r="D1112" s="39" t="str">
        <f>IF(C1112="","",IFERROR(INDEX(art_des,MATCH(C1112,art_ref,0))&amp;"","Référence inconnue"))</f>
        <v/>
      </c>
      <c r="E1112" s="37" t="n"/>
      <c r="F1112" s="39" t="str">
        <f>IF(C1112="","",IFERROR(INDEX(art_unit,MATCH(C1112,art_ref,0))&amp;"",""))</f>
        <v/>
      </c>
      <c r="G1112" s="37" t="n"/>
      <c r="H1112" s="37" t="n"/>
      <c r="I1112" s="37" t="n"/>
      <c r="J1112" s="40" t="str">
        <f>IF(OR(C1112="",NOT(ISNUMBER(E1112))),"",IFERROR(E1112*N(INDEX(art_price,MATCH(C1112,art_ref,0))),""))</f>
        <v/>
      </c>
      <c r="K1112" s="39" t="str">
        <f>IF(OR(C1112="",NOT(ISNUMBER(E1112))),"",IFERROR(ROUND(N(INDEX(art_init,MATCH(C1112,art_ref,0)))+SUMIFS($E$5:E1112,$C$5:C1112,C1112,$B$5:B1112,"Entrée")-SUMIFS($E$5:E1112,$C$5:C1112,C1112,$B$5:B1112,"Sortie"),6),""))</f>
        <v/>
      </c>
      <c r="L1112" s="39" t="str">
        <f>IF(COUNTA(A1112:C1112,E1112)=0,"",IF(COUNTA(A1112:C1112,E1112)&lt;4,"Ligne incomplète",IF(NOT(ISNUMBER(A1112)),"Date invalide",IF(AND(B1112&lt;&gt;"Entrée",B1112&lt;&gt;"Sortie"),"Type inconnu",IF(ISNA(MATCH(C1112,art_ref,0)),"Référence inconnue",IF(OR(NOT(ISNUMBER(E1112)),N(E1112)&lt;=0),"Quantité invalide",IF(K1112&lt;0,"Stock négatif",IF(AND(ISNUMBER(A1111),A1112&lt;A1111),"Date hors ordre","OK"))))))))</f>
        <v/>
      </c>
      <c r="M1112" s="39" t="str">
        <f>IF(C1112="","",C1112&amp;"#"&amp;COUNTIF($C$5:C1112,C1112))</f>
        <v/>
      </c>
    </row>
    <row r="1113">
      <c r="A1113" s="41" t="n"/>
      <c r="B1113" s="37" t="n"/>
      <c r="C1113" s="37" t="n"/>
      <c r="D1113" s="39" t="str">
        <f>IF(C1113="","",IFERROR(INDEX(art_des,MATCH(C1113,art_ref,0))&amp;"","Référence inconnue"))</f>
        <v/>
      </c>
      <c r="E1113" s="37" t="n"/>
      <c r="F1113" s="39" t="str">
        <f>IF(C1113="","",IFERROR(INDEX(art_unit,MATCH(C1113,art_ref,0))&amp;"",""))</f>
        <v/>
      </c>
      <c r="G1113" s="37" t="n"/>
      <c r="H1113" s="37" t="n"/>
      <c r="I1113" s="37" t="n"/>
      <c r="J1113" s="40" t="str">
        <f>IF(OR(C1113="",NOT(ISNUMBER(E1113))),"",IFERROR(E1113*N(INDEX(art_price,MATCH(C1113,art_ref,0))),""))</f>
        <v/>
      </c>
      <c r="K1113" s="39" t="str">
        <f>IF(OR(C1113="",NOT(ISNUMBER(E1113))),"",IFERROR(ROUND(N(INDEX(art_init,MATCH(C1113,art_ref,0)))+SUMIFS($E$5:E1113,$C$5:C1113,C1113,$B$5:B1113,"Entrée")-SUMIFS($E$5:E1113,$C$5:C1113,C1113,$B$5:B1113,"Sortie"),6),""))</f>
        <v/>
      </c>
      <c r="L1113" s="39" t="str">
        <f>IF(COUNTA(A1113:C1113,E1113)=0,"",IF(COUNTA(A1113:C1113,E1113)&lt;4,"Ligne incomplète",IF(NOT(ISNUMBER(A1113)),"Date invalide",IF(AND(B1113&lt;&gt;"Entrée",B1113&lt;&gt;"Sortie"),"Type inconnu",IF(ISNA(MATCH(C1113,art_ref,0)),"Référence inconnue",IF(OR(NOT(ISNUMBER(E1113)),N(E1113)&lt;=0),"Quantité invalide",IF(K1113&lt;0,"Stock négatif",IF(AND(ISNUMBER(A1112),A1113&lt;A1112),"Date hors ordre","OK"))))))))</f>
        <v/>
      </c>
      <c r="M1113" s="39" t="str">
        <f>IF(C1113="","",C1113&amp;"#"&amp;COUNTIF($C$5:C1113,C1113))</f>
        <v/>
      </c>
    </row>
    <row r="1114">
      <c r="A1114" s="41" t="n"/>
      <c r="B1114" s="37" t="n"/>
      <c r="C1114" s="37" t="n"/>
      <c r="D1114" s="39" t="str">
        <f>IF(C1114="","",IFERROR(INDEX(art_des,MATCH(C1114,art_ref,0))&amp;"","Référence inconnue"))</f>
        <v/>
      </c>
      <c r="E1114" s="37" t="n"/>
      <c r="F1114" s="39" t="str">
        <f>IF(C1114="","",IFERROR(INDEX(art_unit,MATCH(C1114,art_ref,0))&amp;"",""))</f>
        <v/>
      </c>
      <c r="G1114" s="37" t="n"/>
      <c r="H1114" s="37" t="n"/>
      <c r="I1114" s="37" t="n"/>
      <c r="J1114" s="40" t="str">
        <f>IF(OR(C1114="",NOT(ISNUMBER(E1114))),"",IFERROR(E1114*N(INDEX(art_price,MATCH(C1114,art_ref,0))),""))</f>
        <v/>
      </c>
      <c r="K1114" s="39" t="str">
        <f>IF(OR(C1114="",NOT(ISNUMBER(E1114))),"",IFERROR(ROUND(N(INDEX(art_init,MATCH(C1114,art_ref,0)))+SUMIFS($E$5:E1114,$C$5:C1114,C1114,$B$5:B1114,"Entrée")-SUMIFS($E$5:E1114,$C$5:C1114,C1114,$B$5:B1114,"Sortie"),6),""))</f>
        <v/>
      </c>
      <c r="L1114" s="39" t="str">
        <f>IF(COUNTA(A1114:C1114,E1114)=0,"",IF(COUNTA(A1114:C1114,E1114)&lt;4,"Ligne incomplète",IF(NOT(ISNUMBER(A1114)),"Date invalide",IF(AND(B1114&lt;&gt;"Entrée",B1114&lt;&gt;"Sortie"),"Type inconnu",IF(ISNA(MATCH(C1114,art_ref,0)),"Référence inconnue",IF(OR(NOT(ISNUMBER(E1114)),N(E1114)&lt;=0),"Quantité invalide",IF(K1114&lt;0,"Stock négatif",IF(AND(ISNUMBER(A1113),A1114&lt;A1113),"Date hors ordre","OK"))))))))</f>
        <v/>
      </c>
      <c r="M1114" s="39" t="str">
        <f>IF(C1114="","",C1114&amp;"#"&amp;COUNTIF($C$5:C1114,C1114))</f>
        <v/>
      </c>
    </row>
    <row r="1115">
      <c r="A1115" s="41" t="n"/>
      <c r="B1115" s="37" t="n"/>
      <c r="C1115" s="37" t="n"/>
      <c r="D1115" s="39" t="str">
        <f>IF(C1115="","",IFERROR(INDEX(art_des,MATCH(C1115,art_ref,0))&amp;"","Référence inconnue"))</f>
        <v/>
      </c>
      <c r="E1115" s="37" t="n"/>
      <c r="F1115" s="39" t="str">
        <f>IF(C1115="","",IFERROR(INDEX(art_unit,MATCH(C1115,art_ref,0))&amp;"",""))</f>
        <v/>
      </c>
      <c r="G1115" s="37" t="n"/>
      <c r="H1115" s="37" t="n"/>
      <c r="I1115" s="37" t="n"/>
      <c r="J1115" s="40" t="str">
        <f>IF(OR(C1115="",NOT(ISNUMBER(E1115))),"",IFERROR(E1115*N(INDEX(art_price,MATCH(C1115,art_ref,0))),""))</f>
        <v/>
      </c>
      <c r="K1115" s="39" t="str">
        <f>IF(OR(C1115="",NOT(ISNUMBER(E1115))),"",IFERROR(ROUND(N(INDEX(art_init,MATCH(C1115,art_ref,0)))+SUMIFS($E$5:E1115,$C$5:C1115,C1115,$B$5:B1115,"Entrée")-SUMIFS($E$5:E1115,$C$5:C1115,C1115,$B$5:B1115,"Sortie"),6),""))</f>
        <v/>
      </c>
      <c r="L1115" s="39" t="str">
        <f>IF(COUNTA(A1115:C1115,E1115)=0,"",IF(COUNTA(A1115:C1115,E1115)&lt;4,"Ligne incomplète",IF(NOT(ISNUMBER(A1115)),"Date invalide",IF(AND(B1115&lt;&gt;"Entrée",B1115&lt;&gt;"Sortie"),"Type inconnu",IF(ISNA(MATCH(C1115,art_ref,0)),"Référence inconnue",IF(OR(NOT(ISNUMBER(E1115)),N(E1115)&lt;=0),"Quantité invalide",IF(K1115&lt;0,"Stock négatif",IF(AND(ISNUMBER(A1114),A1115&lt;A1114),"Date hors ordre","OK"))))))))</f>
        <v/>
      </c>
      <c r="M1115" s="39" t="str">
        <f>IF(C1115="","",C1115&amp;"#"&amp;COUNTIF($C$5:C1115,C1115))</f>
        <v/>
      </c>
    </row>
    <row r="1116">
      <c r="A1116" s="41" t="n"/>
      <c r="B1116" s="37" t="n"/>
      <c r="C1116" s="37" t="n"/>
      <c r="D1116" s="39" t="str">
        <f>IF(C1116="","",IFERROR(INDEX(art_des,MATCH(C1116,art_ref,0))&amp;"","Référence inconnue"))</f>
        <v/>
      </c>
      <c r="E1116" s="37" t="n"/>
      <c r="F1116" s="39" t="str">
        <f>IF(C1116="","",IFERROR(INDEX(art_unit,MATCH(C1116,art_ref,0))&amp;"",""))</f>
        <v/>
      </c>
      <c r="G1116" s="37" t="n"/>
      <c r="H1116" s="37" t="n"/>
      <c r="I1116" s="37" t="n"/>
      <c r="J1116" s="40" t="str">
        <f>IF(OR(C1116="",NOT(ISNUMBER(E1116))),"",IFERROR(E1116*N(INDEX(art_price,MATCH(C1116,art_ref,0))),""))</f>
        <v/>
      </c>
      <c r="K1116" s="39" t="str">
        <f>IF(OR(C1116="",NOT(ISNUMBER(E1116))),"",IFERROR(ROUND(N(INDEX(art_init,MATCH(C1116,art_ref,0)))+SUMIFS($E$5:E1116,$C$5:C1116,C1116,$B$5:B1116,"Entrée")-SUMIFS($E$5:E1116,$C$5:C1116,C1116,$B$5:B1116,"Sortie"),6),""))</f>
        <v/>
      </c>
      <c r="L1116" s="39" t="str">
        <f>IF(COUNTA(A1116:C1116,E1116)=0,"",IF(COUNTA(A1116:C1116,E1116)&lt;4,"Ligne incomplète",IF(NOT(ISNUMBER(A1116)),"Date invalide",IF(AND(B1116&lt;&gt;"Entrée",B1116&lt;&gt;"Sortie"),"Type inconnu",IF(ISNA(MATCH(C1116,art_ref,0)),"Référence inconnue",IF(OR(NOT(ISNUMBER(E1116)),N(E1116)&lt;=0),"Quantité invalide",IF(K1116&lt;0,"Stock négatif",IF(AND(ISNUMBER(A1115),A1116&lt;A1115),"Date hors ordre","OK"))))))))</f>
        <v/>
      </c>
      <c r="M1116" s="39" t="str">
        <f>IF(C1116="","",C1116&amp;"#"&amp;COUNTIF($C$5:C1116,C1116))</f>
        <v/>
      </c>
    </row>
    <row r="1117">
      <c r="A1117" s="41" t="n"/>
      <c r="B1117" s="37" t="n"/>
      <c r="C1117" s="37" t="n"/>
      <c r="D1117" s="39" t="str">
        <f>IF(C1117="","",IFERROR(INDEX(art_des,MATCH(C1117,art_ref,0))&amp;"","Référence inconnue"))</f>
        <v/>
      </c>
      <c r="E1117" s="37" t="n"/>
      <c r="F1117" s="39" t="str">
        <f>IF(C1117="","",IFERROR(INDEX(art_unit,MATCH(C1117,art_ref,0))&amp;"",""))</f>
        <v/>
      </c>
      <c r="G1117" s="37" t="n"/>
      <c r="H1117" s="37" t="n"/>
      <c r="I1117" s="37" t="n"/>
      <c r="J1117" s="40" t="str">
        <f>IF(OR(C1117="",NOT(ISNUMBER(E1117))),"",IFERROR(E1117*N(INDEX(art_price,MATCH(C1117,art_ref,0))),""))</f>
        <v/>
      </c>
      <c r="K1117" s="39" t="str">
        <f>IF(OR(C1117="",NOT(ISNUMBER(E1117))),"",IFERROR(ROUND(N(INDEX(art_init,MATCH(C1117,art_ref,0)))+SUMIFS($E$5:E1117,$C$5:C1117,C1117,$B$5:B1117,"Entrée")-SUMIFS($E$5:E1117,$C$5:C1117,C1117,$B$5:B1117,"Sortie"),6),""))</f>
        <v/>
      </c>
      <c r="L1117" s="39" t="str">
        <f>IF(COUNTA(A1117:C1117,E1117)=0,"",IF(COUNTA(A1117:C1117,E1117)&lt;4,"Ligne incomplète",IF(NOT(ISNUMBER(A1117)),"Date invalide",IF(AND(B1117&lt;&gt;"Entrée",B1117&lt;&gt;"Sortie"),"Type inconnu",IF(ISNA(MATCH(C1117,art_ref,0)),"Référence inconnue",IF(OR(NOT(ISNUMBER(E1117)),N(E1117)&lt;=0),"Quantité invalide",IF(K1117&lt;0,"Stock négatif",IF(AND(ISNUMBER(A1116),A1117&lt;A1116),"Date hors ordre","OK"))))))))</f>
        <v/>
      </c>
      <c r="M1117" s="39" t="str">
        <f>IF(C1117="","",C1117&amp;"#"&amp;COUNTIF($C$5:C1117,C1117))</f>
        <v/>
      </c>
    </row>
    <row r="1118">
      <c r="A1118" s="41" t="n"/>
      <c r="B1118" s="37" t="n"/>
      <c r="C1118" s="37" t="n"/>
      <c r="D1118" s="39" t="str">
        <f>IF(C1118="","",IFERROR(INDEX(art_des,MATCH(C1118,art_ref,0))&amp;"","Référence inconnue"))</f>
        <v/>
      </c>
      <c r="E1118" s="37" t="n"/>
      <c r="F1118" s="39" t="str">
        <f>IF(C1118="","",IFERROR(INDEX(art_unit,MATCH(C1118,art_ref,0))&amp;"",""))</f>
        <v/>
      </c>
      <c r="G1118" s="37" t="n"/>
      <c r="H1118" s="37" t="n"/>
      <c r="I1118" s="37" t="n"/>
      <c r="J1118" s="40" t="str">
        <f>IF(OR(C1118="",NOT(ISNUMBER(E1118))),"",IFERROR(E1118*N(INDEX(art_price,MATCH(C1118,art_ref,0))),""))</f>
        <v/>
      </c>
      <c r="K1118" s="39" t="str">
        <f>IF(OR(C1118="",NOT(ISNUMBER(E1118))),"",IFERROR(ROUND(N(INDEX(art_init,MATCH(C1118,art_ref,0)))+SUMIFS($E$5:E1118,$C$5:C1118,C1118,$B$5:B1118,"Entrée")-SUMIFS($E$5:E1118,$C$5:C1118,C1118,$B$5:B1118,"Sortie"),6),""))</f>
        <v/>
      </c>
      <c r="L1118" s="39" t="str">
        <f>IF(COUNTA(A1118:C1118,E1118)=0,"",IF(COUNTA(A1118:C1118,E1118)&lt;4,"Ligne incomplète",IF(NOT(ISNUMBER(A1118)),"Date invalide",IF(AND(B1118&lt;&gt;"Entrée",B1118&lt;&gt;"Sortie"),"Type inconnu",IF(ISNA(MATCH(C1118,art_ref,0)),"Référence inconnue",IF(OR(NOT(ISNUMBER(E1118)),N(E1118)&lt;=0),"Quantité invalide",IF(K1118&lt;0,"Stock négatif",IF(AND(ISNUMBER(A1117),A1118&lt;A1117),"Date hors ordre","OK"))))))))</f>
        <v/>
      </c>
      <c r="M1118" s="39" t="str">
        <f>IF(C1118="","",C1118&amp;"#"&amp;COUNTIF($C$5:C1118,C1118))</f>
        <v/>
      </c>
    </row>
    <row r="1119">
      <c r="A1119" s="41" t="n"/>
      <c r="B1119" s="37" t="n"/>
      <c r="C1119" s="37" t="n"/>
      <c r="D1119" s="39" t="str">
        <f>IF(C1119="","",IFERROR(INDEX(art_des,MATCH(C1119,art_ref,0))&amp;"","Référence inconnue"))</f>
        <v/>
      </c>
      <c r="E1119" s="37" t="n"/>
      <c r="F1119" s="39" t="str">
        <f>IF(C1119="","",IFERROR(INDEX(art_unit,MATCH(C1119,art_ref,0))&amp;"",""))</f>
        <v/>
      </c>
      <c r="G1119" s="37" t="n"/>
      <c r="H1119" s="37" t="n"/>
      <c r="I1119" s="37" t="n"/>
      <c r="J1119" s="40" t="str">
        <f>IF(OR(C1119="",NOT(ISNUMBER(E1119))),"",IFERROR(E1119*N(INDEX(art_price,MATCH(C1119,art_ref,0))),""))</f>
        <v/>
      </c>
      <c r="K1119" s="39" t="str">
        <f>IF(OR(C1119="",NOT(ISNUMBER(E1119))),"",IFERROR(ROUND(N(INDEX(art_init,MATCH(C1119,art_ref,0)))+SUMIFS($E$5:E1119,$C$5:C1119,C1119,$B$5:B1119,"Entrée")-SUMIFS($E$5:E1119,$C$5:C1119,C1119,$B$5:B1119,"Sortie"),6),""))</f>
        <v/>
      </c>
      <c r="L1119" s="39" t="str">
        <f>IF(COUNTA(A1119:C1119,E1119)=0,"",IF(COUNTA(A1119:C1119,E1119)&lt;4,"Ligne incomplète",IF(NOT(ISNUMBER(A1119)),"Date invalide",IF(AND(B1119&lt;&gt;"Entrée",B1119&lt;&gt;"Sortie"),"Type inconnu",IF(ISNA(MATCH(C1119,art_ref,0)),"Référence inconnue",IF(OR(NOT(ISNUMBER(E1119)),N(E1119)&lt;=0),"Quantité invalide",IF(K1119&lt;0,"Stock négatif",IF(AND(ISNUMBER(A1118),A1119&lt;A1118),"Date hors ordre","OK"))))))))</f>
        <v/>
      </c>
      <c r="M1119" s="39" t="str">
        <f>IF(C1119="","",C1119&amp;"#"&amp;COUNTIF($C$5:C1119,C1119))</f>
        <v/>
      </c>
    </row>
    <row r="1120">
      <c r="A1120" s="41" t="n"/>
      <c r="B1120" s="37" t="n"/>
      <c r="C1120" s="37" t="n"/>
      <c r="D1120" s="39" t="str">
        <f>IF(C1120="","",IFERROR(INDEX(art_des,MATCH(C1120,art_ref,0))&amp;"","Référence inconnue"))</f>
        <v/>
      </c>
      <c r="E1120" s="37" t="n"/>
      <c r="F1120" s="39" t="str">
        <f>IF(C1120="","",IFERROR(INDEX(art_unit,MATCH(C1120,art_ref,0))&amp;"",""))</f>
        <v/>
      </c>
      <c r="G1120" s="37" t="n"/>
      <c r="H1120" s="37" t="n"/>
      <c r="I1120" s="37" t="n"/>
      <c r="J1120" s="40" t="str">
        <f>IF(OR(C1120="",NOT(ISNUMBER(E1120))),"",IFERROR(E1120*N(INDEX(art_price,MATCH(C1120,art_ref,0))),""))</f>
        <v/>
      </c>
      <c r="K1120" s="39" t="str">
        <f>IF(OR(C1120="",NOT(ISNUMBER(E1120))),"",IFERROR(ROUND(N(INDEX(art_init,MATCH(C1120,art_ref,0)))+SUMIFS($E$5:E1120,$C$5:C1120,C1120,$B$5:B1120,"Entrée")-SUMIFS($E$5:E1120,$C$5:C1120,C1120,$B$5:B1120,"Sortie"),6),""))</f>
        <v/>
      </c>
      <c r="L1120" s="39" t="str">
        <f>IF(COUNTA(A1120:C1120,E1120)=0,"",IF(COUNTA(A1120:C1120,E1120)&lt;4,"Ligne incomplète",IF(NOT(ISNUMBER(A1120)),"Date invalide",IF(AND(B1120&lt;&gt;"Entrée",B1120&lt;&gt;"Sortie"),"Type inconnu",IF(ISNA(MATCH(C1120,art_ref,0)),"Référence inconnue",IF(OR(NOT(ISNUMBER(E1120)),N(E1120)&lt;=0),"Quantité invalide",IF(K1120&lt;0,"Stock négatif",IF(AND(ISNUMBER(A1119),A1120&lt;A1119),"Date hors ordre","OK"))))))))</f>
        <v/>
      </c>
      <c r="M1120" s="39" t="str">
        <f>IF(C1120="","",C1120&amp;"#"&amp;COUNTIF($C$5:C1120,C1120))</f>
        <v/>
      </c>
    </row>
    <row r="1121">
      <c r="A1121" s="41" t="n"/>
      <c r="B1121" s="37" t="n"/>
      <c r="C1121" s="37" t="n"/>
      <c r="D1121" s="39" t="str">
        <f>IF(C1121="","",IFERROR(INDEX(art_des,MATCH(C1121,art_ref,0))&amp;"","Référence inconnue"))</f>
        <v/>
      </c>
      <c r="E1121" s="37" t="n"/>
      <c r="F1121" s="39" t="str">
        <f>IF(C1121="","",IFERROR(INDEX(art_unit,MATCH(C1121,art_ref,0))&amp;"",""))</f>
        <v/>
      </c>
      <c r="G1121" s="37" t="n"/>
      <c r="H1121" s="37" t="n"/>
      <c r="I1121" s="37" t="n"/>
      <c r="J1121" s="40" t="str">
        <f>IF(OR(C1121="",NOT(ISNUMBER(E1121))),"",IFERROR(E1121*N(INDEX(art_price,MATCH(C1121,art_ref,0))),""))</f>
        <v/>
      </c>
      <c r="K1121" s="39" t="str">
        <f>IF(OR(C1121="",NOT(ISNUMBER(E1121))),"",IFERROR(ROUND(N(INDEX(art_init,MATCH(C1121,art_ref,0)))+SUMIFS($E$5:E1121,$C$5:C1121,C1121,$B$5:B1121,"Entrée")-SUMIFS($E$5:E1121,$C$5:C1121,C1121,$B$5:B1121,"Sortie"),6),""))</f>
        <v/>
      </c>
      <c r="L1121" s="39" t="str">
        <f>IF(COUNTA(A1121:C1121,E1121)=0,"",IF(COUNTA(A1121:C1121,E1121)&lt;4,"Ligne incomplète",IF(NOT(ISNUMBER(A1121)),"Date invalide",IF(AND(B1121&lt;&gt;"Entrée",B1121&lt;&gt;"Sortie"),"Type inconnu",IF(ISNA(MATCH(C1121,art_ref,0)),"Référence inconnue",IF(OR(NOT(ISNUMBER(E1121)),N(E1121)&lt;=0),"Quantité invalide",IF(K1121&lt;0,"Stock négatif",IF(AND(ISNUMBER(A1120),A1121&lt;A1120),"Date hors ordre","OK"))))))))</f>
        <v/>
      </c>
      <c r="M1121" s="39" t="str">
        <f>IF(C1121="","",C1121&amp;"#"&amp;COUNTIF($C$5:C1121,C1121))</f>
        <v/>
      </c>
    </row>
    <row r="1122">
      <c r="A1122" s="41" t="n"/>
      <c r="B1122" s="37" t="n"/>
      <c r="C1122" s="37" t="n"/>
      <c r="D1122" s="39" t="str">
        <f>IF(C1122="","",IFERROR(INDEX(art_des,MATCH(C1122,art_ref,0))&amp;"","Référence inconnue"))</f>
        <v/>
      </c>
      <c r="E1122" s="37" t="n"/>
      <c r="F1122" s="39" t="str">
        <f>IF(C1122="","",IFERROR(INDEX(art_unit,MATCH(C1122,art_ref,0))&amp;"",""))</f>
        <v/>
      </c>
      <c r="G1122" s="37" t="n"/>
      <c r="H1122" s="37" t="n"/>
      <c r="I1122" s="37" t="n"/>
      <c r="J1122" s="40" t="str">
        <f>IF(OR(C1122="",NOT(ISNUMBER(E1122))),"",IFERROR(E1122*N(INDEX(art_price,MATCH(C1122,art_ref,0))),""))</f>
        <v/>
      </c>
      <c r="K1122" s="39" t="str">
        <f>IF(OR(C1122="",NOT(ISNUMBER(E1122))),"",IFERROR(ROUND(N(INDEX(art_init,MATCH(C1122,art_ref,0)))+SUMIFS($E$5:E1122,$C$5:C1122,C1122,$B$5:B1122,"Entrée")-SUMIFS($E$5:E1122,$C$5:C1122,C1122,$B$5:B1122,"Sortie"),6),""))</f>
        <v/>
      </c>
      <c r="L1122" s="39" t="str">
        <f>IF(COUNTA(A1122:C1122,E1122)=0,"",IF(COUNTA(A1122:C1122,E1122)&lt;4,"Ligne incomplète",IF(NOT(ISNUMBER(A1122)),"Date invalide",IF(AND(B1122&lt;&gt;"Entrée",B1122&lt;&gt;"Sortie"),"Type inconnu",IF(ISNA(MATCH(C1122,art_ref,0)),"Référence inconnue",IF(OR(NOT(ISNUMBER(E1122)),N(E1122)&lt;=0),"Quantité invalide",IF(K1122&lt;0,"Stock négatif",IF(AND(ISNUMBER(A1121),A1122&lt;A1121),"Date hors ordre","OK"))))))))</f>
        <v/>
      </c>
      <c r="M1122" s="39" t="str">
        <f>IF(C1122="","",C1122&amp;"#"&amp;COUNTIF($C$5:C1122,C1122))</f>
        <v/>
      </c>
    </row>
    <row r="1123">
      <c r="A1123" s="41" t="n"/>
      <c r="B1123" s="37" t="n"/>
      <c r="C1123" s="37" t="n"/>
      <c r="D1123" s="39" t="str">
        <f>IF(C1123="","",IFERROR(INDEX(art_des,MATCH(C1123,art_ref,0))&amp;"","Référence inconnue"))</f>
        <v/>
      </c>
      <c r="E1123" s="37" t="n"/>
      <c r="F1123" s="39" t="str">
        <f>IF(C1123="","",IFERROR(INDEX(art_unit,MATCH(C1123,art_ref,0))&amp;"",""))</f>
        <v/>
      </c>
      <c r="G1123" s="37" t="n"/>
      <c r="H1123" s="37" t="n"/>
      <c r="I1123" s="37" t="n"/>
      <c r="J1123" s="40" t="str">
        <f>IF(OR(C1123="",NOT(ISNUMBER(E1123))),"",IFERROR(E1123*N(INDEX(art_price,MATCH(C1123,art_ref,0))),""))</f>
        <v/>
      </c>
      <c r="K1123" s="39" t="str">
        <f>IF(OR(C1123="",NOT(ISNUMBER(E1123))),"",IFERROR(ROUND(N(INDEX(art_init,MATCH(C1123,art_ref,0)))+SUMIFS($E$5:E1123,$C$5:C1123,C1123,$B$5:B1123,"Entrée")-SUMIFS($E$5:E1123,$C$5:C1123,C1123,$B$5:B1123,"Sortie"),6),""))</f>
        <v/>
      </c>
      <c r="L1123" s="39" t="str">
        <f>IF(COUNTA(A1123:C1123,E1123)=0,"",IF(COUNTA(A1123:C1123,E1123)&lt;4,"Ligne incomplète",IF(NOT(ISNUMBER(A1123)),"Date invalide",IF(AND(B1123&lt;&gt;"Entrée",B1123&lt;&gt;"Sortie"),"Type inconnu",IF(ISNA(MATCH(C1123,art_ref,0)),"Référence inconnue",IF(OR(NOT(ISNUMBER(E1123)),N(E1123)&lt;=0),"Quantité invalide",IF(K1123&lt;0,"Stock négatif",IF(AND(ISNUMBER(A1122),A1123&lt;A1122),"Date hors ordre","OK"))))))))</f>
        <v/>
      </c>
      <c r="M1123" s="39" t="str">
        <f>IF(C1123="","",C1123&amp;"#"&amp;COUNTIF($C$5:C1123,C1123))</f>
        <v/>
      </c>
    </row>
    <row r="1124">
      <c r="A1124" s="41" t="n"/>
      <c r="B1124" s="37" t="n"/>
      <c r="C1124" s="37" t="n"/>
      <c r="D1124" s="39" t="str">
        <f>IF(C1124="","",IFERROR(INDEX(art_des,MATCH(C1124,art_ref,0))&amp;"","Référence inconnue"))</f>
        <v/>
      </c>
      <c r="E1124" s="37" t="n"/>
      <c r="F1124" s="39" t="str">
        <f>IF(C1124="","",IFERROR(INDEX(art_unit,MATCH(C1124,art_ref,0))&amp;"",""))</f>
        <v/>
      </c>
      <c r="G1124" s="37" t="n"/>
      <c r="H1124" s="37" t="n"/>
      <c r="I1124" s="37" t="n"/>
      <c r="J1124" s="40" t="str">
        <f>IF(OR(C1124="",NOT(ISNUMBER(E1124))),"",IFERROR(E1124*N(INDEX(art_price,MATCH(C1124,art_ref,0))),""))</f>
        <v/>
      </c>
      <c r="K1124" s="39" t="str">
        <f>IF(OR(C1124="",NOT(ISNUMBER(E1124))),"",IFERROR(ROUND(N(INDEX(art_init,MATCH(C1124,art_ref,0)))+SUMIFS($E$5:E1124,$C$5:C1124,C1124,$B$5:B1124,"Entrée")-SUMIFS($E$5:E1124,$C$5:C1124,C1124,$B$5:B1124,"Sortie"),6),""))</f>
        <v/>
      </c>
      <c r="L1124" s="39" t="str">
        <f>IF(COUNTA(A1124:C1124,E1124)=0,"",IF(COUNTA(A1124:C1124,E1124)&lt;4,"Ligne incomplète",IF(NOT(ISNUMBER(A1124)),"Date invalide",IF(AND(B1124&lt;&gt;"Entrée",B1124&lt;&gt;"Sortie"),"Type inconnu",IF(ISNA(MATCH(C1124,art_ref,0)),"Référence inconnue",IF(OR(NOT(ISNUMBER(E1124)),N(E1124)&lt;=0),"Quantité invalide",IF(K1124&lt;0,"Stock négatif",IF(AND(ISNUMBER(A1123),A1124&lt;A1123),"Date hors ordre","OK"))))))))</f>
        <v/>
      </c>
      <c r="M1124" s="39" t="str">
        <f>IF(C1124="","",C1124&amp;"#"&amp;COUNTIF($C$5:C1124,C1124))</f>
        <v/>
      </c>
    </row>
    <row r="1125">
      <c r="A1125" s="41" t="n"/>
      <c r="B1125" s="37" t="n"/>
      <c r="C1125" s="37" t="n"/>
      <c r="D1125" s="39" t="str">
        <f>IF(C1125="","",IFERROR(INDEX(art_des,MATCH(C1125,art_ref,0))&amp;"","Référence inconnue"))</f>
        <v/>
      </c>
      <c r="E1125" s="37" t="n"/>
      <c r="F1125" s="39" t="str">
        <f>IF(C1125="","",IFERROR(INDEX(art_unit,MATCH(C1125,art_ref,0))&amp;"",""))</f>
        <v/>
      </c>
      <c r="G1125" s="37" t="n"/>
      <c r="H1125" s="37" t="n"/>
      <c r="I1125" s="37" t="n"/>
      <c r="J1125" s="40" t="str">
        <f>IF(OR(C1125="",NOT(ISNUMBER(E1125))),"",IFERROR(E1125*N(INDEX(art_price,MATCH(C1125,art_ref,0))),""))</f>
        <v/>
      </c>
      <c r="K1125" s="39" t="str">
        <f>IF(OR(C1125="",NOT(ISNUMBER(E1125))),"",IFERROR(ROUND(N(INDEX(art_init,MATCH(C1125,art_ref,0)))+SUMIFS($E$5:E1125,$C$5:C1125,C1125,$B$5:B1125,"Entrée")-SUMIFS($E$5:E1125,$C$5:C1125,C1125,$B$5:B1125,"Sortie"),6),""))</f>
        <v/>
      </c>
      <c r="L1125" s="39" t="str">
        <f>IF(COUNTA(A1125:C1125,E1125)=0,"",IF(COUNTA(A1125:C1125,E1125)&lt;4,"Ligne incomplète",IF(NOT(ISNUMBER(A1125)),"Date invalide",IF(AND(B1125&lt;&gt;"Entrée",B1125&lt;&gt;"Sortie"),"Type inconnu",IF(ISNA(MATCH(C1125,art_ref,0)),"Référence inconnue",IF(OR(NOT(ISNUMBER(E1125)),N(E1125)&lt;=0),"Quantité invalide",IF(K1125&lt;0,"Stock négatif",IF(AND(ISNUMBER(A1124),A1125&lt;A1124),"Date hors ordre","OK"))))))))</f>
        <v/>
      </c>
      <c r="M1125" s="39" t="str">
        <f>IF(C1125="","",C1125&amp;"#"&amp;COUNTIF($C$5:C1125,C1125))</f>
        <v/>
      </c>
    </row>
    <row r="1126">
      <c r="A1126" s="41" t="n"/>
      <c r="B1126" s="37" t="n"/>
      <c r="C1126" s="37" t="n"/>
      <c r="D1126" s="39" t="str">
        <f>IF(C1126="","",IFERROR(INDEX(art_des,MATCH(C1126,art_ref,0))&amp;"","Référence inconnue"))</f>
        <v/>
      </c>
      <c r="E1126" s="37" t="n"/>
      <c r="F1126" s="39" t="str">
        <f>IF(C1126="","",IFERROR(INDEX(art_unit,MATCH(C1126,art_ref,0))&amp;"",""))</f>
        <v/>
      </c>
      <c r="G1126" s="37" t="n"/>
      <c r="H1126" s="37" t="n"/>
      <c r="I1126" s="37" t="n"/>
      <c r="J1126" s="40" t="str">
        <f>IF(OR(C1126="",NOT(ISNUMBER(E1126))),"",IFERROR(E1126*N(INDEX(art_price,MATCH(C1126,art_ref,0))),""))</f>
        <v/>
      </c>
      <c r="K1126" s="39" t="str">
        <f>IF(OR(C1126="",NOT(ISNUMBER(E1126))),"",IFERROR(ROUND(N(INDEX(art_init,MATCH(C1126,art_ref,0)))+SUMIFS($E$5:E1126,$C$5:C1126,C1126,$B$5:B1126,"Entrée")-SUMIFS($E$5:E1126,$C$5:C1126,C1126,$B$5:B1126,"Sortie"),6),""))</f>
        <v/>
      </c>
      <c r="L1126" s="39" t="str">
        <f>IF(COUNTA(A1126:C1126,E1126)=0,"",IF(COUNTA(A1126:C1126,E1126)&lt;4,"Ligne incomplète",IF(NOT(ISNUMBER(A1126)),"Date invalide",IF(AND(B1126&lt;&gt;"Entrée",B1126&lt;&gt;"Sortie"),"Type inconnu",IF(ISNA(MATCH(C1126,art_ref,0)),"Référence inconnue",IF(OR(NOT(ISNUMBER(E1126)),N(E1126)&lt;=0),"Quantité invalide",IF(K1126&lt;0,"Stock négatif",IF(AND(ISNUMBER(A1125),A1126&lt;A1125),"Date hors ordre","OK"))))))))</f>
        <v/>
      </c>
      <c r="M1126" s="39" t="str">
        <f>IF(C1126="","",C1126&amp;"#"&amp;COUNTIF($C$5:C1126,C1126))</f>
        <v/>
      </c>
    </row>
    <row r="1127">
      <c r="A1127" s="41" t="n"/>
      <c r="B1127" s="37" t="n"/>
      <c r="C1127" s="37" t="n"/>
      <c r="D1127" s="39" t="str">
        <f>IF(C1127="","",IFERROR(INDEX(art_des,MATCH(C1127,art_ref,0))&amp;"","Référence inconnue"))</f>
        <v/>
      </c>
      <c r="E1127" s="37" t="n"/>
      <c r="F1127" s="39" t="str">
        <f>IF(C1127="","",IFERROR(INDEX(art_unit,MATCH(C1127,art_ref,0))&amp;"",""))</f>
        <v/>
      </c>
      <c r="G1127" s="37" t="n"/>
      <c r="H1127" s="37" t="n"/>
      <c r="I1127" s="37" t="n"/>
      <c r="J1127" s="40" t="str">
        <f>IF(OR(C1127="",NOT(ISNUMBER(E1127))),"",IFERROR(E1127*N(INDEX(art_price,MATCH(C1127,art_ref,0))),""))</f>
        <v/>
      </c>
      <c r="K1127" s="39" t="str">
        <f>IF(OR(C1127="",NOT(ISNUMBER(E1127))),"",IFERROR(ROUND(N(INDEX(art_init,MATCH(C1127,art_ref,0)))+SUMIFS($E$5:E1127,$C$5:C1127,C1127,$B$5:B1127,"Entrée")-SUMIFS($E$5:E1127,$C$5:C1127,C1127,$B$5:B1127,"Sortie"),6),""))</f>
        <v/>
      </c>
      <c r="L1127" s="39" t="str">
        <f>IF(COUNTA(A1127:C1127,E1127)=0,"",IF(COUNTA(A1127:C1127,E1127)&lt;4,"Ligne incomplète",IF(NOT(ISNUMBER(A1127)),"Date invalide",IF(AND(B1127&lt;&gt;"Entrée",B1127&lt;&gt;"Sortie"),"Type inconnu",IF(ISNA(MATCH(C1127,art_ref,0)),"Référence inconnue",IF(OR(NOT(ISNUMBER(E1127)),N(E1127)&lt;=0),"Quantité invalide",IF(K1127&lt;0,"Stock négatif",IF(AND(ISNUMBER(A1126),A1127&lt;A1126),"Date hors ordre","OK"))))))))</f>
        <v/>
      </c>
      <c r="M1127" s="39" t="str">
        <f>IF(C1127="","",C1127&amp;"#"&amp;COUNTIF($C$5:C1127,C1127))</f>
        <v/>
      </c>
    </row>
    <row r="1128">
      <c r="A1128" s="41" t="n"/>
      <c r="B1128" s="37" t="n"/>
      <c r="C1128" s="37" t="n"/>
      <c r="D1128" s="39" t="str">
        <f>IF(C1128="","",IFERROR(INDEX(art_des,MATCH(C1128,art_ref,0))&amp;"","Référence inconnue"))</f>
        <v/>
      </c>
      <c r="E1128" s="37" t="n"/>
      <c r="F1128" s="39" t="str">
        <f>IF(C1128="","",IFERROR(INDEX(art_unit,MATCH(C1128,art_ref,0))&amp;"",""))</f>
        <v/>
      </c>
      <c r="G1128" s="37" t="n"/>
      <c r="H1128" s="37" t="n"/>
      <c r="I1128" s="37" t="n"/>
      <c r="J1128" s="40" t="str">
        <f>IF(OR(C1128="",NOT(ISNUMBER(E1128))),"",IFERROR(E1128*N(INDEX(art_price,MATCH(C1128,art_ref,0))),""))</f>
        <v/>
      </c>
      <c r="K1128" s="39" t="str">
        <f>IF(OR(C1128="",NOT(ISNUMBER(E1128))),"",IFERROR(ROUND(N(INDEX(art_init,MATCH(C1128,art_ref,0)))+SUMIFS($E$5:E1128,$C$5:C1128,C1128,$B$5:B1128,"Entrée")-SUMIFS($E$5:E1128,$C$5:C1128,C1128,$B$5:B1128,"Sortie"),6),""))</f>
        <v/>
      </c>
      <c r="L1128" s="39" t="str">
        <f>IF(COUNTA(A1128:C1128,E1128)=0,"",IF(COUNTA(A1128:C1128,E1128)&lt;4,"Ligne incomplète",IF(NOT(ISNUMBER(A1128)),"Date invalide",IF(AND(B1128&lt;&gt;"Entrée",B1128&lt;&gt;"Sortie"),"Type inconnu",IF(ISNA(MATCH(C1128,art_ref,0)),"Référence inconnue",IF(OR(NOT(ISNUMBER(E1128)),N(E1128)&lt;=0),"Quantité invalide",IF(K1128&lt;0,"Stock négatif",IF(AND(ISNUMBER(A1127),A1128&lt;A1127),"Date hors ordre","OK"))))))))</f>
        <v/>
      </c>
      <c r="M1128" s="39" t="str">
        <f>IF(C1128="","",C1128&amp;"#"&amp;COUNTIF($C$5:C1128,C1128))</f>
        <v/>
      </c>
    </row>
    <row r="1129">
      <c r="A1129" s="41" t="n"/>
      <c r="B1129" s="37" t="n"/>
      <c r="C1129" s="37" t="n"/>
      <c r="D1129" s="39" t="str">
        <f>IF(C1129="","",IFERROR(INDEX(art_des,MATCH(C1129,art_ref,0))&amp;"","Référence inconnue"))</f>
        <v/>
      </c>
      <c r="E1129" s="37" t="n"/>
      <c r="F1129" s="39" t="str">
        <f>IF(C1129="","",IFERROR(INDEX(art_unit,MATCH(C1129,art_ref,0))&amp;"",""))</f>
        <v/>
      </c>
      <c r="G1129" s="37" t="n"/>
      <c r="H1129" s="37" t="n"/>
      <c r="I1129" s="37" t="n"/>
      <c r="J1129" s="40" t="str">
        <f>IF(OR(C1129="",NOT(ISNUMBER(E1129))),"",IFERROR(E1129*N(INDEX(art_price,MATCH(C1129,art_ref,0))),""))</f>
        <v/>
      </c>
      <c r="K1129" s="39" t="str">
        <f>IF(OR(C1129="",NOT(ISNUMBER(E1129))),"",IFERROR(ROUND(N(INDEX(art_init,MATCH(C1129,art_ref,0)))+SUMIFS($E$5:E1129,$C$5:C1129,C1129,$B$5:B1129,"Entrée")-SUMIFS($E$5:E1129,$C$5:C1129,C1129,$B$5:B1129,"Sortie"),6),""))</f>
        <v/>
      </c>
      <c r="L1129" s="39" t="str">
        <f>IF(COUNTA(A1129:C1129,E1129)=0,"",IF(COUNTA(A1129:C1129,E1129)&lt;4,"Ligne incomplète",IF(NOT(ISNUMBER(A1129)),"Date invalide",IF(AND(B1129&lt;&gt;"Entrée",B1129&lt;&gt;"Sortie"),"Type inconnu",IF(ISNA(MATCH(C1129,art_ref,0)),"Référence inconnue",IF(OR(NOT(ISNUMBER(E1129)),N(E1129)&lt;=0),"Quantité invalide",IF(K1129&lt;0,"Stock négatif",IF(AND(ISNUMBER(A1128),A1129&lt;A1128),"Date hors ordre","OK"))))))))</f>
        <v/>
      </c>
      <c r="M1129" s="39" t="str">
        <f>IF(C1129="","",C1129&amp;"#"&amp;COUNTIF($C$5:C1129,C1129))</f>
        <v/>
      </c>
    </row>
    <row r="1130">
      <c r="A1130" s="41" t="n"/>
      <c r="B1130" s="37" t="n"/>
      <c r="C1130" s="37" t="n"/>
      <c r="D1130" s="39" t="str">
        <f>IF(C1130="","",IFERROR(INDEX(art_des,MATCH(C1130,art_ref,0))&amp;"","Référence inconnue"))</f>
        <v/>
      </c>
      <c r="E1130" s="37" t="n"/>
      <c r="F1130" s="39" t="str">
        <f>IF(C1130="","",IFERROR(INDEX(art_unit,MATCH(C1130,art_ref,0))&amp;"",""))</f>
        <v/>
      </c>
      <c r="G1130" s="37" t="n"/>
      <c r="H1130" s="37" t="n"/>
      <c r="I1130" s="37" t="n"/>
      <c r="J1130" s="40" t="str">
        <f>IF(OR(C1130="",NOT(ISNUMBER(E1130))),"",IFERROR(E1130*N(INDEX(art_price,MATCH(C1130,art_ref,0))),""))</f>
        <v/>
      </c>
      <c r="K1130" s="39" t="str">
        <f>IF(OR(C1130="",NOT(ISNUMBER(E1130))),"",IFERROR(ROUND(N(INDEX(art_init,MATCH(C1130,art_ref,0)))+SUMIFS($E$5:E1130,$C$5:C1130,C1130,$B$5:B1130,"Entrée")-SUMIFS($E$5:E1130,$C$5:C1130,C1130,$B$5:B1130,"Sortie"),6),""))</f>
        <v/>
      </c>
      <c r="L1130" s="39" t="str">
        <f>IF(COUNTA(A1130:C1130,E1130)=0,"",IF(COUNTA(A1130:C1130,E1130)&lt;4,"Ligne incomplète",IF(NOT(ISNUMBER(A1130)),"Date invalide",IF(AND(B1130&lt;&gt;"Entrée",B1130&lt;&gt;"Sortie"),"Type inconnu",IF(ISNA(MATCH(C1130,art_ref,0)),"Référence inconnue",IF(OR(NOT(ISNUMBER(E1130)),N(E1130)&lt;=0),"Quantité invalide",IF(K1130&lt;0,"Stock négatif",IF(AND(ISNUMBER(A1129),A1130&lt;A1129),"Date hors ordre","OK"))))))))</f>
        <v/>
      </c>
      <c r="M1130" s="39" t="str">
        <f>IF(C1130="","",C1130&amp;"#"&amp;COUNTIF($C$5:C1130,C1130))</f>
        <v/>
      </c>
    </row>
    <row r="1131">
      <c r="A1131" s="41" t="n"/>
      <c r="B1131" s="37" t="n"/>
      <c r="C1131" s="37" t="n"/>
      <c r="D1131" s="39" t="str">
        <f>IF(C1131="","",IFERROR(INDEX(art_des,MATCH(C1131,art_ref,0))&amp;"","Référence inconnue"))</f>
        <v/>
      </c>
      <c r="E1131" s="37" t="n"/>
      <c r="F1131" s="39" t="str">
        <f>IF(C1131="","",IFERROR(INDEX(art_unit,MATCH(C1131,art_ref,0))&amp;"",""))</f>
        <v/>
      </c>
      <c r="G1131" s="37" t="n"/>
      <c r="H1131" s="37" t="n"/>
      <c r="I1131" s="37" t="n"/>
      <c r="J1131" s="40" t="str">
        <f>IF(OR(C1131="",NOT(ISNUMBER(E1131))),"",IFERROR(E1131*N(INDEX(art_price,MATCH(C1131,art_ref,0))),""))</f>
        <v/>
      </c>
      <c r="K1131" s="39" t="str">
        <f>IF(OR(C1131="",NOT(ISNUMBER(E1131))),"",IFERROR(ROUND(N(INDEX(art_init,MATCH(C1131,art_ref,0)))+SUMIFS($E$5:E1131,$C$5:C1131,C1131,$B$5:B1131,"Entrée")-SUMIFS($E$5:E1131,$C$5:C1131,C1131,$B$5:B1131,"Sortie"),6),""))</f>
        <v/>
      </c>
      <c r="L1131" s="39" t="str">
        <f>IF(COUNTA(A1131:C1131,E1131)=0,"",IF(COUNTA(A1131:C1131,E1131)&lt;4,"Ligne incomplète",IF(NOT(ISNUMBER(A1131)),"Date invalide",IF(AND(B1131&lt;&gt;"Entrée",B1131&lt;&gt;"Sortie"),"Type inconnu",IF(ISNA(MATCH(C1131,art_ref,0)),"Référence inconnue",IF(OR(NOT(ISNUMBER(E1131)),N(E1131)&lt;=0),"Quantité invalide",IF(K1131&lt;0,"Stock négatif",IF(AND(ISNUMBER(A1130),A1131&lt;A1130),"Date hors ordre","OK"))))))))</f>
        <v/>
      </c>
      <c r="M1131" s="39" t="str">
        <f>IF(C1131="","",C1131&amp;"#"&amp;COUNTIF($C$5:C1131,C1131))</f>
        <v/>
      </c>
    </row>
    <row r="1132">
      <c r="A1132" s="41" t="n"/>
      <c r="B1132" s="37" t="n"/>
      <c r="C1132" s="37" t="n"/>
      <c r="D1132" s="39" t="str">
        <f>IF(C1132="","",IFERROR(INDEX(art_des,MATCH(C1132,art_ref,0))&amp;"","Référence inconnue"))</f>
        <v/>
      </c>
      <c r="E1132" s="37" t="n"/>
      <c r="F1132" s="39" t="str">
        <f>IF(C1132="","",IFERROR(INDEX(art_unit,MATCH(C1132,art_ref,0))&amp;"",""))</f>
        <v/>
      </c>
      <c r="G1132" s="37" t="n"/>
      <c r="H1132" s="37" t="n"/>
      <c r="I1132" s="37" t="n"/>
      <c r="J1132" s="40" t="str">
        <f>IF(OR(C1132="",NOT(ISNUMBER(E1132))),"",IFERROR(E1132*N(INDEX(art_price,MATCH(C1132,art_ref,0))),""))</f>
        <v/>
      </c>
      <c r="K1132" s="39" t="str">
        <f>IF(OR(C1132="",NOT(ISNUMBER(E1132))),"",IFERROR(ROUND(N(INDEX(art_init,MATCH(C1132,art_ref,0)))+SUMIFS($E$5:E1132,$C$5:C1132,C1132,$B$5:B1132,"Entrée")-SUMIFS($E$5:E1132,$C$5:C1132,C1132,$B$5:B1132,"Sortie"),6),""))</f>
        <v/>
      </c>
      <c r="L1132" s="39" t="str">
        <f>IF(COUNTA(A1132:C1132,E1132)=0,"",IF(COUNTA(A1132:C1132,E1132)&lt;4,"Ligne incomplète",IF(NOT(ISNUMBER(A1132)),"Date invalide",IF(AND(B1132&lt;&gt;"Entrée",B1132&lt;&gt;"Sortie"),"Type inconnu",IF(ISNA(MATCH(C1132,art_ref,0)),"Référence inconnue",IF(OR(NOT(ISNUMBER(E1132)),N(E1132)&lt;=0),"Quantité invalide",IF(K1132&lt;0,"Stock négatif",IF(AND(ISNUMBER(A1131),A1132&lt;A1131),"Date hors ordre","OK"))))))))</f>
        <v/>
      </c>
      <c r="M1132" s="39" t="str">
        <f>IF(C1132="","",C1132&amp;"#"&amp;COUNTIF($C$5:C1132,C1132))</f>
        <v/>
      </c>
    </row>
    <row r="1133">
      <c r="A1133" s="41" t="n"/>
      <c r="B1133" s="37" t="n"/>
      <c r="C1133" s="37" t="n"/>
      <c r="D1133" s="39" t="str">
        <f>IF(C1133="","",IFERROR(INDEX(art_des,MATCH(C1133,art_ref,0))&amp;"","Référence inconnue"))</f>
        <v/>
      </c>
      <c r="E1133" s="37" t="n"/>
      <c r="F1133" s="39" t="str">
        <f>IF(C1133="","",IFERROR(INDEX(art_unit,MATCH(C1133,art_ref,0))&amp;"",""))</f>
        <v/>
      </c>
      <c r="G1133" s="37" t="n"/>
      <c r="H1133" s="37" t="n"/>
      <c r="I1133" s="37" t="n"/>
      <c r="J1133" s="40" t="str">
        <f>IF(OR(C1133="",NOT(ISNUMBER(E1133))),"",IFERROR(E1133*N(INDEX(art_price,MATCH(C1133,art_ref,0))),""))</f>
        <v/>
      </c>
      <c r="K1133" s="39" t="str">
        <f>IF(OR(C1133="",NOT(ISNUMBER(E1133))),"",IFERROR(ROUND(N(INDEX(art_init,MATCH(C1133,art_ref,0)))+SUMIFS($E$5:E1133,$C$5:C1133,C1133,$B$5:B1133,"Entrée")-SUMIFS($E$5:E1133,$C$5:C1133,C1133,$B$5:B1133,"Sortie"),6),""))</f>
        <v/>
      </c>
      <c r="L1133" s="39" t="str">
        <f>IF(COUNTA(A1133:C1133,E1133)=0,"",IF(COUNTA(A1133:C1133,E1133)&lt;4,"Ligne incomplète",IF(NOT(ISNUMBER(A1133)),"Date invalide",IF(AND(B1133&lt;&gt;"Entrée",B1133&lt;&gt;"Sortie"),"Type inconnu",IF(ISNA(MATCH(C1133,art_ref,0)),"Référence inconnue",IF(OR(NOT(ISNUMBER(E1133)),N(E1133)&lt;=0),"Quantité invalide",IF(K1133&lt;0,"Stock négatif",IF(AND(ISNUMBER(A1132),A1133&lt;A1132),"Date hors ordre","OK"))))))))</f>
        <v/>
      </c>
      <c r="M1133" s="39" t="str">
        <f>IF(C1133="","",C1133&amp;"#"&amp;COUNTIF($C$5:C1133,C1133))</f>
        <v/>
      </c>
    </row>
    <row r="1134">
      <c r="A1134" s="41" t="n"/>
      <c r="B1134" s="37" t="n"/>
      <c r="C1134" s="37" t="n"/>
      <c r="D1134" s="39" t="str">
        <f>IF(C1134="","",IFERROR(INDEX(art_des,MATCH(C1134,art_ref,0))&amp;"","Référence inconnue"))</f>
        <v/>
      </c>
      <c r="E1134" s="37" t="n"/>
      <c r="F1134" s="39" t="str">
        <f>IF(C1134="","",IFERROR(INDEX(art_unit,MATCH(C1134,art_ref,0))&amp;"",""))</f>
        <v/>
      </c>
      <c r="G1134" s="37" t="n"/>
      <c r="H1134" s="37" t="n"/>
      <c r="I1134" s="37" t="n"/>
      <c r="J1134" s="40" t="str">
        <f>IF(OR(C1134="",NOT(ISNUMBER(E1134))),"",IFERROR(E1134*N(INDEX(art_price,MATCH(C1134,art_ref,0))),""))</f>
        <v/>
      </c>
      <c r="K1134" s="39" t="str">
        <f>IF(OR(C1134="",NOT(ISNUMBER(E1134))),"",IFERROR(ROUND(N(INDEX(art_init,MATCH(C1134,art_ref,0)))+SUMIFS($E$5:E1134,$C$5:C1134,C1134,$B$5:B1134,"Entrée")-SUMIFS($E$5:E1134,$C$5:C1134,C1134,$B$5:B1134,"Sortie"),6),""))</f>
        <v/>
      </c>
      <c r="L1134" s="39" t="str">
        <f>IF(COUNTA(A1134:C1134,E1134)=0,"",IF(COUNTA(A1134:C1134,E1134)&lt;4,"Ligne incomplète",IF(NOT(ISNUMBER(A1134)),"Date invalide",IF(AND(B1134&lt;&gt;"Entrée",B1134&lt;&gt;"Sortie"),"Type inconnu",IF(ISNA(MATCH(C1134,art_ref,0)),"Référence inconnue",IF(OR(NOT(ISNUMBER(E1134)),N(E1134)&lt;=0),"Quantité invalide",IF(K1134&lt;0,"Stock négatif",IF(AND(ISNUMBER(A1133),A1134&lt;A1133),"Date hors ordre","OK"))))))))</f>
        <v/>
      </c>
      <c r="M1134" s="39" t="str">
        <f>IF(C1134="","",C1134&amp;"#"&amp;COUNTIF($C$5:C1134,C1134))</f>
        <v/>
      </c>
    </row>
    <row r="1135">
      <c r="A1135" s="41" t="n"/>
      <c r="B1135" s="37" t="n"/>
      <c r="C1135" s="37" t="n"/>
      <c r="D1135" s="39" t="str">
        <f>IF(C1135="","",IFERROR(INDEX(art_des,MATCH(C1135,art_ref,0))&amp;"","Référence inconnue"))</f>
        <v/>
      </c>
      <c r="E1135" s="37" t="n"/>
      <c r="F1135" s="39" t="str">
        <f>IF(C1135="","",IFERROR(INDEX(art_unit,MATCH(C1135,art_ref,0))&amp;"",""))</f>
        <v/>
      </c>
      <c r="G1135" s="37" t="n"/>
      <c r="H1135" s="37" t="n"/>
      <c r="I1135" s="37" t="n"/>
      <c r="J1135" s="40" t="str">
        <f>IF(OR(C1135="",NOT(ISNUMBER(E1135))),"",IFERROR(E1135*N(INDEX(art_price,MATCH(C1135,art_ref,0))),""))</f>
        <v/>
      </c>
      <c r="K1135" s="39" t="str">
        <f>IF(OR(C1135="",NOT(ISNUMBER(E1135))),"",IFERROR(ROUND(N(INDEX(art_init,MATCH(C1135,art_ref,0)))+SUMIFS($E$5:E1135,$C$5:C1135,C1135,$B$5:B1135,"Entrée")-SUMIFS($E$5:E1135,$C$5:C1135,C1135,$B$5:B1135,"Sortie"),6),""))</f>
        <v/>
      </c>
      <c r="L1135" s="39" t="str">
        <f>IF(COUNTA(A1135:C1135,E1135)=0,"",IF(COUNTA(A1135:C1135,E1135)&lt;4,"Ligne incomplète",IF(NOT(ISNUMBER(A1135)),"Date invalide",IF(AND(B1135&lt;&gt;"Entrée",B1135&lt;&gt;"Sortie"),"Type inconnu",IF(ISNA(MATCH(C1135,art_ref,0)),"Référence inconnue",IF(OR(NOT(ISNUMBER(E1135)),N(E1135)&lt;=0),"Quantité invalide",IF(K1135&lt;0,"Stock négatif",IF(AND(ISNUMBER(A1134),A1135&lt;A1134),"Date hors ordre","OK"))))))))</f>
        <v/>
      </c>
      <c r="M1135" s="39" t="str">
        <f>IF(C1135="","",C1135&amp;"#"&amp;COUNTIF($C$5:C1135,C1135))</f>
        <v/>
      </c>
    </row>
    <row r="1136">
      <c r="A1136" s="41" t="n"/>
      <c r="B1136" s="37" t="n"/>
      <c r="C1136" s="37" t="n"/>
      <c r="D1136" s="39" t="str">
        <f>IF(C1136="","",IFERROR(INDEX(art_des,MATCH(C1136,art_ref,0))&amp;"","Référence inconnue"))</f>
        <v/>
      </c>
      <c r="E1136" s="37" t="n"/>
      <c r="F1136" s="39" t="str">
        <f>IF(C1136="","",IFERROR(INDEX(art_unit,MATCH(C1136,art_ref,0))&amp;"",""))</f>
        <v/>
      </c>
      <c r="G1136" s="37" t="n"/>
      <c r="H1136" s="37" t="n"/>
      <c r="I1136" s="37" t="n"/>
      <c r="J1136" s="40" t="str">
        <f>IF(OR(C1136="",NOT(ISNUMBER(E1136))),"",IFERROR(E1136*N(INDEX(art_price,MATCH(C1136,art_ref,0))),""))</f>
        <v/>
      </c>
      <c r="K1136" s="39" t="str">
        <f>IF(OR(C1136="",NOT(ISNUMBER(E1136))),"",IFERROR(ROUND(N(INDEX(art_init,MATCH(C1136,art_ref,0)))+SUMIFS($E$5:E1136,$C$5:C1136,C1136,$B$5:B1136,"Entrée")-SUMIFS($E$5:E1136,$C$5:C1136,C1136,$B$5:B1136,"Sortie"),6),""))</f>
        <v/>
      </c>
      <c r="L1136" s="39" t="str">
        <f>IF(COUNTA(A1136:C1136,E1136)=0,"",IF(COUNTA(A1136:C1136,E1136)&lt;4,"Ligne incomplète",IF(NOT(ISNUMBER(A1136)),"Date invalide",IF(AND(B1136&lt;&gt;"Entrée",B1136&lt;&gt;"Sortie"),"Type inconnu",IF(ISNA(MATCH(C1136,art_ref,0)),"Référence inconnue",IF(OR(NOT(ISNUMBER(E1136)),N(E1136)&lt;=0),"Quantité invalide",IF(K1136&lt;0,"Stock négatif",IF(AND(ISNUMBER(A1135),A1136&lt;A1135),"Date hors ordre","OK"))))))))</f>
        <v/>
      </c>
      <c r="M1136" s="39" t="str">
        <f>IF(C1136="","",C1136&amp;"#"&amp;COUNTIF($C$5:C1136,C1136))</f>
        <v/>
      </c>
    </row>
    <row r="1137">
      <c r="A1137" s="41" t="n"/>
      <c r="B1137" s="37" t="n"/>
      <c r="C1137" s="37" t="n"/>
      <c r="D1137" s="39" t="str">
        <f>IF(C1137="","",IFERROR(INDEX(art_des,MATCH(C1137,art_ref,0))&amp;"","Référence inconnue"))</f>
        <v/>
      </c>
      <c r="E1137" s="37" t="n"/>
      <c r="F1137" s="39" t="str">
        <f>IF(C1137="","",IFERROR(INDEX(art_unit,MATCH(C1137,art_ref,0))&amp;"",""))</f>
        <v/>
      </c>
      <c r="G1137" s="37" t="n"/>
      <c r="H1137" s="37" t="n"/>
      <c r="I1137" s="37" t="n"/>
      <c r="J1137" s="40" t="str">
        <f>IF(OR(C1137="",NOT(ISNUMBER(E1137))),"",IFERROR(E1137*N(INDEX(art_price,MATCH(C1137,art_ref,0))),""))</f>
        <v/>
      </c>
      <c r="K1137" s="39" t="str">
        <f>IF(OR(C1137="",NOT(ISNUMBER(E1137))),"",IFERROR(ROUND(N(INDEX(art_init,MATCH(C1137,art_ref,0)))+SUMIFS($E$5:E1137,$C$5:C1137,C1137,$B$5:B1137,"Entrée")-SUMIFS($E$5:E1137,$C$5:C1137,C1137,$B$5:B1137,"Sortie"),6),""))</f>
        <v/>
      </c>
      <c r="L1137" s="39" t="str">
        <f>IF(COUNTA(A1137:C1137,E1137)=0,"",IF(COUNTA(A1137:C1137,E1137)&lt;4,"Ligne incomplète",IF(NOT(ISNUMBER(A1137)),"Date invalide",IF(AND(B1137&lt;&gt;"Entrée",B1137&lt;&gt;"Sortie"),"Type inconnu",IF(ISNA(MATCH(C1137,art_ref,0)),"Référence inconnue",IF(OR(NOT(ISNUMBER(E1137)),N(E1137)&lt;=0),"Quantité invalide",IF(K1137&lt;0,"Stock négatif",IF(AND(ISNUMBER(A1136),A1137&lt;A1136),"Date hors ordre","OK"))))))))</f>
        <v/>
      </c>
      <c r="M1137" s="39" t="str">
        <f>IF(C1137="","",C1137&amp;"#"&amp;COUNTIF($C$5:C1137,C1137))</f>
        <v/>
      </c>
    </row>
    <row r="1138">
      <c r="A1138" s="41" t="n"/>
      <c r="B1138" s="37" t="n"/>
      <c r="C1138" s="37" t="n"/>
      <c r="D1138" s="39" t="str">
        <f>IF(C1138="","",IFERROR(INDEX(art_des,MATCH(C1138,art_ref,0))&amp;"","Référence inconnue"))</f>
        <v/>
      </c>
      <c r="E1138" s="37" t="n"/>
      <c r="F1138" s="39" t="str">
        <f>IF(C1138="","",IFERROR(INDEX(art_unit,MATCH(C1138,art_ref,0))&amp;"",""))</f>
        <v/>
      </c>
      <c r="G1138" s="37" t="n"/>
      <c r="H1138" s="37" t="n"/>
      <c r="I1138" s="37" t="n"/>
      <c r="J1138" s="40" t="str">
        <f>IF(OR(C1138="",NOT(ISNUMBER(E1138))),"",IFERROR(E1138*N(INDEX(art_price,MATCH(C1138,art_ref,0))),""))</f>
        <v/>
      </c>
      <c r="K1138" s="39" t="str">
        <f>IF(OR(C1138="",NOT(ISNUMBER(E1138))),"",IFERROR(ROUND(N(INDEX(art_init,MATCH(C1138,art_ref,0)))+SUMIFS($E$5:E1138,$C$5:C1138,C1138,$B$5:B1138,"Entrée")-SUMIFS($E$5:E1138,$C$5:C1138,C1138,$B$5:B1138,"Sortie"),6),""))</f>
        <v/>
      </c>
      <c r="L1138" s="39" t="str">
        <f>IF(COUNTA(A1138:C1138,E1138)=0,"",IF(COUNTA(A1138:C1138,E1138)&lt;4,"Ligne incomplète",IF(NOT(ISNUMBER(A1138)),"Date invalide",IF(AND(B1138&lt;&gt;"Entrée",B1138&lt;&gt;"Sortie"),"Type inconnu",IF(ISNA(MATCH(C1138,art_ref,0)),"Référence inconnue",IF(OR(NOT(ISNUMBER(E1138)),N(E1138)&lt;=0),"Quantité invalide",IF(K1138&lt;0,"Stock négatif",IF(AND(ISNUMBER(A1137),A1138&lt;A1137),"Date hors ordre","OK"))))))))</f>
        <v/>
      </c>
      <c r="M1138" s="39" t="str">
        <f>IF(C1138="","",C1138&amp;"#"&amp;COUNTIF($C$5:C1138,C1138))</f>
        <v/>
      </c>
    </row>
    <row r="1139">
      <c r="A1139" s="41" t="n"/>
      <c r="B1139" s="37" t="n"/>
      <c r="C1139" s="37" t="n"/>
      <c r="D1139" s="39" t="str">
        <f>IF(C1139="","",IFERROR(INDEX(art_des,MATCH(C1139,art_ref,0))&amp;"","Référence inconnue"))</f>
        <v/>
      </c>
      <c r="E1139" s="37" t="n"/>
      <c r="F1139" s="39" t="str">
        <f>IF(C1139="","",IFERROR(INDEX(art_unit,MATCH(C1139,art_ref,0))&amp;"",""))</f>
        <v/>
      </c>
      <c r="G1139" s="37" t="n"/>
      <c r="H1139" s="37" t="n"/>
      <c r="I1139" s="37" t="n"/>
      <c r="J1139" s="40" t="str">
        <f>IF(OR(C1139="",NOT(ISNUMBER(E1139))),"",IFERROR(E1139*N(INDEX(art_price,MATCH(C1139,art_ref,0))),""))</f>
        <v/>
      </c>
      <c r="K1139" s="39" t="str">
        <f>IF(OR(C1139="",NOT(ISNUMBER(E1139))),"",IFERROR(ROUND(N(INDEX(art_init,MATCH(C1139,art_ref,0)))+SUMIFS($E$5:E1139,$C$5:C1139,C1139,$B$5:B1139,"Entrée")-SUMIFS($E$5:E1139,$C$5:C1139,C1139,$B$5:B1139,"Sortie"),6),""))</f>
        <v/>
      </c>
      <c r="L1139" s="39" t="str">
        <f>IF(COUNTA(A1139:C1139,E1139)=0,"",IF(COUNTA(A1139:C1139,E1139)&lt;4,"Ligne incomplète",IF(NOT(ISNUMBER(A1139)),"Date invalide",IF(AND(B1139&lt;&gt;"Entrée",B1139&lt;&gt;"Sortie"),"Type inconnu",IF(ISNA(MATCH(C1139,art_ref,0)),"Référence inconnue",IF(OR(NOT(ISNUMBER(E1139)),N(E1139)&lt;=0),"Quantité invalide",IF(K1139&lt;0,"Stock négatif",IF(AND(ISNUMBER(A1138),A1139&lt;A1138),"Date hors ordre","OK"))))))))</f>
        <v/>
      </c>
      <c r="M1139" s="39" t="str">
        <f>IF(C1139="","",C1139&amp;"#"&amp;COUNTIF($C$5:C1139,C1139))</f>
        <v/>
      </c>
    </row>
    <row r="1140">
      <c r="A1140" s="41" t="n"/>
      <c r="B1140" s="37" t="n"/>
      <c r="C1140" s="37" t="n"/>
      <c r="D1140" s="39" t="str">
        <f>IF(C1140="","",IFERROR(INDEX(art_des,MATCH(C1140,art_ref,0))&amp;"","Référence inconnue"))</f>
        <v/>
      </c>
      <c r="E1140" s="37" t="n"/>
      <c r="F1140" s="39" t="str">
        <f>IF(C1140="","",IFERROR(INDEX(art_unit,MATCH(C1140,art_ref,0))&amp;"",""))</f>
        <v/>
      </c>
      <c r="G1140" s="37" t="n"/>
      <c r="H1140" s="37" t="n"/>
      <c r="I1140" s="37" t="n"/>
      <c r="J1140" s="40" t="str">
        <f>IF(OR(C1140="",NOT(ISNUMBER(E1140))),"",IFERROR(E1140*N(INDEX(art_price,MATCH(C1140,art_ref,0))),""))</f>
        <v/>
      </c>
      <c r="K1140" s="39" t="str">
        <f>IF(OR(C1140="",NOT(ISNUMBER(E1140))),"",IFERROR(ROUND(N(INDEX(art_init,MATCH(C1140,art_ref,0)))+SUMIFS($E$5:E1140,$C$5:C1140,C1140,$B$5:B1140,"Entrée")-SUMIFS($E$5:E1140,$C$5:C1140,C1140,$B$5:B1140,"Sortie"),6),""))</f>
        <v/>
      </c>
      <c r="L1140" s="39" t="str">
        <f>IF(COUNTA(A1140:C1140,E1140)=0,"",IF(COUNTA(A1140:C1140,E1140)&lt;4,"Ligne incomplète",IF(NOT(ISNUMBER(A1140)),"Date invalide",IF(AND(B1140&lt;&gt;"Entrée",B1140&lt;&gt;"Sortie"),"Type inconnu",IF(ISNA(MATCH(C1140,art_ref,0)),"Référence inconnue",IF(OR(NOT(ISNUMBER(E1140)),N(E1140)&lt;=0),"Quantité invalide",IF(K1140&lt;0,"Stock négatif",IF(AND(ISNUMBER(A1139),A1140&lt;A1139),"Date hors ordre","OK"))))))))</f>
        <v/>
      </c>
      <c r="M1140" s="39" t="str">
        <f>IF(C1140="","",C1140&amp;"#"&amp;COUNTIF($C$5:C1140,C1140))</f>
        <v/>
      </c>
    </row>
    <row r="1141">
      <c r="A1141" s="41" t="n"/>
      <c r="B1141" s="37" t="n"/>
      <c r="C1141" s="37" t="n"/>
      <c r="D1141" s="39" t="str">
        <f>IF(C1141="","",IFERROR(INDEX(art_des,MATCH(C1141,art_ref,0))&amp;"","Référence inconnue"))</f>
        <v/>
      </c>
      <c r="E1141" s="37" t="n"/>
      <c r="F1141" s="39" t="str">
        <f>IF(C1141="","",IFERROR(INDEX(art_unit,MATCH(C1141,art_ref,0))&amp;"",""))</f>
        <v/>
      </c>
      <c r="G1141" s="37" t="n"/>
      <c r="H1141" s="37" t="n"/>
      <c r="I1141" s="37" t="n"/>
      <c r="J1141" s="40" t="str">
        <f>IF(OR(C1141="",NOT(ISNUMBER(E1141))),"",IFERROR(E1141*N(INDEX(art_price,MATCH(C1141,art_ref,0))),""))</f>
        <v/>
      </c>
      <c r="K1141" s="39" t="str">
        <f>IF(OR(C1141="",NOT(ISNUMBER(E1141))),"",IFERROR(ROUND(N(INDEX(art_init,MATCH(C1141,art_ref,0)))+SUMIFS($E$5:E1141,$C$5:C1141,C1141,$B$5:B1141,"Entrée")-SUMIFS($E$5:E1141,$C$5:C1141,C1141,$B$5:B1141,"Sortie"),6),""))</f>
        <v/>
      </c>
      <c r="L1141" s="39" t="str">
        <f>IF(COUNTA(A1141:C1141,E1141)=0,"",IF(COUNTA(A1141:C1141,E1141)&lt;4,"Ligne incomplète",IF(NOT(ISNUMBER(A1141)),"Date invalide",IF(AND(B1141&lt;&gt;"Entrée",B1141&lt;&gt;"Sortie"),"Type inconnu",IF(ISNA(MATCH(C1141,art_ref,0)),"Référence inconnue",IF(OR(NOT(ISNUMBER(E1141)),N(E1141)&lt;=0),"Quantité invalide",IF(K1141&lt;0,"Stock négatif",IF(AND(ISNUMBER(A1140),A1141&lt;A1140),"Date hors ordre","OK"))))))))</f>
        <v/>
      </c>
      <c r="M1141" s="39" t="str">
        <f>IF(C1141="","",C1141&amp;"#"&amp;COUNTIF($C$5:C1141,C1141))</f>
        <v/>
      </c>
    </row>
    <row r="1142">
      <c r="A1142" s="41" t="n"/>
      <c r="B1142" s="37" t="n"/>
      <c r="C1142" s="37" t="n"/>
      <c r="D1142" s="39" t="str">
        <f>IF(C1142="","",IFERROR(INDEX(art_des,MATCH(C1142,art_ref,0))&amp;"","Référence inconnue"))</f>
        <v/>
      </c>
      <c r="E1142" s="37" t="n"/>
      <c r="F1142" s="39" t="str">
        <f>IF(C1142="","",IFERROR(INDEX(art_unit,MATCH(C1142,art_ref,0))&amp;"",""))</f>
        <v/>
      </c>
      <c r="G1142" s="37" t="n"/>
      <c r="H1142" s="37" t="n"/>
      <c r="I1142" s="37" t="n"/>
      <c r="J1142" s="40" t="str">
        <f>IF(OR(C1142="",NOT(ISNUMBER(E1142))),"",IFERROR(E1142*N(INDEX(art_price,MATCH(C1142,art_ref,0))),""))</f>
        <v/>
      </c>
      <c r="K1142" s="39" t="str">
        <f>IF(OR(C1142="",NOT(ISNUMBER(E1142))),"",IFERROR(ROUND(N(INDEX(art_init,MATCH(C1142,art_ref,0)))+SUMIFS($E$5:E1142,$C$5:C1142,C1142,$B$5:B1142,"Entrée")-SUMIFS($E$5:E1142,$C$5:C1142,C1142,$B$5:B1142,"Sortie"),6),""))</f>
        <v/>
      </c>
      <c r="L1142" s="39" t="str">
        <f>IF(COUNTA(A1142:C1142,E1142)=0,"",IF(COUNTA(A1142:C1142,E1142)&lt;4,"Ligne incomplète",IF(NOT(ISNUMBER(A1142)),"Date invalide",IF(AND(B1142&lt;&gt;"Entrée",B1142&lt;&gt;"Sortie"),"Type inconnu",IF(ISNA(MATCH(C1142,art_ref,0)),"Référence inconnue",IF(OR(NOT(ISNUMBER(E1142)),N(E1142)&lt;=0),"Quantité invalide",IF(K1142&lt;0,"Stock négatif",IF(AND(ISNUMBER(A1141),A1142&lt;A1141),"Date hors ordre","OK"))))))))</f>
        <v/>
      </c>
      <c r="M1142" s="39" t="str">
        <f>IF(C1142="","",C1142&amp;"#"&amp;COUNTIF($C$5:C1142,C1142))</f>
        <v/>
      </c>
    </row>
    <row r="1143">
      <c r="A1143" s="41" t="n"/>
      <c r="B1143" s="37" t="n"/>
      <c r="C1143" s="37" t="n"/>
      <c r="D1143" s="39" t="str">
        <f>IF(C1143="","",IFERROR(INDEX(art_des,MATCH(C1143,art_ref,0))&amp;"","Référence inconnue"))</f>
        <v/>
      </c>
      <c r="E1143" s="37" t="n"/>
      <c r="F1143" s="39" t="str">
        <f>IF(C1143="","",IFERROR(INDEX(art_unit,MATCH(C1143,art_ref,0))&amp;"",""))</f>
        <v/>
      </c>
      <c r="G1143" s="37" t="n"/>
      <c r="H1143" s="37" t="n"/>
      <c r="I1143" s="37" t="n"/>
      <c r="J1143" s="40" t="str">
        <f>IF(OR(C1143="",NOT(ISNUMBER(E1143))),"",IFERROR(E1143*N(INDEX(art_price,MATCH(C1143,art_ref,0))),""))</f>
        <v/>
      </c>
      <c r="K1143" s="39" t="str">
        <f>IF(OR(C1143="",NOT(ISNUMBER(E1143))),"",IFERROR(ROUND(N(INDEX(art_init,MATCH(C1143,art_ref,0)))+SUMIFS($E$5:E1143,$C$5:C1143,C1143,$B$5:B1143,"Entrée")-SUMIFS($E$5:E1143,$C$5:C1143,C1143,$B$5:B1143,"Sortie"),6),""))</f>
        <v/>
      </c>
      <c r="L1143" s="39" t="str">
        <f>IF(COUNTA(A1143:C1143,E1143)=0,"",IF(COUNTA(A1143:C1143,E1143)&lt;4,"Ligne incomplète",IF(NOT(ISNUMBER(A1143)),"Date invalide",IF(AND(B1143&lt;&gt;"Entrée",B1143&lt;&gt;"Sortie"),"Type inconnu",IF(ISNA(MATCH(C1143,art_ref,0)),"Référence inconnue",IF(OR(NOT(ISNUMBER(E1143)),N(E1143)&lt;=0),"Quantité invalide",IF(K1143&lt;0,"Stock négatif",IF(AND(ISNUMBER(A1142),A1143&lt;A1142),"Date hors ordre","OK"))))))))</f>
        <v/>
      </c>
      <c r="M1143" s="39" t="str">
        <f>IF(C1143="","",C1143&amp;"#"&amp;COUNTIF($C$5:C1143,C1143))</f>
        <v/>
      </c>
    </row>
    <row r="1144">
      <c r="A1144" s="41" t="n"/>
      <c r="B1144" s="37" t="n"/>
      <c r="C1144" s="37" t="n"/>
      <c r="D1144" s="39" t="str">
        <f>IF(C1144="","",IFERROR(INDEX(art_des,MATCH(C1144,art_ref,0))&amp;"","Référence inconnue"))</f>
        <v/>
      </c>
      <c r="E1144" s="37" t="n"/>
      <c r="F1144" s="39" t="str">
        <f>IF(C1144="","",IFERROR(INDEX(art_unit,MATCH(C1144,art_ref,0))&amp;"",""))</f>
        <v/>
      </c>
      <c r="G1144" s="37" t="n"/>
      <c r="H1144" s="37" t="n"/>
      <c r="I1144" s="37" t="n"/>
      <c r="J1144" s="40" t="str">
        <f>IF(OR(C1144="",NOT(ISNUMBER(E1144))),"",IFERROR(E1144*N(INDEX(art_price,MATCH(C1144,art_ref,0))),""))</f>
        <v/>
      </c>
      <c r="K1144" s="39" t="str">
        <f>IF(OR(C1144="",NOT(ISNUMBER(E1144))),"",IFERROR(ROUND(N(INDEX(art_init,MATCH(C1144,art_ref,0)))+SUMIFS($E$5:E1144,$C$5:C1144,C1144,$B$5:B1144,"Entrée")-SUMIFS($E$5:E1144,$C$5:C1144,C1144,$B$5:B1144,"Sortie"),6),""))</f>
        <v/>
      </c>
      <c r="L1144" s="39" t="str">
        <f>IF(COUNTA(A1144:C1144,E1144)=0,"",IF(COUNTA(A1144:C1144,E1144)&lt;4,"Ligne incomplète",IF(NOT(ISNUMBER(A1144)),"Date invalide",IF(AND(B1144&lt;&gt;"Entrée",B1144&lt;&gt;"Sortie"),"Type inconnu",IF(ISNA(MATCH(C1144,art_ref,0)),"Référence inconnue",IF(OR(NOT(ISNUMBER(E1144)),N(E1144)&lt;=0),"Quantité invalide",IF(K1144&lt;0,"Stock négatif",IF(AND(ISNUMBER(A1143),A1144&lt;A1143),"Date hors ordre","OK"))))))))</f>
        <v/>
      </c>
      <c r="M1144" s="39" t="str">
        <f>IF(C1144="","",C1144&amp;"#"&amp;COUNTIF($C$5:C1144,C1144))</f>
        <v/>
      </c>
    </row>
    <row r="1145">
      <c r="A1145" s="41" t="n"/>
      <c r="B1145" s="37" t="n"/>
      <c r="C1145" s="37" t="n"/>
      <c r="D1145" s="39" t="str">
        <f>IF(C1145="","",IFERROR(INDEX(art_des,MATCH(C1145,art_ref,0))&amp;"","Référence inconnue"))</f>
        <v/>
      </c>
      <c r="E1145" s="37" t="n"/>
      <c r="F1145" s="39" t="str">
        <f>IF(C1145="","",IFERROR(INDEX(art_unit,MATCH(C1145,art_ref,0))&amp;"",""))</f>
        <v/>
      </c>
      <c r="G1145" s="37" t="n"/>
      <c r="H1145" s="37" t="n"/>
      <c r="I1145" s="37" t="n"/>
      <c r="J1145" s="40" t="str">
        <f>IF(OR(C1145="",NOT(ISNUMBER(E1145))),"",IFERROR(E1145*N(INDEX(art_price,MATCH(C1145,art_ref,0))),""))</f>
        <v/>
      </c>
      <c r="K1145" s="39" t="str">
        <f>IF(OR(C1145="",NOT(ISNUMBER(E1145))),"",IFERROR(ROUND(N(INDEX(art_init,MATCH(C1145,art_ref,0)))+SUMIFS($E$5:E1145,$C$5:C1145,C1145,$B$5:B1145,"Entrée")-SUMIFS($E$5:E1145,$C$5:C1145,C1145,$B$5:B1145,"Sortie"),6),""))</f>
        <v/>
      </c>
      <c r="L1145" s="39" t="str">
        <f>IF(COUNTA(A1145:C1145,E1145)=0,"",IF(COUNTA(A1145:C1145,E1145)&lt;4,"Ligne incomplète",IF(NOT(ISNUMBER(A1145)),"Date invalide",IF(AND(B1145&lt;&gt;"Entrée",B1145&lt;&gt;"Sortie"),"Type inconnu",IF(ISNA(MATCH(C1145,art_ref,0)),"Référence inconnue",IF(OR(NOT(ISNUMBER(E1145)),N(E1145)&lt;=0),"Quantité invalide",IF(K1145&lt;0,"Stock négatif",IF(AND(ISNUMBER(A1144),A1145&lt;A1144),"Date hors ordre","OK"))))))))</f>
        <v/>
      </c>
      <c r="M1145" s="39" t="str">
        <f>IF(C1145="","",C1145&amp;"#"&amp;COUNTIF($C$5:C1145,C1145))</f>
        <v/>
      </c>
    </row>
    <row r="1146">
      <c r="A1146" s="41" t="n"/>
      <c r="B1146" s="37" t="n"/>
      <c r="C1146" s="37" t="n"/>
      <c r="D1146" s="39" t="str">
        <f>IF(C1146="","",IFERROR(INDEX(art_des,MATCH(C1146,art_ref,0))&amp;"","Référence inconnue"))</f>
        <v/>
      </c>
      <c r="E1146" s="37" t="n"/>
      <c r="F1146" s="39" t="str">
        <f>IF(C1146="","",IFERROR(INDEX(art_unit,MATCH(C1146,art_ref,0))&amp;"",""))</f>
        <v/>
      </c>
      <c r="G1146" s="37" t="n"/>
      <c r="H1146" s="37" t="n"/>
      <c r="I1146" s="37" t="n"/>
      <c r="J1146" s="40" t="str">
        <f>IF(OR(C1146="",NOT(ISNUMBER(E1146))),"",IFERROR(E1146*N(INDEX(art_price,MATCH(C1146,art_ref,0))),""))</f>
        <v/>
      </c>
      <c r="K1146" s="39" t="str">
        <f>IF(OR(C1146="",NOT(ISNUMBER(E1146))),"",IFERROR(ROUND(N(INDEX(art_init,MATCH(C1146,art_ref,0)))+SUMIFS($E$5:E1146,$C$5:C1146,C1146,$B$5:B1146,"Entrée")-SUMIFS($E$5:E1146,$C$5:C1146,C1146,$B$5:B1146,"Sortie"),6),""))</f>
        <v/>
      </c>
      <c r="L1146" s="39" t="str">
        <f>IF(COUNTA(A1146:C1146,E1146)=0,"",IF(COUNTA(A1146:C1146,E1146)&lt;4,"Ligne incomplète",IF(NOT(ISNUMBER(A1146)),"Date invalide",IF(AND(B1146&lt;&gt;"Entrée",B1146&lt;&gt;"Sortie"),"Type inconnu",IF(ISNA(MATCH(C1146,art_ref,0)),"Référence inconnue",IF(OR(NOT(ISNUMBER(E1146)),N(E1146)&lt;=0),"Quantité invalide",IF(K1146&lt;0,"Stock négatif",IF(AND(ISNUMBER(A1145),A1146&lt;A1145),"Date hors ordre","OK"))))))))</f>
        <v/>
      </c>
      <c r="M1146" s="39" t="str">
        <f>IF(C1146="","",C1146&amp;"#"&amp;COUNTIF($C$5:C1146,C1146))</f>
        <v/>
      </c>
    </row>
    <row r="1147">
      <c r="A1147" s="41" t="n"/>
      <c r="B1147" s="37" t="n"/>
      <c r="C1147" s="37" t="n"/>
      <c r="D1147" s="39" t="str">
        <f>IF(C1147="","",IFERROR(INDEX(art_des,MATCH(C1147,art_ref,0))&amp;"","Référence inconnue"))</f>
        <v/>
      </c>
      <c r="E1147" s="37" t="n"/>
      <c r="F1147" s="39" t="str">
        <f>IF(C1147="","",IFERROR(INDEX(art_unit,MATCH(C1147,art_ref,0))&amp;"",""))</f>
        <v/>
      </c>
      <c r="G1147" s="37" t="n"/>
      <c r="H1147" s="37" t="n"/>
      <c r="I1147" s="37" t="n"/>
      <c r="J1147" s="40" t="str">
        <f>IF(OR(C1147="",NOT(ISNUMBER(E1147))),"",IFERROR(E1147*N(INDEX(art_price,MATCH(C1147,art_ref,0))),""))</f>
        <v/>
      </c>
      <c r="K1147" s="39" t="str">
        <f>IF(OR(C1147="",NOT(ISNUMBER(E1147))),"",IFERROR(ROUND(N(INDEX(art_init,MATCH(C1147,art_ref,0)))+SUMIFS($E$5:E1147,$C$5:C1147,C1147,$B$5:B1147,"Entrée")-SUMIFS($E$5:E1147,$C$5:C1147,C1147,$B$5:B1147,"Sortie"),6),""))</f>
        <v/>
      </c>
      <c r="L1147" s="39" t="str">
        <f>IF(COUNTA(A1147:C1147,E1147)=0,"",IF(COUNTA(A1147:C1147,E1147)&lt;4,"Ligne incomplète",IF(NOT(ISNUMBER(A1147)),"Date invalide",IF(AND(B1147&lt;&gt;"Entrée",B1147&lt;&gt;"Sortie"),"Type inconnu",IF(ISNA(MATCH(C1147,art_ref,0)),"Référence inconnue",IF(OR(NOT(ISNUMBER(E1147)),N(E1147)&lt;=0),"Quantité invalide",IF(K1147&lt;0,"Stock négatif",IF(AND(ISNUMBER(A1146),A1147&lt;A1146),"Date hors ordre","OK"))))))))</f>
        <v/>
      </c>
      <c r="M1147" s="39" t="str">
        <f>IF(C1147="","",C1147&amp;"#"&amp;COUNTIF($C$5:C1147,C1147))</f>
        <v/>
      </c>
    </row>
    <row r="1148">
      <c r="A1148" s="41" t="n"/>
      <c r="B1148" s="37" t="n"/>
      <c r="C1148" s="37" t="n"/>
      <c r="D1148" s="39" t="str">
        <f>IF(C1148="","",IFERROR(INDEX(art_des,MATCH(C1148,art_ref,0))&amp;"","Référence inconnue"))</f>
        <v/>
      </c>
      <c r="E1148" s="37" t="n"/>
      <c r="F1148" s="39" t="str">
        <f>IF(C1148="","",IFERROR(INDEX(art_unit,MATCH(C1148,art_ref,0))&amp;"",""))</f>
        <v/>
      </c>
      <c r="G1148" s="37" t="n"/>
      <c r="H1148" s="37" t="n"/>
      <c r="I1148" s="37" t="n"/>
      <c r="J1148" s="40" t="str">
        <f>IF(OR(C1148="",NOT(ISNUMBER(E1148))),"",IFERROR(E1148*N(INDEX(art_price,MATCH(C1148,art_ref,0))),""))</f>
        <v/>
      </c>
      <c r="K1148" s="39" t="str">
        <f>IF(OR(C1148="",NOT(ISNUMBER(E1148))),"",IFERROR(ROUND(N(INDEX(art_init,MATCH(C1148,art_ref,0)))+SUMIFS($E$5:E1148,$C$5:C1148,C1148,$B$5:B1148,"Entrée")-SUMIFS($E$5:E1148,$C$5:C1148,C1148,$B$5:B1148,"Sortie"),6),""))</f>
        <v/>
      </c>
      <c r="L1148" s="39" t="str">
        <f>IF(COUNTA(A1148:C1148,E1148)=0,"",IF(COUNTA(A1148:C1148,E1148)&lt;4,"Ligne incomplète",IF(NOT(ISNUMBER(A1148)),"Date invalide",IF(AND(B1148&lt;&gt;"Entrée",B1148&lt;&gt;"Sortie"),"Type inconnu",IF(ISNA(MATCH(C1148,art_ref,0)),"Référence inconnue",IF(OR(NOT(ISNUMBER(E1148)),N(E1148)&lt;=0),"Quantité invalide",IF(K1148&lt;0,"Stock négatif",IF(AND(ISNUMBER(A1147),A1148&lt;A1147),"Date hors ordre","OK"))))))))</f>
        <v/>
      </c>
      <c r="M1148" s="39" t="str">
        <f>IF(C1148="","",C1148&amp;"#"&amp;COUNTIF($C$5:C1148,C1148))</f>
        <v/>
      </c>
    </row>
    <row r="1149">
      <c r="A1149" s="41" t="n"/>
      <c r="B1149" s="37" t="n"/>
      <c r="C1149" s="37" t="n"/>
      <c r="D1149" s="39" t="str">
        <f>IF(C1149="","",IFERROR(INDEX(art_des,MATCH(C1149,art_ref,0))&amp;"","Référence inconnue"))</f>
        <v/>
      </c>
      <c r="E1149" s="37" t="n"/>
      <c r="F1149" s="39" t="str">
        <f>IF(C1149="","",IFERROR(INDEX(art_unit,MATCH(C1149,art_ref,0))&amp;"",""))</f>
        <v/>
      </c>
      <c r="G1149" s="37" t="n"/>
      <c r="H1149" s="37" t="n"/>
      <c r="I1149" s="37" t="n"/>
      <c r="J1149" s="40" t="str">
        <f>IF(OR(C1149="",NOT(ISNUMBER(E1149))),"",IFERROR(E1149*N(INDEX(art_price,MATCH(C1149,art_ref,0))),""))</f>
        <v/>
      </c>
      <c r="K1149" s="39" t="str">
        <f>IF(OR(C1149="",NOT(ISNUMBER(E1149))),"",IFERROR(ROUND(N(INDEX(art_init,MATCH(C1149,art_ref,0)))+SUMIFS($E$5:E1149,$C$5:C1149,C1149,$B$5:B1149,"Entrée")-SUMIFS($E$5:E1149,$C$5:C1149,C1149,$B$5:B1149,"Sortie"),6),""))</f>
        <v/>
      </c>
      <c r="L1149" s="39" t="str">
        <f>IF(COUNTA(A1149:C1149,E1149)=0,"",IF(COUNTA(A1149:C1149,E1149)&lt;4,"Ligne incomplète",IF(NOT(ISNUMBER(A1149)),"Date invalide",IF(AND(B1149&lt;&gt;"Entrée",B1149&lt;&gt;"Sortie"),"Type inconnu",IF(ISNA(MATCH(C1149,art_ref,0)),"Référence inconnue",IF(OR(NOT(ISNUMBER(E1149)),N(E1149)&lt;=0),"Quantité invalide",IF(K1149&lt;0,"Stock négatif",IF(AND(ISNUMBER(A1148),A1149&lt;A1148),"Date hors ordre","OK"))))))))</f>
        <v/>
      </c>
      <c r="M1149" s="39" t="str">
        <f>IF(C1149="","",C1149&amp;"#"&amp;COUNTIF($C$5:C1149,C1149))</f>
        <v/>
      </c>
    </row>
    <row r="1150">
      <c r="A1150" s="41" t="n"/>
      <c r="B1150" s="37" t="n"/>
      <c r="C1150" s="37" t="n"/>
      <c r="D1150" s="39" t="str">
        <f>IF(C1150="","",IFERROR(INDEX(art_des,MATCH(C1150,art_ref,0))&amp;"","Référence inconnue"))</f>
        <v/>
      </c>
      <c r="E1150" s="37" t="n"/>
      <c r="F1150" s="39" t="str">
        <f>IF(C1150="","",IFERROR(INDEX(art_unit,MATCH(C1150,art_ref,0))&amp;"",""))</f>
        <v/>
      </c>
      <c r="G1150" s="37" t="n"/>
      <c r="H1150" s="37" t="n"/>
      <c r="I1150" s="37" t="n"/>
      <c r="J1150" s="40" t="str">
        <f>IF(OR(C1150="",NOT(ISNUMBER(E1150))),"",IFERROR(E1150*N(INDEX(art_price,MATCH(C1150,art_ref,0))),""))</f>
        <v/>
      </c>
      <c r="K1150" s="39" t="str">
        <f>IF(OR(C1150="",NOT(ISNUMBER(E1150))),"",IFERROR(ROUND(N(INDEX(art_init,MATCH(C1150,art_ref,0)))+SUMIFS($E$5:E1150,$C$5:C1150,C1150,$B$5:B1150,"Entrée")-SUMIFS($E$5:E1150,$C$5:C1150,C1150,$B$5:B1150,"Sortie"),6),""))</f>
        <v/>
      </c>
      <c r="L1150" s="39" t="str">
        <f>IF(COUNTA(A1150:C1150,E1150)=0,"",IF(COUNTA(A1150:C1150,E1150)&lt;4,"Ligne incomplète",IF(NOT(ISNUMBER(A1150)),"Date invalide",IF(AND(B1150&lt;&gt;"Entrée",B1150&lt;&gt;"Sortie"),"Type inconnu",IF(ISNA(MATCH(C1150,art_ref,0)),"Référence inconnue",IF(OR(NOT(ISNUMBER(E1150)),N(E1150)&lt;=0),"Quantité invalide",IF(K1150&lt;0,"Stock négatif",IF(AND(ISNUMBER(A1149),A1150&lt;A1149),"Date hors ordre","OK"))))))))</f>
        <v/>
      </c>
      <c r="M1150" s="39" t="str">
        <f>IF(C1150="","",C1150&amp;"#"&amp;COUNTIF($C$5:C1150,C1150))</f>
        <v/>
      </c>
    </row>
    <row r="1151">
      <c r="A1151" s="41" t="n"/>
      <c r="B1151" s="37" t="n"/>
      <c r="C1151" s="37" t="n"/>
      <c r="D1151" s="39" t="str">
        <f>IF(C1151="","",IFERROR(INDEX(art_des,MATCH(C1151,art_ref,0))&amp;"","Référence inconnue"))</f>
        <v/>
      </c>
      <c r="E1151" s="37" t="n"/>
      <c r="F1151" s="39" t="str">
        <f>IF(C1151="","",IFERROR(INDEX(art_unit,MATCH(C1151,art_ref,0))&amp;"",""))</f>
        <v/>
      </c>
      <c r="G1151" s="37" t="n"/>
      <c r="H1151" s="37" t="n"/>
      <c r="I1151" s="37" t="n"/>
      <c r="J1151" s="40" t="str">
        <f>IF(OR(C1151="",NOT(ISNUMBER(E1151))),"",IFERROR(E1151*N(INDEX(art_price,MATCH(C1151,art_ref,0))),""))</f>
        <v/>
      </c>
      <c r="K1151" s="39" t="str">
        <f>IF(OR(C1151="",NOT(ISNUMBER(E1151))),"",IFERROR(ROUND(N(INDEX(art_init,MATCH(C1151,art_ref,0)))+SUMIFS($E$5:E1151,$C$5:C1151,C1151,$B$5:B1151,"Entrée")-SUMIFS($E$5:E1151,$C$5:C1151,C1151,$B$5:B1151,"Sortie"),6),""))</f>
        <v/>
      </c>
      <c r="L1151" s="39" t="str">
        <f>IF(COUNTA(A1151:C1151,E1151)=0,"",IF(COUNTA(A1151:C1151,E1151)&lt;4,"Ligne incomplète",IF(NOT(ISNUMBER(A1151)),"Date invalide",IF(AND(B1151&lt;&gt;"Entrée",B1151&lt;&gt;"Sortie"),"Type inconnu",IF(ISNA(MATCH(C1151,art_ref,0)),"Référence inconnue",IF(OR(NOT(ISNUMBER(E1151)),N(E1151)&lt;=0),"Quantité invalide",IF(K1151&lt;0,"Stock négatif",IF(AND(ISNUMBER(A1150),A1151&lt;A1150),"Date hors ordre","OK"))))))))</f>
        <v/>
      </c>
      <c r="M1151" s="39" t="str">
        <f>IF(C1151="","",C1151&amp;"#"&amp;COUNTIF($C$5:C1151,C1151))</f>
        <v/>
      </c>
    </row>
    <row r="1152">
      <c r="A1152" s="41" t="n"/>
      <c r="B1152" s="37" t="n"/>
      <c r="C1152" s="37" t="n"/>
      <c r="D1152" s="39" t="str">
        <f>IF(C1152="","",IFERROR(INDEX(art_des,MATCH(C1152,art_ref,0))&amp;"","Référence inconnue"))</f>
        <v/>
      </c>
      <c r="E1152" s="37" t="n"/>
      <c r="F1152" s="39" t="str">
        <f>IF(C1152="","",IFERROR(INDEX(art_unit,MATCH(C1152,art_ref,0))&amp;"",""))</f>
        <v/>
      </c>
      <c r="G1152" s="37" t="n"/>
      <c r="H1152" s="37" t="n"/>
      <c r="I1152" s="37" t="n"/>
      <c r="J1152" s="40" t="str">
        <f>IF(OR(C1152="",NOT(ISNUMBER(E1152))),"",IFERROR(E1152*N(INDEX(art_price,MATCH(C1152,art_ref,0))),""))</f>
        <v/>
      </c>
      <c r="K1152" s="39" t="str">
        <f>IF(OR(C1152="",NOT(ISNUMBER(E1152))),"",IFERROR(ROUND(N(INDEX(art_init,MATCH(C1152,art_ref,0)))+SUMIFS($E$5:E1152,$C$5:C1152,C1152,$B$5:B1152,"Entrée")-SUMIFS($E$5:E1152,$C$5:C1152,C1152,$B$5:B1152,"Sortie"),6),""))</f>
        <v/>
      </c>
      <c r="L1152" s="39" t="str">
        <f>IF(COUNTA(A1152:C1152,E1152)=0,"",IF(COUNTA(A1152:C1152,E1152)&lt;4,"Ligne incomplète",IF(NOT(ISNUMBER(A1152)),"Date invalide",IF(AND(B1152&lt;&gt;"Entrée",B1152&lt;&gt;"Sortie"),"Type inconnu",IF(ISNA(MATCH(C1152,art_ref,0)),"Référence inconnue",IF(OR(NOT(ISNUMBER(E1152)),N(E1152)&lt;=0),"Quantité invalide",IF(K1152&lt;0,"Stock négatif",IF(AND(ISNUMBER(A1151),A1152&lt;A1151),"Date hors ordre","OK"))))))))</f>
        <v/>
      </c>
      <c r="M1152" s="39" t="str">
        <f>IF(C1152="","",C1152&amp;"#"&amp;COUNTIF($C$5:C1152,C1152))</f>
        <v/>
      </c>
    </row>
    <row r="1153">
      <c r="A1153" s="41" t="n"/>
      <c r="B1153" s="37" t="n"/>
      <c r="C1153" s="37" t="n"/>
      <c r="D1153" s="39" t="str">
        <f>IF(C1153="","",IFERROR(INDEX(art_des,MATCH(C1153,art_ref,0))&amp;"","Référence inconnue"))</f>
        <v/>
      </c>
      <c r="E1153" s="37" t="n"/>
      <c r="F1153" s="39" t="str">
        <f>IF(C1153="","",IFERROR(INDEX(art_unit,MATCH(C1153,art_ref,0))&amp;"",""))</f>
        <v/>
      </c>
      <c r="G1153" s="37" t="n"/>
      <c r="H1153" s="37" t="n"/>
      <c r="I1153" s="37" t="n"/>
      <c r="J1153" s="40" t="str">
        <f>IF(OR(C1153="",NOT(ISNUMBER(E1153))),"",IFERROR(E1153*N(INDEX(art_price,MATCH(C1153,art_ref,0))),""))</f>
        <v/>
      </c>
      <c r="K1153" s="39" t="str">
        <f>IF(OR(C1153="",NOT(ISNUMBER(E1153))),"",IFERROR(ROUND(N(INDEX(art_init,MATCH(C1153,art_ref,0)))+SUMIFS($E$5:E1153,$C$5:C1153,C1153,$B$5:B1153,"Entrée")-SUMIFS($E$5:E1153,$C$5:C1153,C1153,$B$5:B1153,"Sortie"),6),""))</f>
        <v/>
      </c>
      <c r="L1153" s="39" t="str">
        <f>IF(COUNTA(A1153:C1153,E1153)=0,"",IF(COUNTA(A1153:C1153,E1153)&lt;4,"Ligne incomplète",IF(NOT(ISNUMBER(A1153)),"Date invalide",IF(AND(B1153&lt;&gt;"Entrée",B1153&lt;&gt;"Sortie"),"Type inconnu",IF(ISNA(MATCH(C1153,art_ref,0)),"Référence inconnue",IF(OR(NOT(ISNUMBER(E1153)),N(E1153)&lt;=0),"Quantité invalide",IF(K1153&lt;0,"Stock négatif",IF(AND(ISNUMBER(A1152),A1153&lt;A1152),"Date hors ordre","OK"))))))))</f>
        <v/>
      </c>
      <c r="M1153" s="39" t="str">
        <f>IF(C1153="","",C1153&amp;"#"&amp;COUNTIF($C$5:C1153,C1153))</f>
        <v/>
      </c>
    </row>
    <row r="1154">
      <c r="A1154" s="41" t="n"/>
      <c r="B1154" s="37" t="n"/>
      <c r="C1154" s="37" t="n"/>
      <c r="D1154" s="39" t="str">
        <f>IF(C1154="","",IFERROR(INDEX(art_des,MATCH(C1154,art_ref,0))&amp;"","Référence inconnue"))</f>
        <v/>
      </c>
      <c r="E1154" s="37" t="n"/>
      <c r="F1154" s="39" t="str">
        <f>IF(C1154="","",IFERROR(INDEX(art_unit,MATCH(C1154,art_ref,0))&amp;"",""))</f>
        <v/>
      </c>
      <c r="G1154" s="37" t="n"/>
      <c r="H1154" s="37" t="n"/>
      <c r="I1154" s="37" t="n"/>
      <c r="J1154" s="40" t="str">
        <f>IF(OR(C1154="",NOT(ISNUMBER(E1154))),"",IFERROR(E1154*N(INDEX(art_price,MATCH(C1154,art_ref,0))),""))</f>
        <v/>
      </c>
      <c r="K1154" s="39" t="str">
        <f>IF(OR(C1154="",NOT(ISNUMBER(E1154))),"",IFERROR(ROUND(N(INDEX(art_init,MATCH(C1154,art_ref,0)))+SUMIFS($E$5:E1154,$C$5:C1154,C1154,$B$5:B1154,"Entrée")-SUMIFS($E$5:E1154,$C$5:C1154,C1154,$B$5:B1154,"Sortie"),6),""))</f>
        <v/>
      </c>
      <c r="L1154" s="39" t="str">
        <f>IF(COUNTA(A1154:C1154,E1154)=0,"",IF(COUNTA(A1154:C1154,E1154)&lt;4,"Ligne incomplète",IF(NOT(ISNUMBER(A1154)),"Date invalide",IF(AND(B1154&lt;&gt;"Entrée",B1154&lt;&gt;"Sortie"),"Type inconnu",IF(ISNA(MATCH(C1154,art_ref,0)),"Référence inconnue",IF(OR(NOT(ISNUMBER(E1154)),N(E1154)&lt;=0),"Quantité invalide",IF(K1154&lt;0,"Stock négatif",IF(AND(ISNUMBER(A1153),A1154&lt;A1153),"Date hors ordre","OK"))))))))</f>
        <v/>
      </c>
      <c r="M1154" s="39" t="str">
        <f>IF(C1154="","",C1154&amp;"#"&amp;COUNTIF($C$5:C1154,C1154))</f>
        <v/>
      </c>
    </row>
    <row r="1155">
      <c r="A1155" s="41" t="n"/>
      <c r="B1155" s="37" t="n"/>
      <c r="C1155" s="37" t="n"/>
      <c r="D1155" s="39" t="str">
        <f>IF(C1155="","",IFERROR(INDEX(art_des,MATCH(C1155,art_ref,0))&amp;"","Référence inconnue"))</f>
        <v/>
      </c>
      <c r="E1155" s="37" t="n"/>
      <c r="F1155" s="39" t="str">
        <f>IF(C1155="","",IFERROR(INDEX(art_unit,MATCH(C1155,art_ref,0))&amp;"",""))</f>
        <v/>
      </c>
      <c r="G1155" s="37" t="n"/>
      <c r="H1155" s="37" t="n"/>
      <c r="I1155" s="37" t="n"/>
      <c r="J1155" s="40" t="str">
        <f>IF(OR(C1155="",NOT(ISNUMBER(E1155))),"",IFERROR(E1155*N(INDEX(art_price,MATCH(C1155,art_ref,0))),""))</f>
        <v/>
      </c>
      <c r="K1155" s="39" t="str">
        <f>IF(OR(C1155="",NOT(ISNUMBER(E1155))),"",IFERROR(ROUND(N(INDEX(art_init,MATCH(C1155,art_ref,0)))+SUMIFS($E$5:E1155,$C$5:C1155,C1155,$B$5:B1155,"Entrée")-SUMIFS($E$5:E1155,$C$5:C1155,C1155,$B$5:B1155,"Sortie"),6),""))</f>
        <v/>
      </c>
      <c r="L1155" s="39" t="str">
        <f>IF(COUNTA(A1155:C1155,E1155)=0,"",IF(COUNTA(A1155:C1155,E1155)&lt;4,"Ligne incomplète",IF(NOT(ISNUMBER(A1155)),"Date invalide",IF(AND(B1155&lt;&gt;"Entrée",B1155&lt;&gt;"Sortie"),"Type inconnu",IF(ISNA(MATCH(C1155,art_ref,0)),"Référence inconnue",IF(OR(NOT(ISNUMBER(E1155)),N(E1155)&lt;=0),"Quantité invalide",IF(K1155&lt;0,"Stock négatif",IF(AND(ISNUMBER(A1154),A1155&lt;A1154),"Date hors ordre","OK"))))))))</f>
        <v/>
      </c>
      <c r="M1155" s="39" t="str">
        <f>IF(C1155="","",C1155&amp;"#"&amp;COUNTIF($C$5:C1155,C1155))</f>
        <v/>
      </c>
    </row>
    <row r="1156">
      <c r="A1156" s="41" t="n"/>
      <c r="B1156" s="37" t="n"/>
      <c r="C1156" s="37" t="n"/>
      <c r="D1156" s="39" t="str">
        <f>IF(C1156="","",IFERROR(INDEX(art_des,MATCH(C1156,art_ref,0))&amp;"","Référence inconnue"))</f>
        <v/>
      </c>
      <c r="E1156" s="37" t="n"/>
      <c r="F1156" s="39" t="str">
        <f>IF(C1156="","",IFERROR(INDEX(art_unit,MATCH(C1156,art_ref,0))&amp;"",""))</f>
        <v/>
      </c>
      <c r="G1156" s="37" t="n"/>
      <c r="H1156" s="37" t="n"/>
      <c r="I1156" s="37" t="n"/>
      <c r="J1156" s="40" t="str">
        <f>IF(OR(C1156="",NOT(ISNUMBER(E1156))),"",IFERROR(E1156*N(INDEX(art_price,MATCH(C1156,art_ref,0))),""))</f>
        <v/>
      </c>
      <c r="K1156" s="39" t="str">
        <f>IF(OR(C1156="",NOT(ISNUMBER(E1156))),"",IFERROR(ROUND(N(INDEX(art_init,MATCH(C1156,art_ref,0)))+SUMIFS($E$5:E1156,$C$5:C1156,C1156,$B$5:B1156,"Entrée")-SUMIFS($E$5:E1156,$C$5:C1156,C1156,$B$5:B1156,"Sortie"),6),""))</f>
        <v/>
      </c>
      <c r="L1156" s="39" t="str">
        <f>IF(COUNTA(A1156:C1156,E1156)=0,"",IF(COUNTA(A1156:C1156,E1156)&lt;4,"Ligne incomplète",IF(NOT(ISNUMBER(A1156)),"Date invalide",IF(AND(B1156&lt;&gt;"Entrée",B1156&lt;&gt;"Sortie"),"Type inconnu",IF(ISNA(MATCH(C1156,art_ref,0)),"Référence inconnue",IF(OR(NOT(ISNUMBER(E1156)),N(E1156)&lt;=0),"Quantité invalide",IF(K1156&lt;0,"Stock négatif",IF(AND(ISNUMBER(A1155),A1156&lt;A1155),"Date hors ordre","OK"))))))))</f>
        <v/>
      </c>
      <c r="M1156" s="39" t="str">
        <f>IF(C1156="","",C1156&amp;"#"&amp;COUNTIF($C$5:C1156,C1156))</f>
        <v/>
      </c>
    </row>
    <row r="1157">
      <c r="A1157" s="41" t="n"/>
      <c r="B1157" s="37" t="n"/>
      <c r="C1157" s="37" t="n"/>
      <c r="D1157" s="39" t="str">
        <f>IF(C1157="","",IFERROR(INDEX(art_des,MATCH(C1157,art_ref,0))&amp;"","Référence inconnue"))</f>
        <v/>
      </c>
      <c r="E1157" s="37" t="n"/>
      <c r="F1157" s="39" t="str">
        <f>IF(C1157="","",IFERROR(INDEX(art_unit,MATCH(C1157,art_ref,0))&amp;"",""))</f>
        <v/>
      </c>
      <c r="G1157" s="37" t="n"/>
      <c r="H1157" s="37" t="n"/>
      <c r="I1157" s="37" t="n"/>
      <c r="J1157" s="40" t="str">
        <f>IF(OR(C1157="",NOT(ISNUMBER(E1157))),"",IFERROR(E1157*N(INDEX(art_price,MATCH(C1157,art_ref,0))),""))</f>
        <v/>
      </c>
      <c r="K1157" s="39" t="str">
        <f>IF(OR(C1157="",NOT(ISNUMBER(E1157))),"",IFERROR(ROUND(N(INDEX(art_init,MATCH(C1157,art_ref,0)))+SUMIFS($E$5:E1157,$C$5:C1157,C1157,$B$5:B1157,"Entrée")-SUMIFS($E$5:E1157,$C$5:C1157,C1157,$B$5:B1157,"Sortie"),6),""))</f>
        <v/>
      </c>
      <c r="L1157" s="39" t="str">
        <f>IF(COUNTA(A1157:C1157,E1157)=0,"",IF(COUNTA(A1157:C1157,E1157)&lt;4,"Ligne incomplète",IF(NOT(ISNUMBER(A1157)),"Date invalide",IF(AND(B1157&lt;&gt;"Entrée",B1157&lt;&gt;"Sortie"),"Type inconnu",IF(ISNA(MATCH(C1157,art_ref,0)),"Référence inconnue",IF(OR(NOT(ISNUMBER(E1157)),N(E1157)&lt;=0),"Quantité invalide",IF(K1157&lt;0,"Stock négatif",IF(AND(ISNUMBER(A1156),A1157&lt;A1156),"Date hors ordre","OK"))))))))</f>
        <v/>
      </c>
      <c r="M1157" s="39" t="str">
        <f>IF(C1157="","",C1157&amp;"#"&amp;COUNTIF($C$5:C1157,C1157))</f>
        <v/>
      </c>
    </row>
    <row r="1158">
      <c r="A1158" s="41" t="n"/>
      <c r="B1158" s="37" t="n"/>
      <c r="C1158" s="37" t="n"/>
      <c r="D1158" s="39" t="str">
        <f>IF(C1158="","",IFERROR(INDEX(art_des,MATCH(C1158,art_ref,0))&amp;"","Référence inconnue"))</f>
        <v/>
      </c>
      <c r="E1158" s="37" t="n"/>
      <c r="F1158" s="39" t="str">
        <f>IF(C1158="","",IFERROR(INDEX(art_unit,MATCH(C1158,art_ref,0))&amp;"",""))</f>
        <v/>
      </c>
      <c r="G1158" s="37" t="n"/>
      <c r="H1158" s="37" t="n"/>
      <c r="I1158" s="37" t="n"/>
      <c r="J1158" s="40" t="str">
        <f>IF(OR(C1158="",NOT(ISNUMBER(E1158))),"",IFERROR(E1158*N(INDEX(art_price,MATCH(C1158,art_ref,0))),""))</f>
        <v/>
      </c>
      <c r="K1158" s="39" t="str">
        <f>IF(OR(C1158="",NOT(ISNUMBER(E1158))),"",IFERROR(ROUND(N(INDEX(art_init,MATCH(C1158,art_ref,0)))+SUMIFS($E$5:E1158,$C$5:C1158,C1158,$B$5:B1158,"Entrée")-SUMIFS($E$5:E1158,$C$5:C1158,C1158,$B$5:B1158,"Sortie"),6),""))</f>
        <v/>
      </c>
      <c r="L1158" s="39" t="str">
        <f>IF(COUNTA(A1158:C1158,E1158)=0,"",IF(COUNTA(A1158:C1158,E1158)&lt;4,"Ligne incomplète",IF(NOT(ISNUMBER(A1158)),"Date invalide",IF(AND(B1158&lt;&gt;"Entrée",B1158&lt;&gt;"Sortie"),"Type inconnu",IF(ISNA(MATCH(C1158,art_ref,0)),"Référence inconnue",IF(OR(NOT(ISNUMBER(E1158)),N(E1158)&lt;=0),"Quantité invalide",IF(K1158&lt;0,"Stock négatif",IF(AND(ISNUMBER(A1157),A1158&lt;A1157),"Date hors ordre","OK"))))))))</f>
        <v/>
      </c>
      <c r="M1158" s="39" t="str">
        <f>IF(C1158="","",C1158&amp;"#"&amp;COUNTIF($C$5:C1158,C1158))</f>
        <v/>
      </c>
    </row>
    <row r="1159">
      <c r="A1159" s="41" t="n"/>
      <c r="B1159" s="37" t="n"/>
      <c r="C1159" s="37" t="n"/>
      <c r="D1159" s="39" t="str">
        <f>IF(C1159="","",IFERROR(INDEX(art_des,MATCH(C1159,art_ref,0))&amp;"","Référence inconnue"))</f>
        <v/>
      </c>
      <c r="E1159" s="37" t="n"/>
      <c r="F1159" s="39" t="str">
        <f>IF(C1159="","",IFERROR(INDEX(art_unit,MATCH(C1159,art_ref,0))&amp;"",""))</f>
        <v/>
      </c>
      <c r="G1159" s="37" t="n"/>
      <c r="H1159" s="37" t="n"/>
      <c r="I1159" s="37" t="n"/>
      <c r="J1159" s="40" t="str">
        <f>IF(OR(C1159="",NOT(ISNUMBER(E1159))),"",IFERROR(E1159*N(INDEX(art_price,MATCH(C1159,art_ref,0))),""))</f>
        <v/>
      </c>
      <c r="K1159" s="39" t="str">
        <f>IF(OR(C1159="",NOT(ISNUMBER(E1159))),"",IFERROR(ROUND(N(INDEX(art_init,MATCH(C1159,art_ref,0)))+SUMIFS($E$5:E1159,$C$5:C1159,C1159,$B$5:B1159,"Entrée")-SUMIFS($E$5:E1159,$C$5:C1159,C1159,$B$5:B1159,"Sortie"),6),""))</f>
        <v/>
      </c>
      <c r="L1159" s="39" t="str">
        <f>IF(COUNTA(A1159:C1159,E1159)=0,"",IF(COUNTA(A1159:C1159,E1159)&lt;4,"Ligne incomplète",IF(NOT(ISNUMBER(A1159)),"Date invalide",IF(AND(B1159&lt;&gt;"Entrée",B1159&lt;&gt;"Sortie"),"Type inconnu",IF(ISNA(MATCH(C1159,art_ref,0)),"Référence inconnue",IF(OR(NOT(ISNUMBER(E1159)),N(E1159)&lt;=0),"Quantité invalide",IF(K1159&lt;0,"Stock négatif",IF(AND(ISNUMBER(A1158),A1159&lt;A1158),"Date hors ordre","OK"))))))))</f>
        <v/>
      </c>
      <c r="M1159" s="39" t="str">
        <f>IF(C1159="","",C1159&amp;"#"&amp;COUNTIF($C$5:C1159,C1159))</f>
        <v/>
      </c>
    </row>
    <row r="1160">
      <c r="A1160" s="41" t="n"/>
      <c r="B1160" s="37" t="n"/>
      <c r="C1160" s="37" t="n"/>
      <c r="D1160" s="39" t="str">
        <f>IF(C1160="","",IFERROR(INDEX(art_des,MATCH(C1160,art_ref,0))&amp;"","Référence inconnue"))</f>
        <v/>
      </c>
      <c r="E1160" s="37" t="n"/>
      <c r="F1160" s="39" t="str">
        <f>IF(C1160="","",IFERROR(INDEX(art_unit,MATCH(C1160,art_ref,0))&amp;"",""))</f>
        <v/>
      </c>
      <c r="G1160" s="37" t="n"/>
      <c r="H1160" s="37" t="n"/>
      <c r="I1160" s="37" t="n"/>
      <c r="J1160" s="40" t="str">
        <f>IF(OR(C1160="",NOT(ISNUMBER(E1160))),"",IFERROR(E1160*N(INDEX(art_price,MATCH(C1160,art_ref,0))),""))</f>
        <v/>
      </c>
      <c r="K1160" s="39" t="str">
        <f>IF(OR(C1160="",NOT(ISNUMBER(E1160))),"",IFERROR(ROUND(N(INDEX(art_init,MATCH(C1160,art_ref,0)))+SUMIFS($E$5:E1160,$C$5:C1160,C1160,$B$5:B1160,"Entrée")-SUMIFS($E$5:E1160,$C$5:C1160,C1160,$B$5:B1160,"Sortie"),6),""))</f>
        <v/>
      </c>
      <c r="L1160" s="39" t="str">
        <f>IF(COUNTA(A1160:C1160,E1160)=0,"",IF(COUNTA(A1160:C1160,E1160)&lt;4,"Ligne incomplète",IF(NOT(ISNUMBER(A1160)),"Date invalide",IF(AND(B1160&lt;&gt;"Entrée",B1160&lt;&gt;"Sortie"),"Type inconnu",IF(ISNA(MATCH(C1160,art_ref,0)),"Référence inconnue",IF(OR(NOT(ISNUMBER(E1160)),N(E1160)&lt;=0),"Quantité invalide",IF(K1160&lt;0,"Stock négatif",IF(AND(ISNUMBER(A1159),A1160&lt;A1159),"Date hors ordre","OK"))))))))</f>
        <v/>
      </c>
      <c r="M1160" s="39" t="str">
        <f>IF(C1160="","",C1160&amp;"#"&amp;COUNTIF($C$5:C1160,C1160))</f>
        <v/>
      </c>
    </row>
    <row r="1161">
      <c r="A1161" s="41" t="n"/>
      <c r="B1161" s="37" t="n"/>
      <c r="C1161" s="37" t="n"/>
      <c r="D1161" s="39" t="str">
        <f>IF(C1161="","",IFERROR(INDEX(art_des,MATCH(C1161,art_ref,0))&amp;"","Référence inconnue"))</f>
        <v/>
      </c>
      <c r="E1161" s="37" t="n"/>
      <c r="F1161" s="39" t="str">
        <f>IF(C1161="","",IFERROR(INDEX(art_unit,MATCH(C1161,art_ref,0))&amp;"",""))</f>
        <v/>
      </c>
      <c r="G1161" s="37" t="n"/>
      <c r="H1161" s="37" t="n"/>
      <c r="I1161" s="37" t="n"/>
      <c r="J1161" s="40" t="str">
        <f>IF(OR(C1161="",NOT(ISNUMBER(E1161))),"",IFERROR(E1161*N(INDEX(art_price,MATCH(C1161,art_ref,0))),""))</f>
        <v/>
      </c>
      <c r="K1161" s="39" t="str">
        <f>IF(OR(C1161="",NOT(ISNUMBER(E1161))),"",IFERROR(ROUND(N(INDEX(art_init,MATCH(C1161,art_ref,0)))+SUMIFS($E$5:E1161,$C$5:C1161,C1161,$B$5:B1161,"Entrée")-SUMIFS($E$5:E1161,$C$5:C1161,C1161,$B$5:B1161,"Sortie"),6),""))</f>
        <v/>
      </c>
      <c r="L1161" s="39" t="str">
        <f>IF(COUNTA(A1161:C1161,E1161)=0,"",IF(COUNTA(A1161:C1161,E1161)&lt;4,"Ligne incomplète",IF(NOT(ISNUMBER(A1161)),"Date invalide",IF(AND(B1161&lt;&gt;"Entrée",B1161&lt;&gt;"Sortie"),"Type inconnu",IF(ISNA(MATCH(C1161,art_ref,0)),"Référence inconnue",IF(OR(NOT(ISNUMBER(E1161)),N(E1161)&lt;=0),"Quantité invalide",IF(K1161&lt;0,"Stock négatif",IF(AND(ISNUMBER(A1160),A1161&lt;A1160),"Date hors ordre","OK"))))))))</f>
        <v/>
      </c>
      <c r="M1161" s="39" t="str">
        <f>IF(C1161="","",C1161&amp;"#"&amp;COUNTIF($C$5:C1161,C1161))</f>
        <v/>
      </c>
    </row>
    <row r="1162">
      <c r="A1162" s="41" t="n"/>
      <c r="B1162" s="37" t="n"/>
      <c r="C1162" s="37" t="n"/>
      <c r="D1162" s="39" t="str">
        <f>IF(C1162="","",IFERROR(INDEX(art_des,MATCH(C1162,art_ref,0))&amp;"","Référence inconnue"))</f>
        <v/>
      </c>
      <c r="E1162" s="37" t="n"/>
      <c r="F1162" s="39" t="str">
        <f>IF(C1162="","",IFERROR(INDEX(art_unit,MATCH(C1162,art_ref,0))&amp;"",""))</f>
        <v/>
      </c>
      <c r="G1162" s="37" t="n"/>
      <c r="H1162" s="37" t="n"/>
      <c r="I1162" s="37" t="n"/>
      <c r="J1162" s="40" t="str">
        <f>IF(OR(C1162="",NOT(ISNUMBER(E1162))),"",IFERROR(E1162*N(INDEX(art_price,MATCH(C1162,art_ref,0))),""))</f>
        <v/>
      </c>
      <c r="K1162" s="39" t="str">
        <f>IF(OR(C1162="",NOT(ISNUMBER(E1162))),"",IFERROR(ROUND(N(INDEX(art_init,MATCH(C1162,art_ref,0)))+SUMIFS($E$5:E1162,$C$5:C1162,C1162,$B$5:B1162,"Entrée")-SUMIFS($E$5:E1162,$C$5:C1162,C1162,$B$5:B1162,"Sortie"),6),""))</f>
        <v/>
      </c>
      <c r="L1162" s="39" t="str">
        <f>IF(COUNTA(A1162:C1162,E1162)=0,"",IF(COUNTA(A1162:C1162,E1162)&lt;4,"Ligne incomplète",IF(NOT(ISNUMBER(A1162)),"Date invalide",IF(AND(B1162&lt;&gt;"Entrée",B1162&lt;&gt;"Sortie"),"Type inconnu",IF(ISNA(MATCH(C1162,art_ref,0)),"Référence inconnue",IF(OR(NOT(ISNUMBER(E1162)),N(E1162)&lt;=0),"Quantité invalide",IF(K1162&lt;0,"Stock négatif",IF(AND(ISNUMBER(A1161),A1162&lt;A1161),"Date hors ordre","OK"))))))))</f>
        <v/>
      </c>
      <c r="M1162" s="39" t="str">
        <f>IF(C1162="","",C1162&amp;"#"&amp;COUNTIF($C$5:C1162,C1162))</f>
        <v/>
      </c>
    </row>
    <row r="1163">
      <c r="A1163" s="41" t="n"/>
      <c r="B1163" s="37" t="n"/>
      <c r="C1163" s="37" t="n"/>
      <c r="D1163" s="39" t="str">
        <f>IF(C1163="","",IFERROR(INDEX(art_des,MATCH(C1163,art_ref,0))&amp;"","Référence inconnue"))</f>
        <v/>
      </c>
      <c r="E1163" s="37" t="n"/>
      <c r="F1163" s="39" t="str">
        <f>IF(C1163="","",IFERROR(INDEX(art_unit,MATCH(C1163,art_ref,0))&amp;"",""))</f>
        <v/>
      </c>
      <c r="G1163" s="37" t="n"/>
      <c r="H1163" s="37" t="n"/>
      <c r="I1163" s="37" t="n"/>
      <c r="J1163" s="40" t="str">
        <f>IF(OR(C1163="",NOT(ISNUMBER(E1163))),"",IFERROR(E1163*N(INDEX(art_price,MATCH(C1163,art_ref,0))),""))</f>
        <v/>
      </c>
      <c r="K1163" s="39" t="str">
        <f>IF(OR(C1163="",NOT(ISNUMBER(E1163))),"",IFERROR(ROUND(N(INDEX(art_init,MATCH(C1163,art_ref,0)))+SUMIFS($E$5:E1163,$C$5:C1163,C1163,$B$5:B1163,"Entrée")-SUMIFS($E$5:E1163,$C$5:C1163,C1163,$B$5:B1163,"Sortie"),6),""))</f>
        <v/>
      </c>
      <c r="L1163" s="39" t="str">
        <f>IF(COUNTA(A1163:C1163,E1163)=0,"",IF(COUNTA(A1163:C1163,E1163)&lt;4,"Ligne incomplète",IF(NOT(ISNUMBER(A1163)),"Date invalide",IF(AND(B1163&lt;&gt;"Entrée",B1163&lt;&gt;"Sortie"),"Type inconnu",IF(ISNA(MATCH(C1163,art_ref,0)),"Référence inconnue",IF(OR(NOT(ISNUMBER(E1163)),N(E1163)&lt;=0),"Quantité invalide",IF(K1163&lt;0,"Stock négatif",IF(AND(ISNUMBER(A1162),A1163&lt;A1162),"Date hors ordre","OK"))))))))</f>
        <v/>
      </c>
      <c r="M1163" s="39" t="str">
        <f>IF(C1163="","",C1163&amp;"#"&amp;COUNTIF($C$5:C1163,C1163))</f>
        <v/>
      </c>
    </row>
    <row r="1164">
      <c r="A1164" s="41" t="n"/>
      <c r="B1164" s="37" t="n"/>
      <c r="C1164" s="37" t="n"/>
      <c r="D1164" s="39" t="str">
        <f>IF(C1164="","",IFERROR(INDEX(art_des,MATCH(C1164,art_ref,0))&amp;"","Référence inconnue"))</f>
        <v/>
      </c>
      <c r="E1164" s="37" t="n"/>
      <c r="F1164" s="39" t="str">
        <f>IF(C1164="","",IFERROR(INDEX(art_unit,MATCH(C1164,art_ref,0))&amp;"",""))</f>
        <v/>
      </c>
      <c r="G1164" s="37" t="n"/>
      <c r="H1164" s="37" t="n"/>
      <c r="I1164" s="37" t="n"/>
      <c r="J1164" s="40" t="str">
        <f>IF(OR(C1164="",NOT(ISNUMBER(E1164))),"",IFERROR(E1164*N(INDEX(art_price,MATCH(C1164,art_ref,0))),""))</f>
        <v/>
      </c>
      <c r="K1164" s="39" t="str">
        <f>IF(OR(C1164="",NOT(ISNUMBER(E1164))),"",IFERROR(ROUND(N(INDEX(art_init,MATCH(C1164,art_ref,0)))+SUMIFS($E$5:E1164,$C$5:C1164,C1164,$B$5:B1164,"Entrée")-SUMIFS($E$5:E1164,$C$5:C1164,C1164,$B$5:B1164,"Sortie"),6),""))</f>
        <v/>
      </c>
      <c r="L1164" s="39" t="str">
        <f>IF(COUNTA(A1164:C1164,E1164)=0,"",IF(COUNTA(A1164:C1164,E1164)&lt;4,"Ligne incomplète",IF(NOT(ISNUMBER(A1164)),"Date invalide",IF(AND(B1164&lt;&gt;"Entrée",B1164&lt;&gt;"Sortie"),"Type inconnu",IF(ISNA(MATCH(C1164,art_ref,0)),"Référence inconnue",IF(OR(NOT(ISNUMBER(E1164)),N(E1164)&lt;=0),"Quantité invalide",IF(K1164&lt;0,"Stock négatif",IF(AND(ISNUMBER(A1163),A1164&lt;A1163),"Date hors ordre","OK"))))))))</f>
        <v/>
      </c>
      <c r="M1164" s="39" t="str">
        <f>IF(C1164="","",C1164&amp;"#"&amp;COUNTIF($C$5:C1164,C1164))</f>
        <v/>
      </c>
    </row>
    <row r="1165">
      <c r="A1165" s="41" t="n"/>
      <c r="B1165" s="37" t="n"/>
      <c r="C1165" s="37" t="n"/>
      <c r="D1165" s="39" t="str">
        <f>IF(C1165="","",IFERROR(INDEX(art_des,MATCH(C1165,art_ref,0))&amp;"","Référence inconnue"))</f>
        <v/>
      </c>
      <c r="E1165" s="37" t="n"/>
      <c r="F1165" s="39" t="str">
        <f>IF(C1165="","",IFERROR(INDEX(art_unit,MATCH(C1165,art_ref,0))&amp;"",""))</f>
        <v/>
      </c>
      <c r="G1165" s="37" t="n"/>
      <c r="H1165" s="37" t="n"/>
      <c r="I1165" s="37" t="n"/>
      <c r="J1165" s="40" t="str">
        <f>IF(OR(C1165="",NOT(ISNUMBER(E1165))),"",IFERROR(E1165*N(INDEX(art_price,MATCH(C1165,art_ref,0))),""))</f>
        <v/>
      </c>
      <c r="K1165" s="39" t="str">
        <f>IF(OR(C1165="",NOT(ISNUMBER(E1165))),"",IFERROR(ROUND(N(INDEX(art_init,MATCH(C1165,art_ref,0)))+SUMIFS($E$5:E1165,$C$5:C1165,C1165,$B$5:B1165,"Entrée")-SUMIFS($E$5:E1165,$C$5:C1165,C1165,$B$5:B1165,"Sortie"),6),""))</f>
        <v/>
      </c>
      <c r="L1165" s="39" t="str">
        <f>IF(COUNTA(A1165:C1165,E1165)=0,"",IF(COUNTA(A1165:C1165,E1165)&lt;4,"Ligne incomplète",IF(NOT(ISNUMBER(A1165)),"Date invalide",IF(AND(B1165&lt;&gt;"Entrée",B1165&lt;&gt;"Sortie"),"Type inconnu",IF(ISNA(MATCH(C1165,art_ref,0)),"Référence inconnue",IF(OR(NOT(ISNUMBER(E1165)),N(E1165)&lt;=0),"Quantité invalide",IF(K1165&lt;0,"Stock négatif",IF(AND(ISNUMBER(A1164),A1165&lt;A1164),"Date hors ordre","OK"))))))))</f>
        <v/>
      </c>
      <c r="M1165" s="39" t="str">
        <f>IF(C1165="","",C1165&amp;"#"&amp;COUNTIF($C$5:C1165,C1165))</f>
        <v/>
      </c>
    </row>
    <row r="1166">
      <c r="A1166" s="41" t="n"/>
      <c r="B1166" s="37" t="n"/>
      <c r="C1166" s="37" t="n"/>
      <c r="D1166" s="39" t="str">
        <f>IF(C1166="","",IFERROR(INDEX(art_des,MATCH(C1166,art_ref,0))&amp;"","Référence inconnue"))</f>
        <v/>
      </c>
      <c r="E1166" s="37" t="n"/>
      <c r="F1166" s="39" t="str">
        <f>IF(C1166="","",IFERROR(INDEX(art_unit,MATCH(C1166,art_ref,0))&amp;"",""))</f>
        <v/>
      </c>
      <c r="G1166" s="37" t="n"/>
      <c r="H1166" s="37" t="n"/>
      <c r="I1166" s="37" t="n"/>
      <c r="J1166" s="40" t="str">
        <f>IF(OR(C1166="",NOT(ISNUMBER(E1166))),"",IFERROR(E1166*N(INDEX(art_price,MATCH(C1166,art_ref,0))),""))</f>
        <v/>
      </c>
      <c r="K1166" s="39" t="str">
        <f>IF(OR(C1166="",NOT(ISNUMBER(E1166))),"",IFERROR(ROUND(N(INDEX(art_init,MATCH(C1166,art_ref,0)))+SUMIFS($E$5:E1166,$C$5:C1166,C1166,$B$5:B1166,"Entrée")-SUMIFS($E$5:E1166,$C$5:C1166,C1166,$B$5:B1166,"Sortie"),6),""))</f>
        <v/>
      </c>
      <c r="L1166" s="39" t="str">
        <f>IF(COUNTA(A1166:C1166,E1166)=0,"",IF(COUNTA(A1166:C1166,E1166)&lt;4,"Ligne incomplète",IF(NOT(ISNUMBER(A1166)),"Date invalide",IF(AND(B1166&lt;&gt;"Entrée",B1166&lt;&gt;"Sortie"),"Type inconnu",IF(ISNA(MATCH(C1166,art_ref,0)),"Référence inconnue",IF(OR(NOT(ISNUMBER(E1166)),N(E1166)&lt;=0),"Quantité invalide",IF(K1166&lt;0,"Stock négatif",IF(AND(ISNUMBER(A1165),A1166&lt;A1165),"Date hors ordre","OK"))))))))</f>
        <v/>
      </c>
      <c r="M1166" s="39" t="str">
        <f>IF(C1166="","",C1166&amp;"#"&amp;COUNTIF($C$5:C1166,C1166))</f>
        <v/>
      </c>
    </row>
    <row r="1167">
      <c r="A1167" s="41" t="n"/>
      <c r="B1167" s="37" t="n"/>
      <c r="C1167" s="37" t="n"/>
      <c r="D1167" s="39" t="str">
        <f>IF(C1167="","",IFERROR(INDEX(art_des,MATCH(C1167,art_ref,0))&amp;"","Référence inconnue"))</f>
        <v/>
      </c>
      <c r="E1167" s="37" t="n"/>
      <c r="F1167" s="39" t="str">
        <f>IF(C1167="","",IFERROR(INDEX(art_unit,MATCH(C1167,art_ref,0))&amp;"",""))</f>
        <v/>
      </c>
      <c r="G1167" s="37" t="n"/>
      <c r="H1167" s="37" t="n"/>
      <c r="I1167" s="37" t="n"/>
      <c r="J1167" s="40" t="str">
        <f>IF(OR(C1167="",NOT(ISNUMBER(E1167))),"",IFERROR(E1167*N(INDEX(art_price,MATCH(C1167,art_ref,0))),""))</f>
        <v/>
      </c>
      <c r="K1167" s="39" t="str">
        <f>IF(OR(C1167="",NOT(ISNUMBER(E1167))),"",IFERROR(ROUND(N(INDEX(art_init,MATCH(C1167,art_ref,0)))+SUMIFS($E$5:E1167,$C$5:C1167,C1167,$B$5:B1167,"Entrée")-SUMIFS($E$5:E1167,$C$5:C1167,C1167,$B$5:B1167,"Sortie"),6),""))</f>
        <v/>
      </c>
      <c r="L1167" s="39" t="str">
        <f>IF(COUNTA(A1167:C1167,E1167)=0,"",IF(COUNTA(A1167:C1167,E1167)&lt;4,"Ligne incomplète",IF(NOT(ISNUMBER(A1167)),"Date invalide",IF(AND(B1167&lt;&gt;"Entrée",B1167&lt;&gt;"Sortie"),"Type inconnu",IF(ISNA(MATCH(C1167,art_ref,0)),"Référence inconnue",IF(OR(NOT(ISNUMBER(E1167)),N(E1167)&lt;=0),"Quantité invalide",IF(K1167&lt;0,"Stock négatif",IF(AND(ISNUMBER(A1166),A1167&lt;A1166),"Date hors ordre","OK"))))))))</f>
        <v/>
      </c>
      <c r="M1167" s="39" t="str">
        <f>IF(C1167="","",C1167&amp;"#"&amp;COUNTIF($C$5:C1167,C1167))</f>
        <v/>
      </c>
    </row>
    <row r="1168">
      <c r="A1168" s="41" t="n"/>
      <c r="B1168" s="37" t="n"/>
      <c r="C1168" s="37" t="n"/>
      <c r="D1168" s="39" t="str">
        <f>IF(C1168="","",IFERROR(INDEX(art_des,MATCH(C1168,art_ref,0))&amp;"","Référence inconnue"))</f>
        <v/>
      </c>
      <c r="E1168" s="37" t="n"/>
      <c r="F1168" s="39" t="str">
        <f>IF(C1168="","",IFERROR(INDEX(art_unit,MATCH(C1168,art_ref,0))&amp;"",""))</f>
        <v/>
      </c>
      <c r="G1168" s="37" t="n"/>
      <c r="H1168" s="37" t="n"/>
      <c r="I1168" s="37" t="n"/>
      <c r="J1168" s="40" t="str">
        <f>IF(OR(C1168="",NOT(ISNUMBER(E1168))),"",IFERROR(E1168*N(INDEX(art_price,MATCH(C1168,art_ref,0))),""))</f>
        <v/>
      </c>
      <c r="K1168" s="39" t="str">
        <f>IF(OR(C1168="",NOT(ISNUMBER(E1168))),"",IFERROR(ROUND(N(INDEX(art_init,MATCH(C1168,art_ref,0)))+SUMIFS($E$5:E1168,$C$5:C1168,C1168,$B$5:B1168,"Entrée")-SUMIFS($E$5:E1168,$C$5:C1168,C1168,$B$5:B1168,"Sortie"),6),""))</f>
        <v/>
      </c>
      <c r="L1168" s="39" t="str">
        <f>IF(COUNTA(A1168:C1168,E1168)=0,"",IF(COUNTA(A1168:C1168,E1168)&lt;4,"Ligne incomplète",IF(NOT(ISNUMBER(A1168)),"Date invalide",IF(AND(B1168&lt;&gt;"Entrée",B1168&lt;&gt;"Sortie"),"Type inconnu",IF(ISNA(MATCH(C1168,art_ref,0)),"Référence inconnue",IF(OR(NOT(ISNUMBER(E1168)),N(E1168)&lt;=0),"Quantité invalide",IF(K1168&lt;0,"Stock négatif",IF(AND(ISNUMBER(A1167),A1168&lt;A1167),"Date hors ordre","OK"))))))))</f>
        <v/>
      </c>
      <c r="M1168" s="39" t="str">
        <f>IF(C1168="","",C1168&amp;"#"&amp;COUNTIF($C$5:C1168,C1168))</f>
        <v/>
      </c>
    </row>
    <row r="1169">
      <c r="A1169" s="41" t="n"/>
      <c r="B1169" s="37" t="n"/>
      <c r="C1169" s="37" t="n"/>
      <c r="D1169" s="39" t="str">
        <f>IF(C1169="","",IFERROR(INDEX(art_des,MATCH(C1169,art_ref,0))&amp;"","Référence inconnue"))</f>
        <v/>
      </c>
      <c r="E1169" s="37" t="n"/>
      <c r="F1169" s="39" t="str">
        <f>IF(C1169="","",IFERROR(INDEX(art_unit,MATCH(C1169,art_ref,0))&amp;"",""))</f>
        <v/>
      </c>
      <c r="G1169" s="37" t="n"/>
      <c r="H1169" s="37" t="n"/>
      <c r="I1169" s="37" t="n"/>
      <c r="J1169" s="40" t="str">
        <f>IF(OR(C1169="",NOT(ISNUMBER(E1169))),"",IFERROR(E1169*N(INDEX(art_price,MATCH(C1169,art_ref,0))),""))</f>
        <v/>
      </c>
      <c r="K1169" s="39" t="str">
        <f>IF(OR(C1169="",NOT(ISNUMBER(E1169))),"",IFERROR(ROUND(N(INDEX(art_init,MATCH(C1169,art_ref,0)))+SUMIFS($E$5:E1169,$C$5:C1169,C1169,$B$5:B1169,"Entrée")-SUMIFS($E$5:E1169,$C$5:C1169,C1169,$B$5:B1169,"Sortie"),6),""))</f>
        <v/>
      </c>
      <c r="L1169" s="39" t="str">
        <f>IF(COUNTA(A1169:C1169,E1169)=0,"",IF(COUNTA(A1169:C1169,E1169)&lt;4,"Ligne incomplète",IF(NOT(ISNUMBER(A1169)),"Date invalide",IF(AND(B1169&lt;&gt;"Entrée",B1169&lt;&gt;"Sortie"),"Type inconnu",IF(ISNA(MATCH(C1169,art_ref,0)),"Référence inconnue",IF(OR(NOT(ISNUMBER(E1169)),N(E1169)&lt;=0),"Quantité invalide",IF(K1169&lt;0,"Stock négatif",IF(AND(ISNUMBER(A1168),A1169&lt;A1168),"Date hors ordre","OK"))))))))</f>
        <v/>
      </c>
      <c r="M1169" s="39" t="str">
        <f>IF(C1169="","",C1169&amp;"#"&amp;COUNTIF($C$5:C1169,C1169))</f>
        <v/>
      </c>
    </row>
    <row r="1170">
      <c r="A1170" s="41" t="n"/>
      <c r="B1170" s="37" t="n"/>
      <c r="C1170" s="37" t="n"/>
      <c r="D1170" s="39" t="str">
        <f>IF(C1170="","",IFERROR(INDEX(art_des,MATCH(C1170,art_ref,0))&amp;"","Référence inconnue"))</f>
        <v/>
      </c>
      <c r="E1170" s="37" t="n"/>
      <c r="F1170" s="39" t="str">
        <f>IF(C1170="","",IFERROR(INDEX(art_unit,MATCH(C1170,art_ref,0))&amp;"",""))</f>
        <v/>
      </c>
      <c r="G1170" s="37" t="n"/>
      <c r="H1170" s="37" t="n"/>
      <c r="I1170" s="37" t="n"/>
      <c r="J1170" s="40" t="str">
        <f>IF(OR(C1170="",NOT(ISNUMBER(E1170))),"",IFERROR(E1170*N(INDEX(art_price,MATCH(C1170,art_ref,0))),""))</f>
        <v/>
      </c>
      <c r="K1170" s="39" t="str">
        <f>IF(OR(C1170="",NOT(ISNUMBER(E1170))),"",IFERROR(ROUND(N(INDEX(art_init,MATCH(C1170,art_ref,0)))+SUMIFS($E$5:E1170,$C$5:C1170,C1170,$B$5:B1170,"Entrée")-SUMIFS($E$5:E1170,$C$5:C1170,C1170,$B$5:B1170,"Sortie"),6),""))</f>
        <v/>
      </c>
      <c r="L1170" s="39" t="str">
        <f>IF(COUNTA(A1170:C1170,E1170)=0,"",IF(COUNTA(A1170:C1170,E1170)&lt;4,"Ligne incomplète",IF(NOT(ISNUMBER(A1170)),"Date invalide",IF(AND(B1170&lt;&gt;"Entrée",B1170&lt;&gt;"Sortie"),"Type inconnu",IF(ISNA(MATCH(C1170,art_ref,0)),"Référence inconnue",IF(OR(NOT(ISNUMBER(E1170)),N(E1170)&lt;=0),"Quantité invalide",IF(K1170&lt;0,"Stock négatif",IF(AND(ISNUMBER(A1169),A1170&lt;A1169),"Date hors ordre","OK"))))))))</f>
        <v/>
      </c>
      <c r="M1170" s="39" t="str">
        <f>IF(C1170="","",C1170&amp;"#"&amp;COUNTIF($C$5:C1170,C1170))</f>
        <v/>
      </c>
    </row>
    <row r="1171">
      <c r="A1171" s="41" t="n"/>
      <c r="B1171" s="37" t="n"/>
      <c r="C1171" s="37" t="n"/>
      <c r="D1171" s="39" t="str">
        <f>IF(C1171="","",IFERROR(INDEX(art_des,MATCH(C1171,art_ref,0))&amp;"","Référence inconnue"))</f>
        <v/>
      </c>
      <c r="E1171" s="37" t="n"/>
      <c r="F1171" s="39" t="str">
        <f>IF(C1171="","",IFERROR(INDEX(art_unit,MATCH(C1171,art_ref,0))&amp;"",""))</f>
        <v/>
      </c>
      <c r="G1171" s="37" t="n"/>
      <c r="H1171" s="37" t="n"/>
      <c r="I1171" s="37" t="n"/>
      <c r="J1171" s="40" t="str">
        <f>IF(OR(C1171="",NOT(ISNUMBER(E1171))),"",IFERROR(E1171*N(INDEX(art_price,MATCH(C1171,art_ref,0))),""))</f>
        <v/>
      </c>
      <c r="K1171" s="39" t="str">
        <f>IF(OR(C1171="",NOT(ISNUMBER(E1171))),"",IFERROR(ROUND(N(INDEX(art_init,MATCH(C1171,art_ref,0)))+SUMIFS($E$5:E1171,$C$5:C1171,C1171,$B$5:B1171,"Entrée")-SUMIFS($E$5:E1171,$C$5:C1171,C1171,$B$5:B1171,"Sortie"),6),""))</f>
        <v/>
      </c>
      <c r="L1171" s="39" t="str">
        <f>IF(COUNTA(A1171:C1171,E1171)=0,"",IF(COUNTA(A1171:C1171,E1171)&lt;4,"Ligne incomplète",IF(NOT(ISNUMBER(A1171)),"Date invalide",IF(AND(B1171&lt;&gt;"Entrée",B1171&lt;&gt;"Sortie"),"Type inconnu",IF(ISNA(MATCH(C1171,art_ref,0)),"Référence inconnue",IF(OR(NOT(ISNUMBER(E1171)),N(E1171)&lt;=0),"Quantité invalide",IF(K1171&lt;0,"Stock négatif",IF(AND(ISNUMBER(A1170),A1171&lt;A1170),"Date hors ordre","OK"))))))))</f>
        <v/>
      </c>
      <c r="M1171" s="39" t="str">
        <f>IF(C1171="","",C1171&amp;"#"&amp;COUNTIF($C$5:C1171,C1171))</f>
        <v/>
      </c>
    </row>
    <row r="1172">
      <c r="A1172" s="41" t="n"/>
      <c r="B1172" s="37" t="n"/>
      <c r="C1172" s="37" t="n"/>
      <c r="D1172" s="39" t="str">
        <f>IF(C1172="","",IFERROR(INDEX(art_des,MATCH(C1172,art_ref,0))&amp;"","Référence inconnue"))</f>
        <v/>
      </c>
      <c r="E1172" s="37" t="n"/>
      <c r="F1172" s="39" t="str">
        <f>IF(C1172="","",IFERROR(INDEX(art_unit,MATCH(C1172,art_ref,0))&amp;"",""))</f>
        <v/>
      </c>
      <c r="G1172" s="37" t="n"/>
      <c r="H1172" s="37" t="n"/>
      <c r="I1172" s="37" t="n"/>
      <c r="J1172" s="40" t="str">
        <f>IF(OR(C1172="",NOT(ISNUMBER(E1172))),"",IFERROR(E1172*N(INDEX(art_price,MATCH(C1172,art_ref,0))),""))</f>
        <v/>
      </c>
      <c r="K1172" s="39" t="str">
        <f>IF(OR(C1172="",NOT(ISNUMBER(E1172))),"",IFERROR(ROUND(N(INDEX(art_init,MATCH(C1172,art_ref,0)))+SUMIFS($E$5:E1172,$C$5:C1172,C1172,$B$5:B1172,"Entrée")-SUMIFS($E$5:E1172,$C$5:C1172,C1172,$B$5:B1172,"Sortie"),6),""))</f>
        <v/>
      </c>
      <c r="L1172" s="39" t="str">
        <f>IF(COUNTA(A1172:C1172,E1172)=0,"",IF(COUNTA(A1172:C1172,E1172)&lt;4,"Ligne incomplète",IF(NOT(ISNUMBER(A1172)),"Date invalide",IF(AND(B1172&lt;&gt;"Entrée",B1172&lt;&gt;"Sortie"),"Type inconnu",IF(ISNA(MATCH(C1172,art_ref,0)),"Référence inconnue",IF(OR(NOT(ISNUMBER(E1172)),N(E1172)&lt;=0),"Quantité invalide",IF(K1172&lt;0,"Stock négatif",IF(AND(ISNUMBER(A1171),A1172&lt;A1171),"Date hors ordre","OK"))))))))</f>
        <v/>
      </c>
      <c r="M1172" s="39" t="str">
        <f>IF(C1172="","",C1172&amp;"#"&amp;COUNTIF($C$5:C1172,C1172))</f>
        <v/>
      </c>
    </row>
    <row r="1173">
      <c r="A1173" s="41" t="n"/>
      <c r="B1173" s="37" t="n"/>
      <c r="C1173" s="37" t="n"/>
      <c r="D1173" s="39" t="str">
        <f>IF(C1173="","",IFERROR(INDEX(art_des,MATCH(C1173,art_ref,0))&amp;"","Référence inconnue"))</f>
        <v/>
      </c>
      <c r="E1173" s="37" t="n"/>
      <c r="F1173" s="39" t="str">
        <f>IF(C1173="","",IFERROR(INDEX(art_unit,MATCH(C1173,art_ref,0))&amp;"",""))</f>
        <v/>
      </c>
      <c r="G1173" s="37" t="n"/>
      <c r="H1173" s="37" t="n"/>
      <c r="I1173" s="37" t="n"/>
      <c r="J1173" s="40" t="str">
        <f>IF(OR(C1173="",NOT(ISNUMBER(E1173))),"",IFERROR(E1173*N(INDEX(art_price,MATCH(C1173,art_ref,0))),""))</f>
        <v/>
      </c>
      <c r="K1173" s="39" t="str">
        <f>IF(OR(C1173="",NOT(ISNUMBER(E1173))),"",IFERROR(ROUND(N(INDEX(art_init,MATCH(C1173,art_ref,0)))+SUMIFS($E$5:E1173,$C$5:C1173,C1173,$B$5:B1173,"Entrée")-SUMIFS($E$5:E1173,$C$5:C1173,C1173,$B$5:B1173,"Sortie"),6),""))</f>
        <v/>
      </c>
      <c r="L1173" s="39" t="str">
        <f>IF(COUNTA(A1173:C1173,E1173)=0,"",IF(COUNTA(A1173:C1173,E1173)&lt;4,"Ligne incomplète",IF(NOT(ISNUMBER(A1173)),"Date invalide",IF(AND(B1173&lt;&gt;"Entrée",B1173&lt;&gt;"Sortie"),"Type inconnu",IF(ISNA(MATCH(C1173,art_ref,0)),"Référence inconnue",IF(OR(NOT(ISNUMBER(E1173)),N(E1173)&lt;=0),"Quantité invalide",IF(K1173&lt;0,"Stock négatif",IF(AND(ISNUMBER(A1172),A1173&lt;A1172),"Date hors ordre","OK"))))))))</f>
        <v/>
      </c>
      <c r="M1173" s="39" t="str">
        <f>IF(C1173="","",C1173&amp;"#"&amp;COUNTIF($C$5:C1173,C1173))</f>
        <v/>
      </c>
    </row>
    <row r="1174">
      <c r="A1174" s="41" t="n"/>
      <c r="B1174" s="37" t="n"/>
      <c r="C1174" s="37" t="n"/>
      <c r="D1174" s="39" t="str">
        <f>IF(C1174="","",IFERROR(INDEX(art_des,MATCH(C1174,art_ref,0))&amp;"","Référence inconnue"))</f>
        <v/>
      </c>
      <c r="E1174" s="37" t="n"/>
      <c r="F1174" s="39" t="str">
        <f>IF(C1174="","",IFERROR(INDEX(art_unit,MATCH(C1174,art_ref,0))&amp;"",""))</f>
        <v/>
      </c>
      <c r="G1174" s="37" t="n"/>
      <c r="H1174" s="37" t="n"/>
      <c r="I1174" s="37" t="n"/>
      <c r="J1174" s="40" t="str">
        <f>IF(OR(C1174="",NOT(ISNUMBER(E1174))),"",IFERROR(E1174*N(INDEX(art_price,MATCH(C1174,art_ref,0))),""))</f>
        <v/>
      </c>
      <c r="K1174" s="39" t="str">
        <f>IF(OR(C1174="",NOT(ISNUMBER(E1174))),"",IFERROR(ROUND(N(INDEX(art_init,MATCH(C1174,art_ref,0)))+SUMIFS($E$5:E1174,$C$5:C1174,C1174,$B$5:B1174,"Entrée")-SUMIFS($E$5:E1174,$C$5:C1174,C1174,$B$5:B1174,"Sortie"),6),""))</f>
        <v/>
      </c>
      <c r="L1174" s="39" t="str">
        <f>IF(COUNTA(A1174:C1174,E1174)=0,"",IF(COUNTA(A1174:C1174,E1174)&lt;4,"Ligne incomplète",IF(NOT(ISNUMBER(A1174)),"Date invalide",IF(AND(B1174&lt;&gt;"Entrée",B1174&lt;&gt;"Sortie"),"Type inconnu",IF(ISNA(MATCH(C1174,art_ref,0)),"Référence inconnue",IF(OR(NOT(ISNUMBER(E1174)),N(E1174)&lt;=0),"Quantité invalide",IF(K1174&lt;0,"Stock négatif",IF(AND(ISNUMBER(A1173),A1174&lt;A1173),"Date hors ordre","OK"))))))))</f>
        <v/>
      </c>
      <c r="M1174" s="39" t="str">
        <f>IF(C1174="","",C1174&amp;"#"&amp;COUNTIF($C$5:C1174,C1174))</f>
        <v/>
      </c>
    </row>
    <row r="1175">
      <c r="A1175" s="41" t="n"/>
      <c r="B1175" s="37" t="n"/>
      <c r="C1175" s="37" t="n"/>
      <c r="D1175" s="39" t="str">
        <f>IF(C1175="","",IFERROR(INDEX(art_des,MATCH(C1175,art_ref,0))&amp;"","Référence inconnue"))</f>
        <v/>
      </c>
      <c r="E1175" s="37" t="n"/>
      <c r="F1175" s="39" t="str">
        <f>IF(C1175="","",IFERROR(INDEX(art_unit,MATCH(C1175,art_ref,0))&amp;"",""))</f>
        <v/>
      </c>
      <c r="G1175" s="37" t="n"/>
      <c r="H1175" s="37" t="n"/>
      <c r="I1175" s="37" t="n"/>
      <c r="J1175" s="40" t="str">
        <f>IF(OR(C1175="",NOT(ISNUMBER(E1175))),"",IFERROR(E1175*N(INDEX(art_price,MATCH(C1175,art_ref,0))),""))</f>
        <v/>
      </c>
      <c r="K1175" s="39" t="str">
        <f>IF(OR(C1175="",NOT(ISNUMBER(E1175))),"",IFERROR(ROUND(N(INDEX(art_init,MATCH(C1175,art_ref,0)))+SUMIFS($E$5:E1175,$C$5:C1175,C1175,$B$5:B1175,"Entrée")-SUMIFS($E$5:E1175,$C$5:C1175,C1175,$B$5:B1175,"Sortie"),6),""))</f>
        <v/>
      </c>
      <c r="L1175" s="39" t="str">
        <f>IF(COUNTA(A1175:C1175,E1175)=0,"",IF(COUNTA(A1175:C1175,E1175)&lt;4,"Ligne incomplète",IF(NOT(ISNUMBER(A1175)),"Date invalide",IF(AND(B1175&lt;&gt;"Entrée",B1175&lt;&gt;"Sortie"),"Type inconnu",IF(ISNA(MATCH(C1175,art_ref,0)),"Référence inconnue",IF(OR(NOT(ISNUMBER(E1175)),N(E1175)&lt;=0),"Quantité invalide",IF(K1175&lt;0,"Stock négatif",IF(AND(ISNUMBER(A1174),A1175&lt;A1174),"Date hors ordre","OK"))))))))</f>
        <v/>
      </c>
      <c r="M1175" s="39" t="str">
        <f>IF(C1175="","",C1175&amp;"#"&amp;COUNTIF($C$5:C1175,C1175))</f>
        <v/>
      </c>
    </row>
    <row r="1176">
      <c r="A1176" s="41" t="n"/>
      <c r="B1176" s="37" t="n"/>
      <c r="C1176" s="37" t="n"/>
      <c r="D1176" s="39" t="str">
        <f>IF(C1176="","",IFERROR(INDEX(art_des,MATCH(C1176,art_ref,0))&amp;"","Référence inconnue"))</f>
        <v/>
      </c>
      <c r="E1176" s="37" t="n"/>
      <c r="F1176" s="39" t="str">
        <f>IF(C1176="","",IFERROR(INDEX(art_unit,MATCH(C1176,art_ref,0))&amp;"",""))</f>
        <v/>
      </c>
      <c r="G1176" s="37" t="n"/>
      <c r="H1176" s="37" t="n"/>
      <c r="I1176" s="37" t="n"/>
      <c r="J1176" s="40" t="str">
        <f>IF(OR(C1176="",NOT(ISNUMBER(E1176))),"",IFERROR(E1176*N(INDEX(art_price,MATCH(C1176,art_ref,0))),""))</f>
        <v/>
      </c>
      <c r="K1176" s="39" t="str">
        <f>IF(OR(C1176="",NOT(ISNUMBER(E1176))),"",IFERROR(ROUND(N(INDEX(art_init,MATCH(C1176,art_ref,0)))+SUMIFS($E$5:E1176,$C$5:C1176,C1176,$B$5:B1176,"Entrée")-SUMIFS($E$5:E1176,$C$5:C1176,C1176,$B$5:B1176,"Sortie"),6),""))</f>
        <v/>
      </c>
      <c r="L1176" s="39" t="str">
        <f>IF(COUNTA(A1176:C1176,E1176)=0,"",IF(COUNTA(A1176:C1176,E1176)&lt;4,"Ligne incomplète",IF(NOT(ISNUMBER(A1176)),"Date invalide",IF(AND(B1176&lt;&gt;"Entrée",B1176&lt;&gt;"Sortie"),"Type inconnu",IF(ISNA(MATCH(C1176,art_ref,0)),"Référence inconnue",IF(OR(NOT(ISNUMBER(E1176)),N(E1176)&lt;=0),"Quantité invalide",IF(K1176&lt;0,"Stock négatif",IF(AND(ISNUMBER(A1175),A1176&lt;A1175),"Date hors ordre","OK"))))))))</f>
        <v/>
      </c>
      <c r="M1176" s="39" t="str">
        <f>IF(C1176="","",C1176&amp;"#"&amp;COUNTIF($C$5:C1176,C1176))</f>
        <v/>
      </c>
    </row>
    <row r="1177">
      <c r="A1177" s="41" t="n"/>
      <c r="B1177" s="37" t="n"/>
      <c r="C1177" s="37" t="n"/>
      <c r="D1177" s="39" t="str">
        <f>IF(C1177="","",IFERROR(INDEX(art_des,MATCH(C1177,art_ref,0))&amp;"","Référence inconnue"))</f>
        <v/>
      </c>
      <c r="E1177" s="37" t="n"/>
      <c r="F1177" s="39" t="str">
        <f>IF(C1177="","",IFERROR(INDEX(art_unit,MATCH(C1177,art_ref,0))&amp;"",""))</f>
        <v/>
      </c>
      <c r="G1177" s="37" t="n"/>
      <c r="H1177" s="37" t="n"/>
      <c r="I1177" s="37" t="n"/>
      <c r="J1177" s="40" t="str">
        <f>IF(OR(C1177="",NOT(ISNUMBER(E1177))),"",IFERROR(E1177*N(INDEX(art_price,MATCH(C1177,art_ref,0))),""))</f>
        <v/>
      </c>
      <c r="K1177" s="39" t="str">
        <f>IF(OR(C1177="",NOT(ISNUMBER(E1177))),"",IFERROR(ROUND(N(INDEX(art_init,MATCH(C1177,art_ref,0)))+SUMIFS($E$5:E1177,$C$5:C1177,C1177,$B$5:B1177,"Entrée")-SUMIFS($E$5:E1177,$C$5:C1177,C1177,$B$5:B1177,"Sortie"),6),""))</f>
        <v/>
      </c>
      <c r="L1177" s="39" t="str">
        <f>IF(COUNTA(A1177:C1177,E1177)=0,"",IF(COUNTA(A1177:C1177,E1177)&lt;4,"Ligne incomplète",IF(NOT(ISNUMBER(A1177)),"Date invalide",IF(AND(B1177&lt;&gt;"Entrée",B1177&lt;&gt;"Sortie"),"Type inconnu",IF(ISNA(MATCH(C1177,art_ref,0)),"Référence inconnue",IF(OR(NOT(ISNUMBER(E1177)),N(E1177)&lt;=0),"Quantité invalide",IF(K1177&lt;0,"Stock négatif",IF(AND(ISNUMBER(A1176),A1177&lt;A1176),"Date hors ordre","OK"))))))))</f>
        <v/>
      </c>
      <c r="M1177" s="39" t="str">
        <f>IF(C1177="","",C1177&amp;"#"&amp;COUNTIF($C$5:C1177,C1177))</f>
        <v/>
      </c>
    </row>
    <row r="1178">
      <c r="A1178" s="41" t="n"/>
      <c r="B1178" s="37" t="n"/>
      <c r="C1178" s="37" t="n"/>
      <c r="D1178" s="39" t="str">
        <f>IF(C1178="","",IFERROR(INDEX(art_des,MATCH(C1178,art_ref,0))&amp;"","Référence inconnue"))</f>
        <v/>
      </c>
      <c r="E1178" s="37" t="n"/>
      <c r="F1178" s="39" t="str">
        <f>IF(C1178="","",IFERROR(INDEX(art_unit,MATCH(C1178,art_ref,0))&amp;"",""))</f>
        <v/>
      </c>
      <c r="G1178" s="37" t="n"/>
      <c r="H1178" s="37" t="n"/>
      <c r="I1178" s="37" t="n"/>
      <c r="J1178" s="40" t="str">
        <f>IF(OR(C1178="",NOT(ISNUMBER(E1178))),"",IFERROR(E1178*N(INDEX(art_price,MATCH(C1178,art_ref,0))),""))</f>
        <v/>
      </c>
      <c r="K1178" s="39" t="str">
        <f>IF(OR(C1178="",NOT(ISNUMBER(E1178))),"",IFERROR(ROUND(N(INDEX(art_init,MATCH(C1178,art_ref,0)))+SUMIFS($E$5:E1178,$C$5:C1178,C1178,$B$5:B1178,"Entrée")-SUMIFS($E$5:E1178,$C$5:C1178,C1178,$B$5:B1178,"Sortie"),6),""))</f>
        <v/>
      </c>
      <c r="L1178" s="39" t="str">
        <f>IF(COUNTA(A1178:C1178,E1178)=0,"",IF(COUNTA(A1178:C1178,E1178)&lt;4,"Ligne incomplète",IF(NOT(ISNUMBER(A1178)),"Date invalide",IF(AND(B1178&lt;&gt;"Entrée",B1178&lt;&gt;"Sortie"),"Type inconnu",IF(ISNA(MATCH(C1178,art_ref,0)),"Référence inconnue",IF(OR(NOT(ISNUMBER(E1178)),N(E1178)&lt;=0),"Quantité invalide",IF(K1178&lt;0,"Stock négatif",IF(AND(ISNUMBER(A1177),A1178&lt;A1177),"Date hors ordre","OK"))))))))</f>
        <v/>
      </c>
      <c r="M1178" s="39" t="str">
        <f>IF(C1178="","",C1178&amp;"#"&amp;COUNTIF($C$5:C1178,C1178))</f>
        <v/>
      </c>
    </row>
    <row r="1179">
      <c r="A1179" s="41" t="n"/>
      <c r="B1179" s="37" t="n"/>
      <c r="C1179" s="37" t="n"/>
      <c r="D1179" s="39" t="str">
        <f>IF(C1179="","",IFERROR(INDEX(art_des,MATCH(C1179,art_ref,0))&amp;"","Référence inconnue"))</f>
        <v/>
      </c>
      <c r="E1179" s="37" t="n"/>
      <c r="F1179" s="39" t="str">
        <f>IF(C1179="","",IFERROR(INDEX(art_unit,MATCH(C1179,art_ref,0))&amp;"",""))</f>
        <v/>
      </c>
      <c r="G1179" s="37" t="n"/>
      <c r="H1179" s="37" t="n"/>
      <c r="I1179" s="37" t="n"/>
      <c r="J1179" s="40" t="str">
        <f>IF(OR(C1179="",NOT(ISNUMBER(E1179))),"",IFERROR(E1179*N(INDEX(art_price,MATCH(C1179,art_ref,0))),""))</f>
        <v/>
      </c>
      <c r="K1179" s="39" t="str">
        <f>IF(OR(C1179="",NOT(ISNUMBER(E1179))),"",IFERROR(ROUND(N(INDEX(art_init,MATCH(C1179,art_ref,0)))+SUMIFS($E$5:E1179,$C$5:C1179,C1179,$B$5:B1179,"Entrée")-SUMIFS($E$5:E1179,$C$5:C1179,C1179,$B$5:B1179,"Sortie"),6),""))</f>
        <v/>
      </c>
      <c r="L1179" s="39" t="str">
        <f>IF(COUNTA(A1179:C1179,E1179)=0,"",IF(COUNTA(A1179:C1179,E1179)&lt;4,"Ligne incomplète",IF(NOT(ISNUMBER(A1179)),"Date invalide",IF(AND(B1179&lt;&gt;"Entrée",B1179&lt;&gt;"Sortie"),"Type inconnu",IF(ISNA(MATCH(C1179,art_ref,0)),"Référence inconnue",IF(OR(NOT(ISNUMBER(E1179)),N(E1179)&lt;=0),"Quantité invalide",IF(K1179&lt;0,"Stock négatif",IF(AND(ISNUMBER(A1178),A1179&lt;A1178),"Date hors ordre","OK"))))))))</f>
        <v/>
      </c>
      <c r="M1179" s="39" t="str">
        <f>IF(C1179="","",C1179&amp;"#"&amp;COUNTIF($C$5:C1179,C1179))</f>
        <v/>
      </c>
    </row>
    <row r="1180">
      <c r="A1180" s="41" t="n"/>
      <c r="B1180" s="37" t="n"/>
      <c r="C1180" s="37" t="n"/>
      <c r="D1180" s="39" t="str">
        <f>IF(C1180="","",IFERROR(INDEX(art_des,MATCH(C1180,art_ref,0))&amp;"","Référence inconnue"))</f>
        <v/>
      </c>
      <c r="E1180" s="37" t="n"/>
      <c r="F1180" s="39" t="str">
        <f>IF(C1180="","",IFERROR(INDEX(art_unit,MATCH(C1180,art_ref,0))&amp;"",""))</f>
        <v/>
      </c>
      <c r="G1180" s="37" t="n"/>
      <c r="H1180" s="37" t="n"/>
      <c r="I1180" s="37" t="n"/>
      <c r="J1180" s="40" t="str">
        <f>IF(OR(C1180="",NOT(ISNUMBER(E1180))),"",IFERROR(E1180*N(INDEX(art_price,MATCH(C1180,art_ref,0))),""))</f>
        <v/>
      </c>
      <c r="K1180" s="39" t="str">
        <f>IF(OR(C1180="",NOT(ISNUMBER(E1180))),"",IFERROR(ROUND(N(INDEX(art_init,MATCH(C1180,art_ref,0)))+SUMIFS($E$5:E1180,$C$5:C1180,C1180,$B$5:B1180,"Entrée")-SUMIFS($E$5:E1180,$C$5:C1180,C1180,$B$5:B1180,"Sortie"),6),""))</f>
        <v/>
      </c>
      <c r="L1180" s="39" t="str">
        <f>IF(COUNTA(A1180:C1180,E1180)=0,"",IF(COUNTA(A1180:C1180,E1180)&lt;4,"Ligne incomplète",IF(NOT(ISNUMBER(A1180)),"Date invalide",IF(AND(B1180&lt;&gt;"Entrée",B1180&lt;&gt;"Sortie"),"Type inconnu",IF(ISNA(MATCH(C1180,art_ref,0)),"Référence inconnue",IF(OR(NOT(ISNUMBER(E1180)),N(E1180)&lt;=0),"Quantité invalide",IF(K1180&lt;0,"Stock négatif",IF(AND(ISNUMBER(A1179),A1180&lt;A1179),"Date hors ordre","OK"))))))))</f>
        <v/>
      </c>
      <c r="M1180" s="39" t="str">
        <f>IF(C1180="","",C1180&amp;"#"&amp;COUNTIF($C$5:C1180,C1180))</f>
        <v/>
      </c>
    </row>
    <row r="1181">
      <c r="A1181" s="41" t="n"/>
      <c r="B1181" s="37" t="n"/>
      <c r="C1181" s="37" t="n"/>
      <c r="D1181" s="39" t="str">
        <f>IF(C1181="","",IFERROR(INDEX(art_des,MATCH(C1181,art_ref,0))&amp;"","Référence inconnue"))</f>
        <v/>
      </c>
      <c r="E1181" s="37" t="n"/>
      <c r="F1181" s="39" t="str">
        <f>IF(C1181="","",IFERROR(INDEX(art_unit,MATCH(C1181,art_ref,0))&amp;"",""))</f>
        <v/>
      </c>
      <c r="G1181" s="37" t="n"/>
      <c r="H1181" s="37" t="n"/>
      <c r="I1181" s="37" t="n"/>
      <c r="J1181" s="40" t="str">
        <f>IF(OR(C1181="",NOT(ISNUMBER(E1181))),"",IFERROR(E1181*N(INDEX(art_price,MATCH(C1181,art_ref,0))),""))</f>
        <v/>
      </c>
      <c r="K1181" s="39" t="str">
        <f>IF(OR(C1181="",NOT(ISNUMBER(E1181))),"",IFERROR(ROUND(N(INDEX(art_init,MATCH(C1181,art_ref,0)))+SUMIFS($E$5:E1181,$C$5:C1181,C1181,$B$5:B1181,"Entrée")-SUMIFS($E$5:E1181,$C$5:C1181,C1181,$B$5:B1181,"Sortie"),6),""))</f>
        <v/>
      </c>
      <c r="L1181" s="39" t="str">
        <f>IF(COUNTA(A1181:C1181,E1181)=0,"",IF(COUNTA(A1181:C1181,E1181)&lt;4,"Ligne incomplète",IF(NOT(ISNUMBER(A1181)),"Date invalide",IF(AND(B1181&lt;&gt;"Entrée",B1181&lt;&gt;"Sortie"),"Type inconnu",IF(ISNA(MATCH(C1181,art_ref,0)),"Référence inconnue",IF(OR(NOT(ISNUMBER(E1181)),N(E1181)&lt;=0),"Quantité invalide",IF(K1181&lt;0,"Stock négatif",IF(AND(ISNUMBER(A1180),A1181&lt;A1180),"Date hors ordre","OK"))))))))</f>
        <v/>
      </c>
      <c r="M1181" s="39" t="str">
        <f>IF(C1181="","",C1181&amp;"#"&amp;COUNTIF($C$5:C1181,C1181))</f>
        <v/>
      </c>
    </row>
    <row r="1182">
      <c r="A1182" s="41" t="n"/>
      <c r="B1182" s="37" t="n"/>
      <c r="C1182" s="37" t="n"/>
      <c r="D1182" s="39" t="str">
        <f>IF(C1182="","",IFERROR(INDEX(art_des,MATCH(C1182,art_ref,0))&amp;"","Référence inconnue"))</f>
        <v/>
      </c>
      <c r="E1182" s="37" t="n"/>
      <c r="F1182" s="39" t="str">
        <f>IF(C1182="","",IFERROR(INDEX(art_unit,MATCH(C1182,art_ref,0))&amp;"",""))</f>
        <v/>
      </c>
      <c r="G1182" s="37" t="n"/>
      <c r="H1182" s="37" t="n"/>
      <c r="I1182" s="37" t="n"/>
      <c r="J1182" s="40" t="str">
        <f>IF(OR(C1182="",NOT(ISNUMBER(E1182))),"",IFERROR(E1182*N(INDEX(art_price,MATCH(C1182,art_ref,0))),""))</f>
        <v/>
      </c>
      <c r="K1182" s="39" t="str">
        <f>IF(OR(C1182="",NOT(ISNUMBER(E1182))),"",IFERROR(ROUND(N(INDEX(art_init,MATCH(C1182,art_ref,0)))+SUMIFS($E$5:E1182,$C$5:C1182,C1182,$B$5:B1182,"Entrée")-SUMIFS($E$5:E1182,$C$5:C1182,C1182,$B$5:B1182,"Sortie"),6),""))</f>
        <v/>
      </c>
      <c r="L1182" s="39" t="str">
        <f>IF(COUNTA(A1182:C1182,E1182)=0,"",IF(COUNTA(A1182:C1182,E1182)&lt;4,"Ligne incomplète",IF(NOT(ISNUMBER(A1182)),"Date invalide",IF(AND(B1182&lt;&gt;"Entrée",B1182&lt;&gt;"Sortie"),"Type inconnu",IF(ISNA(MATCH(C1182,art_ref,0)),"Référence inconnue",IF(OR(NOT(ISNUMBER(E1182)),N(E1182)&lt;=0),"Quantité invalide",IF(K1182&lt;0,"Stock négatif",IF(AND(ISNUMBER(A1181),A1182&lt;A1181),"Date hors ordre","OK"))))))))</f>
        <v/>
      </c>
      <c r="M1182" s="39" t="str">
        <f>IF(C1182="","",C1182&amp;"#"&amp;COUNTIF($C$5:C1182,C1182))</f>
        <v/>
      </c>
    </row>
    <row r="1183">
      <c r="A1183" s="41" t="n"/>
      <c r="B1183" s="37" t="n"/>
      <c r="C1183" s="37" t="n"/>
      <c r="D1183" s="39" t="str">
        <f>IF(C1183="","",IFERROR(INDEX(art_des,MATCH(C1183,art_ref,0))&amp;"","Référence inconnue"))</f>
        <v/>
      </c>
      <c r="E1183" s="37" t="n"/>
      <c r="F1183" s="39" t="str">
        <f>IF(C1183="","",IFERROR(INDEX(art_unit,MATCH(C1183,art_ref,0))&amp;"",""))</f>
        <v/>
      </c>
      <c r="G1183" s="37" t="n"/>
      <c r="H1183" s="37" t="n"/>
      <c r="I1183" s="37" t="n"/>
      <c r="J1183" s="40" t="str">
        <f>IF(OR(C1183="",NOT(ISNUMBER(E1183))),"",IFERROR(E1183*N(INDEX(art_price,MATCH(C1183,art_ref,0))),""))</f>
        <v/>
      </c>
      <c r="K1183" s="39" t="str">
        <f>IF(OR(C1183="",NOT(ISNUMBER(E1183))),"",IFERROR(ROUND(N(INDEX(art_init,MATCH(C1183,art_ref,0)))+SUMIFS($E$5:E1183,$C$5:C1183,C1183,$B$5:B1183,"Entrée")-SUMIFS($E$5:E1183,$C$5:C1183,C1183,$B$5:B1183,"Sortie"),6),""))</f>
        <v/>
      </c>
      <c r="L1183" s="39" t="str">
        <f>IF(COUNTA(A1183:C1183,E1183)=0,"",IF(COUNTA(A1183:C1183,E1183)&lt;4,"Ligne incomplète",IF(NOT(ISNUMBER(A1183)),"Date invalide",IF(AND(B1183&lt;&gt;"Entrée",B1183&lt;&gt;"Sortie"),"Type inconnu",IF(ISNA(MATCH(C1183,art_ref,0)),"Référence inconnue",IF(OR(NOT(ISNUMBER(E1183)),N(E1183)&lt;=0),"Quantité invalide",IF(K1183&lt;0,"Stock négatif",IF(AND(ISNUMBER(A1182),A1183&lt;A1182),"Date hors ordre","OK"))))))))</f>
        <v/>
      </c>
      <c r="M1183" s="39" t="str">
        <f>IF(C1183="","",C1183&amp;"#"&amp;COUNTIF($C$5:C1183,C1183))</f>
        <v/>
      </c>
    </row>
    <row r="1184">
      <c r="A1184" s="41" t="n"/>
      <c r="B1184" s="37" t="n"/>
      <c r="C1184" s="37" t="n"/>
      <c r="D1184" s="39" t="str">
        <f>IF(C1184="","",IFERROR(INDEX(art_des,MATCH(C1184,art_ref,0))&amp;"","Référence inconnue"))</f>
        <v/>
      </c>
      <c r="E1184" s="37" t="n"/>
      <c r="F1184" s="39" t="str">
        <f>IF(C1184="","",IFERROR(INDEX(art_unit,MATCH(C1184,art_ref,0))&amp;"",""))</f>
        <v/>
      </c>
      <c r="G1184" s="37" t="n"/>
      <c r="H1184" s="37" t="n"/>
      <c r="I1184" s="37" t="n"/>
      <c r="J1184" s="40" t="str">
        <f>IF(OR(C1184="",NOT(ISNUMBER(E1184))),"",IFERROR(E1184*N(INDEX(art_price,MATCH(C1184,art_ref,0))),""))</f>
        <v/>
      </c>
      <c r="K1184" s="39" t="str">
        <f>IF(OR(C1184="",NOT(ISNUMBER(E1184))),"",IFERROR(ROUND(N(INDEX(art_init,MATCH(C1184,art_ref,0)))+SUMIFS($E$5:E1184,$C$5:C1184,C1184,$B$5:B1184,"Entrée")-SUMIFS($E$5:E1184,$C$5:C1184,C1184,$B$5:B1184,"Sortie"),6),""))</f>
        <v/>
      </c>
      <c r="L1184" s="39" t="str">
        <f>IF(COUNTA(A1184:C1184,E1184)=0,"",IF(COUNTA(A1184:C1184,E1184)&lt;4,"Ligne incomplète",IF(NOT(ISNUMBER(A1184)),"Date invalide",IF(AND(B1184&lt;&gt;"Entrée",B1184&lt;&gt;"Sortie"),"Type inconnu",IF(ISNA(MATCH(C1184,art_ref,0)),"Référence inconnue",IF(OR(NOT(ISNUMBER(E1184)),N(E1184)&lt;=0),"Quantité invalide",IF(K1184&lt;0,"Stock négatif",IF(AND(ISNUMBER(A1183),A1184&lt;A1183),"Date hors ordre","OK"))))))))</f>
        <v/>
      </c>
      <c r="M1184" s="39" t="str">
        <f>IF(C1184="","",C1184&amp;"#"&amp;COUNTIF($C$5:C1184,C1184))</f>
        <v/>
      </c>
    </row>
    <row r="1185">
      <c r="A1185" s="41" t="n"/>
      <c r="B1185" s="37" t="n"/>
      <c r="C1185" s="37" t="n"/>
      <c r="D1185" s="39" t="str">
        <f>IF(C1185="","",IFERROR(INDEX(art_des,MATCH(C1185,art_ref,0))&amp;"","Référence inconnue"))</f>
        <v/>
      </c>
      <c r="E1185" s="37" t="n"/>
      <c r="F1185" s="39" t="str">
        <f>IF(C1185="","",IFERROR(INDEX(art_unit,MATCH(C1185,art_ref,0))&amp;"",""))</f>
        <v/>
      </c>
      <c r="G1185" s="37" t="n"/>
      <c r="H1185" s="37" t="n"/>
      <c r="I1185" s="37" t="n"/>
      <c r="J1185" s="40" t="str">
        <f>IF(OR(C1185="",NOT(ISNUMBER(E1185))),"",IFERROR(E1185*N(INDEX(art_price,MATCH(C1185,art_ref,0))),""))</f>
        <v/>
      </c>
      <c r="K1185" s="39" t="str">
        <f>IF(OR(C1185="",NOT(ISNUMBER(E1185))),"",IFERROR(ROUND(N(INDEX(art_init,MATCH(C1185,art_ref,0)))+SUMIFS($E$5:E1185,$C$5:C1185,C1185,$B$5:B1185,"Entrée")-SUMIFS($E$5:E1185,$C$5:C1185,C1185,$B$5:B1185,"Sortie"),6),""))</f>
        <v/>
      </c>
      <c r="L1185" s="39" t="str">
        <f>IF(COUNTA(A1185:C1185,E1185)=0,"",IF(COUNTA(A1185:C1185,E1185)&lt;4,"Ligne incomplète",IF(NOT(ISNUMBER(A1185)),"Date invalide",IF(AND(B1185&lt;&gt;"Entrée",B1185&lt;&gt;"Sortie"),"Type inconnu",IF(ISNA(MATCH(C1185,art_ref,0)),"Référence inconnue",IF(OR(NOT(ISNUMBER(E1185)),N(E1185)&lt;=0),"Quantité invalide",IF(K1185&lt;0,"Stock négatif",IF(AND(ISNUMBER(A1184),A1185&lt;A1184),"Date hors ordre","OK"))))))))</f>
        <v/>
      </c>
      <c r="M1185" s="39" t="str">
        <f>IF(C1185="","",C1185&amp;"#"&amp;COUNTIF($C$5:C1185,C1185))</f>
        <v/>
      </c>
    </row>
    <row r="1186">
      <c r="A1186" s="41" t="n"/>
      <c r="B1186" s="37" t="n"/>
      <c r="C1186" s="37" t="n"/>
      <c r="D1186" s="39" t="str">
        <f>IF(C1186="","",IFERROR(INDEX(art_des,MATCH(C1186,art_ref,0))&amp;"","Référence inconnue"))</f>
        <v/>
      </c>
      <c r="E1186" s="37" t="n"/>
      <c r="F1186" s="39" t="str">
        <f>IF(C1186="","",IFERROR(INDEX(art_unit,MATCH(C1186,art_ref,0))&amp;"",""))</f>
        <v/>
      </c>
      <c r="G1186" s="37" t="n"/>
      <c r="H1186" s="37" t="n"/>
      <c r="I1186" s="37" t="n"/>
      <c r="J1186" s="40" t="str">
        <f>IF(OR(C1186="",NOT(ISNUMBER(E1186))),"",IFERROR(E1186*N(INDEX(art_price,MATCH(C1186,art_ref,0))),""))</f>
        <v/>
      </c>
      <c r="K1186" s="39" t="str">
        <f>IF(OR(C1186="",NOT(ISNUMBER(E1186))),"",IFERROR(ROUND(N(INDEX(art_init,MATCH(C1186,art_ref,0)))+SUMIFS($E$5:E1186,$C$5:C1186,C1186,$B$5:B1186,"Entrée")-SUMIFS($E$5:E1186,$C$5:C1186,C1186,$B$5:B1186,"Sortie"),6),""))</f>
        <v/>
      </c>
      <c r="L1186" s="39" t="str">
        <f>IF(COUNTA(A1186:C1186,E1186)=0,"",IF(COUNTA(A1186:C1186,E1186)&lt;4,"Ligne incomplète",IF(NOT(ISNUMBER(A1186)),"Date invalide",IF(AND(B1186&lt;&gt;"Entrée",B1186&lt;&gt;"Sortie"),"Type inconnu",IF(ISNA(MATCH(C1186,art_ref,0)),"Référence inconnue",IF(OR(NOT(ISNUMBER(E1186)),N(E1186)&lt;=0),"Quantité invalide",IF(K1186&lt;0,"Stock négatif",IF(AND(ISNUMBER(A1185),A1186&lt;A1185),"Date hors ordre","OK"))))))))</f>
        <v/>
      </c>
      <c r="M1186" s="39" t="str">
        <f>IF(C1186="","",C1186&amp;"#"&amp;COUNTIF($C$5:C1186,C1186))</f>
        <v/>
      </c>
    </row>
    <row r="1187">
      <c r="A1187" s="41" t="n"/>
      <c r="B1187" s="37" t="n"/>
      <c r="C1187" s="37" t="n"/>
      <c r="D1187" s="39" t="str">
        <f>IF(C1187="","",IFERROR(INDEX(art_des,MATCH(C1187,art_ref,0))&amp;"","Référence inconnue"))</f>
        <v/>
      </c>
      <c r="E1187" s="37" t="n"/>
      <c r="F1187" s="39" t="str">
        <f>IF(C1187="","",IFERROR(INDEX(art_unit,MATCH(C1187,art_ref,0))&amp;"",""))</f>
        <v/>
      </c>
      <c r="G1187" s="37" t="n"/>
      <c r="H1187" s="37" t="n"/>
      <c r="I1187" s="37" t="n"/>
      <c r="J1187" s="40" t="str">
        <f>IF(OR(C1187="",NOT(ISNUMBER(E1187))),"",IFERROR(E1187*N(INDEX(art_price,MATCH(C1187,art_ref,0))),""))</f>
        <v/>
      </c>
      <c r="K1187" s="39" t="str">
        <f>IF(OR(C1187="",NOT(ISNUMBER(E1187))),"",IFERROR(ROUND(N(INDEX(art_init,MATCH(C1187,art_ref,0)))+SUMIFS($E$5:E1187,$C$5:C1187,C1187,$B$5:B1187,"Entrée")-SUMIFS($E$5:E1187,$C$5:C1187,C1187,$B$5:B1187,"Sortie"),6),""))</f>
        <v/>
      </c>
      <c r="L1187" s="39" t="str">
        <f>IF(COUNTA(A1187:C1187,E1187)=0,"",IF(COUNTA(A1187:C1187,E1187)&lt;4,"Ligne incomplète",IF(NOT(ISNUMBER(A1187)),"Date invalide",IF(AND(B1187&lt;&gt;"Entrée",B1187&lt;&gt;"Sortie"),"Type inconnu",IF(ISNA(MATCH(C1187,art_ref,0)),"Référence inconnue",IF(OR(NOT(ISNUMBER(E1187)),N(E1187)&lt;=0),"Quantité invalide",IF(K1187&lt;0,"Stock négatif",IF(AND(ISNUMBER(A1186),A1187&lt;A1186),"Date hors ordre","OK"))))))))</f>
        <v/>
      </c>
      <c r="M1187" s="39" t="str">
        <f>IF(C1187="","",C1187&amp;"#"&amp;COUNTIF($C$5:C1187,C1187))</f>
        <v/>
      </c>
    </row>
    <row r="1188">
      <c r="A1188" s="41" t="n"/>
      <c r="B1188" s="37" t="n"/>
      <c r="C1188" s="37" t="n"/>
      <c r="D1188" s="39" t="str">
        <f>IF(C1188="","",IFERROR(INDEX(art_des,MATCH(C1188,art_ref,0))&amp;"","Référence inconnue"))</f>
        <v/>
      </c>
      <c r="E1188" s="37" t="n"/>
      <c r="F1188" s="39" t="str">
        <f>IF(C1188="","",IFERROR(INDEX(art_unit,MATCH(C1188,art_ref,0))&amp;"",""))</f>
        <v/>
      </c>
      <c r="G1188" s="37" t="n"/>
      <c r="H1188" s="37" t="n"/>
      <c r="I1188" s="37" t="n"/>
      <c r="J1188" s="40" t="str">
        <f>IF(OR(C1188="",NOT(ISNUMBER(E1188))),"",IFERROR(E1188*N(INDEX(art_price,MATCH(C1188,art_ref,0))),""))</f>
        <v/>
      </c>
      <c r="K1188" s="39" t="str">
        <f>IF(OR(C1188="",NOT(ISNUMBER(E1188))),"",IFERROR(ROUND(N(INDEX(art_init,MATCH(C1188,art_ref,0)))+SUMIFS($E$5:E1188,$C$5:C1188,C1188,$B$5:B1188,"Entrée")-SUMIFS($E$5:E1188,$C$5:C1188,C1188,$B$5:B1188,"Sortie"),6),""))</f>
        <v/>
      </c>
      <c r="L1188" s="39" t="str">
        <f>IF(COUNTA(A1188:C1188,E1188)=0,"",IF(COUNTA(A1188:C1188,E1188)&lt;4,"Ligne incomplète",IF(NOT(ISNUMBER(A1188)),"Date invalide",IF(AND(B1188&lt;&gt;"Entrée",B1188&lt;&gt;"Sortie"),"Type inconnu",IF(ISNA(MATCH(C1188,art_ref,0)),"Référence inconnue",IF(OR(NOT(ISNUMBER(E1188)),N(E1188)&lt;=0),"Quantité invalide",IF(K1188&lt;0,"Stock négatif",IF(AND(ISNUMBER(A1187),A1188&lt;A1187),"Date hors ordre","OK"))))))))</f>
        <v/>
      </c>
      <c r="M1188" s="39" t="str">
        <f>IF(C1188="","",C1188&amp;"#"&amp;COUNTIF($C$5:C1188,C1188))</f>
        <v/>
      </c>
    </row>
    <row r="1189">
      <c r="A1189" s="41" t="n"/>
      <c r="B1189" s="37" t="n"/>
      <c r="C1189" s="37" t="n"/>
      <c r="D1189" s="39" t="str">
        <f>IF(C1189="","",IFERROR(INDEX(art_des,MATCH(C1189,art_ref,0))&amp;"","Référence inconnue"))</f>
        <v/>
      </c>
      <c r="E1189" s="37" t="n"/>
      <c r="F1189" s="39" t="str">
        <f>IF(C1189="","",IFERROR(INDEX(art_unit,MATCH(C1189,art_ref,0))&amp;"",""))</f>
        <v/>
      </c>
      <c r="G1189" s="37" t="n"/>
      <c r="H1189" s="37" t="n"/>
      <c r="I1189" s="37" t="n"/>
      <c r="J1189" s="40" t="str">
        <f>IF(OR(C1189="",NOT(ISNUMBER(E1189))),"",IFERROR(E1189*N(INDEX(art_price,MATCH(C1189,art_ref,0))),""))</f>
        <v/>
      </c>
      <c r="K1189" s="39" t="str">
        <f>IF(OR(C1189="",NOT(ISNUMBER(E1189))),"",IFERROR(ROUND(N(INDEX(art_init,MATCH(C1189,art_ref,0)))+SUMIFS($E$5:E1189,$C$5:C1189,C1189,$B$5:B1189,"Entrée")-SUMIFS($E$5:E1189,$C$5:C1189,C1189,$B$5:B1189,"Sortie"),6),""))</f>
        <v/>
      </c>
      <c r="L1189" s="39" t="str">
        <f>IF(COUNTA(A1189:C1189,E1189)=0,"",IF(COUNTA(A1189:C1189,E1189)&lt;4,"Ligne incomplète",IF(NOT(ISNUMBER(A1189)),"Date invalide",IF(AND(B1189&lt;&gt;"Entrée",B1189&lt;&gt;"Sortie"),"Type inconnu",IF(ISNA(MATCH(C1189,art_ref,0)),"Référence inconnue",IF(OR(NOT(ISNUMBER(E1189)),N(E1189)&lt;=0),"Quantité invalide",IF(K1189&lt;0,"Stock négatif",IF(AND(ISNUMBER(A1188),A1189&lt;A1188),"Date hors ordre","OK"))))))))</f>
        <v/>
      </c>
      <c r="M1189" s="39" t="str">
        <f>IF(C1189="","",C1189&amp;"#"&amp;COUNTIF($C$5:C1189,C1189))</f>
        <v/>
      </c>
    </row>
    <row r="1190">
      <c r="A1190" s="41" t="n"/>
      <c r="B1190" s="37" t="n"/>
      <c r="C1190" s="37" t="n"/>
      <c r="D1190" s="39" t="str">
        <f>IF(C1190="","",IFERROR(INDEX(art_des,MATCH(C1190,art_ref,0))&amp;"","Référence inconnue"))</f>
        <v/>
      </c>
      <c r="E1190" s="37" t="n"/>
      <c r="F1190" s="39" t="str">
        <f>IF(C1190="","",IFERROR(INDEX(art_unit,MATCH(C1190,art_ref,0))&amp;"",""))</f>
        <v/>
      </c>
      <c r="G1190" s="37" t="n"/>
      <c r="H1190" s="37" t="n"/>
      <c r="I1190" s="37" t="n"/>
      <c r="J1190" s="40" t="str">
        <f>IF(OR(C1190="",NOT(ISNUMBER(E1190))),"",IFERROR(E1190*N(INDEX(art_price,MATCH(C1190,art_ref,0))),""))</f>
        <v/>
      </c>
      <c r="K1190" s="39" t="str">
        <f>IF(OR(C1190="",NOT(ISNUMBER(E1190))),"",IFERROR(ROUND(N(INDEX(art_init,MATCH(C1190,art_ref,0)))+SUMIFS($E$5:E1190,$C$5:C1190,C1190,$B$5:B1190,"Entrée")-SUMIFS($E$5:E1190,$C$5:C1190,C1190,$B$5:B1190,"Sortie"),6),""))</f>
        <v/>
      </c>
      <c r="L1190" s="39" t="str">
        <f>IF(COUNTA(A1190:C1190,E1190)=0,"",IF(COUNTA(A1190:C1190,E1190)&lt;4,"Ligne incomplète",IF(NOT(ISNUMBER(A1190)),"Date invalide",IF(AND(B1190&lt;&gt;"Entrée",B1190&lt;&gt;"Sortie"),"Type inconnu",IF(ISNA(MATCH(C1190,art_ref,0)),"Référence inconnue",IF(OR(NOT(ISNUMBER(E1190)),N(E1190)&lt;=0),"Quantité invalide",IF(K1190&lt;0,"Stock négatif",IF(AND(ISNUMBER(A1189),A1190&lt;A1189),"Date hors ordre","OK"))))))))</f>
        <v/>
      </c>
      <c r="M1190" s="39" t="str">
        <f>IF(C1190="","",C1190&amp;"#"&amp;COUNTIF($C$5:C1190,C1190))</f>
        <v/>
      </c>
    </row>
    <row r="1191">
      <c r="A1191" s="41" t="n"/>
      <c r="B1191" s="37" t="n"/>
      <c r="C1191" s="37" t="n"/>
      <c r="D1191" s="39" t="str">
        <f>IF(C1191="","",IFERROR(INDEX(art_des,MATCH(C1191,art_ref,0))&amp;"","Référence inconnue"))</f>
        <v/>
      </c>
      <c r="E1191" s="37" t="n"/>
      <c r="F1191" s="39" t="str">
        <f>IF(C1191="","",IFERROR(INDEX(art_unit,MATCH(C1191,art_ref,0))&amp;"",""))</f>
        <v/>
      </c>
      <c r="G1191" s="37" t="n"/>
      <c r="H1191" s="37" t="n"/>
      <c r="I1191" s="37" t="n"/>
      <c r="J1191" s="40" t="str">
        <f>IF(OR(C1191="",NOT(ISNUMBER(E1191))),"",IFERROR(E1191*N(INDEX(art_price,MATCH(C1191,art_ref,0))),""))</f>
        <v/>
      </c>
      <c r="K1191" s="39" t="str">
        <f>IF(OR(C1191="",NOT(ISNUMBER(E1191))),"",IFERROR(ROUND(N(INDEX(art_init,MATCH(C1191,art_ref,0)))+SUMIFS($E$5:E1191,$C$5:C1191,C1191,$B$5:B1191,"Entrée")-SUMIFS($E$5:E1191,$C$5:C1191,C1191,$B$5:B1191,"Sortie"),6),""))</f>
        <v/>
      </c>
      <c r="L1191" s="39" t="str">
        <f>IF(COUNTA(A1191:C1191,E1191)=0,"",IF(COUNTA(A1191:C1191,E1191)&lt;4,"Ligne incomplète",IF(NOT(ISNUMBER(A1191)),"Date invalide",IF(AND(B1191&lt;&gt;"Entrée",B1191&lt;&gt;"Sortie"),"Type inconnu",IF(ISNA(MATCH(C1191,art_ref,0)),"Référence inconnue",IF(OR(NOT(ISNUMBER(E1191)),N(E1191)&lt;=0),"Quantité invalide",IF(K1191&lt;0,"Stock négatif",IF(AND(ISNUMBER(A1190),A1191&lt;A1190),"Date hors ordre","OK"))))))))</f>
        <v/>
      </c>
      <c r="M1191" s="39" t="str">
        <f>IF(C1191="","",C1191&amp;"#"&amp;COUNTIF($C$5:C1191,C1191))</f>
        <v/>
      </c>
    </row>
    <row r="1192">
      <c r="A1192" s="41" t="n"/>
      <c r="B1192" s="37" t="n"/>
      <c r="C1192" s="37" t="n"/>
      <c r="D1192" s="39" t="str">
        <f>IF(C1192="","",IFERROR(INDEX(art_des,MATCH(C1192,art_ref,0))&amp;"","Référence inconnue"))</f>
        <v/>
      </c>
      <c r="E1192" s="37" t="n"/>
      <c r="F1192" s="39" t="str">
        <f>IF(C1192="","",IFERROR(INDEX(art_unit,MATCH(C1192,art_ref,0))&amp;"",""))</f>
        <v/>
      </c>
      <c r="G1192" s="37" t="n"/>
      <c r="H1192" s="37" t="n"/>
      <c r="I1192" s="37" t="n"/>
      <c r="J1192" s="40" t="str">
        <f>IF(OR(C1192="",NOT(ISNUMBER(E1192))),"",IFERROR(E1192*N(INDEX(art_price,MATCH(C1192,art_ref,0))),""))</f>
        <v/>
      </c>
      <c r="K1192" s="39" t="str">
        <f>IF(OR(C1192="",NOT(ISNUMBER(E1192))),"",IFERROR(ROUND(N(INDEX(art_init,MATCH(C1192,art_ref,0)))+SUMIFS($E$5:E1192,$C$5:C1192,C1192,$B$5:B1192,"Entrée")-SUMIFS($E$5:E1192,$C$5:C1192,C1192,$B$5:B1192,"Sortie"),6),""))</f>
        <v/>
      </c>
      <c r="L1192" s="39" t="str">
        <f>IF(COUNTA(A1192:C1192,E1192)=0,"",IF(COUNTA(A1192:C1192,E1192)&lt;4,"Ligne incomplète",IF(NOT(ISNUMBER(A1192)),"Date invalide",IF(AND(B1192&lt;&gt;"Entrée",B1192&lt;&gt;"Sortie"),"Type inconnu",IF(ISNA(MATCH(C1192,art_ref,0)),"Référence inconnue",IF(OR(NOT(ISNUMBER(E1192)),N(E1192)&lt;=0),"Quantité invalide",IF(K1192&lt;0,"Stock négatif",IF(AND(ISNUMBER(A1191),A1192&lt;A1191),"Date hors ordre","OK"))))))))</f>
        <v/>
      </c>
      <c r="M1192" s="39" t="str">
        <f>IF(C1192="","",C1192&amp;"#"&amp;COUNTIF($C$5:C1192,C1192))</f>
        <v/>
      </c>
    </row>
    <row r="1193">
      <c r="A1193" s="41" t="n"/>
      <c r="B1193" s="37" t="n"/>
      <c r="C1193" s="37" t="n"/>
      <c r="D1193" s="39" t="str">
        <f>IF(C1193="","",IFERROR(INDEX(art_des,MATCH(C1193,art_ref,0))&amp;"","Référence inconnue"))</f>
        <v/>
      </c>
      <c r="E1193" s="37" t="n"/>
      <c r="F1193" s="39" t="str">
        <f>IF(C1193="","",IFERROR(INDEX(art_unit,MATCH(C1193,art_ref,0))&amp;"",""))</f>
        <v/>
      </c>
      <c r="G1193" s="37" t="n"/>
      <c r="H1193" s="37" t="n"/>
      <c r="I1193" s="37" t="n"/>
      <c r="J1193" s="40" t="str">
        <f>IF(OR(C1193="",NOT(ISNUMBER(E1193))),"",IFERROR(E1193*N(INDEX(art_price,MATCH(C1193,art_ref,0))),""))</f>
        <v/>
      </c>
      <c r="K1193" s="39" t="str">
        <f>IF(OR(C1193="",NOT(ISNUMBER(E1193))),"",IFERROR(ROUND(N(INDEX(art_init,MATCH(C1193,art_ref,0)))+SUMIFS($E$5:E1193,$C$5:C1193,C1193,$B$5:B1193,"Entrée")-SUMIFS($E$5:E1193,$C$5:C1193,C1193,$B$5:B1193,"Sortie"),6),""))</f>
        <v/>
      </c>
      <c r="L1193" s="39" t="str">
        <f>IF(COUNTA(A1193:C1193,E1193)=0,"",IF(COUNTA(A1193:C1193,E1193)&lt;4,"Ligne incomplète",IF(NOT(ISNUMBER(A1193)),"Date invalide",IF(AND(B1193&lt;&gt;"Entrée",B1193&lt;&gt;"Sortie"),"Type inconnu",IF(ISNA(MATCH(C1193,art_ref,0)),"Référence inconnue",IF(OR(NOT(ISNUMBER(E1193)),N(E1193)&lt;=0),"Quantité invalide",IF(K1193&lt;0,"Stock négatif",IF(AND(ISNUMBER(A1192),A1193&lt;A1192),"Date hors ordre","OK"))))))))</f>
        <v/>
      </c>
      <c r="M1193" s="39" t="str">
        <f>IF(C1193="","",C1193&amp;"#"&amp;COUNTIF($C$5:C1193,C1193))</f>
        <v/>
      </c>
    </row>
    <row r="1194">
      <c r="A1194" s="41" t="n"/>
      <c r="B1194" s="37" t="n"/>
      <c r="C1194" s="37" t="n"/>
      <c r="D1194" s="39" t="str">
        <f>IF(C1194="","",IFERROR(INDEX(art_des,MATCH(C1194,art_ref,0))&amp;"","Référence inconnue"))</f>
        <v/>
      </c>
      <c r="E1194" s="37" t="n"/>
      <c r="F1194" s="39" t="str">
        <f>IF(C1194="","",IFERROR(INDEX(art_unit,MATCH(C1194,art_ref,0))&amp;"",""))</f>
        <v/>
      </c>
      <c r="G1194" s="37" t="n"/>
      <c r="H1194" s="37" t="n"/>
      <c r="I1194" s="37" t="n"/>
      <c r="J1194" s="40" t="str">
        <f>IF(OR(C1194="",NOT(ISNUMBER(E1194))),"",IFERROR(E1194*N(INDEX(art_price,MATCH(C1194,art_ref,0))),""))</f>
        <v/>
      </c>
      <c r="K1194" s="39" t="str">
        <f>IF(OR(C1194="",NOT(ISNUMBER(E1194))),"",IFERROR(ROUND(N(INDEX(art_init,MATCH(C1194,art_ref,0)))+SUMIFS($E$5:E1194,$C$5:C1194,C1194,$B$5:B1194,"Entrée")-SUMIFS($E$5:E1194,$C$5:C1194,C1194,$B$5:B1194,"Sortie"),6),""))</f>
        <v/>
      </c>
      <c r="L1194" s="39" t="str">
        <f>IF(COUNTA(A1194:C1194,E1194)=0,"",IF(COUNTA(A1194:C1194,E1194)&lt;4,"Ligne incomplète",IF(NOT(ISNUMBER(A1194)),"Date invalide",IF(AND(B1194&lt;&gt;"Entrée",B1194&lt;&gt;"Sortie"),"Type inconnu",IF(ISNA(MATCH(C1194,art_ref,0)),"Référence inconnue",IF(OR(NOT(ISNUMBER(E1194)),N(E1194)&lt;=0),"Quantité invalide",IF(K1194&lt;0,"Stock négatif",IF(AND(ISNUMBER(A1193),A1194&lt;A1193),"Date hors ordre","OK"))))))))</f>
        <v/>
      </c>
      <c r="M1194" s="39" t="str">
        <f>IF(C1194="","",C1194&amp;"#"&amp;COUNTIF($C$5:C1194,C1194))</f>
        <v/>
      </c>
    </row>
    <row r="1195">
      <c r="A1195" s="41" t="n"/>
      <c r="B1195" s="37" t="n"/>
      <c r="C1195" s="37" t="n"/>
      <c r="D1195" s="39" t="str">
        <f>IF(C1195="","",IFERROR(INDEX(art_des,MATCH(C1195,art_ref,0))&amp;"","Référence inconnue"))</f>
        <v/>
      </c>
      <c r="E1195" s="37" t="n"/>
      <c r="F1195" s="39" t="str">
        <f>IF(C1195="","",IFERROR(INDEX(art_unit,MATCH(C1195,art_ref,0))&amp;"",""))</f>
        <v/>
      </c>
      <c r="G1195" s="37" t="n"/>
      <c r="H1195" s="37" t="n"/>
      <c r="I1195" s="37" t="n"/>
      <c r="J1195" s="40" t="str">
        <f>IF(OR(C1195="",NOT(ISNUMBER(E1195))),"",IFERROR(E1195*N(INDEX(art_price,MATCH(C1195,art_ref,0))),""))</f>
        <v/>
      </c>
      <c r="K1195" s="39" t="str">
        <f>IF(OR(C1195="",NOT(ISNUMBER(E1195))),"",IFERROR(ROUND(N(INDEX(art_init,MATCH(C1195,art_ref,0)))+SUMIFS($E$5:E1195,$C$5:C1195,C1195,$B$5:B1195,"Entrée")-SUMIFS($E$5:E1195,$C$5:C1195,C1195,$B$5:B1195,"Sortie"),6),""))</f>
        <v/>
      </c>
      <c r="L1195" s="39" t="str">
        <f>IF(COUNTA(A1195:C1195,E1195)=0,"",IF(COUNTA(A1195:C1195,E1195)&lt;4,"Ligne incomplète",IF(NOT(ISNUMBER(A1195)),"Date invalide",IF(AND(B1195&lt;&gt;"Entrée",B1195&lt;&gt;"Sortie"),"Type inconnu",IF(ISNA(MATCH(C1195,art_ref,0)),"Référence inconnue",IF(OR(NOT(ISNUMBER(E1195)),N(E1195)&lt;=0),"Quantité invalide",IF(K1195&lt;0,"Stock négatif",IF(AND(ISNUMBER(A1194),A1195&lt;A1194),"Date hors ordre","OK"))))))))</f>
        <v/>
      </c>
      <c r="M1195" s="39" t="str">
        <f>IF(C1195="","",C1195&amp;"#"&amp;COUNTIF($C$5:C1195,C1195))</f>
        <v/>
      </c>
    </row>
    <row r="1196">
      <c r="A1196" s="41" t="n"/>
      <c r="B1196" s="37" t="n"/>
      <c r="C1196" s="37" t="n"/>
      <c r="D1196" s="39" t="str">
        <f>IF(C1196="","",IFERROR(INDEX(art_des,MATCH(C1196,art_ref,0))&amp;"","Référence inconnue"))</f>
        <v/>
      </c>
      <c r="E1196" s="37" t="n"/>
      <c r="F1196" s="39" t="str">
        <f>IF(C1196="","",IFERROR(INDEX(art_unit,MATCH(C1196,art_ref,0))&amp;"",""))</f>
        <v/>
      </c>
      <c r="G1196" s="37" t="n"/>
      <c r="H1196" s="37" t="n"/>
      <c r="I1196" s="37" t="n"/>
      <c r="J1196" s="40" t="str">
        <f>IF(OR(C1196="",NOT(ISNUMBER(E1196))),"",IFERROR(E1196*N(INDEX(art_price,MATCH(C1196,art_ref,0))),""))</f>
        <v/>
      </c>
      <c r="K1196" s="39" t="str">
        <f>IF(OR(C1196="",NOT(ISNUMBER(E1196))),"",IFERROR(ROUND(N(INDEX(art_init,MATCH(C1196,art_ref,0)))+SUMIFS($E$5:E1196,$C$5:C1196,C1196,$B$5:B1196,"Entrée")-SUMIFS($E$5:E1196,$C$5:C1196,C1196,$B$5:B1196,"Sortie"),6),""))</f>
        <v/>
      </c>
      <c r="L1196" s="39" t="str">
        <f>IF(COUNTA(A1196:C1196,E1196)=0,"",IF(COUNTA(A1196:C1196,E1196)&lt;4,"Ligne incomplète",IF(NOT(ISNUMBER(A1196)),"Date invalide",IF(AND(B1196&lt;&gt;"Entrée",B1196&lt;&gt;"Sortie"),"Type inconnu",IF(ISNA(MATCH(C1196,art_ref,0)),"Référence inconnue",IF(OR(NOT(ISNUMBER(E1196)),N(E1196)&lt;=0),"Quantité invalide",IF(K1196&lt;0,"Stock négatif",IF(AND(ISNUMBER(A1195),A1196&lt;A1195),"Date hors ordre","OK"))))))))</f>
        <v/>
      </c>
      <c r="M1196" s="39" t="str">
        <f>IF(C1196="","",C1196&amp;"#"&amp;COUNTIF($C$5:C1196,C1196))</f>
        <v/>
      </c>
    </row>
    <row r="1197">
      <c r="A1197" s="41" t="n"/>
      <c r="B1197" s="37" t="n"/>
      <c r="C1197" s="37" t="n"/>
      <c r="D1197" s="39" t="str">
        <f>IF(C1197="","",IFERROR(INDEX(art_des,MATCH(C1197,art_ref,0))&amp;"","Référence inconnue"))</f>
        <v/>
      </c>
      <c r="E1197" s="37" t="n"/>
      <c r="F1197" s="39" t="str">
        <f>IF(C1197="","",IFERROR(INDEX(art_unit,MATCH(C1197,art_ref,0))&amp;"",""))</f>
        <v/>
      </c>
      <c r="G1197" s="37" t="n"/>
      <c r="H1197" s="37" t="n"/>
      <c r="I1197" s="37" t="n"/>
      <c r="J1197" s="40" t="str">
        <f>IF(OR(C1197="",NOT(ISNUMBER(E1197))),"",IFERROR(E1197*N(INDEX(art_price,MATCH(C1197,art_ref,0))),""))</f>
        <v/>
      </c>
      <c r="K1197" s="39" t="str">
        <f>IF(OR(C1197="",NOT(ISNUMBER(E1197))),"",IFERROR(ROUND(N(INDEX(art_init,MATCH(C1197,art_ref,0)))+SUMIFS($E$5:E1197,$C$5:C1197,C1197,$B$5:B1197,"Entrée")-SUMIFS($E$5:E1197,$C$5:C1197,C1197,$B$5:B1197,"Sortie"),6),""))</f>
        <v/>
      </c>
      <c r="L1197" s="39" t="str">
        <f>IF(COUNTA(A1197:C1197,E1197)=0,"",IF(COUNTA(A1197:C1197,E1197)&lt;4,"Ligne incomplète",IF(NOT(ISNUMBER(A1197)),"Date invalide",IF(AND(B1197&lt;&gt;"Entrée",B1197&lt;&gt;"Sortie"),"Type inconnu",IF(ISNA(MATCH(C1197,art_ref,0)),"Référence inconnue",IF(OR(NOT(ISNUMBER(E1197)),N(E1197)&lt;=0),"Quantité invalide",IF(K1197&lt;0,"Stock négatif",IF(AND(ISNUMBER(A1196),A1197&lt;A1196),"Date hors ordre","OK"))))))))</f>
        <v/>
      </c>
      <c r="M1197" s="39" t="str">
        <f>IF(C1197="","",C1197&amp;"#"&amp;COUNTIF($C$5:C1197,C1197))</f>
        <v/>
      </c>
    </row>
    <row r="1198">
      <c r="A1198" s="41" t="n"/>
      <c r="B1198" s="37" t="n"/>
      <c r="C1198" s="37" t="n"/>
      <c r="D1198" s="39" t="str">
        <f>IF(C1198="","",IFERROR(INDEX(art_des,MATCH(C1198,art_ref,0))&amp;"","Référence inconnue"))</f>
        <v/>
      </c>
      <c r="E1198" s="37" t="n"/>
      <c r="F1198" s="39" t="str">
        <f>IF(C1198="","",IFERROR(INDEX(art_unit,MATCH(C1198,art_ref,0))&amp;"",""))</f>
        <v/>
      </c>
      <c r="G1198" s="37" t="n"/>
      <c r="H1198" s="37" t="n"/>
      <c r="I1198" s="37" t="n"/>
      <c r="J1198" s="40" t="str">
        <f>IF(OR(C1198="",NOT(ISNUMBER(E1198))),"",IFERROR(E1198*N(INDEX(art_price,MATCH(C1198,art_ref,0))),""))</f>
        <v/>
      </c>
      <c r="K1198" s="39" t="str">
        <f>IF(OR(C1198="",NOT(ISNUMBER(E1198))),"",IFERROR(ROUND(N(INDEX(art_init,MATCH(C1198,art_ref,0)))+SUMIFS($E$5:E1198,$C$5:C1198,C1198,$B$5:B1198,"Entrée")-SUMIFS($E$5:E1198,$C$5:C1198,C1198,$B$5:B1198,"Sortie"),6),""))</f>
        <v/>
      </c>
      <c r="L1198" s="39" t="str">
        <f>IF(COUNTA(A1198:C1198,E1198)=0,"",IF(COUNTA(A1198:C1198,E1198)&lt;4,"Ligne incomplète",IF(NOT(ISNUMBER(A1198)),"Date invalide",IF(AND(B1198&lt;&gt;"Entrée",B1198&lt;&gt;"Sortie"),"Type inconnu",IF(ISNA(MATCH(C1198,art_ref,0)),"Référence inconnue",IF(OR(NOT(ISNUMBER(E1198)),N(E1198)&lt;=0),"Quantité invalide",IF(K1198&lt;0,"Stock négatif",IF(AND(ISNUMBER(A1197),A1198&lt;A1197),"Date hors ordre","OK"))))))))</f>
        <v/>
      </c>
      <c r="M1198" s="39" t="str">
        <f>IF(C1198="","",C1198&amp;"#"&amp;COUNTIF($C$5:C1198,C1198))</f>
        <v/>
      </c>
    </row>
    <row r="1199">
      <c r="A1199" s="41" t="n"/>
      <c r="B1199" s="37" t="n"/>
      <c r="C1199" s="37" t="n"/>
      <c r="D1199" s="39" t="str">
        <f>IF(C1199="","",IFERROR(INDEX(art_des,MATCH(C1199,art_ref,0))&amp;"","Référence inconnue"))</f>
        <v/>
      </c>
      <c r="E1199" s="37" t="n"/>
      <c r="F1199" s="39" t="str">
        <f>IF(C1199="","",IFERROR(INDEX(art_unit,MATCH(C1199,art_ref,0))&amp;"",""))</f>
        <v/>
      </c>
      <c r="G1199" s="37" t="n"/>
      <c r="H1199" s="37" t="n"/>
      <c r="I1199" s="37" t="n"/>
      <c r="J1199" s="40" t="str">
        <f>IF(OR(C1199="",NOT(ISNUMBER(E1199))),"",IFERROR(E1199*N(INDEX(art_price,MATCH(C1199,art_ref,0))),""))</f>
        <v/>
      </c>
      <c r="K1199" s="39" t="str">
        <f>IF(OR(C1199="",NOT(ISNUMBER(E1199))),"",IFERROR(ROUND(N(INDEX(art_init,MATCH(C1199,art_ref,0)))+SUMIFS($E$5:E1199,$C$5:C1199,C1199,$B$5:B1199,"Entrée")-SUMIFS($E$5:E1199,$C$5:C1199,C1199,$B$5:B1199,"Sortie"),6),""))</f>
        <v/>
      </c>
      <c r="L1199" s="39" t="str">
        <f>IF(COUNTA(A1199:C1199,E1199)=0,"",IF(COUNTA(A1199:C1199,E1199)&lt;4,"Ligne incomplète",IF(NOT(ISNUMBER(A1199)),"Date invalide",IF(AND(B1199&lt;&gt;"Entrée",B1199&lt;&gt;"Sortie"),"Type inconnu",IF(ISNA(MATCH(C1199,art_ref,0)),"Référence inconnue",IF(OR(NOT(ISNUMBER(E1199)),N(E1199)&lt;=0),"Quantité invalide",IF(K1199&lt;0,"Stock négatif",IF(AND(ISNUMBER(A1198),A1199&lt;A1198),"Date hors ordre","OK"))))))))</f>
        <v/>
      </c>
      <c r="M1199" s="39" t="str">
        <f>IF(C1199="","",C1199&amp;"#"&amp;COUNTIF($C$5:C1199,C1199))</f>
        <v/>
      </c>
    </row>
    <row r="1200">
      <c r="A1200" s="41" t="n"/>
      <c r="B1200" s="37" t="n"/>
      <c r="C1200" s="37" t="n"/>
      <c r="D1200" s="39" t="str">
        <f>IF(C1200="","",IFERROR(INDEX(art_des,MATCH(C1200,art_ref,0))&amp;"","Référence inconnue"))</f>
        <v/>
      </c>
      <c r="E1200" s="37" t="n"/>
      <c r="F1200" s="39" t="str">
        <f>IF(C1200="","",IFERROR(INDEX(art_unit,MATCH(C1200,art_ref,0))&amp;"",""))</f>
        <v/>
      </c>
      <c r="G1200" s="37" t="n"/>
      <c r="H1200" s="37" t="n"/>
      <c r="I1200" s="37" t="n"/>
      <c r="J1200" s="40" t="str">
        <f>IF(OR(C1200="",NOT(ISNUMBER(E1200))),"",IFERROR(E1200*N(INDEX(art_price,MATCH(C1200,art_ref,0))),""))</f>
        <v/>
      </c>
      <c r="K1200" s="39" t="str">
        <f>IF(OR(C1200="",NOT(ISNUMBER(E1200))),"",IFERROR(ROUND(N(INDEX(art_init,MATCH(C1200,art_ref,0)))+SUMIFS($E$5:E1200,$C$5:C1200,C1200,$B$5:B1200,"Entrée")-SUMIFS($E$5:E1200,$C$5:C1200,C1200,$B$5:B1200,"Sortie"),6),""))</f>
        <v/>
      </c>
      <c r="L1200" s="39" t="str">
        <f>IF(COUNTA(A1200:C1200,E1200)=0,"",IF(COUNTA(A1200:C1200,E1200)&lt;4,"Ligne incomplète",IF(NOT(ISNUMBER(A1200)),"Date invalide",IF(AND(B1200&lt;&gt;"Entrée",B1200&lt;&gt;"Sortie"),"Type inconnu",IF(ISNA(MATCH(C1200,art_ref,0)),"Référence inconnue",IF(OR(NOT(ISNUMBER(E1200)),N(E1200)&lt;=0),"Quantité invalide",IF(K1200&lt;0,"Stock négatif",IF(AND(ISNUMBER(A1199),A1200&lt;A1199),"Date hors ordre","OK"))))))))</f>
        <v/>
      </c>
      <c r="M1200" s="39" t="str">
        <f>IF(C1200="","",C1200&amp;"#"&amp;COUNTIF($C$5:C1200,C1200))</f>
        <v/>
      </c>
    </row>
    <row r="1201">
      <c r="A1201" s="41" t="n"/>
      <c r="B1201" s="37" t="n"/>
      <c r="C1201" s="37" t="n"/>
      <c r="D1201" s="39" t="str">
        <f>IF(C1201="","",IFERROR(INDEX(art_des,MATCH(C1201,art_ref,0))&amp;"","Référence inconnue"))</f>
        <v/>
      </c>
      <c r="E1201" s="37" t="n"/>
      <c r="F1201" s="39" t="str">
        <f>IF(C1201="","",IFERROR(INDEX(art_unit,MATCH(C1201,art_ref,0))&amp;"",""))</f>
        <v/>
      </c>
      <c r="G1201" s="37" t="n"/>
      <c r="H1201" s="37" t="n"/>
      <c r="I1201" s="37" t="n"/>
      <c r="J1201" s="40" t="str">
        <f>IF(OR(C1201="",NOT(ISNUMBER(E1201))),"",IFERROR(E1201*N(INDEX(art_price,MATCH(C1201,art_ref,0))),""))</f>
        <v/>
      </c>
      <c r="K1201" s="39" t="str">
        <f>IF(OR(C1201="",NOT(ISNUMBER(E1201))),"",IFERROR(ROUND(N(INDEX(art_init,MATCH(C1201,art_ref,0)))+SUMIFS($E$5:E1201,$C$5:C1201,C1201,$B$5:B1201,"Entrée")-SUMIFS($E$5:E1201,$C$5:C1201,C1201,$B$5:B1201,"Sortie"),6),""))</f>
        <v/>
      </c>
      <c r="L1201" s="39" t="str">
        <f>IF(COUNTA(A1201:C1201,E1201)=0,"",IF(COUNTA(A1201:C1201,E1201)&lt;4,"Ligne incomplète",IF(NOT(ISNUMBER(A1201)),"Date invalide",IF(AND(B1201&lt;&gt;"Entrée",B1201&lt;&gt;"Sortie"),"Type inconnu",IF(ISNA(MATCH(C1201,art_ref,0)),"Référence inconnue",IF(OR(NOT(ISNUMBER(E1201)),N(E1201)&lt;=0),"Quantité invalide",IF(K1201&lt;0,"Stock négatif",IF(AND(ISNUMBER(A1200),A1201&lt;A1200),"Date hors ordre","OK"))))))))</f>
        <v/>
      </c>
      <c r="M1201" s="39" t="str">
        <f>IF(C1201="","",C1201&amp;"#"&amp;COUNTIF($C$5:C1201,C1201))</f>
        <v/>
      </c>
    </row>
    <row r="1202">
      <c r="A1202" s="41" t="n"/>
      <c r="B1202" s="37" t="n"/>
      <c r="C1202" s="37" t="n"/>
      <c r="D1202" s="39" t="str">
        <f>IF(C1202="","",IFERROR(INDEX(art_des,MATCH(C1202,art_ref,0))&amp;"","Référence inconnue"))</f>
        <v/>
      </c>
      <c r="E1202" s="37" t="n"/>
      <c r="F1202" s="39" t="str">
        <f>IF(C1202="","",IFERROR(INDEX(art_unit,MATCH(C1202,art_ref,0))&amp;"",""))</f>
        <v/>
      </c>
      <c r="G1202" s="37" t="n"/>
      <c r="H1202" s="37" t="n"/>
      <c r="I1202" s="37" t="n"/>
      <c r="J1202" s="40" t="str">
        <f>IF(OR(C1202="",NOT(ISNUMBER(E1202))),"",IFERROR(E1202*N(INDEX(art_price,MATCH(C1202,art_ref,0))),""))</f>
        <v/>
      </c>
      <c r="K1202" s="39" t="str">
        <f>IF(OR(C1202="",NOT(ISNUMBER(E1202))),"",IFERROR(ROUND(N(INDEX(art_init,MATCH(C1202,art_ref,0)))+SUMIFS($E$5:E1202,$C$5:C1202,C1202,$B$5:B1202,"Entrée")-SUMIFS($E$5:E1202,$C$5:C1202,C1202,$B$5:B1202,"Sortie"),6),""))</f>
        <v/>
      </c>
      <c r="L1202" s="39" t="str">
        <f>IF(COUNTA(A1202:C1202,E1202)=0,"",IF(COUNTA(A1202:C1202,E1202)&lt;4,"Ligne incomplète",IF(NOT(ISNUMBER(A1202)),"Date invalide",IF(AND(B1202&lt;&gt;"Entrée",B1202&lt;&gt;"Sortie"),"Type inconnu",IF(ISNA(MATCH(C1202,art_ref,0)),"Référence inconnue",IF(OR(NOT(ISNUMBER(E1202)),N(E1202)&lt;=0),"Quantité invalide",IF(K1202&lt;0,"Stock négatif",IF(AND(ISNUMBER(A1201),A1202&lt;A1201),"Date hors ordre","OK"))))))))</f>
        <v/>
      </c>
      <c r="M1202" s="39" t="str">
        <f>IF(C1202="","",C1202&amp;"#"&amp;COUNTIF($C$5:C1202,C1202))</f>
        <v/>
      </c>
    </row>
    <row r="1203">
      <c r="A1203" s="41" t="n"/>
      <c r="B1203" s="37" t="n"/>
      <c r="C1203" s="37" t="n"/>
      <c r="D1203" s="39" t="str">
        <f>IF(C1203="","",IFERROR(INDEX(art_des,MATCH(C1203,art_ref,0))&amp;"","Référence inconnue"))</f>
        <v/>
      </c>
      <c r="E1203" s="37" t="n"/>
      <c r="F1203" s="39" t="str">
        <f>IF(C1203="","",IFERROR(INDEX(art_unit,MATCH(C1203,art_ref,0))&amp;"",""))</f>
        <v/>
      </c>
      <c r="G1203" s="37" t="n"/>
      <c r="H1203" s="37" t="n"/>
      <c r="I1203" s="37" t="n"/>
      <c r="J1203" s="40" t="str">
        <f>IF(OR(C1203="",NOT(ISNUMBER(E1203))),"",IFERROR(E1203*N(INDEX(art_price,MATCH(C1203,art_ref,0))),""))</f>
        <v/>
      </c>
      <c r="K1203" s="39" t="str">
        <f>IF(OR(C1203="",NOT(ISNUMBER(E1203))),"",IFERROR(ROUND(N(INDEX(art_init,MATCH(C1203,art_ref,0)))+SUMIFS($E$5:E1203,$C$5:C1203,C1203,$B$5:B1203,"Entrée")-SUMIFS($E$5:E1203,$C$5:C1203,C1203,$B$5:B1203,"Sortie"),6),""))</f>
        <v/>
      </c>
      <c r="L1203" s="39" t="str">
        <f>IF(COUNTA(A1203:C1203,E1203)=0,"",IF(COUNTA(A1203:C1203,E1203)&lt;4,"Ligne incomplète",IF(NOT(ISNUMBER(A1203)),"Date invalide",IF(AND(B1203&lt;&gt;"Entrée",B1203&lt;&gt;"Sortie"),"Type inconnu",IF(ISNA(MATCH(C1203,art_ref,0)),"Référence inconnue",IF(OR(NOT(ISNUMBER(E1203)),N(E1203)&lt;=0),"Quantité invalide",IF(K1203&lt;0,"Stock négatif",IF(AND(ISNUMBER(A1202),A1203&lt;A1202),"Date hors ordre","OK"))))))))</f>
        <v/>
      </c>
      <c r="M1203" s="39" t="str">
        <f>IF(C1203="","",C1203&amp;"#"&amp;COUNTIF($C$5:C1203,C1203))</f>
        <v/>
      </c>
    </row>
    <row r="1204">
      <c r="A1204" s="41" t="n"/>
      <c r="B1204" s="37" t="n"/>
      <c r="C1204" s="37" t="n"/>
      <c r="D1204" s="39" t="str">
        <f>IF(C1204="","",IFERROR(INDEX(art_des,MATCH(C1204,art_ref,0))&amp;"","Référence inconnue"))</f>
        <v/>
      </c>
      <c r="E1204" s="37" t="n"/>
      <c r="F1204" s="39" t="str">
        <f>IF(C1204="","",IFERROR(INDEX(art_unit,MATCH(C1204,art_ref,0))&amp;"",""))</f>
        <v/>
      </c>
      <c r="G1204" s="37" t="n"/>
      <c r="H1204" s="37" t="n"/>
      <c r="I1204" s="37" t="n"/>
      <c r="J1204" s="40" t="str">
        <f>IF(OR(C1204="",NOT(ISNUMBER(E1204))),"",IFERROR(E1204*N(INDEX(art_price,MATCH(C1204,art_ref,0))),""))</f>
        <v/>
      </c>
      <c r="K1204" s="39" t="str">
        <f>IF(OR(C1204="",NOT(ISNUMBER(E1204))),"",IFERROR(ROUND(N(INDEX(art_init,MATCH(C1204,art_ref,0)))+SUMIFS($E$5:E1204,$C$5:C1204,C1204,$B$5:B1204,"Entrée")-SUMIFS($E$5:E1204,$C$5:C1204,C1204,$B$5:B1204,"Sortie"),6),""))</f>
        <v/>
      </c>
      <c r="L1204" s="39" t="str">
        <f>IF(COUNTA(A1204:C1204,E1204)=0,"",IF(COUNTA(A1204:C1204,E1204)&lt;4,"Ligne incomplète",IF(NOT(ISNUMBER(A1204)),"Date invalide",IF(AND(B1204&lt;&gt;"Entrée",B1204&lt;&gt;"Sortie"),"Type inconnu",IF(ISNA(MATCH(C1204,art_ref,0)),"Référence inconnue",IF(OR(NOT(ISNUMBER(E1204)),N(E1204)&lt;=0),"Quantité invalide",IF(K1204&lt;0,"Stock négatif",IF(AND(ISNUMBER(A1203),A1204&lt;A1203),"Date hors ordre","OK"))))))))</f>
        <v/>
      </c>
      <c r="M1204" s="39" t="str">
        <f>IF(C1204="","",C1204&amp;"#"&amp;COUNTIF($C$5:C1204,C1204))</f>
        <v/>
      </c>
    </row>
    <row r="1205">
      <c r="A1205" s="41" t="n"/>
      <c r="B1205" s="37" t="n"/>
      <c r="C1205" s="37" t="n"/>
      <c r="D1205" s="39" t="str">
        <f>IF(C1205="","",IFERROR(INDEX(art_des,MATCH(C1205,art_ref,0))&amp;"","Référence inconnue"))</f>
        <v/>
      </c>
      <c r="E1205" s="37" t="n"/>
      <c r="F1205" s="39" t="str">
        <f>IF(C1205="","",IFERROR(INDEX(art_unit,MATCH(C1205,art_ref,0))&amp;"",""))</f>
        <v/>
      </c>
      <c r="G1205" s="37" t="n"/>
      <c r="H1205" s="37" t="n"/>
      <c r="I1205" s="37" t="n"/>
      <c r="J1205" s="40" t="str">
        <f>IF(OR(C1205="",NOT(ISNUMBER(E1205))),"",IFERROR(E1205*N(INDEX(art_price,MATCH(C1205,art_ref,0))),""))</f>
        <v/>
      </c>
      <c r="K1205" s="39" t="str">
        <f>IF(OR(C1205="",NOT(ISNUMBER(E1205))),"",IFERROR(ROUND(N(INDEX(art_init,MATCH(C1205,art_ref,0)))+SUMIFS($E$5:E1205,$C$5:C1205,C1205,$B$5:B1205,"Entrée")-SUMIFS($E$5:E1205,$C$5:C1205,C1205,$B$5:B1205,"Sortie"),6),""))</f>
        <v/>
      </c>
      <c r="L1205" s="39" t="str">
        <f>IF(COUNTA(A1205:C1205,E1205)=0,"",IF(COUNTA(A1205:C1205,E1205)&lt;4,"Ligne incomplète",IF(NOT(ISNUMBER(A1205)),"Date invalide",IF(AND(B1205&lt;&gt;"Entrée",B1205&lt;&gt;"Sortie"),"Type inconnu",IF(ISNA(MATCH(C1205,art_ref,0)),"Référence inconnue",IF(OR(NOT(ISNUMBER(E1205)),N(E1205)&lt;=0),"Quantité invalide",IF(K1205&lt;0,"Stock négatif",IF(AND(ISNUMBER(A1204),A1205&lt;A1204),"Date hors ordre","OK"))))))))</f>
        <v/>
      </c>
      <c r="M1205" s="39" t="str">
        <f>IF(C1205="","",C1205&amp;"#"&amp;COUNTIF($C$5:C1205,C1205))</f>
        <v/>
      </c>
    </row>
    <row r="1206">
      <c r="A1206" s="41" t="n"/>
      <c r="B1206" s="37" t="n"/>
      <c r="C1206" s="37" t="n"/>
      <c r="D1206" s="39" t="str">
        <f>IF(C1206="","",IFERROR(INDEX(art_des,MATCH(C1206,art_ref,0))&amp;"","Référence inconnue"))</f>
        <v/>
      </c>
      <c r="E1206" s="37" t="n"/>
      <c r="F1206" s="39" t="str">
        <f>IF(C1206="","",IFERROR(INDEX(art_unit,MATCH(C1206,art_ref,0))&amp;"",""))</f>
        <v/>
      </c>
      <c r="G1206" s="37" t="n"/>
      <c r="H1206" s="37" t="n"/>
      <c r="I1206" s="37" t="n"/>
      <c r="J1206" s="40" t="str">
        <f>IF(OR(C1206="",NOT(ISNUMBER(E1206))),"",IFERROR(E1206*N(INDEX(art_price,MATCH(C1206,art_ref,0))),""))</f>
        <v/>
      </c>
      <c r="K1206" s="39" t="str">
        <f>IF(OR(C1206="",NOT(ISNUMBER(E1206))),"",IFERROR(ROUND(N(INDEX(art_init,MATCH(C1206,art_ref,0)))+SUMIFS($E$5:E1206,$C$5:C1206,C1206,$B$5:B1206,"Entrée")-SUMIFS($E$5:E1206,$C$5:C1206,C1206,$B$5:B1206,"Sortie"),6),""))</f>
        <v/>
      </c>
      <c r="L1206" s="39" t="str">
        <f>IF(COUNTA(A1206:C1206,E1206)=0,"",IF(COUNTA(A1206:C1206,E1206)&lt;4,"Ligne incomplète",IF(NOT(ISNUMBER(A1206)),"Date invalide",IF(AND(B1206&lt;&gt;"Entrée",B1206&lt;&gt;"Sortie"),"Type inconnu",IF(ISNA(MATCH(C1206,art_ref,0)),"Référence inconnue",IF(OR(NOT(ISNUMBER(E1206)),N(E1206)&lt;=0),"Quantité invalide",IF(K1206&lt;0,"Stock négatif",IF(AND(ISNUMBER(A1205),A1206&lt;A1205),"Date hors ordre","OK"))))))))</f>
        <v/>
      </c>
      <c r="M1206" s="39" t="str">
        <f>IF(C1206="","",C1206&amp;"#"&amp;COUNTIF($C$5:C1206,C1206))</f>
        <v/>
      </c>
    </row>
    <row r="1207">
      <c r="A1207" s="41" t="n"/>
      <c r="B1207" s="37" t="n"/>
      <c r="C1207" s="37" t="n"/>
      <c r="D1207" s="39" t="str">
        <f>IF(C1207="","",IFERROR(INDEX(art_des,MATCH(C1207,art_ref,0))&amp;"","Référence inconnue"))</f>
        <v/>
      </c>
      <c r="E1207" s="37" t="n"/>
      <c r="F1207" s="39" t="str">
        <f>IF(C1207="","",IFERROR(INDEX(art_unit,MATCH(C1207,art_ref,0))&amp;"",""))</f>
        <v/>
      </c>
      <c r="G1207" s="37" t="n"/>
      <c r="H1207" s="37" t="n"/>
      <c r="I1207" s="37" t="n"/>
      <c r="J1207" s="40" t="str">
        <f>IF(OR(C1207="",NOT(ISNUMBER(E1207))),"",IFERROR(E1207*N(INDEX(art_price,MATCH(C1207,art_ref,0))),""))</f>
        <v/>
      </c>
      <c r="K1207" s="39" t="str">
        <f>IF(OR(C1207="",NOT(ISNUMBER(E1207))),"",IFERROR(ROUND(N(INDEX(art_init,MATCH(C1207,art_ref,0)))+SUMIFS($E$5:E1207,$C$5:C1207,C1207,$B$5:B1207,"Entrée")-SUMIFS($E$5:E1207,$C$5:C1207,C1207,$B$5:B1207,"Sortie"),6),""))</f>
        <v/>
      </c>
      <c r="L1207" s="39" t="str">
        <f>IF(COUNTA(A1207:C1207,E1207)=0,"",IF(COUNTA(A1207:C1207,E1207)&lt;4,"Ligne incomplète",IF(NOT(ISNUMBER(A1207)),"Date invalide",IF(AND(B1207&lt;&gt;"Entrée",B1207&lt;&gt;"Sortie"),"Type inconnu",IF(ISNA(MATCH(C1207,art_ref,0)),"Référence inconnue",IF(OR(NOT(ISNUMBER(E1207)),N(E1207)&lt;=0),"Quantité invalide",IF(K1207&lt;0,"Stock négatif",IF(AND(ISNUMBER(A1206),A1207&lt;A1206),"Date hors ordre","OK"))))))))</f>
        <v/>
      </c>
      <c r="M1207" s="39" t="str">
        <f>IF(C1207="","",C1207&amp;"#"&amp;COUNTIF($C$5:C1207,C1207))</f>
        <v/>
      </c>
    </row>
    <row r="1208">
      <c r="A1208" s="41" t="n"/>
      <c r="B1208" s="37" t="n"/>
      <c r="C1208" s="37" t="n"/>
      <c r="D1208" s="39" t="str">
        <f>IF(C1208="","",IFERROR(INDEX(art_des,MATCH(C1208,art_ref,0))&amp;"","Référence inconnue"))</f>
        <v/>
      </c>
      <c r="E1208" s="37" t="n"/>
      <c r="F1208" s="39" t="str">
        <f>IF(C1208="","",IFERROR(INDEX(art_unit,MATCH(C1208,art_ref,0))&amp;"",""))</f>
        <v/>
      </c>
      <c r="G1208" s="37" t="n"/>
      <c r="H1208" s="37" t="n"/>
      <c r="I1208" s="37" t="n"/>
      <c r="J1208" s="40" t="str">
        <f>IF(OR(C1208="",NOT(ISNUMBER(E1208))),"",IFERROR(E1208*N(INDEX(art_price,MATCH(C1208,art_ref,0))),""))</f>
        <v/>
      </c>
      <c r="K1208" s="39" t="str">
        <f>IF(OR(C1208="",NOT(ISNUMBER(E1208))),"",IFERROR(ROUND(N(INDEX(art_init,MATCH(C1208,art_ref,0)))+SUMIFS($E$5:E1208,$C$5:C1208,C1208,$B$5:B1208,"Entrée")-SUMIFS($E$5:E1208,$C$5:C1208,C1208,$B$5:B1208,"Sortie"),6),""))</f>
        <v/>
      </c>
      <c r="L1208" s="39" t="str">
        <f>IF(COUNTA(A1208:C1208,E1208)=0,"",IF(COUNTA(A1208:C1208,E1208)&lt;4,"Ligne incomplète",IF(NOT(ISNUMBER(A1208)),"Date invalide",IF(AND(B1208&lt;&gt;"Entrée",B1208&lt;&gt;"Sortie"),"Type inconnu",IF(ISNA(MATCH(C1208,art_ref,0)),"Référence inconnue",IF(OR(NOT(ISNUMBER(E1208)),N(E1208)&lt;=0),"Quantité invalide",IF(K1208&lt;0,"Stock négatif",IF(AND(ISNUMBER(A1207),A1208&lt;A1207),"Date hors ordre","OK"))))))))</f>
        <v/>
      </c>
      <c r="M1208" s="39" t="str">
        <f>IF(C1208="","",C1208&amp;"#"&amp;COUNTIF($C$5:C1208,C1208))</f>
        <v/>
      </c>
    </row>
    <row r="1209">
      <c r="A1209" s="41" t="n"/>
      <c r="B1209" s="37" t="n"/>
      <c r="C1209" s="37" t="n"/>
      <c r="D1209" s="39" t="str">
        <f>IF(C1209="","",IFERROR(INDEX(art_des,MATCH(C1209,art_ref,0))&amp;"","Référence inconnue"))</f>
        <v/>
      </c>
      <c r="E1209" s="37" t="n"/>
      <c r="F1209" s="39" t="str">
        <f>IF(C1209="","",IFERROR(INDEX(art_unit,MATCH(C1209,art_ref,0))&amp;"",""))</f>
        <v/>
      </c>
      <c r="G1209" s="37" t="n"/>
      <c r="H1209" s="37" t="n"/>
      <c r="I1209" s="37" t="n"/>
      <c r="J1209" s="40" t="str">
        <f>IF(OR(C1209="",NOT(ISNUMBER(E1209))),"",IFERROR(E1209*N(INDEX(art_price,MATCH(C1209,art_ref,0))),""))</f>
        <v/>
      </c>
      <c r="K1209" s="39" t="str">
        <f>IF(OR(C1209="",NOT(ISNUMBER(E1209))),"",IFERROR(ROUND(N(INDEX(art_init,MATCH(C1209,art_ref,0)))+SUMIFS($E$5:E1209,$C$5:C1209,C1209,$B$5:B1209,"Entrée")-SUMIFS($E$5:E1209,$C$5:C1209,C1209,$B$5:B1209,"Sortie"),6),""))</f>
        <v/>
      </c>
      <c r="L1209" s="39" t="str">
        <f>IF(COUNTA(A1209:C1209,E1209)=0,"",IF(COUNTA(A1209:C1209,E1209)&lt;4,"Ligne incomplète",IF(NOT(ISNUMBER(A1209)),"Date invalide",IF(AND(B1209&lt;&gt;"Entrée",B1209&lt;&gt;"Sortie"),"Type inconnu",IF(ISNA(MATCH(C1209,art_ref,0)),"Référence inconnue",IF(OR(NOT(ISNUMBER(E1209)),N(E1209)&lt;=0),"Quantité invalide",IF(K1209&lt;0,"Stock négatif",IF(AND(ISNUMBER(A1208),A1209&lt;A1208),"Date hors ordre","OK"))))))))</f>
        <v/>
      </c>
      <c r="M1209" s="39" t="str">
        <f>IF(C1209="","",C1209&amp;"#"&amp;COUNTIF($C$5:C1209,C1209))</f>
        <v/>
      </c>
    </row>
    <row r="1210">
      <c r="A1210" s="41" t="n"/>
      <c r="B1210" s="37" t="n"/>
      <c r="C1210" s="37" t="n"/>
      <c r="D1210" s="39" t="str">
        <f>IF(C1210="","",IFERROR(INDEX(art_des,MATCH(C1210,art_ref,0))&amp;"","Référence inconnue"))</f>
        <v/>
      </c>
      <c r="E1210" s="37" t="n"/>
      <c r="F1210" s="39" t="str">
        <f>IF(C1210="","",IFERROR(INDEX(art_unit,MATCH(C1210,art_ref,0))&amp;"",""))</f>
        <v/>
      </c>
      <c r="G1210" s="37" t="n"/>
      <c r="H1210" s="37" t="n"/>
      <c r="I1210" s="37" t="n"/>
      <c r="J1210" s="40" t="str">
        <f>IF(OR(C1210="",NOT(ISNUMBER(E1210))),"",IFERROR(E1210*N(INDEX(art_price,MATCH(C1210,art_ref,0))),""))</f>
        <v/>
      </c>
      <c r="K1210" s="39" t="str">
        <f>IF(OR(C1210="",NOT(ISNUMBER(E1210))),"",IFERROR(ROUND(N(INDEX(art_init,MATCH(C1210,art_ref,0)))+SUMIFS($E$5:E1210,$C$5:C1210,C1210,$B$5:B1210,"Entrée")-SUMIFS($E$5:E1210,$C$5:C1210,C1210,$B$5:B1210,"Sortie"),6),""))</f>
        <v/>
      </c>
      <c r="L1210" s="39" t="str">
        <f>IF(COUNTA(A1210:C1210,E1210)=0,"",IF(COUNTA(A1210:C1210,E1210)&lt;4,"Ligne incomplète",IF(NOT(ISNUMBER(A1210)),"Date invalide",IF(AND(B1210&lt;&gt;"Entrée",B1210&lt;&gt;"Sortie"),"Type inconnu",IF(ISNA(MATCH(C1210,art_ref,0)),"Référence inconnue",IF(OR(NOT(ISNUMBER(E1210)),N(E1210)&lt;=0),"Quantité invalide",IF(K1210&lt;0,"Stock négatif",IF(AND(ISNUMBER(A1209),A1210&lt;A1209),"Date hors ordre","OK"))))))))</f>
        <v/>
      </c>
      <c r="M1210" s="39" t="str">
        <f>IF(C1210="","",C1210&amp;"#"&amp;COUNTIF($C$5:C1210,C1210))</f>
        <v/>
      </c>
    </row>
    <row r="1211">
      <c r="A1211" s="41" t="n"/>
      <c r="B1211" s="37" t="n"/>
      <c r="C1211" s="37" t="n"/>
      <c r="D1211" s="39" t="str">
        <f>IF(C1211="","",IFERROR(INDEX(art_des,MATCH(C1211,art_ref,0))&amp;"","Référence inconnue"))</f>
        <v/>
      </c>
      <c r="E1211" s="37" t="n"/>
      <c r="F1211" s="39" t="str">
        <f>IF(C1211="","",IFERROR(INDEX(art_unit,MATCH(C1211,art_ref,0))&amp;"",""))</f>
        <v/>
      </c>
      <c r="G1211" s="37" t="n"/>
      <c r="H1211" s="37" t="n"/>
      <c r="I1211" s="37" t="n"/>
      <c r="J1211" s="40" t="str">
        <f>IF(OR(C1211="",NOT(ISNUMBER(E1211))),"",IFERROR(E1211*N(INDEX(art_price,MATCH(C1211,art_ref,0))),""))</f>
        <v/>
      </c>
      <c r="K1211" s="39" t="str">
        <f>IF(OR(C1211="",NOT(ISNUMBER(E1211))),"",IFERROR(ROUND(N(INDEX(art_init,MATCH(C1211,art_ref,0)))+SUMIFS($E$5:E1211,$C$5:C1211,C1211,$B$5:B1211,"Entrée")-SUMIFS($E$5:E1211,$C$5:C1211,C1211,$B$5:B1211,"Sortie"),6),""))</f>
        <v/>
      </c>
      <c r="L1211" s="39" t="str">
        <f>IF(COUNTA(A1211:C1211,E1211)=0,"",IF(COUNTA(A1211:C1211,E1211)&lt;4,"Ligne incomplète",IF(NOT(ISNUMBER(A1211)),"Date invalide",IF(AND(B1211&lt;&gt;"Entrée",B1211&lt;&gt;"Sortie"),"Type inconnu",IF(ISNA(MATCH(C1211,art_ref,0)),"Référence inconnue",IF(OR(NOT(ISNUMBER(E1211)),N(E1211)&lt;=0),"Quantité invalide",IF(K1211&lt;0,"Stock négatif",IF(AND(ISNUMBER(A1210),A1211&lt;A1210),"Date hors ordre","OK"))))))))</f>
        <v/>
      </c>
      <c r="M1211" s="39" t="str">
        <f>IF(C1211="","",C1211&amp;"#"&amp;COUNTIF($C$5:C1211,C1211))</f>
        <v/>
      </c>
    </row>
    <row r="1212">
      <c r="A1212" s="41" t="n"/>
      <c r="B1212" s="37" t="n"/>
      <c r="C1212" s="37" t="n"/>
      <c r="D1212" s="39" t="str">
        <f>IF(C1212="","",IFERROR(INDEX(art_des,MATCH(C1212,art_ref,0))&amp;"","Référence inconnue"))</f>
        <v/>
      </c>
      <c r="E1212" s="37" t="n"/>
      <c r="F1212" s="39" t="str">
        <f>IF(C1212="","",IFERROR(INDEX(art_unit,MATCH(C1212,art_ref,0))&amp;"",""))</f>
        <v/>
      </c>
      <c r="G1212" s="37" t="n"/>
      <c r="H1212" s="37" t="n"/>
      <c r="I1212" s="37" t="n"/>
      <c r="J1212" s="40" t="str">
        <f>IF(OR(C1212="",NOT(ISNUMBER(E1212))),"",IFERROR(E1212*N(INDEX(art_price,MATCH(C1212,art_ref,0))),""))</f>
        <v/>
      </c>
      <c r="K1212" s="39" t="str">
        <f>IF(OR(C1212="",NOT(ISNUMBER(E1212))),"",IFERROR(ROUND(N(INDEX(art_init,MATCH(C1212,art_ref,0)))+SUMIFS($E$5:E1212,$C$5:C1212,C1212,$B$5:B1212,"Entrée")-SUMIFS($E$5:E1212,$C$5:C1212,C1212,$B$5:B1212,"Sortie"),6),""))</f>
        <v/>
      </c>
      <c r="L1212" s="39" t="str">
        <f>IF(COUNTA(A1212:C1212,E1212)=0,"",IF(COUNTA(A1212:C1212,E1212)&lt;4,"Ligne incomplète",IF(NOT(ISNUMBER(A1212)),"Date invalide",IF(AND(B1212&lt;&gt;"Entrée",B1212&lt;&gt;"Sortie"),"Type inconnu",IF(ISNA(MATCH(C1212,art_ref,0)),"Référence inconnue",IF(OR(NOT(ISNUMBER(E1212)),N(E1212)&lt;=0),"Quantité invalide",IF(K1212&lt;0,"Stock négatif",IF(AND(ISNUMBER(A1211),A1212&lt;A1211),"Date hors ordre","OK"))))))))</f>
        <v/>
      </c>
      <c r="M1212" s="39" t="str">
        <f>IF(C1212="","",C1212&amp;"#"&amp;COUNTIF($C$5:C1212,C1212))</f>
        <v/>
      </c>
    </row>
    <row r="1213">
      <c r="A1213" s="41" t="n"/>
      <c r="B1213" s="37" t="n"/>
      <c r="C1213" s="37" t="n"/>
      <c r="D1213" s="39" t="str">
        <f>IF(C1213="","",IFERROR(INDEX(art_des,MATCH(C1213,art_ref,0))&amp;"","Référence inconnue"))</f>
        <v/>
      </c>
      <c r="E1213" s="37" t="n"/>
      <c r="F1213" s="39" t="str">
        <f>IF(C1213="","",IFERROR(INDEX(art_unit,MATCH(C1213,art_ref,0))&amp;"",""))</f>
        <v/>
      </c>
      <c r="G1213" s="37" t="n"/>
      <c r="H1213" s="37" t="n"/>
      <c r="I1213" s="37" t="n"/>
      <c r="J1213" s="40" t="str">
        <f>IF(OR(C1213="",NOT(ISNUMBER(E1213))),"",IFERROR(E1213*N(INDEX(art_price,MATCH(C1213,art_ref,0))),""))</f>
        <v/>
      </c>
      <c r="K1213" s="39" t="str">
        <f>IF(OR(C1213="",NOT(ISNUMBER(E1213))),"",IFERROR(ROUND(N(INDEX(art_init,MATCH(C1213,art_ref,0)))+SUMIFS($E$5:E1213,$C$5:C1213,C1213,$B$5:B1213,"Entrée")-SUMIFS($E$5:E1213,$C$5:C1213,C1213,$B$5:B1213,"Sortie"),6),""))</f>
        <v/>
      </c>
      <c r="L1213" s="39" t="str">
        <f>IF(COUNTA(A1213:C1213,E1213)=0,"",IF(COUNTA(A1213:C1213,E1213)&lt;4,"Ligne incomplète",IF(NOT(ISNUMBER(A1213)),"Date invalide",IF(AND(B1213&lt;&gt;"Entrée",B1213&lt;&gt;"Sortie"),"Type inconnu",IF(ISNA(MATCH(C1213,art_ref,0)),"Référence inconnue",IF(OR(NOT(ISNUMBER(E1213)),N(E1213)&lt;=0),"Quantité invalide",IF(K1213&lt;0,"Stock négatif",IF(AND(ISNUMBER(A1212),A1213&lt;A1212),"Date hors ordre","OK"))))))))</f>
        <v/>
      </c>
      <c r="M1213" s="39" t="str">
        <f>IF(C1213="","",C1213&amp;"#"&amp;COUNTIF($C$5:C1213,C1213))</f>
        <v/>
      </c>
    </row>
    <row r="1214">
      <c r="A1214" s="41" t="n"/>
      <c r="B1214" s="37" t="n"/>
      <c r="C1214" s="37" t="n"/>
      <c r="D1214" s="39" t="str">
        <f>IF(C1214="","",IFERROR(INDEX(art_des,MATCH(C1214,art_ref,0))&amp;"","Référence inconnue"))</f>
        <v/>
      </c>
      <c r="E1214" s="37" t="n"/>
      <c r="F1214" s="39" t="str">
        <f>IF(C1214="","",IFERROR(INDEX(art_unit,MATCH(C1214,art_ref,0))&amp;"",""))</f>
        <v/>
      </c>
      <c r="G1214" s="37" t="n"/>
      <c r="H1214" s="37" t="n"/>
      <c r="I1214" s="37" t="n"/>
      <c r="J1214" s="40" t="str">
        <f>IF(OR(C1214="",NOT(ISNUMBER(E1214))),"",IFERROR(E1214*N(INDEX(art_price,MATCH(C1214,art_ref,0))),""))</f>
        <v/>
      </c>
      <c r="K1214" s="39" t="str">
        <f>IF(OR(C1214="",NOT(ISNUMBER(E1214))),"",IFERROR(ROUND(N(INDEX(art_init,MATCH(C1214,art_ref,0)))+SUMIFS($E$5:E1214,$C$5:C1214,C1214,$B$5:B1214,"Entrée")-SUMIFS($E$5:E1214,$C$5:C1214,C1214,$B$5:B1214,"Sortie"),6),""))</f>
        <v/>
      </c>
      <c r="L1214" s="39" t="str">
        <f>IF(COUNTA(A1214:C1214,E1214)=0,"",IF(COUNTA(A1214:C1214,E1214)&lt;4,"Ligne incomplète",IF(NOT(ISNUMBER(A1214)),"Date invalide",IF(AND(B1214&lt;&gt;"Entrée",B1214&lt;&gt;"Sortie"),"Type inconnu",IF(ISNA(MATCH(C1214,art_ref,0)),"Référence inconnue",IF(OR(NOT(ISNUMBER(E1214)),N(E1214)&lt;=0),"Quantité invalide",IF(K1214&lt;0,"Stock négatif",IF(AND(ISNUMBER(A1213),A1214&lt;A1213),"Date hors ordre","OK"))))))))</f>
        <v/>
      </c>
      <c r="M1214" s="39" t="str">
        <f>IF(C1214="","",C1214&amp;"#"&amp;COUNTIF($C$5:C1214,C1214))</f>
        <v/>
      </c>
    </row>
    <row r="1215">
      <c r="A1215" s="41" t="n"/>
      <c r="B1215" s="37" t="n"/>
      <c r="C1215" s="37" t="n"/>
      <c r="D1215" s="39" t="str">
        <f>IF(C1215="","",IFERROR(INDEX(art_des,MATCH(C1215,art_ref,0))&amp;"","Référence inconnue"))</f>
        <v/>
      </c>
      <c r="E1215" s="37" t="n"/>
      <c r="F1215" s="39" t="str">
        <f>IF(C1215="","",IFERROR(INDEX(art_unit,MATCH(C1215,art_ref,0))&amp;"",""))</f>
        <v/>
      </c>
      <c r="G1215" s="37" t="n"/>
      <c r="H1215" s="37" t="n"/>
      <c r="I1215" s="37" t="n"/>
      <c r="J1215" s="40" t="str">
        <f>IF(OR(C1215="",NOT(ISNUMBER(E1215))),"",IFERROR(E1215*N(INDEX(art_price,MATCH(C1215,art_ref,0))),""))</f>
        <v/>
      </c>
      <c r="K1215" s="39" t="str">
        <f>IF(OR(C1215="",NOT(ISNUMBER(E1215))),"",IFERROR(ROUND(N(INDEX(art_init,MATCH(C1215,art_ref,0)))+SUMIFS($E$5:E1215,$C$5:C1215,C1215,$B$5:B1215,"Entrée")-SUMIFS($E$5:E1215,$C$5:C1215,C1215,$B$5:B1215,"Sortie"),6),""))</f>
        <v/>
      </c>
      <c r="L1215" s="39" t="str">
        <f>IF(COUNTA(A1215:C1215,E1215)=0,"",IF(COUNTA(A1215:C1215,E1215)&lt;4,"Ligne incomplète",IF(NOT(ISNUMBER(A1215)),"Date invalide",IF(AND(B1215&lt;&gt;"Entrée",B1215&lt;&gt;"Sortie"),"Type inconnu",IF(ISNA(MATCH(C1215,art_ref,0)),"Référence inconnue",IF(OR(NOT(ISNUMBER(E1215)),N(E1215)&lt;=0),"Quantité invalide",IF(K1215&lt;0,"Stock négatif",IF(AND(ISNUMBER(A1214),A1215&lt;A1214),"Date hors ordre","OK"))))))))</f>
        <v/>
      </c>
      <c r="M1215" s="39" t="str">
        <f>IF(C1215="","",C1215&amp;"#"&amp;COUNTIF($C$5:C1215,C1215))</f>
        <v/>
      </c>
    </row>
    <row r="1216">
      <c r="A1216" s="41" t="n"/>
      <c r="B1216" s="37" t="n"/>
      <c r="C1216" s="37" t="n"/>
      <c r="D1216" s="39" t="str">
        <f>IF(C1216="","",IFERROR(INDEX(art_des,MATCH(C1216,art_ref,0))&amp;"","Référence inconnue"))</f>
        <v/>
      </c>
      <c r="E1216" s="37" t="n"/>
      <c r="F1216" s="39" t="str">
        <f>IF(C1216="","",IFERROR(INDEX(art_unit,MATCH(C1216,art_ref,0))&amp;"",""))</f>
        <v/>
      </c>
      <c r="G1216" s="37" t="n"/>
      <c r="H1216" s="37" t="n"/>
      <c r="I1216" s="37" t="n"/>
      <c r="J1216" s="40" t="str">
        <f>IF(OR(C1216="",NOT(ISNUMBER(E1216))),"",IFERROR(E1216*N(INDEX(art_price,MATCH(C1216,art_ref,0))),""))</f>
        <v/>
      </c>
      <c r="K1216" s="39" t="str">
        <f>IF(OR(C1216="",NOT(ISNUMBER(E1216))),"",IFERROR(ROUND(N(INDEX(art_init,MATCH(C1216,art_ref,0)))+SUMIFS($E$5:E1216,$C$5:C1216,C1216,$B$5:B1216,"Entrée")-SUMIFS($E$5:E1216,$C$5:C1216,C1216,$B$5:B1216,"Sortie"),6),""))</f>
        <v/>
      </c>
      <c r="L1216" s="39" t="str">
        <f>IF(COUNTA(A1216:C1216,E1216)=0,"",IF(COUNTA(A1216:C1216,E1216)&lt;4,"Ligne incomplète",IF(NOT(ISNUMBER(A1216)),"Date invalide",IF(AND(B1216&lt;&gt;"Entrée",B1216&lt;&gt;"Sortie"),"Type inconnu",IF(ISNA(MATCH(C1216,art_ref,0)),"Référence inconnue",IF(OR(NOT(ISNUMBER(E1216)),N(E1216)&lt;=0),"Quantité invalide",IF(K1216&lt;0,"Stock négatif",IF(AND(ISNUMBER(A1215),A1216&lt;A1215),"Date hors ordre","OK"))))))))</f>
        <v/>
      </c>
      <c r="M1216" s="39" t="str">
        <f>IF(C1216="","",C1216&amp;"#"&amp;COUNTIF($C$5:C1216,C1216))</f>
        <v/>
      </c>
    </row>
    <row r="1217">
      <c r="A1217" s="41" t="n"/>
      <c r="B1217" s="37" t="n"/>
      <c r="C1217" s="37" t="n"/>
      <c r="D1217" s="39" t="str">
        <f>IF(C1217="","",IFERROR(INDEX(art_des,MATCH(C1217,art_ref,0))&amp;"","Référence inconnue"))</f>
        <v/>
      </c>
      <c r="E1217" s="37" t="n"/>
      <c r="F1217" s="39" t="str">
        <f>IF(C1217="","",IFERROR(INDEX(art_unit,MATCH(C1217,art_ref,0))&amp;"",""))</f>
        <v/>
      </c>
      <c r="G1217" s="37" t="n"/>
      <c r="H1217" s="37" t="n"/>
      <c r="I1217" s="37" t="n"/>
      <c r="J1217" s="40" t="str">
        <f>IF(OR(C1217="",NOT(ISNUMBER(E1217))),"",IFERROR(E1217*N(INDEX(art_price,MATCH(C1217,art_ref,0))),""))</f>
        <v/>
      </c>
      <c r="K1217" s="39" t="str">
        <f>IF(OR(C1217="",NOT(ISNUMBER(E1217))),"",IFERROR(ROUND(N(INDEX(art_init,MATCH(C1217,art_ref,0)))+SUMIFS($E$5:E1217,$C$5:C1217,C1217,$B$5:B1217,"Entrée")-SUMIFS($E$5:E1217,$C$5:C1217,C1217,$B$5:B1217,"Sortie"),6),""))</f>
        <v/>
      </c>
      <c r="L1217" s="39" t="str">
        <f>IF(COUNTA(A1217:C1217,E1217)=0,"",IF(COUNTA(A1217:C1217,E1217)&lt;4,"Ligne incomplète",IF(NOT(ISNUMBER(A1217)),"Date invalide",IF(AND(B1217&lt;&gt;"Entrée",B1217&lt;&gt;"Sortie"),"Type inconnu",IF(ISNA(MATCH(C1217,art_ref,0)),"Référence inconnue",IF(OR(NOT(ISNUMBER(E1217)),N(E1217)&lt;=0),"Quantité invalide",IF(K1217&lt;0,"Stock négatif",IF(AND(ISNUMBER(A1216),A1217&lt;A1216),"Date hors ordre","OK"))))))))</f>
        <v/>
      </c>
      <c r="M1217" s="39" t="str">
        <f>IF(C1217="","",C1217&amp;"#"&amp;COUNTIF($C$5:C1217,C1217))</f>
        <v/>
      </c>
    </row>
    <row r="1218">
      <c r="A1218" s="41" t="n"/>
      <c r="B1218" s="37" t="n"/>
      <c r="C1218" s="37" t="n"/>
      <c r="D1218" s="39" t="str">
        <f>IF(C1218="","",IFERROR(INDEX(art_des,MATCH(C1218,art_ref,0))&amp;"","Référence inconnue"))</f>
        <v/>
      </c>
      <c r="E1218" s="37" t="n"/>
      <c r="F1218" s="39" t="str">
        <f>IF(C1218="","",IFERROR(INDEX(art_unit,MATCH(C1218,art_ref,0))&amp;"",""))</f>
        <v/>
      </c>
      <c r="G1218" s="37" t="n"/>
      <c r="H1218" s="37" t="n"/>
      <c r="I1218" s="37" t="n"/>
      <c r="J1218" s="40" t="str">
        <f>IF(OR(C1218="",NOT(ISNUMBER(E1218))),"",IFERROR(E1218*N(INDEX(art_price,MATCH(C1218,art_ref,0))),""))</f>
        <v/>
      </c>
      <c r="K1218" s="39" t="str">
        <f>IF(OR(C1218="",NOT(ISNUMBER(E1218))),"",IFERROR(ROUND(N(INDEX(art_init,MATCH(C1218,art_ref,0)))+SUMIFS($E$5:E1218,$C$5:C1218,C1218,$B$5:B1218,"Entrée")-SUMIFS($E$5:E1218,$C$5:C1218,C1218,$B$5:B1218,"Sortie"),6),""))</f>
        <v/>
      </c>
      <c r="L1218" s="39" t="str">
        <f>IF(COUNTA(A1218:C1218,E1218)=0,"",IF(COUNTA(A1218:C1218,E1218)&lt;4,"Ligne incomplète",IF(NOT(ISNUMBER(A1218)),"Date invalide",IF(AND(B1218&lt;&gt;"Entrée",B1218&lt;&gt;"Sortie"),"Type inconnu",IF(ISNA(MATCH(C1218,art_ref,0)),"Référence inconnue",IF(OR(NOT(ISNUMBER(E1218)),N(E1218)&lt;=0),"Quantité invalide",IF(K1218&lt;0,"Stock négatif",IF(AND(ISNUMBER(A1217),A1218&lt;A1217),"Date hors ordre","OK"))))))))</f>
        <v/>
      </c>
      <c r="M1218" s="39" t="str">
        <f>IF(C1218="","",C1218&amp;"#"&amp;COUNTIF($C$5:C1218,C1218))</f>
        <v/>
      </c>
    </row>
    <row r="1219">
      <c r="A1219" s="41" t="n"/>
      <c r="B1219" s="37" t="n"/>
      <c r="C1219" s="37" t="n"/>
      <c r="D1219" s="39" t="str">
        <f>IF(C1219="","",IFERROR(INDEX(art_des,MATCH(C1219,art_ref,0))&amp;"","Référence inconnue"))</f>
        <v/>
      </c>
      <c r="E1219" s="37" t="n"/>
      <c r="F1219" s="39" t="str">
        <f>IF(C1219="","",IFERROR(INDEX(art_unit,MATCH(C1219,art_ref,0))&amp;"",""))</f>
        <v/>
      </c>
      <c r="G1219" s="37" t="n"/>
      <c r="H1219" s="37" t="n"/>
      <c r="I1219" s="37" t="n"/>
      <c r="J1219" s="40" t="str">
        <f>IF(OR(C1219="",NOT(ISNUMBER(E1219))),"",IFERROR(E1219*N(INDEX(art_price,MATCH(C1219,art_ref,0))),""))</f>
        <v/>
      </c>
      <c r="K1219" s="39" t="str">
        <f>IF(OR(C1219="",NOT(ISNUMBER(E1219))),"",IFERROR(ROUND(N(INDEX(art_init,MATCH(C1219,art_ref,0)))+SUMIFS($E$5:E1219,$C$5:C1219,C1219,$B$5:B1219,"Entrée")-SUMIFS($E$5:E1219,$C$5:C1219,C1219,$B$5:B1219,"Sortie"),6),""))</f>
        <v/>
      </c>
      <c r="L1219" s="39" t="str">
        <f>IF(COUNTA(A1219:C1219,E1219)=0,"",IF(COUNTA(A1219:C1219,E1219)&lt;4,"Ligne incomplète",IF(NOT(ISNUMBER(A1219)),"Date invalide",IF(AND(B1219&lt;&gt;"Entrée",B1219&lt;&gt;"Sortie"),"Type inconnu",IF(ISNA(MATCH(C1219,art_ref,0)),"Référence inconnue",IF(OR(NOT(ISNUMBER(E1219)),N(E1219)&lt;=0),"Quantité invalide",IF(K1219&lt;0,"Stock négatif",IF(AND(ISNUMBER(A1218),A1219&lt;A1218),"Date hors ordre","OK"))))))))</f>
        <v/>
      </c>
      <c r="M1219" s="39" t="str">
        <f>IF(C1219="","",C1219&amp;"#"&amp;COUNTIF($C$5:C1219,C1219))</f>
        <v/>
      </c>
    </row>
    <row r="1220">
      <c r="A1220" s="41" t="n"/>
      <c r="B1220" s="37" t="n"/>
      <c r="C1220" s="37" t="n"/>
      <c r="D1220" s="39" t="str">
        <f>IF(C1220="","",IFERROR(INDEX(art_des,MATCH(C1220,art_ref,0))&amp;"","Référence inconnue"))</f>
        <v/>
      </c>
      <c r="E1220" s="37" t="n"/>
      <c r="F1220" s="39" t="str">
        <f>IF(C1220="","",IFERROR(INDEX(art_unit,MATCH(C1220,art_ref,0))&amp;"",""))</f>
        <v/>
      </c>
      <c r="G1220" s="37" t="n"/>
      <c r="H1220" s="37" t="n"/>
      <c r="I1220" s="37" t="n"/>
      <c r="J1220" s="40" t="str">
        <f>IF(OR(C1220="",NOT(ISNUMBER(E1220))),"",IFERROR(E1220*N(INDEX(art_price,MATCH(C1220,art_ref,0))),""))</f>
        <v/>
      </c>
      <c r="K1220" s="39" t="str">
        <f>IF(OR(C1220="",NOT(ISNUMBER(E1220))),"",IFERROR(ROUND(N(INDEX(art_init,MATCH(C1220,art_ref,0)))+SUMIFS($E$5:E1220,$C$5:C1220,C1220,$B$5:B1220,"Entrée")-SUMIFS($E$5:E1220,$C$5:C1220,C1220,$B$5:B1220,"Sortie"),6),""))</f>
        <v/>
      </c>
      <c r="L1220" s="39" t="str">
        <f>IF(COUNTA(A1220:C1220,E1220)=0,"",IF(COUNTA(A1220:C1220,E1220)&lt;4,"Ligne incomplète",IF(NOT(ISNUMBER(A1220)),"Date invalide",IF(AND(B1220&lt;&gt;"Entrée",B1220&lt;&gt;"Sortie"),"Type inconnu",IF(ISNA(MATCH(C1220,art_ref,0)),"Référence inconnue",IF(OR(NOT(ISNUMBER(E1220)),N(E1220)&lt;=0),"Quantité invalide",IF(K1220&lt;0,"Stock négatif",IF(AND(ISNUMBER(A1219),A1220&lt;A1219),"Date hors ordre","OK"))))))))</f>
        <v/>
      </c>
      <c r="M1220" s="39" t="str">
        <f>IF(C1220="","",C1220&amp;"#"&amp;COUNTIF($C$5:C1220,C1220))</f>
        <v/>
      </c>
    </row>
    <row r="1221">
      <c r="A1221" s="41" t="n"/>
      <c r="B1221" s="37" t="n"/>
      <c r="C1221" s="37" t="n"/>
      <c r="D1221" s="39" t="str">
        <f>IF(C1221="","",IFERROR(INDEX(art_des,MATCH(C1221,art_ref,0))&amp;"","Référence inconnue"))</f>
        <v/>
      </c>
      <c r="E1221" s="37" t="n"/>
      <c r="F1221" s="39" t="str">
        <f>IF(C1221="","",IFERROR(INDEX(art_unit,MATCH(C1221,art_ref,0))&amp;"",""))</f>
        <v/>
      </c>
      <c r="G1221" s="37" t="n"/>
      <c r="H1221" s="37" t="n"/>
      <c r="I1221" s="37" t="n"/>
      <c r="J1221" s="40" t="str">
        <f>IF(OR(C1221="",NOT(ISNUMBER(E1221))),"",IFERROR(E1221*N(INDEX(art_price,MATCH(C1221,art_ref,0))),""))</f>
        <v/>
      </c>
      <c r="K1221" s="39" t="str">
        <f>IF(OR(C1221="",NOT(ISNUMBER(E1221))),"",IFERROR(ROUND(N(INDEX(art_init,MATCH(C1221,art_ref,0)))+SUMIFS($E$5:E1221,$C$5:C1221,C1221,$B$5:B1221,"Entrée")-SUMIFS($E$5:E1221,$C$5:C1221,C1221,$B$5:B1221,"Sortie"),6),""))</f>
        <v/>
      </c>
      <c r="L1221" s="39" t="str">
        <f>IF(COUNTA(A1221:C1221,E1221)=0,"",IF(COUNTA(A1221:C1221,E1221)&lt;4,"Ligne incomplète",IF(NOT(ISNUMBER(A1221)),"Date invalide",IF(AND(B1221&lt;&gt;"Entrée",B1221&lt;&gt;"Sortie"),"Type inconnu",IF(ISNA(MATCH(C1221,art_ref,0)),"Référence inconnue",IF(OR(NOT(ISNUMBER(E1221)),N(E1221)&lt;=0),"Quantité invalide",IF(K1221&lt;0,"Stock négatif",IF(AND(ISNUMBER(A1220),A1221&lt;A1220),"Date hors ordre","OK"))))))))</f>
        <v/>
      </c>
      <c r="M1221" s="39" t="str">
        <f>IF(C1221="","",C1221&amp;"#"&amp;COUNTIF($C$5:C1221,C1221))</f>
        <v/>
      </c>
    </row>
    <row r="1222">
      <c r="A1222" s="41" t="n"/>
      <c r="B1222" s="37" t="n"/>
      <c r="C1222" s="37" t="n"/>
      <c r="D1222" s="39" t="str">
        <f>IF(C1222="","",IFERROR(INDEX(art_des,MATCH(C1222,art_ref,0))&amp;"","Référence inconnue"))</f>
        <v/>
      </c>
      <c r="E1222" s="37" t="n"/>
      <c r="F1222" s="39" t="str">
        <f>IF(C1222="","",IFERROR(INDEX(art_unit,MATCH(C1222,art_ref,0))&amp;"",""))</f>
        <v/>
      </c>
      <c r="G1222" s="37" t="n"/>
      <c r="H1222" s="37" t="n"/>
      <c r="I1222" s="37" t="n"/>
      <c r="J1222" s="40" t="str">
        <f>IF(OR(C1222="",NOT(ISNUMBER(E1222))),"",IFERROR(E1222*N(INDEX(art_price,MATCH(C1222,art_ref,0))),""))</f>
        <v/>
      </c>
      <c r="K1222" s="39" t="str">
        <f>IF(OR(C1222="",NOT(ISNUMBER(E1222))),"",IFERROR(ROUND(N(INDEX(art_init,MATCH(C1222,art_ref,0)))+SUMIFS($E$5:E1222,$C$5:C1222,C1222,$B$5:B1222,"Entrée")-SUMIFS($E$5:E1222,$C$5:C1222,C1222,$B$5:B1222,"Sortie"),6),""))</f>
        <v/>
      </c>
      <c r="L1222" s="39" t="str">
        <f>IF(COUNTA(A1222:C1222,E1222)=0,"",IF(COUNTA(A1222:C1222,E1222)&lt;4,"Ligne incomplète",IF(NOT(ISNUMBER(A1222)),"Date invalide",IF(AND(B1222&lt;&gt;"Entrée",B1222&lt;&gt;"Sortie"),"Type inconnu",IF(ISNA(MATCH(C1222,art_ref,0)),"Référence inconnue",IF(OR(NOT(ISNUMBER(E1222)),N(E1222)&lt;=0),"Quantité invalide",IF(K1222&lt;0,"Stock négatif",IF(AND(ISNUMBER(A1221),A1222&lt;A1221),"Date hors ordre","OK"))))))))</f>
        <v/>
      </c>
      <c r="M1222" s="39" t="str">
        <f>IF(C1222="","",C1222&amp;"#"&amp;COUNTIF($C$5:C1222,C1222))</f>
        <v/>
      </c>
    </row>
    <row r="1223">
      <c r="A1223" s="41" t="n"/>
      <c r="B1223" s="37" t="n"/>
      <c r="C1223" s="37" t="n"/>
      <c r="D1223" s="39" t="str">
        <f>IF(C1223="","",IFERROR(INDEX(art_des,MATCH(C1223,art_ref,0))&amp;"","Référence inconnue"))</f>
        <v/>
      </c>
      <c r="E1223" s="37" t="n"/>
      <c r="F1223" s="39" t="str">
        <f>IF(C1223="","",IFERROR(INDEX(art_unit,MATCH(C1223,art_ref,0))&amp;"",""))</f>
        <v/>
      </c>
      <c r="G1223" s="37" t="n"/>
      <c r="H1223" s="37" t="n"/>
      <c r="I1223" s="37" t="n"/>
      <c r="J1223" s="40" t="str">
        <f>IF(OR(C1223="",NOT(ISNUMBER(E1223))),"",IFERROR(E1223*N(INDEX(art_price,MATCH(C1223,art_ref,0))),""))</f>
        <v/>
      </c>
      <c r="K1223" s="39" t="str">
        <f>IF(OR(C1223="",NOT(ISNUMBER(E1223))),"",IFERROR(ROUND(N(INDEX(art_init,MATCH(C1223,art_ref,0)))+SUMIFS($E$5:E1223,$C$5:C1223,C1223,$B$5:B1223,"Entrée")-SUMIFS($E$5:E1223,$C$5:C1223,C1223,$B$5:B1223,"Sortie"),6),""))</f>
        <v/>
      </c>
      <c r="L1223" s="39" t="str">
        <f>IF(COUNTA(A1223:C1223,E1223)=0,"",IF(COUNTA(A1223:C1223,E1223)&lt;4,"Ligne incomplète",IF(NOT(ISNUMBER(A1223)),"Date invalide",IF(AND(B1223&lt;&gt;"Entrée",B1223&lt;&gt;"Sortie"),"Type inconnu",IF(ISNA(MATCH(C1223,art_ref,0)),"Référence inconnue",IF(OR(NOT(ISNUMBER(E1223)),N(E1223)&lt;=0),"Quantité invalide",IF(K1223&lt;0,"Stock négatif",IF(AND(ISNUMBER(A1222),A1223&lt;A1222),"Date hors ordre","OK"))))))))</f>
        <v/>
      </c>
      <c r="M1223" s="39" t="str">
        <f>IF(C1223="","",C1223&amp;"#"&amp;COUNTIF($C$5:C1223,C1223))</f>
        <v/>
      </c>
    </row>
    <row r="1224">
      <c r="A1224" s="41" t="n"/>
      <c r="B1224" s="37" t="n"/>
      <c r="C1224" s="37" t="n"/>
      <c r="D1224" s="39" t="str">
        <f>IF(C1224="","",IFERROR(INDEX(art_des,MATCH(C1224,art_ref,0))&amp;"","Référence inconnue"))</f>
        <v/>
      </c>
      <c r="E1224" s="37" t="n"/>
      <c r="F1224" s="39" t="str">
        <f>IF(C1224="","",IFERROR(INDEX(art_unit,MATCH(C1224,art_ref,0))&amp;"",""))</f>
        <v/>
      </c>
      <c r="G1224" s="37" t="n"/>
      <c r="H1224" s="37" t="n"/>
      <c r="I1224" s="37" t="n"/>
      <c r="J1224" s="40" t="str">
        <f>IF(OR(C1224="",NOT(ISNUMBER(E1224))),"",IFERROR(E1224*N(INDEX(art_price,MATCH(C1224,art_ref,0))),""))</f>
        <v/>
      </c>
      <c r="K1224" s="39" t="str">
        <f>IF(OR(C1224="",NOT(ISNUMBER(E1224))),"",IFERROR(ROUND(N(INDEX(art_init,MATCH(C1224,art_ref,0)))+SUMIFS($E$5:E1224,$C$5:C1224,C1224,$B$5:B1224,"Entrée")-SUMIFS($E$5:E1224,$C$5:C1224,C1224,$B$5:B1224,"Sortie"),6),""))</f>
        <v/>
      </c>
      <c r="L1224" s="39" t="str">
        <f>IF(COUNTA(A1224:C1224,E1224)=0,"",IF(COUNTA(A1224:C1224,E1224)&lt;4,"Ligne incomplète",IF(NOT(ISNUMBER(A1224)),"Date invalide",IF(AND(B1224&lt;&gt;"Entrée",B1224&lt;&gt;"Sortie"),"Type inconnu",IF(ISNA(MATCH(C1224,art_ref,0)),"Référence inconnue",IF(OR(NOT(ISNUMBER(E1224)),N(E1224)&lt;=0),"Quantité invalide",IF(K1224&lt;0,"Stock négatif",IF(AND(ISNUMBER(A1223),A1224&lt;A1223),"Date hors ordre","OK"))))))))</f>
        <v/>
      </c>
      <c r="M1224" s="39" t="str">
        <f>IF(C1224="","",C1224&amp;"#"&amp;COUNTIF($C$5:C1224,C1224))</f>
        <v/>
      </c>
    </row>
    <row r="1225">
      <c r="A1225" s="41" t="n"/>
      <c r="B1225" s="37" t="n"/>
      <c r="C1225" s="37" t="n"/>
      <c r="D1225" s="39" t="str">
        <f>IF(C1225="","",IFERROR(INDEX(art_des,MATCH(C1225,art_ref,0))&amp;"","Référence inconnue"))</f>
        <v/>
      </c>
      <c r="E1225" s="37" t="n"/>
      <c r="F1225" s="39" t="str">
        <f>IF(C1225="","",IFERROR(INDEX(art_unit,MATCH(C1225,art_ref,0))&amp;"",""))</f>
        <v/>
      </c>
      <c r="G1225" s="37" t="n"/>
      <c r="H1225" s="37" t="n"/>
      <c r="I1225" s="37" t="n"/>
      <c r="J1225" s="40" t="str">
        <f>IF(OR(C1225="",NOT(ISNUMBER(E1225))),"",IFERROR(E1225*N(INDEX(art_price,MATCH(C1225,art_ref,0))),""))</f>
        <v/>
      </c>
      <c r="K1225" s="39" t="str">
        <f>IF(OR(C1225="",NOT(ISNUMBER(E1225))),"",IFERROR(ROUND(N(INDEX(art_init,MATCH(C1225,art_ref,0)))+SUMIFS($E$5:E1225,$C$5:C1225,C1225,$B$5:B1225,"Entrée")-SUMIFS($E$5:E1225,$C$5:C1225,C1225,$B$5:B1225,"Sortie"),6),""))</f>
        <v/>
      </c>
      <c r="L1225" s="39" t="str">
        <f>IF(COUNTA(A1225:C1225,E1225)=0,"",IF(COUNTA(A1225:C1225,E1225)&lt;4,"Ligne incomplète",IF(NOT(ISNUMBER(A1225)),"Date invalide",IF(AND(B1225&lt;&gt;"Entrée",B1225&lt;&gt;"Sortie"),"Type inconnu",IF(ISNA(MATCH(C1225,art_ref,0)),"Référence inconnue",IF(OR(NOT(ISNUMBER(E1225)),N(E1225)&lt;=0),"Quantité invalide",IF(K1225&lt;0,"Stock négatif",IF(AND(ISNUMBER(A1224),A1225&lt;A1224),"Date hors ordre","OK"))))))))</f>
        <v/>
      </c>
      <c r="M1225" s="39" t="str">
        <f>IF(C1225="","",C1225&amp;"#"&amp;COUNTIF($C$5:C1225,C1225))</f>
        <v/>
      </c>
    </row>
    <row r="1226">
      <c r="A1226" s="41" t="n"/>
      <c r="B1226" s="37" t="n"/>
      <c r="C1226" s="37" t="n"/>
      <c r="D1226" s="39" t="str">
        <f>IF(C1226="","",IFERROR(INDEX(art_des,MATCH(C1226,art_ref,0))&amp;"","Référence inconnue"))</f>
        <v/>
      </c>
      <c r="E1226" s="37" t="n"/>
      <c r="F1226" s="39" t="str">
        <f>IF(C1226="","",IFERROR(INDEX(art_unit,MATCH(C1226,art_ref,0))&amp;"",""))</f>
        <v/>
      </c>
      <c r="G1226" s="37" t="n"/>
      <c r="H1226" s="37" t="n"/>
      <c r="I1226" s="37" t="n"/>
      <c r="J1226" s="40" t="str">
        <f>IF(OR(C1226="",NOT(ISNUMBER(E1226))),"",IFERROR(E1226*N(INDEX(art_price,MATCH(C1226,art_ref,0))),""))</f>
        <v/>
      </c>
      <c r="K1226" s="39" t="str">
        <f>IF(OR(C1226="",NOT(ISNUMBER(E1226))),"",IFERROR(ROUND(N(INDEX(art_init,MATCH(C1226,art_ref,0)))+SUMIFS($E$5:E1226,$C$5:C1226,C1226,$B$5:B1226,"Entrée")-SUMIFS($E$5:E1226,$C$5:C1226,C1226,$B$5:B1226,"Sortie"),6),""))</f>
        <v/>
      </c>
      <c r="L1226" s="39" t="str">
        <f>IF(COUNTA(A1226:C1226,E1226)=0,"",IF(COUNTA(A1226:C1226,E1226)&lt;4,"Ligne incomplète",IF(NOT(ISNUMBER(A1226)),"Date invalide",IF(AND(B1226&lt;&gt;"Entrée",B1226&lt;&gt;"Sortie"),"Type inconnu",IF(ISNA(MATCH(C1226,art_ref,0)),"Référence inconnue",IF(OR(NOT(ISNUMBER(E1226)),N(E1226)&lt;=0),"Quantité invalide",IF(K1226&lt;0,"Stock négatif",IF(AND(ISNUMBER(A1225),A1226&lt;A1225),"Date hors ordre","OK"))))))))</f>
        <v/>
      </c>
      <c r="M1226" s="39" t="str">
        <f>IF(C1226="","",C1226&amp;"#"&amp;COUNTIF($C$5:C1226,C1226))</f>
        <v/>
      </c>
    </row>
    <row r="1227">
      <c r="A1227" s="41" t="n"/>
      <c r="B1227" s="37" t="n"/>
      <c r="C1227" s="37" t="n"/>
      <c r="D1227" s="39" t="str">
        <f>IF(C1227="","",IFERROR(INDEX(art_des,MATCH(C1227,art_ref,0))&amp;"","Référence inconnue"))</f>
        <v/>
      </c>
      <c r="E1227" s="37" t="n"/>
      <c r="F1227" s="39" t="str">
        <f>IF(C1227="","",IFERROR(INDEX(art_unit,MATCH(C1227,art_ref,0))&amp;"",""))</f>
        <v/>
      </c>
      <c r="G1227" s="37" t="n"/>
      <c r="H1227" s="37" t="n"/>
      <c r="I1227" s="37" t="n"/>
      <c r="J1227" s="40" t="str">
        <f>IF(OR(C1227="",NOT(ISNUMBER(E1227))),"",IFERROR(E1227*N(INDEX(art_price,MATCH(C1227,art_ref,0))),""))</f>
        <v/>
      </c>
      <c r="K1227" s="39" t="str">
        <f>IF(OR(C1227="",NOT(ISNUMBER(E1227))),"",IFERROR(ROUND(N(INDEX(art_init,MATCH(C1227,art_ref,0)))+SUMIFS($E$5:E1227,$C$5:C1227,C1227,$B$5:B1227,"Entrée")-SUMIFS($E$5:E1227,$C$5:C1227,C1227,$B$5:B1227,"Sortie"),6),""))</f>
        <v/>
      </c>
      <c r="L1227" s="39" t="str">
        <f>IF(COUNTA(A1227:C1227,E1227)=0,"",IF(COUNTA(A1227:C1227,E1227)&lt;4,"Ligne incomplète",IF(NOT(ISNUMBER(A1227)),"Date invalide",IF(AND(B1227&lt;&gt;"Entrée",B1227&lt;&gt;"Sortie"),"Type inconnu",IF(ISNA(MATCH(C1227,art_ref,0)),"Référence inconnue",IF(OR(NOT(ISNUMBER(E1227)),N(E1227)&lt;=0),"Quantité invalide",IF(K1227&lt;0,"Stock négatif",IF(AND(ISNUMBER(A1226),A1227&lt;A1226),"Date hors ordre","OK"))))))))</f>
        <v/>
      </c>
      <c r="M1227" s="39" t="str">
        <f>IF(C1227="","",C1227&amp;"#"&amp;COUNTIF($C$5:C1227,C1227))</f>
        <v/>
      </c>
    </row>
    <row r="1228">
      <c r="A1228" s="41" t="n"/>
      <c r="B1228" s="37" t="n"/>
      <c r="C1228" s="37" t="n"/>
      <c r="D1228" s="39" t="str">
        <f>IF(C1228="","",IFERROR(INDEX(art_des,MATCH(C1228,art_ref,0))&amp;"","Référence inconnue"))</f>
        <v/>
      </c>
      <c r="E1228" s="37" t="n"/>
      <c r="F1228" s="39" t="str">
        <f>IF(C1228="","",IFERROR(INDEX(art_unit,MATCH(C1228,art_ref,0))&amp;"",""))</f>
        <v/>
      </c>
      <c r="G1228" s="37" t="n"/>
      <c r="H1228" s="37" t="n"/>
      <c r="I1228" s="37" t="n"/>
      <c r="J1228" s="40" t="str">
        <f>IF(OR(C1228="",NOT(ISNUMBER(E1228))),"",IFERROR(E1228*N(INDEX(art_price,MATCH(C1228,art_ref,0))),""))</f>
        <v/>
      </c>
      <c r="K1228" s="39" t="str">
        <f>IF(OR(C1228="",NOT(ISNUMBER(E1228))),"",IFERROR(ROUND(N(INDEX(art_init,MATCH(C1228,art_ref,0)))+SUMIFS($E$5:E1228,$C$5:C1228,C1228,$B$5:B1228,"Entrée")-SUMIFS($E$5:E1228,$C$5:C1228,C1228,$B$5:B1228,"Sortie"),6),""))</f>
        <v/>
      </c>
      <c r="L1228" s="39" t="str">
        <f>IF(COUNTA(A1228:C1228,E1228)=0,"",IF(COUNTA(A1228:C1228,E1228)&lt;4,"Ligne incomplète",IF(NOT(ISNUMBER(A1228)),"Date invalide",IF(AND(B1228&lt;&gt;"Entrée",B1228&lt;&gt;"Sortie"),"Type inconnu",IF(ISNA(MATCH(C1228,art_ref,0)),"Référence inconnue",IF(OR(NOT(ISNUMBER(E1228)),N(E1228)&lt;=0),"Quantité invalide",IF(K1228&lt;0,"Stock négatif",IF(AND(ISNUMBER(A1227),A1228&lt;A1227),"Date hors ordre","OK"))))))))</f>
        <v/>
      </c>
      <c r="M1228" s="39" t="str">
        <f>IF(C1228="","",C1228&amp;"#"&amp;COUNTIF($C$5:C1228,C1228))</f>
        <v/>
      </c>
    </row>
    <row r="1229">
      <c r="A1229" s="41" t="n"/>
      <c r="B1229" s="37" t="n"/>
      <c r="C1229" s="37" t="n"/>
      <c r="D1229" s="39" t="str">
        <f>IF(C1229="","",IFERROR(INDEX(art_des,MATCH(C1229,art_ref,0))&amp;"","Référence inconnue"))</f>
        <v/>
      </c>
      <c r="E1229" s="37" t="n"/>
      <c r="F1229" s="39" t="str">
        <f>IF(C1229="","",IFERROR(INDEX(art_unit,MATCH(C1229,art_ref,0))&amp;"",""))</f>
        <v/>
      </c>
      <c r="G1229" s="37" t="n"/>
      <c r="H1229" s="37" t="n"/>
      <c r="I1229" s="37" t="n"/>
      <c r="J1229" s="40" t="str">
        <f>IF(OR(C1229="",NOT(ISNUMBER(E1229))),"",IFERROR(E1229*N(INDEX(art_price,MATCH(C1229,art_ref,0))),""))</f>
        <v/>
      </c>
      <c r="K1229" s="39" t="str">
        <f>IF(OR(C1229="",NOT(ISNUMBER(E1229))),"",IFERROR(ROUND(N(INDEX(art_init,MATCH(C1229,art_ref,0)))+SUMIFS($E$5:E1229,$C$5:C1229,C1229,$B$5:B1229,"Entrée")-SUMIFS($E$5:E1229,$C$5:C1229,C1229,$B$5:B1229,"Sortie"),6),""))</f>
        <v/>
      </c>
      <c r="L1229" s="39" t="str">
        <f>IF(COUNTA(A1229:C1229,E1229)=0,"",IF(COUNTA(A1229:C1229,E1229)&lt;4,"Ligne incomplète",IF(NOT(ISNUMBER(A1229)),"Date invalide",IF(AND(B1229&lt;&gt;"Entrée",B1229&lt;&gt;"Sortie"),"Type inconnu",IF(ISNA(MATCH(C1229,art_ref,0)),"Référence inconnue",IF(OR(NOT(ISNUMBER(E1229)),N(E1229)&lt;=0),"Quantité invalide",IF(K1229&lt;0,"Stock négatif",IF(AND(ISNUMBER(A1228),A1229&lt;A1228),"Date hors ordre","OK"))))))))</f>
        <v/>
      </c>
      <c r="M1229" s="39" t="str">
        <f>IF(C1229="","",C1229&amp;"#"&amp;COUNTIF($C$5:C1229,C1229))</f>
        <v/>
      </c>
    </row>
    <row r="1230">
      <c r="A1230" s="41" t="n"/>
      <c r="B1230" s="37" t="n"/>
      <c r="C1230" s="37" t="n"/>
      <c r="D1230" s="39" t="str">
        <f>IF(C1230="","",IFERROR(INDEX(art_des,MATCH(C1230,art_ref,0))&amp;"","Référence inconnue"))</f>
        <v/>
      </c>
      <c r="E1230" s="37" t="n"/>
      <c r="F1230" s="39" t="str">
        <f>IF(C1230="","",IFERROR(INDEX(art_unit,MATCH(C1230,art_ref,0))&amp;"",""))</f>
        <v/>
      </c>
      <c r="G1230" s="37" t="n"/>
      <c r="H1230" s="37" t="n"/>
      <c r="I1230" s="37" t="n"/>
      <c r="J1230" s="40" t="str">
        <f>IF(OR(C1230="",NOT(ISNUMBER(E1230))),"",IFERROR(E1230*N(INDEX(art_price,MATCH(C1230,art_ref,0))),""))</f>
        <v/>
      </c>
      <c r="K1230" s="39" t="str">
        <f>IF(OR(C1230="",NOT(ISNUMBER(E1230))),"",IFERROR(ROUND(N(INDEX(art_init,MATCH(C1230,art_ref,0)))+SUMIFS($E$5:E1230,$C$5:C1230,C1230,$B$5:B1230,"Entrée")-SUMIFS($E$5:E1230,$C$5:C1230,C1230,$B$5:B1230,"Sortie"),6),""))</f>
        <v/>
      </c>
      <c r="L1230" s="39" t="str">
        <f>IF(COUNTA(A1230:C1230,E1230)=0,"",IF(COUNTA(A1230:C1230,E1230)&lt;4,"Ligne incomplète",IF(NOT(ISNUMBER(A1230)),"Date invalide",IF(AND(B1230&lt;&gt;"Entrée",B1230&lt;&gt;"Sortie"),"Type inconnu",IF(ISNA(MATCH(C1230,art_ref,0)),"Référence inconnue",IF(OR(NOT(ISNUMBER(E1230)),N(E1230)&lt;=0),"Quantité invalide",IF(K1230&lt;0,"Stock négatif",IF(AND(ISNUMBER(A1229),A1230&lt;A1229),"Date hors ordre","OK"))))))))</f>
        <v/>
      </c>
      <c r="M1230" s="39" t="str">
        <f>IF(C1230="","",C1230&amp;"#"&amp;COUNTIF($C$5:C1230,C1230))</f>
        <v/>
      </c>
    </row>
    <row r="1231">
      <c r="A1231" s="41" t="n"/>
      <c r="B1231" s="37" t="n"/>
      <c r="C1231" s="37" t="n"/>
      <c r="D1231" s="39" t="str">
        <f>IF(C1231="","",IFERROR(INDEX(art_des,MATCH(C1231,art_ref,0))&amp;"","Référence inconnue"))</f>
        <v/>
      </c>
      <c r="E1231" s="37" t="n"/>
      <c r="F1231" s="39" t="str">
        <f>IF(C1231="","",IFERROR(INDEX(art_unit,MATCH(C1231,art_ref,0))&amp;"",""))</f>
        <v/>
      </c>
      <c r="G1231" s="37" t="n"/>
      <c r="H1231" s="37" t="n"/>
      <c r="I1231" s="37" t="n"/>
      <c r="J1231" s="40" t="str">
        <f>IF(OR(C1231="",NOT(ISNUMBER(E1231))),"",IFERROR(E1231*N(INDEX(art_price,MATCH(C1231,art_ref,0))),""))</f>
        <v/>
      </c>
      <c r="K1231" s="39" t="str">
        <f>IF(OR(C1231="",NOT(ISNUMBER(E1231))),"",IFERROR(ROUND(N(INDEX(art_init,MATCH(C1231,art_ref,0)))+SUMIFS($E$5:E1231,$C$5:C1231,C1231,$B$5:B1231,"Entrée")-SUMIFS($E$5:E1231,$C$5:C1231,C1231,$B$5:B1231,"Sortie"),6),""))</f>
        <v/>
      </c>
      <c r="L1231" s="39" t="str">
        <f>IF(COUNTA(A1231:C1231,E1231)=0,"",IF(COUNTA(A1231:C1231,E1231)&lt;4,"Ligne incomplète",IF(NOT(ISNUMBER(A1231)),"Date invalide",IF(AND(B1231&lt;&gt;"Entrée",B1231&lt;&gt;"Sortie"),"Type inconnu",IF(ISNA(MATCH(C1231,art_ref,0)),"Référence inconnue",IF(OR(NOT(ISNUMBER(E1231)),N(E1231)&lt;=0),"Quantité invalide",IF(K1231&lt;0,"Stock négatif",IF(AND(ISNUMBER(A1230),A1231&lt;A1230),"Date hors ordre","OK"))))))))</f>
        <v/>
      </c>
      <c r="M1231" s="39" t="str">
        <f>IF(C1231="","",C1231&amp;"#"&amp;COUNTIF($C$5:C1231,C1231))</f>
        <v/>
      </c>
    </row>
    <row r="1232">
      <c r="A1232" s="41" t="n"/>
      <c r="B1232" s="37" t="n"/>
      <c r="C1232" s="37" t="n"/>
      <c r="D1232" s="39" t="str">
        <f>IF(C1232="","",IFERROR(INDEX(art_des,MATCH(C1232,art_ref,0))&amp;"","Référence inconnue"))</f>
        <v/>
      </c>
      <c r="E1232" s="37" t="n"/>
      <c r="F1232" s="39" t="str">
        <f>IF(C1232="","",IFERROR(INDEX(art_unit,MATCH(C1232,art_ref,0))&amp;"",""))</f>
        <v/>
      </c>
      <c r="G1232" s="37" t="n"/>
      <c r="H1232" s="37" t="n"/>
      <c r="I1232" s="37" t="n"/>
      <c r="J1232" s="40" t="str">
        <f>IF(OR(C1232="",NOT(ISNUMBER(E1232))),"",IFERROR(E1232*N(INDEX(art_price,MATCH(C1232,art_ref,0))),""))</f>
        <v/>
      </c>
      <c r="K1232" s="39" t="str">
        <f>IF(OR(C1232="",NOT(ISNUMBER(E1232))),"",IFERROR(ROUND(N(INDEX(art_init,MATCH(C1232,art_ref,0)))+SUMIFS($E$5:E1232,$C$5:C1232,C1232,$B$5:B1232,"Entrée")-SUMIFS($E$5:E1232,$C$5:C1232,C1232,$B$5:B1232,"Sortie"),6),""))</f>
        <v/>
      </c>
      <c r="L1232" s="39" t="str">
        <f>IF(COUNTA(A1232:C1232,E1232)=0,"",IF(COUNTA(A1232:C1232,E1232)&lt;4,"Ligne incomplète",IF(NOT(ISNUMBER(A1232)),"Date invalide",IF(AND(B1232&lt;&gt;"Entrée",B1232&lt;&gt;"Sortie"),"Type inconnu",IF(ISNA(MATCH(C1232,art_ref,0)),"Référence inconnue",IF(OR(NOT(ISNUMBER(E1232)),N(E1232)&lt;=0),"Quantité invalide",IF(K1232&lt;0,"Stock négatif",IF(AND(ISNUMBER(A1231),A1232&lt;A1231),"Date hors ordre","OK"))))))))</f>
        <v/>
      </c>
      <c r="M1232" s="39" t="str">
        <f>IF(C1232="","",C1232&amp;"#"&amp;COUNTIF($C$5:C1232,C1232))</f>
        <v/>
      </c>
    </row>
    <row r="1233">
      <c r="A1233" s="41" t="n"/>
      <c r="B1233" s="37" t="n"/>
      <c r="C1233" s="37" t="n"/>
      <c r="D1233" s="39" t="str">
        <f>IF(C1233="","",IFERROR(INDEX(art_des,MATCH(C1233,art_ref,0))&amp;"","Référence inconnue"))</f>
        <v/>
      </c>
      <c r="E1233" s="37" t="n"/>
      <c r="F1233" s="39" t="str">
        <f>IF(C1233="","",IFERROR(INDEX(art_unit,MATCH(C1233,art_ref,0))&amp;"",""))</f>
        <v/>
      </c>
      <c r="G1233" s="37" t="n"/>
      <c r="H1233" s="37" t="n"/>
      <c r="I1233" s="37" t="n"/>
      <c r="J1233" s="40" t="str">
        <f>IF(OR(C1233="",NOT(ISNUMBER(E1233))),"",IFERROR(E1233*N(INDEX(art_price,MATCH(C1233,art_ref,0))),""))</f>
        <v/>
      </c>
      <c r="K1233" s="39" t="str">
        <f>IF(OR(C1233="",NOT(ISNUMBER(E1233))),"",IFERROR(ROUND(N(INDEX(art_init,MATCH(C1233,art_ref,0)))+SUMIFS($E$5:E1233,$C$5:C1233,C1233,$B$5:B1233,"Entrée")-SUMIFS($E$5:E1233,$C$5:C1233,C1233,$B$5:B1233,"Sortie"),6),""))</f>
        <v/>
      </c>
      <c r="L1233" s="39" t="str">
        <f>IF(COUNTA(A1233:C1233,E1233)=0,"",IF(COUNTA(A1233:C1233,E1233)&lt;4,"Ligne incomplète",IF(NOT(ISNUMBER(A1233)),"Date invalide",IF(AND(B1233&lt;&gt;"Entrée",B1233&lt;&gt;"Sortie"),"Type inconnu",IF(ISNA(MATCH(C1233,art_ref,0)),"Référence inconnue",IF(OR(NOT(ISNUMBER(E1233)),N(E1233)&lt;=0),"Quantité invalide",IF(K1233&lt;0,"Stock négatif",IF(AND(ISNUMBER(A1232),A1233&lt;A1232),"Date hors ordre","OK"))))))))</f>
        <v/>
      </c>
      <c r="M1233" s="39" t="str">
        <f>IF(C1233="","",C1233&amp;"#"&amp;COUNTIF($C$5:C1233,C1233))</f>
        <v/>
      </c>
    </row>
    <row r="1234">
      <c r="A1234" s="41" t="n"/>
      <c r="B1234" s="37" t="n"/>
      <c r="C1234" s="37" t="n"/>
      <c r="D1234" s="39" t="str">
        <f>IF(C1234="","",IFERROR(INDEX(art_des,MATCH(C1234,art_ref,0))&amp;"","Référence inconnue"))</f>
        <v/>
      </c>
      <c r="E1234" s="37" t="n"/>
      <c r="F1234" s="39" t="str">
        <f>IF(C1234="","",IFERROR(INDEX(art_unit,MATCH(C1234,art_ref,0))&amp;"",""))</f>
        <v/>
      </c>
      <c r="G1234" s="37" t="n"/>
      <c r="H1234" s="37" t="n"/>
      <c r="I1234" s="37" t="n"/>
      <c r="J1234" s="40" t="str">
        <f>IF(OR(C1234="",NOT(ISNUMBER(E1234))),"",IFERROR(E1234*N(INDEX(art_price,MATCH(C1234,art_ref,0))),""))</f>
        <v/>
      </c>
      <c r="K1234" s="39" t="str">
        <f>IF(OR(C1234="",NOT(ISNUMBER(E1234))),"",IFERROR(ROUND(N(INDEX(art_init,MATCH(C1234,art_ref,0)))+SUMIFS($E$5:E1234,$C$5:C1234,C1234,$B$5:B1234,"Entrée")-SUMIFS($E$5:E1234,$C$5:C1234,C1234,$B$5:B1234,"Sortie"),6),""))</f>
        <v/>
      </c>
      <c r="L1234" s="39" t="str">
        <f>IF(COUNTA(A1234:C1234,E1234)=0,"",IF(COUNTA(A1234:C1234,E1234)&lt;4,"Ligne incomplète",IF(NOT(ISNUMBER(A1234)),"Date invalide",IF(AND(B1234&lt;&gt;"Entrée",B1234&lt;&gt;"Sortie"),"Type inconnu",IF(ISNA(MATCH(C1234,art_ref,0)),"Référence inconnue",IF(OR(NOT(ISNUMBER(E1234)),N(E1234)&lt;=0),"Quantité invalide",IF(K1234&lt;0,"Stock négatif",IF(AND(ISNUMBER(A1233),A1234&lt;A1233),"Date hors ordre","OK"))))))))</f>
        <v/>
      </c>
      <c r="M1234" s="39" t="str">
        <f>IF(C1234="","",C1234&amp;"#"&amp;COUNTIF($C$5:C1234,C1234))</f>
        <v/>
      </c>
    </row>
    <row r="1235">
      <c r="A1235" s="41" t="n"/>
      <c r="B1235" s="37" t="n"/>
      <c r="C1235" s="37" t="n"/>
      <c r="D1235" s="39" t="str">
        <f>IF(C1235="","",IFERROR(INDEX(art_des,MATCH(C1235,art_ref,0))&amp;"","Référence inconnue"))</f>
        <v/>
      </c>
      <c r="E1235" s="37" t="n"/>
      <c r="F1235" s="39" t="str">
        <f>IF(C1235="","",IFERROR(INDEX(art_unit,MATCH(C1235,art_ref,0))&amp;"",""))</f>
        <v/>
      </c>
      <c r="G1235" s="37" t="n"/>
      <c r="H1235" s="37" t="n"/>
      <c r="I1235" s="37" t="n"/>
      <c r="J1235" s="40" t="str">
        <f>IF(OR(C1235="",NOT(ISNUMBER(E1235))),"",IFERROR(E1235*N(INDEX(art_price,MATCH(C1235,art_ref,0))),""))</f>
        <v/>
      </c>
      <c r="K1235" s="39" t="str">
        <f>IF(OR(C1235="",NOT(ISNUMBER(E1235))),"",IFERROR(ROUND(N(INDEX(art_init,MATCH(C1235,art_ref,0)))+SUMIFS($E$5:E1235,$C$5:C1235,C1235,$B$5:B1235,"Entrée")-SUMIFS($E$5:E1235,$C$5:C1235,C1235,$B$5:B1235,"Sortie"),6),""))</f>
        <v/>
      </c>
      <c r="L1235" s="39" t="str">
        <f>IF(COUNTA(A1235:C1235,E1235)=0,"",IF(COUNTA(A1235:C1235,E1235)&lt;4,"Ligne incomplète",IF(NOT(ISNUMBER(A1235)),"Date invalide",IF(AND(B1235&lt;&gt;"Entrée",B1235&lt;&gt;"Sortie"),"Type inconnu",IF(ISNA(MATCH(C1235,art_ref,0)),"Référence inconnue",IF(OR(NOT(ISNUMBER(E1235)),N(E1235)&lt;=0),"Quantité invalide",IF(K1235&lt;0,"Stock négatif",IF(AND(ISNUMBER(A1234),A1235&lt;A1234),"Date hors ordre","OK"))))))))</f>
        <v/>
      </c>
      <c r="M1235" s="39" t="str">
        <f>IF(C1235="","",C1235&amp;"#"&amp;COUNTIF($C$5:C1235,C1235))</f>
        <v/>
      </c>
    </row>
    <row r="1236">
      <c r="A1236" s="41" t="n"/>
      <c r="B1236" s="37" t="n"/>
      <c r="C1236" s="37" t="n"/>
      <c r="D1236" s="39" t="str">
        <f>IF(C1236="","",IFERROR(INDEX(art_des,MATCH(C1236,art_ref,0))&amp;"","Référence inconnue"))</f>
        <v/>
      </c>
      <c r="E1236" s="37" t="n"/>
      <c r="F1236" s="39" t="str">
        <f>IF(C1236="","",IFERROR(INDEX(art_unit,MATCH(C1236,art_ref,0))&amp;"",""))</f>
        <v/>
      </c>
      <c r="G1236" s="37" t="n"/>
      <c r="H1236" s="37" t="n"/>
      <c r="I1236" s="37" t="n"/>
      <c r="J1236" s="40" t="str">
        <f>IF(OR(C1236="",NOT(ISNUMBER(E1236))),"",IFERROR(E1236*N(INDEX(art_price,MATCH(C1236,art_ref,0))),""))</f>
        <v/>
      </c>
      <c r="K1236" s="39" t="str">
        <f>IF(OR(C1236="",NOT(ISNUMBER(E1236))),"",IFERROR(ROUND(N(INDEX(art_init,MATCH(C1236,art_ref,0)))+SUMIFS($E$5:E1236,$C$5:C1236,C1236,$B$5:B1236,"Entrée")-SUMIFS($E$5:E1236,$C$5:C1236,C1236,$B$5:B1236,"Sortie"),6),""))</f>
        <v/>
      </c>
      <c r="L1236" s="39" t="str">
        <f>IF(COUNTA(A1236:C1236,E1236)=0,"",IF(COUNTA(A1236:C1236,E1236)&lt;4,"Ligne incomplète",IF(NOT(ISNUMBER(A1236)),"Date invalide",IF(AND(B1236&lt;&gt;"Entrée",B1236&lt;&gt;"Sortie"),"Type inconnu",IF(ISNA(MATCH(C1236,art_ref,0)),"Référence inconnue",IF(OR(NOT(ISNUMBER(E1236)),N(E1236)&lt;=0),"Quantité invalide",IF(K1236&lt;0,"Stock négatif",IF(AND(ISNUMBER(A1235),A1236&lt;A1235),"Date hors ordre","OK"))))))))</f>
        <v/>
      </c>
      <c r="M1236" s="39" t="str">
        <f>IF(C1236="","",C1236&amp;"#"&amp;COUNTIF($C$5:C1236,C1236))</f>
        <v/>
      </c>
    </row>
    <row r="1237">
      <c r="A1237" s="41" t="n"/>
      <c r="B1237" s="37" t="n"/>
      <c r="C1237" s="37" t="n"/>
      <c r="D1237" s="39" t="str">
        <f>IF(C1237="","",IFERROR(INDEX(art_des,MATCH(C1237,art_ref,0))&amp;"","Référence inconnue"))</f>
        <v/>
      </c>
      <c r="E1237" s="37" t="n"/>
      <c r="F1237" s="39" t="str">
        <f>IF(C1237="","",IFERROR(INDEX(art_unit,MATCH(C1237,art_ref,0))&amp;"",""))</f>
        <v/>
      </c>
      <c r="G1237" s="37" t="n"/>
      <c r="H1237" s="37" t="n"/>
      <c r="I1237" s="37" t="n"/>
      <c r="J1237" s="40" t="str">
        <f>IF(OR(C1237="",NOT(ISNUMBER(E1237))),"",IFERROR(E1237*N(INDEX(art_price,MATCH(C1237,art_ref,0))),""))</f>
        <v/>
      </c>
      <c r="K1237" s="39" t="str">
        <f>IF(OR(C1237="",NOT(ISNUMBER(E1237))),"",IFERROR(ROUND(N(INDEX(art_init,MATCH(C1237,art_ref,0)))+SUMIFS($E$5:E1237,$C$5:C1237,C1237,$B$5:B1237,"Entrée")-SUMIFS($E$5:E1237,$C$5:C1237,C1237,$B$5:B1237,"Sortie"),6),""))</f>
        <v/>
      </c>
      <c r="L1237" s="39" t="str">
        <f>IF(COUNTA(A1237:C1237,E1237)=0,"",IF(COUNTA(A1237:C1237,E1237)&lt;4,"Ligne incomplète",IF(NOT(ISNUMBER(A1237)),"Date invalide",IF(AND(B1237&lt;&gt;"Entrée",B1237&lt;&gt;"Sortie"),"Type inconnu",IF(ISNA(MATCH(C1237,art_ref,0)),"Référence inconnue",IF(OR(NOT(ISNUMBER(E1237)),N(E1237)&lt;=0),"Quantité invalide",IF(K1237&lt;0,"Stock négatif",IF(AND(ISNUMBER(A1236),A1237&lt;A1236),"Date hors ordre","OK"))))))))</f>
        <v/>
      </c>
      <c r="M1237" s="39" t="str">
        <f>IF(C1237="","",C1237&amp;"#"&amp;COUNTIF($C$5:C1237,C1237))</f>
        <v/>
      </c>
    </row>
    <row r="1238">
      <c r="A1238" s="41" t="n"/>
      <c r="B1238" s="37" t="n"/>
      <c r="C1238" s="37" t="n"/>
      <c r="D1238" s="39" t="str">
        <f>IF(C1238="","",IFERROR(INDEX(art_des,MATCH(C1238,art_ref,0))&amp;"","Référence inconnue"))</f>
        <v/>
      </c>
      <c r="E1238" s="37" t="n"/>
      <c r="F1238" s="39" t="str">
        <f>IF(C1238="","",IFERROR(INDEX(art_unit,MATCH(C1238,art_ref,0))&amp;"",""))</f>
        <v/>
      </c>
      <c r="G1238" s="37" t="n"/>
      <c r="H1238" s="37" t="n"/>
      <c r="I1238" s="37" t="n"/>
      <c r="J1238" s="40" t="str">
        <f>IF(OR(C1238="",NOT(ISNUMBER(E1238))),"",IFERROR(E1238*N(INDEX(art_price,MATCH(C1238,art_ref,0))),""))</f>
        <v/>
      </c>
      <c r="K1238" s="39" t="str">
        <f>IF(OR(C1238="",NOT(ISNUMBER(E1238))),"",IFERROR(ROUND(N(INDEX(art_init,MATCH(C1238,art_ref,0)))+SUMIFS($E$5:E1238,$C$5:C1238,C1238,$B$5:B1238,"Entrée")-SUMIFS($E$5:E1238,$C$5:C1238,C1238,$B$5:B1238,"Sortie"),6),""))</f>
        <v/>
      </c>
      <c r="L1238" s="39" t="str">
        <f>IF(COUNTA(A1238:C1238,E1238)=0,"",IF(COUNTA(A1238:C1238,E1238)&lt;4,"Ligne incomplète",IF(NOT(ISNUMBER(A1238)),"Date invalide",IF(AND(B1238&lt;&gt;"Entrée",B1238&lt;&gt;"Sortie"),"Type inconnu",IF(ISNA(MATCH(C1238,art_ref,0)),"Référence inconnue",IF(OR(NOT(ISNUMBER(E1238)),N(E1238)&lt;=0),"Quantité invalide",IF(K1238&lt;0,"Stock négatif",IF(AND(ISNUMBER(A1237),A1238&lt;A1237),"Date hors ordre","OK"))))))))</f>
        <v/>
      </c>
      <c r="M1238" s="39" t="str">
        <f>IF(C1238="","",C1238&amp;"#"&amp;COUNTIF($C$5:C1238,C1238))</f>
        <v/>
      </c>
    </row>
    <row r="1239">
      <c r="A1239" s="41" t="n"/>
      <c r="B1239" s="37" t="n"/>
      <c r="C1239" s="37" t="n"/>
      <c r="D1239" s="39" t="str">
        <f>IF(C1239="","",IFERROR(INDEX(art_des,MATCH(C1239,art_ref,0))&amp;"","Référence inconnue"))</f>
        <v/>
      </c>
      <c r="E1239" s="37" t="n"/>
      <c r="F1239" s="39" t="str">
        <f>IF(C1239="","",IFERROR(INDEX(art_unit,MATCH(C1239,art_ref,0))&amp;"",""))</f>
        <v/>
      </c>
      <c r="G1239" s="37" t="n"/>
      <c r="H1239" s="37" t="n"/>
      <c r="I1239" s="37" t="n"/>
      <c r="J1239" s="40" t="str">
        <f>IF(OR(C1239="",NOT(ISNUMBER(E1239))),"",IFERROR(E1239*N(INDEX(art_price,MATCH(C1239,art_ref,0))),""))</f>
        <v/>
      </c>
      <c r="K1239" s="39" t="str">
        <f>IF(OR(C1239="",NOT(ISNUMBER(E1239))),"",IFERROR(ROUND(N(INDEX(art_init,MATCH(C1239,art_ref,0)))+SUMIFS($E$5:E1239,$C$5:C1239,C1239,$B$5:B1239,"Entrée")-SUMIFS($E$5:E1239,$C$5:C1239,C1239,$B$5:B1239,"Sortie"),6),""))</f>
        <v/>
      </c>
      <c r="L1239" s="39" t="str">
        <f>IF(COUNTA(A1239:C1239,E1239)=0,"",IF(COUNTA(A1239:C1239,E1239)&lt;4,"Ligne incomplète",IF(NOT(ISNUMBER(A1239)),"Date invalide",IF(AND(B1239&lt;&gt;"Entrée",B1239&lt;&gt;"Sortie"),"Type inconnu",IF(ISNA(MATCH(C1239,art_ref,0)),"Référence inconnue",IF(OR(NOT(ISNUMBER(E1239)),N(E1239)&lt;=0),"Quantité invalide",IF(K1239&lt;0,"Stock négatif",IF(AND(ISNUMBER(A1238),A1239&lt;A1238),"Date hors ordre","OK"))))))))</f>
        <v/>
      </c>
      <c r="M1239" s="39" t="str">
        <f>IF(C1239="","",C1239&amp;"#"&amp;COUNTIF($C$5:C1239,C1239))</f>
        <v/>
      </c>
    </row>
    <row r="1240">
      <c r="A1240" s="41" t="n"/>
      <c r="B1240" s="37" t="n"/>
      <c r="C1240" s="37" t="n"/>
      <c r="D1240" s="39" t="str">
        <f>IF(C1240="","",IFERROR(INDEX(art_des,MATCH(C1240,art_ref,0))&amp;"","Référence inconnue"))</f>
        <v/>
      </c>
      <c r="E1240" s="37" t="n"/>
      <c r="F1240" s="39" t="str">
        <f>IF(C1240="","",IFERROR(INDEX(art_unit,MATCH(C1240,art_ref,0))&amp;"",""))</f>
        <v/>
      </c>
      <c r="G1240" s="37" t="n"/>
      <c r="H1240" s="37" t="n"/>
      <c r="I1240" s="37" t="n"/>
      <c r="J1240" s="40" t="str">
        <f>IF(OR(C1240="",NOT(ISNUMBER(E1240))),"",IFERROR(E1240*N(INDEX(art_price,MATCH(C1240,art_ref,0))),""))</f>
        <v/>
      </c>
      <c r="K1240" s="39" t="str">
        <f>IF(OR(C1240="",NOT(ISNUMBER(E1240))),"",IFERROR(ROUND(N(INDEX(art_init,MATCH(C1240,art_ref,0)))+SUMIFS($E$5:E1240,$C$5:C1240,C1240,$B$5:B1240,"Entrée")-SUMIFS($E$5:E1240,$C$5:C1240,C1240,$B$5:B1240,"Sortie"),6),""))</f>
        <v/>
      </c>
      <c r="L1240" s="39" t="str">
        <f>IF(COUNTA(A1240:C1240,E1240)=0,"",IF(COUNTA(A1240:C1240,E1240)&lt;4,"Ligne incomplète",IF(NOT(ISNUMBER(A1240)),"Date invalide",IF(AND(B1240&lt;&gt;"Entrée",B1240&lt;&gt;"Sortie"),"Type inconnu",IF(ISNA(MATCH(C1240,art_ref,0)),"Référence inconnue",IF(OR(NOT(ISNUMBER(E1240)),N(E1240)&lt;=0),"Quantité invalide",IF(K1240&lt;0,"Stock négatif",IF(AND(ISNUMBER(A1239),A1240&lt;A1239),"Date hors ordre","OK"))))))))</f>
        <v/>
      </c>
      <c r="M1240" s="39" t="str">
        <f>IF(C1240="","",C1240&amp;"#"&amp;COUNTIF($C$5:C1240,C1240))</f>
        <v/>
      </c>
    </row>
    <row r="1241">
      <c r="A1241" s="41" t="n"/>
      <c r="B1241" s="37" t="n"/>
      <c r="C1241" s="37" t="n"/>
      <c r="D1241" s="39" t="str">
        <f>IF(C1241="","",IFERROR(INDEX(art_des,MATCH(C1241,art_ref,0))&amp;"","Référence inconnue"))</f>
        <v/>
      </c>
      <c r="E1241" s="37" t="n"/>
      <c r="F1241" s="39" t="str">
        <f>IF(C1241="","",IFERROR(INDEX(art_unit,MATCH(C1241,art_ref,0))&amp;"",""))</f>
        <v/>
      </c>
      <c r="G1241" s="37" t="n"/>
      <c r="H1241" s="37" t="n"/>
      <c r="I1241" s="37" t="n"/>
      <c r="J1241" s="40" t="str">
        <f>IF(OR(C1241="",NOT(ISNUMBER(E1241))),"",IFERROR(E1241*N(INDEX(art_price,MATCH(C1241,art_ref,0))),""))</f>
        <v/>
      </c>
      <c r="K1241" s="39" t="str">
        <f>IF(OR(C1241="",NOT(ISNUMBER(E1241))),"",IFERROR(ROUND(N(INDEX(art_init,MATCH(C1241,art_ref,0)))+SUMIFS($E$5:E1241,$C$5:C1241,C1241,$B$5:B1241,"Entrée")-SUMIFS($E$5:E1241,$C$5:C1241,C1241,$B$5:B1241,"Sortie"),6),""))</f>
        <v/>
      </c>
      <c r="L1241" s="39" t="str">
        <f>IF(COUNTA(A1241:C1241,E1241)=0,"",IF(COUNTA(A1241:C1241,E1241)&lt;4,"Ligne incomplète",IF(NOT(ISNUMBER(A1241)),"Date invalide",IF(AND(B1241&lt;&gt;"Entrée",B1241&lt;&gt;"Sortie"),"Type inconnu",IF(ISNA(MATCH(C1241,art_ref,0)),"Référence inconnue",IF(OR(NOT(ISNUMBER(E1241)),N(E1241)&lt;=0),"Quantité invalide",IF(K1241&lt;0,"Stock négatif",IF(AND(ISNUMBER(A1240),A1241&lt;A1240),"Date hors ordre","OK"))))))))</f>
        <v/>
      </c>
      <c r="M1241" s="39" t="str">
        <f>IF(C1241="","",C1241&amp;"#"&amp;COUNTIF($C$5:C1241,C1241))</f>
        <v/>
      </c>
    </row>
    <row r="1242">
      <c r="A1242" s="41" t="n"/>
      <c r="B1242" s="37" t="n"/>
      <c r="C1242" s="37" t="n"/>
      <c r="D1242" s="39" t="str">
        <f>IF(C1242="","",IFERROR(INDEX(art_des,MATCH(C1242,art_ref,0))&amp;"","Référence inconnue"))</f>
        <v/>
      </c>
      <c r="E1242" s="37" t="n"/>
      <c r="F1242" s="39" t="str">
        <f>IF(C1242="","",IFERROR(INDEX(art_unit,MATCH(C1242,art_ref,0))&amp;"",""))</f>
        <v/>
      </c>
      <c r="G1242" s="37" t="n"/>
      <c r="H1242" s="37" t="n"/>
      <c r="I1242" s="37" t="n"/>
      <c r="J1242" s="40" t="str">
        <f>IF(OR(C1242="",NOT(ISNUMBER(E1242))),"",IFERROR(E1242*N(INDEX(art_price,MATCH(C1242,art_ref,0))),""))</f>
        <v/>
      </c>
      <c r="K1242" s="39" t="str">
        <f>IF(OR(C1242="",NOT(ISNUMBER(E1242))),"",IFERROR(ROUND(N(INDEX(art_init,MATCH(C1242,art_ref,0)))+SUMIFS($E$5:E1242,$C$5:C1242,C1242,$B$5:B1242,"Entrée")-SUMIFS($E$5:E1242,$C$5:C1242,C1242,$B$5:B1242,"Sortie"),6),""))</f>
        <v/>
      </c>
      <c r="L1242" s="39" t="str">
        <f>IF(COUNTA(A1242:C1242,E1242)=0,"",IF(COUNTA(A1242:C1242,E1242)&lt;4,"Ligne incomplète",IF(NOT(ISNUMBER(A1242)),"Date invalide",IF(AND(B1242&lt;&gt;"Entrée",B1242&lt;&gt;"Sortie"),"Type inconnu",IF(ISNA(MATCH(C1242,art_ref,0)),"Référence inconnue",IF(OR(NOT(ISNUMBER(E1242)),N(E1242)&lt;=0),"Quantité invalide",IF(K1242&lt;0,"Stock négatif",IF(AND(ISNUMBER(A1241),A1242&lt;A1241),"Date hors ordre","OK"))))))))</f>
        <v/>
      </c>
      <c r="M1242" s="39" t="str">
        <f>IF(C1242="","",C1242&amp;"#"&amp;COUNTIF($C$5:C1242,C1242))</f>
        <v/>
      </c>
    </row>
    <row r="1243">
      <c r="A1243" s="41" t="n"/>
      <c r="B1243" s="37" t="n"/>
      <c r="C1243" s="37" t="n"/>
      <c r="D1243" s="39" t="str">
        <f>IF(C1243="","",IFERROR(INDEX(art_des,MATCH(C1243,art_ref,0))&amp;"","Référence inconnue"))</f>
        <v/>
      </c>
      <c r="E1243" s="37" t="n"/>
      <c r="F1243" s="39" t="str">
        <f>IF(C1243="","",IFERROR(INDEX(art_unit,MATCH(C1243,art_ref,0))&amp;"",""))</f>
        <v/>
      </c>
      <c r="G1243" s="37" t="n"/>
      <c r="H1243" s="37" t="n"/>
      <c r="I1243" s="37" t="n"/>
      <c r="J1243" s="40" t="str">
        <f>IF(OR(C1243="",NOT(ISNUMBER(E1243))),"",IFERROR(E1243*N(INDEX(art_price,MATCH(C1243,art_ref,0))),""))</f>
        <v/>
      </c>
      <c r="K1243" s="39" t="str">
        <f>IF(OR(C1243="",NOT(ISNUMBER(E1243))),"",IFERROR(ROUND(N(INDEX(art_init,MATCH(C1243,art_ref,0)))+SUMIFS($E$5:E1243,$C$5:C1243,C1243,$B$5:B1243,"Entrée")-SUMIFS($E$5:E1243,$C$5:C1243,C1243,$B$5:B1243,"Sortie"),6),""))</f>
        <v/>
      </c>
      <c r="L1243" s="39" t="str">
        <f>IF(COUNTA(A1243:C1243,E1243)=0,"",IF(COUNTA(A1243:C1243,E1243)&lt;4,"Ligne incomplète",IF(NOT(ISNUMBER(A1243)),"Date invalide",IF(AND(B1243&lt;&gt;"Entrée",B1243&lt;&gt;"Sortie"),"Type inconnu",IF(ISNA(MATCH(C1243,art_ref,0)),"Référence inconnue",IF(OR(NOT(ISNUMBER(E1243)),N(E1243)&lt;=0),"Quantité invalide",IF(K1243&lt;0,"Stock négatif",IF(AND(ISNUMBER(A1242),A1243&lt;A1242),"Date hors ordre","OK"))))))))</f>
        <v/>
      </c>
      <c r="M1243" s="39" t="str">
        <f>IF(C1243="","",C1243&amp;"#"&amp;COUNTIF($C$5:C1243,C1243))</f>
        <v/>
      </c>
    </row>
    <row r="1244">
      <c r="A1244" s="41" t="n"/>
      <c r="B1244" s="37" t="n"/>
      <c r="C1244" s="37" t="n"/>
      <c r="D1244" s="39" t="str">
        <f>IF(C1244="","",IFERROR(INDEX(art_des,MATCH(C1244,art_ref,0))&amp;"","Référence inconnue"))</f>
        <v/>
      </c>
      <c r="E1244" s="37" t="n"/>
      <c r="F1244" s="39" t="str">
        <f>IF(C1244="","",IFERROR(INDEX(art_unit,MATCH(C1244,art_ref,0))&amp;"",""))</f>
        <v/>
      </c>
      <c r="G1244" s="37" t="n"/>
      <c r="H1244" s="37" t="n"/>
      <c r="I1244" s="37" t="n"/>
      <c r="J1244" s="40" t="str">
        <f>IF(OR(C1244="",NOT(ISNUMBER(E1244))),"",IFERROR(E1244*N(INDEX(art_price,MATCH(C1244,art_ref,0))),""))</f>
        <v/>
      </c>
      <c r="K1244" s="39" t="str">
        <f>IF(OR(C1244="",NOT(ISNUMBER(E1244))),"",IFERROR(ROUND(N(INDEX(art_init,MATCH(C1244,art_ref,0)))+SUMIFS($E$5:E1244,$C$5:C1244,C1244,$B$5:B1244,"Entrée")-SUMIFS($E$5:E1244,$C$5:C1244,C1244,$B$5:B1244,"Sortie"),6),""))</f>
        <v/>
      </c>
      <c r="L1244" s="39" t="str">
        <f>IF(COUNTA(A1244:C1244,E1244)=0,"",IF(COUNTA(A1244:C1244,E1244)&lt;4,"Ligne incomplète",IF(NOT(ISNUMBER(A1244)),"Date invalide",IF(AND(B1244&lt;&gt;"Entrée",B1244&lt;&gt;"Sortie"),"Type inconnu",IF(ISNA(MATCH(C1244,art_ref,0)),"Référence inconnue",IF(OR(NOT(ISNUMBER(E1244)),N(E1244)&lt;=0),"Quantité invalide",IF(K1244&lt;0,"Stock négatif",IF(AND(ISNUMBER(A1243),A1244&lt;A1243),"Date hors ordre","OK"))))))))</f>
        <v/>
      </c>
      <c r="M1244" s="39" t="str">
        <f>IF(C1244="","",C1244&amp;"#"&amp;COUNTIF($C$5:C1244,C1244))</f>
        <v/>
      </c>
    </row>
    <row r="1245">
      <c r="A1245" s="41" t="n"/>
      <c r="B1245" s="37" t="n"/>
      <c r="C1245" s="37" t="n"/>
      <c r="D1245" s="39" t="str">
        <f>IF(C1245="","",IFERROR(INDEX(art_des,MATCH(C1245,art_ref,0))&amp;"","Référence inconnue"))</f>
        <v/>
      </c>
      <c r="E1245" s="37" t="n"/>
      <c r="F1245" s="39" t="str">
        <f>IF(C1245="","",IFERROR(INDEX(art_unit,MATCH(C1245,art_ref,0))&amp;"",""))</f>
        <v/>
      </c>
      <c r="G1245" s="37" t="n"/>
      <c r="H1245" s="37" t="n"/>
      <c r="I1245" s="37" t="n"/>
      <c r="J1245" s="40" t="str">
        <f>IF(OR(C1245="",NOT(ISNUMBER(E1245))),"",IFERROR(E1245*N(INDEX(art_price,MATCH(C1245,art_ref,0))),""))</f>
        <v/>
      </c>
      <c r="K1245" s="39" t="str">
        <f>IF(OR(C1245="",NOT(ISNUMBER(E1245))),"",IFERROR(ROUND(N(INDEX(art_init,MATCH(C1245,art_ref,0)))+SUMIFS($E$5:E1245,$C$5:C1245,C1245,$B$5:B1245,"Entrée")-SUMIFS($E$5:E1245,$C$5:C1245,C1245,$B$5:B1245,"Sortie"),6),""))</f>
        <v/>
      </c>
      <c r="L1245" s="39" t="str">
        <f>IF(COUNTA(A1245:C1245,E1245)=0,"",IF(COUNTA(A1245:C1245,E1245)&lt;4,"Ligne incomplète",IF(NOT(ISNUMBER(A1245)),"Date invalide",IF(AND(B1245&lt;&gt;"Entrée",B1245&lt;&gt;"Sortie"),"Type inconnu",IF(ISNA(MATCH(C1245,art_ref,0)),"Référence inconnue",IF(OR(NOT(ISNUMBER(E1245)),N(E1245)&lt;=0),"Quantité invalide",IF(K1245&lt;0,"Stock négatif",IF(AND(ISNUMBER(A1244),A1245&lt;A1244),"Date hors ordre","OK"))))))))</f>
        <v/>
      </c>
      <c r="M1245" s="39" t="str">
        <f>IF(C1245="","",C1245&amp;"#"&amp;COUNTIF($C$5:C1245,C1245))</f>
        <v/>
      </c>
    </row>
    <row r="1246">
      <c r="A1246" s="41" t="n"/>
      <c r="B1246" s="37" t="n"/>
      <c r="C1246" s="37" t="n"/>
      <c r="D1246" s="39" t="str">
        <f>IF(C1246="","",IFERROR(INDEX(art_des,MATCH(C1246,art_ref,0))&amp;"","Référence inconnue"))</f>
        <v/>
      </c>
      <c r="E1246" s="37" t="n"/>
      <c r="F1246" s="39" t="str">
        <f>IF(C1246="","",IFERROR(INDEX(art_unit,MATCH(C1246,art_ref,0))&amp;"",""))</f>
        <v/>
      </c>
      <c r="G1246" s="37" t="n"/>
      <c r="H1246" s="37" t="n"/>
      <c r="I1246" s="37" t="n"/>
      <c r="J1246" s="40" t="str">
        <f>IF(OR(C1246="",NOT(ISNUMBER(E1246))),"",IFERROR(E1246*N(INDEX(art_price,MATCH(C1246,art_ref,0))),""))</f>
        <v/>
      </c>
      <c r="K1246" s="39" t="str">
        <f>IF(OR(C1246="",NOT(ISNUMBER(E1246))),"",IFERROR(ROUND(N(INDEX(art_init,MATCH(C1246,art_ref,0)))+SUMIFS($E$5:E1246,$C$5:C1246,C1246,$B$5:B1246,"Entrée")-SUMIFS($E$5:E1246,$C$5:C1246,C1246,$B$5:B1246,"Sortie"),6),""))</f>
        <v/>
      </c>
      <c r="L1246" s="39" t="str">
        <f>IF(COUNTA(A1246:C1246,E1246)=0,"",IF(COUNTA(A1246:C1246,E1246)&lt;4,"Ligne incomplète",IF(NOT(ISNUMBER(A1246)),"Date invalide",IF(AND(B1246&lt;&gt;"Entrée",B1246&lt;&gt;"Sortie"),"Type inconnu",IF(ISNA(MATCH(C1246,art_ref,0)),"Référence inconnue",IF(OR(NOT(ISNUMBER(E1246)),N(E1246)&lt;=0),"Quantité invalide",IF(K1246&lt;0,"Stock négatif",IF(AND(ISNUMBER(A1245),A1246&lt;A1245),"Date hors ordre","OK"))))))))</f>
        <v/>
      </c>
      <c r="M1246" s="39" t="str">
        <f>IF(C1246="","",C1246&amp;"#"&amp;COUNTIF($C$5:C1246,C1246))</f>
        <v/>
      </c>
    </row>
    <row r="1247">
      <c r="A1247" s="41" t="n"/>
      <c r="B1247" s="37" t="n"/>
      <c r="C1247" s="37" t="n"/>
      <c r="D1247" s="39" t="str">
        <f>IF(C1247="","",IFERROR(INDEX(art_des,MATCH(C1247,art_ref,0))&amp;"","Référence inconnue"))</f>
        <v/>
      </c>
      <c r="E1247" s="37" t="n"/>
      <c r="F1247" s="39" t="str">
        <f>IF(C1247="","",IFERROR(INDEX(art_unit,MATCH(C1247,art_ref,0))&amp;"",""))</f>
        <v/>
      </c>
      <c r="G1247" s="37" t="n"/>
      <c r="H1247" s="37" t="n"/>
      <c r="I1247" s="37" t="n"/>
      <c r="J1247" s="40" t="str">
        <f>IF(OR(C1247="",NOT(ISNUMBER(E1247))),"",IFERROR(E1247*N(INDEX(art_price,MATCH(C1247,art_ref,0))),""))</f>
        <v/>
      </c>
      <c r="K1247" s="39" t="str">
        <f>IF(OR(C1247="",NOT(ISNUMBER(E1247))),"",IFERROR(ROUND(N(INDEX(art_init,MATCH(C1247,art_ref,0)))+SUMIFS($E$5:E1247,$C$5:C1247,C1247,$B$5:B1247,"Entrée")-SUMIFS($E$5:E1247,$C$5:C1247,C1247,$B$5:B1247,"Sortie"),6),""))</f>
        <v/>
      </c>
      <c r="L1247" s="39" t="str">
        <f>IF(COUNTA(A1247:C1247,E1247)=0,"",IF(COUNTA(A1247:C1247,E1247)&lt;4,"Ligne incomplète",IF(NOT(ISNUMBER(A1247)),"Date invalide",IF(AND(B1247&lt;&gt;"Entrée",B1247&lt;&gt;"Sortie"),"Type inconnu",IF(ISNA(MATCH(C1247,art_ref,0)),"Référence inconnue",IF(OR(NOT(ISNUMBER(E1247)),N(E1247)&lt;=0),"Quantité invalide",IF(K1247&lt;0,"Stock négatif",IF(AND(ISNUMBER(A1246),A1247&lt;A1246),"Date hors ordre","OK"))))))))</f>
        <v/>
      </c>
      <c r="M1247" s="39" t="str">
        <f>IF(C1247="","",C1247&amp;"#"&amp;COUNTIF($C$5:C1247,C1247))</f>
        <v/>
      </c>
    </row>
    <row r="1248">
      <c r="A1248" s="41" t="n"/>
      <c r="B1248" s="37" t="n"/>
      <c r="C1248" s="37" t="n"/>
      <c r="D1248" s="39" t="str">
        <f>IF(C1248="","",IFERROR(INDEX(art_des,MATCH(C1248,art_ref,0))&amp;"","Référence inconnue"))</f>
        <v/>
      </c>
      <c r="E1248" s="37" t="n"/>
      <c r="F1248" s="39" t="str">
        <f>IF(C1248="","",IFERROR(INDEX(art_unit,MATCH(C1248,art_ref,0))&amp;"",""))</f>
        <v/>
      </c>
      <c r="G1248" s="37" t="n"/>
      <c r="H1248" s="37" t="n"/>
      <c r="I1248" s="37" t="n"/>
      <c r="J1248" s="40" t="str">
        <f>IF(OR(C1248="",NOT(ISNUMBER(E1248))),"",IFERROR(E1248*N(INDEX(art_price,MATCH(C1248,art_ref,0))),""))</f>
        <v/>
      </c>
      <c r="K1248" s="39" t="str">
        <f>IF(OR(C1248="",NOT(ISNUMBER(E1248))),"",IFERROR(ROUND(N(INDEX(art_init,MATCH(C1248,art_ref,0)))+SUMIFS($E$5:E1248,$C$5:C1248,C1248,$B$5:B1248,"Entrée")-SUMIFS($E$5:E1248,$C$5:C1248,C1248,$B$5:B1248,"Sortie"),6),""))</f>
        <v/>
      </c>
      <c r="L1248" s="39" t="str">
        <f>IF(COUNTA(A1248:C1248,E1248)=0,"",IF(COUNTA(A1248:C1248,E1248)&lt;4,"Ligne incomplète",IF(NOT(ISNUMBER(A1248)),"Date invalide",IF(AND(B1248&lt;&gt;"Entrée",B1248&lt;&gt;"Sortie"),"Type inconnu",IF(ISNA(MATCH(C1248,art_ref,0)),"Référence inconnue",IF(OR(NOT(ISNUMBER(E1248)),N(E1248)&lt;=0),"Quantité invalide",IF(K1248&lt;0,"Stock négatif",IF(AND(ISNUMBER(A1247),A1248&lt;A1247),"Date hors ordre","OK"))))))))</f>
        <v/>
      </c>
      <c r="M1248" s="39" t="str">
        <f>IF(C1248="","",C1248&amp;"#"&amp;COUNTIF($C$5:C1248,C1248))</f>
        <v/>
      </c>
    </row>
    <row r="1249">
      <c r="A1249" s="41" t="n"/>
      <c r="B1249" s="37" t="n"/>
      <c r="C1249" s="37" t="n"/>
      <c r="D1249" s="39" t="str">
        <f>IF(C1249="","",IFERROR(INDEX(art_des,MATCH(C1249,art_ref,0))&amp;"","Référence inconnue"))</f>
        <v/>
      </c>
      <c r="E1249" s="37" t="n"/>
      <c r="F1249" s="39" t="str">
        <f>IF(C1249="","",IFERROR(INDEX(art_unit,MATCH(C1249,art_ref,0))&amp;"",""))</f>
        <v/>
      </c>
      <c r="G1249" s="37" t="n"/>
      <c r="H1249" s="37" t="n"/>
      <c r="I1249" s="37" t="n"/>
      <c r="J1249" s="40" t="str">
        <f>IF(OR(C1249="",NOT(ISNUMBER(E1249))),"",IFERROR(E1249*N(INDEX(art_price,MATCH(C1249,art_ref,0))),""))</f>
        <v/>
      </c>
      <c r="K1249" s="39" t="str">
        <f>IF(OR(C1249="",NOT(ISNUMBER(E1249))),"",IFERROR(ROUND(N(INDEX(art_init,MATCH(C1249,art_ref,0)))+SUMIFS($E$5:E1249,$C$5:C1249,C1249,$B$5:B1249,"Entrée")-SUMIFS($E$5:E1249,$C$5:C1249,C1249,$B$5:B1249,"Sortie"),6),""))</f>
        <v/>
      </c>
      <c r="L1249" s="39" t="str">
        <f>IF(COUNTA(A1249:C1249,E1249)=0,"",IF(COUNTA(A1249:C1249,E1249)&lt;4,"Ligne incomplète",IF(NOT(ISNUMBER(A1249)),"Date invalide",IF(AND(B1249&lt;&gt;"Entrée",B1249&lt;&gt;"Sortie"),"Type inconnu",IF(ISNA(MATCH(C1249,art_ref,0)),"Référence inconnue",IF(OR(NOT(ISNUMBER(E1249)),N(E1249)&lt;=0),"Quantité invalide",IF(K1249&lt;0,"Stock négatif",IF(AND(ISNUMBER(A1248),A1249&lt;A1248),"Date hors ordre","OK"))))))))</f>
        <v/>
      </c>
      <c r="M1249" s="39" t="str">
        <f>IF(C1249="","",C1249&amp;"#"&amp;COUNTIF($C$5:C1249,C1249))</f>
        <v/>
      </c>
    </row>
    <row r="1250">
      <c r="A1250" s="41" t="n"/>
      <c r="B1250" s="37" t="n"/>
      <c r="C1250" s="37" t="n"/>
      <c r="D1250" s="39" t="str">
        <f>IF(C1250="","",IFERROR(INDEX(art_des,MATCH(C1250,art_ref,0))&amp;"","Référence inconnue"))</f>
        <v/>
      </c>
      <c r="E1250" s="37" t="n"/>
      <c r="F1250" s="39" t="str">
        <f>IF(C1250="","",IFERROR(INDEX(art_unit,MATCH(C1250,art_ref,0))&amp;"",""))</f>
        <v/>
      </c>
      <c r="G1250" s="37" t="n"/>
      <c r="H1250" s="37" t="n"/>
      <c r="I1250" s="37" t="n"/>
      <c r="J1250" s="40" t="str">
        <f>IF(OR(C1250="",NOT(ISNUMBER(E1250))),"",IFERROR(E1250*N(INDEX(art_price,MATCH(C1250,art_ref,0))),""))</f>
        <v/>
      </c>
      <c r="K1250" s="39" t="str">
        <f>IF(OR(C1250="",NOT(ISNUMBER(E1250))),"",IFERROR(ROUND(N(INDEX(art_init,MATCH(C1250,art_ref,0)))+SUMIFS($E$5:E1250,$C$5:C1250,C1250,$B$5:B1250,"Entrée")-SUMIFS($E$5:E1250,$C$5:C1250,C1250,$B$5:B1250,"Sortie"),6),""))</f>
        <v/>
      </c>
      <c r="L1250" s="39" t="str">
        <f>IF(COUNTA(A1250:C1250,E1250)=0,"",IF(COUNTA(A1250:C1250,E1250)&lt;4,"Ligne incomplète",IF(NOT(ISNUMBER(A1250)),"Date invalide",IF(AND(B1250&lt;&gt;"Entrée",B1250&lt;&gt;"Sortie"),"Type inconnu",IF(ISNA(MATCH(C1250,art_ref,0)),"Référence inconnue",IF(OR(NOT(ISNUMBER(E1250)),N(E1250)&lt;=0),"Quantité invalide",IF(K1250&lt;0,"Stock négatif",IF(AND(ISNUMBER(A1249),A1250&lt;A1249),"Date hors ordre","OK"))))))))</f>
        <v/>
      </c>
      <c r="M1250" s="39" t="str">
        <f>IF(C1250="","",C1250&amp;"#"&amp;COUNTIF($C$5:C1250,C1250))</f>
        <v/>
      </c>
    </row>
    <row r="1251">
      <c r="A1251" s="41" t="n"/>
      <c r="B1251" s="37" t="n"/>
      <c r="C1251" s="37" t="n"/>
      <c r="D1251" s="39" t="str">
        <f>IF(C1251="","",IFERROR(INDEX(art_des,MATCH(C1251,art_ref,0))&amp;"","Référence inconnue"))</f>
        <v/>
      </c>
      <c r="E1251" s="37" t="n"/>
      <c r="F1251" s="39" t="str">
        <f>IF(C1251="","",IFERROR(INDEX(art_unit,MATCH(C1251,art_ref,0))&amp;"",""))</f>
        <v/>
      </c>
      <c r="G1251" s="37" t="n"/>
      <c r="H1251" s="37" t="n"/>
      <c r="I1251" s="37" t="n"/>
      <c r="J1251" s="40" t="str">
        <f>IF(OR(C1251="",NOT(ISNUMBER(E1251))),"",IFERROR(E1251*N(INDEX(art_price,MATCH(C1251,art_ref,0))),""))</f>
        <v/>
      </c>
      <c r="K1251" s="39" t="str">
        <f>IF(OR(C1251="",NOT(ISNUMBER(E1251))),"",IFERROR(ROUND(N(INDEX(art_init,MATCH(C1251,art_ref,0)))+SUMIFS($E$5:E1251,$C$5:C1251,C1251,$B$5:B1251,"Entrée")-SUMIFS($E$5:E1251,$C$5:C1251,C1251,$B$5:B1251,"Sortie"),6),""))</f>
        <v/>
      </c>
      <c r="L1251" s="39" t="str">
        <f>IF(COUNTA(A1251:C1251,E1251)=0,"",IF(COUNTA(A1251:C1251,E1251)&lt;4,"Ligne incomplète",IF(NOT(ISNUMBER(A1251)),"Date invalide",IF(AND(B1251&lt;&gt;"Entrée",B1251&lt;&gt;"Sortie"),"Type inconnu",IF(ISNA(MATCH(C1251,art_ref,0)),"Référence inconnue",IF(OR(NOT(ISNUMBER(E1251)),N(E1251)&lt;=0),"Quantité invalide",IF(K1251&lt;0,"Stock négatif",IF(AND(ISNUMBER(A1250),A1251&lt;A1250),"Date hors ordre","OK"))))))))</f>
        <v/>
      </c>
      <c r="M1251" s="39" t="str">
        <f>IF(C1251="","",C1251&amp;"#"&amp;COUNTIF($C$5:C1251,C1251))</f>
        <v/>
      </c>
    </row>
    <row r="1252">
      <c r="A1252" s="41" t="n"/>
      <c r="B1252" s="37" t="n"/>
      <c r="C1252" s="37" t="n"/>
      <c r="D1252" s="39" t="str">
        <f>IF(C1252="","",IFERROR(INDEX(art_des,MATCH(C1252,art_ref,0))&amp;"","Référence inconnue"))</f>
        <v/>
      </c>
      <c r="E1252" s="37" t="n"/>
      <c r="F1252" s="39" t="str">
        <f>IF(C1252="","",IFERROR(INDEX(art_unit,MATCH(C1252,art_ref,0))&amp;"",""))</f>
        <v/>
      </c>
      <c r="G1252" s="37" t="n"/>
      <c r="H1252" s="37" t="n"/>
      <c r="I1252" s="37" t="n"/>
      <c r="J1252" s="40" t="str">
        <f>IF(OR(C1252="",NOT(ISNUMBER(E1252))),"",IFERROR(E1252*N(INDEX(art_price,MATCH(C1252,art_ref,0))),""))</f>
        <v/>
      </c>
      <c r="K1252" s="39" t="str">
        <f>IF(OR(C1252="",NOT(ISNUMBER(E1252))),"",IFERROR(ROUND(N(INDEX(art_init,MATCH(C1252,art_ref,0)))+SUMIFS($E$5:E1252,$C$5:C1252,C1252,$B$5:B1252,"Entrée")-SUMIFS($E$5:E1252,$C$5:C1252,C1252,$B$5:B1252,"Sortie"),6),""))</f>
        <v/>
      </c>
      <c r="L1252" s="39" t="str">
        <f>IF(COUNTA(A1252:C1252,E1252)=0,"",IF(COUNTA(A1252:C1252,E1252)&lt;4,"Ligne incomplète",IF(NOT(ISNUMBER(A1252)),"Date invalide",IF(AND(B1252&lt;&gt;"Entrée",B1252&lt;&gt;"Sortie"),"Type inconnu",IF(ISNA(MATCH(C1252,art_ref,0)),"Référence inconnue",IF(OR(NOT(ISNUMBER(E1252)),N(E1252)&lt;=0),"Quantité invalide",IF(K1252&lt;0,"Stock négatif",IF(AND(ISNUMBER(A1251),A1252&lt;A1251),"Date hors ordre","OK"))))))))</f>
        <v/>
      </c>
      <c r="M1252" s="39" t="str">
        <f>IF(C1252="","",C1252&amp;"#"&amp;COUNTIF($C$5:C1252,C1252))</f>
        <v/>
      </c>
    </row>
    <row r="1253">
      <c r="A1253" s="41" t="n"/>
      <c r="B1253" s="37" t="n"/>
      <c r="C1253" s="37" t="n"/>
      <c r="D1253" s="39" t="str">
        <f>IF(C1253="","",IFERROR(INDEX(art_des,MATCH(C1253,art_ref,0))&amp;"","Référence inconnue"))</f>
        <v/>
      </c>
      <c r="E1253" s="37" t="n"/>
      <c r="F1253" s="39" t="str">
        <f>IF(C1253="","",IFERROR(INDEX(art_unit,MATCH(C1253,art_ref,0))&amp;"",""))</f>
        <v/>
      </c>
      <c r="G1253" s="37" t="n"/>
      <c r="H1253" s="37" t="n"/>
      <c r="I1253" s="37" t="n"/>
      <c r="J1253" s="40" t="str">
        <f>IF(OR(C1253="",NOT(ISNUMBER(E1253))),"",IFERROR(E1253*N(INDEX(art_price,MATCH(C1253,art_ref,0))),""))</f>
        <v/>
      </c>
      <c r="K1253" s="39" t="str">
        <f>IF(OR(C1253="",NOT(ISNUMBER(E1253))),"",IFERROR(ROUND(N(INDEX(art_init,MATCH(C1253,art_ref,0)))+SUMIFS($E$5:E1253,$C$5:C1253,C1253,$B$5:B1253,"Entrée")-SUMIFS($E$5:E1253,$C$5:C1253,C1253,$B$5:B1253,"Sortie"),6),""))</f>
        <v/>
      </c>
      <c r="L1253" s="39" t="str">
        <f>IF(COUNTA(A1253:C1253,E1253)=0,"",IF(COUNTA(A1253:C1253,E1253)&lt;4,"Ligne incomplète",IF(NOT(ISNUMBER(A1253)),"Date invalide",IF(AND(B1253&lt;&gt;"Entrée",B1253&lt;&gt;"Sortie"),"Type inconnu",IF(ISNA(MATCH(C1253,art_ref,0)),"Référence inconnue",IF(OR(NOT(ISNUMBER(E1253)),N(E1253)&lt;=0),"Quantité invalide",IF(K1253&lt;0,"Stock négatif",IF(AND(ISNUMBER(A1252),A1253&lt;A1252),"Date hors ordre","OK"))))))))</f>
        <v/>
      </c>
      <c r="M1253" s="39" t="str">
        <f>IF(C1253="","",C1253&amp;"#"&amp;COUNTIF($C$5:C1253,C1253))</f>
        <v/>
      </c>
    </row>
    <row r="1254">
      <c r="A1254" s="41" t="n"/>
      <c r="B1254" s="37" t="n"/>
      <c r="C1254" s="37" t="n"/>
      <c r="D1254" s="39" t="str">
        <f>IF(C1254="","",IFERROR(INDEX(art_des,MATCH(C1254,art_ref,0))&amp;"","Référence inconnue"))</f>
        <v/>
      </c>
      <c r="E1254" s="37" t="n"/>
      <c r="F1254" s="39" t="str">
        <f>IF(C1254="","",IFERROR(INDEX(art_unit,MATCH(C1254,art_ref,0))&amp;"",""))</f>
        <v/>
      </c>
      <c r="G1254" s="37" t="n"/>
      <c r="H1254" s="37" t="n"/>
      <c r="I1254" s="37" t="n"/>
      <c r="J1254" s="40" t="str">
        <f>IF(OR(C1254="",NOT(ISNUMBER(E1254))),"",IFERROR(E1254*N(INDEX(art_price,MATCH(C1254,art_ref,0))),""))</f>
        <v/>
      </c>
      <c r="K1254" s="39" t="str">
        <f>IF(OR(C1254="",NOT(ISNUMBER(E1254))),"",IFERROR(ROUND(N(INDEX(art_init,MATCH(C1254,art_ref,0)))+SUMIFS($E$5:E1254,$C$5:C1254,C1254,$B$5:B1254,"Entrée")-SUMIFS($E$5:E1254,$C$5:C1254,C1254,$B$5:B1254,"Sortie"),6),""))</f>
        <v/>
      </c>
      <c r="L1254" s="39" t="str">
        <f>IF(COUNTA(A1254:C1254,E1254)=0,"",IF(COUNTA(A1254:C1254,E1254)&lt;4,"Ligne incomplète",IF(NOT(ISNUMBER(A1254)),"Date invalide",IF(AND(B1254&lt;&gt;"Entrée",B1254&lt;&gt;"Sortie"),"Type inconnu",IF(ISNA(MATCH(C1254,art_ref,0)),"Référence inconnue",IF(OR(NOT(ISNUMBER(E1254)),N(E1254)&lt;=0),"Quantité invalide",IF(K1254&lt;0,"Stock négatif",IF(AND(ISNUMBER(A1253),A1254&lt;A1253),"Date hors ordre","OK"))))))))</f>
        <v/>
      </c>
      <c r="M1254" s="39" t="str">
        <f>IF(C1254="","",C1254&amp;"#"&amp;COUNTIF($C$5:C1254,C1254))</f>
        <v/>
      </c>
    </row>
    <row r="1255">
      <c r="A1255" s="41" t="n"/>
      <c r="B1255" s="37" t="n"/>
      <c r="C1255" s="37" t="n"/>
      <c r="D1255" s="39" t="str">
        <f>IF(C1255="","",IFERROR(INDEX(art_des,MATCH(C1255,art_ref,0))&amp;"","Référence inconnue"))</f>
        <v/>
      </c>
      <c r="E1255" s="37" t="n"/>
      <c r="F1255" s="39" t="str">
        <f>IF(C1255="","",IFERROR(INDEX(art_unit,MATCH(C1255,art_ref,0))&amp;"",""))</f>
        <v/>
      </c>
      <c r="G1255" s="37" t="n"/>
      <c r="H1255" s="37" t="n"/>
      <c r="I1255" s="37" t="n"/>
      <c r="J1255" s="40" t="str">
        <f>IF(OR(C1255="",NOT(ISNUMBER(E1255))),"",IFERROR(E1255*N(INDEX(art_price,MATCH(C1255,art_ref,0))),""))</f>
        <v/>
      </c>
      <c r="K1255" s="39" t="str">
        <f>IF(OR(C1255="",NOT(ISNUMBER(E1255))),"",IFERROR(ROUND(N(INDEX(art_init,MATCH(C1255,art_ref,0)))+SUMIFS($E$5:E1255,$C$5:C1255,C1255,$B$5:B1255,"Entrée")-SUMIFS($E$5:E1255,$C$5:C1255,C1255,$B$5:B1255,"Sortie"),6),""))</f>
        <v/>
      </c>
      <c r="L1255" s="39" t="str">
        <f>IF(COUNTA(A1255:C1255,E1255)=0,"",IF(COUNTA(A1255:C1255,E1255)&lt;4,"Ligne incomplète",IF(NOT(ISNUMBER(A1255)),"Date invalide",IF(AND(B1255&lt;&gt;"Entrée",B1255&lt;&gt;"Sortie"),"Type inconnu",IF(ISNA(MATCH(C1255,art_ref,0)),"Référence inconnue",IF(OR(NOT(ISNUMBER(E1255)),N(E1255)&lt;=0),"Quantité invalide",IF(K1255&lt;0,"Stock négatif",IF(AND(ISNUMBER(A1254),A1255&lt;A1254),"Date hors ordre","OK"))))))))</f>
        <v/>
      </c>
      <c r="M1255" s="39" t="str">
        <f>IF(C1255="","",C1255&amp;"#"&amp;COUNTIF($C$5:C1255,C1255))</f>
        <v/>
      </c>
    </row>
    <row r="1256">
      <c r="A1256" s="41" t="n"/>
      <c r="B1256" s="37" t="n"/>
      <c r="C1256" s="37" t="n"/>
      <c r="D1256" s="39" t="str">
        <f>IF(C1256="","",IFERROR(INDEX(art_des,MATCH(C1256,art_ref,0))&amp;"","Référence inconnue"))</f>
        <v/>
      </c>
      <c r="E1256" s="37" t="n"/>
      <c r="F1256" s="39" t="str">
        <f>IF(C1256="","",IFERROR(INDEX(art_unit,MATCH(C1256,art_ref,0))&amp;"",""))</f>
        <v/>
      </c>
      <c r="G1256" s="37" t="n"/>
      <c r="H1256" s="37" t="n"/>
      <c r="I1256" s="37" t="n"/>
      <c r="J1256" s="40" t="str">
        <f>IF(OR(C1256="",NOT(ISNUMBER(E1256))),"",IFERROR(E1256*N(INDEX(art_price,MATCH(C1256,art_ref,0))),""))</f>
        <v/>
      </c>
      <c r="K1256" s="39" t="str">
        <f>IF(OR(C1256="",NOT(ISNUMBER(E1256))),"",IFERROR(ROUND(N(INDEX(art_init,MATCH(C1256,art_ref,0)))+SUMIFS($E$5:E1256,$C$5:C1256,C1256,$B$5:B1256,"Entrée")-SUMIFS($E$5:E1256,$C$5:C1256,C1256,$B$5:B1256,"Sortie"),6),""))</f>
        <v/>
      </c>
      <c r="L1256" s="39" t="str">
        <f>IF(COUNTA(A1256:C1256,E1256)=0,"",IF(COUNTA(A1256:C1256,E1256)&lt;4,"Ligne incomplète",IF(NOT(ISNUMBER(A1256)),"Date invalide",IF(AND(B1256&lt;&gt;"Entrée",B1256&lt;&gt;"Sortie"),"Type inconnu",IF(ISNA(MATCH(C1256,art_ref,0)),"Référence inconnue",IF(OR(NOT(ISNUMBER(E1256)),N(E1256)&lt;=0),"Quantité invalide",IF(K1256&lt;0,"Stock négatif",IF(AND(ISNUMBER(A1255),A1256&lt;A1255),"Date hors ordre","OK"))))))))</f>
        <v/>
      </c>
      <c r="M1256" s="39" t="str">
        <f>IF(C1256="","",C1256&amp;"#"&amp;COUNTIF($C$5:C1256,C1256))</f>
        <v/>
      </c>
    </row>
    <row r="1257">
      <c r="A1257" s="41" t="n"/>
      <c r="B1257" s="37" t="n"/>
      <c r="C1257" s="37" t="n"/>
      <c r="D1257" s="39" t="str">
        <f>IF(C1257="","",IFERROR(INDEX(art_des,MATCH(C1257,art_ref,0))&amp;"","Référence inconnue"))</f>
        <v/>
      </c>
      <c r="E1257" s="37" t="n"/>
      <c r="F1257" s="39" t="str">
        <f>IF(C1257="","",IFERROR(INDEX(art_unit,MATCH(C1257,art_ref,0))&amp;"",""))</f>
        <v/>
      </c>
      <c r="G1257" s="37" t="n"/>
      <c r="H1257" s="37" t="n"/>
      <c r="I1257" s="37" t="n"/>
      <c r="J1257" s="40" t="str">
        <f>IF(OR(C1257="",NOT(ISNUMBER(E1257))),"",IFERROR(E1257*N(INDEX(art_price,MATCH(C1257,art_ref,0))),""))</f>
        <v/>
      </c>
      <c r="K1257" s="39" t="str">
        <f>IF(OR(C1257="",NOT(ISNUMBER(E1257))),"",IFERROR(ROUND(N(INDEX(art_init,MATCH(C1257,art_ref,0)))+SUMIFS($E$5:E1257,$C$5:C1257,C1257,$B$5:B1257,"Entrée")-SUMIFS($E$5:E1257,$C$5:C1257,C1257,$B$5:B1257,"Sortie"),6),""))</f>
        <v/>
      </c>
      <c r="L1257" s="39" t="str">
        <f>IF(COUNTA(A1257:C1257,E1257)=0,"",IF(COUNTA(A1257:C1257,E1257)&lt;4,"Ligne incomplète",IF(NOT(ISNUMBER(A1257)),"Date invalide",IF(AND(B1257&lt;&gt;"Entrée",B1257&lt;&gt;"Sortie"),"Type inconnu",IF(ISNA(MATCH(C1257,art_ref,0)),"Référence inconnue",IF(OR(NOT(ISNUMBER(E1257)),N(E1257)&lt;=0),"Quantité invalide",IF(K1257&lt;0,"Stock négatif",IF(AND(ISNUMBER(A1256),A1257&lt;A1256),"Date hors ordre","OK"))))))))</f>
        <v/>
      </c>
      <c r="M1257" s="39" t="str">
        <f>IF(C1257="","",C1257&amp;"#"&amp;COUNTIF($C$5:C1257,C1257))</f>
        <v/>
      </c>
    </row>
    <row r="1258">
      <c r="A1258" s="41" t="n"/>
      <c r="B1258" s="37" t="n"/>
      <c r="C1258" s="37" t="n"/>
      <c r="D1258" s="39" t="str">
        <f>IF(C1258="","",IFERROR(INDEX(art_des,MATCH(C1258,art_ref,0))&amp;"","Référence inconnue"))</f>
        <v/>
      </c>
      <c r="E1258" s="37" t="n"/>
      <c r="F1258" s="39" t="str">
        <f>IF(C1258="","",IFERROR(INDEX(art_unit,MATCH(C1258,art_ref,0))&amp;"",""))</f>
        <v/>
      </c>
      <c r="G1258" s="37" t="n"/>
      <c r="H1258" s="37" t="n"/>
      <c r="I1258" s="37" t="n"/>
      <c r="J1258" s="40" t="str">
        <f>IF(OR(C1258="",NOT(ISNUMBER(E1258))),"",IFERROR(E1258*N(INDEX(art_price,MATCH(C1258,art_ref,0))),""))</f>
        <v/>
      </c>
      <c r="K1258" s="39" t="str">
        <f>IF(OR(C1258="",NOT(ISNUMBER(E1258))),"",IFERROR(ROUND(N(INDEX(art_init,MATCH(C1258,art_ref,0)))+SUMIFS($E$5:E1258,$C$5:C1258,C1258,$B$5:B1258,"Entrée")-SUMIFS($E$5:E1258,$C$5:C1258,C1258,$B$5:B1258,"Sortie"),6),""))</f>
        <v/>
      </c>
      <c r="L1258" s="39" t="str">
        <f>IF(COUNTA(A1258:C1258,E1258)=0,"",IF(COUNTA(A1258:C1258,E1258)&lt;4,"Ligne incomplète",IF(NOT(ISNUMBER(A1258)),"Date invalide",IF(AND(B1258&lt;&gt;"Entrée",B1258&lt;&gt;"Sortie"),"Type inconnu",IF(ISNA(MATCH(C1258,art_ref,0)),"Référence inconnue",IF(OR(NOT(ISNUMBER(E1258)),N(E1258)&lt;=0),"Quantité invalide",IF(K1258&lt;0,"Stock négatif",IF(AND(ISNUMBER(A1257),A1258&lt;A1257),"Date hors ordre","OK"))))))))</f>
        <v/>
      </c>
      <c r="M1258" s="39" t="str">
        <f>IF(C1258="","",C1258&amp;"#"&amp;COUNTIF($C$5:C1258,C1258))</f>
        <v/>
      </c>
    </row>
    <row r="1259">
      <c r="A1259" s="41" t="n"/>
      <c r="B1259" s="37" t="n"/>
      <c r="C1259" s="37" t="n"/>
      <c r="D1259" s="39" t="str">
        <f>IF(C1259="","",IFERROR(INDEX(art_des,MATCH(C1259,art_ref,0))&amp;"","Référence inconnue"))</f>
        <v/>
      </c>
      <c r="E1259" s="37" t="n"/>
      <c r="F1259" s="39" t="str">
        <f>IF(C1259="","",IFERROR(INDEX(art_unit,MATCH(C1259,art_ref,0))&amp;"",""))</f>
        <v/>
      </c>
      <c r="G1259" s="37" t="n"/>
      <c r="H1259" s="37" t="n"/>
      <c r="I1259" s="37" t="n"/>
      <c r="J1259" s="40" t="str">
        <f>IF(OR(C1259="",NOT(ISNUMBER(E1259))),"",IFERROR(E1259*N(INDEX(art_price,MATCH(C1259,art_ref,0))),""))</f>
        <v/>
      </c>
      <c r="K1259" s="39" t="str">
        <f>IF(OR(C1259="",NOT(ISNUMBER(E1259))),"",IFERROR(ROUND(N(INDEX(art_init,MATCH(C1259,art_ref,0)))+SUMIFS($E$5:E1259,$C$5:C1259,C1259,$B$5:B1259,"Entrée")-SUMIFS($E$5:E1259,$C$5:C1259,C1259,$B$5:B1259,"Sortie"),6),""))</f>
        <v/>
      </c>
      <c r="L1259" s="39" t="str">
        <f>IF(COUNTA(A1259:C1259,E1259)=0,"",IF(COUNTA(A1259:C1259,E1259)&lt;4,"Ligne incomplète",IF(NOT(ISNUMBER(A1259)),"Date invalide",IF(AND(B1259&lt;&gt;"Entrée",B1259&lt;&gt;"Sortie"),"Type inconnu",IF(ISNA(MATCH(C1259,art_ref,0)),"Référence inconnue",IF(OR(NOT(ISNUMBER(E1259)),N(E1259)&lt;=0),"Quantité invalide",IF(K1259&lt;0,"Stock négatif",IF(AND(ISNUMBER(A1258),A1259&lt;A1258),"Date hors ordre","OK"))))))))</f>
        <v/>
      </c>
      <c r="M1259" s="39" t="str">
        <f>IF(C1259="","",C1259&amp;"#"&amp;COUNTIF($C$5:C1259,C1259))</f>
        <v/>
      </c>
    </row>
    <row r="1260">
      <c r="A1260" s="41" t="n"/>
      <c r="B1260" s="37" t="n"/>
      <c r="C1260" s="37" t="n"/>
      <c r="D1260" s="39" t="str">
        <f>IF(C1260="","",IFERROR(INDEX(art_des,MATCH(C1260,art_ref,0))&amp;"","Référence inconnue"))</f>
        <v/>
      </c>
      <c r="E1260" s="37" t="n"/>
      <c r="F1260" s="39" t="str">
        <f>IF(C1260="","",IFERROR(INDEX(art_unit,MATCH(C1260,art_ref,0))&amp;"",""))</f>
        <v/>
      </c>
      <c r="G1260" s="37" t="n"/>
      <c r="H1260" s="37" t="n"/>
      <c r="I1260" s="37" t="n"/>
      <c r="J1260" s="40" t="str">
        <f>IF(OR(C1260="",NOT(ISNUMBER(E1260))),"",IFERROR(E1260*N(INDEX(art_price,MATCH(C1260,art_ref,0))),""))</f>
        <v/>
      </c>
      <c r="K1260" s="39" t="str">
        <f>IF(OR(C1260="",NOT(ISNUMBER(E1260))),"",IFERROR(ROUND(N(INDEX(art_init,MATCH(C1260,art_ref,0)))+SUMIFS($E$5:E1260,$C$5:C1260,C1260,$B$5:B1260,"Entrée")-SUMIFS($E$5:E1260,$C$5:C1260,C1260,$B$5:B1260,"Sortie"),6),""))</f>
        <v/>
      </c>
      <c r="L1260" s="39" t="str">
        <f>IF(COUNTA(A1260:C1260,E1260)=0,"",IF(COUNTA(A1260:C1260,E1260)&lt;4,"Ligne incomplète",IF(NOT(ISNUMBER(A1260)),"Date invalide",IF(AND(B1260&lt;&gt;"Entrée",B1260&lt;&gt;"Sortie"),"Type inconnu",IF(ISNA(MATCH(C1260,art_ref,0)),"Référence inconnue",IF(OR(NOT(ISNUMBER(E1260)),N(E1260)&lt;=0),"Quantité invalide",IF(K1260&lt;0,"Stock négatif",IF(AND(ISNUMBER(A1259),A1260&lt;A1259),"Date hors ordre","OK"))))))))</f>
        <v/>
      </c>
      <c r="M1260" s="39" t="str">
        <f>IF(C1260="","",C1260&amp;"#"&amp;COUNTIF($C$5:C1260,C1260))</f>
        <v/>
      </c>
    </row>
    <row r="1261">
      <c r="A1261" s="41" t="n"/>
      <c r="B1261" s="37" t="n"/>
      <c r="C1261" s="37" t="n"/>
      <c r="D1261" s="39" t="str">
        <f>IF(C1261="","",IFERROR(INDEX(art_des,MATCH(C1261,art_ref,0))&amp;"","Référence inconnue"))</f>
        <v/>
      </c>
      <c r="E1261" s="37" t="n"/>
      <c r="F1261" s="39" t="str">
        <f>IF(C1261="","",IFERROR(INDEX(art_unit,MATCH(C1261,art_ref,0))&amp;"",""))</f>
        <v/>
      </c>
      <c r="G1261" s="37" t="n"/>
      <c r="H1261" s="37" t="n"/>
      <c r="I1261" s="37" t="n"/>
      <c r="J1261" s="40" t="str">
        <f>IF(OR(C1261="",NOT(ISNUMBER(E1261))),"",IFERROR(E1261*N(INDEX(art_price,MATCH(C1261,art_ref,0))),""))</f>
        <v/>
      </c>
      <c r="K1261" s="39" t="str">
        <f>IF(OR(C1261="",NOT(ISNUMBER(E1261))),"",IFERROR(ROUND(N(INDEX(art_init,MATCH(C1261,art_ref,0)))+SUMIFS($E$5:E1261,$C$5:C1261,C1261,$B$5:B1261,"Entrée")-SUMIFS($E$5:E1261,$C$5:C1261,C1261,$B$5:B1261,"Sortie"),6),""))</f>
        <v/>
      </c>
      <c r="L1261" s="39" t="str">
        <f>IF(COUNTA(A1261:C1261,E1261)=0,"",IF(COUNTA(A1261:C1261,E1261)&lt;4,"Ligne incomplète",IF(NOT(ISNUMBER(A1261)),"Date invalide",IF(AND(B1261&lt;&gt;"Entrée",B1261&lt;&gt;"Sortie"),"Type inconnu",IF(ISNA(MATCH(C1261,art_ref,0)),"Référence inconnue",IF(OR(NOT(ISNUMBER(E1261)),N(E1261)&lt;=0),"Quantité invalide",IF(K1261&lt;0,"Stock négatif",IF(AND(ISNUMBER(A1260),A1261&lt;A1260),"Date hors ordre","OK"))))))))</f>
        <v/>
      </c>
      <c r="M1261" s="39" t="str">
        <f>IF(C1261="","",C1261&amp;"#"&amp;COUNTIF($C$5:C1261,C1261))</f>
        <v/>
      </c>
    </row>
    <row r="1262">
      <c r="A1262" s="41" t="n"/>
      <c r="B1262" s="37" t="n"/>
      <c r="C1262" s="37" t="n"/>
      <c r="D1262" s="39" t="str">
        <f>IF(C1262="","",IFERROR(INDEX(art_des,MATCH(C1262,art_ref,0))&amp;"","Référence inconnue"))</f>
        <v/>
      </c>
      <c r="E1262" s="37" t="n"/>
      <c r="F1262" s="39" t="str">
        <f>IF(C1262="","",IFERROR(INDEX(art_unit,MATCH(C1262,art_ref,0))&amp;"",""))</f>
        <v/>
      </c>
      <c r="G1262" s="37" t="n"/>
      <c r="H1262" s="37" t="n"/>
      <c r="I1262" s="37" t="n"/>
      <c r="J1262" s="40" t="str">
        <f>IF(OR(C1262="",NOT(ISNUMBER(E1262))),"",IFERROR(E1262*N(INDEX(art_price,MATCH(C1262,art_ref,0))),""))</f>
        <v/>
      </c>
      <c r="K1262" s="39" t="str">
        <f>IF(OR(C1262="",NOT(ISNUMBER(E1262))),"",IFERROR(ROUND(N(INDEX(art_init,MATCH(C1262,art_ref,0)))+SUMIFS($E$5:E1262,$C$5:C1262,C1262,$B$5:B1262,"Entrée")-SUMIFS($E$5:E1262,$C$5:C1262,C1262,$B$5:B1262,"Sortie"),6),""))</f>
        <v/>
      </c>
      <c r="L1262" s="39" t="str">
        <f>IF(COUNTA(A1262:C1262,E1262)=0,"",IF(COUNTA(A1262:C1262,E1262)&lt;4,"Ligne incomplète",IF(NOT(ISNUMBER(A1262)),"Date invalide",IF(AND(B1262&lt;&gt;"Entrée",B1262&lt;&gt;"Sortie"),"Type inconnu",IF(ISNA(MATCH(C1262,art_ref,0)),"Référence inconnue",IF(OR(NOT(ISNUMBER(E1262)),N(E1262)&lt;=0),"Quantité invalide",IF(K1262&lt;0,"Stock négatif",IF(AND(ISNUMBER(A1261),A1262&lt;A1261),"Date hors ordre","OK"))))))))</f>
        <v/>
      </c>
      <c r="M1262" s="39" t="str">
        <f>IF(C1262="","",C1262&amp;"#"&amp;COUNTIF($C$5:C1262,C1262))</f>
        <v/>
      </c>
    </row>
    <row r="1263">
      <c r="A1263" s="41" t="n"/>
      <c r="B1263" s="37" t="n"/>
      <c r="C1263" s="37" t="n"/>
      <c r="D1263" s="39" t="str">
        <f>IF(C1263="","",IFERROR(INDEX(art_des,MATCH(C1263,art_ref,0))&amp;"","Référence inconnue"))</f>
        <v/>
      </c>
      <c r="E1263" s="37" t="n"/>
      <c r="F1263" s="39" t="str">
        <f>IF(C1263="","",IFERROR(INDEX(art_unit,MATCH(C1263,art_ref,0))&amp;"",""))</f>
        <v/>
      </c>
      <c r="G1263" s="37" t="n"/>
      <c r="H1263" s="37" t="n"/>
      <c r="I1263" s="37" t="n"/>
      <c r="J1263" s="40" t="str">
        <f>IF(OR(C1263="",NOT(ISNUMBER(E1263))),"",IFERROR(E1263*N(INDEX(art_price,MATCH(C1263,art_ref,0))),""))</f>
        <v/>
      </c>
      <c r="K1263" s="39" t="str">
        <f>IF(OR(C1263="",NOT(ISNUMBER(E1263))),"",IFERROR(ROUND(N(INDEX(art_init,MATCH(C1263,art_ref,0)))+SUMIFS($E$5:E1263,$C$5:C1263,C1263,$B$5:B1263,"Entrée")-SUMIFS($E$5:E1263,$C$5:C1263,C1263,$B$5:B1263,"Sortie"),6),""))</f>
        <v/>
      </c>
      <c r="L1263" s="39" t="str">
        <f>IF(COUNTA(A1263:C1263,E1263)=0,"",IF(COUNTA(A1263:C1263,E1263)&lt;4,"Ligne incomplète",IF(NOT(ISNUMBER(A1263)),"Date invalide",IF(AND(B1263&lt;&gt;"Entrée",B1263&lt;&gt;"Sortie"),"Type inconnu",IF(ISNA(MATCH(C1263,art_ref,0)),"Référence inconnue",IF(OR(NOT(ISNUMBER(E1263)),N(E1263)&lt;=0),"Quantité invalide",IF(K1263&lt;0,"Stock négatif",IF(AND(ISNUMBER(A1262),A1263&lt;A1262),"Date hors ordre","OK"))))))))</f>
        <v/>
      </c>
      <c r="M1263" s="39" t="str">
        <f>IF(C1263="","",C1263&amp;"#"&amp;COUNTIF($C$5:C1263,C1263))</f>
        <v/>
      </c>
    </row>
    <row r="1264">
      <c r="A1264" s="41" t="n"/>
      <c r="B1264" s="37" t="n"/>
      <c r="C1264" s="37" t="n"/>
      <c r="D1264" s="39" t="str">
        <f>IF(C1264="","",IFERROR(INDEX(art_des,MATCH(C1264,art_ref,0))&amp;"","Référence inconnue"))</f>
        <v/>
      </c>
      <c r="E1264" s="37" t="n"/>
      <c r="F1264" s="39" t="str">
        <f>IF(C1264="","",IFERROR(INDEX(art_unit,MATCH(C1264,art_ref,0))&amp;"",""))</f>
        <v/>
      </c>
      <c r="G1264" s="37" t="n"/>
      <c r="H1264" s="37" t="n"/>
      <c r="I1264" s="37" t="n"/>
      <c r="J1264" s="40" t="str">
        <f>IF(OR(C1264="",NOT(ISNUMBER(E1264))),"",IFERROR(E1264*N(INDEX(art_price,MATCH(C1264,art_ref,0))),""))</f>
        <v/>
      </c>
      <c r="K1264" s="39" t="str">
        <f>IF(OR(C1264="",NOT(ISNUMBER(E1264))),"",IFERROR(ROUND(N(INDEX(art_init,MATCH(C1264,art_ref,0)))+SUMIFS($E$5:E1264,$C$5:C1264,C1264,$B$5:B1264,"Entrée")-SUMIFS($E$5:E1264,$C$5:C1264,C1264,$B$5:B1264,"Sortie"),6),""))</f>
        <v/>
      </c>
      <c r="L1264" s="39" t="str">
        <f>IF(COUNTA(A1264:C1264,E1264)=0,"",IF(COUNTA(A1264:C1264,E1264)&lt;4,"Ligne incomplète",IF(NOT(ISNUMBER(A1264)),"Date invalide",IF(AND(B1264&lt;&gt;"Entrée",B1264&lt;&gt;"Sortie"),"Type inconnu",IF(ISNA(MATCH(C1264,art_ref,0)),"Référence inconnue",IF(OR(NOT(ISNUMBER(E1264)),N(E1264)&lt;=0),"Quantité invalide",IF(K1264&lt;0,"Stock négatif",IF(AND(ISNUMBER(A1263),A1264&lt;A1263),"Date hors ordre","OK"))))))))</f>
        <v/>
      </c>
      <c r="M1264" s="39" t="str">
        <f>IF(C1264="","",C1264&amp;"#"&amp;COUNTIF($C$5:C1264,C1264))</f>
        <v/>
      </c>
    </row>
    <row r="1265">
      <c r="A1265" s="41" t="n"/>
      <c r="B1265" s="37" t="n"/>
      <c r="C1265" s="37" t="n"/>
      <c r="D1265" s="39" t="str">
        <f>IF(C1265="","",IFERROR(INDEX(art_des,MATCH(C1265,art_ref,0))&amp;"","Référence inconnue"))</f>
        <v/>
      </c>
      <c r="E1265" s="37" t="n"/>
      <c r="F1265" s="39" t="str">
        <f>IF(C1265="","",IFERROR(INDEX(art_unit,MATCH(C1265,art_ref,0))&amp;"",""))</f>
        <v/>
      </c>
      <c r="G1265" s="37" t="n"/>
      <c r="H1265" s="37" t="n"/>
      <c r="I1265" s="37" t="n"/>
      <c r="J1265" s="40" t="str">
        <f>IF(OR(C1265="",NOT(ISNUMBER(E1265))),"",IFERROR(E1265*N(INDEX(art_price,MATCH(C1265,art_ref,0))),""))</f>
        <v/>
      </c>
      <c r="K1265" s="39" t="str">
        <f>IF(OR(C1265="",NOT(ISNUMBER(E1265))),"",IFERROR(ROUND(N(INDEX(art_init,MATCH(C1265,art_ref,0)))+SUMIFS($E$5:E1265,$C$5:C1265,C1265,$B$5:B1265,"Entrée")-SUMIFS($E$5:E1265,$C$5:C1265,C1265,$B$5:B1265,"Sortie"),6),""))</f>
        <v/>
      </c>
      <c r="L1265" s="39" t="str">
        <f>IF(COUNTA(A1265:C1265,E1265)=0,"",IF(COUNTA(A1265:C1265,E1265)&lt;4,"Ligne incomplète",IF(NOT(ISNUMBER(A1265)),"Date invalide",IF(AND(B1265&lt;&gt;"Entrée",B1265&lt;&gt;"Sortie"),"Type inconnu",IF(ISNA(MATCH(C1265,art_ref,0)),"Référence inconnue",IF(OR(NOT(ISNUMBER(E1265)),N(E1265)&lt;=0),"Quantité invalide",IF(K1265&lt;0,"Stock négatif",IF(AND(ISNUMBER(A1264),A1265&lt;A1264),"Date hors ordre","OK"))))))))</f>
        <v/>
      </c>
      <c r="M1265" s="39" t="str">
        <f>IF(C1265="","",C1265&amp;"#"&amp;COUNTIF($C$5:C1265,C1265))</f>
        <v/>
      </c>
    </row>
    <row r="1266">
      <c r="A1266" s="41" t="n"/>
      <c r="B1266" s="37" t="n"/>
      <c r="C1266" s="37" t="n"/>
      <c r="D1266" s="39" t="str">
        <f>IF(C1266="","",IFERROR(INDEX(art_des,MATCH(C1266,art_ref,0))&amp;"","Référence inconnue"))</f>
        <v/>
      </c>
      <c r="E1266" s="37" t="n"/>
      <c r="F1266" s="39" t="str">
        <f>IF(C1266="","",IFERROR(INDEX(art_unit,MATCH(C1266,art_ref,0))&amp;"",""))</f>
        <v/>
      </c>
      <c r="G1266" s="37" t="n"/>
      <c r="H1266" s="37" t="n"/>
      <c r="I1266" s="37" t="n"/>
      <c r="J1266" s="40" t="str">
        <f>IF(OR(C1266="",NOT(ISNUMBER(E1266))),"",IFERROR(E1266*N(INDEX(art_price,MATCH(C1266,art_ref,0))),""))</f>
        <v/>
      </c>
      <c r="K1266" s="39" t="str">
        <f>IF(OR(C1266="",NOT(ISNUMBER(E1266))),"",IFERROR(ROUND(N(INDEX(art_init,MATCH(C1266,art_ref,0)))+SUMIFS($E$5:E1266,$C$5:C1266,C1266,$B$5:B1266,"Entrée")-SUMIFS($E$5:E1266,$C$5:C1266,C1266,$B$5:B1266,"Sortie"),6),""))</f>
        <v/>
      </c>
      <c r="L1266" s="39" t="str">
        <f>IF(COUNTA(A1266:C1266,E1266)=0,"",IF(COUNTA(A1266:C1266,E1266)&lt;4,"Ligne incomplète",IF(NOT(ISNUMBER(A1266)),"Date invalide",IF(AND(B1266&lt;&gt;"Entrée",B1266&lt;&gt;"Sortie"),"Type inconnu",IF(ISNA(MATCH(C1266,art_ref,0)),"Référence inconnue",IF(OR(NOT(ISNUMBER(E1266)),N(E1266)&lt;=0),"Quantité invalide",IF(K1266&lt;0,"Stock négatif",IF(AND(ISNUMBER(A1265),A1266&lt;A1265),"Date hors ordre","OK"))))))))</f>
        <v/>
      </c>
      <c r="M1266" s="39" t="str">
        <f>IF(C1266="","",C1266&amp;"#"&amp;COUNTIF($C$5:C1266,C1266))</f>
        <v/>
      </c>
    </row>
    <row r="1267">
      <c r="A1267" s="41" t="n"/>
      <c r="B1267" s="37" t="n"/>
      <c r="C1267" s="37" t="n"/>
      <c r="D1267" s="39" t="str">
        <f>IF(C1267="","",IFERROR(INDEX(art_des,MATCH(C1267,art_ref,0))&amp;"","Référence inconnue"))</f>
        <v/>
      </c>
      <c r="E1267" s="37" t="n"/>
      <c r="F1267" s="39" t="str">
        <f>IF(C1267="","",IFERROR(INDEX(art_unit,MATCH(C1267,art_ref,0))&amp;"",""))</f>
        <v/>
      </c>
      <c r="G1267" s="37" t="n"/>
      <c r="H1267" s="37" t="n"/>
      <c r="I1267" s="37" t="n"/>
      <c r="J1267" s="40" t="str">
        <f>IF(OR(C1267="",NOT(ISNUMBER(E1267))),"",IFERROR(E1267*N(INDEX(art_price,MATCH(C1267,art_ref,0))),""))</f>
        <v/>
      </c>
      <c r="K1267" s="39" t="str">
        <f>IF(OR(C1267="",NOT(ISNUMBER(E1267))),"",IFERROR(ROUND(N(INDEX(art_init,MATCH(C1267,art_ref,0)))+SUMIFS($E$5:E1267,$C$5:C1267,C1267,$B$5:B1267,"Entrée")-SUMIFS($E$5:E1267,$C$5:C1267,C1267,$B$5:B1267,"Sortie"),6),""))</f>
        <v/>
      </c>
      <c r="L1267" s="39" t="str">
        <f>IF(COUNTA(A1267:C1267,E1267)=0,"",IF(COUNTA(A1267:C1267,E1267)&lt;4,"Ligne incomplète",IF(NOT(ISNUMBER(A1267)),"Date invalide",IF(AND(B1267&lt;&gt;"Entrée",B1267&lt;&gt;"Sortie"),"Type inconnu",IF(ISNA(MATCH(C1267,art_ref,0)),"Référence inconnue",IF(OR(NOT(ISNUMBER(E1267)),N(E1267)&lt;=0),"Quantité invalide",IF(K1267&lt;0,"Stock négatif",IF(AND(ISNUMBER(A1266),A1267&lt;A1266),"Date hors ordre","OK"))))))))</f>
        <v/>
      </c>
      <c r="M1267" s="39" t="str">
        <f>IF(C1267="","",C1267&amp;"#"&amp;COUNTIF($C$5:C1267,C1267))</f>
        <v/>
      </c>
    </row>
    <row r="1268">
      <c r="A1268" s="41" t="n"/>
      <c r="B1268" s="37" t="n"/>
      <c r="C1268" s="37" t="n"/>
      <c r="D1268" s="39" t="str">
        <f>IF(C1268="","",IFERROR(INDEX(art_des,MATCH(C1268,art_ref,0))&amp;"","Référence inconnue"))</f>
        <v/>
      </c>
      <c r="E1268" s="37" t="n"/>
      <c r="F1268" s="39" t="str">
        <f>IF(C1268="","",IFERROR(INDEX(art_unit,MATCH(C1268,art_ref,0))&amp;"",""))</f>
        <v/>
      </c>
      <c r="G1268" s="37" t="n"/>
      <c r="H1268" s="37" t="n"/>
      <c r="I1268" s="37" t="n"/>
      <c r="J1268" s="40" t="str">
        <f>IF(OR(C1268="",NOT(ISNUMBER(E1268))),"",IFERROR(E1268*N(INDEX(art_price,MATCH(C1268,art_ref,0))),""))</f>
        <v/>
      </c>
      <c r="K1268" s="39" t="str">
        <f>IF(OR(C1268="",NOT(ISNUMBER(E1268))),"",IFERROR(ROUND(N(INDEX(art_init,MATCH(C1268,art_ref,0)))+SUMIFS($E$5:E1268,$C$5:C1268,C1268,$B$5:B1268,"Entrée")-SUMIFS($E$5:E1268,$C$5:C1268,C1268,$B$5:B1268,"Sortie"),6),""))</f>
        <v/>
      </c>
      <c r="L1268" s="39" t="str">
        <f>IF(COUNTA(A1268:C1268,E1268)=0,"",IF(COUNTA(A1268:C1268,E1268)&lt;4,"Ligne incomplète",IF(NOT(ISNUMBER(A1268)),"Date invalide",IF(AND(B1268&lt;&gt;"Entrée",B1268&lt;&gt;"Sortie"),"Type inconnu",IF(ISNA(MATCH(C1268,art_ref,0)),"Référence inconnue",IF(OR(NOT(ISNUMBER(E1268)),N(E1268)&lt;=0),"Quantité invalide",IF(K1268&lt;0,"Stock négatif",IF(AND(ISNUMBER(A1267),A1268&lt;A1267),"Date hors ordre","OK"))))))))</f>
        <v/>
      </c>
      <c r="M1268" s="39" t="str">
        <f>IF(C1268="","",C1268&amp;"#"&amp;COUNTIF($C$5:C1268,C1268))</f>
        <v/>
      </c>
    </row>
    <row r="1269">
      <c r="A1269" s="41" t="n"/>
      <c r="B1269" s="37" t="n"/>
      <c r="C1269" s="37" t="n"/>
      <c r="D1269" s="39" t="str">
        <f>IF(C1269="","",IFERROR(INDEX(art_des,MATCH(C1269,art_ref,0))&amp;"","Référence inconnue"))</f>
        <v/>
      </c>
      <c r="E1269" s="37" t="n"/>
      <c r="F1269" s="39" t="str">
        <f>IF(C1269="","",IFERROR(INDEX(art_unit,MATCH(C1269,art_ref,0))&amp;"",""))</f>
        <v/>
      </c>
      <c r="G1269" s="37" t="n"/>
      <c r="H1269" s="37" t="n"/>
      <c r="I1269" s="37" t="n"/>
      <c r="J1269" s="40" t="str">
        <f>IF(OR(C1269="",NOT(ISNUMBER(E1269))),"",IFERROR(E1269*N(INDEX(art_price,MATCH(C1269,art_ref,0))),""))</f>
        <v/>
      </c>
      <c r="K1269" s="39" t="str">
        <f>IF(OR(C1269="",NOT(ISNUMBER(E1269))),"",IFERROR(ROUND(N(INDEX(art_init,MATCH(C1269,art_ref,0)))+SUMIFS($E$5:E1269,$C$5:C1269,C1269,$B$5:B1269,"Entrée")-SUMIFS($E$5:E1269,$C$5:C1269,C1269,$B$5:B1269,"Sortie"),6),""))</f>
        <v/>
      </c>
      <c r="L1269" s="39" t="str">
        <f>IF(COUNTA(A1269:C1269,E1269)=0,"",IF(COUNTA(A1269:C1269,E1269)&lt;4,"Ligne incomplète",IF(NOT(ISNUMBER(A1269)),"Date invalide",IF(AND(B1269&lt;&gt;"Entrée",B1269&lt;&gt;"Sortie"),"Type inconnu",IF(ISNA(MATCH(C1269,art_ref,0)),"Référence inconnue",IF(OR(NOT(ISNUMBER(E1269)),N(E1269)&lt;=0),"Quantité invalide",IF(K1269&lt;0,"Stock négatif",IF(AND(ISNUMBER(A1268),A1269&lt;A1268),"Date hors ordre","OK"))))))))</f>
        <v/>
      </c>
      <c r="M1269" s="39" t="str">
        <f>IF(C1269="","",C1269&amp;"#"&amp;COUNTIF($C$5:C1269,C1269))</f>
        <v/>
      </c>
    </row>
    <row r="1270">
      <c r="A1270" s="41" t="n"/>
      <c r="B1270" s="37" t="n"/>
      <c r="C1270" s="37" t="n"/>
      <c r="D1270" s="39" t="str">
        <f>IF(C1270="","",IFERROR(INDEX(art_des,MATCH(C1270,art_ref,0))&amp;"","Référence inconnue"))</f>
        <v/>
      </c>
      <c r="E1270" s="37" t="n"/>
      <c r="F1270" s="39" t="str">
        <f>IF(C1270="","",IFERROR(INDEX(art_unit,MATCH(C1270,art_ref,0))&amp;"",""))</f>
        <v/>
      </c>
      <c r="G1270" s="37" t="n"/>
      <c r="H1270" s="37" t="n"/>
      <c r="I1270" s="37" t="n"/>
      <c r="J1270" s="40" t="str">
        <f>IF(OR(C1270="",NOT(ISNUMBER(E1270))),"",IFERROR(E1270*N(INDEX(art_price,MATCH(C1270,art_ref,0))),""))</f>
        <v/>
      </c>
      <c r="K1270" s="39" t="str">
        <f>IF(OR(C1270="",NOT(ISNUMBER(E1270))),"",IFERROR(ROUND(N(INDEX(art_init,MATCH(C1270,art_ref,0)))+SUMIFS($E$5:E1270,$C$5:C1270,C1270,$B$5:B1270,"Entrée")-SUMIFS($E$5:E1270,$C$5:C1270,C1270,$B$5:B1270,"Sortie"),6),""))</f>
        <v/>
      </c>
      <c r="L1270" s="39" t="str">
        <f>IF(COUNTA(A1270:C1270,E1270)=0,"",IF(COUNTA(A1270:C1270,E1270)&lt;4,"Ligne incomplète",IF(NOT(ISNUMBER(A1270)),"Date invalide",IF(AND(B1270&lt;&gt;"Entrée",B1270&lt;&gt;"Sortie"),"Type inconnu",IF(ISNA(MATCH(C1270,art_ref,0)),"Référence inconnue",IF(OR(NOT(ISNUMBER(E1270)),N(E1270)&lt;=0),"Quantité invalide",IF(K1270&lt;0,"Stock négatif",IF(AND(ISNUMBER(A1269),A1270&lt;A1269),"Date hors ordre","OK"))))))))</f>
        <v/>
      </c>
      <c r="M1270" s="39" t="str">
        <f>IF(C1270="","",C1270&amp;"#"&amp;COUNTIF($C$5:C1270,C1270))</f>
        <v/>
      </c>
    </row>
    <row r="1271">
      <c r="A1271" s="41" t="n"/>
      <c r="B1271" s="37" t="n"/>
      <c r="C1271" s="37" t="n"/>
      <c r="D1271" s="39" t="str">
        <f>IF(C1271="","",IFERROR(INDEX(art_des,MATCH(C1271,art_ref,0))&amp;"","Référence inconnue"))</f>
        <v/>
      </c>
      <c r="E1271" s="37" t="n"/>
      <c r="F1271" s="39" t="str">
        <f>IF(C1271="","",IFERROR(INDEX(art_unit,MATCH(C1271,art_ref,0))&amp;"",""))</f>
        <v/>
      </c>
      <c r="G1271" s="37" t="n"/>
      <c r="H1271" s="37" t="n"/>
      <c r="I1271" s="37" t="n"/>
      <c r="J1271" s="40" t="str">
        <f>IF(OR(C1271="",NOT(ISNUMBER(E1271))),"",IFERROR(E1271*N(INDEX(art_price,MATCH(C1271,art_ref,0))),""))</f>
        <v/>
      </c>
      <c r="K1271" s="39" t="str">
        <f>IF(OR(C1271="",NOT(ISNUMBER(E1271))),"",IFERROR(ROUND(N(INDEX(art_init,MATCH(C1271,art_ref,0)))+SUMIFS($E$5:E1271,$C$5:C1271,C1271,$B$5:B1271,"Entrée")-SUMIFS($E$5:E1271,$C$5:C1271,C1271,$B$5:B1271,"Sortie"),6),""))</f>
        <v/>
      </c>
      <c r="L1271" s="39" t="str">
        <f>IF(COUNTA(A1271:C1271,E1271)=0,"",IF(COUNTA(A1271:C1271,E1271)&lt;4,"Ligne incomplète",IF(NOT(ISNUMBER(A1271)),"Date invalide",IF(AND(B1271&lt;&gt;"Entrée",B1271&lt;&gt;"Sortie"),"Type inconnu",IF(ISNA(MATCH(C1271,art_ref,0)),"Référence inconnue",IF(OR(NOT(ISNUMBER(E1271)),N(E1271)&lt;=0),"Quantité invalide",IF(K1271&lt;0,"Stock négatif",IF(AND(ISNUMBER(A1270),A1271&lt;A1270),"Date hors ordre","OK"))))))))</f>
        <v/>
      </c>
      <c r="M1271" s="39" t="str">
        <f>IF(C1271="","",C1271&amp;"#"&amp;COUNTIF($C$5:C1271,C1271))</f>
        <v/>
      </c>
    </row>
    <row r="1272">
      <c r="A1272" s="41" t="n"/>
      <c r="B1272" s="37" t="n"/>
      <c r="C1272" s="37" t="n"/>
      <c r="D1272" s="39" t="str">
        <f>IF(C1272="","",IFERROR(INDEX(art_des,MATCH(C1272,art_ref,0))&amp;"","Référence inconnue"))</f>
        <v/>
      </c>
      <c r="E1272" s="37" t="n"/>
      <c r="F1272" s="39" t="str">
        <f>IF(C1272="","",IFERROR(INDEX(art_unit,MATCH(C1272,art_ref,0))&amp;"",""))</f>
        <v/>
      </c>
      <c r="G1272" s="37" t="n"/>
      <c r="H1272" s="37" t="n"/>
      <c r="I1272" s="37" t="n"/>
      <c r="J1272" s="40" t="str">
        <f>IF(OR(C1272="",NOT(ISNUMBER(E1272))),"",IFERROR(E1272*N(INDEX(art_price,MATCH(C1272,art_ref,0))),""))</f>
        <v/>
      </c>
      <c r="K1272" s="39" t="str">
        <f>IF(OR(C1272="",NOT(ISNUMBER(E1272))),"",IFERROR(ROUND(N(INDEX(art_init,MATCH(C1272,art_ref,0)))+SUMIFS($E$5:E1272,$C$5:C1272,C1272,$B$5:B1272,"Entrée")-SUMIFS($E$5:E1272,$C$5:C1272,C1272,$B$5:B1272,"Sortie"),6),""))</f>
        <v/>
      </c>
      <c r="L1272" s="39" t="str">
        <f>IF(COUNTA(A1272:C1272,E1272)=0,"",IF(COUNTA(A1272:C1272,E1272)&lt;4,"Ligne incomplète",IF(NOT(ISNUMBER(A1272)),"Date invalide",IF(AND(B1272&lt;&gt;"Entrée",B1272&lt;&gt;"Sortie"),"Type inconnu",IF(ISNA(MATCH(C1272,art_ref,0)),"Référence inconnue",IF(OR(NOT(ISNUMBER(E1272)),N(E1272)&lt;=0),"Quantité invalide",IF(K1272&lt;0,"Stock négatif",IF(AND(ISNUMBER(A1271),A1272&lt;A1271),"Date hors ordre","OK"))))))))</f>
        <v/>
      </c>
      <c r="M1272" s="39" t="str">
        <f>IF(C1272="","",C1272&amp;"#"&amp;COUNTIF($C$5:C1272,C1272))</f>
        <v/>
      </c>
    </row>
    <row r="1273">
      <c r="A1273" s="41" t="n"/>
      <c r="B1273" s="37" t="n"/>
      <c r="C1273" s="37" t="n"/>
      <c r="D1273" s="39" t="str">
        <f>IF(C1273="","",IFERROR(INDEX(art_des,MATCH(C1273,art_ref,0))&amp;"","Référence inconnue"))</f>
        <v/>
      </c>
      <c r="E1273" s="37" t="n"/>
      <c r="F1273" s="39" t="str">
        <f>IF(C1273="","",IFERROR(INDEX(art_unit,MATCH(C1273,art_ref,0))&amp;"",""))</f>
        <v/>
      </c>
      <c r="G1273" s="37" t="n"/>
      <c r="H1273" s="37" t="n"/>
      <c r="I1273" s="37" t="n"/>
      <c r="J1273" s="40" t="str">
        <f>IF(OR(C1273="",NOT(ISNUMBER(E1273))),"",IFERROR(E1273*N(INDEX(art_price,MATCH(C1273,art_ref,0))),""))</f>
        <v/>
      </c>
      <c r="K1273" s="39" t="str">
        <f>IF(OR(C1273="",NOT(ISNUMBER(E1273))),"",IFERROR(ROUND(N(INDEX(art_init,MATCH(C1273,art_ref,0)))+SUMIFS($E$5:E1273,$C$5:C1273,C1273,$B$5:B1273,"Entrée")-SUMIFS($E$5:E1273,$C$5:C1273,C1273,$B$5:B1273,"Sortie"),6),""))</f>
        <v/>
      </c>
      <c r="L1273" s="39" t="str">
        <f>IF(COUNTA(A1273:C1273,E1273)=0,"",IF(COUNTA(A1273:C1273,E1273)&lt;4,"Ligne incomplète",IF(NOT(ISNUMBER(A1273)),"Date invalide",IF(AND(B1273&lt;&gt;"Entrée",B1273&lt;&gt;"Sortie"),"Type inconnu",IF(ISNA(MATCH(C1273,art_ref,0)),"Référence inconnue",IF(OR(NOT(ISNUMBER(E1273)),N(E1273)&lt;=0),"Quantité invalide",IF(K1273&lt;0,"Stock négatif",IF(AND(ISNUMBER(A1272),A1273&lt;A1272),"Date hors ordre","OK"))))))))</f>
        <v/>
      </c>
      <c r="M1273" s="39" t="str">
        <f>IF(C1273="","",C1273&amp;"#"&amp;COUNTIF($C$5:C1273,C1273))</f>
        <v/>
      </c>
    </row>
    <row r="1274">
      <c r="A1274" s="41" t="n"/>
      <c r="B1274" s="37" t="n"/>
      <c r="C1274" s="37" t="n"/>
      <c r="D1274" s="39" t="str">
        <f>IF(C1274="","",IFERROR(INDEX(art_des,MATCH(C1274,art_ref,0))&amp;"","Référence inconnue"))</f>
        <v/>
      </c>
      <c r="E1274" s="37" t="n"/>
      <c r="F1274" s="39" t="str">
        <f>IF(C1274="","",IFERROR(INDEX(art_unit,MATCH(C1274,art_ref,0))&amp;"",""))</f>
        <v/>
      </c>
      <c r="G1274" s="37" t="n"/>
      <c r="H1274" s="37" t="n"/>
      <c r="I1274" s="37" t="n"/>
      <c r="J1274" s="40" t="str">
        <f>IF(OR(C1274="",NOT(ISNUMBER(E1274))),"",IFERROR(E1274*N(INDEX(art_price,MATCH(C1274,art_ref,0))),""))</f>
        <v/>
      </c>
      <c r="K1274" s="39" t="str">
        <f>IF(OR(C1274="",NOT(ISNUMBER(E1274))),"",IFERROR(ROUND(N(INDEX(art_init,MATCH(C1274,art_ref,0)))+SUMIFS($E$5:E1274,$C$5:C1274,C1274,$B$5:B1274,"Entrée")-SUMIFS($E$5:E1274,$C$5:C1274,C1274,$B$5:B1274,"Sortie"),6),""))</f>
        <v/>
      </c>
      <c r="L1274" s="39" t="str">
        <f>IF(COUNTA(A1274:C1274,E1274)=0,"",IF(COUNTA(A1274:C1274,E1274)&lt;4,"Ligne incomplète",IF(NOT(ISNUMBER(A1274)),"Date invalide",IF(AND(B1274&lt;&gt;"Entrée",B1274&lt;&gt;"Sortie"),"Type inconnu",IF(ISNA(MATCH(C1274,art_ref,0)),"Référence inconnue",IF(OR(NOT(ISNUMBER(E1274)),N(E1274)&lt;=0),"Quantité invalide",IF(K1274&lt;0,"Stock négatif",IF(AND(ISNUMBER(A1273),A1274&lt;A1273),"Date hors ordre","OK"))))))))</f>
        <v/>
      </c>
      <c r="M1274" s="39" t="str">
        <f>IF(C1274="","",C1274&amp;"#"&amp;COUNTIF($C$5:C1274,C1274))</f>
        <v/>
      </c>
    </row>
    <row r="1275">
      <c r="A1275" s="41" t="n"/>
      <c r="B1275" s="37" t="n"/>
      <c r="C1275" s="37" t="n"/>
      <c r="D1275" s="39" t="str">
        <f>IF(C1275="","",IFERROR(INDEX(art_des,MATCH(C1275,art_ref,0))&amp;"","Référence inconnue"))</f>
        <v/>
      </c>
      <c r="E1275" s="37" t="n"/>
      <c r="F1275" s="39" t="str">
        <f>IF(C1275="","",IFERROR(INDEX(art_unit,MATCH(C1275,art_ref,0))&amp;"",""))</f>
        <v/>
      </c>
      <c r="G1275" s="37" t="n"/>
      <c r="H1275" s="37" t="n"/>
      <c r="I1275" s="37" t="n"/>
      <c r="J1275" s="40" t="str">
        <f>IF(OR(C1275="",NOT(ISNUMBER(E1275))),"",IFERROR(E1275*N(INDEX(art_price,MATCH(C1275,art_ref,0))),""))</f>
        <v/>
      </c>
      <c r="K1275" s="39" t="str">
        <f>IF(OR(C1275="",NOT(ISNUMBER(E1275))),"",IFERROR(ROUND(N(INDEX(art_init,MATCH(C1275,art_ref,0)))+SUMIFS($E$5:E1275,$C$5:C1275,C1275,$B$5:B1275,"Entrée")-SUMIFS($E$5:E1275,$C$5:C1275,C1275,$B$5:B1275,"Sortie"),6),""))</f>
        <v/>
      </c>
      <c r="L1275" s="39" t="str">
        <f>IF(COUNTA(A1275:C1275,E1275)=0,"",IF(COUNTA(A1275:C1275,E1275)&lt;4,"Ligne incomplète",IF(NOT(ISNUMBER(A1275)),"Date invalide",IF(AND(B1275&lt;&gt;"Entrée",B1275&lt;&gt;"Sortie"),"Type inconnu",IF(ISNA(MATCH(C1275,art_ref,0)),"Référence inconnue",IF(OR(NOT(ISNUMBER(E1275)),N(E1275)&lt;=0),"Quantité invalide",IF(K1275&lt;0,"Stock négatif",IF(AND(ISNUMBER(A1274),A1275&lt;A1274),"Date hors ordre","OK"))))))))</f>
        <v/>
      </c>
      <c r="M1275" s="39" t="str">
        <f>IF(C1275="","",C1275&amp;"#"&amp;COUNTIF($C$5:C1275,C1275))</f>
        <v/>
      </c>
    </row>
    <row r="1276">
      <c r="A1276" s="41" t="n"/>
      <c r="B1276" s="37" t="n"/>
      <c r="C1276" s="37" t="n"/>
      <c r="D1276" s="39" t="str">
        <f>IF(C1276="","",IFERROR(INDEX(art_des,MATCH(C1276,art_ref,0))&amp;"","Référence inconnue"))</f>
        <v/>
      </c>
      <c r="E1276" s="37" t="n"/>
      <c r="F1276" s="39" t="str">
        <f>IF(C1276="","",IFERROR(INDEX(art_unit,MATCH(C1276,art_ref,0))&amp;"",""))</f>
        <v/>
      </c>
      <c r="G1276" s="37" t="n"/>
      <c r="H1276" s="37" t="n"/>
      <c r="I1276" s="37" t="n"/>
      <c r="J1276" s="40" t="str">
        <f>IF(OR(C1276="",NOT(ISNUMBER(E1276))),"",IFERROR(E1276*N(INDEX(art_price,MATCH(C1276,art_ref,0))),""))</f>
        <v/>
      </c>
      <c r="K1276" s="39" t="str">
        <f>IF(OR(C1276="",NOT(ISNUMBER(E1276))),"",IFERROR(ROUND(N(INDEX(art_init,MATCH(C1276,art_ref,0)))+SUMIFS($E$5:E1276,$C$5:C1276,C1276,$B$5:B1276,"Entrée")-SUMIFS($E$5:E1276,$C$5:C1276,C1276,$B$5:B1276,"Sortie"),6),""))</f>
        <v/>
      </c>
      <c r="L1276" s="39" t="str">
        <f>IF(COUNTA(A1276:C1276,E1276)=0,"",IF(COUNTA(A1276:C1276,E1276)&lt;4,"Ligne incomplète",IF(NOT(ISNUMBER(A1276)),"Date invalide",IF(AND(B1276&lt;&gt;"Entrée",B1276&lt;&gt;"Sortie"),"Type inconnu",IF(ISNA(MATCH(C1276,art_ref,0)),"Référence inconnue",IF(OR(NOT(ISNUMBER(E1276)),N(E1276)&lt;=0),"Quantité invalide",IF(K1276&lt;0,"Stock négatif",IF(AND(ISNUMBER(A1275),A1276&lt;A1275),"Date hors ordre","OK"))))))))</f>
        <v/>
      </c>
      <c r="M1276" s="39" t="str">
        <f>IF(C1276="","",C1276&amp;"#"&amp;COUNTIF($C$5:C1276,C1276))</f>
        <v/>
      </c>
    </row>
    <row r="1277">
      <c r="A1277" s="41" t="n"/>
      <c r="B1277" s="37" t="n"/>
      <c r="C1277" s="37" t="n"/>
      <c r="D1277" s="39" t="str">
        <f>IF(C1277="","",IFERROR(INDEX(art_des,MATCH(C1277,art_ref,0))&amp;"","Référence inconnue"))</f>
        <v/>
      </c>
      <c r="E1277" s="37" t="n"/>
      <c r="F1277" s="39" t="str">
        <f>IF(C1277="","",IFERROR(INDEX(art_unit,MATCH(C1277,art_ref,0))&amp;"",""))</f>
        <v/>
      </c>
      <c r="G1277" s="37" t="n"/>
      <c r="H1277" s="37" t="n"/>
      <c r="I1277" s="37" t="n"/>
      <c r="J1277" s="40" t="str">
        <f>IF(OR(C1277="",NOT(ISNUMBER(E1277))),"",IFERROR(E1277*N(INDEX(art_price,MATCH(C1277,art_ref,0))),""))</f>
        <v/>
      </c>
      <c r="K1277" s="39" t="str">
        <f>IF(OR(C1277="",NOT(ISNUMBER(E1277))),"",IFERROR(ROUND(N(INDEX(art_init,MATCH(C1277,art_ref,0)))+SUMIFS($E$5:E1277,$C$5:C1277,C1277,$B$5:B1277,"Entrée")-SUMIFS($E$5:E1277,$C$5:C1277,C1277,$B$5:B1277,"Sortie"),6),""))</f>
        <v/>
      </c>
      <c r="L1277" s="39" t="str">
        <f>IF(COUNTA(A1277:C1277,E1277)=0,"",IF(COUNTA(A1277:C1277,E1277)&lt;4,"Ligne incomplète",IF(NOT(ISNUMBER(A1277)),"Date invalide",IF(AND(B1277&lt;&gt;"Entrée",B1277&lt;&gt;"Sortie"),"Type inconnu",IF(ISNA(MATCH(C1277,art_ref,0)),"Référence inconnue",IF(OR(NOT(ISNUMBER(E1277)),N(E1277)&lt;=0),"Quantité invalide",IF(K1277&lt;0,"Stock négatif",IF(AND(ISNUMBER(A1276),A1277&lt;A1276),"Date hors ordre","OK"))))))))</f>
        <v/>
      </c>
      <c r="M1277" s="39" t="str">
        <f>IF(C1277="","",C1277&amp;"#"&amp;COUNTIF($C$5:C1277,C1277))</f>
        <v/>
      </c>
    </row>
    <row r="1278">
      <c r="A1278" s="41" t="n"/>
      <c r="B1278" s="37" t="n"/>
      <c r="C1278" s="37" t="n"/>
      <c r="D1278" s="39" t="str">
        <f>IF(C1278="","",IFERROR(INDEX(art_des,MATCH(C1278,art_ref,0))&amp;"","Référence inconnue"))</f>
        <v/>
      </c>
      <c r="E1278" s="37" t="n"/>
      <c r="F1278" s="39" t="str">
        <f>IF(C1278="","",IFERROR(INDEX(art_unit,MATCH(C1278,art_ref,0))&amp;"",""))</f>
        <v/>
      </c>
      <c r="G1278" s="37" t="n"/>
      <c r="H1278" s="37" t="n"/>
      <c r="I1278" s="37" t="n"/>
      <c r="J1278" s="40" t="str">
        <f>IF(OR(C1278="",NOT(ISNUMBER(E1278))),"",IFERROR(E1278*N(INDEX(art_price,MATCH(C1278,art_ref,0))),""))</f>
        <v/>
      </c>
      <c r="K1278" s="39" t="str">
        <f>IF(OR(C1278="",NOT(ISNUMBER(E1278))),"",IFERROR(ROUND(N(INDEX(art_init,MATCH(C1278,art_ref,0)))+SUMIFS($E$5:E1278,$C$5:C1278,C1278,$B$5:B1278,"Entrée")-SUMIFS($E$5:E1278,$C$5:C1278,C1278,$B$5:B1278,"Sortie"),6),""))</f>
        <v/>
      </c>
      <c r="L1278" s="39" t="str">
        <f>IF(COUNTA(A1278:C1278,E1278)=0,"",IF(COUNTA(A1278:C1278,E1278)&lt;4,"Ligne incomplète",IF(NOT(ISNUMBER(A1278)),"Date invalide",IF(AND(B1278&lt;&gt;"Entrée",B1278&lt;&gt;"Sortie"),"Type inconnu",IF(ISNA(MATCH(C1278,art_ref,0)),"Référence inconnue",IF(OR(NOT(ISNUMBER(E1278)),N(E1278)&lt;=0),"Quantité invalide",IF(K1278&lt;0,"Stock négatif",IF(AND(ISNUMBER(A1277),A1278&lt;A1277),"Date hors ordre","OK"))))))))</f>
        <v/>
      </c>
      <c r="M1278" s="39" t="str">
        <f>IF(C1278="","",C1278&amp;"#"&amp;COUNTIF($C$5:C1278,C1278))</f>
        <v/>
      </c>
    </row>
    <row r="1279">
      <c r="A1279" s="41" t="n"/>
      <c r="B1279" s="37" t="n"/>
      <c r="C1279" s="37" t="n"/>
      <c r="D1279" s="39" t="str">
        <f>IF(C1279="","",IFERROR(INDEX(art_des,MATCH(C1279,art_ref,0))&amp;"","Référence inconnue"))</f>
        <v/>
      </c>
      <c r="E1279" s="37" t="n"/>
      <c r="F1279" s="39" t="str">
        <f>IF(C1279="","",IFERROR(INDEX(art_unit,MATCH(C1279,art_ref,0))&amp;"",""))</f>
        <v/>
      </c>
      <c r="G1279" s="37" t="n"/>
      <c r="H1279" s="37" t="n"/>
      <c r="I1279" s="37" t="n"/>
      <c r="J1279" s="40" t="str">
        <f>IF(OR(C1279="",NOT(ISNUMBER(E1279))),"",IFERROR(E1279*N(INDEX(art_price,MATCH(C1279,art_ref,0))),""))</f>
        <v/>
      </c>
      <c r="K1279" s="39" t="str">
        <f>IF(OR(C1279="",NOT(ISNUMBER(E1279))),"",IFERROR(ROUND(N(INDEX(art_init,MATCH(C1279,art_ref,0)))+SUMIFS($E$5:E1279,$C$5:C1279,C1279,$B$5:B1279,"Entrée")-SUMIFS($E$5:E1279,$C$5:C1279,C1279,$B$5:B1279,"Sortie"),6),""))</f>
        <v/>
      </c>
      <c r="L1279" s="39" t="str">
        <f>IF(COUNTA(A1279:C1279,E1279)=0,"",IF(COUNTA(A1279:C1279,E1279)&lt;4,"Ligne incomplète",IF(NOT(ISNUMBER(A1279)),"Date invalide",IF(AND(B1279&lt;&gt;"Entrée",B1279&lt;&gt;"Sortie"),"Type inconnu",IF(ISNA(MATCH(C1279,art_ref,0)),"Référence inconnue",IF(OR(NOT(ISNUMBER(E1279)),N(E1279)&lt;=0),"Quantité invalide",IF(K1279&lt;0,"Stock négatif",IF(AND(ISNUMBER(A1278),A1279&lt;A1278),"Date hors ordre","OK"))))))))</f>
        <v/>
      </c>
      <c r="M1279" s="39" t="str">
        <f>IF(C1279="","",C1279&amp;"#"&amp;COUNTIF($C$5:C1279,C1279))</f>
        <v/>
      </c>
    </row>
    <row r="1280">
      <c r="A1280" s="41" t="n"/>
      <c r="B1280" s="37" t="n"/>
      <c r="C1280" s="37" t="n"/>
      <c r="D1280" s="39" t="str">
        <f>IF(C1280="","",IFERROR(INDEX(art_des,MATCH(C1280,art_ref,0))&amp;"","Référence inconnue"))</f>
        <v/>
      </c>
      <c r="E1280" s="37" t="n"/>
      <c r="F1280" s="39" t="str">
        <f>IF(C1280="","",IFERROR(INDEX(art_unit,MATCH(C1280,art_ref,0))&amp;"",""))</f>
        <v/>
      </c>
      <c r="G1280" s="37" t="n"/>
      <c r="H1280" s="37" t="n"/>
      <c r="I1280" s="37" t="n"/>
      <c r="J1280" s="40" t="str">
        <f>IF(OR(C1280="",NOT(ISNUMBER(E1280))),"",IFERROR(E1280*N(INDEX(art_price,MATCH(C1280,art_ref,0))),""))</f>
        <v/>
      </c>
      <c r="K1280" s="39" t="str">
        <f>IF(OR(C1280="",NOT(ISNUMBER(E1280))),"",IFERROR(ROUND(N(INDEX(art_init,MATCH(C1280,art_ref,0)))+SUMIFS($E$5:E1280,$C$5:C1280,C1280,$B$5:B1280,"Entrée")-SUMIFS($E$5:E1280,$C$5:C1280,C1280,$B$5:B1280,"Sortie"),6),""))</f>
        <v/>
      </c>
      <c r="L1280" s="39" t="str">
        <f>IF(COUNTA(A1280:C1280,E1280)=0,"",IF(COUNTA(A1280:C1280,E1280)&lt;4,"Ligne incomplète",IF(NOT(ISNUMBER(A1280)),"Date invalide",IF(AND(B1280&lt;&gt;"Entrée",B1280&lt;&gt;"Sortie"),"Type inconnu",IF(ISNA(MATCH(C1280,art_ref,0)),"Référence inconnue",IF(OR(NOT(ISNUMBER(E1280)),N(E1280)&lt;=0),"Quantité invalide",IF(K1280&lt;0,"Stock négatif",IF(AND(ISNUMBER(A1279),A1280&lt;A1279),"Date hors ordre","OK"))))))))</f>
        <v/>
      </c>
      <c r="M1280" s="39" t="str">
        <f>IF(C1280="","",C1280&amp;"#"&amp;COUNTIF($C$5:C1280,C1280))</f>
        <v/>
      </c>
    </row>
    <row r="1281">
      <c r="A1281" s="41" t="n"/>
      <c r="B1281" s="37" t="n"/>
      <c r="C1281" s="37" t="n"/>
      <c r="D1281" s="39" t="str">
        <f>IF(C1281="","",IFERROR(INDEX(art_des,MATCH(C1281,art_ref,0))&amp;"","Référence inconnue"))</f>
        <v/>
      </c>
      <c r="E1281" s="37" t="n"/>
      <c r="F1281" s="39" t="str">
        <f>IF(C1281="","",IFERROR(INDEX(art_unit,MATCH(C1281,art_ref,0))&amp;"",""))</f>
        <v/>
      </c>
      <c r="G1281" s="37" t="n"/>
      <c r="H1281" s="37" t="n"/>
      <c r="I1281" s="37" t="n"/>
      <c r="J1281" s="40" t="str">
        <f>IF(OR(C1281="",NOT(ISNUMBER(E1281))),"",IFERROR(E1281*N(INDEX(art_price,MATCH(C1281,art_ref,0))),""))</f>
        <v/>
      </c>
      <c r="K1281" s="39" t="str">
        <f>IF(OR(C1281="",NOT(ISNUMBER(E1281))),"",IFERROR(ROUND(N(INDEX(art_init,MATCH(C1281,art_ref,0)))+SUMIFS($E$5:E1281,$C$5:C1281,C1281,$B$5:B1281,"Entrée")-SUMIFS($E$5:E1281,$C$5:C1281,C1281,$B$5:B1281,"Sortie"),6),""))</f>
        <v/>
      </c>
      <c r="L1281" s="39" t="str">
        <f>IF(COUNTA(A1281:C1281,E1281)=0,"",IF(COUNTA(A1281:C1281,E1281)&lt;4,"Ligne incomplète",IF(NOT(ISNUMBER(A1281)),"Date invalide",IF(AND(B1281&lt;&gt;"Entrée",B1281&lt;&gt;"Sortie"),"Type inconnu",IF(ISNA(MATCH(C1281,art_ref,0)),"Référence inconnue",IF(OR(NOT(ISNUMBER(E1281)),N(E1281)&lt;=0),"Quantité invalide",IF(K1281&lt;0,"Stock négatif",IF(AND(ISNUMBER(A1280),A1281&lt;A1280),"Date hors ordre","OK"))))))))</f>
        <v/>
      </c>
      <c r="M1281" s="39" t="str">
        <f>IF(C1281="","",C1281&amp;"#"&amp;COUNTIF($C$5:C1281,C1281))</f>
        <v/>
      </c>
    </row>
    <row r="1282">
      <c r="A1282" s="41" t="n"/>
      <c r="B1282" s="37" t="n"/>
      <c r="C1282" s="37" t="n"/>
      <c r="D1282" s="39" t="str">
        <f>IF(C1282="","",IFERROR(INDEX(art_des,MATCH(C1282,art_ref,0))&amp;"","Référence inconnue"))</f>
        <v/>
      </c>
      <c r="E1282" s="37" t="n"/>
      <c r="F1282" s="39" t="str">
        <f>IF(C1282="","",IFERROR(INDEX(art_unit,MATCH(C1282,art_ref,0))&amp;"",""))</f>
        <v/>
      </c>
      <c r="G1282" s="37" t="n"/>
      <c r="H1282" s="37" t="n"/>
      <c r="I1282" s="37" t="n"/>
      <c r="J1282" s="40" t="str">
        <f>IF(OR(C1282="",NOT(ISNUMBER(E1282))),"",IFERROR(E1282*N(INDEX(art_price,MATCH(C1282,art_ref,0))),""))</f>
        <v/>
      </c>
      <c r="K1282" s="39" t="str">
        <f>IF(OR(C1282="",NOT(ISNUMBER(E1282))),"",IFERROR(ROUND(N(INDEX(art_init,MATCH(C1282,art_ref,0)))+SUMIFS($E$5:E1282,$C$5:C1282,C1282,$B$5:B1282,"Entrée")-SUMIFS($E$5:E1282,$C$5:C1282,C1282,$B$5:B1282,"Sortie"),6),""))</f>
        <v/>
      </c>
      <c r="L1282" s="39" t="str">
        <f>IF(COUNTA(A1282:C1282,E1282)=0,"",IF(COUNTA(A1282:C1282,E1282)&lt;4,"Ligne incomplète",IF(NOT(ISNUMBER(A1282)),"Date invalide",IF(AND(B1282&lt;&gt;"Entrée",B1282&lt;&gt;"Sortie"),"Type inconnu",IF(ISNA(MATCH(C1282,art_ref,0)),"Référence inconnue",IF(OR(NOT(ISNUMBER(E1282)),N(E1282)&lt;=0),"Quantité invalide",IF(K1282&lt;0,"Stock négatif",IF(AND(ISNUMBER(A1281),A1282&lt;A1281),"Date hors ordre","OK"))))))))</f>
        <v/>
      </c>
      <c r="M1282" s="39" t="str">
        <f>IF(C1282="","",C1282&amp;"#"&amp;COUNTIF($C$5:C1282,C1282))</f>
        <v/>
      </c>
    </row>
    <row r="1283">
      <c r="A1283" s="41" t="n"/>
      <c r="B1283" s="37" t="n"/>
      <c r="C1283" s="37" t="n"/>
      <c r="D1283" s="39" t="str">
        <f>IF(C1283="","",IFERROR(INDEX(art_des,MATCH(C1283,art_ref,0))&amp;"","Référence inconnue"))</f>
        <v/>
      </c>
      <c r="E1283" s="37" t="n"/>
      <c r="F1283" s="39" t="str">
        <f>IF(C1283="","",IFERROR(INDEX(art_unit,MATCH(C1283,art_ref,0))&amp;"",""))</f>
        <v/>
      </c>
      <c r="G1283" s="37" t="n"/>
      <c r="H1283" s="37" t="n"/>
      <c r="I1283" s="37" t="n"/>
      <c r="J1283" s="40" t="str">
        <f>IF(OR(C1283="",NOT(ISNUMBER(E1283))),"",IFERROR(E1283*N(INDEX(art_price,MATCH(C1283,art_ref,0))),""))</f>
        <v/>
      </c>
      <c r="K1283" s="39" t="str">
        <f>IF(OR(C1283="",NOT(ISNUMBER(E1283))),"",IFERROR(ROUND(N(INDEX(art_init,MATCH(C1283,art_ref,0)))+SUMIFS($E$5:E1283,$C$5:C1283,C1283,$B$5:B1283,"Entrée")-SUMIFS($E$5:E1283,$C$5:C1283,C1283,$B$5:B1283,"Sortie"),6),""))</f>
        <v/>
      </c>
      <c r="L1283" s="39" t="str">
        <f>IF(COUNTA(A1283:C1283,E1283)=0,"",IF(COUNTA(A1283:C1283,E1283)&lt;4,"Ligne incomplète",IF(NOT(ISNUMBER(A1283)),"Date invalide",IF(AND(B1283&lt;&gt;"Entrée",B1283&lt;&gt;"Sortie"),"Type inconnu",IF(ISNA(MATCH(C1283,art_ref,0)),"Référence inconnue",IF(OR(NOT(ISNUMBER(E1283)),N(E1283)&lt;=0),"Quantité invalide",IF(K1283&lt;0,"Stock négatif",IF(AND(ISNUMBER(A1282),A1283&lt;A1282),"Date hors ordre","OK"))))))))</f>
        <v/>
      </c>
      <c r="M1283" s="39" t="str">
        <f>IF(C1283="","",C1283&amp;"#"&amp;COUNTIF($C$5:C1283,C1283))</f>
        <v/>
      </c>
    </row>
    <row r="1284">
      <c r="A1284" s="41" t="n"/>
      <c r="B1284" s="37" t="n"/>
      <c r="C1284" s="37" t="n"/>
      <c r="D1284" s="39" t="str">
        <f>IF(C1284="","",IFERROR(INDEX(art_des,MATCH(C1284,art_ref,0))&amp;"","Référence inconnue"))</f>
        <v/>
      </c>
      <c r="E1284" s="37" t="n"/>
      <c r="F1284" s="39" t="str">
        <f>IF(C1284="","",IFERROR(INDEX(art_unit,MATCH(C1284,art_ref,0))&amp;"",""))</f>
        <v/>
      </c>
      <c r="G1284" s="37" t="n"/>
      <c r="H1284" s="37" t="n"/>
      <c r="I1284" s="37" t="n"/>
      <c r="J1284" s="40" t="str">
        <f>IF(OR(C1284="",NOT(ISNUMBER(E1284))),"",IFERROR(E1284*N(INDEX(art_price,MATCH(C1284,art_ref,0))),""))</f>
        <v/>
      </c>
      <c r="K1284" s="39" t="str">
        <f>IF(OR(C1284="",NOT(ISNUMBER(E1284))),"",IFERROR(ROUND(N(INDEX(art_init,MATCH(C1284,art_ref,0)))+SUMIFS($E$5:E1284,$C$5:C1284,C1284,$B$5:B1284,"Entrée")-SUMIFS($E$5:E1284,$C$5:C1284,C1284,$B$5:B1284,"Sortie"),6),""))</f>
        <v/>
      </c>
      <c r="L1284" s="39" t="str">
        <f>IF(COUNTA(A1284:C1284,E1284)=0,"",IF(COUNTA(A1284:C1284,E1284)&lt;4,"Ligne incomplète",IF(NOT(ISNUMBER(A1284)),"Date invalide",IF(AND(B1284&lt;&gt;"Entrée",B1284&lt;&gt;"Sortie"),"Type inconnu",IF(ISNA(MATCH(C1284,art_ref,0)),"Référence inconnue",IF(OR(NOT(ISNUMBER(E1284)),N(E1284)&lt;=0),"Quantité invalide",IF(K1284&lt;0,"Stock négatif",IF(AND(ISNUMBER(A1283),A1284&lt;A1283),"Date hors ordre","OK"))))))))</f>
        <v/>
      </c>
      <c r="M1284" s="39" t="str">
        <f>IF(C1284="","",C1284&amp;"#"&amp;COUNTIF($C$5:C1284,C1284))</f>
        <v/>
      </c>
    </row>
    <row r="1285">
      <c r="A1285" s="41" t="n"/>
      <c r="B1285" s="37" t="n"/>
      <c r="C1285" s="37" t="n"/>
      <c r="D1285" s="39" t="str">
        <f>IF(C1285="","",IFERROR(INDEX(art_des,MATCH(C1285,art_ref,0))&amp;"","Référence inconnue"))</f>
        <v/>
      </c>
      <c r="E1285" s="37" t="n"/>
      <c r="F1285" s="39" t="str">
        <f>IF(C1285="","",IFERROR(INDEX(art_unit,MATCH(C1285,art_ref,0))&amp;"",""))</f>
        <v/>
      </c>
      <c r="G1285" s="37" t="n"/>
      <c r="H1285" s="37" t="n"/>
      <c r="I1285" s="37" t="n"/>
      <c r="J1285" s="40" t="str">
        <f>IF(OR(C1285="",NOT(ISNUMBER(E1285))),"",IFERROR(E1285*N(INDEX(art_price,MATCH(C1285,art_ref,0))),""))</f>
        <v/>
      </c>
      <c r="K1285" s="39" t="str">
        <f>IF(OR(C1285="",NOT(ISNUMBER(E1285))),"",IFERROR(ROUND(N(INDEX(art_init,MATCH(C1285,art_ref,0)))+SUMIFS($E$5:E1285,$C$5:C1285,C1285,$B$5:B1285,"Entrée")-SUMIFS($E$5:E1285,$C$5:C1285,C1285,$B$5:B1285,"Sortie"),6),""))</f>
        <v/>
      </c>
      <c r="L1285" s="39" t="str">
        <f>IF(COUNTA(A1285:C1285,E1285)=0,"",IF(COUNTA(A1285:C1285,E1285)&lt;4,"Ligne incomplète",IF(NOT(ISNUMBER(A1285)),"Date invalide",IF(AND(B1285&lt;&gt;"Entrée",B1285&lt;&gt;"Sortie"),"Type inconnu",IF(ISNA(MATCH(C1285,art_ref,0)),"Référence inconnue",IF(OR(NOT(ISNUMBER(E1285)),N(E1285)&lt;=0),"Quantité invalide",IF(K1285&lt;0,"Stock négatif",IF(AND(ISNUMBER(A1284),A1285&lt;A1284),"Date hors ordre","OK"))))))))</f>
        <v/>
      </c>
      <c r="M1285" s="39" t="str">
        <f>IF(C1285="","",C1285&amp;"#"&amp;COUNTIF($C$5:C1285,C1285))</f>
        <v/>
      </c>
    </row>
    <row r="1286">
      <c r="A1286" s="41" t="n"/>
      <c r="B1286" s="37" t="n"/>
      <c r="C1286" s="37" t="n"/>
      <c r="D1286" s="39" t="str">
        <f>IF(C1286="","",IFERROR(INDEX(art_des,MATCH(C1286,art_ref,0))&amp;"","Référence inconnue"))</f>
        <v/>
      </c>
      <c r="E1286" s="37" t="n"/>
      <c r="F1286" s="39" t="str">
        <f>IF(C1286="","",IFERROR(INDEX(art_unit,MATCH(C1286,art_ref,0))&amp;"",""))</f>
        <v/>
      </c>
      <c r="G1286" s="37" t="n"/>
      <c r="H1286" s="37" t="n"/>
      <c r="I1286" s="37" t="n"/>
      <c r="J1286" s="40" t="str">
        <f>IF(OR(C1286="",NOT(ISNUMBER(E1286))),"",IFERROR(E1286*N(INDEX(art_price,MATCH(C1286,art_ref,0))),""))</f>
        <v/>
      </c>
      <c r="K1286" s="39" t="str">
        <f>IF(OR(C1286="",NOT(ISNUMBER(E1286))),"",IFERROR(ROUND(N(INDEX(art_init,MATCH(C1286,art_ref,0)))+SUMIFS($E$5:E1286,$C$5:C1286,C1286,$B$5:B1286,"Entrée")-SUMIFS($E$5:E1286,$C$5:C1286,C1286,$B$5:B1286,"Sortie"),6),""))</f>
        <v/>
      </c>
      <c r="L1286" s="39" t="str">
        <f>IF(COUNTA(A1286:C1286,E1286)=0,"",IF(COUNTA(A1286:C1286,E1286)&lt;4,"Ligne incomplète",IF(NOT(ISNUMBER(A1286)),"Date invalide",IF(AND(B1286&lt;&gt;"Entrée",B1286&lt;&gt;"Sortie"),"Type inconnu",IF(ISNA(MATCH(C1286,art_ref,0)),"Référence inconnue",IF(OR(NOT(ISNUMBER(E1286)),N(E1286)&lt;=0),"Quantité invalide",IF(K1286&lt;0,"Stock négatif",IF(AND(ISNUMBER(A1285),A1286&lt;A1285),"Date hors ordre","OK"))))))))</f>
        <v/>
      </c>
      <c r="M1286" s="39" t="str">
        <f>IF(C1286="","",C1286&amp;"#"&amp;COUNTIF($C$5:C1286,C1286))</f>
        <v/>
      </c>
    </row>
    <row r="1287">
      <c r="A1287" s="41" t="n"/>
      <c r="B1287" s="37" t="n"/>
      <c r="C1287" s="37" t="n"/>
      <c r="D1287" s="39" t="str">
        <f>IF(C1287="","",IFERROR(INDEX(art_des,MATCH(C1287,art_ref,0))&amp;"","Référence inconnue"))</f>
        <v/>
      </c>
      <c r="E1287" s="37" t="n"/>
      <c r="F1287" s="39" t="str">
        <f>IF(C1287="","",IFERROR(INDEX(art_unit,MATCH(C1287,art_ref,0))&amp;"",""))</f>
        <v/>
      </c>
      <c r="G1287" s="37" t="n"/>
      <c r="H1287" s="37" t="n"/>
      <c r="I1287" s="37" t="n"/>
      <c r="J1287" s="40" t="str">
        <f>IF(OR(C1287="",NOT(ISNUMBER(E1287))),"",IFERROR(E1287*N(INDEX(art_price,MATCH(C1287,art_ref,0))),""))</f>
        <v/>
      </c>
      <c r="K1287" s="39" t="str">
        <f>IF(OR(C1287="",NOT(ISNUMBER(E1287))),"",IFERROR(ROUND(N(INDEX(art_init,MATCH(C1287,art_ref,0)))+SUMIFS($E$5:E1287,$C$5:C1287,C1287,$B$5:B1287,"Entrée")-SUMIFS($E$5:E1287,$C$5:C1287,C1287,$B$5:B1287,"Sortie"),6),""))</f>
        <v/>
      </c>
      <c r="L1287" s="39" t="str">
        <f>IF(COUNTA(A1287:C1287,E1287)=0,"",IF(COUNTA(A1287:C1287,E1287)&lt;4,"Ligne incomplète",IF(NOT(ISNUMBER(A1287)),"Date invalide",IF(AND(B1287&lt;&gt;"Entrée",B1287&lt;&gt;"Sortie"),"Type inconnu",IF(ISNA(MATCH(C1287,art_ref,0)),"Référence inconnue",IF(OR(NOT(ISNUMBER(E1287)),N(E1287)&lt;=0),"Quantité invalide",IF(K1287&lt;0,"Stock négatif",IF(AND(ISNUMBER(A1286),A1287&lt;A1286),"Date hors ordre","OK"))))))))</f>
        <v/>
      </c>
      <c r="M1287" s="39" t="str">
        <f>IF(C1287="","",C1287&amp;"#"&amp;COUNTIF($C$5:C1287,C1287))</f>
        <v/>
      </c>
    </row>
    <row r="1288">
      <c r="A1288" s="41" t="n"/>
      <c r="B1288" s="37" t="n"/>
      <c r="C1288" s="37" t="n"/>
      <c r="D1288" s="39" t="str">
        <f>IF(C1288="","",IFERROR(INDEX(art_des,MATCH(C1288,art_ref,0))&amp;"","Référence inconnue"))</f>
        <v/>
      </c>
      <c r="E1288" s="37" t="n"/>
      <c r="F1288" s="39" t="str">
        <f>IF(C1288="","",IFERROR(INDEX(art_unit,MATCH(C1288,art_ref,0))&amp;"",""))</f>
        <v/>
      </c>
      <c r="G1288" s="37" t="n"/>
      <c r="H1288" s="37" t="n"/>
      <c r="I1288" s="37" t="n"/>
      <c r="J1288" s="40" t="str">
        <f>IF(OR(C1288="",NOT(ISNUMBER(E1288))),"",IFERROR(E1288*N(INDEX(art_price,MATCH(C1288,art_ref,0))),""))</f>
        <v/>
      </c>
      <c r="K1288" s="39" t="str">
        <f>IF(OR(C1288="",NOT(ISNUMBER(E1288))),"",IFERROR(ROUND(N(INDEX(art_init,MATCH(C1288,art_ref,0)))+SUMIFS($E$5:E1288,$C$5:C1288,C1288,$B$5:B1288,"Entrée")-SUMIFS($E$5:E1288,$C$5:C1288,C1288,$B$5:B1288,"Sortie"),6),""))</f>
        <v/>
      </c>
      <c r="L1288" s="39" t="str">
        <f>IF(COUNTA(A1288:C1288,E1288)=0,"",IF(COUNTA(A1288:C1288,E1288)&lt;4,"Ligne incomplète",IF(NOT(ISNUMBER(A1288)),"Date invalide",IF(AND(B1288&lt;&gt;"Entrée",B1288&lt;&gt;"Sortie"),"Type inconnu",IF(ISNA(MATCH(C1288,art_ref,0)),"Référence inconnue",IF(OR(NOT(ISNUMBER(E1288)),N(E1288)&lt;=0),"Quantité invalide",IF(K1288&lt;0,"Stock négatif",IF(AND(ISNUMBER(A1287),A1288&lt;A1287),"Date hors ordre","OK"))))))))</f>
        <v/>
      </c>
      <c r="M1288" s="39" t="str">
        <f>IF(C1288="","",C1288&amp;"#"&amp;COUNTIF($C$5:C1288,C1288))</f>
        <v/>
      </c>
    </row>
    <row r="1289">
      <c r="A1289" s="41" t="n"/>
      <c r="B1289" s="37" t="n"/>
      <c r="C1289" s="37" t="n"/>
      <c r="D1289" s="39" t="str">
        <f>IF(C1289="","",IFERROR(INDEX(art_des,MATCH(C1289,art_ref,0))&amp;"","Référence inconnue"))</f>
        <v/>
      </c>
      <c r="E1289" s="37" t="n"/>
      <c r="F1289" s="39" t="str">
        <f>IF(C1289="","",IFERROR(INDEX(art_unit,MATCH(C1289,art_ref,0))&amp;"",""))</f>
        <v/>
      </c>
      <c r="G1289" s="37" t="n"/>
      <c r="H1289" s="37" t="n"/>
      <c r="I1289" s="37" t="n"/>
      <c r="J1289" s="40" t="str">
        <f>IF(OR(C1289="",NOT(ISNUMBER(E1289))),"",IFERROR(E1289*N(INDEX(art_price,MATCH(C1289,art_ref,0))),""))</f>
        <v/>
      </c>
      <c r="K1289" s="39" t="str">
        <f>IF(OR(C1289="",NOT(ISNUMBER(E1289))),"",IFERROR(ROUND(N(INDEX(art_init,MATCH(C1289,art_ref,0)))+SUMIFS($E$5:E1289,$C$5:C1289,C1289,$B$5:B1289,"Entrée")-SUMIFS($E$5:E1289,$C$5:C1289,C1289,$B$5:B1289,"Sortie"),6),""))</f>
        <v/>
      </c>
      <c r="L1289" s="39" t="str">
        <f>IF(COUNTA(A1289:C1289,E1289)=0,"",IF(COUNTA(A1289:C1289,E1289)&lt;4,"Ligne incomplète",IF(NOT(ISNUMBER(A1289)),"Date invalide",IF(AND(B1289&lt;&gt;"Entrée",B1289&lt;&gt;"Sortie"),"Type inconnu",IF(ISNA(MATCH(C1289,art_ref,0)),"Référence inconnue",IF(OR(NOT(ISNUMBER(E1289)),N(E1289)&lt;=0),"Quantité invalide",IF(K1289&lt;0,"Stock négatif",IF(AND(ISNUMBER(A1288),A1289&lt;A1288),"Date hors ordre","OK"))))))))</f>
        <v/>
      </c>
      <c r="M1289" s="39" t="str">
        <f>IF(C1289="","",C1289&amp;"#"&amp;COUNTIF($C$5:C1289,C1289))</f>
        <v/>
      </c>
    </row>
    <row r="1290">
      <c r="A1290" s="41" t="n"/>
      <c r="B1290" s="37" t="n"/>
      <c r="C1290" s="37" t="n"/>
      <c r="D1290" s="39" t="str">
        <f>IF(C1290="","",IFERROR(INDEX(art_des,MATCH(C1290,art_ref,0))&amp;"","Référence inconnue"))</f>
        <v/>
      </c>
      <c r="E1290" s="37" t="n"/>
      <c r="F1290" s="39" t="str">
        <f>IF(C1290="","",IFERROR(INDEX(art_unit,MATCH(C1290,art_ref,0))&amp;"",""))</f>
        <v/>
      </c>
      <c r="G1290" s="37" t="n"/>
      <c r="H1290" s="37" t="n"/>
      <c r="I1290" s="37" t="n"/>
      <c r="J1290" s="40" t="str">
        <f>IF(OR(C1290="",NOT(ISNUMBER(E1290))),"",IFERROR(E1290*N(INDEX(art_price,MATCH(C1290,art_ref,0))),""))</f>
        <v/>
      </c>
      <c r="K1290" s="39" t="str">
        <f>IF(OR(C1290="",NOT(ISNUMBER(E1290))),"",IFERROR(ROUND(N(INDEX(art_init,MATCH(C1290,art_ref,0)))+SUMIFS($E$5:E1290,$C$5:C1290,C1290,$B$5:B1290,"Entrée")-SUMIFS($E$5:E1290,$C$5:C1290,C1290,$B$5:B1290,"Sortie"),6),""))</f>
        <v/>
      </c>
      <c r="L1290" s="39" t="str">
        <f>IF(COUNTA(A1290:C1290,E1290)=0,"",IF(COUNTA(A1290:C1290,E1290)&lt;4,"Ligne incomplète",IF(NOT(ISNUMBER(A1290)),"Date invalide",IF(AND(B1290&lt;&gt;"Entrée",B1290&lt;&gt;"Sortie"),"Type inconnu",IF(ISNA(MATCH(C1290,art_ref,0)),"Référence inconnue",IF(OR(NOT(ISNUMBER(E1290)),N(E1290)&lt;=0),"Quantité invalide",IF(K1290&lt;0,"Stock négatif",IF(AND(ISNUMBER(A1289),A1290&lt;A1289),"Date hors ordre","OK"))))))))</f>
        <v/>
      </c>
      <c r="M1290" s="39" t="str">
        <f>IF(C1290="","",C1290&amp;"#"&amp;COUNTIF($C$5:C1290,C1290))</f>
        <v/>
      </c>
    </row>
    <row r="1291">
      <c r="A1291" s="41" t="n"/>
      <c r="B1291" s="37" t="n"/>
      <c r="C1291" s="37" t="n"/>
      <c r="D1291" s="39" t="str">
        <f>IF(C1291="","",IFERROR(INDEX(art_des,MATCH(C1291,art_ref,0))&amp;"","Référence inconnue"))</f>
        <v/>
      </c>
      <c r="E1291" s="37" t="n"/>
      <c r="F1291" s="39" t="str">
        <f>IF(C1291="","",IFERROR(INDEX(art_unit,MATCH(C1291,art_ref,0))&amp;"",""))</f>
        <v/>
      </c>
      <c r="G1291" s="37" t="n"/>
      <c r="H1291" s="37" t="n"/>
      <c r="I1291" s="37" t="n"/>
      <c r="J1291" s="40" t="str">
        <f>IF(OR(C1291="",NOT(ISNUMBER(E1291))),"",IFERROR(E1291*N(INDEX(art_price,MATCH(C1291,art_ref,0))),""))</f>
        <v/>
      </c>
      <c r="K1291" s="39" t="str">
        <f>IF(OR(C1291="",NOT(ISNUMBER(E1291))),"",IFERROR(ROUND(N(INDEX(art_init,MATCH(C1291,art_ref,0)))+SUMIFS($E$5:E1291,$C$5:C1291,C1291,$B$5:B1291,"Entrée")-SUMIFS($E$5:E1291,$C$5:C1291,C1291,$B$5:B1291,"Sortie"),6),""))</f>
        <v/>
      </c>
      <c r="L1291" s="39" t="str">
        <f>IF(COUNTA(A1291:C1291,E1291)=0,"",IF(COUNTA(A1291:C1291,E1291)&lt;4,"Ligne incomplète",IF(NOT(ISNUMBER(A1291)),"Date invalide",IF(AND(B1291&lt;&gt;"Entrée",B1291&lt;&gt;"Sortie"),"Type inconnu",IF(ISNA(MATCH(C1291,art_ref,0)),"Référence inconnue",IF(OR(NOT(ISNUMBER(E1291)),N(E1291)&lt;=0),"Quantité invalide",IF(K1291&lt;0,"Stock négatif",IF(AND(ISNUMBER(A1290),A1291&lt;A1290),"Date hors ordre","OK"))))))))</f>
        <v/>
      </c>
      <c r="M1291" s="39" t="str">
        <f>IF(C1291="","",C1291&amp;"#"&amp;COUNTIF($C$5:C1291,C1291))</f>
        <v/>
      </c>
    </row>
    <row r="1292">
      <c r="A1292" s="41" t="n"/>
      <c r="B1292" s="37" t="n"/>
      <c r="C1292" s="37" t="n"/>
      <c r="D1292" s="39" t="str">
        <f>IF(C1292="","",IFERROR(INDEX(art_des,MATCH(C1292,art_ref,0))&amp;"","Référence inconnue"))</f>
        <v/>
      </c>
      <c r="E1292" s="37" t="n"/>
      <c r="F1292" s="39" t="str">
        <f>IF(C1292="","",IFERROR(INDEX(art_unit,MATCH(C1292,art_ref,0))&amp;"",""))</f>
        <v/>
      </c>
      <c r="G1292" s="37" t="n"/>
      <c r="H1292" s="37" t="n"/>
      <c r="I1292" s="37" t="n"/>
      <c r="J1292" s="40" t="str">
        <f>IF(OR(C1292="",NOT(ISNUMBER(E1292))),"",IFERROR(E1292*N(INDEX(art_price,MATCH(C1292,art_ref,0))),""))</f>
        <v/>
      </c>
      <c r="K1292" s="39" t="str">
        <f>IF(OR(C1292="",NOT(ISNUMBER(E1292))),"",IFERROR(ROUND(N(INDEX(art_init,MATCH(C1292,art_ref,0)))+SUMIFS($E$5:E1292,$C$5:C1292,C1292,$B$5:B1292,"Entrée")-SUMIFS($E$5:E1292,$C$5:C1292,C1292,$B$5:B1292,"Sortie"),6),""))</f>
        <v/>
      </c>
      <c r="L1292" s="39" t="str">
        <f>IF(COUNTA(A1292:C1292,E1292)=0,"",IF(COUNTA(A1292:C1292,E1292)&lt;4,"Ligne incomplète",IF(NOT(ISNUMBER(A1292)),"Date invalide",IF(AND(B1292&lt;&gt;"Entrée",B1292&lt;&gt;"Sortie"),"Type inconnu",IF(ISNA(MATCH(C1292,art_ref,0)),"Référence inconnue",IF(OR(NOT(ISNUMBER(E1292)),N(E1292)&lt;=0),"Quantité invalide",IF(K1292&lt;0,"Stock négatif",IF(AND(ISNUMBER(A1291),A1292&lt;A1291),"Date hors ordre","OK"))))))))</f>
        <v/>
      </c>
      <c r="M1292" s="39" t="str">
        <f>IF(C1292="","",C1292&amp;"#"&amp;COUNTIF($C$5:C1292,C1292))</f>
        <v/>
      </c>
    </row>
    <row r="1293">
      <c r="A1293" s="41" t="n"/>
      <c r="B1293" s="37" t="n"/>
      <c r="C1293" s="37" t="n"/>
      <c r="D1293" s="39" t="str">
        <f>IF(C1293="","",IFERROR(INDEX(art_des,MATCH(C1293,art_ref,0))&amp;"","Référence inconnue"))</f>
        <v/>
      </c>
      <c r="E1293" s="37" t="n"/>
      <c r="F1293" s="39" t="str">
        <f>IF(C1293="","",IFERROR(INDEX(art_unit,MATCH(C1293,art_ref,0))&amp;"",""))</f>
        <v/>
      </c>
      <c r="G1293" s="37" t="n"/>
      <c r="H1293" s="37" t="n"/>
      <c r="I1293" s="37" t="n"/>
      <c r="J1293" s="40" t="str">
        <f>IF(OR(C1293="",NOT(ISNUMBER(E1293))),"",IFERROR(E1293*N(INDEX(art_price,MATCH(C1293,art_ref,0))),""))</f>
        <v/>
      </c>
      <c r="K1293" s="39" t="str">
        <f>IF(OR(C1293="",NOT(ISNUMBER(E1293))),"",IFERROR(ROUND(N(INDEX(art_init,MATCH(C1293,art_ref,0)))+SUMIFS($E$5:E1293,$C$5:C1293,C1293,$B$5:B1293,"Entrée")-SUMIFS($E$5:E1293,$C$5:C1293,C1293,$B$5:B1293,"Sortie"),6),""))</f>
        <v/>
      </c>
      <c r="L1293" s="39" t="str">
        <f>IF(COUNTA(A1293:C1293,E1293)=0,"",IF(COUNTA(A1293:C1293,E1293)&lt;4,"Ligne incomplète",IF(NOT(ISNUMBER(A1293)),"Date invalide",IF(AND(B1293&lt;&gt;"Entrée",B1293&lt;&gt;"Sortie"),"Type inconnu",IF(ISNA(MATCH(C1293,art_ref,0)),"Référence inconnue",IF(OR(NOT(ISNUMBER(E1293)),N(E1293)&lt;=0),"Quantité invalide",IF(K1293&lt;0,"Stock négatif",IF(AND(ISNUMBER(A1292),A1293&lt;A1292),"Date hors ordre","OK"))))))))</f>
        <v/>
      </c>
      <c r="M1293" s="39" t="str">
        <f>IF(C1293="","",C1293&amp;"#"&amp;COUNTIF($C$5:C1293,C1293))</f>
        <v/>
      </c>
    </row>
    <row r="1294">
      <c r="A1294" s="41" t="n"/>
      <c r="B1294" s="37" t="n"/>
      <c r="C1294" s="37" t="n"/>
      <c r="D1294" s="39" t="str">
        <f>IF(C1294="","",IFERROR(INDEX(art_des,MATCH(C1294,art_ref,0))&amp;"","Référence inconnue"))</f>
        <v/>
      </c>
      <c r="E1294" s="37" t="n"/>
      <c r="F1294" s="39" t="str">
        <f>IF(C1294="","",IFERROR(INDEX(art_unit,MATCH(C1294,art_ref,0))&amp;"",""))</f>
        <v/>
      </c>
      <c r="G1294" s="37" t="n"/>
      <c r="H1294" s="37" t="n"/>
      <c r="I1294" s="37" t="n"/>
      <c r="J1294" s="40" t="str">
        <f>IF(OR(C1294="",NOT(ISNUMBER(E1294))),"",IFERROR(E1294*N(INDEX(art_price,MATCH(C1294,art_ref,0))),""))</f>
        <v/>
      </c>
      <c r="K1294" s="39" t="str">
        <f>IF(OR(C1294="",NOT(ISNUMBER(E1294))),"",IFERROR(ROUND(N(INDEX(art_init,MATCH(C1294,art_ref,0)))+SUMIFS($E$5:E1294,$C$5:C1294,C1294,$B$5:B1294,"Entrée")-SUMIFS($E$5:E1294,$C$5:C1294,C1294,$B$5:B1294,"Sortie"),6),""))</f>
        <v/>
      </c>
      <c r="L1294" s="39" t="str">
        <f>IF(COUNTA(A1294:C1294,E1294)=0,"",IF(COUNTA(A1294:C1294,E1294)&lt;4,"Ligne incomplète",IF(NOT(ISNUMBER(A1294)),"Date invalide",IF(AND(B1294&lt;&gt;"Entrée",B1294&lt;&gt;"Sortie"),"Type inconnu",IF(ISNA(MATCH(C1294,art_ref,0)),"Référence inconnue",IF(OR(NOT(ISNUMBER(E1294)),N(E1294)&lt;=0),"Quantité invalide",IF(K1294&lt;0,"Stock négatif",IF(AND(ISNUMBER(A1293),A1294&lt;A1293),"Date hors ordre","OK"))))))))</f>
        <v/>
      </c>
      <c r="M1294" s="39" t="str">
        <f>IF(C1294="","",C1294&amp;"#"&amp;COUNTIF($C$5:C1294,C1294))</f>
        <v/>
      </c>
    </row>
    <row r="1295">
      <c r="A1295" s="41" t="n"/>
      <c r="B1295" s="37" t="n"/>
      <c r="C1295" s="37" t="n"/>
      <c r="D1295" s="39" t="str">
        <f>IF(C1295="","",IFERROR(INDEX(art_des,MATCH(C1295,art_ref,0))&amp;"","Référence inconnue"))</f>
        <v/>
      </c>
      <c r="E1295" s="37" t="n"/>
      <c r="F1295" s="39" t="str">
        <f>IF(C1295="","",IFERROR(INDEX(art_unit,MATCH(C1295,art_ref,0))&amp;"",""))</f>
        <v/>
      </c>
      <c r="G1295" s="37" t="n"/>
      <c r="H1295" s="37" t="n"/>
      <c r="I1295" s="37" t="n"/>
      <c r="J1295" s="40" t="str">
        <f>IF(OR(C1295="",NOT(ISNUMBER(E1295))),"",IFERROR(E1295*N(INDEX(art_price,MATCH(C1295,art_ref,0))),""))</f>
        <v/>
      </c>
      <c r="K1295" s="39" t="str">
        <f>IF(OR(C1295="",NOT(ISNUMBER(E1295))),"",IFERROR(ROUND(N(INDEX(art_init,MATCH(C1295,art_ref,0)))+SUMIFS($E$5:E1295,$C$5:C1295,C1295,$B$5:B1295,"Entrée")-SUMIFS($E$5:E1295,$C$5:C1295,C1295,$B$5:B1295,"Sortie"),6),""))</f>
        <v/>
      </c>
      <c r="L1295" s="39" t="str">
        <f>IF(COUNTA(A1295:C1295,E1295)=0,"",IF(COUNTA(A1295:C1295,E1295)&lt;4,"Ligne incomplète",IF(NOT(ISNUMBER(A1295)),"Date invalide",IF(AND(B1295&lt;&gt;"Entrée",B1295&lt;&gt;"Sortie"),"Type inconnu",IF(ISNA(MATCH(C1295,art_ref,0)),"Référence inconnue",IF(OR(NOT(ISNUMBER(E1295)),N(E1295)&lt;=0),"Quantité invalide",IF(K1295&lt;0,"Stock négatif",IF(AND(ISNUMBER(A1294),A1295&lt;A1294),"Date hors ordre","OK"))))))))</f>
        <v/>
      </c>
      <c r="M1295" s="39" t="str">
        <f>IF(C1295="","",C1295&amp;"#"&amp;COUNTIF($C$5:C1295,C1295))</f>
        <v/>
      </c>
    </row>
    <row r="1296">
      <c r="A1296" s="41" t="n"/>
      <c r="B1296" s="37" t="n"/>
      <c r="C1296" s="37" t="n"/>
      <c r="D1296" s="39" t="str">
        <f>IF(C1296="","",IFERROR(INDEX(art_des,MATCH(C1296,art_ref,0))&amp;"","Référence inconnue"))</f>
        <v/>
      </c>
      <c r="E1296" s="37" t="n"/>
      <c r="F1296" s="39" t="str">
        <f>IF(C1296="","",IFERROR(INDEX(art_unit,MATCH(C1296,art_ref,0))&amp;"",""))</f>
        <v/>
      </c>
      <c r="G1296" s="37" t="n"/>
      <c r="H1296" s="37" t="n"/>
      <c r="I1296" s="37" t="n"/>
      <c r="J1296" s="40" t="str">
        <f>IF(OR(C1296="",NOT(ISNUMBER(E1296))),"",IFERROR(E1296*N(INDEX(art_price,MATCH(C1296,art_ref,0))),""))</f>
        <v/>
      </c>
      <c r="K1296" s="39" t="str">
        <f>IF(OR(C1296="",NOT(ISNUMBER(E1296))),"",IFERROR(ROUND(N(INDEX(art_init,MATCH(C1296,art_ref,0)))+SUMIFS($E$5:E1296,$C$5:C1296,C1296,$B$5:B1296,"Entrée")-SUMIFS($E$5:E1296,$C$5:C1296,C1296,$B$5:B1296,"Sortie"),6),""))</f>
        <v/>
      </c>
      <c r="L1296" s="39" t="str">
        <f>IF(COUNTA(A1296:C1296,E1296)=0,"",IF(COUNTA(A1296:C1296,E1296)&lt;4,"Ligne incomplète",IF(NOT(ISNUMBER(A1296)),"Date invalide",IF(AND(B1296&lt;&gt;"Entrée",B1296&lt;&gt;"Sortie"),"Type inconnu",IF(ISNA(MATCH(C1296,art_ref,0)),"Référence inconnue",IF(OR(NOT(ISNUMBER(E1296)),N(E1296)&lt;=0),"Quantité invalide",IF(K1296&lt;0,"Stock négatif",IF(AND(ISNUMBER(A1295),A1296&lt;A1295),"Date hors ordre","OK"))))))))</f>
        <v/>
      </c>
      <c r="M1296" s="39" t="str">
        <f>IF(C1296="","",C1296&amp;"#"&amp;COUNTIF($C$5:C1296,C1296))</f>
        <v/>
      </c>
    </row>
    <row r="1297">
      <c r="A1297" s="41" t="n"/>
      <c r="B1297" s="37" t="n"/>
      <c r="C1297" s="37" t="n"/>
      <c r="D1297" s="39" t="str">
        <f>IF(C1297="","",IFERROR(INDEX(art_des,MATCH(C1297,art_ref,0))&amp;"","Référence inconnue"))</f>
        <v/>
      </c>
      <c r="E1297" s="37" t="n"/>
      <c r="F1297" s="39" t="str">
        <f>IF(C1297="","",IFERROR(INDEX(art_unit,MATCH(C1297,art_ref,0))&amp;"",""))</f>
        <v/>
      </c>
      <c r="G1297" s="37" t="n"/>
      <c r="H1297" s="37" t="n"/>
      <c r="I1297" s="37" t="n"/>
      <c r="J1297" s="40" t="str">
        <f>IF(OR(C1297="",NOT(ISNUMBER(E1297))),"",IFERROR(E1297*N(INDEX(art_price,MATCH(C1297,art_ref,0))),""))</f>
        <v/>
      </c>
      <c r="K1297" s="39" t="str">
        <f>IF(OR(C1297="",NOT(ISNUMBER(E1297))),"",IFERROR(ROUND(N(INDEX(art_init,MATCH(C1297,art_ref,0)))+SUMIFS($E$5:E1297,$C$5:C1297,C1297,$B$5:B1297,"Entrée")-SUMIFS($E$5:E1297,$C$5:C1297,C1297,$B$5:B1297,"Sortie"),6),""))</f>
        <v/>
      </c>
      <c r="L1297" s="39" t="str">
        <f>IF(COUNTA(A1297:C1297,E1297)=0,"",IF(COUNTA(A1297:C1297,E1297)&lt;4,"Ligne incomplète",IF(NOT(ISNUMBER(A1297)),"Date invalide",IF(AND(B1297&lt;&gt;"Entrée",B1297&lt;&gt;"Sortie"),"Type inconnu",IF(ISNA(MATCH(C1297,art_ref,0)),"Référence inconnue",IF(OR(NOT(ISNUMBER(E1297)),N(E1297)&lt;=0),"Quantité invalide",IF(K1297&lt;0,"Stock négatif",IF(AND(ISNUMBER(A1296),A1297&lt;A1296),"Date hors ordre","OK"))))))))</f>
        <v/>
      </c>
      <c r="M1297" s="39" t="str">
        <f>IF(C1297="","",C1297&amp;"#"&amp;COUNTIF($C$5:C1297,C1297))</f>
        <v/>
      </c>
    </row>
    <row r="1298">
      <c r="A1298" s="41" t="n"/>
      <c r="B1298" s="37" t="n"/>
      <c r="C1298" s="37" t="n"/>
      <c r="D1298" s="39" t="str">
        <f>IF(C1298="","",IFERROR(INDEX(art_des,MATCH(C1298,art_ref,0))&amp;"","Référence inconnue"))</f>
        <v/>
      </c>
      <c r="E1298" s="37" t="n"/>
      <c r="F1298" s="39" t="str">
        <f>IF(C1298="","",IFERROR(INDEX(art_unit,MATCH(C1298,art_ref,0))&amp;"",""))</f>
        <v/>
      </c>
      <c r="G1298" s="37" t="n"/>
      <c r="H1298" s="37" t="n"/>
      <c r="I1298" s="37" t="n"/>
      <c r="J1298" s="40" t="str">
        <f>IF(OR(C1298="",NOT(ISNUMBER(E1298))),"",IFERROR(E1298*N(INDEX(art_price,MATCH(C1298,art_ref,0))),""))</f>
        <v/>
      </c>
      <c r="K1298" s="39" t="str">
        <f>IF(OR(C1298="",NOT(ISNUMBER(E1298))),"",IFERROR(ROUND(N(INDEX(art_init,MATCH(C1298,art_ref,0)))+SUMIFS($E$5:E1298,$C$5:C1298,C1298,$B$5:B1298,"Entrée")-SUMIFS($E$5:E1298,$C$5:C1298,C1298,$B$5:B1298,"Sortie"),6),""))</f>
        <v/>
      </c>
      <c r="L1298" s="39" t="str">
        <f>IF(COUNTA(A1298:C1298,E1298)=0,"",IF(COUNTA(A1298:C1298,E1298)&lt;4,"Ligne incomplète",IF(NOT(ISNUMBER(A1298)),"Date invalide",IF(AND(B1298&lt;&gt;"Entrée",B1298&lt;&gt;"Sortie"),"Type inconnu",IF(ISNA(MATCH(C1298,art_ref,0)),"Référence inconnue",IF(OR(NOT(ISNUMBER(E1298)),N(E1298)&lt;=0),"Quantité invalide",IF(K1298&lt;0,"Stock négatif",IF(AND(ISNUMBER(A1297),A1298&lt;A1297),"Date hors ordre","OK"))))))))</f>
        <v/>
      </c>
      <c r="M1298" s="39" t="str">
        <f>IF(C1298="","",C1298&amp;"#"&amp;COUNTIF($C$5:C1298,C1298))</f>
        <v/>
      </c>
    </row>
    <row r="1299">
      <c r="A1299" s="41" t="n"/>
      <c r="B1299" s="37" t="n"/>
      <c r="C1299" s="37" t="n"/>
      <c r="D1299" s="39" t="str">
        <f>IF(C1299="","",IFERROR(INDEX(art_des,MATCH(C1299,art_ref,0))&amp;"","Référence inconnue"))</f>
        <v/>
      </c>
      <c r="E1299" s="37" t="n"/>
      <c r="F1299" s="39" t="str">
        <f>IF(C1299="","",IFERROR(INDEX(art_unit,MATCH(C1299,art_ref,0))&amp;"",""))</f>
        <v/>
      </c>
      <c r="G1299" s="37" t="n"/>
      <c r="H1299" s="37" t="n"/>
      <c r="I1299" s="37" t="n"/>
      <c r="J1299" s="40" t="str">
        <f>IF(OR(C1299="",NOT(ISNUMBER(E1299))),"",IFERROR(E1299*N(INDEX(art_price,MATCH(C1299,art_ref,0))),""))</f>
        <v/>
      </c>
      <c r="K1299" s="39" t="str">
        <f>IF(OR(C1299="",NOT(ISNUMBER(E1299))),"",IFERROR(ROUND(N(INDEX(art_init,MATCH(C1299,art_ref,0)))+SUMIFS($E$5:E1299,$C$5:C1299,C1299,$B$5:B1299,"Entrée")-SUMIFS($E$5:E1299,$C$5:C1299,C1299,$B$5:B1299,"Sortie"),6),""))</f>
        <v/>
      </c>
      <c r="L1299" s="39" t="str">
        <f>IF(COUNTA(A1299:C1299,E1299)=0,"",IF(COUNTA(A1299:C1299,E1299)&lt;4,"Ligne incomplète",IF(NOT(ISNUMBER(A1299)),"Date invalide",IF(AND(B1299&lt;&gt;"Entrée",B1299&lt;&gt;"Sortie"),"Type inconnu",IF(ISNA(MATCH(C1299,art_ref,0)),"Référence inconnue",IF(OR(NOT(ISNUMBER(E1299)),N(E1299)&lt;=0),"Quantité invalide",IF(K1299&lt;0,"Stock négatif",IF(AND(ISNUMBER(A1298),A1299&lt;A1298),"Date hors ordre","OK"))))))))</f>
        <v/>
      </c>
      <c r="M1299" s="39" t="str">
        <f>IF(C1299="","",C1299&amp;"#"&amp;COUNTIF($C$5:C1299,C1299))</f>
        <v/>
      </c>
    </row>
    <row r="1300">
      <c r="A1300" s="41" t="n"/>
      <c r="B1300" s="37" t="n"/>
      <c r="C1300" s="37" t="n"/>
      <c r="D1300" s="39" t="str">
        <f>IF(C1300="","",IFERROR(INDEX(art_des,MATCH(C1300,art_ref,0))&amp;"","Référence inconnue"))</f>
        <v/>
      </c>
      <c r="E1300" s="37" t="n"/>
      <c r="F1300" s="39" t="str">
        <f>IF(C1300="","",IFERROR(INDEX(art_unit,MATCH(C1300,art_ref,0))&amp;"",""))</f>
        <v/>
      </c>
      <c r="G1300" s="37" t="n"/>
      <c r="H1300" s="37" t="n"/>
      <c r="I1300" s="37" t="n"/>
      <c r="J1300" s="40" t="str">
        <f>IF(OR(C1300="",NOT(ISNUMBER(E1300))),"",IFERROR(E1300*N(INDEX(art_price,MATCH(C1300,art_ref,0))),""))</f>
        <v/>
      </c>
      <c r="K1300" s="39" t="str">
        <f>IF(OR(C1300="",NOT(ISNUMBER(E1300))),"",IFERROR(ROUND(N(INDEX(art_init,MATCH(C1300,art_ref,0)))+SUMIFS($E$5:E1300,$C$5:C1300,C1300,$B$5:B1300,"Entrée")-SUMIFS($E$5:E1300,$C$5:C1300,C1300,$B$5:B1300,"Sortie"),6),""))</f>
        <v/>
      </c>
      <c r="L1300" s="39" t="str">
        <f>IF(COUNTA(A1300:C1300,E1300)=0,"",IF(COUNTA(A1300:C1300,E1300)&lt;4,"Ligne incomplète",IF(NOT(ISNUMBER(A1300)),"Date invalide",IF(AND(B1300&lt;&gt;"Entrée",B1300&lt;&gt;"Sortie"),"Type inconnu",IF(ISNA(MATCH(C1300,art_ref,0)),"Référence inconnue",IF(OR(NOT(ISNUMBER(E1300)),N(E1300)&lt;=0),"Quantité invalide",IF(K1300&lt;0,"Stock négatif",IF(AND(ISNUMBER(A1299),A1300&lt;A1299),"Date hors ordre","OK"))))))))</f>
        <v/>
      </c>
      <c r="M1300" s="39" t="str">
        <f>IF(C1300="","",C1300&amp;"#"&amp;COUNTIF($C$5:C1300,C1300))</f>
        <v/>
      </c>
    </row>
    <row r="1301">
      <c r="A1301" s="41" t="n"/>
      <c r="B1301" s="37" t="n"/>
      <c r="C1301" s="37" t="n"/>
      <c r="D1301" s="39" t="str">
        <f>IF(C1301="","",IFERROR(INDEX(art_des,MATCH(C1301,art_ref,0))&amp;"","Référence inconnue"))</f>
        <v/>
      </c>
      <c r="E1301" s="37" t="n"/>
      <c r="F1301" s="39" t="str">
        <f>IF(C1301="","",IFERROR(INDEX(art_unit,MATCH(C1301,art_ref,0))&amp;"",""))</f>
        <v/>
      </c>
      <c r="G1301" s="37" t="n"/>
      <c r="H1301" s="37" t="n"/>
      <c r="I1301" s="37" t="n"/>
      <c r="J1301" s="40" t="str">
        <f>IF(OR(C1301="",NOT(ISNUMBER(E1301))),"",IFERROR(E1301*N(INDEX(art_price,MATCH(C1301,art_ref,0))),""))</f>
        <v/>
      </c>
      <c r="K1301" s="39" t="str">
        <f>IF(OR(C1301="",NOT(ISNUMBER(E1301))),"",IFERROR(ROUND(N(INDEX(art_init,MATCH(C1301,art_ref,0)))+SUMIFS($E$5:E1301,$C$5:C1301,C1301,$B$5:B1301,"Entrée")-SUMIFS($E$5:E1301,$C$5:C1301,C1301,$B$5:B1301,"Sortie"),6),""))</f>
        <v/>
      </c>
      <c r="L1301" s="39" t="str">
        <f>IF(COUNTA(A1301:C1301,E1301)=0,"",IF(COUNTA(A1301:C1301,E1301)&lt;4,"Ligne incomplète",IF(NOT(ISNUMBER(A1301)),"Date invalide",IF(AND(B1301&lt;&gt;"Entrée",B1301&lt;&gt;"Sortie"),"Type inconnu",IF(ISNA(MATCH(C1301,art_ref,0)),"Référence inconnue",IF(OR(NOT(ISNUMBER(E1301)),N(E1301)&lt;=0),"Quantité invalide",IF(K1301&lt;0,"Stock négatif",IF(AND(ISNUMBER(A1300),A1301&lt;A1300),"Date hors ordre","OK"))))))))</f>
        <v/>
      </c>
      <c r="M1301" s="39" t="str">
        <f>IF(C1301="","",C1301&amp;"#"&amp;COUNTIF($C$5:C1301,C1301))</f>
        <v/>
      </c>
    </row>
    <row r="1302">
      <c r="A1302" s="41" t="n"/>
      <c r="B1302" s="37" t="n"/>
      <c r="C1302" s="37" t="n"/>
      <c r="D1302" s="39" t="str">
        <f>IF(C1302="","",IFERROR(INDEX(art_des,MATCH(C1302,art_ref,0))&amp;"","Référence inconnue"))</f>
        <v/>
      </c>
      <c r="E1302" s="37" t="n"/>
      <c r="F1302" s="39" t="str">
        <f>IF(C1302="","",IFERROR(INDEX(art_unit,MATCH(C1302,art_ref,0))&amp;"",""))</f>
        <v/>
      </c>
      <c r="G1302" s="37" t="n"/>
      <c r="H1302" s="37" t="n"/>
      <c r="I1302" s="37" t="n"/>
      <c r="J1302" s="40" t="str">
        <f>IF(OR(C1302="",NOT(ISNUMBER(E1302))),"",IFERROR(E1302*N(INDEX(art_price,MATCH(C1302,art_ref,0))),""))</f>
        <v/>
      </c>
      <c r="K1302" s="39" t="str">
        <f>IF(OR(C1302="",NOT(ISNUMBER(E1302))),"",IFERROR(ROUND(N(INDEX(art_init,MATCH(C1302,art_ref,0)))+SUMIFS($E$5:E1302,$C$5:C1302,C1302,$B$5:B1302,"Entrée")-SUMIFS($E$5:E1302,$C$5:C1302,C1302,$B$5:B1302,"Sortie"),6),""))</f>
        <v/>
      </c>
      <c r="L1302" s="39" t="str">
        <f>IF(COUNTA(A1302:C1302,E1302)=0,"",IF(COUNTA(A1302:C1302,E1302)&lt;4,"Ligne incomplète",IF(NOT(ISNUMBER(A1302)),"Date invalide",IF(AND(B1302&lt;&gt;"Entrée",B1302&lt;&gt;"Sortie"),"Type inconnu",IF(ISNA(MATCH(C1302,art_ref,0)),"Référence inconnue",IF(OR(NOT(ISNUMBER(E1302)),N(E1302)&lt;=0),"Quantité invalide",IF(K1302&lt;0,"Stock négatif",IF(AND(ISNUMBER(A1301),A1302&lt;A1301),"Date hors ordre","OK"))))))))</f>
        <v/>
      </c>
      <c r="M1302" s="39" t="str">
        <f>IF(C1302="","",C1302&amp;"#"&amp;COUNTIF($C$5:C1302,C1302))</f>
        <v/>
      </c>
    </row>
    <row r="1303">
      <c r="A1303" s="41" t="n"/>
      <c r="B1303" s="37" t="n"/>
      <c r="C1303" s="37" t="n"/>
      <c r="D1303" s="39" t="str">
        <f>IF(C1303="","",IFERROR(INDEX(art_des,MATCH(C1303,art_ref,0))&amp;"","Référence inconnue"))</f>
        <v/>
      </c>
      <c r="E1303" s="37" t="n"/>
      <c r="F1303" s="39" t="str">
        <f>IF(C1303="","",IFERROR(INDEX(art_unit,MATCH(C1303,art_ref,0))&amp;"",""))</f>
        <v/>
      </c>
      <c r="G1303" s="37" t="n"/>
      <c r="H1303" s="37" t="n"/>
      <c r="I1303" s="37" t="n"/>
      <c r="J1303" s="40" t="str">
        <f>IF(OR(C1303="",NOT(ISNUMBER(E1303))),"",IFERROR(E1303*N(INDEX(art_price,MATCH(C1303,art_ref,0))),""))</f>
        <v/>
      </c>
      <c r="K1303" s="39" t="str">
        <f>IF(OR(C1303="",NOT(ISNUMBER(E1303))),"",IFERROR(ROUND(N(INDEX(art_init,MATCH(C1303,art_ref,0)))+SUMIFS($E$5:E1303,$C$5:C1303,C1303,$B$5:B1303,"Entrée")-SUMIFS($E$5:E1303,$C$5:C1303,C1303,$B$5:B1303,"Sortie"),6),""))</f>
        <v/>
      </c>
      <c r="L1303" s="39" t="str">
        <f>IF(COUNTA(A1303:C1303,E1303)=0,"",IF(COUNTA(A1303:C1303,E1303)&lt;4,"Ligne incomplète",IF(NOT(ISNUMBER(A1303)),"Date invalide",IF(AND(B1303&lt;&gt;"Entrée",B1303&lt;&gt;"Sortie"),"Type inconnu",IF(ISNA(MATCH(C1303,art_ref,0)),"Référence inconnue",IF(OR(NOT(ISNUMBER(E1303)),N(E1303)&lt;=0),"Quantité invalide",IF(K1303&lt;0,"Stock négatif",IF(AND(ISNUMBER(A1302),A1303&lt;A1302),"Date hors ordre","OK"))))))))</f>
        <v/>
      </c>
      <c r="M1303" s="39" t="str">
        <f>IF(C1303="","",C1303&amp;"#"&amp;COUNTIF($C$5:C1303,C1303))</f>
        <v/>
      </c>
    </row>
    <row r="1304">
      <c r="A1304" s="41" t="n"/>
      <c r="B1304" s="37" t="n"/>
      <c r="C1304" s="37" t="n"/>
      <c r="D1304" s="39" t="str">
        <f>IF(C1304="","",IFERROR(INDEX(art_des,MATCH(C1304,art_ref,0))&amp;"","Référence inconnue"))</f>
        <v/>
      </c>
      <c r="E1304" s="37" t="n"/>
      <c r="F1304" s="39" t="str">
        <f>IF(C1304="","",IFERROR(INDEX(art_unit,MATCH(C1304,art_ref,0))&amp;"",""))</f>
        <v/>
      </c>
      <c r="G1304" s="37" t="n"/>
      <c r="H1304" s="37" t="n"/>
      <c r="I1304" s="37" t="n"/>
      <c r="J1304" s="40" t="str">
        <f>IF(OR(C1304="",NOT(ISNUMBER(E1304))),"",IFERROR(E1304*N(INDEX(art_price,MATCH(C1304,art_ref,0))),""))</f>
        <v/>
      </c>
      <c r="K1304" s="39" t="str">
        <f>IF(OR(C1304="",NOT(ISNUMBER(E1304))),"",IFERROR(ROUND(N(INDEX(art_init,MATCH(C1304,art_ref,0)))+SUMIFS($E$5:E1304,$C$5:C1304,C1304,$B$5:B1304,"Entrée")-SUMIFS($E$5:E1304,$C$5:C1304,C1304,$B$5:B1304,"Sortie"),6),""))</f>
        <v/>
      </c>
      <c r="L1304" s="39" t="str">
        <f>IF(COUNTA(A1304:C1304,E1304)=0,"",IF(COUNTA(A1304:C1304,E1304)&lt;4,"Ligne incomplète",IF(NOT(ISNUMBER(A1304)),"Date invalide",IF(AND(B1304&lt;&gt;"Entrée",B1304&lt;&gt;"Sortie"),"Type inconnu",IF(ISNA(MATCH(C1304,art_ref,0)),"Référence inconnue",IF(OR(NOT(ISNUMBER(E1304)),N(E1304)&lt;=0),"Quantité invalide",IF(K1304&lt;0,"Stock négatif",IF(AND(ISNUMBER(A1303),A1304&lt;A1303),"Date hors ordre","OK"))))))))</f>
        <v/>
      </c>
      <c r="M1304" s="39" t="str">
        <f>IF(C1304="","",C1304&amp;"#"&amp;COUNTIF($C$5:C1304,C1304))</f>
        <v/>
      </c>
    </row>
    <row r="1305">
      <c r="A1305" s="41" t="n"/>
      <c r="B1305" s="37" t="n"/>
      <c r="C1305" s="37" t="n"/>
      <c r="D1305" s="39" t="str">
        <f>IF(C1305="","",IFERROR(INDEX(art_des,MATCH(C1305,art_ref,0))&amp;"","Référence inconnue"))</f>
        <v/>
      </c>
      <c r="E1305" s="37" t="n"/>
      <c r="F1305" s="39" t="str">
        <f>IF(C1305="","",IFERROR(INDEX(art_unit,MATCH(C1305,art_ref,0))&amp;"",""))</f>
        <v/>
      </c>
      <c r="G1305" s="37" t="n"/>
      <c r="H1305" s="37" t="n"/>
      <c r="I1305" s="37" t="n"/>
      <c r="J1305" s="40" t="str">
        <f>IF(OR(C1305="",NOT(ISNUMBER(E1305))),"",IFERROR(E1305*N(INDEX(art_price,MATCH(C1305,art_ref,0))),""))</f>
        <v/>
      </c>
      <c r="K1305" s="39" t="str">
        <f>IF(OR(C1305="",NOT(ISNUMBER(E1305))),"",IFERROR(ROUND(N(INDEX(art_init,MATCH(C1305,art_ref,0)))+SUMIFS($E$5:E1305,$C$5:C1305,C1305,$B$5:B1305,"Entrée")-SUMIFS($E$5:E1305,$C$5:C1305,C1305,$B$5:B1305,"Sortie"),6),""))</f>
        <v/>
      </c>
      <c r="L1305" s="39" t="str">
        <f>IF(COUNTA(A1305:C1305,E1305)=0,"",IF(COUNTA(A1305:C1305,E1305)&lt;4,"Ligne incomplète",IF(NOT(ISNUMBER(A1305)),"Date invalide",IF(AND(B1305&lt;&gt;"Entrée",B1305&lt;&gt;"Sortie"),"Type inconnu",IF(ISNA(MATCH(C1305,art_ref,0)),"Référence inconnue",IF(OR(NOT(ISNUMBER(E1305)),N(E1305)&lt;=0),"Quantité invalide",IF(K1305&lt;0,"Stock négatif",IF(AND(ISNUMBER(A1304),A1305&lt;A1304),"Date hors ordre","OK"))))))))</f>
        <v/>
      </c>
      <c r="M1305" s="39" t="str">
        <f>IF(C1305="","",C1305&amp;"#"&amp;COUNTIF($C$5:C1305,C1305))</f>
        <v/>
      </c>
    </row>
    <row r="1306">
      <c r="A1306" s="41" t="n"/>
      <c r="B1306" s="37" t="n"/>
      <c r="C1306" s="37" t="n"/>
      <c r="D1306" s="39" t="str">
        <f>IF(C1306="","",IFERROR(INDEX(art_des,MATCH(C1306,art_ref,0))&amp;"","Référence inconnue"))</f>
        <v/>
      </c>
      <c r="E1306" s="37" t="n"/>
      <c r="F1306" s="39" t="str">
        <f>IF(C1306="","",IFERROR(INDEX(art_unit,MATCH(C1306,art_ref,0))&amp;"",""))</f>
        <v/>
      </c>
      <c r="G1306" s="37" t="n"/>
      <c r="H1306" s="37" t="n"/>
      <c r="I1306" s="37" t="n"/>
      <c r="J1306" s="40" t="str">
        <f>IF(OR(C1306="",NOT(ISNUMBER(E1306))),"",IFERROR(E1306*N(INDEX(art_price,MATCH(C1306,art_ref,0))),""))</f>
        <v/>
      </c>
      <c r="K1306" s="39" t="str">
        <f>IF(OR(C1306="",NOT(ISNUMBER(E1306))),"",IFERROR(ROUND(N(INDEX(art_init,MATCH(C1306,art_ref,0)))+SUMIFS($E$5:E1306,$C$5:C1306,C1306,$B$5:B1306,"Entrée")-SUMIFS($E$5:E1306,$C$5:C1306,C1306,$B$5:B1306,"Sortie"),6),""))</f>
        <v/>
      </c>
      <c r="L1306" s="39" t="str">
        <f>IF(COUNTA(A1306:C1306,E1306)=0,"",IF(COUNTA(A1306:C1306,E1306)&lt;4,"Ligne incomplète",IF(NOT(ISNUMBER(A1306)),"Date invalide",IF(AND(B1306&lt;&gt;"Entrée",B1306&lt;&gt;"Sortie"),"Type inconnu",IF(ISNA(MATCH(C1306,art_ref,0)),"Référence inconnue",IF(OR(NOT(ISNUMBER(E1306)),N(E1306)&lt;=0),"Quantité invalide",IF(K1306&lt;0,"Stock négatif",IF(AND(ISNUMBER(A1305),A1306&lt;A1305),"Date hors ordre","OK"))))))))</f>
        <v/>
      </c>
      <c r="M1306" s="39" t="str">
        <f>IF(C1306="","",C1306&amp;"#"&amp;COUNTIF($C$5:C1306,C1306))</f>
        <v/>
      </c>
    </row>
    <row r="1307">
      <c r="A1307" s="41" t="n"/>
      <c r="B1307" s="37" t="n"/>
      <c r="C1307" s="37" t="n"/>
      <c r="D1307" s="39" t="str">
        <f>IF(C1307="","",IFERROR(INDEX(art_des,MATCH(C1307,art_ref,0))&amp;"","Référence inconnue"))</f>
        <v/>
      </c>
      <c r="E1307" s="37" t="n"/>
      <c r="F1307" s="39" t="str">
        <f>IF(C1307="","",IFERROR(INDEX(art_unit,MATCH(C1307,art_ref,0))&amp;"",""))</f>
        <v/>
      </c>
      <c r="G1307" s="37" t="n"/>
      <c r="H1307" s="37" t="n"/>
      <c r="I1307" s="37" t="n"/>
      <c r="J1307" s="40" t="str">
        <f>IF(OR(C1307="",NOT(ISNUMBER(E1307))),"",IFERROR(E1307*N(INDEX(art_price,MATCH(C1307,art_ref,0))),""))</f>
        <v/>
      </c>
      <c r="K1307" s="39" t="str">
        <f>IF(OR(C1307="",NOT(ISNUMBER(E1307))),"",IFERROR(ROUND(N(INDEX(art_init,MATCH(C1307,art_ref,0)))+SUMIFS($E$5:E1307,$C$5:C1307,C1307,$B$5:B1307,"Entrée")-SUMIFS($E$5:E1307,$C$5:C1307,C1307,$B$5:B1307,"Sortie"),6),""))</f>
        <v/>
      </c>
      <c r="L1307" s="39" t="str">
        <f>IF(COUNTA(A1307:C1307,E1307)=0,"",IF(COUNTA(A1307:C1307,E1307)&lt;4,"Ligne incomplète",IF(NOT(ISNUMBER(A1307)),"Date invalide",IF(AND(B1307&lt;&gt;"Entrée",B1307&lt;&gt;"Sortie"),"Type inconnu",IF(ISNA(MATCH(C1307,art_ref,0)),"Référence inconnue",IF(OR(NOT(ISNUMBER(E1307)),N(E1307)&lt;=0),"Quantité invalide",IF(K1307&lt;0,"Stock négatif",IF(AND(ISNUMBER(A1306),A1307&lt;A1306),"Date hors ordre","OK"))))))))</f>
        <v/>
      </c>
      <c r="M1307" s="39" t="str">
        <f>IF(C1307="","",C1307&amp;"#"&amp;COUNTIF($C$5:C1307,C1307))</f>
        <v/>
      </c>
    </row>
    <row r="1308">
      <c r="A1308" s="41" t="n"/>
      <c r="B1308" s="37" t="n"/>
      <c r="C1308" s="37" t="n"/>
      <c r="D1308" s="39" t="str">
        <f>IF(C1308="","",IFERROR(INDEX(art_des,MATCH(C1308,art_ref,0))&amp;"","Référence inconnue"))</f>
        <v/>
      </c>
      <c r="E1308" s="37" t="n"/>
      <c r="F1308" s="39" t="str">
        <f>IF(C1308="","",IFERROR(INDEX(art_unit,MATCH(C1308,art_ref,0))&amp;"",""))</f>
        <v/>
      </c>
      <c r="G1308" s="37" t="n"/>
      <c r="H1308" s="37" t="n"/>
      <c r="I1308" s="37" t="n"/>
      <c r="J1308" s="40" t="str">
        <f>IF(OR(C1308="",NOT(ISNUMBER(E1308))),"",IFERROR(E1308*N(INDEX(art_price,MATCH(C1308,art_ref,0))),""))</f>
        <v/>
      </c>
      <c r="K1308" s="39" t="str">
        <f>IF(OR(C1308="",NOT(ISNUMBER(E1308))),"",IFERROR(ROUND(N(INDEX(art_init,MATCH(C1308,art_ref,0)))+SUMIFS($E$5:E1308,$C$5:C1308,C1308,$B$5:B1308,"Entrée")-SUMIFS($E$5:E1308,$C$5:C1308,C1308,$B$5:B1308,"Sortie"),6),""))</f>
        <v/>
      </c>
      <c r="L1308" s="39" t="str">
        <f>IF(COUNTA(A1308:C1308,E1308)=0,"",IF(COUNTA(A1308:C1308,E1308)&lt;4,"Ligne incomplète",IF(NOT(ISNUMBER(A1308)),"Date invalide",IF(AND(B1308&lt;&gt;"Entrée",B1308&lt;&gt;"Sortie"),"Type inconnu",IF(ISNA(MATCH(C1308,art_ref,0)),"Référence inconnue",IF(OR(NOT(ISNUMBER(E1308)),N(E1308)&lt;=0),"Quantité invalide",IF(K1308&lt;0,"Stock négatif",IF(AND(ISNUMBER(A1307),A1308&lt;A1307),"Date hors ordre","OK"))))))))</f>
        <v/>
      </c>
      <c r="M1308" s="39" t="str">
        <f>IF(C1308="","",C1308&amp;"#"&amp;COUNTIF($C$5:C1308,C1308))</f>
        <v/>
      </c>
    </row>
    <row r="1309">
      <c r="A1309" s="41" t="n"/>
      <c r="B1309" s="37" t="n"/>
      <c r="C1309" s="37" t="n"/>
      <c r="D1309" s="39" t="str">
        <f>IF(C1309="","",IFERROR(INDEX(art_des,MATCH(C1309,art_ref,0))&amp;"","Référence inconnue"))</f>
        <v/>
      </c>
      <c r="E1309" s="37" t="n"/>
      <c r="F1309" s="39" t="str">
        <f>IF(C1309="","",IFERROR(INDEX(art_unit,MATCH(C1309,art_ref,0))&amp;"",""))</f>
        <v/>
      </c>
      <c r="G1309" s="37" t="n"/>
      <c r="H1309" s="37" t="n"/>
      <c r="I1309" s="37" t="n"/>
      <c r="J1309" s="40" t="str">
        <f>IF(OR(C1309="",NOT(ISNUMBER(E1309))),"",IFERROR(E1309*N(INDEX(art_price,MATCH(C1309,art_ref,0))),""))</f>
        <v/>
      </c>
      <c r="K1309" s="39" t="str">
        <f>IF(OR(C1309="",NOT(ISNUMBER(E1309))),"",IFERROR(ROUND(N(INDEX(art_init,MATCH(C1309,art_ref,0)))+SUMIFS($E$5:E1309,$C$5:C1309,C1309,$B$5:B1309,"Entrée")-SUMIFS($E$5:E1309,$C$5:C1309,C1309,$B$5:B1309,"Sortie"),6),""))</f>
        <v/>
      </c>
      <c r="L1309" s="39" t="str">
        <f>IF(COUNTA(A1309:C1309,E1309)=0,"",IF(COUNTA(A1309:C1309,E1309)&lt;4,"Ligne incomplète",IF(NOT(ISNUMBER(A1309)),"Date invalide",IF(AND(B1309&lt;&gt;"Entrée",B1309&lt;&gt;"Sortie"),"Type inconnu",IF(ISNA(MATCH(C1309,art_ref,0)),"Référence inconnue",IF(OR(NOT(ISNUMBER(E1309)),N(E1309)&lt;=0),"Quantité invalide",IF(K1309&lt;0,"Stock négatif",IF(AND(ISNUMBER(A1308),A1309&lt;A1308),"Date hors ordre","OK"))))))))</f>
        <v/>
      </c>
      <c r="M1309" s="39" t="str">
        <f>IF(C1309="","",C1309&amp;"#"&amp;COUNTIF($C$5:C1309,C1309))</f>
        <v/>
      </c>
    </row>
    <row r="1310">
      <c r="A1310" s="41" t="n"/>
      <c r="B1310" s="37" t="n"/>
      <c r="C1310" s="37" t="n"/>
      <c r="D1310" s="39" t="str">
        <f>IF(C1310="","",IFERROR(INDEX(art_des,MATCH(C1310,art_ref,0))&amp;"","Référence inconnue"))</f>
        <v/>
      </c>
      <c r="E1310" s="37" t="n"/>
      <c r="F1310" s="39" t="str">
        <f>IF(C1310="","",IFERROR(INDEX(art_unit,MATCH(C1310,art_ref,0))&amp;"",""))</f>
        <v/>
      </c>
      <c r="G1310" s="37" t="n"/>
      <c r="H1310" s="37" t="n"/>
      <c r="I1310" s="37" t="n"/>
      <c r="J1310" s="40" t="str">
        <f>IF(OR(C1310="",NOT(ISNUMBER(E1310))),"",IFERROR(E1310*N(INDEX(art_price,MATCH(C1310,art_ref,0))),""))</f>
        <v/>
      </c>
      <c r="K1310" s="39" t="str">
        <f>IF(OR(C1310="",NOT(ISNUMBER(E1310))),"",IFERROR(ROUND(N(INDEX(art_init,MATCH(C1310,art_ref,0)))+SUMIFS($E$5:E1310,$C$5:C1310,C1310,$B$5:B1310,"Entrée")-SUMIFS($E$5:E1310,$C$5:C1310,C1310,$B$5:B1310,"Sortie"),6),""))</f>
        <v/>
      </c>
      <c r="L1310" s="39" t="str">
        <f>IF(COUNTA(A1310:C1310,E1310)=0,"",IF(COUNTA(A1310:C1310,E1310)&lt;4,"Ligne incomplète",IF(NOT(ISNUMBER(A1310)),"Date invalide",IF(AND(B1310&lt;&gt;"Entrée",B1310&lt;&gt;"Sortie"),"Type inconnu",IF(ISNA(MATCH(C1310,art_ref,0)),"Référence inconnue",IF(OR(NOT(ISNUMBER(E1310)),N(E1310)&lt;=0),"Quantité invalide",IF(K1310&lt;0,"Stock négatif",IF(AND(ISNUMBER(A1309),A1310&lt;A1309),"Date hors ordre","OK"))))))))</f>
        <v/>
      </c>
      <c r="M1310" s="39" t="str">
        <f>IF(C1310="","",C1310&amp;"#"&amp;COUNTIF($C$5:C1310,C1310))</f>
        <v/>
      </c>
    </row>
    <row r="1311">
      <c r="A1311" s="41" t="n"/>
      <c r="B1311" s="37" t="n"/>
      <c r="C1311" s="37" t="n"/>
      <c r="D1311" s="39" t="str">
        <f>IF(C1311="","",IFERROR(INDEX(art_des,MATCH(C1311,art_ref,0))&amp;"","Référence inconnue"))</f>
        <v/>
      </c>
      <c r="E1311" s="37" t="n"/>
      <c r="F1311" s="39" t="str">
        <f>IF(C1311="","",IFERROR(INDEX(art_unit,MATCH(C1311,art_ref,0))&amp;"",""))</f>
        <v/>
      </c>
      <c r="G1311" s="37" t="n"/>
      <c r="H1311" s="37" t="n"/>
      <c r="I1311" s="37" t="n"/>
      <c r="J1311" s="40" t="str">
        <f>IF(OR(C1311="",NOT(ISNUMBER(E1311))),"",IFERROR(E1311*N(INDEX(art_price,MATCH(C1311,art_ref,0))),""))</f>
        <v/>
      </c>
      <c r="K1311" s="39" t="str">
        <f>IF(OR(C1311="",NOT(ISNUMBER(E1311))),"",IFERROR(ROUND(N(INDEX(art_init,MATCH(C1311,art_ref,0)))+SUMIFS($E$5:E1311,$C$5:C1311,C1311,$B$5:B1311,"Entrée")-SUMIFS($E$5:E1311,$C$5:C1311,C1311,$B$5:B1311,"Sortie"),6),""))</f>
        <v/>
      </c>
      <c r="L1311" s="39" t="str">
        <f>IF(COUNTA(A1311:C1311,E1311)=0,"",IF(COUNTA(A1311:C1311,E1311)&lt;4,"Ligne incomplète",IF(NOT(ISNUMBER(A1311)),"Date invalide",IF(AND(B1311&lt;&gt;"Entrée",B1311&lt;&gt;"Sortie"),"Type inconnu",IF(ISNA(MATCH(C1311,art_ref,0)),"Référence inconnue",IF(OR(NOT(ISNUMBER(E1311)),N(E1311)&lt;=0),"Quantité invalide",IF(K1311&lt;0,"Stock négatif",IF(AND(ISNUMBER(A1310),A1311&lt;A1310),"Date hors ordre","OK"))))))))</f>
        <v/>
      </c>
      <c r="M1311" s="39" t="str">
        <f>IF(C1311="","",C1311&amp;"#"&amp;COUNTIF($C$5:C1311,C1311))</f>
        <v/>
      </c>
    </row>
    <row r="1312">
      <c r="A1312" s="41" t="n"/>
      <c r="B1312" s="37" t="n"/>
      <c r="C1312" s="37" t="n"/>
      <c r="D1312" s="39" t="str">
        <f>IF(C1312="","",IFERROR(INDEX(art_des,MATCH(C1312,art_ref,0))&amp;"","Référence inconnue"))</f>
        <v/>
      </c>
      <c r="E1312" s="37" t="n"/>
      <c r="F1312" s="39" t="str">
        <f>IF(C1312="","",IFERROR(INDEX(art_unit,MATCH(C1312,art_ref,0))&amp;"",""))</f>
        <v/>
      </c>
      <c r="G1312" s="37" t="n"/>
      <c r="H1312" s="37" t="n"/>
      <c r="I1312" s="37" t="n"/>
      <c r="J1312" s="40" t="str">
        <f>IF(OR(C1312="",NOT(ISNUMBER(E1312))),"",IFERROR(E1312*N(INDEX(art_price,MATCH(C1312,art_ref,0))),""))</f>
        <v/>
      </c>
      <c r="K1312" s="39" t="str">
        <f>IF(OR(C1312="",NOT(ISNUMBER(E1312))),"",IFERROR(ROUND(N(INDEX(art_init,MATCH(C1312,art_ref,0)))+SUMIFS($E$5:E1312,$C$5:C1312,C1312,$B$5:B1312,"Entrée")-SUMIFS($E$5:E1312,$C$5:C1312,C1312,$B$5:B1312,"Sortie"),6),""))</f>
        <v/>
      </c>
      <c r="L1312" s="39" t="str">
        <f>IF(COUNTA(A1312:C1312,E1312)=0,"",IF(COUNTA(A1312:C1312,E1312)&lt;4,"Ligne incomplète",IF(NOT(ISNUMBER(A1312)),"Date invalide",IF(AND(B1312&lt;&gt;"Entrée",B1312&lt;&gt;"Sortie"),"Type inconnu",IF(ISNA(MATCH(C1312,art_ref,0)),"Référence inconnue",IF(OR(NOT(ISNUMBER(E1312)),N(E1312)&lt;=0),"Quantité invalide",IF(K1312&lt;0,"Stock négatif",IF(AND(ISNUMBER(A1311),A1312&lt;A1311),"Date hors ordre","OK"))))))))</f>
        <v/>
      </c>
      <c r="M1312" s="39" t="str">
        <f>IF(C1312="","",C1312&amp;"#"&amp;COUNTIF($C$5:C1312,C1312))</f>
        <v/>
      </c>
    </row>
    <row r="1313">
      <c r="A1313" s="41" t="n"/>
      <c r="B1313" s="37" t="n"/>
      <c r="C1313" s="37" t="n"/>
      <c r="D1313" s="39" t="str">
        <f>IF(C1313="","",IFERROR(INDEX(art_des,MATCH(C1313,art_ref,0))&amp;"","Référence inconnue"))</f>
        <v/>
      </c>
      <c r="E1313" s="37" t="n"/>
      <c r="F1313" s="39" t="str">
        <f>IF(C1313="","",IFERROR(INDEX(art_unit,MATCH(C1313,art_ref,0))&amp;"",""))</f>
        <v/>
      </c>
      <c r="G1313" s="37" t="n"/>
      <c r="H1313" s="37" t="n"/>
      <c r="I1313" s="37" t="n"/>
      <c r="J1313" s="40" t="str">
        <f>IF(OR(C1313="",NOT(ISNUMBER(E1313))),"",IFERROR(E1313*N(INDEX(art_price,MATCH(C1313,art_ref,0))),""))</f>
        <v/>
      </c>
      <c r="K1313" s="39" t="str">
        <f>IF(OR(C1313="",NOT(ISNUMBER(E1313))),"",IFERROR(ROUND(N(INDEX(art_init,MATCH(C1313,art_ref,0)))+SUMIFS($E$5:E1313,$C$5:C1313,C1313,$B$5:B1313,"Entrée")-SUMIFS($E$5:E1313,$C$5:C1313,C1313,$B$5:B1313,"Sortie"),6),""))</f>
        <v/>
      </c>
      <c r="L1313" s="39" t="str">
        <f>IF(COUNTA(A1313:C1313,E1313)=0,"",IF(COUNTA(A1313:C1313,E1313)&lt;4,"Ligne incomplète",IF(NOT(ISNUMBER(A1313)),"Date invalide",IF(AND(B1313&lt;&gt;"Entrée",B1313&lt;&gt;"Sortie"),"Type inconnu",IF(ISNA(MATCH(C1313,art_ref,0)),"Référence inconnue",IF(OR(NOT(ISNUMBER(E1313)),N(E1313)&lt;=0),"Quantité invalide",IF(K1313&lt;0,"Stock négatif",IF(AND(ISNUMBER(A1312),A1313&lt;A1312),"Date hors ordre","OK"))))))))</f>
        <v/>
      </c>
      <c r="M1313" s="39" t="str">
        <f>IF(C1313="","",C1313&amp;"#"&amp;COUNTIF($C$5:C1313,C1313))</f>
        <v/>
      </c>
    </row>
    <row r="1314">
      <c r="A1314" s="41" t="n"/>
      <c r="B1314" s="37" t="n"/>
      <c r="C1314" s="37" t="n"/>
      <c r="D1314" s="39" t="str">
        <f>IF(C1314="","",IFERROR(INDEX(art_des,MATCH(C1314,art_ref,0))&amp;"","Référence inconnue"))</f>
        <v/>
      </c>
      <c r="E1314" s="37" t="n"/>
      <c r="F1314" s="39" t="str">
        <f>IF(C1314="","",IFERROR(INDEX(art_unit,MATCH(C1314,art_ref,0))&amp;"",""))</f>
        <v/>
      </c>
      <c r="G1314" s="37" t="n"/>
      <c r="H1314" s="37" t="n"/>
      <c r="I1314" s="37" t="n"/>
      <c r="J1314" s="40" t="str">
        <f>IF(OR(C1314="",NOT(ISNUMBER(E1314))),"",IFERROR(E1314*N(INDEX(art_price,MATCH(C1314,art_ref,0))),""))</f>
        <v/>
      </c>
      <c r="K1314" s="39" t="str">
        <f>IF(OR(C1314="",NOT(ISNUMBER(E1314))),"",IFERROR(ROUND(N(INDEX(art_init,MATCH(C1314,art_ref,0)))+SUMIFS($E$5:E1314,$C$5:C1314,C1314,$B$5:B1314,"Entrée")-SUMIFS($E$5:E1314,$C$5:C1314,C1314,$B$5:B1314,"Sortie"),6),""))</f>
        <v/>
      </c>
      <c r="L1314" s="39" t="str">
        <f>IF(COUNTA(A1314:C1314,E1314)=0,"",IF(COUNTA(A1314:C1314,E1314)&lt;4,"Ligne incomplète",IF(NOT(ISNUMBER(A1314)),"Date invalide",IF(AND(B1314&lt;&gt;"Entrée",B1314&lt;&gt;"Sortie"),"Type inconnu",IF(ISNA(MATCH(C1314,art_ref,0)),"Référence inconnue",IF(OR(NOT(ISNUMBER(E1314)),N(E1314)&lt;=0),"Quantité invalide",IF(K1314&lt;0,"Stock négatif",IF(AND(ISNUMBER(A1313),A1314&lt;A1313),"Date hors ordre","OK"))))))))</f>
        <v/>
      </c>
      <c r="M1314" s="39" t="str">
        <f>IF(C1314="","",C1314&amp;"#"&amp;COUNTIF($C$5:C1314,C1314))</f>
        <v/>
      </c>
    </row>
    <row r="1315">
      <c r="A1315" s="41" t="n"/>
      <c r="B1315" s="37" t="n"/>
      <c r="C1315" s="37" t="n"/>
      <c r="D1315" s="39" t="str">
        <f>IF(C1315="","",IFERROR(INDEX(art_des,MATCH(C1315,art_ref,0))&amp;"","Référence inconnue"))</f>
        <v/>
      </c>
      <c r="E1315" s="37" t="n"/>
      <c r="F1315" s="39" t="str">
        <f>IF(C1315="","",IFERROR(INDEX(art_unit,MATCH(C1315,art_ref,0))&amp;"",""))</f>
        <v/>
      </c>
      <c r="G1315" s="37" t="n"/>
      <c r="H1315" s="37" t="n"/>
      <c r="I1315" s="37" t="n"/>
      <c r="J1315" s="40" t="str">
        <f>IF(OR(C1315="",NOT(ISNUMBER(E1315))),"",IFERROR(E1315*N(INDEX(art_price,MATCH(C1315,art_ref,0))),""))</f>
        <v/>
      </c>
      <c r="K1315" s="39" t="str">
        <f>IF(OR(C1315="",NOT(ISNUMBER(E1315))),"",IFERROR(ROUND(N(INDEX(art_init,MATCH(C1315,art_ref,0)))+SUMIFS($E$5:E1315,$C$5:C1315,C1315,$B$5:B1315,"Entrée")-SUMIFS($E$5:E1315,$C$5:C1315,C1315,$B$5:B1315,"Sortie"),6),""))</f>
        <v/>
      </c>
      <c r="L1315" s="39" t="str">
        <f>IF(COUNTA(A1315:C1315,E1315)=0,"",IF(COUNTA(A1315:C1315,E1315)&lt;4,"Ligne incomplète",IF(NOT(ISNUMBER(A1315)),"Date invalide",IF(AND(B1315&lt;&gt;"Entrée",B1315&lt;&gt;"Sortie"),"Type inconnu",IF(ISNA(MATCH(C1315,art_ref,0)),"Référence inconnue",IF(OR(NOT(ISNUMBER(E1315)),N(E1315)&lt;=0),"Quantité invalide",IF(K1315&lt;0,"Stock négatif",IF(AND(ISNUMBER(A1314),A1315&lt;A1314),"Date hors ordre","OK"))))))))</f>
        <v/>
      </c>
      <c r="M1315" s="39" t="str">
        <f>IF(C1315="","",C1315&amp;"#"&amp;COUNTIF($C$5:C1315,C1315))</f>
        <v/>
      </c>
    </row>
    <row r="1316">
      <c r="A1316" s="41" t="n"/>
      <c r="B1316" s="37" t="n"/>
      <c r="C1316" s="37" t="n"/>
      <c r="D1316" s="39" t="str">
        <f>IF(C1316="","",IFERROR(INDEX(art_des,MATCH(C1316,art_ref,0))&amp;"","Référence inconnue"))</f>
        <v/>
      </c>
      <c r="E1316" s="37" t="n"/>
      <c r="F1316" s="39" t="str">
        <f>IF(C1316="","",IFERROR(INDEX(art_unit,MATCH(C1316,art_ref,0))&amp;"",""))</f>
        <v/>
      </c>
      <c r="G1316" s="37" t="n"/>
      <c r="H1316" s="37" t="n"/>
      <c r="I1316" s="37" t="n"/>
      <c r="J1316" s="40" t="str">
        <f>IF(OR(C1316="",NOT(ISNUMBER(E1316))),"",IFERROR(E1316*N(INDEX(art_price,MATCH(C1316,art_ref,0))),""))</f>
        <v/>
      </c>
      <c r="K1316" s="39" t="str">
        <f>IF(OR(C1316="",NOT(ISNUMBER(E1316))),"",IFERROR(ROUND(N(INDEX(art_init,MATCH(C1316,art_ref,0)))+SUMIFS($E$5:E1316,$C$5:C1316,C1316,$B$5:B1316,"Entrée")-SUMIFS($E$5:E1316,$C$5:C1316,C1316,$B$5:B1316,"Sortie"),6),""))</f>
        <v/>
      </c>
      <c r="L1316" s="39" t="str">
        <f>IF(COUNTA(A1316:C1316,E1316)=0,"",IF(COUNTA(A1316:C1316,E1316)&lt;4,"Ligne incomplète",IF(NOT(ISNUMBER(A1316)),"Date invalide",IF(AND(B1316&lt;&gt;"Entrée",B1316&lt;&gt;"Sortie"),"Type inconnu",IF(ISNA(MATCH(C1316,art_ref,0)),"Référence inconnue",IF(OR(NOT(ISNUMBER(E1316)),N(E1316)&lt;=0),"Quantité invalide",IF(K1316&lt;0,"Stock négatif",IF(AND(ISNUMBER(A1315),A1316&lt;A1315),"Date hors ordre","OK"))))))))</f>
        <v/>
      </c>
      <c r="M1316" s="39" t="str">
        <f>IF(C1316="","",C1316&amp;"#"&amp;COUNTIF($C$5:C1316,C1316))</f>
        <v/>
      </c>
    </row>
    <row r="1317">
      <c r="A1317" s="41" t="n"/>
      <c r="B1317" s="37" t="n"/>
      <c r="C1317" s="37" t="n"/>
      <c r="D1317" s="39" t="str">
        <f>IF(C1317="","",IFERROR(INDEX(art_des,MATCH(C1317,art_ref,0))&amp;"","Référence inconnue"))</f>
        <v/>
      </c>
      <c r="E1317" s="37" t="n"/>
      <c r="F1317" s="39" t="str">
        <f>IF(C1317="","",IFERROR(INDEX(art_unit,MATCH(C1317,art_ref,0))&amp;"",""))</f>
        <v/>
      </c>
      <c r="G1317" s="37" t="n"/>
      <c r="H1317" s="37" t="n"/>
      <c r="I1317" s="37" t="n"/>
      <c r="J1317" s="40" t="str">
        <f>IF(OR(C1317="",NOT(ISNUMBER(E1317))),"",IFERROR(E1317*N(INDEX(art_price,MATCH(C1317,art_ref,0))),""))</f>
        <v/>
      </c>
      <c r="K1317" s="39" t="str">
        <f>IF(OR(C1317="",NOT(ISNUMBER(E1317))),"",IFERROR(ROUND(N(INDEX(art_init,MATCH(C1317,art_ref,0)))+SUMIFS($E$5:E1317,$C$5:C1317,C1317,$B$5:B1317,"Entrée")-SUMIFS($E$5:E1317,$C$5:C1317,C1317,$B$5:B1317,"Sortie"),6),""))</f>
        <v/>
      </c>
      <c r="L1317" s="39" t="str">
        <f>IF(COUNTA(A1317:C1317,E1317)=0,"",IF(COUNTA(A1317:C1317,E1317)&lt;4,"Ligne incomplète",IF(NOT(ISNUMBER(A1317)),"Date invalide",IF(AND(B1317&lt;&gt;"Entrée",B1317&lt;&gt;"Sortie"),"Type inconnu",IF(ISNA(MATCH(C1317,art_ref,0)),"Référence inconnue",IF(OR(NOT(ISNUMBER(E1317)),N(E1317)&lt;=0),"Quantité invalide",IF(K1317&lt;0,"Stock négatif",IF(AND(ISNUMBER(A1316),A1317&lt;A1316),"Date hors ordre","OK"))))))))</f>
        <v/>
      </c>
      <c r="M1317" s="39" t="str">
        <f>IF(C1317="","",C1317&amp;"#"&amp;COUNTIF($C$5:C1317,C1317))</f>
        <v/>
      </c>
    </row>
    <row r="1318">
      <c r="A1318" s="41" t="n"/>
      <c r="B1318" s="37" t="n"/>
      <c r="C1318" s="37" t="n"/>
      <c r="D1318" s="39" t="str">
        <f>IF(C1318="","",IFERROR(INDEX(art_des,MATCH(C1318,art_ref,0))&amp;"","Référence inconnue"))</f>
        <v/>
      </c>
      <c r="E1318" s="37" t="n"/>
      <c r="F1318" s="39" t="str">
        <f>IF(C1318="","",IFERROR(INDEX(art_unit,MATCH(C1318,art_ref,0))&amp;"",""))</f>
        <v/>
      </c>
      <c r="G1318" s="37" t="n"/>
      <c r="H1318" s="37" t="n"/>
      <c r="I1318" s="37" t="n"/>
      <c r="J1318" s="40" t="str">
        <f>IF(OR(C1318="",NOT(ISNUMBER(E1318))),"",IFERROR(E1318*N(INDEX(art_price,MATCH(C1318,art_ref,0))),""))</f>
        <v/>
      </c>
      <c r="K1318" s="39" t="str">
        <f>IF(OR(C1318="",NOT(ISNUMBER(E1318))),"",IFERROR(ROUND(N(INDEX(art_init,MATCH(C1318,art_ref,0)))+SUMIFS($E$5:E1318,$C$5:C1318,C1318,$B$5:B1318,"Entrée")-SUMIFS($E$5:E1318,$C$5:C1318,C1318,$B$5:B1318,"Sortie"),6),""))</f>
        <v/>
      </c>
      <c r="L1318" s="39" t="str">
        <f>IF(COUNTA(A1318:C1318,E1318)=0,"",IF(COUNTA(A1318:C1318,E1318)&lt;4,"Ligne incomplète",IF(NOT(ISNUMBER(A1318)),"Date invalide",IF(AND(B1318&lt;&gt;"Entrée",B1318&lt;&gt;"Sortie"),"Type inconnu",IF(ISNA(MATCH(C1318,art_ref,0)),"Référence inconnue",IF(OR(NOT(ISNUMBER(E1318)),N(E1318)&lt;=0),"Quantité invalide",IF(K1318&lt;0,"Stock négatif",IF(AND(ISNUMBER(A1317),A1318&lt;A1317),"Date hors ordre","OK"))))))))</f>
        <v/>
      </c>
      <c r="M1318" s="39" t="str">
        <f>IF(C1318="","",C1318&amp;"#"&amp;COUNTIF($C$5:C1318,C1318))</f>
        <v/>
      </c>
    </row>
    <row r="1319">
      <c r="A1319" s="41" t="n"/>
      <c r="B1319" s="37" t="n"/>
      <c r="C1319" s="37" t="n"/>
      <c r="D1319" s="39" t="str">
        <f>IF(C1319="","",IFERROR(INDEX(art_des,MATCH(C1319,art_ref,0))&amp;"","Référence inconnue"))</f>
        <v/>
      </c>
      <c r="E1319" s="37" t="n"/>
      <c r="F1319" s="39" t="str">
        <f>IF(C1319="","",IFERROR(INDEX(art_unit,MATCH(C1319,art_ref,0))&amp;"",""))</f>
        <v/>
      </c>
      <c r="G1319" s="37" t="n"/>
      <c r="H1319" s="37" t="n"/>
      <c r="I1319" s="37" t="n"/>
      <c r="J1319" s="40" t="str">
        <f>IF(OR(C1319="",NOT(ISNUMBER(E1319))),"",IFERROR(E1319*N(INDEX(art_price,MATCH(C1319,art_ref,0))),""))</f>
        <v/>
      </c>
      <c r="K1319" s="39" t="str">
        <f>IF(OR(C1319="",NOT(ISNUMBER(E1319))),"",IFERROR(ROUND(N(INDEX(art_init,MATCH(C1319,art_ref,0)))+SUMIFS($E$5:E1319,$C$5:C1319,C1319,$B$5:B1319,"Entrée")-SUMIFS($E$5:E1319,$C$5:C1319,C1319,$B$5:B1319,"Sortie"),6),""))</f>
        <v/>
      </c>
      <c r="L1319" s="39" t="str">
        <f>IF(COUNTA(A1319:C1319,E1319)=0,"",IF(COUNTA(A1319:C1319,E1319)&lt;4,"Ligne incomplète",IF(NOT(ISNUMBER(A1319)),"Date invalide",IF(AND(B1319&lt;&gt;"Entrée",B1319&lt;&gt;"Sortie"),"Type inconnu",IF(ISNA(MATCH(C1319,art_ref,0)),"Référence inconnue",IF(OR(NOT(ISNUMBER(E1319)),N(E1319)&lt;=0),"Quantité invalide",IF(K1319&lt;0,"Stock négatif",IF(AND(ISNUMBER(A1318),A1319&lt;A1318),"Date hors ordre","OK"))))))))</f>
        <v/>
      </c>
      <c r="M1319" s="39" t="str">
        <f>IF(C1319="","",C1319&amp;"#"&amp;COUNTIF($C$5:C1319,C1319))</f>
        <v/>
      </c>
    </row>
    <row r="1320">
      <c r="A1320" s="41" t="n"/>
      <c r="B1320" s="37" t="n"/>
      <c r="C1320" s="37" t="n"/>
      <c r="D1320" s="39" t="str">
        <f>IF(C1320="","",IFERROR(INDEX(art_des,MATCH(C1320,art_ref,0))&amp;"","Référence inconnue"))</f>
        <v/>
      </c>
      <c r="E1320" s="37" t="n"/>
      <c r="F1320" s="39" t="str">
        <f>IF(C1320="","",IFERROR(INDEX(art_unit,MATCH(C1320,art_ref,0))&amp;"",""))</f>
        <v/>
      </c>
      <c r="G1320" s="37" t="n"/>
      <c r="H1320" s="37" t="n"/>
      <c r="I1320" s="37" t="n"/>
      <c r="J1320" s="40" t="str">
        <f>IF(OR(C1320="",NOT(ISNUMBER(E1320))),"",IFERROR(E1320*N(INDEX(art_price,MATCH(C1320,art_ref,0))),""))</f>
        <v/>
      </c>
      <c r="K1320" s="39" t="str">
        <f>IF(OR(C1320="",NOT(ISNUMBER(E1320))),"",IFERROR(ROUND(N(INDEX(art_init,MATCH(C1320,art_ref,0)))+SUMIFS($E$5:E1320,$C$5:C1320,C1320,$B$5:B1320,"Entrée")-SUMIFS($E$5:E1320,$C$5:C1320,C1320,$B$5:B1320,"Sortie"),6),""))</f>
        <v/>
      </c>
      <c r="L1320" s="39" t="str">
        <f>IF(COUNTA(A1320:C1320,E1320)=0,"",IF(COUNTA(A1320:C1320,E1320)&lt;4,"Ligne incomplète",IF(NOT(ISNUMBER(A1320)),"Date invalide",IF(AND(B1320&lt;&gt;"Entrée",B1320&lt;&gt;"Sortie"),"Type inconnu",IF(ISNA(MATCH(C1320,art_ref,0)),"Référence inconnue",IF(OR(NOT(ISNUMBER(E1320)),N(E1320)&lt;=0),"Quantité invalide",IF(K1320&lt;0,"Stock négatif",IF(AND(ISNUMBER(A1319),A1320&lt;A1319),"Date hors ordre","OK"))))))))</f>
        <v/>
      </c>
      <c r="M1320" s="39" t="str">
        <f>IF(C1320="","",C1320&amp;"#"&amp;COUNTIF($C$5:C1320,C1320))</f>
        <v/>
      </c>
    </row>
    <row r="1321">
      <c r="A1321" s="41" t="n"/>
      <c r="B1321" s="37" t="n"/>
      <c r="C1321" s="37" t="n"/>
      <c r="D1321" s="39" t="str">
        <f>IF(C1321="","",IFERROR(INDEX(art_des,MATCH(C1321,art_ref,0))&amp;"","Référence inconnue"))</f>
        <v/>
      </c>
      <c r="E1321" s="37" t="n"/>
      <c r="F1321" s="39" t="str">
        <f>IF(C1321="","",IFERROR(INDEX(art_unit,MATCH(C1321,art_ref,0))&amp;"",""))</f>
        <v/>
      </c>
      <c r="G1321" s="37" t="n"/>
      <c r="H1321" s="37" t="n"/>
      <c r="I1321" s="37" t="n"/>
      <c r="J1321" s="40" t="str">
        <f>IF(OR(C1321="",NOT(ISNUMBER(E1321))),"",IFERROR(E1321*N(INDEX(art_price,MATCH(C1321,art_ref,0))),""))</f>
        <v/>
      </c>
      <c r="K1321" s="39" t="str">
        <f>IF(OR(C1321="",NOT(ISNUMBER(E1321))),"",IFERROR(ROUND(N(INDEX(art_init,MATCH(C1321,art_ref,0)))+SUMIFS($E$5:E1321,$C$5:C1321,C1321,$B$5:B1321,"Entrée")-SUMIFS($E$5:E1321,$C$5:C1321,C1321,$B$5:B1321,"Sortie"),6),""))</f>
        <v/>
      </c>
      <c r="L1321" s="39" t="str">
        <f>IF(COUNTA(A1321:C1321,E1321)=0,"",IF(COUNTA(A1321:C1321,E1321)&lt;4,"Ligne incomplète",IF(NOT(ISNUMBER(A1321)),"Date invalide",IF(AND(B1321&lt;&gt;"Entrée",B1321&lt;&gt;"Sortie"),"Type inconnu",IF(ISNA(MATCH(C1321,art_ref,0)),"Référence inconnue",IF(OR(NOT(ISNUMBER(E1321)),N(E1321)&lt;=0),"Quantité invalide",IF(K1321&lt;0,"Stock négatif",IF(AND(ISNUMBER(A1320),A1321&lt;A1320),"Date hors ordre","OK"))))))))</f>
        <v/>
      </c>
      <c r="M1321" s="39" t="str">
        <f>IF(C1321="","",C1321&amp;"#"&amp;COUNTIF($C$5:C1321,C1321))</f>
        <v/>
      </c>
    </row>
    <row r="1322">
      <c r="A1322" s="41" t="n"/>
      <c r="B1322" s="37" t="n"/>
      <c r="C1322" s="37" t="n"/>
      <c r="D1322" s="39" t="str">
        <f>IF(C1322="","",IFERROR(INDEX(art_des,MATCH(C1322,art_ref,0))&amp;"","Référence inconnue"))</f>
        <v/>
      </c>
      <c r="E1322" s="37" t="n"/>
      <c r="F1322" s="39" t="str">
        <f>IF(C1322="","",IFERROR(INDEX(art_unit,MATCH(C1322,art_ref,0))&amp;"",""))</f>
        <v/>
      </c>
      <c r="G1322" s="37" t="n"/>
      <c r="H1322" s="37" t="n"/>
      <c r="I1322" s="37" t="n"/>
      <c r="J1322" s="40" t="str">
        <f>IF(OR(C1322="",NOT(ISNUMBER(E1322))),"",IFERROR(E1322*N(INDEX(art_price,MATCH(C1322,art_ref,0))),""))</f>
        <v/>
      </c>
      <c r="K1322" s="39" t="str">
        <f>IF(OR(C1322="",NOT(ISNUMBER(E1322))),"",IFERROR(ROUND(N(INDEX(art_init,MATCH(C1322,art_ref,0)))+SUMIFS($E$5:E1322,$C$5:C1322,C1322,$B$5:B1322,"Entrée")-SUMIFS($E$5:E1322,$C$5:C1322,C1322,$B$5:B1322,"Sortie"),6),""))</f>
        <v/>
      </c>
      <c r="L1322" s="39" t="str">
        <f>IF(COUNTA(A1322:C1322,E1322)=0,"",IF(COUNTA(A1322:C1322,E1322)&lt;4,"Ligne incomplète",IF(NOT(ISNUMBER(A1322)),"Date invalide",IF(AND(B1322&lt;&gt;"Entrée",B1322&lt;&gt;"Sortie"),"Type inconnu",IF(ISNA(MATCH(C1322,art_ref,0)),"Référence inconnue",IF(OR(NOT(ISNUMBER(E1322)),N(E1322)&lt;=0),"Quantité invalide",IF(K1322&lt;0,"Stock négatif",IF(AND(ISNUMBER(A1321),A1322&lt;A1321),"Date hors ordre","OK"))))))))</f>
        <v/>
      </c>
      <c r="M1322" s="39" t="str">
        <f>IF(C1322="","",C1322&amp;"#"&amp;COUNTIF($C$5:C1322,C1322))</f>
        <v/>
      </c>
    </row>
    <row r="1323">
      <c r="A1323" s="41" t="n"/>
      <c r="B1323" s="37" t="n"/>
      <c r="C1323" s="37" t="n"/>
      <c r="D1323" s="39" t="str">
        <f>IF(C1323="","",IFERROR(INDEX(art_des,MATCH(C1323,art_ref,0))&amp;"","Référence inconnue"))</f>
        <v/>
      </c>
      <c r="E1323" s="37" t="n"/>
      <c r="F1323" s="39" t="str">
        <f>IF(C1323="","",IFERROR(INDEX(art_unit,MATCH(C1323,art_ref,0))&amp;"",""))</f>
        <v/>
      </c>
      <c r="G1323" s="37" t="n"/>
      <c r="H1323" s="37" t="n"/>
      <c r="I1323" s="37" t="n"/>
      <c r="J1323" s="40" t="str">
        <f>IF(OR(C1323="",NOT(ISNUMBER(E1323))),"",IFERROR(E1323*N(INDEX(art_price,MATCH(C1323,art_ref,0))),""))</f>
        <v/>
      </c>
      <c r="K1323" s="39" t="str">
        <f>IF(OR(C1323="",NOT(ISNUMBER(E1323))),"",IFERROR(ROUND(N(INDEX(art_init,MATCH(C1323,art_ref,0)))+SUMIFS($E$5:E1323,$C$5:C1323,C1323,$B$5:B1323,"Entrée")-SUMIFS($E$5:E1323,$C$5:C1323,C1323,$B$5:B1323,"Sortie"),6),""))</f>
        <v/>
      </c>
      <c r="L1323" s="39" t="str">
        <f>IF(COUNTA(A1323:C1323,E1323)=0,"",IF(COUNTA(A1323:C1323,E1323)&lt;4,"Ligne incomplète",IF(NOT(ISNUMBER(A1323)),"Date invalide",IF(AND(B1323&lt;&gt;"Entrée",B1323&lt;&gt;"Sortie"),"Type inconnu",IF(ISNA(MATCH(C1323,art_ref,0)),"Référence inconnue",IF(OR(NOT(ISNUMBER(E1323)),N(E1323)&lt;=0),"Quantité invalide",IF(K1323&lt;0,"Stock négatif",IF(AND(ISNUMBER(A1322),A1323&lt;A1322),"Date hors ordre","OK"))))))))</f>
        <v/>
      </c>
      <c r="M1323" s="39" t="str">
        <f>IF(C1323="","",C1323&amp;"#"&amp;COUNTIF($C$5:C1323,C1323))</f>
        <v/>
      </c>
    </row>
    <row r="1324">
      <c r="A1324" s="41" t="n"/>
      <c r="B1324" s="37" t="n"/>
      <c r="C1324" s="37" t="n"/>
      <c r="D1324" s="39" t="str">
        <f>IF(C1324="","",IFERROR(INDEX(art_des,MATCH(C1324,art_ref,0))&amp;"","Référence inconnue"))</f>
        <v/>
      </c>
      <c r="E1324" s="37" t="n"/>
      <c r="F1324" s="39" t="str">
        <f>IF(C1324="","",IFERROR(INDEX(art_unit,MATCH(C1324,art_ref,0))&amp;"",""))</f>
        <v/>
      </c>
      <c r="G1324" s="37" t="n"/>
      <c r="H1324" s="37" t="n"/>
      <c r="I1324" s="37" t="n"/>
      <c r="J1324" s="40" t="str">
        <f>IF(OR(C1324="",NOT(ISNUMBER(E1324))),"",IFERROR(E1324*N(INDEX(art_price,MATCH(C1324,art_ref,0))),""))</f>
        <v/>
      </c>
      <c r="K1324" s="39" t="str">
        <f>IF(OR(C1324="",NOT(ISNUMBER(E1324))),"",IFERROR(ROUND(N(INDEX(art_init,MATCH(C1324,art_ref,0)))+SUMIFS($E$5:E1324,$C$5:C1324,C1324,$B$5:B1324,"Entrée")-SUMIFS($E$5:E1324,$C$5:C1324,C1324,$B$5:B1324,"Sortie"),6),""))</f>
        <v/>
      </c>
      <c r="L1324" s="39" t="str">
        <f>IF(COUNTA(A1324:C1324,E1324)=0,"",IF(COUNTA(A1324:C1324,E1324)&lt;4,"Ligne incomplète",IF(NOT(ISNUMBER(A1324)),"Date invalide",IF(AND(B1324&lt;&gt;"Entrée",B1324&lt;&gt;"Sortie"),"Type inconnu",IF(ISNA(MATCH(C1324,art_ref,0)),"Référence inconnue",IF(OR(NOT(ISNUMBER(E1324)),N(E1324)&lt;=0),"Quantité invalide",IF(K1324&lt;0,"Stock négatif",IF(AND(ISNUMBER(A1323),A1324&lt;A1323),"Date hors ordre","OK"))))))))</f>
        <v/>
      </c>
      <c r="M1324" s="39" t="str">
        <f>IF(C1324="","",C1324&amp;"#"&amp;COUNTIF($C$5:C1324,C1324))</f>
        <v/>
      </c>
    </row>
    <row r="1325">
      <c r="A1325" s="41" t="n"/>
      <c r="B1325" s="37" t="n"/>
      <c r="C1325" s="37" t="n"/>
      <c r="D1325" s="39" t="str">
        <f>IF(C1325="","",IFERROR(INDEX(art_des,MATCH(C1325,art_ref,0))&amp;"","Référence inconnue"))</f>
        <v/>
      </c>
      <c r="E1325" s="37" t="n"/>
      <c r="F1325" s="39" t="str">
        <f>IF(C1325="","",IFERROR(INDEX(art_unit,MATCH(C1325,art_ref,0))&amp;"",""))</f>
        <v/>
      </c>
      <c r="G1325" s="37" t="n"/>
      <c r="H1325" s="37" t="n"/>
      <c r="I1325" s="37" t="n"/>
      <c r="J1325" s="40" t="str">
        <f>IF(OR(C1325="",NOT(ISNUMBER(E1325))),"",IFERROR(E1325*N(INDEX(art_price,MATCH(C1325,art_ref,0))),""))</f>
        <v/>
      </c>
      <c r="K1325" s="39" t="str">
        <f>IF(OR(C1325="",NOT(ISNUMBER(E1325))),"",IFERROR(ROUND(N(INDEX(art_init,MATCH(C1325,art_ref,0)))+SUMIFS($E$5:E1325,$C$5:C1325,C1325,$B$5:B1325,"Entrée")-SUMIFS($E$5:E1325,$C$5:C1325,C1325,$B$5:B1325,"Sortie"),6),""))</f>
        <v/>
      </c>
      <c r="L1325" s="39" t="str">
        <f>IF(COUNTA(A1325:C1325,E1325)=0,"",IF(COUNTA(A1325:C1325,E1325)&lt;4,"Ligne incomplète",IF(NOT(ISNUMBER(A1325)),"Date invalide",IF(AND(B1325&lt;&gt;"Entrée",B1325&lt;&gt;"Sortie"),"Type inconnu",IF(ISNA(MATCH(C1325,art_ref,0)),"Référence inconnue",IF(OR(NOT(ISNUMBER(E1325)),N(E1325)&lt;=0),"Quantité invalide",IF(K1325&lt;0,"Stock négatif",IF(AND(ISNUMBER(A1324),A1325&lt;A1324),"Date hors ordre","OK"))))))))</f>
        <v/>
      </c>
      <c r="M1325" s="39" t="str">
        <f>IF(C1325="","",C1325&amp;"#"&amp;COUNTIF($C$5:C1325,C1325))</f>
        <v/>
      </c>
    </row>
    <row r="1326">
      <c r="A1326" s="41" t="n"/>
      <c r="B1326" s="37" t="n"/>
      <c r="C1326" s="37" t="n"/>
      <c r="D1326" s="39" t="str">
        <f>IF(C1326="","",IFERROR(INDEX(art_des,MATCH(C1326,art_ref,0))&amp;"","Référence inconnue"))</f>
        <v/>
      </c>
      <c r="E1326" s="37" t="n"/>
      <c r="F1326" s="39" t="str">
        <f>IF(C1326="","",IFERROR(INDEX(art_unit,MATCH(C1326,art_ref,0))&amp;"",""))</f>
        <v/>
      </c>
      <c r="G1326" s="37" t="n"/>
      <c r="H1326" s="37" t="n"/>
      <c r="I1326" s="37" t="n"/>
      <c r="J1326" s="40" t="str">
        <f>IF(OR(C1326="",NOT(ISNUMBER(E1326))),"",IFERROR(E1326*N(INDEX(art_price,MATCH(C1326,art_ref,0))),""))</f>
        <v/>
      </c>
      <c r="K1326" s="39" t="str">
        <f>IF(OR(C1326="",NOT(ISNUMBER(E1326))),"",IFERROR(ROUND(N(INDEX(art_init,MATCH(C1326,art_ref,0)))+SUMIFS($E$5:E1326,$C$5:C1326,C1326,$B$5:B1326,"Entrée")-SUMIFS($E$5:E1326,$C$5:C1326,C1326,$B$5:B1326,"Sortie"),6),""))</f>
        <v/>
      </c>
      <c r="L1326" s="39" t="str">
        <f>IF(COUNTA(A1326:C1326,E1326)=0,"",IF(COUNTA(A1326:C1326,E1326)&lt;4,"Ligne incomplète",IF(NOT(ISNUMBER(A1326)),"Date invalide",IF(AND(B1326&lt;&gt;"Entrée",B1326&lt;&gt;"Sortie"),"Type inconnu",IF(ISNA(MATCH(C1326,art_ref,0)),"Référence inconnue",IF(OR(NOT(ISNUMBER(E1326)),N(E1326)&lt;=0),"Quantité invalide",IF(K1326&lt;0,"Stock négatif",IF(AND(ISNUMBER(A1325),A1326&lt;A1325),"Date hors ordre","OK"))))))))</f>
        <v/>
      </c>
      <c r="M1326" s="39" t="str">
        <f>IF(C1326="","",C1326&amp;"#"&amp;COUNTIF($C$5:C1326,C1326))</f>
        <v/>
      </c>
    </row>
    <row r="1327">
      <c r="A1327" s="41" t="n"/>
      <c r="B1327" s="37" t="n"/>
      <c r="C1327" s="37" t="n"/>
      <c r="D1327" s="39" t="str">
        <f>IF(C1327="","",IFERROR(INDEX(art_des,MATCH(C1327,art_ref,0))&amp;"","Référence inconnue"))</f>
        <v/>
      </c>
      <c r="E1327" s="37" t="n"/>
      <c r="F1327" s="39" t="str">
        <f>IF(C1327="","",IFERROR(INDEX(art_unit,MATCH(C1327,art_ref,0))&amp;"",""))</f>
        <v/>
      </c>
      <c r="G1327" s="37" t="n"/>
      <c r="H1327" s="37" t="n"/>
      <c r="I1327" s="37" t="n"/>
      <c r="J1327" s="40" t="str">
        <f>IF(OR(C1327="",NOT(ISNUMBER(E1327))),"",IFERROR(E1327*N(INDEX(art_price,MATCH(C1327,art_ref,0))),""))</f>
        <v/>
      </c>
      <c r="K1327" s="39" t="str">
        <f>IF(OR(C1327="",NOT(ISNUMBER(E1327))),"",IFERROR(ROUND(N(INDEX(art_init,MATCH(C1327,art_ref,0)))+SUMIFS($E$5:E1327,$C$5:C1327,C1327,$B$5:B1327,"Entrée")-SUMIFS($E$5:E1327,$C$5:C1327,C1327,$B$5:B1327,"Sortie"),6),""))</f>
        <v/>
      </c>
      <c r="L1327" s="39" t="str">
        <f>IF(COUNTA(A1327:C1327,E1327)=0,"",IF(COUNTA(A1327:C1327,E1327)&lt;4,"Ligne incomplète",IF(NOT(ISNUMBER(A1327)),"Date invalide",IF(AND(B1327&lt;&gt;"Entrée",B1327&lt;&gt;"Sortie"),"Type inconnu",IF(ISNA(MATCH(C1327,art_ref,0)),"Référence inconnue",IF(OR(NOT(ISNUMBER(E1327)),N(E1327)&lt;=0),"Quantité invalide",IF(K1327&lt;0,"Stock négatif",IF(AND(ISNUMBER(A1326),A1327&lt;A1326),"Date hors ordre","OK"))))))))</f>
        <v/>
      </c>
      <c r="M1327" s="39" t="str">
        <f>IF(C1327="","",C1327&amp;"#"&amp;COUNTIF($C$5:C1327,C1327))</f>
        <v/>
      </c>
    </row>
    <row r="1328">
      <c r="A1328" s="41" t="n"/>
      <c r="B1328" s="37" t="n"/>
      <c r="C1328" s="37" t="n"/>
      <c r="D1328" s="39" t="str">
        <f>IF(C1328="","",IFERROR(INDEX(art_des,MATCH(C1328,art_ref,0))&amp;"","Référence inconnue"))</f>
        <v/>
      </c>
      <c r="E1328" s="37" t="n"/>
      <c r="F1328" s="39" t="str">
        <f>IF(C1328="","",IFERROR(INDEX(art_unit,MATCH(C1328,art_ref,0))&amp;"",""))</f>
        <v/>
      </c>
      <c r="G1328" s="37" t="n"/>
      <c r="H1328" s="37" t="n"/>
      <c r="I1328" s="37" t="n"/>
      <c r="J1328" s="40" t="str">
        <f>IF(OR(C1328="",NOT(ISNUMBER(E1328))),"",IFERROR(E1328*N(INDEX(art_price,MATCH(C1328,art_ref,0))),""))</f>
        <v/>
      </c>
      <c r="K1328" s="39" t="str">
        <f>IF(OR(C1328="",NOT(ISNUMBER(E1328))),"",IFERROR(ROUND(N(INDEX(art_init,MATCH(C1328,art_ref,0)))+SUMIFS($E$5:E1328,$C$5:C1328,C1328,$B$5:B1328,"Entrée")-SUMIFS($E$5:E1328,$C$5:C1328,C1328,$B$5:B1328,"Sortie"),6),""))</f>
        <v/>
      </c>
      <c r="L1328" s="39" t="str">
        <f>IF(COUNTA(A1328:C1328,E1328)=0,"",IF(COUNTA(A1328:C1328,E1328)&lt;4,"Ligne incomplète",IF(NOT(ISNUMBER(A1328)),"Date invalide",IF(AND(B1328&lt;&gt;"Entrée",B1328&lt;&gt;"Sortie"),"Type inconnu",IF(ISNA(MATCH(C1328,art_ref,0)),"Référence inconnue",IF(OR(NOT(ISNUMBER(E1328)),N(E1328)&lt;=0),"Quantité invalide",IF(K1328&lt;0,"Stock négatif",IF(AND(ISNUMBER(A1327),A1328&lt;A1327),"Date hors ordre","OK"))))))))</f>
        <v/>
      </c>
      <c r="M1328" s="39" t="str">
        <f>IF(C1328="","",C1328&amp;"#"&amp;COUNTIF($C$5:C1328,C1328))</f>
        <v/>
      </c>
    </row>
    <row r="1329">
      <c r="A1329" s="41" t="n"/>
      <c r="B1329" s="37" t="n"/>
      <c r="C1329" s="37" t="n"/>
      <c r="D1329" s="39" t="str">
        <f>IF(C1329="","",IFERROR(INDEX(art_des,MATCH(C1329,art_ref,0))&amp;"","Référence inconnue"))</f>
        <v/>
      </c>
      <c r="E1329" s="37" t="n"/>
      <c r="F1329" s="39" t="str">
        <f>IF(C1329="","",IFERROR(INDEX(art_unit,MATCH(C1329,art_ref,0))&amp;"",""))</f>
        <v/>
      </c>
      <c r="G1329" s="37" t="n"/>
      <c r="H1329" s="37" t="n"/>
      <c r="I1329" s="37" t="n"/>
      <c r="J1329" s="40" t="str">
        <f>IF(OR(C1329="",NOT(ISNUMBER(E1329))),"",IFERROR(E1329*N(INDEX(art_price,MATCH(C1329,art_ref,0))),""))</f>
        <v/>
      </c>
      <c r="K1329" s="39" t="str">
        <f>IF(OR(C1329="",NOT(ISNUMBER(E1329))),"",IFERROR(ROUND(N(INDEX(art_init,MATCH(C1329,art_ref,0)))+SUMIFS($E$5:E1329,$C$5:C1329,C1329,$B$5:B1329,"Entrée")-SUMIFS($E$5:E1329,$C$5:C1329,C1329,$B$5:B1329,"Sortie"),6),""))</f>
        <v/>
      </c>
      <c r="L1329" s="39" t="str">
        <f>IF(COUNTA(A1329:C1329,E1329)=0,"",IF(COUNTA(A1329:C1329,E1329)&lt;4,"Ligne incomplète",IF(NOT(ISNUMBER(A1329)),"Date invalide",IF(AND(B1329&lt;&gt;"Entrée",B1329&lt;&gt;"Sortie"),"Type inconnu",IF(ISNA(MATCH(C1329,art_ref,0)),"Référence inconnue",IF(OR(NOT(ISNUMBER(E1329)),N(E1329)&lt;=0),"Quantité invalide",IF(K1329&lt;0,"Stock négatif",IF(AND(ISNUMBER(A1328),A1329&lt;A1328),"Date hors ordre","OK"))))))))</f>
        <v/>
      </c>
      <c r="M1329" s="39" t="str">
        <f>IF(C1329="","",C1329&amp;"#"&amp;COUNTIF($C$5:C1329,C1329))</f>
        <v/>
      </c>
    </row>
    <row r="1330">
      <c r="A1330" s="41" t="n"/>
      <c r="B1330" s="37" t="n"/>
      <c r="C1330" s="37" t="n"/>
      <c r="D1330" s="39" t="str">
        <f>IF(C1330="","",IFERROR(INDEX(art_des,MATCH(C1330,art_ref,0))&amp;"","Référence inconnue"))</f>
        <v/>
      </c>
      <c r="E1330" s="37" t="n"/>
      <c r="F1330" s="39" t="str">
        <f>IF(C1330="","",IFERROR(INDEX(art_unit,MATCH(C1330,art_ref,0))&amp;"",""))</f>
        <v/>
      </c>
      <c r="G1330" s="37" t="n"/>
      <c r="H1330" s="37" t="n"/>
      <c r="I1330" s="37" t="n"/>
      <c r="J1330" s="40" t="str">
        <f>IF(OR(C1330="",NOT(ISNUMBER(E1330))),"",IFERROR(E1330*N(INDEX(art_price,MATCH(C1330,art_ref,0))),""))</f>
        <v/>
      </c>
      <c r="K1330" s="39" t="str">
        <f>IF(OR(C1330="",NOT(ISNUMBER(E1330))),"",IFERROR(ROUND(N(INDEX(art_init,MATCH(C1330,art_ref,0)))+SUMIFS($E$5:E1330,$C$5:C1330,C1330,$B$5:B1330,"Entrée")-SUMIFS($E$5:E1330,$C$5:C1330,C1330,$B$5:B1330,"Sortie"),6),""))</f>
        <v/>
      </c>
      <c r="L1330" s="39" t="str">
        <f>IF(COUNTA(A1330:C1330,E1330)=0,"",IF(COUNTA(A1330:C1330,E1330)&lt;4,"Ligne incomplète",IF(NOT(ISNUMBER(A1330)),"Date invalide",IF(AND(B1330&lt;&gt;"Entrée",B1330&lt;&gt;"Sortie"),"Type inconnu",IF(ISNA(MATCH(C1330,art_ref,0)),"Référence inconnue",IF(OR(NOT(ISNUMBER(E1330)),N(E1330)&lt;=0),"Quantité invalide",IF(K1330&lt;0,"Stock négatif",IF(AND(ISNUMBER(A1329),A1330&lt;A1329),"Date hors ordre","OK"))))))))</f>
        <v/>
      </c>
      <c r="M1330" s="39" t="str">
        <f>IF(C1330="","",C1330&amp;"#"&amp;COUNTIF($C$5:C1330,C1330))</f>
        <v/>
      </c>
    </row>
    <row r="1331">
      <c r="A1331" s="41" t="n"/>
      <c r="B1331" s="37" t="n"/>
      <c r="C1331" s="37" t="n"/>
      <c r="D1331" s="39" t="str">
        <f>IF(C1331="","",IFERROR(INDEX(art_des,MATCH(C1331,art_ref,0))&amp;"","Référence inconnue"))</f>
        <v/>
      </c>
      <c r="E1331" s="37" t="n"/>
      <c r="F1331" s="39" t="str">
        <f>IF(C1331="","",IFERROR(INDEX(art_unit,MATCH(C1331,art_ref,0))&amp;"",""))</f>
        <v/>
      </c>
      <c r="G1331" s="37" t="n"/>
      <c r="H1331" s="37" t="n"/>
      <c r="I1331" s="37" t="n"/>
      <c r="J1331" s="40" t="str">
        <f>IF(OR(C1331="",NOT(ISNUMBER(E1331))),"",IFERROR(E1331*N(INDEX(art_price,MATCH(C1331,art_ref,0))),""))</f>
        <v/>
      </c>
      <c r="K1331" s="39" t="str">
        <f>IF(OR(C1331="",NOT(ISNUMBER(E1331))),"",IFERROR(ROUND(N(INDEX(art_init,MATCH(C1331,art_ref,0)))+SUMIFS($E$5:E1331,$C$5:C1331,C1331,$B$5:B1331,"Entrée")-SUMIFS($E$5:E1331,$C$5:C1331,C1331,$B$5:B1331,"Sortie"),6),""))</f>
        <v/>
      </c>
      <c r="L1331" s="39" t="str">
        <f>IF(COUNTA(A1331:C1331,E1331)=0,"",IF(COUNTA(A1331:C1331,E1331)&lt;4,"Ligne incomplète",IF(NOT(ISNUMBER(A1331)),"Date invalide",IF(AND(B1331&lt;&gt;"Entrée",B1331&lt;&gt;"Sortie"),"Type inconnu",IF(ISNA(MATCH(C1331,art_ref,0)),"Référence inconnue",IF(OR(NOT(ISNUMBER(E1331)),N(E1331)&lt;=0),"Quantité invalide",IF(K1331&lt;0,"Stock négatif",IF(AND(ISNUMBER(A1330),A1331&lt;A1330),"Date hors ordre","OK"))))))))</f>
        <v/>
      </c>
      <c r="M1331" s="39" t="str">
        <f>IF(C1331="","",C1331&amp;"#"&amp;COUNTIF($C$5:C1331,C1331))</f>
        <v/>
      </c>
    </row>
    <row r="1332">
      <c r="A1332" s="41" t="n"/>
      <c r="B1332" s="37" t="n"/>
      <c r="C1332" s="37" t="n"/>
      <c r="D1332" s="39" t="str">
        <f>IF(C1332="","",IFERROR(INDEX(art_des,MATCH(C1332,art_ref,0))&amp;"","Référence inconnue"))</f>
        <v/>
      </c>
      <c r="E1332" s="37" t="n"/>
      <c r="F1332" s="39" t="str">
        <f>IF(C1332="","",IFERROR(INDEX(art_unit,MATCH(C1332,art_ref,0))&amp;"",""))</f>
        <v/>
      </c>
      <c r="G1332" s="37" t="n"/>
      <c r="H1332" s="37" t="n"/>
      <c r="I1332" s="37" t="n"/>
      <c r="J1332" s="40" t="str">
        <f>IF(OR(C1332="",NOT(ISNUMBER(E1332))),"",IFERROR(E1332*N(INDEX(art_price,MATCH(C1332,art_ref,0))),""))</f>
        <v/>
      </c>
      <c r="K1332" s="39" t="str">
        <f>IF(OR(C1332="",NOT(ISNUMBER(E1332))),"",IFERROR(ROUND(N(INDEX(art_init,MATCH(C1332,art_ref,0)))+SUMIFS($E$5:E1332,$C$5:C1332,C1332,$B$5:B1332,"Entrée")-SUMIFS($E$5:E1332,$C$5:C1332,C1332,$B$5:B1332,"Sortie"),6),""))</f>
        <v/>
      </c>
      <c r="L1332" s="39" t="str">
        <f>IF(COUNTA(A1332:C1332,E1332)=0,"",IF(COUNTA(A1332:C1332,E1332)&lt;4,"Ligne incomplète",IF(NOT(ISNUMBER(A1332)),"Date invalide",IF(AND(B1332&lt;&gt;"Entrée",B1332&lt;&gt;"Sortie"),"Type inconnu",IF(ISNA(MATCH(C1332,art_ref,0)),"Référence inconnue",IF(OR(NOT(ISNUMBER(E1332)),N(E1332)&lt;=0),"Quantité invalide",IF(K1332&lt;0,"Stock négatif",IF(AND(ISNUMBER(A1331),A1332&lt;A1331),"Date hors ordre","OK"))))))))</f>
        <v/>
      </c>
      <c r="M1332" s="39" t="str">
        <f>IF(C1332="","",C1332&amp;"#"&amp;COUNTIF($C$5:C1332,C1332))</f>
        <v/>
      </c>
    </row>
    <row r="1333">
      <c r="A1333" s="41" t="n"/>
      <c r="B1333" s="37" t="n"/>
      <c r="C1333" s="37" t="n"/>
      <c r="D1333" s="39" t="str">
        <f>IF(C1333="","",IFERROR(INDEX(art_des,MATCH(C1333,art_ref,0))&amp;"","Référence inconnue"))</f>
        <v/>
      </c>
      <c r="E1333" s="37" t="n"/>
      <c r="F1333" s="39" t="str">
        <f>IF(C1333="","",IFERROR(INDEX(art_unit,MATCH(C1333,art_ref,0))&amp;"",""))</f>
        <v/>
      </c>
      <c r="G1333" s="37" t="n"/>
      <c r="H1333" s="37" t="n"/>
      <c r="I1333" s="37" t="n"/>
      <c r="J1333" s="40" t="str">
        <f>IF(OR(C1333="",NOT(ISNUMBER(E1333))),"",IFERROR(E1333*N(INDEX(art_price,MATCH(C1333,art_ref,0))),""))</f>
        <v/>
      </c>
      <c r="K1333" s="39" t="str">
        <f>IF(OR(C1333="",NOT(ISNUMBER(E1333))),"",IFERROR(ROUND(N(INDEX(art_init,MATCH(C1333,art_ref,0)))+SUMIFS($E$5:E1333,$C$5:C1333,C1333,$B$5:B1333,"Entrée")-SUMIFS($E$5:E1333,$C$5:C1333,C1333,$B$5:B1333,"Sortie"),6),""))</f>
        <v/>
      </c>
      <c r="L1333" s="39" t="str">
        <f>IF(COUNTA(A1333:C1333,E1333)=0,"",IF(COUNTA(A1333:C1333,E1333)&lt;4,"Ligne incomplète",IF(NOT(ISNUMBER(A1333)),"Date invalide",IF(AND(B1333&lt;&gt;"Entrée",B1333&lt;&gt;"Sortie"),"Type inconnu",IF(ISNA(MATCH(C1333,art_ref,0)),"Référence inconnue",IF(OR(NOT(ISNUMBER(E1333)),N(E1333)&lt;=0),"Quantité invalide",IF(K1333&lt;0,"Stock négatif",IF(AND(ISNUMBER(A1332),A1333&lt;A1332),"Date hors ordre","OK"))))))))</f>
        <v/>
      </c>
      <c r="M1333" s="39" t="str">
        <f>IF(C1333="","",C1333&amp;"#"&amp;COUNTIF($C$5:C1333,C1333))</f>
        <v/>
      </c>
    </row>
    <row r="1334">
      <c r="A1334" s="41" t="n"/>
      <c r="B1334" s="37" t="n"/>
      <c r="C1334" s="37" t="n"/>
      <c r="D1334" s="39" t="str">
        <f>IF(C1334="","",IFERROR(INDEX(art_des,MATCH(C1334,art_ref,0))&amp;"","Référence inconnue"))</f>
        <v/>
      </c>
      <c r="E1334" s="37" t="n"/>
      <c r="F1334" s="39" t="str">
        <f>IF(C1334="","",IFERROR(INDEX(art_unit,MATCH(C1334,art_ref,0))&amp;"",""))</f>
        <v/>
      </c>
      <c r="G1334" s="37" t="n"/>
      <c r="H1334" s="37" t="n"/>
      <c r="I1334" s="37" t="n"/>
      <c r="J1334" s="40" t="str">
        <f>IF(OR(C1334="",NOT(ISNUMBER(E1334))),"",IFERROR(E1334*N(INDEX(art_price,MATCH(C1334,art_ref,0))),""))</f>
        <v/>
      </c>
      <c r="K1334" s="39" t="str">
        <f>IF(OR(C1334="",NOT(ISNUMBER(E1334))),"",IFERROR(ROUND(N(INDEX(art_init,MATCH(C1334,art_ref,0)))+SUMIFS($E$5:E1334,$C$5:C1334,C1334,$B$5:B1334,"Entrée")-SUMIFS($E$5:E1334,$C$5:C1334,C1334,$B$5:B1334,"Sortie"),6),""))</f>
        <v/>
      </c>
      <c r="L1334" s="39" t="str">
        <f>IF(COUNTA(A1334:C1334,E1334)=0,"",IF(COUNTA(A1334:C1334,E1334)&lt;4,"Ligne incomplète",IF(NOT(ISNUMBER(A1334)),"Date invalide",IF(AND(B1334&lt;&gt;"Entrée",B1334&lt;&gt;"Sortie"),"Type inconnu",IF(ISNA(MATCH(C1334,art_ref,0)),"Référence inconnue",IF(OR(NOT(ISNUMBER(E1334)),N(E1334)&lt;=0),"Quantité invalide",IF(K1334&lt;0,"Stock négatif",IF(AND(ISNUMBER(A1333),A1334&lt;A1333),"Date hors ordre","OK"))))))))</f>
        <v/>
      </c>
      <c r="M1334" s="39" t="str">
        <f>IF(C1334="","",C1334&amp;"#"&amp;COUNTIF($C$5:C1334,C1334))</f>
        <v/>
      </c>
    </row>
    <row r="1335">
      <c r="A1335" s="41" t="n"/>
      <c r="B1335" s="37" t="n"/>
      <c r="C1335" s="37" t="n"/>
      <c r="D1335" s="39" t="str">
        <f>IF(C1335="","",IFERROR(INDEX(art_des,MATCH(C1335,art_ref,0))&amp;"","Référence inconnue"))</f>
        <v/>
      </c>
      <c r="E1335" s="37" t="n"/>
      <c r="F1335" s="39" t="str">
        <f>IF(C1335="","",IFERROR(INDEX(art_unit,MATCH(C1335,art_ref,0))&amp;"",""))</f>
        <v/>
      </c>
      <c r="G1335" s="37" t="n"/>
      <c r="H1335" s="37" t="n"/>
      <c r="I1335" s="37" t="n"/>
      <c r="J1335" s="40" t="str">
        <f>IF(OR(C1335="",NOT(ISNUMBER(E1335))),"",IFERROR(E1335*N(INDEX(art_price,MATCH(C1335,art_ref,0))),""))</f>
        <v/>
      </c>
      <c r="K1335" s="39" t="str">
        <f>IF(OR(C1335="",NOT(ISNUMBER(E1335))),"",IFERROR(ROUND(N(INDEX(art_init,MATCH(C1335,art_ref,0)))+SUMIFS($E$5:E1335,$C$5:C1335,C1335,$B$5:B1335,"Entrée")-SUMIFS($E$5:E1335,$C$5:C1335,C1335,$B$5:B1335,"Sortie"),6),""))</f>
        <v/>
      </c>
      <c r="L1335" s="39" t="str">
        <f>IF(COUNTA(A1335:C1335,E1335)=0,"",IF(COUNTA(A1335:C1335,E1335)&lt;4,"Ligne incomplète",IF(NOT(ISNUMBER(A1335)),"Date invalide",IF(AND(B1335&lt;&gt;"Entrée",B1335&lt;&gt;"Sortie"),"Type inconnu",IF(ISNA(MATCH(C1335,art_ref,0)),"Référence inconnue",IF(OR(NOT(ISNUMBER(E1335)),N(E1335)&lt;=0),"Quantité invalide",IF(K1335&lt;0,"Stock négatif",IF(AND(ISNUMBER(A1334),A1335&lt;A1334),"Date hors ordre","OK"))))))))</f>
        <v/>
      </c>
      <c r="M1335" s="39" t="str">
        <f>IF(C1335="","",C1335&amp;"#"&amp;COUNTIF($C$5:C1335,C1335))</f>
        <v/>
      </c>
    </row>
    <row r="1336">
      <c r="A1336" s="41" t="n"/>
      <c r="B1336" s="37" t="n"/>
      <c r="C1336" s="37" t="n"/>
      <c r="D1336" s="39" t="str">
        <f>IF(C1336="","",IFERROR(INDEX(art_des,MATCH(C1336,art_ref,0))&amp;"","Référence inconnue"))</f>
        <v/>
      </c>
      <c r="E1336" s="37" t="n"/>
      <c r="F1336" s="39" t="str">
        <f>IF(C1336="","",IFERROR(INDEX(art_unit,MATCH(C1336,art_ref,0))&amp;"",""))</f>
        <v/>
      </c>
      <c r="G1336" s="37" t="n"/>
      <c r="H1336" s="37" t="n"/>
      <c r="I1336" s="37" t="n"/>
      <c r="J1336" s="40" t="str">
        <f>IF(OR(C1336="",NOT(ISNUMBER(E1336))),"",IFERROR(E1336*N(INDEX(art_price,MATCH(C1336,art_ref,0))),""))</f>
        <v/>
      </c>
      <c r="K1336" s="39" t="str">
        <f>IF(OR(C1336="",NOT(ISNUMBER(E1336))),"",IFERROR(ROUND(N(INDEX(art_init,MATCH(C1336,art_ref,0)))+SUMIFS($E$5:E1336,$C$5:C1336,C1336,$B$5:B1336,"Entrée")-SUMIFS($E$5:E1336,$C$5:C1336,C1336,$B$5:B1336,"Sortie"),6),""))</f>
        <v/>
      </c>
      <c r="L1336" s="39" t="str">
        <f>IF(COUNTA(A1336:C1336,E1336)=0,"",IF(COUNTA(A1336:C1336,E1336)&lt;4,"Ligne incomplète",IF(NOT(ISNUMBER(A1336)),"Date invalide",IF(AND(B1336&lt;&gt;"Entrée",B1336&lt;&gt;"Sortie"),"Type inconnu",IF(ISNA(MATCH(C1336,art_ref,0)),"Référence inconnue",IF(OR(NOT(ISNUMBER(E1336)),N(E1336)&lt;=0),"Quantité invalide",IF(K1336&lt;0,"Stock négatif",IF(AND(ISNUMBER(A1335),A1336&lt;A1335),"Date hors ordre","OK"))))))))</f>
        <v/>
      </c>
      <c r="M1336" s="39" t="str">
        <f>IF(C1336="","",C1336&amp;"#"&amp;COUNTIF($C$5:C1336,C1336))</f>
        <v/>
      </c>
    </row>
    <row r="1337">
      <c r="A1337" s="41" t="n"/>
      <c r="B1337" s="37" t="n"/>
      <c r="C1337" s="37" t="n"/>
      <c r="D1337" s="39" t="str">
        <f>IF(C1337="","",IFERROR(INDEX(art_des,MATCH(C1337,art_ref,0))&amp;"","Référence inconnue"))</f>
        <v/>
      </c>
      <c r="E1337" s="37" t="n"/>
      <c r="F1337" s="39" t="str">
        <f>IF(C1337="","",IFERROR(INDEX(art_unit,MATCH(C1337,art_ref,0))&amp;"",""))</f>
        <v/>
      </c>
      <c r="G1337" s="37" t="n"/>
      <c r="H1337" s="37" t="n"/>
      <c r="I1337" s="37" t="n"/>
      <c r="J1337" s="40" t="str">
        <f>IF(OR(C1337="",NOT(ISNUMBER(E1337))),"",IFERROR(E1337*N(INDEX(art_price,MATCH(C1337,art_ref,0))),""))</f>
        <v/>
      </c>
      <c r="K1337" s="39" t="str">
        <f>IF(OR(C1337="",NOT(ISNUMBER(E1337))),"",IFERROR(ROUND(N(INDEX(art_init,MATCH(C1337,art_ref,0)))+SUMIFS($E$5:E1337,$C$5:C1337,C1337,$B$5:B1337,"Entrée")-SUMIFS($E$5:E1337,$C$5:C1337,C1337,$B$5:B1337,"Sortie"),6),""))</f>
        <v/>
      </c>
      <c r="L1337" s="39" t="str">
        <f>IF(COUNTA(A1337:C1337,E1337)=0,"",IF(COUNTA(A1337:C1337,E1337)&lt;4,"Ligne incomplète",IF(NOT(ISNUMBER(A1337)),"Date invalide",IF(AND(B1337&lt;&gt;"Entrée",B1337&lt;&gt;"Sortie"),"Type inconnu",IF(ISNA(MATCH(C1337,art_ref,0)),"Référence inconnue",IF(OR(NOT(ISNUMBER(E1337)),N(E1337)&lt;=0),"Quantité invalide",IF(K1337&lt;0,"Stock négatif",IF(AND(ISNUMBER(A1336),A1337&lt;A1336),"Date hors ordre","OK"))))))))</f>
        <v/>
      </c>
      <c r="M1337" s="39" t="str">
        <f>IF(C1337="","",C1337&amp;"#"&amp;COUNTIF($C$5:C1337,C1337))</f>
        <v/>
      </c>
    </row>
    <row r="1338">
      <c r="A1338" s="41" t="n"/>
      <c r="B1338" s="37" t="n"/>
      <c r="C1338" s="37" t="n"/>
      <c r="D1338" s="39" t="str">
        <f>IF(C1338="","",IFERROR(INDEX(art_des,MATCH(C1338,art_ref,0))&amp;"","Référence inconnue"))</f>
        <v/>
      </c>
      <c r="E1338" s="37" t="n"/>
      <c r="F1338" s="39" t="str">
        <f>IF(C1338="","",IFERROR(INDEX(art_unit,MATCH(C1338,art_ref,0))&amp;"",""))</f>
        <v/>
      </c>
      <c r="G1338" s="37" t="n"/>
      <c r="H1338" s="37" t="n"/>
      <c r="I1338" s="37" t="n"/>
      <c r="J1338" s="40" t="str">
        <f>IF(OR(C1338="",NOT(ISNUMBER(E1338))),"",IFERROR(E1338*N(INDEX(art_price,MATCH(C1338,art_ref,0))),""))</f>
        <v/>
      </c>
      <c r="K1338" s="39" t="str">
        <f>IF(OR(C1338="",NOT(ISNUMBER(E1338))),"",IFERROR(ROUND(N(INDEX(art_init,MATCH(C1338,art_ref,0)))+SUMIFS($E$5:E1338,$C$5:C1338,C1338,$B$5:B1338,"Entrée")-SUMIFS($E$5:E1338,$C$5:C1338,C1338,$B$5:B1338,"Sortie"),6),""))</f>
        <v/>
      </c>
      <c r="L1338" s="39" t="str">
        <f>IF(COUNTA(A1338:C1338,E1338)=0,"",IF(COUNTA(A1338:C1338,E1338)&lt;4,"Ligne incomplète",IF(NOT(ISNUMBER(A1338)),"Date invalide",IF(AND(B1338&lt;&gt;"Entrée",B1338&lt;&gt;"Sortie"),"Type inconnu",IF(ISNA(MATCH(C1338,art_ref,0)),"Référence inconnue",IF(OR(NOT(ISNUMBER(E1338)),N(E1338)&lt;=0),"Quantité invalide",IF(K1338&lt;0,"Stock négatif",IF(AND(ISNUMBER(A1337),A1338&lt;A1337),"Date hors ordre","OK"))))))))</f>
        <v/>
      </c>
      <c r="M1338" s="39" t="str">
        <f>IF(C1338="","",C1338&amp;"#"&amp;COUNTIF($C$5:C1338,C1338))</f>
        <v/>
      </c>
    </row>
    <row r="1339">
      <c r="A1339" s="41" t="n"/>
      <c r="B1339" s="37" t="n"/>
      <c r="C1339" s="37" t="n"/>
      <c r="D1339" s="39" t="str">
        <f>IF(C1339="","",IFERROR(INDEX(art_des,MATCH(C1339,art_ref,0))&amp;"","Référence inconnue"))</f>
        <v/>
      </c>
      <c r="E1339" s="37" t="n"/>
      <c r="F1339" s="39" t="str">
        <f>IF(C1339="","",IFERROR(INDEX(art_unit,MATCH(C1339,art_ref,0))&amp;"",""))</f>
        <v/>
      </c>
      <c r="G1339" s="37" t="n"/>
      <c r="H1339" s="37" t="n"/>
      <c r="I1339" s="37" t="n"/>
      <c r="J1339" s="40" t="str">
        <f>IF(OR(C1339="",NOT(ISNUMBER(E1339))),"",IFERROR(E1339*N(INDEX(art_price,MATCH(C1339,art_ref,0))),""))</f>
        <v/>
      </c>
      <c r="K1339" s="39" t="str">
        <f>IF(OR(C1339="",NOT(ISNUMBER(E1339))),"",IFERROR(ROUND(N(INDEX(art_init,MATCH(C1339,art_ref,0)))+SUMIFS($E$5:E1339,$C$5:C1339,C1339,$B$5:B1339,"Entrée")-SUMIFS($E$5:E1339,$C$5:C1339,C1339,$B$5:B1339,"Sortie"),6),""))</f>
        <v/>
      </c>
      <c r="L1339" s="39" t="str">
        <f>IF(COUNTA(A1339:C1339,E1339)=0,"",IF(COUNTA(A1339:C1339,E1339)&lt;4,"Ligne incomplète",IF(NOT(ISNUMBER(A1339)),"Date invalide",IF(AND(B1339&lt;&gt;"Entrée",B1339&lt;&gt;"Sortie"),"Type inconnu",IF(ISNA(MATCH(C1339,art_ref,0)),"Référence inconnue",IF(OR(NOT(ISNUMBER(E1339)),N(E1339)&lt;=0),"Quantité invalide",IF(K1339&lt;0,"Stock négatif",IF(AND(ISNUMBER(A1338),A1339&lt;A1338),"Date hors ordre","OK"))))))))</f>
        <v/>
      </c>
      <c r="M1339" s="39" t="str">
        <f>IF(C1339="","",C1339&amp;"#"&amp;COUNTIF($C$5:C1339,C1339))</f>
        <v/>
      </c>
    </row>
    <row r="1340">
      <c r="A1340" s="41" t="n"/>
      <c r="B1340" s="37" t="n"/>
      <c r="C1340" s="37" t="n"/>
      <c r="D1340" s="39" t="str">
        <f>IF(C1340="","",IFERROR(INDEX(art_des,MATCH(C1340,art_ref,0))&amp;"","Référence inconnue"))</f>
        <v/>
      </c>
      <c r="E1340" s="37" t="n"/>
      <c r="F1340" s="39" t="str">
        <f>IF(C1340="","",IFERROR(INDEX(art_unit,MATCH(C1340,art_ref,0))&amp;"",""))</f>
        <v/>
      </c>
      <c r="G1340" s="37" t="n"/>
      <c r="H1340" s="37" t="n"/>
      <c r="I1340" s="37" t="n"/>
      <c r="J1340" s="40" t="str">
        <f>IF(OR(C1340="",NOT(ISNUMBER(E1340))),"",IFERROR(E1340*N(INDEX(art_price,MATCH(C1340,art_ref,0))),""))</f>
        <v/>
      </c>
      <c r="K1340" s="39" t="str">
        <f>IF(OR(C1340="",NOT(ISNUMBER(E1340))),"",IFERROR(ROUND(N(INDEX(art_init,MATCH(C1340,art_ref,0)))+SUMIFS($E$5:E1340,$C$5:C1340,C1340,$B$5:B1340,"Entrée")-SUMIFS($E$5:E1340,$C$5:C1340,C1340,$B$5:B1340,"Sortie"),6),""))</f>
        <v/>
      </c>
      <c r="L1340" s="39" t="str">
        <f>IF(COUNTA(A1340:C1340,E1340)=0,"",IF(COUNTA(A1340:C1340,E1340)&lt;4,"Ligne incomplète",IF(NOT(ISNUMBER(A1340)),"Date invalide",IF(AND(B1340&lt;&gt;"Entrée",B1340&lt;&gt;"Sortie"),"Type inconnu",IF(ISNA(MATCH(C1340,art_ref,0)),"Référence inconnue",IF(OR(NOT(ISNUMBER(E1340)),N(E1340)&lt;=0),"Quantité invalide",IF(K1340&lt;0,"Stock négatif",IF(AND(ISNUMBER(A1339),A1340&lt;A1339),"Date hors ordre","OK"))))))))</f>
        <v/>
      </c>
      <c r="M1340" s="39" t="str">
        <f>IF(C1340="","",C1340&amp;"#"&amp;COUNTIF($C$5:C1340,C1340))</f>
        <v/>
      </c>
    </row>
    <row r="1341">
      <c r="A1341" s="41" t="n"/>
      <c r="B1341" s="37" t="n"/>
      <c r="C1341" s="37" t="n"/>
      <c r="D1341" s="39" t="str">
        <f>IF(C1341="","",IFERROR(INDEX(art_des,MATCH(C1341,art_ref,0))&amp;"","Référence inconnue"))</f>
        <v/>
      </c>
      <c r="E1341" s="37" t="n"/>
      <c r="F1341" s="39" t="str">
        <f>IF(C1341="","",IFERROR(INDEX(art_unit,MATCH(C1341,art_ref,0))&amp;"",""))</f>
        <v/>
      </c>
      <c r="G1341" s="37" t="n"/>
      <c r="H1341" s="37" t="n"/>
      <c r="I1341" s="37" t="n"/>
      <c r="J1341" s="40" t="str">
        <f>IF(OR(C1341="",NOT(ISNUMBER(E1341))),"",IFERROR(E1341*N(INDEX(art_price,MATCH(C1341,art_ref,0))),""))</f>
        <v/>
      </c>
      <c r="K1341" s="39" t="str">
        <f>IF(OR(C1341="",NOT(ISNUMBER(E1341))),"",IFERROR(ROUND(N(INDEX(art_init,MATCH(C1341,art_ref,0)))+SUMIFS($E$5:E1341,$C$5:C1341,C1341,$B$5:B1341,"Entrée")-SUMIFS($E$5:E1341,$C$5:C1341,C1341,$B$5:B1341,"Sortie"),6),""))</f>
        <v/>
      </c>
      <c r="L1341" s="39" t="str">
        <f>IF(COUNTA(A1341:C1341,E1341)=0,"",IF(COUNTA(A1341:C1341,E1341)&lt;4,"Ligne incomplète",IF(NOT(ISNUMBER(A1341)),"Date invalide",IF(AND(B1341&lt;&gt;"Entrée",B1341&lt;&gt;"Sortie"),"Type inconnu",IF(ISNA(MATCH(C1341,art_ref,0)),"Référence inconnue",IF(OR(NOT(ISNUMBER(E1341)),N(E1341)&lt;=0),"Quantité invalide",IF(K1341&lt;0,"Stock négatif",IF(AND(ISNUMBER(A1340),A1341&lt;A1340),"Date hors ordre","OK"))))))))</f>
        <v/>
      </c>
      <c r="M1341" s="39" t="str">
        <f>IF(C1341="","",C1341&amp;"#"&amp;COUNTIF($C$5:C1341,C1341))</f>
        <v/>
      </c>
    </row>
    <row r="1342">
      <c r="A1342" s="41" t="n"/>
      <c r="B1342" s="37" t="n"/>
      <c r="C1342" s="37" t="n"/>
      <c r="D1342" s="39" t="str">
        <f>IF(C1342="","",IFERROR(INDEX(art_des,MATCH(C1342,art_ref,0))&amp;"","Référence inconnue"))</f>
        <v/>
      </c>
      <c r="E1342" s="37" t="n"/>
      <c r="F1342" s="39" t="str">
        <f>IF(C1342="","",IFERROR(INDEX(art_unit,MATCH(C1342,art_ref,0))&amp;"",""))</f>
        <v/>
      </c>
      <c r="G1342" s="37" t="n"/>
      <c r="H1342" s="37" t="n"/>
      <c r="I1342" s="37" t="n"/>
      <c r="J1342" s="40" t="str">
        <f>IF(OR(C1342="",NOT(ISNUMBER(E1342))),"",IFERROR(E1342*N(INDEX(art_price,MATCH(C1342,art_ref,0))),""))</f>
        <v/>
      </c>
      <c r="K1342" s="39" t="str">
        <f>IF(OR(C1342="",NOT(ISNUMBER(E1342))),"",IFERROR(ROUND(N(INDEX(art_init,MATCH(C1342,art_ref,0)))+SUMIFS($E$5:E1342,$C$5:C1342,C1342,$B$5:B1342,"Entrée")-SUMIFS($E$5:E1342,$C$5:C1342,C1342,$B$5:B1342,"Sortie"),6),""))</f>
        <v/>
      </c>
      <c r="L1342" s="39" t="str">
        <f>IF(COUNTA(A1342:C1342,E1342)=0,"",IF(COUNTA(A1342:C1342,E1342)&lt;4,"Ligne incomplète",IF(NOT(ISNUMBER(A1342)),"Date invalide",IF(AND(B1342&lt;&gt;"Entrée",B1342&lt;&gt;"Sortie"),"Type inconnu",IF(ISNA(MATCH(C1342,art_ref,0)),"Référence inconnue",IF(OR(NOT(ISNUMBER(E1342)),N(E1342)&lt;=0),"Quantité invalide",IF(K1342&lt;0,"Stock négatif",IF(AND(ISNUMBER(A1341),A1342&lt;A1341),"Date hors ordre","OK"))))))))</f>
        <v/>
      </c>
      <c r="M1342" s="39" t="str">
        <f>IF(C1342="","",C1342&amp;"#"&amp;COUNTIF($C$5:C1342,C1342))</f>
        <v/>
      </c>
    </row>
    <row r="1343">
      <c r="A1343" s="41" t="n"/>
      <c r="B1343" s="37" t="n"/>
      <c r="C1343" s="37" t="n"/>
      <c r="D1343" s="39" t="str">
        <f>IF(C1343="","",IFERROR(INDEX(art_des,MATCH(C1343,art_ref,0))&amp;"","Référence inconnue"))</f>
        <v/>
      </c>
      <c r="E1343" s="37" t="n"/>
      <c r="F1343" s="39" t="str">
        <f>IF(C1343="","",IFERROR(INDEX(art_unit,MATCH(C1343,art_ref,0))&amp;"",""))</f>
        <v/>
      </c>
      <c r="G1343" s="37" t="n"/>
      <c r="H1343" s="37" t="n"/>
      <c r="I1343" s="37" t="n"/>
      <c r="J1343" s="40" t="str">
        <f>IF(OR(C1343="",NOT(ISNUMBER(E1343))),"",IFERROR(E1343*N(INDEX(art_price,MATCH(C1343,art_ref,0))),""))</f>
        <v/>
      </c>
      <c r="K1343" s="39" t="str">
        <f>IF(OR(C1343="",NOT(ISNUMBER(E1343))),"",IFERROR(ROUND(N(INDEX(art_init,MATCH(C1343,art_ref,0)))+SUMIFS($E$5:E1343,$C$5:C1343,C1343,$B$5:B1343,"Entrée")-SUMIFS($E$5:E1343,$C$5:C1343,C1343,$B$5:B1343,"Sortie"),6),""))</f>
        <v/>
      </c>
      <c r="L1343" s="39" t="str">
        <f>IF(COUNTA(A1343:C1343,E1343)=0,"",IF(COUNTA(A1343:C1343,E1343)&lt;4,"Ligne incomplète",IF(NOT(ISNUMBER(A1343)),"Date invalide",IF(AND(B1343&lt;&gt;"Entrée",B1343&lt;&gt;"Sortie"),"Type inconnu",IF(ISNA(MATCH(C1343,art_ref,0)),"Référence inconnue",IF(OR(NOT(ISNUMBER(E1343)),N(E1343)&lt;=0),"Quantité invalide",IF(K1343&lt;0,"Stock négatif",IF(AND(ISNUMBER(A1342),A1343&lt;A1342),"Date hors ordre","OK"))))))))</f>
        <v/>
      </c>
      <c r="M1343" s="39" t="str">
        <f>IF(C1343="","",C1343&amp;"#"&amp;COUNTIF($C$5:C1343,C1343))</f>
        <v/>
      </c>
    </row>
    <row r="1344">
      <c r="A1344" s="41" t="n"/>
      <c r="B1344" s="37" t="n"/>
      <c r="C1344" s="37" t="n"/>
      <c r="D1344" s="39" t="str">
        <f>IF(C1344="","",IFERROR(INDEX(art_des,MATCH(C1344,art_ref,0))&amp;"","Référence inconnue"))</f>
        <v/>
      </c>
      <c r="E1344" s="37" t="n"/>
      <c r="F1344" s="39" t="str">
        <f>IF(C1344="","",IFERROR(INDEX(art_unit,MATCH(C1344,art_ref,0))&amp;"",""))</f>
        <v/>
      </c>
      <c r="G1344" s="37" t="n"/>
      <c r="H1344" s="37" t="n"/>
      <c r="I1344" s="37" t="n"/>
      <c r="J1344" s="40" t="str">
        <f>IF(OR(C1344="",NOT(ISNUMBER(E1344))),"",IFERROR(E1344*N(INDEX(art_price,MATCH(C1344,art_ref,0))),""))</f>
        <v/>
      </c>
      <c r="K1344" s="39" t="str">
        <f>IF(OR(C1344="",NOT(ISNUMBER(E1344))),"",IFERROR(ROUND(N(INDEX(art_init,MATCH(C1344,art_ref,0)))+SUMIFS($E$5:E1344,$C$5:C1344,C1344,$B$5:B1344,"Entrée")-SUMIFS($E$5:E1344,$C$5:C1344,C1344,$B$5:B1344,"Sortie"),6),""))</f>
        <v/>
      </c>
      <c r="L1344" s="39" t="str">
        <f>IF(COUNTA(A1344:C1344,E1344)=0,"",IF(COUNTA(A1344:C1344,E1344)&lt;4,"Ligne incomplète",IF(NOT(ISNUMBER(A1344)),"Date invalide",IF(AND(B1344&lt;&gt;"Entrée",B1344&lt;&gt;"Sortie"),"Type inconnu",IF(ISNA(MATCH(C1344,art_ref,0)),"Référence inconnue",IF(OR(NOT(ISNUMBER(E1344)),N(E1344)&lt;=0),"Quantité invalide",IF(K1344&lt;0,"Stock négatif",IF(AND(ISNUMBER(A1343),A1344&lt;A1343),"Date hors ordre","OK"))))))))</f>
        <v/>
      </c>
      <c r="M1344" s="39" t="str">
        <f>IF(C1344="","",C1344&amp;"#"&amp;COUNTIF($C$5:C1344,C1344))</f>
        <v/>
      </c>
    </row>
    <row r="1345">
      <c r="A1345" s="41" t="n"/>
      <c r="B1345" s="37" t="n"/>
      <c r="C1345" s="37" t="n"/>
      <c r="D1345" s="39" t="str">
        <f>IF(C1345="","",IFERROR(INDEX(art_des,MATCH(C1345,art_ref,0))&amp;"","Référence inconnue"))</f>
        <v/>
      </c>
      <c r="E1345" s="37" t="n"/>
      <c r="F1345" s="39" t="str">
        <f>IF(C1345="","",IFERROR(INDEX(art_unit,MATCH(C1345,art_ref,0))&amp;"",""))</f>
        <v/>
      </c>
      <c r="G1345" s="37" t="n"/>
      <c r="H1345" s="37" t="n"/>
      <c r="I1345" s="37" t="n"/>
      <c r="J1345" s="40" t="str">
        <f>IF(OR(C1345="",NOT(ISNUMBER(E1345))),"",IFERROR(E1345*N(INDEX(art_price,MATCH(C1345,art_ref,0))),""))</f>
        <v/>
      </c>
      <c r="K1345" s="39" t="str">
        <f>IF(OR(C1345="",NOT(ISNUMBER(E1345))),"",IFERROR(ROUND(N(INDEX(art_init,MATCH(C1345,art_ref,0)))+SUMIFS($E$5:E1345,$C$5:C1345,C1345,$B$5:B1345,"Entrée")-SUMIFS($E$5:E1345,$C$5:C1345,C1345,$B$5:B1345,"Sortie"),6),""))</f>
        <v/>
      </c>
      <c r="L1345" s="39" t="str">
        <f>IF(COUNTA(A1345:C1345,E1345)=0,"",IF(COUNTA(A1345:C1345,E1345)&lt;4,"Ligne incomplète",IF(NOT(ISNUMBER(A1345)),"Date invalide",IF(AND(B1345&lt;&gt;"Entrée",B1345&lt;&gt;"Sortie"),"Type inconnu",IF(ISNA(MATCH(C1345,art_ref,0)),"Référence inconnue",IF(OR(NOT(ISNUMBER(E1345)),N(E1345)&lt;=0),"Quantité invalide",IF(K1345&lt;0,"Stock négatif",IF(AND(ISNUMBER(A1344),A1345&lt;A1344),"Date hors ordre","OK"))))))))</f>
        <v/>
      </c>
      <c r="M1345" s="39" t="str">
        <f>IF(C1345="","",C1345&amp;"#"&amp;COUNTIF($C$5:C1345,C1345))</f>
        <v/>
      </c>
    </row>
    <row r="1346">
      <c r="A1346" s="41" t="n"/>
      <c r="B1346" s="37" t="n"/>
      <c r="C1346" s="37" t="n"/>
      <c r="D1346" s="39" t="str">
        <f>IF(C1346="","",IFERROR(INDEX(art_des,MATCH(C1346,art_ref,0))&amp;"","Référence inconnue"))</f>
        <v/>
      </c>
      <c r="E1346" s="37" t="n"/>
      <c r="F1346" s="39" t="str">
        <f>IF(C1346="","",IFERROR(INDEX(art_unit,MATCH(C1346,art_ref,0))&amp;"",""))</f>
        <v/>
      </c>
      <c r="G1346" s="37" t="n"/>
      <c r="H1346" s="37" t="n"/>
      <c r="I1346" s="37" t="n"/>
      <c r="J1346" s="40" t="str">
        <f>IF(OR(C1346="",NOT(ISNUMBER(E1346))),"",IFERROR(E1346*N(INDEX(art_price,MATCH(C1346,art_ref,0))),""))</f>
        <v/>
      </c>
      <c r="K1346" s="39" t="str">
        <f>IF(OR(C1346="",NOT(ISNUMBER(E1346))),"",IFERROR(ROUND(N(INDEX(art_init,MATCH(C1346,art_ref,0)))+SUMIFS($E$5:E1346,$C$5:C1346,C1346,$B$5:B1346,"Entrée")-SUMIFS($E$5:E1346,$C$5:C1346,C1346,$B$5:B1346,"Sortie"),6),""))</f>
        <v/>
      </c>
      <c r="L1346" s="39" t="str">
        <f>IF(COUNTA(A1346:C1346,E1346)=0,"",IF(COUNTA(A1346:C1346,E1346)&lt;4,"Ligne incomplète",IF(NOT(ISNUMBER(A1346)),"Date invalide",IF(AND(B1346&lt;&gt;"Entrée",B1346&lt;&gt;"Sortie"),"Type inconnu",IF(ISNA(MATCH(C1346,art_ref,0)),"Référence inconnue",IF(OR(NOT(ISNUMBER(E1346)),N(E1346)&lt;=0),"Quantité invalide",IF(K1346&lt;0,"Stock négatif",IF(AND(ISNUMBER(A1345),A1346&lt;A1345),"Date hors ordre","OK"))))))))</f>
        <v/>
      </c>
      <c r="M1346" s="39" t="str">
        <f>IF(C1346="","",C1346&amp;"#"&amp;COUNTIF($C$5:C1346,C1346))</f>
        <v/>
      </c>
    </row>
    <row r="1347">
      <c r="A1347" s="41" t="n"/>
      <c r="B1347" s="37" t="n"/>
      <c r="C1347" s="37" t="n"/>
      <c r="D1347" s="39" t="str">
        <f>IF(C1347="","",IFERROR(INDEX(art_des,MATCH(C1347,art_ref,0))&amp;"","Référence inconnue"))</f>
        <v/>
      </c>
      <c r="E1347" s="37" t="n"/>
      <c r="F1347" s="39" t="str">
        <f>IF(C1347="","",IFERROR(INDEX(art_unit,MATCH(C1347,art_ref,0))&amp;"",""))</f>
        <v/>
      </c>
      <c r="G1347" s="37" t="n"/>
      <c r="H1347" s="37" t="n"/>
      <c r="I1347" s="37" t="n"/>
      <c r="J1347" s="40" t="str">
        <f>IF(OR(C1347="",NOT(ISNUMBER(E1347))),"",IFERROR(E1347*N(INDEX(art_price,MATCH(C1347,art_ref,0))),""))</f>
        <v/>
      </c>
      <c r="K1347" s="39" t="str">
        <f>IF(OR(C1347="",NOT(ISNUMBER(E1347))),"",IFERROR(ROUND(N(INDEX(art_init,MATCH(C1347,art_ref,0)))+SUMIFS($E$5:E1347,$C$5:C1347,C1347,$B$5:B1347,"Entrée")-SUMIFS($E$5:E1347,$C$5:C1347,C1347,$B$5:B1347,"Sortie"),6),""))</f>
        <v/>
      </c>
      <c r="L1347" s="39" t="str">
        <f>IF(COUNTA(A1347:C1347,E1347)=0,"",IF(COUNTA(A1347:C1347,E1347)&lt;4,"Ligne incomplète",IF(NOT(ISNUMBER(A1347)),"Date invalide",IF(AND(B1347&lt;&gt;"Entrée",B1347&lt;&gt;"Sortie"),"Type inconnu",IF(ISNA(MATCH(C1347,art_ref,0)),"Référence inconnue",IF(OR(NOT(ISNUMBER(E1347)),N(E1347)&lt;=0),"Quantité invalide",IF(K1347&lt;0,"Stock négatif",IF(AND(ISNUMBER(A1346),A1347&lt;A1346),"Date hors ordre","OK"))))))))</f>
        <v/>
      </c>
      <c r="M1347" s="39" t="str">
        <f>IF(C1347="","",C1347&amp;"#"&amp;COUNTIF($C$5:C1347,C1347))</f>
        <v/>
      </c>
    </row>
    <row r="1348">
      <c r="A1348" s="41" t="n"/>
      <c r="B1348" s="37" t="n"/>
      <c r="C1348" s="37" t="n"/>
      <c r="D1348" s="39" t="str">
        <f>IF(C1348="","",IFERROR(INDEX(art_des,MATCH(C1348,art_ref,0))&amp;"","Référence inconnue"))</f>
        <v/>
      </c>
      <c r="E1348" s="37" t="n"/>
      <c r="F1348" s="39" t="str">
        <f>IF(C1348="","",IFERROR(INDEX(art_unit,MATCH(C1348,art_ref,0))&amp;"",""))</f>
        <v/>
      </c>
      <c r="G1348" s="37" t="n"/>
      <c r="H1348" s="37" t="n"/>
      <c r="I1348" s="37" t="n"/>
      <c r="J1348" s="40" t="str">
        <f>IF(OR(C1348="",NOT(ISNUMBER(E1348))),"",IFERROR(E1348*N(INDEX(art_price,MATCH(C1348,art_ref,0))),""))</f>
        <v/>
      </c>
      <c r="K1348" s="39" t="str">
        <f>IF(OR(C1348="",NOT(ISNUMBER(E1348))),"",IFERROR(ROUND(N(INDEX(art_init,MATCH(C1348,art_ref,0)))+SUMIFS($E$5:E1348,$C$5:C1348,C1348,$B$5:B1348,"Entrée")-SUMIFS($E$5:E1348,$C$5:C1348,C1348,$B$5:B1348,"Sortie"),6),""))</f>
        <v/>
      </c>
      <c r="L1348" s="39" t="str">
        <f>IF(COUNTA(A1348:C1348,E1348)=0,"",IF(COUNTA(A1348:C1348,E1348)&lt;4,"Ligne incomplète",IF(NOT(ISNUMBER(A1348)),"Date invalide",IF(AND(B1348&lt;&gt;"Entrée",B1348&lt;&gt;"Sortie"),"Type inconnu",IF(ISNA(MATCH(C1348,art_ref,0)),"Référence inconnue",IF(OR(NOT(ISNUMBER(E1348)),N(E1348)&lt;=0),"Quantité invalide",IF(K1348&lt;0,"Stock négatif",IF(AND(ISNUMBER(A1347),A1348&lt;A1347),"Date hors ordre","OK"))))))))</f>
        <v/>
      </c>
      <c r="M1348" s="39" t="str">
        <f>IF(C1348="","",C1348&amp;"#"&amp;COUNTIF($C$5:C1348,C1348))</f>
        <v/>
      </c>
    </row>
    <row r="1349">
      <c r="A1349" s="41" t="n"/>
      <c r="B1349" s="37" t="n"/>
      <c r="C1349" s="37" t="n"/>
      <c r="D1349" s="39" t="str">
        <f>IF(C1349="","",IFERROR(INDEX(art_des,MATCH(C1349,art_ref,0))&amp;"","Référence inconnue"))</f>
        <v/>
      </c>
      <c r="E1349" s="37" t="n"/>
      <c r="F1349" s="39" t="str">
        <f>IF(C1349="","",IFERROR(INDEX(art_unit,MATCH(C1349,art_ref,0))&amp;"",""))</f>
        <v/>
      </c>
      <c r="G1349" s="37" t="n"/>
      <c r="H1349" s="37" t="n"/>
      <c r="I1349" s="37" t="n"/>
      <c r="J1349" s="40" t="str">
        <f>IF(OR(C1349="",NOT(ISNUMBER(E1349))),"",IFERROR(E1349*N(INDEX(art_price,MATCH(C1349,art_ref,0))),""))</f>
        <v/>
      </c>
      <c r="K1349" s="39" t="str">
        <f>IF(OR(C1349="",NOT(ISNUMBER(E1349))),"",IFERROR(ROUND(N(INDEX(art_init,MATCH(C1349,art_ref,0)))+SUMIFS($E$5:E1349,$C$5:C1349,C1349,$B$5:B1349,"Entrée")-SUMIFS($E$5:E1349,$C$5:C1349,C1349,$B$5:B1349,"Sortie"),6),""))</f>
        <v/>
      </c>
      <c r="L1349" s="39" t="str">
        <f>IF(COUNTA(A1349:C1349,E1349)=0,"",IF(COUNTA(A1349:C1349,E1349)&lt;4,"Ligne incomplète",IF(NOT(ISNUMBER(A1349)),"Date invalide",IF(AND(B1349&lt;&gt;"Entrée",B1349&lt;&gt;"Sortie"),"Type inconnu",IF(ISNA(MATCH(C1349,art_ref,0)),"Référence inconnue",IF(OR(NOT(ISNUMBER(E1349)),N(E1349)&lt;=0),"Quantité invalide",IF(K1349&lt;0,"Stock négatif",IF(AND(ISNUMBER(A1348),A1349&lt;A1348),"Date hors ordre","OK"))))))))</f>
        <v/>
      </c>
      <c r="M1349" s="39" t="str">
        <f>IF(C1349="","",C1349&amp;"#"&amp;COUNTIF($C$5:C1349,C1349))</f>
        <v/>
      </c>
    </row>
    <row r="1350">
      <c r="A1350" s="41" t="n"/>
      <c r="B1350" s="37" t="n"/>
      <c r="C1350" s="37" t="n"/>
      <c r="D1350" s="39" t="str">
        <f>IF(C1350="","",IFERROR(INDEX(art_des,MATCH(C1350,art_ref,0))&amp;"","Référence inconnue"))</f>
        <v/>
      </c>
      <c r="E1350" s="37" t="n"/>
      <c r="F1350" s="39" t="str">
        <f>IF(C1350="","",IFERROR(INDEX(art_unit,MATCH(C1350,art_ref,0))&amp;"",""))</f>
        <v/>
      </c>
      <c r="G1350" s="37" t="n"/>
      <c r="H1350" s="37" t="n"/>
      <c r="I1350" s="37" t="n"/>
      <c r="J1350" s="40" t="str">
        <f>IF(OR(C1350="",NOT(ISNUMBER(E1350))),"",IFERROR(E1350*N(INDEX(art_price,MATCH(C1350,art_ref,0))),""))</f>
        <v/>
      </c>
      <c r="K1350" s="39" t="str">
        <f>IF(OR(C1350="",NOT(ISNUMBER(E1350))),"",IFERROR(ROUND(N(INDEX(art_init,MATCH(C1350,art_ref,0)))+SUMIFS($E$5:E1350,$C$5:C1350,C1350,$B$5:B1350,"Entrée")-SUMIFS($E$5:E1350,$C$5:C1350,C1350,$B$5:B1350,"Sortie"),6),""))</f>
        <v/>
      </c>
      <c r="L1350" s="39" t="str">
        <f>IF(COUNTA(A1350:C1350,E1350)=0,"",IF(COUNTA(A1350:C1350,E1350)&lt;4,"Ligne incomplète",IF(NOT(ISNUMBER(A1350)),"Date invalide",IF(AND(B1350&lt;&gt;"Entrée",B1350&lt;&gt;"Sortie"),"Type inconnu",IF(ISNA(MATCH(C1350,art_ref,0)),"Référence inconnue",IF(OR(NOT(ISNUMBER(E1350)),N(E1350)&lt;=0),"Quantité invalide",IF(K1350&lt;0,"Stock négatif",IF(AND(ISNUMBER(A1349),A1350&lt;A1349),"Date hors ordre","OK"))))))))</f>
        <v/>
      </c>
      <c r="M1350" s="39" t="str">
        <f>IF(C1350="","",C1350&amp;"#"&amp;COUNTIF($C$5:C1350,C1350))</f>
        <v/>
      </c>
    </row>
    <row r="1351">
      <c r="A1351" s="41" t="n"/>
      <c r="B1351" s="37" t="n"/>
      <c r="C1351" s="37" t="n"/>
      <c r="D1351" s="39" t="str">
        <f>IF(C1351="","",IFERROR(INDEX(art_des,MATCH(C1351,art_ref,0))&amp;"","Référence inconnue"))</f>
        <v/>
      </c>
      <c r="E1351" s="37" t="n"/>
      <c r="F1351" s="39" t="str">
        <f>IF(C1351="","",IFERROR(INDEX(art_unit,MATCH(C1351,art_ref,0))&amp;"",""))</f>
        <v/>
      </c>
      <c r="G1351" s="37" t="n"/>
      <c r="H1351" s="37" t="n"/>
      <c r="I1351" s="37" t="n"/>
      <c r="J1351" s="40" t="str">
        <f>IF(OR(C1351="",NOT(ISNUMBER(E1351))),"",IFERROR(E1351*N(INDEX(art_price,MATCH(C1351,art_ref,0))),""))</f>
        <v/>
      </c>
      <c r="K1351" s="39" t="str">
        <f>IF(OR(C1351="",NOT(ISNUMBER(E1351))),"",IFERROR(ROUND(N(INDEX(art_init,MATCH(C1351,art_ref,0)))+SUMIFS($E$5:E1351,$C$5:C1351,C1351,$B$5:B1351,"Entrée")-SUMIFS($E$5:E1351,$C$5:C1351,C1351,$B$5:B1351,"Sortie"),6),""))</f>
        <v/>
      </c>
      <c r="L1351" s="39" t="str">
        <f>IF(COUNTA(A1351:C1351,E1351)=0,"",IF(COUNTA(A1351:C1351,E1351)&lt;4,"Ligne incomplète",IF(NOT(ISNUMBER(A1351)),"Date invalide",IF(AND(B1351&lt;&gt;"Entrée",B1351&lt;&gt;"Sortie"),"Type inconnu",IF(ISNA(MATCH(C1351,art_ref,0)),"Référence inconnue",IF(OR(NOT(ISNUMBER(E1351)),N(E1351)&lt;=0),"Quantité invalide",IF(K1351&lt;0,"Stock négatif",IF(AND(ISNUMBER(A1350),A1351&lt;A1350),"Date hors ordre","OK"))))))))</f>
        <v/>
      </c>
      <c r="M1351" s="39" t="str">
        <f>IF(C1351="","",C1351&amp;"#"&amp;COUNTIF($C$5:C1351,C1351))</f>
        <v/>
      </c>
    </row>
    <row r="1352">
      <c r="A1352" s="41" t="n"/>
      <c r="B1352" s="37" t="n"/>
      <c r="C1352" s="37" t="n"/>
      <c r="D1352" s="39" t="str">
        <f>IF(C1352="","",IFERROR(INDEX(art_des,MATCH(C1352,art_ref,0))&amp;"","Référence inconnue"))</f>
        <v/>
      </c>
      <c r="E1352" s="37" t="n"/>
      <c r="F1352" s="39" t="str">
        <f>IF(C1352="","",IFERROR(INDEX(art_unit,MATCH(C1352,art_ref,0))&amp;"",""))</f>
        <v/>
      </c>
      <c r="G1352" s="37" t="n"/>
      <c r="H1352" s="37" t="n"/>
      <c r="I1352" s="37" t="n"/>
      <c r="J1352" s="40" t="str">
        <f>IF(OR(C1352="",NOT(ISNUMBER(E1352))),"",IFERROR(E1352*N(INDEX(art_price,MATCH(C1352,art_ref,0))),""))</f>
        <v/>
      </c>
      <c r="K1352" s="39" t="str">
        <f>IF(OR(C1352="",NOT(ISNUMBER(E1352))),"",IFERROR(ROUND(N(INDEX(art_init,MATCH(C1352,art_ref,0)))+SUMIFS($E$5:E1352,$C$5:C1352,C1352,$B$5:B1352,"Entrée")-SUMIFS($E$5:E1352,$C$5:C1352,C1352,$B$5:B1352,"Sortie"),6),""))</f>
        <v/>
      </c>
      <c r="L1352" s="39" t="str">
        <f>IF(COUNTA(A1352:C1352,E1352)=0,"",IF(COUNTA(A1352:C1352,E1352)&lt;4,"Ligne incomplète",IF(NOT(ISNUMBER(A1352)),"Date invalide",IF(AND(B1352&lt;&gt;"Entrée",B1352&lt;&gt;"Sortie"),"Type inconnu",IF(ISNA(MATCH(C1352,art_ref,0)),"Référence inconnue",IF(OR(NOT(ISNUMBER(E1352)),N(E1352)&lt;=0),"Quantité invalide",IF(K1352&lt;0,"Stock négatif",IF(AND(ISNUMBER(A1351),A1352&lt;A1351),"Date hors ordre","OK"))))))))</f>
        <v/>
      </c>
      <c r="M1352" s="39" t="str">
        <f>IF(C1352="","",C1352&amp;"#"&amp;COUNTIF($C$5:C1352,C1352))</f>
        <v/>
      </c>
    </row>
    <row r="1353">
      <c r="A1353" s="41" t="n"/>
      <c r="B1353" s="37" t="n"/>
      <c r="C1353" s="37" t="n"/>
      <c r="D1353" s="39" t="str">
        <f>IF(C1353="","",IFERROR(INDEX(art_des,MATCH(C1353,art_ref,0))&amp;"","Référence inconnue"))</f>
        <v/>
      </c>
      <c r="E1353" s="37" t="n"/>
      <c r="F1353" s="39" t="str">
        <f>IF(C1353="","",IFERROR(INDEX(art_unit,MATCH(C1353,art_ref,0))&amp;"",""))</f>
        <v/>
      </c>
      <c r="G1353" s="37" t="n"/>
      <c r="H1353" s="37" t="n"/>
      <c r="I1353" s="37" t="n"/>
      <c r="J1353" s="40" t="str">
        <f>IF(OR(C1353="",NOT(ISNUMBER(E1353))),"",IFERROR(E1353*N(INDEX(art_price,MATCH(C1353,art_ref,0))),""))</f>
        <v/>
      </c>
      <c r="K1353" s="39" t="str">
        <f>IF(OR(C1353="",NOT(ISNUMBER(E1353))),"",IFERROR(ROUND(N(INDEX(art_init,MATCH(C1353,art_ref,0)))+SUMIFS($E$5:E1353,$C$5:C1353,C1353,$B$5:B1353,"Entrée")-SUMIFS($E$5:E1353,$C$5:C1353,C1353,$B$5:B1353,"Sortie"),6),""))</f>
        <v/>
      </c>
      <c r="L1353" s="39" t="str">
        <f>IF(COUNTA(A1353:C1353,E1353)=0,"",IF(COUNTA(A1353:C1353,E1353)&lt;4,"Ligne incomplète",IF(NOT(ISNUMBER(A1353)),"Date invalide",IF(AND(B1353&lt;&gt;"Entrée",B1353&lt;&gt;"Sortie"),"Type inconnu",IF(ISNA(MATCH(C1353,art_ref,0)),"Référence inconnue",IF(OR(NOT(ISNUMBER(E1353)),N(E1353)&lt;=0),"Quantité invalide",IF(K1353&lt;0,"Stock négatif",IF(AND(ISNUMBER(A1352),A1353&lt;A1352),"Date hors ordre","OK"))))))))</f>
        <v/>
      </c>
      <c r="M1353" s="39" t="str">
        <f>IF(C1353="","",C1353&amp;"#"&amp;COUNTIF($C$5:C1353,C1353))</f>
        <v/>
      </c>
    </row>
    <row r="1354">
      <c r="A1354" s="41" t="n"/>
      <c r="B1354" s="37" t="n"/>
      <c r="C1354" s="37" t="n"/>
      <c r="D1354" s="39" t="str">
        <f>IF(C1354="","",IFERROR(INDEX(art_des,MATCH(C1354,art_ref,0))&amp;"","Référence inconnue"))</f>
        <v/>
      </c>
      <c r="E1354" s="37" t="n"/>
      <c r="F1354" s="39" t="str">
        <f>IF(C1354="","",IFERROR(INDEX(art_unit,MATCH(C1354,art_ref,0))&amp;"",""))</f>
        <v/>
      </c>
      <c r="G1354" s="37" t="n"/>
      <c r="H1354" s="37" t="n"/>
      <c r="I1354" s="37" t="n"/>
      <c r="J1354" s="40" t="str">
        <f>IF(OR(C1354="",NOT(ISNUMBER(E1354))),"",IFERROR(E1354*N(INDEX(art_price,MATCH(C1354,art_ref,0))),""))</f>
        <v/>
      </c>
      <c r="K1354" s="39" t="str">
        <f>IF(OR(C1354="",NOT(ISNUMBER(E1354))),"",IFERROR(ROUND(N(INDEX(art_init,MATCH(C1354,art_ref,0)))+SUMIFS($E$5:E1354,$C$5:C1354,C1354,$B$5:B1354,"Entrée")-SUMIFS($E$5:E1354,$C$5:C1354,C1354,$B$5:B1354,"Sortie"),6),""))</f>
        <v/>
      </c>
      <c r="L1354" s="39" t="str">
        <f>IF(COUNTA(A1354:C1354,E1354)=0,"",IF(COUNTA(A1354:C1354,E1354)&lt;4,"Ligne incomplète",IF(NOT(ISNUMBER(A1354)),"Date invalide",IF(AND(B1354&lt;&gt;"Entrée",B1354&lt;&gt;"Sortie"),"Type inconnu",IF(ISNA(MATCH(C1354,art_ref,0)),"Référence inconnue",IF(OR(NOT(ISNUMBER(E1354)),N(E1354)&lt;=0),"Quantité invalide",IF(K1354&lt;0,"Stock négatif",IF(AND(ISNUMBER(A1353),A1354&lt;A1353),"Date hors ordre","OK"))))))))</f>
        <v/>
      </c>
      <c r="M1354" s="39" t="str">
        <f>IF(C1354="","",C1354&amp;"#"&amp;COUNTIF($C$5:C1354,C1354))</f>
        <v/>
      </c>
    </row>
    <row r="1355">
      <c r="A1355" s="41" t="n"/>
      <c r="B1355" s="37" t="n"/>
      <c r="C1355" s="37" t="n"/>
      <c r="D1355" s="39" t="str">
        <f>IF(C1355="","",IFERROR(INDEX(art_des,MATCH(C1355,art_ref,0))&amp;"","Référence inconnue"))</f>
        <v/>
      </c>
      <c r="E1355" s="37" t="n"/>
      <c r="F1355" s="39" t="str">
        <f>IF(C1355="","",IFERROR(INDEX(art_unit,MATCH(C1355,art_ref,0))&amp;"",""))</f>
        <v/>
      </c>
      <c r="G1355" s="37" t="n"/>
      <c r="H1355" s="37" t="n"/>
      <c r="I1355" s="37" t="n"/>
      <c r="J1355" s="40" t="str">
        <f>IF(OR(C1355="",NOT(ISNUMBER(E1355))),"",IFERROR(E1355*N(INDEX(art_price,MATCH(C1355,art_ref,0))),""))</f>
        <v/>
      </c>
      <c r="K1355" s="39" t="str">
        <f>IF(OR(C1355="",NOT(ISNUMBER(E1355))),"",IFERROR(ROUND(N(INDEX(art_init,MATCH(C1355,art_ref,0)))+SUMIFS($E$5:E1355,$C$5:C1355,C1355,$B$5:B1355,"Entrée")-SUMIFS($E$5:E1355,$C$5:C1355,C1355,$B$5:B1355,"Sortie"),6),""))</f>
        <v/>
      </c>
      <c r="L1355" s="39" t="str">
        <f>IF(COUNTA(A1355:C1355,E1355)=0,"",IF(COUNTA(A1355:C1355,E1355)&lt;4,"Ligne incomplète",IF(NOT(ISNUMBER(A1355)),"Date invalide",IF(AND(B1355&lt;&gt;"Entrée",B1355&lt;&gt;"Sortie"),"Type inconnu",IF(ISNA(MATCH(C1355,art_ref,0)),"Référence inconnue",IF(OR(NOT(ISNUMBER(E1355)),N(E1355)&lt;=0),"Quantité invalide",IF(K1355&lt;0,"Stock négatif",IF(AND(ISNUMBER(A1354),A1355&lt;A1354),"Date hors ordre","OK"))))))))</f>
        <v/>
      </c>
      <c r="M1355" s="39" t="str">
        <f>IF(C1355="","",C1355&amp;"#"&amp;COUNTIF($C$5:C1355,C1355))</f>
        <v/>
      </c>
    </row>
    <row r="1356">
      <c r="A1356" s="41" t="n"/>
      <c r="B1356" s="37" t="n"/>
      <c r="C1356" s="37" t="n"/>
      <c r="D1356" s="39" t="str">
        <f>IF(C1356="","",IFERROR(INDEX(art_des,MATCH(C1356,art_ref,0))&amp;"","Référence inconnue"))</f>
        <v/>
      </c>
      <c r="E1356" s="37" t="n"/>
      <c r="F1356" s="39" t="str">
        <f>IF(C1356="","",IFERROR(INDEX(art_unit,MATCH(C1356,art_ref,0))&amp;"",""))</f>
        <v/>
      </c>
      <c r="G1356" s="37" t="n"/>
      <c r="H1356" s="37" t="n"/>
      <c r="I1356" s="37" t="n"/>
      <c r="J1356" s="40" t="str">
        <f>IF(OR(C1356="",NOT(ISNUMBER(E1356))),"",IFERROR(E1356*N(INDEX(art_price,MATCH(C1356,art_ref,0))),""))</f>
        <v/>
      </c>
      <c r="K1356" s="39" t="str">
        <f>IF(OR(C1356="",NOT(ISNUMBER(E1356))),"",IFERROR(ROUND(N(INDEX(art_init,MATCH(C1356,art_ref,0)))+SUMIFS($E$5:E1356,$C$5:C1356,C1356,$B$5:B1356,"Entrée")-SUMIFS($E$5:E1356,$C$5:C1356,C1356,$B$5:B1356,"Sortie"),6),""))</f>
        <v/>
      </c>
      <c r="L1356" s="39" t="str">
        <f>IF(COUNTA(A1356:C1356,E1356)=0,"",IF(COUNTA(A1356:C1356,E1356)&lt;4,"Ligne incomplète",IF(NOT(ISNUMBER(A1356)),"Date invalide",IF(AND(B1356&lt;&gt;"Entrée",B1356&lt;&gt;"Sortie"),"Type inconnu",IF(ISNA(MATCH(C1356,art_ref,0)),"Référence inconnue",IF(OR(NOT(ISNUMBER(E1356)),N(E1356)&lt;=0),"Quantité invalide",IF(K1356&lt;0,"Stock négatif",IF(AND(ISNUMBER(A1355),A1356&lt;A1355),"Date hors ordre","OK"))))))))</f>
        <v/>
      </c>
      <c r="M1356" s="39" t="str">
        <f>IF(C1356="","",C1356&amp;"#"&amp;COUNTIF($C$5:C1356,C1356))</f>
        <v/>
      </c>
    </row>
    <row r="1357">
      <c r="A1357" s="41" t="n"/>
      <c r="B1357" s="37" t="n"/>
      <c r="C1357" s="37" t="n"/>
      <c r="D1357" s="39" t="str">
        <f>IF(C1357="","",IFERROR(INDEX(art_des,MATCH(C1357,art_ref,0))&amp;"","Référence inconnue"))</f>
        <v/>
      </c>
      <c r="E1357" s="37" t="n"/>
      <c r="F1357" s="39" t="str">
        <f>IF(C1357="","",IFERROR(INDEX(art_unit,MATCH(C1357,art_ref,0))&amp;"",""))</f>
        <v/>
      </c>
      <c r="G1357" s="37" t="n"/>
      <c r="H1357" s="37" t="n"/>
      <c r="I1357" s="37" t="n"/>
      <c r="J1357" s="40" t="str">
        <f>IF(OR(C1357="",NOT(ISNUMBER(E1357))),"",IFERROR(E1357*N(INDEX(art_price,MATCH(C1357,art_ref,0))),""))</f>
        <v/>
      </c>
      <c r="K1357" s="39" t="str">
        <f>IF(OR(C1357="",NOT(ISNUMBER(E1357))),"",IFERROR(ROUND(N(INDEX(art_init,MATCH(C1357,art_ref,0)))+SUMIFS($E$5:E1357,$C$5:C1357,C1357,$B$5:B1357,"Entrée")-SUMIFS($E$5:E1357,$C$5:C1357,C1357,$B$5:B1357,"Sortie"),6),""))</f>
        <v/>
      </c>
      <c r="L1357" s="39" t="str">
        <f>IF(COUNTA(A1357:C1357,E1357)=0,"",IF(COUNTA(A1357:C1357,E1357)&lt;4,"Ligne incomplète",IF(NOT(ISNUMBER(A1357)),"Date invalide",IF(AND(B1357&lt;&gt;"Entrée",B1357&lt;&gt;"Sortie"),"Type inconnu",IF(ISNA(MATCH(C1357,art_ref,0)),"Référence inconnue",IF(OR(NOT(ISNUMBER(E1357)),N(E1357)&lt;=0),"Quantité invalide",IF(K1357&lt;0,"Stock négatif",IF(AND(ISNUMBER(A1356),A1357&lt;A1356),"Date hors ordre","OK"))))))))</f>
        <v/>
      </c>
      <c r="M1357" s="39" t="str">
        <f>IF(C1357="","",C1357&amp;"#"&amp;COUNTIF($C$5:C1357,C1357))</f>
        <v/>
      </c>
    </row>
    <row r="1358">
      <c r="A1358" s="41" t="n"/>
      <c r="B1358" s="37" t="n"/>
      <c r="C1358" s="37" t="n"/>
      <c r="D1358" s="39" t="str">
        <f>IF(C1358="","",IFERROR(INDEX(art_des,MATCH(C1358,art_ref,0))&amp;"","Référence inconnue"))</f>
        <v/>
      </c>
      <c r="E1358" s="37" t="n"/>
      <c r="F1358" s="39" t="str">
        <f>IF(C1358="","",IFERROR(INDEX(art_unit,MATCH(C1358,art_ref,0))&amp;"",""))</f>
        <v/>
      </c>
      <c r="G1358" s="37" t="n"/>
      <c r="H1358" s="37" t="n"/>
      <c r="I1358" s="37" t="n"/>
      <c r="J1358" s="40" t="str">
        <f>IF(OR(C1358="",NOT(ISNUMBER(E1358))),"",IFERROR(E1358*N(INDEX(art_price,MATCH(C1358,art_ref,0))),""))</f>
        <v/>
      </c>
      <c r="K1358" s="39" t="str">
        <f>IF(OR(C1358="",NOT(ISNUMBER(E1358))),"",IFERROR(ROUND(N(INDEX(art_init,MATCH(C1358,art_ref,0)))+SUMIFS($E$5:E1358,$C$5:C1358,C1358,$B$5:B1358,"Entrée")-SUMIFS($E$5:E1358,$C$5:C1358,C1358,$B$5:B1358,"Sortie"),6),""))</f>
        <v/>
      </c>
      <c r="L1358" s="39" t="str">
        <f>IF(COUNTA(A1358:C1358,E1358)=0,"",IF(COUNTA(A1358:C1358,E1358)&lt;4,"Ligne incomplète",IF(NOT(ISNUMBER(A1358)),"Date invalide",IF(AND(B1358&lt;&gt;"Entrée",B1358&lt;&gt;"Sortie"),"Type inconnu",IF(ISNA(MATCH(C1358,art_ref,0)),"Référence inconnue",IF(OR(NOT(ISNUMBER(E1358)),N(E1358)&lt;=0),"Quantité invalide",IF(K1358&lt;0,"Stock négatif",IF(AND(ISNUMBER(A1357),A1358&lt;A1357),"Date hors ordre","OK"))))))))</f>
        <v/>
      </c>
      <c r="M1358" s="39" t="str">
        <f>IF(C1358="","",C1358&amp;"#"&amp;COUNTIF($C$5:C1358,C1358))</f>
        <v/>
      </c>
    </row>
    <row r="1359">
      <c r="A1359" s="41" t="n"/>
      <c r="B1359" s="37" t="n"/>
      <c r="C1359" s="37" t="n"/>
      <c r="D1359" s="39" t="str">
        <f>IF(C1359="","",IFERROR(INDEX(art_des,MATCH(C1359,art_ref,0))&amp;"","Référence inconnue"))</f>
        <v/>
      </c>
      <c r="E1359" s="37" t="n"/>
      <c r="F1359" s="39" t="str">
        <f>IF(C1359="","",IFERROR(INDEX(art_unit,MATCH(C1359,art_ref,0))&amp;"",""))</f>
        <v/>
      </c>
      <c r="G1359" s="37" t="n"/>
      <c r="H1359" s="37" t="n"/>
      <c r="I1359" s="37" t="n"/>
      <c r="J1359" s="40" t="str">
        <f>IF(OR(C1359="",NOT(ISNUMBER(E1359))),"",IFERROR(E1359*N(INDEX(art_price,MATCH(C1359,art_ref,0))),""))</f>
        <v/>
      </c>
      <c r="K1359" s="39" t="str">
        <f>IF(OR(C1359="",NOT(ISNUMBER(E1359))),"",IFERROR(ROUND(N(INDEX(art_init,MATCH(C1359,art_ref,0)))+SUMIFS($E$5:E1359,$C$5:C1359,C1359,$B$5:B1359,"Entrée")-SUMIFS($E$5:E1359,$C$5:C1359,C1359,$B$5:B1359,"Sortie"),6),""))</f>
        <v/>
      </c>
      <c r="L1359" s="39" t="str">
        <f>IF(COUNTA(A1359:C1359,E1359)=0,"",IF(COUNTA(A1359:C1359,E1359)&lt;4,"Ligne incomplète",IF(NOT(ISNUMBER(A1359)),"Date invalide",IF(AND(B1359&lt;&gt;"Entrée",B1359&lt;&gt;"Sortie"),"Type inconnu",IF(ISNA(MATCH(C1359,art_ref,0)),"Référence inconnue",IF(OR(NOT(ISNUMBER(E1359)),N(E1359)&lt;=0),"Quantité invalide",IF(K1359&lt;0,"Stock négatif",IF(AND(ISNUMBER(A1358),A1359&lt;A1358),"Date hors ordre","OK"))))))))</f>
        <v/>
      </c>
      <c r="M1359" s="39" t="str">
        <f>IF(C1359="","",C1359&amp;"#"&amp;COUNTIF($C$5:C1359,C1359))</f>
        <v/>
      </c>
    </row>
    <row r="1360">
      <c r="A1360" s="41" t="n"/>
      <c r="B1360" s="37" t="n"/>
      <c r="C1360" s="37" t="n"/>
      <c r="D1360" s="39" t="str">
        <f>IF(C1360="","",IFERROR(INDEX(art_des,MATCH(C1360,art_ref,0))&amp;"","Référence inconnue"))</f>
        <v/>
      </c>
      <c r="E1360" s="37" t="n"/>
      <c r="F1360" s="39" t="str">
        <f>IF(C1360="","",IFERROR(INDEX(art_unit,MATCH(C1360,art_ref,0))&amp;"",""))</f>
        <v/>
      </c>
      <c r="G1360" s="37" t="n"/>
      <c r="H1360" s="37" t="n"/>
      <c r="I1360" s="37" t="n"/>
      <c r="J1360" s="40" t="str">
        <f>IF(OR(C1360="",NOT(ISNUMBER(E1360))),"",IFERROR(E1360*N(INDEX(art_price,MATCH(C1360,art_ref,0))),""))</f>
        <v/>
      </c>
      <c r="K1360" s="39" t="str">
        <f>IF(OR(C1360="",NOT(ISNUMBER(E1360))),"",IFERROR(ROUND(N(INDEX(art_init,MATCH(C1360,art_ref,0)))+SUMIFS($E$5:E1360,$C$5:C1360,C1360,$B$5:B1360,"Entrée")-SUMIFS($E$5:E1360,$C$5:C1360,C1360,$B$5:B1360,"Sortie"),6),""))</f>
        <v/>
      </c>
      <c r="L1360" s="39" t="str">
        <f>IF(COUNTA(A1360:C1360,E1360)=0,"",IF(COUNTA(A1360:C1360,E1360)&lt;4,"Ligne incomplète",IF(NOT(ISNUMBER(A1360)),"Date invalide",IF(AND(B1360&lt;&gt;"Entrée",B1360&lt;&gt;"Sortie"),"Type inconnu",IF(ISNA(MATCH(C1360,art_ref,0)),"Référence inconnue",IF(OR(NOT(ISNUMBER(E1360)),N(E1360)&lt;=0),"Quantité invalide",IF(K1360&lt;0,"Stock négatif",IF(AND(ISNUMBER(A1359),A1360&lt;A1359),"Date hors ordre","OK"))))))))</f>
        <v/>
      </c>
      <c r="M1360" s="39" t="str">
        <f>IF(C1360="","",C1360&amp;"#"&amp;COUNTIF($C$5:C1360,C1360))</f>
        <v/>
      </c>
    </row>
    <row r="1361">
      <c r="A1361" s="41" t="n"/>
      <c r="B1361" s="37" t="n"/>
      <c r="C1361" s="37" t="n"/>
      <c r="D1361" s="39" t="str">
        <f>IF(C1361="","",IFERROR(INDEX(art_des,MATCH(C1361,art_ref,0))&amp;"","Référence inconnue"))</f>
        <v/>
      </c>
      <c r="E1361" s="37" t="n"/>
      <c r="F1361" s="39" t="str">
        <f>IF(C1361="","",IFERROR(INDEX(art_unit,MATCH(C1361,art_ref,0))&amp;"",""))</f>
        <v/>
      </c>
      <c r="G1361" s="37" t="n"/>
      <c r="H1361" s="37" t="n"/>
      <c r="I1361" s="37" t="n"/>
      <c r="J1361" s="40" t="str">
        <f>IF(OR(C1361="",NOT(ISNUMBER(E1361))),"",IFERROR(E1361*N(INDEX(art_price,MATCH(C1361,art_ref,0))),""))</f>
        <v/>
      </c>
      <c r="K1361" s="39" t="str">
        <f>IF(OR(C1361="",NOT(ISNUMBER(E1361))),"",IFERROR(ROUND(N(INDEX(art_init,MATCH(C1361,art_ref,0)))+SUMIFS($E$5:E1361,$C$5:C1361,C1361,$B$5:B1361,"Entrée")-SUMIFS($E$5:E1361,$C$5:C1361,C1361,$B$5:B1361,"Sortie"),6),""))</f>
        <v/>
      </c>
      <c r="L1361" s="39" t="str">
        <f>IF(COUNTA(A1361:C1361,E1361)=0,"",IF(COUNTA(A1361:C1361,E1361)&lt;4,"Ligne incomplète",IF(NOT(ISNUMBER(A1361)),"Date invalide",IF(AND(B1361&lt;&gt;"Entrée",B1361&lt;&gt;"Sortie"),"Type inconnu",IF(ISNA(MATCH(C1361,art_ref,0)),"Référence inconnue",IF(OR(NOT(ISNUMBER(E1361)),N(E1361)&lt;=0),"Quantité invalide",IF(K1361&lt;0,"Stock négatif",IF(AND(ISNUMBER(A1360),A1361&lt;A1360),"Date hors ordre","OK"))))))))</f>
        <v/>
      </c>
      <c r="M1361" s="39" t="str">
        <f>IF(C1361="","",C1361&amp;"#"&amp;COUNTIF($C$5:C1361,C1361))</f>
        <v/>
      </c>
    </row>
    <row r="1362">
      <c r="A1362" s="41" t="n"/>
      <c r="B1362" s="37" t="n"/>
      <c r="C1362" s="37" t="n"/>
      <c r="D1362" s="39" t="str">
        <f>IF(C1362="","",IFERROR(INDEX(art_des,MATCH(C1362,art_ref,0))&amp;"","Référence inconnue"))</f>
        <v/>
      </c>
      <c r="E1362" s="37" t="n"/>
      <c r="F1362" s="39" t="str">
        <f>IF(C1362="","",IFERROR(INDEX(art_unit,MATCH(C1362,art_ref,0))&amp;"",""))</f>
        <v/>
      </c>
      <c r="G1362" s="37" t="n"/>
      <c r="H1362" s="37" t="n"/>
      <c r="I1362" s="37" t="n"/>
      <c r="J1362" s="40" t="str">
        <f>IF(OR(C1362="",NOT(ISNUMBER(E1362))),"",IFERROR(E1362*N(INDEX(art_price,MATCH(C1362,art_ref,0))),""))</f>
        <v/>
      </c>
      <c r="K1362" s="39" t="str">
        <f>IF(OR(C1362="",NOT(ISNUMBER(E1362))),"",IFERROR(ROUND(N(INDEX(art_init,MATCH(C1362,art_ref,0)))+SUMIFS($E$5:E1362,$C$5:C1362,C1362,$B$5:B1362,"Entrée")-SUMIFS($E$5:E1362,$C$5:C1362,C1362,$B$5:B1362,"Sortie"),6),""))</f>
        <v/>
      </c>
      <c r="L1362" s="39" t="str">
        <f>IF(COUNTA(A1362:C1362,E1362)=0,"",IF(COUNTA(A1362:C1362,E1362)&lt;4,"Ligne incomplète",IF(NOT(ISNUMBER(A1362)),"Date invalide",IF(AND(B1362&lt;&gt;"Entrée",B1362&lt;&gt;"Sortie"),"Type inconnu",IF(ISNA(MATCH(C1362,art_ref,0)),"Référence inconnue",IF(OR(NOT(ISNUMBER(E1362)),N(E1362)&lt;=0),"Quantité invalide",IF(K1362&lt;0,"Stock négatif",IF(AND(ISNUMBER(A1361),A1362&lt;A1361),"Date hors ordre","OK"))))))))</f>
        <v/>
      </c>
      <c r="M1362" s="39" t="str">
        <f>IF(C1362="","",C1362&amp;"#"&amp;COUNTIF($C$5:C1362,C1362))</f>
        <v/>
      </c>
    </row>
    <row r="1363">
      <c r="A1363" s="41" t="n"/>
      <c r="B1363" s="37" t="n"/>
      <c r="C1363" s="37" t="n"/>
      <c r="D1363" s="39" t="str">
        <f>IF(C1363="","",IFERROR(INDEX(art_des,MATCH(C1363,art_ref,0))&amp;"","Référence inconnue"))</f>
        <v/>
      </c>
      <c r="E1363" s="37" t="n"/>
      <c r="F1363" s="39" t="str">
        <f>IF(C1363="","",IFERROR(INDEX(art_unit,MATCH(C1363,art_ref,0))&amp;"",""))</f>
        <v/>
      </c>
      <c r="G1363" s="37" t="n"/>
      <c r="H1363" s="37" t="n"/>
      <c r="I1363" s="37" t="n"/>
      <c r="J1363" s="40" t="str">
        <f>IF(OR(C1363="",NOT(ISNUMBER(E1363))),"",IFERROR(E1363*N(INDEX(art_price,MATCH(C1363,art_ref,0))),""))</f>
        <v/>
      </c>
      <c r="K1363" s="39" t="str">
        <f>IF(OR(C1363="",NOT(ISNUMBER(E1363))),"",IFERROR(ROUND(N(INDEX(art_init,MATCH(C1363,art_ref,0)))+SUMIFS($E$5:E1363,$C$5:C1363,C1363,$B$5:B1363,"Entrée")-SUMIFS($E$5:E1363,$C$5:C1363,C1363,$B$5:B1363,"Sortie"),6),""))</f>
        <v/>
      </c>
      <c r="L1363" s="39" t="str">
        <f>IF(COUNTA(A1363:C1363,E1363)=0,"",IF(COUNTA(A1363:C1363,E1363)&lt;4,"Ligne incomplète",IF(NOT(ISNUMBER(A1363)),"Date invalide",IF(AND(B1363&lt;&gt;"Entrée",B1363&lt;&gt;"Sortie"),"Type inconnu",IF(ISNA(MATCH(C1363,art_ref,0)),"Référence inconnue",IF(OR(NOT(ISNUMBER(E1363)),N(E1363)&lt;=0),"Quantité invalide",IF(K1363&lt;0,"Stock négatif",IF(AND(ISNUMBER(A1362),A1363&lt;A1362),"Date hors ordre","OK"))))))))</f>
        <v/>
      </c>
      <c r="M1363" s="39" t="str">
        <f>IF(C1363="","",C1363&amp;"#"&amp;COUNTIF($C$5:C1363,C1363))</f>
        <v/>
      </c>
    </row>
    <row r="1364">
      <c r="A1364" s="41" t="n"/>
      <c r="B1364" s="37" t="n"/>
      <c r="C1364" s="37" t="n"/>
      <c r="D1364" s="39" t="str">
        <f>IF(C1364="","",IFERROR(INDEX(art_des,MATCH(C1364,art_ref,0))&amp;"","Référence inconnue"))</f>
        <v/>
      </c>
      <c r="E1364" s="37" t="n"/>
      <c r="F1364" s="39" t="str">
        <f>IF(C1364="","",IFERROR(INDEX(art_unit,MATCH(C1364,art_ref,0))&amp;"",""))</f>
        <v/>
      </c>
      <c r="G1364" s="37" t="n"/>
      <c r="H1364" s="37" t="n"/>
      <c r="I1364" s="37" t="n"/>
      <c r="J1364" s="40" t="str">
        <f>IF(OR(C1364="",NOT(ISNUMBER(E1364))),"",IFERROR(E1364*N(INDEX(art_price,MATCH(C1364,art_ref,0))),""))</f>
        <v/>
      </c>
      <c r="K1364" s="39" t="str">
        <f>IF(OR(C1364="",NOT(ISNUMBER(E1364))),"",IFERROR(ROUND(N(INDEX(art_init,MATCH(C1364,art_ref,0)))+SUMIFS($E$5:E1364,$C$5:C1364,C1364,$B$5:B1364,"Entrée")-SUMIFS($E$5:E1364,$C$5:C1364,C1364,$B$5:B1364,"Sortie"),6),""))</f>
        <v/>
      </c>
      <c r="L1364" s="39" t="str">
        <f>IF(COUNTA(A1364:C1364,E1364)=0,"",IF(COUNTA(A1364:C1364,E1364)&lt;4,"Ligne incomplète",IF(NOT(ISNUMBER(A1364)),"Date invalide",IF(AND(B1364&lt;&gt;"Entrée",B1364&lt;&gt;"Sortie"),"Type inconnu",IF(ISNA(MATCH(C1364,art_ref,0)),"Référence inconnue",IF(OR(NOT(ISNUMBER(E1364)),N(E1364)&lt;=0),"Quantité invalide",IF(K1364&lt;0,"Stock négatif",IF(AND(ISNUMBER(A1363),A1364&lt;A1363),"Date hors ordre","OK"))))))))</f>
        <v/>
      </c>
      <c r="M1364" s="39" t="str">
        <f>IF(C1364="","",C1364&amp;"#"&amp;COUNTIF($C$5:C1364,C1364))</f>
        <v/>
      </c>
    </row>
    <row r="1365">
      <c r="A1365" s="41" t="n"/>
      <c r="B1365" s="37" t="n"/>
      <c r="C1365" s="37" t="n"/>
      <c r="D1365" s="39" t="str">
        <f>IF(C1365="","",IFERROR(INDEX(art_des,MATCH(C1365,art_ref,0))&amp;"","Référence inconnue"))</f>
        <v/>
      </c>
      <c r="E1365" s="37" t="n"/>
      <c r="F1365" s="39" t="str">
        <f>IF(C1365="","",IFERROR(INDEX(art_unit,MATCH(C1365,art_ref,0))&amp;"",""))</f>
        <v/>
      </c>
      <c r="G1365" s="37" t="n"/>
      <c r="H1365" s="37" t="n"/>
      <c r="I1365" s="37" t="n"/>
      <c r="J1365" s="40" t="str">
        <f>IF(OR(C1365="",NOT(ISNUMBER(E1365))),"",IFERROR(E1365*N(INDEX(art_price,MATCH(C1365,art_ref,0))),""))</f>
        <v/>
      </c>
      <c r="K1365" s="39" t="str">
        <f>IF(OR(C1365="",NOT(ISNUMBER(E1365))),"",IFERROR(ROUND(N(INDEX(art_init,MATCH(C1365,art_ref,0)))+SUMIFS($E$5:E1365,$C$5:C1365,C1365,$B$5:B1365,"Entrée")-SUMIFS($E$5:E1365,$C$5:C1365,C1365,$B$5:B1365,"Sortie"),6),""))</f>
        <v/>
      </c>
      <c r="L1365" s="39" t="str">
        <f>IF(COUNTA(A1365:C1365,E1365)=0,"",IF(COUNTA(A1365:C1365,E1365)&lt;4,"Ligne incomplète",IF(NOT(ISNUMBER(A1365)),"Date invalide",IF(AND(B1365&lt;&gt;"Entrée",B1365&lt;&gt;"Sortie"),"Type inconnu",IF(ISNA(MATCH(C1365,art_ref,0)),"Référence inconnue",IF(OR(NOT(ISNUMBER(E1365)),N(E1365)&lt;=0),"Quantité invalide",IF(K1365&lt;0,"Stock négatif",IF(AND(ISNUMBER(A1364),A1365&lt;A1364),"Date hors ordre","OK"))))))))</f>
        <v/>
      </c>
      <c r="M1365" s="39" t="str">
        <f>IF(C1365="","",C1365&amp;"#"&amp;COUNTIF($C$5:C1365,C1365))</f>
        <v/>
      </c>
    </row>
    <row r="1366">
      <c r="A1366" s="41" t="n"/>
      <c r="B1366" s="37" t="n"/>
      <c r="C1366" s="37" t="n"/>
      <c r="D1366" s="39" t="str">
        <f>IF(C1366="","",IFERROR(INDEX(art_des,MATCH(C1366,art_ref,0))&amp;"","Référence inconnue"))</f>
        <v/>
      </c>
      <c r="E1366" s="37" t="n"/>
      <c r="F1366" s="39" t="str">
        <f>IF(C1366="","",IFERROR(INDEX(art_unit,MATCH(C1366,art_ref,0))&amp;"",""))</f>
        <v/>
      </c>
      <c r="G1366" s="37" t="n"/>
      <c r="H1366" s="37" t="n"/>
      <c r="I1366" s="37" t="n"/>
      <c r="J1366" s="40" t="str">
        <f>IF(OR(C1366="",NOT(ISNUMBER(E1366))),"",IFERROR(E1366*N(INDEX(art_price,MATCH(C1366,art_ref,0))),""))</f>
        <v/>
      </c>
      <c r="K1366" s="39" t="str">
        <f>IF(OR(C1366="",NOT(ISNUMBER(E1366))),"",IFERROR(ROUND(N(INDEX(art_init,MATCH(C1366,art_ref,0)))+SUMIFS($E$5:E1366,$C$5:C1366,C1366,$B$5:B1366,"Entrée")-SUMIFS($E$5:E1366,$C$5:C1366,C1366,$B$5:B1366,"Sortie"),6),""))</f>
        <v/>
      </c>
      <c r="L1366" s="39" t="str">
        <f>IF(COUNTA(A1366:C1366,E1366)=0,"",IF(COUNTA(A1366:C1366,E1366)&lt;4,"Ligne incomplète",IF(NOT(ISNUMBER(A1366)),"Date invalide",IF(AND(B1366&lt;&gt;"Entrée",B1366&lt;&gt;"Sortie"),"Type inconnu",IF(ISNA(MATCH(C1366,art_ref,0)),"Référence inconnue",IF(OR(NOT(ISNUMBER(E1366)),N(E1366)&lt;=0),"Quantité invalide",IF(K1366&lt;0,"Stock négatif",IF(AND(ISNUMBER(A1365),A1366&lt;A1365),"Date hors ordre","OK"))))))))</f>
        <v/>
      </c>
      <c r="M1366" s="39" t="str">
        <f>IF(C1366="","",C1366&amp;"#"&amp;COUNTIF($C$5:C1366,C1366))</f>
        <v/>
      </c>
    </row>
    <row r="1367">
      <c r="A1367" s="41" t="n"/>
      <c r="B1367" s="37" t="n"/>
      <c r="C1367" s="37" t="n"/>
      <c r="D1367" s="39" t="str">
        <f>IF(C1367="","",IFERROR(INDEX(art_des,MATCH(C1367,art_ref,0))&amp;"","Référence inconnue"))</f>
        <v/>
      </c>
      <c r="E1367" s="37" t="n"/>
      <c r="F1367" s="39" t="str">
        <f>IF(C1367="","",IFERROR(INDEX(art_unit,MATCH(C1367,art_ref,0))&amp;"",""))</f>
        <v/>
      </c>
      <c r="G1367" s="37" t="n"/>
      <c r="H1367" s="37" t="n"/>
      <c r="I1367" s="37" t="n"/>
      <c r="J1367" s="40" t="str">
        <f>IF(OR(C1367="",NOT(ISNUMBER(E1367))),"",IFERROR(E1367*N(INDEX(art_price,MATCH(C1367,art_ref,0))),""))</f>
        <v/>
      </c>
      <c r="K1367" s="39" t="str">
        <f>IF(OR(C1367="",NOT(ISNUMBER(E1367))),"",IFERROR(ROUND(N(INDEX(art_init,MATCH(C1367,art_ref,0)))+SUMIFS($E$5:E1367,$C$5:C1367,C1367,$B$5:B1367,"Entrée")-SUMIFS($E$5:E1367,$C$5:C1367,C1367,$B$5:B1367,"Sortie"),6),""))</f>
        <v/>
      </c>
      <c r="L1367" s="39" t="str">
        <f>IF(COUNTA(A1367:C1367,E1367)=0,"",IF(COUNTA(A1367:C1367,E1367)&lt;4,"Ligne incomplète",IF(NOT(ISNUMBER(A1367)),"Date invalide",IF(AND(B1367&lt;&gt;"Entrée",B1367&lt;&gt;"Sortie"),"Type inconnu",IF(ISNA(MATCH(C1367,art_ref,0)),"Référence inconnue",IF(OR(NOT(ISNUMBER(E1367)),N(E1367)&lt;=0),"Quantité invalide",IF(K1367&lt;0,"Stock négatif",IF(AND(ISNUMBER(A1366),A1367&lt;A1366),"Date hors ordre","OK"))))))))</f>
        <v/>
      </c>
      <c r="M1367" s="39" t="str">
        <f>IF(C1367="","",C1367&amp;"#"&amp;COUNTIF($C$5:C1367,C1367))</f>
        <v/>
      </c>
    </row>
    <row r="1368">
      <c r="A1368" s="41" t="n"/>
      <c r="B1368" s="37" t="n"/>
      <c r="C1368" s="37" t="n"/>
      <c r="D1368" s="39" t="str">
        <f>IF(C1368="","",IFERROR(INDEX(art_des,MATCH(C1368,art_ref,0))&amp;"","Référence inconnue"))</f>
        <v/>
      </c>
      <c r="E1368" s="37" t="n"/>
      <c r="F1368" s="39" t="str">
        <f>IF(C1368="","",IFERROR(INDEX(art_unit,MATCH(C1368,art_ref,0))&amp;"",""))</f>
        <v/>
      </c>
      <c r="G1368" s="37" t="n"/>
      <c r="H1368" s="37" t="n"/>
      <c r="I1368" s="37" t="n"/>
      <c r="J1368" s="40" t="str">
        <f>IF(OR(C1368="",NOT(ISNUMBER(E1368))),"",IFERROR(E1368*N(INDEX(art_price,MATCH(C1368,art_ref,0))),""))</f>
        <v/>
      </c>
      <c r="K1368" s="39" t="str">
        <f>IF(OR(C1368="",NOT(ISNUMBER(E1368))),"",IFERROR(ROUND(N(INDEX(art_init,MATCH(C1368,art_ref,0)))+SUMIFS($E$5:E1368,$C$5:C1368,C1368,$B$5:B1368,"Entrée")-SUMIFS($E$5:E1368,$C$5:C1368,C1368,$B$5:B1368,"Sortie"),6),""))</f>
        <v/>
      </c>
      <c r="L1368" s="39" t="str">
        <f>IF(COUNTA(A1368:C1368,E1368)=0,"",IF(COUNTA(A1368:C1368,E1368)&lt;4,"Ligne incomplète",IF(NOT(ISNUMBER(A1368)),"Date invalide",IF(AND(B1368&lt;&gt;"Entrée",B1368&lt;&gt;"Sortie"),"Type inconnu",IF(ISNA(MATCH(C1368,art_ref,0)),"Référence inconnue",IF(OR(NOT(ISNUMBER(E1368)),N(E1368)&lt;=0),"Quantité invalide",IF(K1368&lt;0,"Stock négatif",IF(AND(ISNUMBER(A1367),A1368&lt;A1367),"Date hors ordre","OK"))))))))</f>
        <v/>
      </c>
      <c r="M1368" s="39" t="str">
        <f>IF(C1368="","",C1368&amp;"#"&amp;COUNTIF($C$5:C1368,C1368))</f>
        <v/>
      </c>
    </row>
    <row r="1369">
      <c r="A1369" s="41" t="n"/>
      <c r="B1369" s="37" t="n"/>
      <c r="C1369" s="37" t="n"/>
      <c r="D1369" s="39" t="str">
        <f>IF(C1369="","",IFERROR(INDEX(art_des,MATCH(C1369,art_ref,0))&amp;"","Référence inconnue"))</f>
        <v/>
      </c>
      <c r="E1369" s="37" t="n"/>
      <c r="F1369" s="39" t="str">
        <f>IF(C1369="","",IFERROR(INDEX(art_unit,MATCH(C1369,art_ref,0))&amp;"",""))</f>
        <v/>
      </c>
      <c r="G1369" s="37" t="n"/>
      <c r="H1369" s="37" t="n"/>
      <c r="I1369" s="37" t="n"/>
      <c r="J1369" s="40" t="str">
        <f>IF(OR(C1369="",NOT(ISNUMBER(E1369))),"",IFERROR(E1369*N(INDEX(art_price,MATCH(C1369,art_ref,0))),""))</f>
        <v/>
      </c>
      <c r="K1369" s="39" t="str">
        <f>IF(OR(C1369="",NOT(ISNUMBER(E1369))),"",IFERROR(ROUND(N(INDEX(art_init,MATCH(C1369,art_ref,0)))+SUMIFS($E$5:E1369,$C$5:C1369,C1369,$B$5:B1369,"Entrée")-SUMIFS($E$5:E1369,$C$5:C1369,C1369,$B$5:B1369,"Sortie"),6),""))</f>
        <v/>
      </c>
      <c r="L1369" s="39" t="str">
        <f>IF(COUNTA(A1369:C1369,E1369)=0,"",IF(COUNTA(A1369:C1369,E1369)&lt;4,"Ligne incomplète",IF(NOT(ISNUMBER(A1369)),"Date invalide",IF(AND(B1369&lt;&gt;"Entrée",B1369&lt;&gt;"Sortie"),"Type inconnu",IF(ISNA(MATCH(C1369,art_ref,0)),"Référence inconnue",IF(OR(NOT(ISNUMBER(E1369)),N(E1369)&lt;=0),"Quantité invalide",IF(K1369&lt;0,"Stock négatif",IF(AND(ISNUMBER(A1368),A1369&lt;A1368),"Date hors ordre","OK"))))))))</f>
        <v/>
      </c>
      <c r="M1369" s="39" t="str">
        <f>IF(C1369="","",C1369&amp;"#"&amp;COUNTIF($C$5:C1369,C1369))</f>
        <v/>
      </c>
    </row>
    <row r="1370">
      <c r="A1370" s="41" t="n"/>
      <c r="B1370" s="37" t="n"/>
      <c r="C1370" s="37" t="n"/>
      <c r="D1370" s="39" t="str">
        <f>IF(C1370="","",IFERROR(INDEX(art_des,MATCH(C1370,art_ref,0))&amp;"","Référence inconnue"))</f>
        <v/>
      </c>
      <c r="E1370" s="37" t="n"/>
      <c r="F1370" s="39" t="str">
        <f>IF(C1370="","",IFERROR(INDEX(art_unit,MATCH(C1370,art_ref,0))&amp;"",""))</f>
        <v/>
      </c>
      <c r="G1370" s="37" t="n"/>
      <c r="H1370" s="37" t="n"/>
      <c r="I1370" s="37" t="n"/>
      <c r="J1370" s="40" t="str">
        <f>IF(OR(C1370="",NOT(ISNUMBER(E1370))),"",IFERROR(E1370*N(INDEX(art_price,MATCH(C1370,art_ref,0))),""))</f>
        <v/>
      </c>
      <c r="K1370" s="39" t="str">
        <f>IF(OR(C1370="",NOT(ISNUMBER(E1370))),"",IFERROR(ROUND(N(INDEX(art_init,MATCH(C1370,art_ref,0)))+SUMIFS($E$5:E1370,$C$5:C1370,C1370,$B$5:B1370,"Entrée")-SUMIFS($E$5:E1370,$C$5:C1370,C1370,$B$5:B1370,"Sortie"),6),""))</f>
        <v/>
      </c>
      <c r="L1370" s="39" t="str">
        <f>IF(COUNTA(A1370:C1370,E1370)=0,"",IF(COUNTA(A1370:C1370,E1370)&lt;4,"Ligne incomplète",IF(NOT(ISNUMBER(A1370)),"Date invalide",IF(AND(B1370&lt;&gt;"Entrée",B1370&lt;&gt;"Sortie"),"Type inconnu",IF(ISNA(MATCH(C1370,art_ref,0)),"Référence inconnue",IF(OR(NOT(ISNUMBER(E1370)),N(E1370)&lt;=0),"Quantité invalide",IF(K1370&lt;0,"Stock négatif",IF(AND(ISNUMBER(A1369),A1370&lt;A1369),"Date hors ordre","OK"))))))))</f>
        <v/>
      </c>
      <c r="M1370" s="39" t="str">
        <f>IF(C1370="","",C1370&amp;"#"&amp;COUNTIF($C$5:C1370,C1370))</f>
        <v/>
      </c>
    </row>
    <row r="1371">
      <c r="A1371" s="41" t="n"/>
      <c r="B1371" s="37" t="n"/>
      <c r="C1371" s="37" t="n"/>
      <c r="D1371" s="39" t="str">
        <f>IF(C1371="","",IFERROR(INDEX(art_des,MATCH(C1371,art_ref,0))&amp;"","Référence inconnue"))</f>
        <v/>
      </c>
      <c r="E1371" s="37" t="n"/>
      <c r="F1371" s="39" t="str">
        <f>IF(C1371="","",IFERROR(INDEX(art_unit,MATCH(C1371,art_ref,0))&amp;"",""))</f>
        <v/>
      </c>
      <c r="G1371" s="37" t="n"/>
      <c r="H1371" s="37" t="n"/>
      <c r="I1371" s="37" t="n"/>
      <c r="J1371" s="40" t="str">
        <f>IF(OR(C1371="",NOT(ISNUMBER(E1371))),"",IFERROR(E1371*N(INDEX(art_price,MATCH(C1371,art_ref,0))),""))</f>
        <v/>
      </c>
      <c r="K1371" s="39" t="str">
        <f>IF(OR(C1371="",NOT(ISNUMBER(E1371))),"",IFERROR(ROUND(N(INDEX(art_init,MATCH(C1371,art_ref,0)))+SUMIFS($E$5:E1371,$C$5:C1371,C1371,$B$5:B1371,"Entrée")-SUMIFS($E$5:E1371,$C$5:C1371,C1371,$B$5:B1371,"Sortie"),6),""))</f>
        <v/>
      </c>
      <c r="L1371" s="39" t="str">
        <f>IF(COUNTA(A1371:C1371,E1371)=0,"",IF(COUNTA(A1371:C1371,E1371)&lt;4,"Ligne incomplète",IF(NOT(ISNUMBER(A1371)),"Date invalide",IF(AND(B1371&lt;&gt;"Entrée",B1371&lt;&gt;"Sortie"),"Type inconnu",IF(ISNA(MATCH(C1371,art_ref,0)),"Référence inconnue",IF(OR(NOT(ISNUMBER(E1371)),N(E1371)&lt;=0),"Quantité invalide",IF(K1371&lt;0,"Stock négatif",IF(AND(ISNUMBER(A1370),A1371&lt;A1370),"Date hors ordre","OK"))))))))</f>
        <v/>
      </c>
      <c r="M1371" s="39" t="str">
        <f>IF(C1371="","",C1371&amp;"#"&amp;COUNTIF($C$5:C1371,C1371))</f>
        <v/>
      </c>
    </row>
    <row r="1372">
      <c r="A1372" s="41" t="n"/>
      <c r="B1372" s="37" t="n"/>
      <c r="C1372" s="37" t="n"/>
      <c r="D1372" s="39" t="str">
        <f>IF(C1372="","",IFERROR(INDEX(art_des,MATCH(C1372,art_ref,0))&amp;"","Référence inconnue"))</f>
        <v/>
      </c>
      <c r="E1372" s="37" t="n"/>
      <c r="F1372" s="39" t="str">
        <f>IF(C1372="","",IFERROR(INDEX(art_unit,MATCH(C1372,art_ref,0))&amp;"",""))</f>
        <v/>
      </c>
      <c r="G1372" s="37" t="n"/>
      <c r="H1372" s="37" t="n"/>
      <c r="I1372" s="37" t="n"/>
      <c r="J1372" s="40" t="str">
        <f>IF(OR(C1372="",NOT(ISNUMBER(E1372))),"",IFERROR(E1372*N(INDEX(art_price,MATCH(C1372,art_ref,0))),""))</f>
        <v/>
      </c>
      <c r="K1372" s="39" t="str">
        <f>IF(OR(C1372="",NOT(ISNUMBER(E1372))),"",IFERROR(ROUND(N(INDEX(art_init,MATCH(C1372,art_ref,0)))+SUMIFS($E$5:E1372,$C$5:C1372,C1372,$B$5:B1372,"Entrée")-SUMIFS($E$5:E1372,$C$5:C1372,C1372,$B$5:B1372,"Sortie"),6),""))</f>
        <v/>
      </c>
      <c r="L1372" s="39" t="str">
        <f>IF(COUNTA(A1372:C1372,E1372)=0,"",IF(COUNTA(A1372:C1372,E1372)&lt;4,"Ligne incomplète",IF(NOT(ISNUMBER(A1372)),"Date invalide",IF(AND(B1372&lt;&gt;"Entrée",B1372&lt;&gt;"Sortie"),"Type inconnu",IF(ISNA(MATCH(C1372,art_ref,0)),"Référence inconnue",IF(OR(NOT(ISNUMBER(E1372)),N(E1372)&lt;=0),"Quantité invalide",IF(K1372&lt;0,"Stock négatif",IF(AND(ISNUMBER(A1371),A1372&lt;A1371),"Date hors ordre","OK"))))))))</f>
        <v/>
      </c>
      <c r="M1372" s="39" t="str">
        <f>IF(C1372="","",C1372&amp;"#"&amp;COUNTIF($C$5:C1372,C1372))</f>
        <v/>
      </c>
    </row>
    <row r="1373">
      <c r="A1373" s="41" t="n"/>
      <c r="B1373" s="37" t="n"/>
      <c r="C1373" s="37" t="n"/>
      <c r="D1373" s="39" t="str">
        <f>IF(C1373="","",IFERROR(INDEX(art_des,MATCH(C1373,art_ref,0))&amp;"","Référence inconnue"))</f>
        <v/>
      </c>
      <c r="E1373" s="37" t="n"/>
      <c r="F1373" s="39" t="str">
        <f>IF(C1373="","",IFERROR(INDEX(art_unit,MATCH(C1373,art_ref,0))&amp;"",""))</f>
        <v/>
      </c>
      <c r="G1373" s="37" t="n"/>
      <c r="H1373" s="37" t="n"/>
      <c r="I1373" s="37" t="n"/>
      <c r="J1373" s="40" t="str">
        <f>IF(OR(C1373="",NOT(ISNUMBER(E1373))),"",IFERROR(E1373*N(INDEX(art_price,MATCH(C1373,art_ref,0))),""))</f>
        <v/>
      </c>
      <c r="K1373" s="39" t="str">
        <f>IF(OR(C1373="",NOT(ISNUMBER(E1373))),"",IFERROR(ROUND(N(INDEX(art_init,MATCH(C1373,art_ref,0)))+SUMIFS($E$5:E1373,$C$5:C1373,C1373,$B$5:B1373,"Entrée")-SUMIFS($E$5:E1373,$C$5:C1373,C1373,$B$5:B1373,"Sortie"),6),""))</f>
        <v/>
      </c>
      <c r="L1373" s="39" t="str">
        <f>IF(COUNTA(A1373:C1373,E1373)=0,"",IF(COUNTA(A1373:C1373,E1373)&lt;4,"Ligne incomplète",IF(NOT(ISNUMBER(A1373)),"Date invalide",IF(AND(B1373&lt;&gt;"Entrée",B1373&lt;&gt;"Sortie"),"Type inconnu",IF(ISNA(MATCH(C1373,art_ref,0)),"Référence inconnue",IF(OR(NOT(ISNUMBER(E1373)),N(E1373)&lt;=0),"Quantité invalide",IF(K1373&lt;0,"Stock négatif",IF(AND(ISNUMBER(A1372),A1373&lt;A1372),"Date hors ordre","OK"))))))))</f>
        <v/>
      </c>
      <c r="M1373" s="39" t="str">
        <f>IF(C1373="","",C1373&amp;"#"&amp;COUNTIF($C$5:C1373,C1373))</f>
        <v/>
      </c>
    </row>
    <row r="1374">
      <c r="A1374" s="41" t="n"/>
      <c r="B1374" s="37" t="n"/>
      <c r="C1374" s="37" t="n"/>
      <c r="D1374" s="39" t="str">
        <f>IF(C1374="","",IFERROR(INDEX(art_des,MATCH(C1374,art_ref,0))&amp;"","Référence inconnue"))</f>
        <v/>
      </c>
      <c r="E1374" s="37" t="n"/>
      <c r="F1374" s="39" t="str">
        <f>IF(C1374="","",IFERROR(INDEX(art_unit,MATCH(C1374,art_ref,0))&amp;"",""))</f>
        <v/>
      </c>
      <c r="G1374" s="37" t="n"/>
      <c r="H1374" s="37" t="n"/>
      <c r="I1374" s="37" t="n"/>
      <c r="J1374" s="40" t="str">
        <f>IF(OR(C1374="",NOT(ISNUMBER(E1374))),"",IFERROR(E1374*N(INDEX(art_price,MATCH(C1374,art_ref,0))),""))</f>
        <v/>
      </c>
      <c r="K1374" s="39" t="str">
        <f>IF(OR(C1374="",NOT(ISNUMBER(E1374))),"",IFERROR(ROUND(N(INDEX(art_init,MATCH(C1374,art_ref,0)))+SUMIFS($E$5:E1374,$C$5:C1374,C1374,$B$5:B1374,"Entrée")-SUMIFS($E$5:E1374,$C$5:C1374,C1374,$B$5:B1374,"Sortie"),6),""))</f>
        <v/>
      </c>
      <c r="L1374" s="39" t="str">
        <f>IF(COUNTA(A1374:C1374,E1374)=0,"",IF(COUNTA(A1374:C1374,E1374)&lt;4,"Ligne incomplète",IF(NOT(ISNUMBER(A1374)),"Date invalide",IF(AND(B1374&lt;&gt;"Entrée",B1374&lt;&gt;"Sortie"),"Type inconnu",IF(ISNA(MATCH(C1374,art_ref,0)),"Référence inconnue",IF(OR(NOT(ISNUMBER(E1374)),N(E1374)&lt;=0),"Quantité invalide",IF(K1374&lt;0,"Stock négatif",IF(AND(ISNUMBER(A1373),A1374&lt;A1373),"Date hors ordre","OK"))))))))</f>
        <v/>
      </c>
      <c r="M1374" s="39" t="str">
        <f>IF(C1374="","",C1374&amp;"#"&amp;COUNTIF($C$5:C1374,C1374))</f>
        <v/>
      </c>
    </row>
    <row r="1375">
      <c r="A1375" s="41" t="n"/>
      <c r="B1375" s="37" t="n"/>
      <c r="C1375" s="37" t="n"/>
      <c r="D1375" s="39" t="str">
        <f>IF(C1375="","",IFERROR(INDEX(art_des,MATCH(C1375,art_ref,0))&amp;"","Référence inconnue"))</f>
        <v/>
      </c>
      <c r="E1375" s="37" t="n"/>
      <c r="F1375" s="39" t="str">
        <f>IF(C1375="","",IFERROR(INDEX(art_unit,MATCH(C1375,art_ref,0))&amp;"",""))</f>
        <v/>
      </c>
      <c r="G1375" s="37" t="n"/>
      <c r="H1375" s="37" t="n"/>
      <c r="I1375" s="37" t="n"/>
      <c r="J1375" s="40" t="str">
        <f>IF(OR(C1375="",NOT(ISNUMBER(E1375))),"",IFERROR(E1375*N(INDEX(art_price,MATCH(C1375,art_ref,0))),""))</f>
        <v/>
      </c>
      <c r="K1375" s="39" t="str">
        <f>IF(OR(C1375="",NOT(ISNUMBER(E1375))),"",IFERROR(ROUND(N(INDEX(art_init,MATCH(C1375,art_ref,0)))+SUMIFS($E$5:E1375,$C$5:C1375,C1375,$B$5:B1375,"Entrée")-SUMIFS($E$5:E1375,$C$5:C1375,C1375,$B$5:B1375,"Sortie"),6),""))</f>
        <v/>
      </c>
      <c r="L1375" s="39" t="str">
        <f>IF(COUNTA(A1375:C1375,E1375)=0,"",IF(COUNTA(A1375:C1375,E1375)&lt;4,"Ligne incomplète",IF(NOT(ISNUMBER(A1375)),"Date invalide",IF(AND(B1375&lt;&gt;"Entrée",B1375&lt;&gt;"Sortie"),"Type inconnu",IF(ISNA(MATCH(C1375,art_ref,0)),"Référence inconnue",IF(OR(NOT(ISNUMBER(E1375)),N(E1375)&lt;=0),"Quantité invalide",IF(K1375&lt;0,"Stock négatif",IF(AND(ISNUMBER(A1374),A1375&lt;A1374),"Date hors ordre","OK"))))))))</f>
        <v/>
      </c>
      <c r="M1375" s="39" t="str">
        <f>IF(C1375="","",C1375&amp;"#"&amp;COUNTIF($C$5:C1375,C1375))</f>
        <v/>
      </c>
    </row>
    <row r="1376">
      <c r="A1376" s="41" t="n"/>
      <c r="B1376" s="37" t="n"/>
      <c r="C1376" s="37" t="n"/>
      <c r="D1376" s="39" t="str">
        <f>IF(C1376="","",IFERROR(INDEX(art_des,MATCH(C1376,art_ref,0))&amp;"","Référence inconnue"))</f>
        <v/>
      </c>
      <c r="E1376" s="37" t="n"/>
      <c r="F1376" s="39" t="str">
        <f>IF(C1376="","",IFERROR(INDEX(art_unit,MATCH(C1376,art_ref,0))&amp;"",""))</f>
        <v/>
      </c>
      <c r="G1376" s="37" t="n"/>
      <c r="H1376" s="37" t="n"/>
      <c r="I1376" s="37" t="n"/>
      <c r="J1376" s="40" t="str">
        <f>IF(OR(C1376="",NOT(ISNUMBER(E1376))),"",IFERROR(E1376*N(INDEX(art_price,MATCH(C1376,art_ref,0))),""))</f>
        <v/>
      </c>
      <c r="K1376" s="39" t="str">
        <f>IF(OR(C1376="",NOT(ISNUMBER(E1376))),"",IFERROR(ROUND(N(INDEX(art_init,MATCH(C1376,art_ref,0)))+SUMIFS($E$5:E1376,$C$5:C1376,C1376,$B$5:B1376,"Entrée")-SUMIFS($E$5:E1376,$C$5:C1376,C1376,$B$5:B1376,"Sortie"),6),""))</f>
        <v/>
      </c>
      <c r="L1376" s="39" t="str">
        <f>IF(COUNTA(A1376:C1376,E1376)=0,"",IF(COUNTA(A1376:C1376,E1376)&lt;4,"Ligne incomplète",IF(NOT(ISNUMBER(A1376)),"Date invalide",IF(AND(B1376&lt;&gt;"Entrée",B1376&lt;&gt;"Sortie"),"Type inconnu",IF(ISNA(MATCH(C1376,art_ref,0)),"Référence inconnue",IF(OR(NOT(ISNUMBER(E1376)),N(E1376)&lt;=0),"Quantité invalide",IF(K1376&lt;0,"Stock négatif",IF(AND(ISNUMBER(A1375),A1376&lt;A1375),"Date hors ordre","OK"))))))))</f>
        <v/>
      </c>
      <c r="M1376" s="39" t="str">
        <f>IF(C1376="","",C1376&amp;"#"&amp;COUNTIF($C$5:C1376,C1376))</f>
        <v/>
      </c>
    </row>
    <row r="1377">
      <c r="A1377" s="41" t="n"/>
      <c r="B1377" s="37" t="n"/>
      <c r="C1377" s="37" t="n"/>
      <c r="D1377" s="39" t="str">
        <f>IF(C1377="","",IFERROR(INDEX(art_des,MATCH(C1377,art_ref,0))&amp;"","Référence inconnue"))</f>
        <v/>
      </c>
      <c r="E1377" s="37" t="n"/>
      <c r="F1377" s="39" t="str">
        <f>IF(C1377="","",IFERROR(INDEX(art_unit,MATCH(C1377,art_ref,0))&amp;"",""))</f>
        <v/>
      </c>
      <c r="G1377" s="37" t="n"/>
      <c r="H1377" s="37" t="n"/>
      <c r="I1377" s="37" t="n"/>
      <c r="J1377" s="40" t="str">
        <f>IF(OR(C1377="",NOT(ISNUMBER(E1377))),"",IFERROR(E1377*N(INDEX(art_price,MATCH(C1377,art_ref,0))),""))</f>
        <v/>
      </c>
      <c r="K1377" s="39" t="str">
        <f>IF(OR(C1377="",NOT(ISNUMBER(E1377))),"",IFERROR(ROUND(N(INDEX(art_init,MATCH(C1377,art_ref,0)))+SUMIFS($E$5:E1377,$C$5:C1377,C1377,$B$5:B1377,"Entrée")-SUMIFS($E$5:E1377,$C$5:C1377,C1377,$B$5:B1377,"Sortie"),6),""))</f>
        <v/>
      </c>
      <c r="L1377" s="39" t="str">
        <f>IF(COUNTA(A1377:C1377,E1377)=0,"",IF(COUNTA(A1377:C1377,E1377)&lt;4,"Ligne incomplète",IF(NOT(ISNUMBER(A1377)),"Date invalide",IF(AND(B1377&lt;&gt;"Entrée",B1377&lt;&gt;"Sortie"),"Type inconnu",IF(ISNA(MATCH(C1377,art_ref,0)),"Référence inconnue",IF(OR(NOT(ISNUMBER(E1377)),N(E1377)&lt;=0),"Quantité invalide",IF(K1377&lt;0,"Stock négatif",IF(AND(ISNUMBER(A1376),A1377&lt;A1376),"Date hors ordre","OK"))))))))</f>
        <v/>
      </c>
      <c r="M1377" s="39" t="str">
        <f>IF(C1377="","",C1377&amp;"#"&amp;COUNTIF($C$5:C1377,C1377))</f>
        <v/>
      </c>
    </row>
    <row r="1378">
      <c r="A1378" s="41" t="n"/>
      <c r="B1378" s="37" t="n"/>
      <c r="C1378" s="37" t="n"/>
      <c r="D1378" s="39" t="str">
        <f>IF(C1378="","",IFERROR(INDEX(art_des,MATCH(C1378,art_ref,0))&amp;"","Référence inconnue"))</f>
        <v/>
      </c>
      <c r="E1378" s="37" t="n"/>
      <c r="F1378" s="39" t="str">
        <f>IF(C1378="","",IFERROR(INDEX(art_unit,MATCH(C1378,art_ref,0))&amp;"",""))</f>
        <v/>
      </c>
      <c r="G1378" s="37" t="n"/>
      <c r="H1378" s="37" t="n"/>
      <c r="I1378" s="37" t="n"/>
      <c r="J1378" s="40" t="str">
        <f>IF(OR(C1378="",NOT(ISNUMBER(E1378))),"",IFERROR(E1378*N(INDEX(art_price,MATCH(C1378,art_ref,0))),""))</f>
        <v/>
      </c>
      <c r="K1378" s="39" t="str">
        <f>IF(OR(C1378="",NOT(ISNUMBER(E1378))),"",IFERROR(ROUND(N(INDEX(art_init,MATCH(C1378,art_ref,0)))+SUMIFS($E$5:E1378,$C$5:C1378,C1378,$B$5:B1378,"Entrée")-SUMIFS($E$5:E1378,$C$5:C1378,C1378,$B$5:B1378,"Sortie"),6),""))</f>
        <v/>
      </c>
      <c r="L1378" s="39" t="str">
        <f>IF(COUNTA(A1378:C1378,E1378)=0,"",IF(COUNTA(A1378:C1378,E1378)&lt;4,"Ligne incomplète",IF(NOT(ISNUMBER(A1378)),"Date invalide",IF(AND(B1378&lt;&gt;"Entrée",B1378&lt;&gt;"Sortie"),"Type inconnu",IF(ISNA(MATCH(C1378,art_ref,0)),"Référence inconnue",IF(OR(NOT(ISNUMBER(E1378)),N(E1378)&lt;=0),"Quantité invalide",IF(K1378&lt;0,"Stock négatif",IF(AND(ISNUMBER(A1377),A1378&lt;A1377),"Date hors ordre","OK"))))))))</f>
        <v/>
      </c>
      <c r="M1378" s="39" t="str">
        <f>IF(C1378="","",C1378&amp;"#"&amp;COUNTIF($C$5:C1378,C1378))</f>
        <v/>
      </c>
    </row>
    <row r="1379">
      <c r="A1379" s="41" t="n"/>
      <c r="B1379" s="37" t="n"/>
      <c r="C1379" s="37" t="n"/>
      <c r="D1379" s="39" t="str">
        <f>IF(C1379="","",IFERROR(INDEX(art_des,MATCH(C1379,art_ref,0))&amp;"","Référence inconnue"))</f>
        <v/>
      </c>
      <c r="E1379" s="37" t="n"/>
      <c r="F1379" s="39" t="str">
        <f>IF(C1379="","",IFERROR(INDEX(art_unit,MATCH(C1379,art_ref,0))&amp;"",""))</f>
        <v/>
      </c>
      <c r="G1379" s="37" t="n"/>
      <c r="H1379" s="37" t="n"/>
      <c r="I1379" s="37" t="n"/>
      <c r="J1379" s="40" t="str">
        <f>IF(OR(C1379="",NOT(ISNUMBER(E1379))),"",IFERROR(E1379*N(INDEX(art_price,MATCH(C1379,art_ref,0))),""))</f>
        <v/>
      </c>
      <c r="K1379" s="39" t="str">
        <f>IF(OR(C1379="",NOT(ISNUMBER(E1379))),"",IFERROR(ROUND(N(INDEX(art_init,MATCH(C1379,art_ref,0)))+SUMIFS($E$5:E1379,$C$5:C1379,C1379,$B$5:B1379,"Entrée")-SUMIFS($E$5:E1379,$C$5:C1379,C1379,$B$5:B1379,"Sortie"),6),""))</f>
        <v/>
      </c>
      <c r="L1379" s="39" t="str">
        <f>IF(COUNTA(A1379:C1379,E1379)=0,"",IF(COUNTA(A1379:C1379,E1379)&lt;4,"Ligne incomplète",IF(NOT(ISNUMBER(A1379)),"Date invalide",IF(AND(B1379&lt;&gt;"Entrée",B1379&lt;&gt;"Sortie"),"Type inconnu",IF(ISNA(MATCH(C1379,art_ref,0)),"Référence inconnue",IF(OR(NOT(ISNUMBER(E1379)),N(E1379)&lt;=0),"Quantité invalide",IF(K1379&lt;0,"Stock négatif",IF(AND(ISNUMBER(A1378),A1379&lt;A1378),"Date hors ordre","OK"))))))))</f>
        <v/>
      </c>
      <c r="M1379" s="39" t="str">
        <f>IF(C1379="","",C1379&amp;"#"&amp;COUNTIF($C$5:C1379,C1379))</f>
        <v/>
      </c>
    </row>
    <row r="1380">
      <c r="A1380" s="41" t="n"/>
      <c r="B1380" s="37" t="n"/>
      <c r="C1380" s="37" t="n"/>
      <c r="D1380" s="39" t="str">
        <f>IF(C1380="","",IFERROR(INDEX(art_des,MATCH(C1380,art_ref,0))&amp;"","Référence inconnue"))</f>
        <v/>
      </c>
      <c r="E1380" s="37" t="n"/>
      <c r="F1380" s="39" t="str">
        <f>IF(C1380="","",IFERROR(INDEX(art_unit,MATCH(C1380,art_ref,0))&amp;"",""))</f>
        <v/>
      </c>
      <c r="G1380" s="37" t="n"/>
      <c r="H1380" s="37" t="n"/>
      <c r="I1380" s="37" t="n"/>
      <c r="J1380" s="40" t="str">
        <f>IF(OR(C1380="",NOT(ISNUMBER(E1380))),"",IFERROR(E1380*N(INDEX(art_price,MATCH(C1380,art_ref,0))),""))</f>
        <v/>
      </c>
      <c r="K1380" s="39" t="str">
        <f>IF(OR(C1380="",NOT(ISNUMBER(E1380))),"",IFERROR(ROUND(N(INDEX(art_init,MATCH(C1380,art_ref,0)))+SUMIFS($E$5:E1380,$C$5:C1380,C1380,$B$5:B1380,"Entrée")-SUMIFS($E$5:E1380,$C$5:C1380,C1380,$B$5:B1380,"Sortie"),6),""))</f>
        <v/>
      </c>
      <c r="L1380" s="39" t="str">
        <f>IF(COUNTA(A1380:C1380,E1380)=0,"",IF(COUNTA(A1380:C1380,E1380)&lt;4,"Ligne incomplète",IF(NOT(ISNUMBER(A1380)),"Date invalide",IF(AND(B1380&lt;&gt;"Entrée",B1380&lt;&gt;"Sortie"),"Type inconnu",IF(ISNA(MATCH(C1380,art_ref,0)),"Référence inconnue",IF(OR(NOT(ISNUMBER(E1380)),N(E1380)&lt;=0),"Quantité invalide",IF(K1380&lt;0,"Stock négatif",IF(AND(ISNUMBER(A1379),A1380&lt;A1379),"Date hors ordre","OK"))))))))</f>
        <v/>
      </c>
      <c r="M1380" s="39" t="str">
        <f>IF(C1380="","",C1380&amp;"#"&amp;COUNTIF($C$5:C1380,C1380))</f>
        <v/>
      </c>
    </row>
    <row r="1381">
      <c r="A1381" s="41" t="n"/>
      <c r="B1381" s="37" t="n"/>
      <c r="C1381" s="37" t="n"/>
      <c r="D1381" s="39" t="str">
        <f>IF(C1381="","",IFERROR(INDEX(art_des,MATCH(C1381,art_ref,0))&amp;"","Référence inconnue"))</f>
        <v/>
      </c>
      <c r="E1381" s="37" t="n"/>
      <c r="F1381" s="39" t="str">
        <f>IF(C1381="","",IFERROR(INDEX(art_unit,MATCH(C1381,art_ref,0))&amp;"",""))</f>
        <v/>
      </c>
      <c r="G1381" s="37" t="n"/>
      <c r="H1381" s="37" t="n"/>
      <c r="I1381" s="37" t="n"/>
      <c r="J1381" s="40" t="str">
        <f>IF(OR(C1381="",NOT(ISNUMBER(E1381))),"",IFERROR(E1381*N(INDEX(art_price,MATCH(C1381,art_ref,0))),""))</f>
        <v/>
      </c>
      <c r="K1381" s="39" t="str">
        <f>IF(OR(C1381="",NOT(ISNUMBER(E1381))),"",IFERROR(ROUND(N(INDEX(art_init,MATCH(C1381,art_ref,0)))+SUMIFS($E$5:E1381,$C$5:C1381,C1381,$B$5:B1381,"Entrée")-SUMIFS($E$5:E1381,$C$5:C1381,C1381,$B$5:B1381,"Sortie"),6),""))</f>
        <v/>
      </c>
      <c r="L1381" s="39" t="str">
        <f>IF(COUNTA(A1381:C1381,E1381)=0,"",IF(COUNTA(A1381:C1381,E1381)&lt;4,"Ligne incomplète",IF(NOT(ISNUMBER(A1381)),"Date invalide",IF(AND(B1381&lt;&gt;"Entrée",B1381&lt;&gt;"Sortie"),"Type inconnu",IF(ISNA(MATCH(C1381,art_ref,0)),"Référence inconnue",IF(OR(NOT(ISNUMBER(E1381)),N(E1381)&lt;=0),"Quantité invalide",IF(K1381&lt;0,"Stock négatif",IF(AND(ISNUMBER(A1380),A1381&lt;A1380),"Date hors ordre","OK"))))))))</f>
        <v/>
      </c>
      <c r="M1381" s="39" t="str">
        <f>IF(C1381="","",C1381&amp;"#"&amp;COUNTIF($C$5:C1381,C1381))</f>
        <v/>
      </c>
    </row>
    <row r="1382">
      <c r="A1382" s="41" t="n"/>
      <c r="B1382" s="37" t="n"/>
      <c r="C1382" s="37" t="n"/>
      <c r="D1382" s="39" t="str">
        <f>IF(C1382="","",IFERROR(INDEX(art_des,MATCH(C1382,art_ref,0))&amp;"","Référence inconnue"))</f>
        <v/>
      </c>
      <c r="E1382" s="37" t="n"/>
      <c r="F1382" s="39" t="str">
        <f>IF(C1382="","",IFERROR(INDEX(art_unit,MATCH(C1382,art_ref,0))&amp;"",""))</f>
        <v/>
      </c>
      <c r="G1382" s="37" t="n"/>
      <c r="H1382" s="37" t="n"/>
      <c r="I1382" s="37" t="n"/>
      <c r="J1382" s="40" t="str">
        <f>IF(OR(C1382="",NOT(ISNUMBER(E1382))),"",IFERROR(E1382*N(INDEX(art_price,MATCH(C1382,art_ref,0))),""))</f>
        <v/>
      </c>
      <c r="K1382" s="39" t="str">
        <f>IF(OR(C1382="",NOT(ISNUMBER(E1382))),"",IFERROR(ROUND(N(INDEX(art_init,MATCH(C1382,art_ref,0)))+SUMIFS($E$5:E1382,$C$5:C1382,C1382,$B$5:B1382,"Entrée")-SUMIFS($E$5:E1382,$C$5:C1382,C1382,$B$5:B1382,"Sortie"),6),""))</f>
        <v/>
      </c>
      <c r="L1382" s="39" t="str">
        <f>IF(COUNTA(A1382:C1382,E1382)=0,"",IF(COUNTA(A1382:C1382,E1382)&lt;4,"Ligne incomplète",IF(NOT(ISNUMBER(A1382)),"Date invalide",IF(AND(B1382&lt;&gt;"Entrée",B1382&lt;&gt;"Sortie"),"Type inconnu",IF(ISNA(MATCH(C1382,art_ref,0)),"Référence inconnue",IF(OR(NOT(ISNUMBER(E1382)),N(E1382)&lt;=0),"Quantité invalide",IF(K1382&lt;0,"Stock négatif",IF(AND(ISNUMBER(A1381),A1382&lt;A1381),"Date hors ordre","OK"))))))))</f>
        <v/>
      </c>
      <c r="M1382" s="39" t="str">
        <f>IF(C1382="","",C1382&amp;"#"&amp;COUNTIF($C$5:C1382,C1382))</f>
        <v/>
      </c>
    </row>
    <row r="1383">
      <c r="A1383" s="41" t="n"/>
      <c r="B1383" s="37" t="n"/>
      <c r="C1383" s="37" t="n"/>
      <c r="D1383" s="39" t="str">
        <f>IF(C1383="","",IFERROR(INDEX(art_des,MATCH(C1383,art_ref,0))&amp;"","Référence inconnue"))</f>
        <v/>
      </c>
      <c r="E1383" s="37" t="n"/>
      <c r="F1383" s="39" t="str">
        <f>IF(C1383="","",IFERROR(INDEX(art_unit,MATCH(C1383,art_ref,0))&amp;"",""))</f>
        <v/>
      </c>
      <c r="G1383" s="37" t="n"/>
      <c r="H1383" s="37" t="n"/>
      <c r="I1383" s="37" t="n"/>
      <c r="J1383" s="40" t="str">
        <f>IF(OR(C1383="",NOT(ISNUMBER(E1383))),"",IFERROR(E1383*N(INDEX(art_price,MATCH(C1383,art_ref,0))),""))</f>
        <v/>
      </c>
      <c r="K1383" s="39" t="str">
        <f>IF(OR(C1383="",NOT(ISNUMBER(E1383))),"",IFERROR(ROUND(N(INDEX(art_init,MATCH(C1383,art_ref,0)))+SUMIFS($E$5:E1383,$C$5:C1383,C1383,$B$5:B1383,"Entrée")-SUMIFS($E$5:E1383,$C$5:C1383,C1383,$B$5:B1383,"Sortie"),6),""))</f>
        <v/>
      </c>
      <c r="L1383" s="39" t="str">
        <f>IF(COUNTA(A1383:C1383,E1383)=0,"",IF(COUNTA(A1383:C1383,E1383)&lt;4,"Ligne incomplète",IF(NOT(ISNUMBER(A1383)),"Date invalide",IF(AND(B1383&lt;&gt;"Entrée",B1383&lt;&gt;"Sortie"),"Type inconnu",IF(ISNA(MATCH(C1383,art_ref,0)),"Référence inconnue",IF(OR(NOT(ISNUMBER(E1383)),N(E1383)&lt;=0),"Quantité invalide",IF(K1383&lt;0,"Stock négatif",IF(AND(ISNUMBER(A1382),A1383&lt;A1382),"Date hors ordre","OK"))))))))</f>
        <v/>
      </c>
      <c r="M1383" s="39" t="str">
        <f>IF(C1383="","",C1383&amp;"#"&amp;COUNTIF($C$5:C1383,C1383))</f>
        <v/>
      </c>
    </row>
    <row r="1384">
      <c r="A1384" s="41" t="n"/>
      <c r="B1384" s="37" t="n"/>
      <c r="C1384" s="37" t="n"/>
      <c r="D1384" s="39" t="str">
        <f>IF(C1384="","",IFERROR(INDEX(art_des,MATCH(C1384,art_ref,0))&amp;"","Référence inconnue"))</f>
        <v/>
      </c>
      <c r="E1384" s="37" t="n"/>
      <c r="F1384" s="39" t="str">
        <f>IF(C1384="","",IFERROR(INDEX(art_unit,MATCH(C1384,art_ref,0))&amp;"",""))</f>
        <v/>
      </c>
      <c r="G1384" s="37" t="n"/>
      <c r="H1384" s="37" t="n"/>
      <c r="I1384" s="37" t="n"/>
      <c r="J1384" s="40" t="str">
        <f>IF(OR(C1384="",NOT(ISNUMBER(E1384))),"",IFERROR(E1384*N(INDEX(art_price,MATCH(C1384,art_ref,0))),""))</f>
        <v/>
      </c>
      <c r="K1384" s="39" t="str">
        <f>IF(OR(C1384="",NOT(ISNUMBER(E1384))),"",IFERROR(ROUND(N(INDEX(art_init,MATCH(C1384,art_ref,0)))+SUMIFS($E$5:E1384,$C$5:C1384,C1384,$B$5:B1384,"Entrée")-SUMIFS($E$5:E1384,$C$5:C1384,C1384,$B$5:B1384,"Sortie"),6),""))</f>
        <v/>
      </c>
      <c r="L1384" s="39" t="str">
        <f>IF(COUNTA(A1384:C1384,E1384)=0,"",IF(COUNTA(A1384:C1384,E1384)&lt;4,"Ligne incomplète",IF(NOT(ISNUMBER(A1384)),"Date invalide",IF(AND(B1384&lt;&gt;"Entrée",B1384&lt;&gt;"Sortie"),"Type inconnu",IF(ISNA(MATCH(C1384,art_ref,0)),"Référence inconnue",IF(OR(NOT(ISNUMBER(E1384)),N(E1384)&lt;=0),"Quantité invalide",IF(K1384&lt;0,"Stock négatif",IF(AND(ISNUMBER(A1383),A1384&lt;A1383),"Date hors ordre","OK"))))))))</f>
        <v/>
      </c>
      <c r="M1384" s="39" t="str">
        <f>IF(C1384="","",C1384&amp;"#"&amp;COUNTIF($C$5:C1384,C1384))</f>
        <v/>
      </c>
    </row>
    <row r="1385">
      <c r="A1385" s="41" t="n"/>
      <c r="B1385" s="37" t="n"/>
      <c r="C1385" s="37" t="n"/>
      <c r="D1385" s="39" t="str">
        <f>IF(C1385="","",IFERROR(INDEX(art_des,MATCH(C1385,art_ref,0))&amp;"","Référence inconnue"))</f>
        <v/>
      </c>
      <c r="E1385" s="37" t="n"/>
      <c r="F1385" s="39" t="str">
        <f>IF(C1385="","",IFERROR(INDEX(art_unit,MATCH(C1385,art_ref,0))&amp;"",""))</f>
        <v/>
      </c>
      <c r="G1385" s="37" t="n"/>
      <c r="H1385" s="37" t="n"/>
      <c r="I1385" s="37" t="n"/>
      <c r="J1385" s="40" t="str">
        <f>IF(OR(C1385="",NOT(ISNUMBER(E1385))),"",IFERROR(E1385*N(INDEX(art_price,MATCH(C1385,art_ref,0))),""))</f>
        <v/>
      </c>
      <c r="K1385" s="39" t="str">
        <f>IF(OR(C1385="",NOT(ISNUMBER(E1385))),"",IFERROR(ROUND(N(INDEX(art_init,MATCH(C1385,art_ref,0)))+SUMIFS($E$5:E1385,$C$5:C1385,C1385,$B$5:B1385,"Entrée")-SUMIFS($E$5:E1385,$C$5:C1385,C1385,$B$5:B1385,"Sortie"),6),""))</f>
        <v/>
      </c>
      <c r="L1385" s="39" t="str">
        <f>IF(COUNTA(A1385:C1385,E1385)=0,"",IF(COUNTA(A1385:C1385,E1385)&lt;4,"Ligne incomplète",IF(NOT(ISNUMBER(A1385)),"Date invalide",IF(AND(B1385&lt;&gt;"Entrée",B1385&lt;&gt;"Sortie"),"Type inconnu",IF(ISNA(MATCH(C1385,art_ref,0)),"Référence inconnue",IF(OR(NOT(ISNUMBER(E1385)),N(E1385)&lt;=0),"Quantité invalide",IF(K1385&lt;0,"Stock négatif",IF(AND(ISNUMBER(A1384),A1385&lt;A1384),"Date hors ordre","OK"))))))))</f>
        <v/>
      </c>
      <c r="M1385" s="39" t="str">
        <f>IF(C1385="","",C1385&amp;"#"&amp;COUNTIF($C$5:C1385,C1385))</f>
        <v/>
      </c>
    </row>
    <row r="1386">
      <c r="A1386" s="41" t="n"/>
      <c r="B1386" s="37" t="n"/>
      <c r="C1386" s="37" t="n"/>
      <c r="D1386" s="39" t="str">
        <f>IF(C1386="","",IFERROR(INDEX(art_des,MATCH(C1386,art_ref,0))&amp;"","Référence inconnue"))</f>
        <v/>
      </c>
      <c r="E1386" s="37" t="n"/>
      <c r="F1386" s="39" t="str">
        <f>IF(C1386="","",IFERROR(INDEX(art_unit,MATCH(C1386,art_ref,0))&amp;"",""))</f>
        <v/>
      </c>
      <c r="G1386" s="37" t="n"/>
      <c r="H1386" s="37" t="n"/>
      <c r="I1386" s="37" t="n"/>
      <c r="J1386" s="40" t="str">
        <f>IF(OR(C1386="",NOT(ISNUMBER(E1386))),"",IFERROR(E1386*N(INDEX(art_price,MATCH(C1386,art_ref,0))),""))</f>
        <v/>
      </c>
      <c r="K1386" s="39" t="str">
        <f>IF(OR(C1386="",NOT(ISNUMBER(E1386))),"",IFERROR(ROUND(N(INDEX(art_init,MATCH(C1386,art_ref,0)))+SUMIFS($E$5:E1386,$C$5:C1386,C1386,$B$5:B1386,"Entrée")-SUMIFS($E$5:E1386,$C$5:C1386,C1386,$B$5:B1386,"Sortie"),6),""))</f>
        <v/>
      </c>
      <c r="L1386" s="39" t="str">
        <f>IF(COUNTA(A1386:C1386,E1386)=0,"",IF(COUNTA(A1386:C1386,E1386)&lt;4,"Ligne incomplète",IF(NOT(ISNUMBER(A1386)),"Date invalide",IF(AND(B1386&lt;&gt;"Entrée",B1386&lt;&gt;"Sortie"),"Type inconnu",IF(ISNA(MATCH(C1386,art_ref,0)),"Référence inconnue",IF(OR(NOT(ISNUMBER(E1386)),N(E1386)&lt;=0),"Quantité invalide",IF(K1386&lt;0,"Stock négatif",IF(AND(ISNUMBER(A1385),A1386&lt;A1385),"Date hors ordre","OK"))))))))</f>
        <v/>
      </c>
      <c r="M1386" s="39" t="str">
        <f>IF(C1386="","",C1386&amp;"#"&amp;COUNTIF($C$5:C1386,C1386))</f>
        <v/>
      </c>
    </row>
    <row r="1387">
      <c r="A1387" s="41" t="n"/>
      <c r="B1387" s="37" t="n"/>
      <c r="C1387" s="37" t="n"/>
      <c r="D1387" s="39" t="str">
        <f>IF(C1387="","",IFERROR(INDEX(art_des,MATCH(C1387,art_ref,0))&amp;"","Référence inconnue"))</f>
        <v/>
      </c>
      <c r="E1387" s="37" t="n"/>
      <c r="F1387" s="39" t="str">
        <f>IF(C1387="","",IFERROR(INDEX(art_unit,MATCH(C1387,art_ref,0))&amp;"",""))</f>
        <v/>
      </c>
      <c r="G1387" s="37" t="n"/>
      <c r="H1387" s="37" t="n"/>
      <c r="I1387" s="37" t="n"/>
      <c r="J1387" s="40" t="str">
        <f>IF(OR(C1387="",NOT(ISNUMBER(E1387))),"",IFERROR(E1387*N(INDEX(art_price,MATCH(C1387,art_ref,0))),""))</f>
        <v/>
      </c>
      <c r="K1387" s="39" t="str">
        <f>IF(OR(C1387="",NOT(ISNUMBER(E1387))),"",IFERROR(ROUND(N(INDEX(art_init,MATCH(C1387,art_ref,0)))+SUMIFS($E$5:E1387,$C$5:C1387,C1387,$B$5:B1387,"Entrée")-SUMIFS($E$5:E1387,$C$5:C1387,C1387,$B$5:B1387,"Sortie"),6),""))</f>
        <v/>
      </c>
      <c r="L1387" s="39" t="str">
        <f>IF(COUNTA(A1387:C1387,E1387)=0,"",IF(COUNTA(A1387:C1387,E1387)&lt;4,"Ligne incomplète",IF(NOT(ISNUMBER(A1387)),"Date invalide",IF(AND(B1387&lt;&gt;"Entrée",B1387&lt;&gt;"Sortie"),"Type inconnu",IF(ISNA(MATCH(C1387,art_ref,0)),"Référence inconnue",IF(OR(NOT(ISNUMBER(E1387)),N(E1387)&lt;=0),"Quantité invalide",IF(K1387&lt;0,"Stock négatif",IF(AND(ISNUMBER(A1386),A1387&lt;A1386),"Date hors ordre","OK"))))))))</f>
        <v/>
      </c>
      <c r="M1387" s="39" t="str">
        <f>IF(C1387="","",C1387&amp;"#"&amp;COUNTIF($C$5:C1387,C1387))</f>
        <v/>
      </c>
    </row>
    <row r="1388">
      <c r="A1388" s="41" t="n"/>
      <c r="B1388" s="37" t="n"/>
      <c r="C1388" s="37" t="n"/>
      <c r="D1388" s="39" t="str">
        <f>IF(C1388="","",IFERROR(INDEX(art_des,MATCH(C1388,art_ref,0))&amp;"","Référence inconnue"))</f>
        <v/>
      </c>
      <c r="E1388" s="37" t="n"/>
      <c r="F1388" s="39" t="str">
        <f>IF(C1388="","",IFERROR(INDEX(art_unit,MATCH(C1388,art_ref,0))&amp;"",""))</f>
        <v/>
      </c>
      <c r="G1388" s="37" t="n"/>
      <c r="H1388" s="37" t="n"/>
      <c r="I1388" s="37" t="n"/>
      <c r="J1388" s="40" t="str">
        <f>IF(OR(C1388="",NOT(ISNUMBER(E1388))),"",IFERROR(E1388*N(INDEX(art_price,MATCH(C1388,art_ref,0))),""))</f>
        <v/>
      </c>
      <c r="K1388" s="39" t="str">
        <f>IF(OR(C1388="",NOT(ISNUMBER(E1388))),"",IFERROR(ROUND(N(INDEX(art_init,MATCH(C1388,art_ref,0)))+SUMIFS($E$5:E1388,$C$5:C1388,C1388,$B$5:B1388,"Entrée")-SUMIFS($E$5:E1388,$C$5:C1388,C1388,$B$5:B1388,"Sortie"),6),""))</f>
        <v/>
      </c>
      <c r="L1388" s="39" t="str">
        <f>IF(COUNTA(A1388:C1388,E1388)=0,"",IF(COUNTA(A1388:C1388,E1388)&lt;4,"Ligne incomplète",IF(NOT(ISNUMBER(A1388)),"Date invalide",IF(AND(B1388&lt;&gt;"Entrée",B1388&lt;&gt;"Sortie"),"Type inconnu",IF(ISNA(MATCH(C1388,art_ref,0)),"Référence inconnue",IF(OR(NOT(ISNUMBER(E1388)),N(E1388)&lt;=0),"Quantité invalide",IF(K1388&lt;0,"Stock négatif",IF(AND(ISNUMBER(A1387),A1388&lt;A1387),"Date hors ordre","OK"))))))))</f>
        <v/>
      </c>
      <c r="M1388" s="39" t="str">
        <f>IF(C1388="","",C1388&amp;"#"&amp;COUNTIF($C$5:C1388,C1388))</f>
        <v/>
      </c>
    </row>
    <row r="1389">
      <c r="A1389" s="41" t="n"/>
      <c r="B1389" s="37" t="n"/>
      <c r="C1389" s="37" t="n"/>
      <c r="D1389" s="39" t="str">
        <f>IF(C1389="","",IFERROR(INDEX(art_des,MATCH(C1389,art_ref,0))&amp;"","Référence inconnue"))</f>
        <v/>
      </c>
      <c r="E1389" s="37" t="n"/>
      <c r="F1389" s="39" t="str">
        <f>IF(C1389="","",IFERROR(INDEX(art_unit,MATCH(C1389,art_ref,0))&amp;"",""))</f>
        <v/>
      </c>
      <c r="G1389" s="37" t="n"/>
      <c r="H1389" s="37" t="n"/>
      <c r="I1389" s="37" t="n"/>
      <c r="J1389" s="40" t="str">
        <f>IF(OR(C1389="",NOT(ISNUMBER(E1389))),"",IFERROR(E1389*N(INDEX(art_price,MATCH(C1389,art_ref,0))),""))</f>
        <v/>
      </c>
      <c r="K1389" s="39" t="str">
        <f>IF(OR(C1389="",NOT(ISNUMBER(E1389))),"",IFERROR(ROUND(N(INDEX(art_init,MATCH(C1389,art_ref,0)))+SUMIFS($E$5:E1389,$C$5:C1389,C1389,$B$5:B1389,"Entrée")-SUMIFS($E$5:E1389,$C$5:C1389,C1389,$B$5:B1389,"Sortie"),6),""))</f>
        <v/>
      </c>
      <c r="L1389" s="39" t="str">
        <f>IF(COUNTA(A1389:C1389,E1389)=0,"",IF(COUNTA(A1389:C1389,E1389)&lt;4,"Ligne incomplète",IF(NOT(ISNUMBER(A1389)),"Date invalide",IF(AND(B1389&lt;&gt;"Entrée",B1389&lt;&gt;"Sortie"),"Type inconnu",IF(ISNA(MATCH(C1389,art_ref,0)),"Référence inconnue",IF(OR(NOT(ISNUMBER(E1389)),N(E1389)&lt;=0),"Quantité invalide",IF(K1389&lt;0,"Stock négatif",IF(AND(ISNUMBER(A1388),A1389&lt;A1388),"Date hors ordre","OK"))))))))</f>
        <v/>
      </c>
      <c r="M1389" s="39" t="str">
        <f>IF(C1389="","",C1389&amp;"#"&amp;COUNTIF($C$5:C1389,C1389))</f>
        <v/>
      </c>
    </row>
    <row r="1390">
      <c r="A1390" s="41" t="n"/>
      <c r="B1390" s="37" t="n"/>
      <c r="C1390" s="37" t="n"/>
      <c r="D1390" s="39" t="str">
        <f>IF(C1390="","",IFERROR(INDEX(art_des,MATCH(C1390,art_ref,0))&amp;"","Référence inconnue"))</f>
        <v/>
      </c>
      <c r="E1390" s="37" t="n"/>
      <c r="F1390" s="39" t="str">
        <f>IF(C1390="","",IFERROR(INDEX(art_unit,MATCH(C1390,art_ref,0))&amp;"",""))</f>
        <v/>
      </c>
      <c r="G1390" s="37" t="n"/>
      <c r="H1390" s="37" t="n"/>
      <c r="I1390" s="37" t="n"/>
      <c r="J1390" s="40" t="str">
        <f>IF(OR(C1390="",NOT(ISNUMBER(E1390))),"",IFERROR(E1390*N(INDEX(art_price,MATCH(C1390,art_ref,0))),""))</f>
        <v/>
      </c>
      <c r="K1390" s="39" t="str">
        <f>IF(OR(C1390="",NOT(ISNUMBER(E1390))),"",IFERROR(ROUND(N(INDEX(art_init,MATCH(C1390,art_ref,0)))+SUMIFS($E$5:E1390,$C$5:C1390,C1390,$B$5:B1390,"Entrée")-SUMIFS($E$5:E1390,$C$5:C1390,C1390,$B$5:B1390,"Sortie"),6),""))</f>
        <v/>
      </c>
      <c r="L1390" s="39" t="str">
        <f>IF(COUNTA(A1390:C1390,E1390)=0,"",IF(COUNTA(A1390:C1390,E1390)&lt;4,"Ligne incomplète",IF(NOT(ISNUMBER(A1390)),"Date invalide",IF(AND(B1390&lt;&gt;"Entrée",B1390&lt;&gt;"Sortie"),"Type inconnu",IF(ISNA(MATCH(C1390,art_ref,0)),"Référence inconnue",IF(OR(NOT(ISNUMBER(E1390)),N(E1390)&lt;=0),"Quantité invalide",IF(K1390&lt;0,"Stock négatif",IF(AND(ISNUMBER(A1389),A1390&lt;A1389),"Date hors ordre","OK"))))))))</f>
        <v/>
      </c>
      <c r="M1390" s="39" t="str">
        <f>IF(C1390="","",C1390&amp;"#"&amp;COUNTIF($C$5:C1390,C1390))</f>
        <v/>
      </c>
    </row>
    <row r="1391">
      <c r="A1391" s="41" t="n"/>
      <c r="B1391" s="37" t="n"/>
      <c r="C1391" s="37" t="n"/>
      <c r="D1391" s="39" t="str">
        <f>IF(C1391="","",IFERROR(INDEX(art_des,MATCH(C1391,art_ref,0))&amp;"","Référence inconnue"))</f>
        <v/>
      </c>
      <c r="E1391" s="37" t="n"/>
      <c r="F1391" s="39" t="str">
        <f>IF(C1391="","",IFERROR(INDEX(art_unit,MATCH(C1391,art_ref,0))&amp;"",""))</f>
        <v/>
      </c>
      <c r="G1391" s="37" t="n"/>
      <c r="H1391" s="37" t="n"/>
      <c r="I1391" s="37" t="n"/>
      <c r="J1391" s="40" t="str">
        <f>IF(OR(C1391="",NOT(ISNUMBER(E1391))),"",IFERROR(E1391*N(INDEX(art_price,MATCH(C1391,art_ref,0))),""))</f>
        <v/>
      </c>
      <c r="K1391" s="39" t="str">
        <f>IF(OR(C1391="",NOT(ISNUMBER(E1391))),"",IFERROR(ROUND(N(INDEX(art_init,MATCH(C1391,art_ref,0)))+SUMIFS($E$5:E1391,$C$5:C1391,C1391,$B$5:B1391,"Entrée")-SUMIFS($E$5:E1391,$C$5:C1391,C1391,$B$5:B1391,"Sortie"),6),""))</f>
        <v/>
      </c>
      <c r="L1391" s="39" t="str">
        <f>IF(COUNTA(A1391:C1391,E1391)=0,"",IF(COUNTA(A1391:C1391,E1391)&lt;4,"Ligne incomplète",IF(NOT(ISNUMBER(A1391)),"Date invalide",IF(AND(B1391&lt;&gt;"Entrée",B1391&lt;&gt;"Sortie"),"Type inconnu",IF(ISNA(MATCH(C1391,art_ref,0)),"Référence inconnue",IF(OR(NOT(ISNUMBER(E1391)),N(E1391)&lt;=0),"Quantité invalide",IF(K1391&lt;0,"Stock négatif",IF(AND(ISNUMBER(A1390),A1391&lt;A1390),"Date hors ordre","OK"))))))))</f>
        <v/>
      </c>
      <c r="M1391" s="39" t="str">
        <f>IF(C1391="","",C1391&amp;"#"&amp;COUNTIF($C$5:C1391,C1391))</f>
        <v/>
      </c>
    </row>
    <row r="1392">
      <c r="A1392" s="41" t="n"/>
      <c r="B1392" s="37" t="n"/>
      <c r="C1392" s="37" t="n"/>
      <c r="D1392" s="39" t="str">
        <f>IF(C1392="","",IFERROR(INDEX(art_des,MATCH(C1392,art_ref,0))&amp;"","Référence inconnue"))</f>
        <v/>
      </c>
      <c r="E1392" s="37" t="n"/>
      <c r="F1392" s="39" t="str">
        <f>IF(C1392="","",IFERROR(INDEX(art_unit,MATCH(C1392,art_ref,0))&amp;"",""))</f>
        <v/>
      </c>
      <c r="G1392" s="37" t="n"/>
      <c r="H1392" s="37" t="n"/>
      <c r="I1392" s="37" t="n"/>
      <c r="J1392" s="40" t="str">
        <f>IF(OR(C1392="",NOT(ISNUMBER(E1392))),"",IFERROR(E1392*N(INDEX(art_price,MATCH(C1392,art_ref,0))),""))</f>
        <v/>
      </c>
      <c r="K1392" s="39" t="str">
        <f>IF(OR(C1392="",NOT(ISNUMBER(E1392))),"",IFERROR(ROUND(N(INDEX(art_init,MATCH(C1392,art_ref,0)))+SUMIFS($E$5:E1392,$C$5:C1392,C1392,$B$5:B1392,"Entrée")-SUMIFS($E$5:E1392,$C$5:C1392,C1392,$B$5:B1392,"Sortie"),6),""))</f>
        <v/>
      </c>
      <c r="L1392" s="39" t="str">
        <f>IF(COUNTA(A1392:C1392,E1392)=0,"",IF(COUNTA(A1392:C1392,E1392)&lt;4,"Ligne incomplète",IF(NOT(ISNUMBER(A1392)),"Date invalide",IF(AND(B1392&lt;&gt;"Entrée",B1392&lt;&gt;"Sortie"),"Type inconnu",IF(ISNA(MATCH(C1392,art_ref,0)),"Référence inconnue",IF(OR(NOT(ISNUMBER(E1392)),N(E1392)&lt;=0),"Quantité invalide",IF(K1392&lt;0,"Stock négatif",IF(AND(ISNUMBER(A1391),A1392&lt;A1391),"Date hors ordre","OK"))))))))</f>
        <v/>
      </c>
      <c r="M1392" s="39" t="str">
        <f>IF(C1392="","",C1392&amp;"#"&amp;COUNTIF($C$5:C1392,C1392))</f>
        <v/>
      </c>
    </row>
    <row r="1393">
      <c r="A1393" s="41" t="n"/>
      <c r="B1393" s="37" t="n"/>
      <c r="C1393" s="37" t="n"/>
      <c r="D1393" s="39" t="str">
        <f>IF(C1393="","",IFERROR(INDEX(art_des,MATCH(C1393,art_ref,0))&amp;"","Référence inconnue"))</f>
        <v/>
      </c>
      <c r="E1393" s="37" t="n"/>
      <c r="F1393" s="39" t="str">
        <f>IF(C1393="","",IFERROR(INDEX(art_unit,MATCH(C1393,art_ref,0))&amp;"",""))</f>
        <v/>
      </c>
      <c r="G1393" s="37" t="n"/>
      <c r="H1393" s="37" t="n"/>
      <c r="I1393" s="37" t="n"/>
      <c r="J1393" s="40" t="str">
        <f>IF(OR(C1393="",NOT(ISNUMBER(E1393))),"",IFERROR(E1393*N(INDEX(art_price,MATCH(C1393,art_ref,0))),""))</f>
        <v/>
      </c>
      <c r="K1393" s="39" t="str">
        <f>IF(OR(C1393="",NOT(ISNUMBER(E1393))),"",IFERROR(ROUND(N(INDEX(art_init,MATCH(C1393,art_ref,0)))+SUMIFS($E$5:E1393,$C$5:C1393,C1393,$B$5:B1393,"Entrée")-SUMIFS($E$5:E1393,$C$5:C1393,C1393,$B$5:B1393,"Sortie"),6),""))</f>
        <v/>
      </c>
      <c r="L1393" s="39" t="str">
        <f>IF(COUNTA(A1393:C1393,E1393)=0,"",IF(COUNTA(A1393:C1393,E1393)&lt;4,"Ligne incomplète",IF(NOT(ISNUMBER(A1393)),"Date invalide",IF(AND(B1393&lt;&gt;"Entrée",B1393&lt;&gt;"Sortie"),"Type inconnu",IF(ISNA(MATCH(C1393,art_ref,0)),"Référence inconnue",IF(OR(NOT(ISNUMBER(E1393)),N(E1393)&lt;=0),"Quantité invalide",IF(K1393&lt;0,"Stock négatif",IF(AND(ISNUMBER(A1392),A1393&lt;A1392),"Date hors ordre","OK"))))))))</f>
        <v/>
      </c>
      <c r="M1393" s="39" t="str">
        <f>IF(C1393="","",C1393&amp;"#"&amp;COUNTIF($C$5:C1393,C1393))</f>
        <v/>
      </c>
    </row>
    <row r="1394">
      <c r="A1394" s="41" t="n"/>
      <c r="B1394" s="37" t="n"/>
      <c r="C1394" s="37" t="n"/>
      <c r="D1394" s="39" t="str">
        <f>IF(C1394="","",IFERROR(INDEX(art_des,MATCH(C1394,art_ref,0))&amp;"","Référence inconnue"))</f>
        <v/>
      </c>
      <c r="E1394" s="37" t="n"/>
      <c r="F1394" s="39" t="str">
        <f>IF(C1394="","",IFERROR(INDEX(art_unit,MATCH(C1394,art_ref,0))&amp;"",""))</f>
        <v/>
      </c>
      <c r="G1394" s="37" t="n"/>
      <c r="H1394" s="37" t="n"/>
      <c r="I1394" s="37" t="n"/>
      <c r="J1394" s="40" t="str">
        <f>IF(OR(C1394="",NOT(ISNUMBER(E1394))),"",IFERROR(E1394*N(INDEX(art_price,MATCH(C1394,art_ref,0))),""))</f>
        <v/>
      </c>
      <c r="K1394" s="39" t="str">
        <f>IF(OR(C1394="",NOT(ISNUMBER(E1394))),"",IFERROR(ROUND(N(INDEX(art_init,MATCH(C1394,art_ref,0)))+SUMIFS($E$5:E1394,$C$5:C1394,C1394,$B$5:B1394,"Entrée")-SUMIFS($E$5:E1394,$C$5:C1394,C1394,$B$5:B1394,"Sortie"),6),""))</f>
        <v/>
      </c>
      <c r="L1394" s="39" t="str">
        <f>IF(COUNTA(A1394:C1394,E1394)=0,"",IF(COUNTA(A1394:C1394,E1394)&lt;4,"Ligne incomplète",IF(NOT(ISNUMBER(A1394)),"Date invalide",IF(AND(B1394&lt;&gt;"Entrée",B1394&lt;&gt;"Sortie"),"Type inconnu",IF(ISNA(MATCH(C1394,art_ref,0)),"Référence inconnue",IF(OR(NOT(ISNUMBER(E1394)),N(E1394)&lt;=0),"Quantité invalide",IF(K1394&lt;0,"Stock négatif",IF(AND(ISNUMBER(A1393),A1394&lt;A1393),"Date hors ordre","OK"))))))))</f>
        <v/>
      </c>
      <c r="M1394" s="39" t="str">
        <f>IF(C1394="","",C1394&amp;"#"&amp;COUNTIF($C$5:C1394,C1394))</f>
        <v/>
      </c>
    </row>
    <row r="1395">
      <c r="A1395" s="41" t="n"/>
      <c r="B1395" s="37" t="n"/>
      <c r="C1395" s="37" t="n"/>
      <c r="D1395" s="39" t="str">
        <f>IF(C1395="","",IFERROR(INDEX(art_des,MATCH(C1395,art_ref,0))&amp;"","Référence inconnue"))</f>
        <v/>
      </c>
      <c r="E1395" s="37" t="n"/>
      <c r="F1395" s="39" t="str">
        <f>IF(C1395="","",IFERROR(INDEX(art_unit,MATCH(C1395,art_ref,0))&amp;"",""))</f>
        <v/>
      </c>
      <c r="G1395" s="37" t="n"/>
      <c r="H1395" s="37" t="n"/>
      <c r="I1395" s="37" t="n"/>
      <c r="J1395" s="40" t="str">
        <f>IF(OR(C1395="",NOT(ISNUMBER(E1395))),"",IFERROR(E1395*N(INDEX(art_price,MATCH(C1395,art_ref,0))),""))</f>
        <v/>
      </c>
      <c r="K1395" s="39" t="str">
        <f>IF(OR(C1395="",NOT(ISNUMBER(E1395))),"",IFERROR(ROUND(N(INDEX(art_init,MATCH(C1395,art_ref,0)))+SUMIFS($E$5:E1395,$C$5:C1395,C1395,$B$5:B1395,"Entrée")-SUMIFS($E$5:E1395,$C$5:C1395,C1395,$B$5:B1395,"Sortie"),6),""))</f>
        <v/>
      </c>
      <c r="L1395" s="39" t="str">
        <f>IF(COUNTA(A1395:C1395,E1395)=0,"",IF(COUNTA(A1395:C1395,E1395)&lt;4,"Ligne incomplète",IF(NOT(ISNUMBER(A1395)),"Date invalide",IF(AND(B1395&lt;&gt;"Entrée",B1395&lt;&gt;"Sortie"),"Type inconnu",IF(ISNA(MATCH(C1395,art_ref,0)),"Référence inconnue",IF(OR(NOT(ISNUMBER(E1395)),N(E1395)&lt;=0),"Quantité invalide",IF(K1395&lt;0,"Stock négatif",IF(AND(ISNUMBER(A1394),A1395&lt;A1394),"Date hors ordre","OK"))))))))</f>
        <v/>
      </c>
      <c r="M1395" s="39" t="str">
        <f>IF(C1395="","",C1395&amp;"#"&amp;COUNTIF($C$5:C1395,C1395))</f>
        <v/>
      </c>
    </row>
    <row r="1396">
      <c r="A1396" s="41" t="n"/>
      <c r="B1396" s="37" t="n"/>
      <c r="C1396" s="37" t="n"/>
      <c r="D1396" s="39" t="str">
        <f>IF(C1396="","",IFERROR(INDEX(art_des,MATCH(C1396,art_ref,0))&amp;"","Référence inconnue"))</f>
        <v/>
      </c>
      <c r="E1396" s="37" t="n"/>
      <c r="F1396" s="39" t="str">
        <f>IF(C1396="","",IFERROR(INDEX(art_unit,MATCH(C1396,art_ref,0))&amp;"",""))</f>
        <v/>
      </c>
      <c r="G1396" s="37" t="n"/>
      <c r="H1396" s="37" t="n"/>
      <c r="I1396" s="37" t="n"/>
      <c r="J1396" s="40" t="str">
        <f>IF(OR(C1396="",NOT(ISNUMBER(E1396))),"",IFERROR(E1396*N(INDEX(art_price,MATCH(C1396,art_ref,0))),""))</f>
        <v/>
      </c>
      <c r="K1396" s="39" t="str">
        <f>IF(OR(C1396="",NOT(ISNUMBER(E1396))),"",IFERROR(ROUND(N(INDEX(art_init,MATCH(C1396,art_ref,0)))+SUMIFS($E$5:E1396,$C$5:C1396,C1396,$B$5:B1396,"Entrée")-SUMIFS($E$5:E1396,$C$5:C1396,C1396,$B$5:B1396,"Sortie"),6),""))</f>
        <v/>
      </c>
      <c r="L1396" s="39" t="str">
        <f>IF(COUNTA(A1396:C1396,E1396)=0,"",IF(COUNTA(A1396:C1396,E1396)&lt;4,"Ligne incomplète",IF(NOT(ISNUMBER(A1396)),"Date invalide",IF(AND(B1396&lt;&gt;"Entrée",B1396&lt;&gt;"Sortie"),"Type inconnu",IF(ISNA(MATCH(C1396,art_ref,0)),"Référence inconnue",IF(OR(NOT(ISNUMBER(E1396)),N(E1396)&lt;=0),"Quantité invalide",IF(K1396&lt;0,"Stock négatif",IF(AND(ISNUMBER(A1395),A1396&lt;A1395),"Date hors ordre","OK"))))))))</f>
        <v/>
      </c>
      <c r="M1396" s="39" t="str">
        <f>IF(C1396="","",C1396&amp;"#"&amp;COUNTIF($C$5:C1396,C1396))</f>
        <v/>
      </c>
    </row>
    <row r="1397">
      <c r="A1397" s="41" t="n"/>
      <c r="B1397" s="37" t="n"/>
      <c r="C1397" s="37" t="n"/>
      <c r="D1397" s="39" t="str">
        <f>IF(C1397="","",IFERROR(INDEX(art_des,MATCH(C1397,art_ref,0))&amp;"","Référence inconnue"))</f>
        <v/>
      </c>
      <c r="E1397" s="37" t="n"/>
      <c r="F1397" s="39" t="str">
        <f>IF(C1397="","",IFERROR(INDEX(art_unit,MATCH(C1397,art_ref,0))&amp;"",""))</f>
        <v/>
      </c>
      <c r="G1397" s="37" t="n"/>
      <c r="H1397" s="37" t="n"/>
      <c r="I1397" s="37" t="n"/>
      <c r="J1397" s="40" t="str">
        <f>IF(OR(C1397="",NOT(ISNUMBER(E1397))),"",IFERROR(E1397*N(INDEX(art_price,MATCH(C1397,art_ref,0))),""))</f>
        <v/>
      </c>
      <c r="K1397" s="39" t="str">
        <f>IF(OR(C1397="",NOT(ISNUMBER(E1397))),"",IFERROR(ROUND(N(INDEX(art_init,MATCH(C1397,art_ref,0)))+SUMIFS($E$5:E1397,$C$5:C1397,C1397,$B$5:B1397,"Entrée")-SUMIFS($E$5:E1397,$C$5:C1397,C1397,$B$5:B1397,"Sortie"),6),""))</f>
        <v/>
      </c>
      <c r="L1397" s="39" t="str">
        <f>IF(COUNTA(A1397:C1397,E1397)=0,"",IF(COUNTA(A1397:C1397,E1397)&lt;4,"Ligne incomplète",IF(NOT(ISNUMBER(A1397)),"Date invalide",IF(AND(B1397&lt;&gt;"Entrée",B1397&lt;&gt;"Sortie"),"Type inconnu",IF(ISNA(MATCH(C1397,art_ref,0)),"Référence inconnue",IF(OR(NOT(ISNUMBER(E1397)),N(E1397)&lt;=0),"Quantité invalide",IF(K1397&lt;0,"Stock négatif",IF(AND(ISNUMBER(A1396),A1397&lt;A1396),"Date hors ordre","OK"))))))))</f>
        <v/>
      </c>
      <c r="M1397" s="39" t="str">
        <f>IF(C1397="","",C1397&amp;"#"&amp;COUNTIF($C$5:C1397,C1397))</f>
        <v/>
      </c>
    </row>
    <row r="1398">
      <c r="A1398" s="41" t="n"/>
      <c r="B1398" s="37" t="n"/>
      <c r="C1398" s="37" t="n"/>
      <c r="D1398" s="39" t="str">
        <f>IF(C1398="","",IFERROR(INDEX(art_des,MATCH(C1398,art_ref,0))&amp;"","Référence inconnue"))</f>
        <v/>
      </c>
      <c r="E1398" s="37" t="n"/>
      <c r="F1398" s="39" t="str">
        <f>IF(C1398="","",IFERROR(INDEX(art_unit,MATCH(C1398,art_ref,0))&amp;"",""))</f>
        <v/>
      </c>
      <c r="G1398" s="37" t="n"/>
      <c r="H1398" s="37" t="n"/>
      <c r="I1398" s="37" t="n"/>
      <c r="J1398" s="40" t="str">
        <f>IF(OR(C1398="",NOT(ISNUMBER(E1398))),"",IFERROR(E1398*N(INDEX(art_price,MATCH(C1398,art_ref,0))),""))</f>
        <v/>
      </c>
      <c r="K1398" s="39" t="str">
        <f>IF(OR(C1398="",NOT(ISNUMBER(E1398))),"",IFERROR(ROUND(N(INDEX(art_init,MATCH(C1398,art_ref,0)))+SUMIFS($E$5:E1398,$C$5:C1398,C1398,$B$5:B1398,"Entrée")-SUMIFS($E$5:E1398,$C$5:C1398,C1398,$B$5:B1398,"Sortie"),6),""))</f>
        <v/>
      </c>
      <c r="L1398" s="39" t="str">
        <f>IF(COUNTA(A1398:C1398,E1398)=0,"",IF(COUNTA(A1398:C1398,E1398)&lt;4,"Ligne incomplète",IF(NOT(ISNUMBER(A1398)),"Date invalide",IF(AND(B1398&lt;&gt;"Entrée",B1398&lt;&gt;"Sortie"),"Type inconnu",IF(ISNA(MATCH(C1398,art_ref,0)),"Référence inconnue",IF(OR(NOT(ISNUMBER(E1398)),N(E1398)&lt;=0),"Quantité invalide",IF(K1398&lt;0,"Stock négatif",IF(AND(ISNUMBER(A1397),A1398&lt;A1397),"Date hors ordre","OK"))))))))</f>
        <v/>
      </c>
      <c r="M1398" s="39" t="str">
        <f>IF(C1398="","",C1398&amp;"#"&amp;COUNTIF($C$5:C1398,C1398))</f>
        <v/>
      </c>
    </row>
    <row r="1399">
      <c r="A1399" s="41" t="n"/>
      <c r="B1399" s="37" t="n"/>
      <c r="C1399" s="37" t="n"/>
      <c r="D1399" s="39" t="str">
        <f>IF(C1399="","",IFERROR(INDEX(art_des,MATCH(C1399,art_ref,0))&amp;"","Référence inconnue"))</f>
        <v/>
      </c>
      <c r="E1399" s="37" t="n"/>
      <c r="F1399" s="39" t="str">
        <f>IF(C1399="","",IFERROR(INDEX(art_unit,MATCH(C1399,art_ref,0))&amp;"",""))</f>
        <v/>
      </c>
      <c r="G1399" s="37" t="n"/>
      <c r="H1399" s="37" t="n"/>
      <c r="I1399" s="37" t="n"/>
      <c r="J1399" s="40" t="str">
        <f>IF(OR(C1399="",NOT(ISNUMBER(E1399))),"",IFERROR(E1399*N(INDEX(art_price,MATCH(C1399,art_ref,0))),""))</f>
        <v/>
      </c>
      <c r="K1399" s="39" t="str">
        <f>IF(OR(C1399="",NOT(ISNUMBER(E1399))),"",IFERROR(ROUND(N(INDEX(art_init,MATCH(C1399,art_ref,0)))+SUMIFS($E$5:E1399,$C$5:C1399,C1399,$B$5:B1399,"Entrée")-SUMIFS($E$5:E1399,$C$5:C1399,C1399,$B$5:B1399,"Sortie"),6),""))</f>
        <v/>
      </c>
      <c r="L1399" s="39" t="str">
        <f>IF(COUNTA(A1399:C1399,E1399)=0,"",IF(COUNTA(A1399:C1399,E1399)&lt;4,"Ligne incomplète",IF(NOT(ISNUMBER(A1399)),"Date invalide",IF(AND(B1399&lt;&gt;"Entrée",B1399&lt;&gt;"Sortie"),"Type inconnu",IF(ISNA(MATCH(C1399,art_ref,0)),"Référence inconnue",IF(OR(NOT(ISNUMBER(E1399)),N(E1399)&lt;=0),"Quantité invalide",IF(K1399&lt;0,"Stock négatif",IF(AND(ISNUMBER(A1398),A1399&lt;A1398),"Date hors ordre","OK"))))))))</f>
        <v/>
      </c>
      <c r="M1399" s="39" t="str">
        <f>IF(C1399="","",C1399&amp;"#"&amp;COUNTIF($C$5:C1399,C1399))</f>
        <v/>
      </c>
    </row>
    <row r="1400">
      <c r="A1400" s="41" t="n"/>
      <c r="B1400" s="37" t="n"/>
      <c r="C1400" s="37" t="n"/>
      <c r="D1400" s="39" t="str">
        <f>IF(C1400="","",IFERROR(INDEX(art_des,MATCH(C1400,art_ref,0))&amp;"","Référence inconnue"))</f>
        <v/>
      </c>
      <c r="E1400" s="37" t="n"/>
      <c r="F1400" s="39" t="str">
        <f>IF(C1400="","",IFERROR(INDEX(art_unit,MATCH(C1400,art_ref,0))&amp;"",""))</f>
        <v/>
      </c>
      <c r="G1400" s="37" t="n"/>
      <c r="H1400" s="37" t="n"/>
      <c r="I1400" s="37" t="n"/>
      <c r="J1400" s="40" t="str">
        <f>IF(OR(C1400="",NOT(ISNUMBER(E1400))),"",IFERROR(E1400*N(INDEX(art_price,MATCH(C1400,art_ref,0))),""))</f>
        <v/>
      </c>
      <c r="K1400" s="39" t="str">
        <f>IF(OR(C1400="",NOT(ISNUMBER(E1400))),"",IFERROR(ROUND(N(INDEX(art_init,MATCH(C1400,art_ref,0)))+SUMIFS($E$5:E1400,$C$5:C1400,C1400,$B$5:B1400,"Entrée")-SUMIFS($E$5:E1400,$C$5:C1400,C1400,$B$5:B1400,"Sortie"),6),""))</f>
        <v/>
      </c>
      <c r="L1400" s="39" t="str">
        <f>IF(COUNTA(A1400:C1400,E1400)=0,"",IF(COUNTA(A1400:C1400,E1400)&lt;4,"Ligne incomplète",IF(NOT(ISNUMBER(A1400)),"Date invalide",IF(AND(B1400&lt;&gt;"Entrée",B1400&lt;&gt;"Sortie"),"Type inconnu",IF(ISNA(MATCH(C1400,art_ref,0)),"Référence inconnue",IF(OR(NOT(ISNUMBER(E1400)),N(E1400)&lt;=0),"Quantité invalide",IF(K1400&lt;0,"Stock négatif",IF(AND(ISNUMBER(A1399),A1400&lt;A1399),"Date hors ordre","OK"))))))))</f>
        <v/>
      </c>
      <c r="M1400" s="39" t="str">
        <f>IF(C1400="","",C1400&amp;"#"&amp;COUNTIF($C$5:C1400,C1400))</f>
        <v/>
      </c>
    </row>
    <row r="1401">
      <c r="A1401" s="41" t="n"/>
      <c r="B1401" s="37" t="n"/>
      <c r="C1401" s="37" t="n"/>
      <c r="D1401" s="39" t="str">
        <f>IF(C1401="","",IFERROR(INDEX(art_des,MATCH(C1401,art_ref,0))&amp;"","Référence inconnue"))</f>
        <v/>
      </c>
      <c r="E1401" s="37" t="n"/>
      <c r="F1401" s="39" t="str">
        <f>IF(C1401="","",IFERROR(INDEX(art_unit,MATCH(C1401,art_ref,0))&amp;"",""))</f>
        <v/>
      </c>
      <c r="G1401" s="37" t="n"/>
      <c r="H1401" s="37" t="n"/>
      <c r="I1401" s="37" t="n"/>
      <c r="J1401" s="40" t="str">
        <f>IF(OR(C1401="",NOT(ISNUMBER(E1401))),"",IFERROR(E1401*N(INDEX(art_price,MATCH(C1401,art_ref,0))),""))</f>
        <v/>
      </c>
      <c r="K1401" s="39" t="str">
        <f>IF(OR(C1401="",NOT(ISNUMBER(E1401))),"",IFERROR(ROUND(N(INDEX(art_init,MATCH(C1401,art_ref,0)))+SUMIFS($E$5:E1401,$C$5:C1401,C1401,$B$5:B1401,"Entrée")-SUMIFS($E$5:E1401,$C$5:C1401,C1401,$B$5:B1401,"Sortie"),6),""))</f>
        <v/>
      </c>
      <c r="L1401" s="39" t="str">
        <f>IF(COUNTA(A1401:C1401,E1401)=0,"",IF(COUNTA(A1401:C1401,E1401)&lt;4,"Ligne incomplète",IF(NOT(ISNUMBER(A1401)),"Date invalide",IF(AND(B1401&lt;&gt;"Entrée",B1401&lt;&gt;"Sortie"),"Type inconnu",IF(ISNA(MATCH(C1401,art_ref,0)),"Référence inconnue",IF(OR(NOT(ISNUMBER(E1401)),N(E1401)&lt;=0),"Quantité invalide",IF(K1401&lt;0,"Stock négatif",IF(AND(ISNUMBER(A1400),A1401&lt;A1400),"Date hors ordre","OK"))))))))</f>
        <v/>
      </c>
      <c r="M1401" s="39" t="str">
        <f>IF(C1401="","",C1401&amp;"#"&amp;COUNTIF($C$5:C1401,C1401))</f>
        <v/>
      </c>
    </row>
    <row r="1402">
      <c r="A1402" s="41" t="n"/>
      <c r="B1402" s="37" t="n"/>
      <c r="C1402" s="37" t="n"/>
      <c r="D1402" s="39" t="str">
        <f>IF(C1402="","",IFERROR(INDEX(art_des,MATCH(C1402,art_ref,0))&amp;"","Référence inconnue"))</f>
        <v/>
      </c>
      <c r="E1402" s="37" t="n"/>
      <c r="F1402" s="39" t="str">
        <f>IF(C1402="","",IFERROR(INDEX(art_unit,MATCH(C1402,art_ref,0))&amp;"",""))</f>
        <v/>
      </c>
      <c r="G1402" s="37" t="n"/>
      <c r="H1402" s="37" t="n"/>
      <c r="I1402" s="37" t="n"/>
      <c r="J1402" s="40" t="str">
        <f>IF(OR(C1402="",NOT(ISNUMBER(E1402))),"",IFERROR(E1402*N(INDEX(art_price,MATCH(C1402,art_ref,0))),""))</f>
        <v/>
      </c>
      <c r="K1402" s="39" t="str">
        <f>IF(OR(C1402="",NOT(ISNUMBER(E1402))),"",IFERROR(ROUND(N(INDEX(art_init,MATCH(C1402,art_ref,0)))+SUMIFS($E$5:E1402,$C$5:C1402,C1402,$B$5:B1402,"Entrée")-SUMIFS($E$5:E1402,$C$5:C1402,C1402,$B$5:B1402,"Sortie"),6),""))</f>
        <v/>
      </c>
      <c r="L1402" s="39" t="str">
        <f>IF(COUNTA(A1402:C1402,E1402)=0,"",IF(COUNTA(A1402:C1402,E1402)&lt;4,"Ligne incomplète",IF(NOT(ISNUMBER(A1402)),"Date invalide",IF(AND(B1402&lt;&gt;"Entrée",B1402&lt;&gt;"Sortie"),"Type inconnu",IF(ISNA(MATCH(C1402,art_ref,0)),"Référence inconnue",IF(OR(NOT(ISNUMBER(E1402)),N(E1402)&lt;=0),"Quantité invalide",IF(K1402&lt;0,"Stock négatif",IF(AND(ISNUMBER(A1401),A1402&lt;A1401),"Date hors ordre","OK"))))))))</f>
        <v/>
      </c>
      <c r="M1402" s="39" t="str">
        <f>IF(C1402="","",C1402&amp;"#"&amp;COUNTIF($C$5:C1402,C1402))</f>
        <v/>
      </c>
    </row>
    <row r="1403">
      <c r="A1403" s="41" t="n"/>
      <c r="B1403" s="37" t="n"/>
      <c r="C1403" s="37" t="n"/>
      <c r="D1403" s="39" t="str">
        <f>IF(C1403="","",IFERROR(INDEX(art_des,MATCH(C1403,art_ref,0))&amp;"","Référence inconnue"))</f>
        <v/>
      </c>
      <c r="E1403" s="37" t="n"/>
      <c r="F1403" s="39" t="str">
        <f>IF(C1403="","",IFERROR(INDEX(art_unit,MATCH(C1403,art_ref,0))&amp;"",""))</f>
        <v/>
      </c>
      <c r="G1403" s="37" t="n"/>
      <c r="H1403" s="37" t="n"/>
      <c r="I1403" s="37" t="n"/>
      <c r="J1403" s="40" t="str">
        <f>IF(OR(C1403="",NOT(ISNUMBER(E1403))),"",IFERROR(E1403*N(INDEX(art_price,MATCH(C1403,art_ref,0))),""))</f>
        <v/>
      </c>
      <c r="K1403" s="39" t="str">
        <f>IF(OR(C1403="",NOT(ISNUMBER(E1403))),"",IFERROR(ROUND(N(INDEX(art_init,MATCH(C1403,art_ref,0)))+SUMIFS($E$5:E1403,$C$5:C1403,C1403,$B$5:B1403,"Entrée")-SUMIFS($E$5:E1403,$C$5:C1403,C1403,$B$5:B1403,"Sortie"),6),""))</f>
        <v/>
      </c>
      <c r="L1403" s="39" t="str">
        <f>IF(COUNTA(A1403:C1403,E1403)=0,"",IF(COUNTA(A1403:C1403,E1403)&lt;4,"Ligne incomplète",IF(NOT(ISNUMBER(A1403)),"Date invalide",IF(AND(B1403&lt;&gt;"Entrée",B1403&lt;&gt;"Sortie"),"Type inconnu",IF(ISNA(MATCH(C1403,art_ref,0)),"Référence inconnue",IF(OR(NOT(ISNUMBER(E1403)),N(E1403)&lt;=0),"Quantité invalide",IF(K1403&lt;0,"Stock négatif",IF(AND(ISNUMBER(A1402),A1403&lt;A1402),"Date hors ordre","OK"))))))))</f>
        <v/>
      </c>
      <c r="M1403" s="39" t="str">
        <f>IF(C1403="","",C1403&amp;"#"&amp;COUNTIF($C$5:C1403,C1403))</f>
        <v/>
      </c>
    </row>
    <row r="1404">
      <c r="A1404" s="41" t="n"/>
      <c r="B1404" s="37" t="n"/>
      <c r="C1404" s="37" t="n"/>
      <c r="D1404" s="39" t="str">
        <f>IF(C1404="","",IFERROR(INDEX(art_des,MATCH(C1404,art_ref,0))&amp;"","Référence inconnue"))</f>
        <v/>
      </c>
      <c r="E1404" s="37" t="n"/>
      <c r="F1404" s="39" t="str">
        <f>IF(C1404="","",IFERROR(INDEX(art_unit,MATCH(C1404,art_ref,0))&amp;"",""))</f>
        <v/>
      </c>
      <c r="G1404" s="37" t="n"/>
      <c r="H1404" s="37" t="n"/>
      <c r="I1404" s="37" t="n"/>
      <c r="J1404" s="40" t="str">
        <f>IF(OR(C1404="",NOT(ISNUMBER(E1404))),"",IFERROR(E1404*N(INDEX(art_price,MATCH(C1404,art_ref,0))),""))</f>
        <v/>
      </c>
      <c r="K1404" s="39" t="str">
        <f>IF(OR(C1404="",NOT(ISNUMBER(E1404))),"",IFERROR(ROUND(N(INDEX(art_init,MATCH(C1404,art_ref,0)))+SUMIFS($E$5:E1404,$C$5:C1404,C1404,$B$5:B1404,"Entrée")-SUMIFS($E$5:E1404,$C$5:C1404,C1404,$B$5:B1404,"Sortie"),6),""))</f>
        <v/>
      </c>
      <c r="L1404" s="39" t="str">
        <f>IF(COUNTA(A1404:C1404,E1404)=0,"",IF(COUNTA(A1404:C1404,E1404)&lt;4,"Ligne incomplète",IF(NOT(ISNUMBER(A1404)),"Date invalide",IF(AND(B1404&lt;&gt;"Entrée",B1404&lt;&gt;"Sortie"),"Type inconnu",IF(ISNA(MATCH(C1404,art_ref,0)),"Référence inconnue",IF(OR(NOT(ISNUMBER(E1404)),N(E1404)&lt;=0),"Quantité invalide",IF(K1404&lt;0,"Stock négatif",IF(AND(ISNUMBER(A1403),A1404&lt;A1403),"Date hors ordre","OK"))))))))</f>
        <v/>
      </c>
      <c r="M1404" s="39" t="str">
        <f>IF(C1404="","",C1404&amp;"#"&amp;COUNTIF($C$5:C1404,C1404))</f>
        <v/>
      </c>
    </row>
    <row r="1405">
      <c r="A1405" s="41" t="n"/>
      <c r="B1405" s="37" t="n"/>
      <c r="C1405" s="37" t="n"/>
      <c r="D1405" s="39" t="str">
        <f>IF(C1405="","",IFERROR(INDEX(art_des,MATCH(C1405,art_ref,0))&amp;"","Référence inconnue"))</f>
        <v/>
      </c>
      <c r="E1405" s="37" t="n"/>
      <c r="F1405" s="39" t="str">
        <f>IF(C1405="","",IFERROR(INDEX(art_unit,MATCH(C1405,art_ref,0))&amp;"",""))</f>
        <v/>
      </c>
      <c r="G1405" s="37" t="n"/>
      <c r="H1405" s="37" t="n"/>
      <c r="I1405" s="37" t="n"/>
      <c r="J1405" s="40" t="str">
        <f>IF(OR(C1405="",NOT(ISNUMBER(E1405))),"",IFERROR(E1405*N(INDEX(art_price,MATCH(C1405,art_ref,0))),""))</f>
        <v/>
      </c>
      <c r="K1405" s="39" t="str">
        <f>IF(OR(C1405="",NOT(ISNUMBER(E1405))),"",IFERROR(ROUND(N(INDEX(art_init,MATCH(C1405,art_ref,0)))+SUMIFS($E$5:E1405,$C$5:C1405,C1405,$B$5:B1405,"Entrée")-SUMIFS($E$5:E1405,$C$5:C1405,C1405,$B$5:B1405,"Sortie"),6),""))</f>
        <v/>
      </c>
      <c r="L1405" s="39" t="str">
        <f>IF(COUNTA(A1405:C1405,E1405)=0,"",IF(COUNTA(A1405:C1405,E1405)&lt;4,"Ligne incomplète",IF(NOT(ISNUMBER(A1405)),"Date invalide",IF(AND(B1405&lt;&gt;"Entrée",B1405&lt;&gt;"Sortie"),"Type inconnu",IF(ISNA(MATCH(C1405,art_ref,0)),"Référence inconnue",IF(OR(NOT(ISNUMBER(E1405)),N(E1405)&lt;=0),"Quantité invalide",IF(K1405&lt;0,"Stock négatif",IF(AND(ISNUMBER(A1404),A1405&lt;A1404),"Date hors ordre","OK"))))))))</f>
        <v/>
      </c>
      <c r="M1405" s="39" t="str">
        <f>IF(C1405="","",C1405&amp;"#"&amp;COUNTIF($C$5:C1405,C1405))</f>
        <v/>
      </c>
    </row>
    <row r="1406">
      <c r="A1406" s="41" t="n"/>
      <c r="B1406" s="37" t="n"/>
      <c r="C1406" s="37" t="n"/>
      <c r="D1406" s="39" t="str">
        <f>IF(C1406="","",IFERROR(INDEX(art_des,MATCH(C1406,art_ref,0))&amp;"","Référence inconnue"))</f>
        <v/>
      </c>
      <c r="E1406" s="37" t="n"/>
      <c r="F1406" s="39" t="str">
        <f>IF(C1406="","",IFERROR(INDEX(art_unit,MATCH(C1406,art_ref,0))&amp;"",""))</f>
        <v/>
      </c>
      <c r="G1406" s="37" t="n"/>
      <c r="H1406" s="37" t="n"/>
      <c r="I1406" s="37" t="n"/>
      <c r="J1406" s="40" t="str">
        <f>IF(OR(C1406="",NOT(ISNUMBER(E1406))),"",IFERROR(E1406*N(INDEX(art_price,MATCH(C1406,art_ref,0))),""))</f>
        <v/>
      </c>
      <c r="K1406" s="39" t="str">
        <f>IF(OR(C1406="",NOT(ISNUMBER(E1406))),"",IFERROR(ROUND(N(INDEX(art_init,MATCH(C1406,art_ref,0)))+SUMIFS($E$5:E1406,$C$5:C1406,C1406,$B$5:B1406,"Entrée")-SUMIFS($E$5:E1406,$C$5:C1406,C1406,$B$5:B1406,"Sortie"),6),""))</f>
        <v/>
      </c>
      <c r="L1406" s="39" t="str">
        <f>IF(COUNTA(A1406:C1406,E1406)=0,"",IF(COUNTA(A1406:C1406,E1406)&lt;4,"Ligne incomplète",IF(NOT(ISNUMBER(A1406)),"Date invalide",IF(AND(B1406&lt;&gt;"Entrée",B1406&lt;&gt;"Sortie"),"Type inconnu",IF(ISNA(MATCH(C1406,art_ref,0)),"Référence inconnue",IF(OR(NOT(ISNUMBER(E1406)),N(E1406)&lt;=0),"Quantité invalide",IF(K1406&lt;0,"Stock négatif",IF(AND(ISNUMBER(A1405),A1406&lt;A1405),"Date hors ordre","OK"))))))))</f>
        <v/>
      </c>
      <c r="M1406" s="39" t="str">
        <f>IF(C1406="","",C1406&amp;"#"&amp;COUNTIF($C$5:C1406,C1406))</f>
        <v/>
      </c>
    </row>
    <row r="1407">
      <c r="A1407" s="41" t="n"/>
      <c r="B1407" s="37" t="n"/>
      <c r="C1407" s="37" t="n"/>
      <c r="D1407" s="39" t="str">
        <f>IF(C1407="","",IFERROR(INDEX(art_des,MATCH(C1407,art_ref,0))&amp;"","Référence inconnue"))</f>
        <v/>
      </c>
      <c r="E1407" s="37" t="n"/>
      <c r="F1407" s="39" t="str">
        <f>IF(C1407="","",IFERROR(INDEX(art_unit,MATCH(C1407,art_ref,0))&amp;"",""))</f>
        <v/>
      </c>
      <c r="G1407" s="37" t="n"/>
      <c r="H1407" s="37" t="n"/>
      <c r="I1407" s="37" t="n"/>
      <c r="J1407" s="40" t="str">
        <f>IF(OR(C1407="",NOT(ISNUMBER(E1407))),"",IFERROR(E1407*N(INDEX(art_price,MATCH(C1407,art_ref,0))),""))</f>
        <v/>
      </c>
      <c r="K1407" s="39" t="str">
        <f>IF(OR(C1407="",NOT(ISNUMBER(E1407))),"",IFERROR(ROUND(N(INDEX(art_init,MATCH(C1407,art_ref,0)))+SUMIFS($E$5:E1407,$C$5:C1407,C1407,$B$5:B1407,"Entrée")-SUMIFS($E$5:E1407,$C$5:C1407,C1407,$B$5:B1407,"Sortie"),6),""))</f>
        <v/>
      </c>
      <c r="L1407" s="39" t="str">
        <f>IF(COUNTA(A1407:C1407,E1407)=0,"",IF(COUNTA(A1407:C1407,E1407)&lt;4,"Ligne incomplète",IF(NOT(ISNUMBER(A1407)),"Date invalide",IF(AND(B1407&lt;&gt;"Entrée",B1407&lt;&gt;"Sortie"),"Type inconnu",IF(ISNA(MATCH(C1407,art_ref,0)),"Référence inconnue",IF(OR(NOT(ISNUMBER(E1407)),N(E1407)&lt;=0),"Quantité invalide",IF(K1407&lt;0,"Stock négatif",IF(AND(ISNUMBER(A1406),A1407&lt;A1406),"Date hors ordre","OK"))))))))</f>
        <v/>
      </c>
      <c r="M1407" s="39" t="str">
        <f>IF(C1407="","",C1407&amp;"#"&amp;COUNTIF($C$5:C1407,C1407))</f>
        <v/>
      </c>
    </row>
    <row r="1408">
      <c r="A1408" s="41" t="n"/>
      <c r="B1408" s="37" t="n"/>
      <c r="C1408" s="37" t="n"/>
      <c r="D1408" s="39" t="str">
        <f>IF(C1408="","",IFERROR(INDEX(art_des,MATCH(C1408,art_ref,0))&amp;"","Référence inconnue"))</f>
        <v/>
      </c>
      <c r="E1408" s="37" t="n"/>
      <c r="F1408" s="39" t="str">
        <f>IF(C1408="","",IFERROR(INDEX(art_unit,MATCH(C1408,art_ref,0))&amp;"",""))</f>
        <v/>
      </c>
      <c r="G1408" s="37" t="n"/>
      <c r="H1408" s="37" t="n"/>
      <c r="I1408" s="37" t="n"/>
      <c r="J1408" s="40" t="str">
        <f>IF(OR(C1408="",NOT(ISNUMBER(E1408))),"",IFERROR(E1408*N(INDEX(art_price,MATCH(C1408,art_ref,0))),""))</f>
        <v/>
      </c>
      <c r="K1408" s="39" t="str">
        <f>IF(OR(C1408="",NOT(ISNUMBER(E1408))),"",IFERROR(ROUND(N(INDEX(art_init,MATCH(C1408,art_ref,0)))+SUMIFS($E$5:E1408,$C$5:C1408,C1408,$B$5:B1408,"Entrée")-SUMIFS($E$5:E1408,$C$5:C1408,C1408,$B$5:B1408,"Sortie"),6),""))</f>
        <v/>
      </c>
      <c r="L1408" s="39" t="str">
        <f>IF(COUNTA(A1408:C1408,E1408)=0,"",IF(COUNTA(A1408:C1408,E1408)&lt;4,"Ligne incomplète",IF(NOT(ISNUMBER(A1408)),"Date invalide",IF(AND(B1408&lt;&gt;"Entrée",B1408&lt;&gt;"Sortie"),"Type inconnu",IF(ISNA(MATCH(C1408,art_ref,0)),"Référence inconnue",IF(OR(NOT(ISNUMBER(E1408)),N(E1408)&lt;=0),"Quantité invalide",IF(K1408&lt;0,"Stock négatif",IF(AND(ISNUMBER(A1407),A1408&lt;A1407),"Date hors ordre","OK"))))))))</f>
        <v/>
      </c>
      <c r="M1408" s="39" t="str">
        <f>IF(C1408="","",C1408&amp;"#"&amp;COUNTIF($C$5:C1408,C1408))</f>
        <v/>
      </c>
    </row>
    <row r="1409">
      <c r="A1409" s="41" t="n"/>
      <c r="B1409" s="37" t="n"/>
      <c r="C1409" s="37" t="n"/>
      <c r="D1409" s="39" t="str">
        <f>IF(C1409="","",IFERROR(INDEX(art_des,MATCH(C1409,art_ref,0))&amp;"","Référence inconnue"))</f>
        <v/>
      </c>
      <c r="E1409" s="37" t="n"/>
      <c r="F1409" s="39" t="str">
        <f>IF(C1409="","",IFERROR(INDEX(art_unit,MATCH(C1409,art_ref,0))&amp;"",""))</f>
        <v/>
      </c>
      <c r="G1409" s="37" t="n"/>
      <c r="H1409" s="37" t="n"/>
      <c r="I1409" s="37" t="n"/>
      <c r="J1409" s="40" t="str">
        <f>IF(OR(C1409="",NOT(ISNUMBER(E1409))),"",IFERROR(E1409*N(INDEX(art_price,MATCH(C1409,art_ref,0))),""))</f>
        <v/>
      </c>
      <c r="K1409" s="39" t="str">
        <f>IF(OR(C1409="",NOT(ISNUMBER(E1409))),"",IFERROR(ROUND(N(INDEX(art_init,MATCH(C1409,art_ref,0)))+SUMIFS($E$5:E1409,$C$5:C1409,C1409,$B$5:B1409,"Entrée")-SUMIFS($E$5:E1409,$C$5:C1409,C1409,$B$5:B1409,"Sortie"),6),""))</f>
        <v/>
      </c>
      <c r="L1409" s="39" t="str">
        <f>IF(COUNTA(A1409:C1409,E1409)=0,"",IF(COUNTA(A1409:C1409,E1409)&lt;4,"Ligne incomplète",IF(NOT(ISNUMBER(A1409)),"Date invalide",IF(AND(B1409&lt;&gt;"Entrée",B1409&lt;&gt;"Sortie"),"Type inconnu",IF(ISNA(MATCH(C1409,art_ref,0)),"Référence inconnue",IF(OR(NOT(ISNUMBER(E1409)),N(E1409)&lt;=0),"Quantité invalide",IF(K1409&lt;0,"Stock négatif",IF(AND(ISNUMBER(A1408),A1409&lt;A1408),"Date hors ordre","OK"))))))))</f>
        <v/>
      </c>
      <c r="M1409" s="39" t="str">
        <f>IF(C1409="","",C1409&amp;"#"&amp;COUNTIF($C$5:C1409,C1409))</f>
        <v/>
      </c>
    </row>
    <row r="1410">
      <c r="A1410" s="41" t="n"/>
      <c r="B1410" s="37" t="n"/>
      <c r="C1410" s="37" t="n"/>
      <c r="D1410" s="39" t="str">
        <f>IF(C1410="","",IFERROR(INDEX(art_des,MATCH(C1410,art_ref,0))&amp;"","Référence inconnue"))</f>
        <v/>
      </c>
      <c r="E1410" s="37" t="n"/>
      <c r="F1410" s="39" t="str">
        <f>IF(C1410="","",IFERROR(INDEX(art_unit,MATCH(C1410,art_ref,0))&amp;"",""))</f>
        <v/>
      </c>
      <c r="G1410" s="37" t="n"/>
      <c r="H1410" s="37" t="n"/>
      <c r="I1410" s="37" t="n"/>
      <c r="J1410" s="40" t="str">
        <f>IF(OR(C1410="",NOT(ISNUMBER(E1410))),"",IFERROR(E1410*N(INDEX(art_price,MATCH(C1410,art_ref,0))),""))</f>
        <v/>
      </c>
      <c r="K1410" s="39" t="str">
        <f>IF(OR(C1410="",NOT(ISNUMBER(E1410))),"",IFERROR(ROUND(N(INDEX(art_init,MATCH(C1410,art_ref,0)))+SUMIFS($E$5:E1410,$C$5:C1410,C1410,$B$5:B1410,"Entrée")-SUMIFS($E$5:E1410,$C$5:C1410,C1410,$B$5:B1410,"Sortie"),6),""))</f>
        <v/>
      </c>
      <c r="L1410" s="39" t="str">
        <f>IF(COUNTA(A1410:C1410,E1410)=0,"",IF(COUNTA(A1410:C1410,E1410)&lt;4,"Ligne incomplète",IF(NOT(ISNUMBER(A1410)),"Date invalide",IF(AND(B1410&lt;&gt;"Entrée",B1410&lt;&gt;"Sortie"),"Type inconnu",IF(ISNA(MATCH(C1410,art_ref,0)),"Référence inconnue",IF(OR(NOT(ISNUMBER(E1410)),N(E1410)&lt;=0),"Quantité invalide",IF(K1410&lt;0,"Stock négatif",IF(AND(ISNUMBER(A1409),A1410&lt;A1409),"Date hors ordre","OK"))))))))</f>
        <v/>
      </c>
      <c r="M1410" s="39" t="str">
        <f>IF(C1410="","",C1410&amp;"#"&amp;COUNTIF($C$5:C1410,C1410))</f>
        <v/>
      </c>
    </row>
    <row r="1411">
      <c r="A1411" s="41" t="n"/>
      <c r="B1411" s="37" t="n"/>
      <c r="C1411" s="37" t="n"/>
      <c r="D1411" s="39" t="str">
        <f>IF(C1411="","",IFERROR(INDEX(art_des,MATCH(C1411,art_ref,0))&amp;"","Référence inconnue"))</f>
        <v/>
      </c>
      <c r="E1411" s="37" t="n"/>
      <c r="F1411" s="39" t="str">
        <f>IF(C1411="","",IFERROR(INDEX(art_unit,MATCH(C1411,art_ref,0))&amp;"",""))</f>
        <v/>
      </c>
      <c r="G1411" s="37" t="n"/>
      <c r="H1411" s="37" t="n"/>
      <c r="I1411" s="37" t="n"/>
      <c r="J1411" s="40" t="str">
        <f>IF(OR(C1411="",NOT(ISNUMBER(E1411))),"",IFERROR(E1411*N(INDEX(art_price,MATCH(C1411,art_ref,0))),""))</f>
        <v/>
      </c>
      <c r="K1411" s="39" t="str">
        <f>IF(OR(C1411="",NOT(ISNUMBER(E1411))),"",IFERROR(ROUND(N(INDEX(art_init,MATCH(C1411,art_ref,0)))+SUMIFS($E$5:E1411,$C$5:C1411,C1411,$B$5:B1411,"Entrée")-SUMIFS($E$5:E1411,$C$5:C1411,C1411,$B$5:B1411,"Sortie"),6),""))</f>
        <v/>
      </c>
      <c r="L1411" s="39" t="str">
        <f>IF(COUNTA(A1411:C1411,E1411)=0,"",IF(COUNTA(A1411:C1411,E1411)&lt;4,"Ligne incomplète",IF(NOT(ISNUMBER(A1411)),"Date invalide",IF(AND(B1411&lt;&gt;"Entrée",B1411&lt;&gt;"Sortie"),"Type inconnu",IF(ISNA(MATCH(C1411,art_ref,0)),"Référence inconnue",IF(OR(NOT(ISNUMBER(E1411)),N(E1411)&lt;=0),"Quantité invalide",IF(K1411&lt;0,"Stock négatif",IF(AND(ISNUMBER(A1410),A1411&lt;A1410),"Date hors ordre","OK"))))))))</f>
        <v/>
      </c>
      <c r="M1411" s="39" t="str">
        <f>IF(C1411="","",C1411&amp;"#"&amp;COUNTIF($C$5:C1411,C1411))</f>
        <v/>
      </c>
    </row>
    <row r="1412">
      <c r="A1412" s="41" t="n"/>
      <c r="B1412" s="37" t="n"/>
      <c r="C1412" s="37" t="n"/>
      <c r="D1412" s="39" t="str">
        <f>IF(C1412="","",IFERROR(INDEX(art_des,MATCH(C1412,art_ref,0))&amp;"","Référence inconnue"))</f>
        <v/>
      </c>
      <c r="E1412" s="37" t="n"/>
      <c r="F1412" s="39" t="str">
        <f>IF(C1412="","",IFERROR(INDEX(art_unit,MATCH(C1412,art_ref,0))&amp;"",""))</f>
        <v/>
      </c>
      <c r="G1412" s="37" t="n"/>
      <c r="H1412" s="37" t="n"/>
      <c r="I1412" s="37" t="n"/>
      <c r="J1412" s="40" t="str">
        <f>IF(OR(C1412="",NOT(ISNUMBER(E1412))),"",IFERROR(E1412*N(INDEX(art_price,MATCH(C1412,art_ref,0))),""))</f>
        <v/>
      </c>
      <c r="K1412" s="39" t="str">
        <f>IF(OR(C1412="",NOT(ISNUMBER(E1412))),"",IFERROR(ROUND(N(INDEX(art_init,MATCH(C1412,art_ref,0)))+SUMIFS($E$5:E1412,$C$5:C1412,C1412,$B$5:B1412,"Entrée")-SUMIFS($E$5:E1412,$C$5:C1412,C1412,$B$5:B1412,"Sortie"),6),""))</f>
        <v/>
      </c>
      <c r="L1412" s="39" t="str">
        <f>IF(COUNTA(A1412:C1412,E1412)=0,"",IF(COUNTA(A1412:C1412,E1412)&lt;4,"Ligne incomplète",IF(NOT(ISNUMBER(A1412)),"Date invalide",IF(AND(B1412&lt;&gt;"Entrée",B1412&lt;&gt;"Sortie"),"Type inconnu",IF(ISNA(MATCH(C1412,art_ref,0)),"Référence inconnue",IF(OR(NOT(ISNUMBER(E1412)),N(E1412)&lt;=0),"Quantité invalide",IF(K1412&lt;0,"Stock négatif",IF(AND(ISNUMBER(A1411),A1412&lt;A1411),"Date hors ordre","OK"))))))))</f>
        <v/>
      </c>
      <c r="M1412" s="39" t="str">
        <f>IF(C1412="","",C1412&amp;"#"&amp;COUNTIF($C$5:C1412,C1412))</f>
        <v/>
      </c>
    </row>
    <row r="1413">
      <c r="A1413" s="41" t="n"/>
      <c r="B1413" s="37" t="n"/>
      <c r="C1413" s="37" t="n"/>
      <c r="D1413" s="39" t="str">
        <f>IF(C1413="","",IFERROR(INDEX(art_des,MATCH(C1413,art_ref,0))&amp;"","Référence inconnue"))</f>
        <v/>
      </c>
      <c r="E1413" s="37" t="n"/>
      <c r="F1413" s="39" t="str">
        <f>IF(C1413="","",IFERROR(INDEX(art_unit,MATCH(C1413,art_ref,0))&amp;"",""))</f>
        <v/>
      </c>
      <c r="G1413" s="37" t="n"/>
      <c r="H1413" s="37" t="n"/>
      <c r="I1413" s="37" t="n"/>
      <c r="J1413" s="40" t="str">
        <f>IF(OR(C1413="",NOT(ISNUMBER(E1413))),"",IFERROR(E1413*N(INDEX(art_price,MATCH(C1413,art_ref,0))),""))</f>
        <v/>
      </c>
      <c r="K1413" s="39" t="str">
        <f>IF(OR(C1413="",NOT(ISNUMBER(E1413))),"",IFERROR(ROUND(N(INDEX(art_init,MATCH(C1413,art_ref,0)))+SUMIFS($E$5:E1413,$C$5:C1413,C1413,$B$5:B1413,"Entrée")-SUMIFS($E$5:E1413,$C$5:C1413,C1413,$B$5:B1413,"Sortie"),6),""))</f>
        <v/>
      </c>
      <c r="L1413" s="39" t="str">
        <f>IF(COUNTA(A1413:C1413,E1413)=0,"",IF(COUNTA(A1413:C1413,E1413)&lt;4,"Ligne incomplète",IF(NOT(ISNUMBER(A1413)),"Date invalide",IF(AND(B1413&lt;&gt;"Entrée",B1413&lt;&gt;"Sortie"),"Type inconnu",IF(ISNA(MATCH(C1413,art_ref,0)),"Référence inconnue",IF(OR(NOT(ISNUMBER(E1413)),N(E1413)&lt;=0),"Quantité invalide",IF(K1413&lt;0,"Stock négatif",IF(AND(ISNUMBER(A1412),A1413&lt;A1412),"Date hors ordre","OK"))))))))</f>
        <v/>
      </c>
      <c r="M1413" s="39" t="str">
        <f>IF(C1413="","",C1413&amp;"#"&amp;COUNTIF($C$5:C1413,C1413))</f>
        <v/>
      </c>
    </row>
    <row r="1414">
      <c r="A1414" s="41" t="n"/>
      <c r="B1414" s="37" t="n"/>
      <c r="C1414" s="37" t="n"/>
      <c r="D1414" s="39" t="str">
        <f>IF(C1414="","",IFERROR(INDEX(art_des,MATCH(C1414,art_ref,0))&amp;"","Référence inconnue"))</f>
        <v/>
      </c>
      <c r="E1414" s="37" t="n"/>
      <c r="F1414" s="39" t="str">
        <f>IF(C1414="","",IFERROR(INDEX(art_unit,MATCH(C1414,art_ref,0))&amp;"",""))</f>
        <v/>
      </c>
      <c r="G1414" s="37" t="n"/>
      <c r="H1414" s="37" t="n"/>
      <c r="I1414" s="37" t="n"/>
      <c r="J1414" s="40" t="str">
        <f>IF(OR(C1414="",NOT(ISNUMBER(E1414))),"",IFERROR(E1414*N(INDEX(art_price,MATCH(C1414,art_ref,0))),""))</f>
        <v/>
      </c>
      <c r="K1414" s="39" t="str">
        <f>IF(OR(C1414="",NOT(ISNUMBER(E1414))),"",IFERROR(ROUND(N(INDEX(art_init,MATCH(C1414,art_ref,0)))+SUMIFS($E$5:E1414,$C$5:C1414,C1414,$B$5:B1414,"Entrée")-SUMIFS($E$5:E1414,$C$5:C1414,C1414,$B$5:B1414,"Sortie"),6),""))</f>
        <v/>
      </c>
      <c r="L1414" s="39" t="str">
        <f>IF(COUNTA(A1414:C1414,E1414)=0,"",IF(COUNTA(A1414:C1414,E1414)&lt;4,"Ligne incomplète",IF(NOT(ISNUMBER(A1414)),"Date invalide",IF(AND(B1414&lt;&gt;"Entrée",B1414&lt;&gt;"Sortie"),"Type inconnu",IF(ISNA(MATCH(C1414,art_ref,0)),"Référence inconnue",IF(OR(NOT(ISNUMBER(E1414)),N(E1414)&lt;=0),"Quantité invalide",IF(K1414&lt;0,"Stock négatif",IF(AND(ISNUMBER(A1413),A1414&lt;A1413),"Date hors ordre","OK"))))))))</f>
        <v/>
      </c>
      <c r="M1414" s="39" t="str">
        <f>IF(C1414="","",C1414&amp;"#"&amp;COUNTIF($C$5:C1414,C1414))</f>
        <v/>
      </c>
    </row>
    <row r="1415">
      <c r="A1415" s="41" t="n"/>
      <c r="B1415" s="37" t="n"/>
      <c r="C1415" s="37" t="n"/>
      <c r="D1415" s="39" t="str">
        <f>IF(C1415="","",IFERROR(INDEX(art_des,MATCH(C1415,art_ref,0))&amp;"","Référence inconnue"))</f>
        <v/>
      </c>
      <c r="E1415" s="37" t="n"/>
      <c r="F1415" s="39" t="str">
        <f>IF(C1415="","",IFERROR(INDEX(art_unit,MATCH(C1415,art_ref,0))&amp;"",""))</f>
        <v/>
      </c>
      <c r="G1415" s="37" t="n"/>
      <c r="H1415" s="37" t="n"/>
      <c r="I1415" s="37" t="n"/>
      <c r="J1415" s="40" t="str">
        <f>IF(OR(C1415="",NOT(ISNUMBER(E1415))),"",IFERROR(E1415*N(INDEX(art_price,MATCH(C1415,art_ref,0))),""))</f>
        <v/>
      </c>
      <c r="K1415" s="39" t="str">
        <f>IF(OR(C1415="",NOT(ISNUMBER(E1415))),"",IFERROR(ROUND(N(INDEX(art_init,MATCH(C1415,art_ref,0)))+SUMIFS($E$5:E1415,$C$5:C1415,C1415,$B$5:B1415,"Entrée")-SUMIFS($E$5:E1415,$C$5:C1415,C1415,$B$5:B1415,"Sortie"),6),""))</f>
        <v/>
      </c>
      <c r="L1415" s="39" t="str">
        <f>IF(COUNTA(A1415:C1415,E1415)=0,"",IF(COUNTA(A1415:C1415,E1415)&lt;4,"Ligne incomplète",IF(NOT(ISNUMBER(A1415)),"Date invalide",IF(AND(B1415&lt;&gt;"Entrée",B1415&lt;&gt;"Sortie"),"Type inconnu",IF(ISNA(MATCH(C1415,art_ref,0)),"Référence inconnue",IF(OR(NOT(ISNUMBER(E1415)),N(E1415)&lt;=0),"Quantité invalide",IF(K1415&lt;0,"Stock négatif",IF(AND(ISNUMBER(A1414),A1415&lt;A1414),"Date hors ordre","OK"))))))))</f>
        <v/>
      </c>
      <c r="M1415" s="39" t="str">
        <f>IF(C1415="","",C1415&amp;"#"&amp;COUNTIF($C$5:C1415,C1415))</f>
        <v/>
      </c>
    </row>
    <row r="1416">
      <c r="A1416" s="41" t="n"/>
      <c r="B1416" s="37" t="n"/>
      <c r="C1416" s="37" t="n"/>
      <c r="D1416" s="39" t="str">
        <f>IF(C1416="","",IFERROR(INDEX(art_des,MATCH(C1416,art_ref,0))&amp;"","Référence inconnue"))</f>
        <v/>
      </c>
      <c r="E1416" s="37" t="n"/>
      <c r="F1416" s="39" t="str">
        <f>IF(C1416="","",IFERROR(INDEX(art_unit,MATCH(C1416,art_ref,0))&amp;"",""))</f>
        <v/>
      </c>
      <c r="G1416" s="37" t="n"/>
      <c r="H1416" s="37" t="n"/>
      <c r="I1416" s="37" t="n"/>
      <c r="J1416" s="40" t="str">
        <f>IF(OR(C1416="",NOT(ISNUMBER(E1416))),"",IFERROR(E1416*N(INDEX(art_price,MATCH(C1416,art_ref,0))),""))</f>
        <v/>
      </c>
      <c r="K1416" s="39" t="str">
        <f>IF(OR(C1416="",NOT(ISNUMBER(E1416))),"",IFERROR(ROUND(N(INDEX(art_init,MATCH(C1416,art_ref,0)))+SUMIFS($E$5:E1416,$C$5:C1416,C1416,$B$5:B1416,"Entrée")-SUMIFS($E$5:E1416,$C$5:C1416,C1416,$B$5:B1416,"Sortie"),6),""))</f>
        <v/>
      </c>
      <c r="L1416" s="39" t="str">
        <f>IF(COUNTA(A1416:C1416,E1416)=0,"",IF(COUNTA(A1416:C1416,E1416)&lt;4,"Ligne incomplète",IF(NOT(ISNUMBER(A1416)),"Date invalide",IF(AND(B1416&lt;&gt;"Entrée",B1416&lt;&gt;"Sortie"),"Type inconnu",IF(ISNA(MATCH(C1416,art_ref,0)),"Référence inconnue",IF(OR(NOT(ISNUMBER(E1416)),N(E1416)&lt;=0),"Quantité invalide",IF(K1416&lt;0,"Stock négatif",IF(AND(ISNUMBER(A1415),A1416&lt;A1415),"Date hors ordre","OK"))))))))</f>
        <v/>
      </c>
      <c r="M1416" s="39" t="str">
        <f>IF(C1416="","",C1416&amp;"#"&amp;COUNTIF($C$5:C1416,C1416))</f>
        <v/>
      </c>
    </row>
    <row r="1417">
      <c r="A1417" s="41" t="n"/>
      <c r="B1417" s="37" t="n"/>
      <c r="C1417" s="37" t="n"/>
      <c r="D1417" s="39" t="str">
        <f>IF(C1417="","",IFERROR(INDEX(art_des,MATCH(C1417,art_ref,0))&amp;"","Référence inconnue"))</f>
        <v/>
      </c>
      <c r="E1417" s="37" t="n"/>
      <c r="F1417" s="39" t="str">
        <f>IF(C1417="","",IFERROR(INDEX(art_unit,MATCH(C1417,art_ref,0))&amp;"",""))</f>
        <v/>
      </c>
      <c r="G1417" s="37" t="n"/>
      <c r="H1417" s="37" t="n"/>
      <c r="I1417" s="37" t="n"/>
      <c r="J1417" s="40" t="str">
        <f>IF(OR(C1417="",NOT(ISNUMBER(E1417))),"",IFERROR(E1417*N(INDEX(art_price,MATCH(C1417,art_ref,0))),""))</f>
        <v/>
      </c>
      <c r="K1417" s="39" t="str">
        <f>IF(OR(C1417="",NOT(ISNUMBER(E1417))),"",IFERROR(ROUND(N(INDEX(art_init,MATCH(C1417,art_ref,0)))+SUMIFS($E$5:E1417,$C$5:C1417,C1417,$B$5:B1417,"Entrée")-SUMIFS($E$5:E1417,$C$5:C1417,C1417,$B$5:B1417,"Sortie"),6),""))</f>
        <v/>
      </c>
      <c r="L1417" s="39" t="str">
        <f>IF(COUNTA(A1417:C1417,E1417)=0,"",IF(COUNTA(A1417:C1417,E1417)&lt;4,"Ligne incomplète",IF(NOT(ISNUMBER(A1417)),"Date invalide",IF(AND(B1417&lt;&gt;"Entrée",B1417&lt;&gt;"Sortie"),"Type inconnu",IF(ISNA(MATCH(C1417,art_ref,0)),"Référence inconnue",IF(OR(NOT(ISNUMBER(E1417)),N(E1417)&lt;=0),"Quantité invalide",IF(K1417&lt;0,"Stock négatif",IF(AND(ISNUMBER(A1416),A1417&lt;A1416),"Date hors ordre","OK"))))))))</f>
        <v/>
      </c>
      <c r="M1417" s="39" t="str">
        <f>IF(C1417="","",C1417&amp;"#"&amp;COUNTIF($C$5:C1417,C1417))</f>
        <v/>
      </c>
    </row>
    <row r="1418">
      <c r="A1418" s="41" t="n"/>
      <c r="B1418" s="37" t="n"/>
      <c r="C1418" s="37" t="n"/>
      <c r="D1418" s="39" t="str">
        <f>IF(C1418="","",IFERROR(INDEX(art_des,MATCH(C1418,art_ref,0))&amp;"","Référence inconnue"))</f>
        <v/>
      </c>
      <c r="E1418" s="37" t="n"/>
      <c r="F1418" s="39" t="str">
        <f>IF(C1418="","",IFERROR(INDEX(art_unit,MATCH(C1418,art_ref,0))&amp;"",""))</f>
        <v/>
      </c>
      <c r="G1418" s="37" t="n"/>
      <c r="H1418" s="37" t="n"/>
      <c r="I1418" s="37" t="n"/>
      <c r="J1418" s="40" t="str">
        <f>IF(OR(C1418="",NOT(ISNUMBER(E1418))),"",IFERROR(E1418*N(INDEX(art_price,MATCH(C1418,art_ref,0))),""))</f>
        <v/>
      </c>
      <c r="K1418" s="39" t="str">
        <f>IF(OR(C1418="",NOT(ISNUMBER(E1418))),"",IFERROR(ROUND(N(INDEX(art_init,MATCH(C1418,art_ref,0)))+SUMIFS($E$5:E1418,$C$5:C1418,C1418,$B$5:B1418,"Entrée")-SUMIFS($E$5:E1418,$C$5:C1418,C1418,$B$5:B1418,"Sortie"),6),""))</f>
        <v/>
      </c>
      <c r="L1418" s="39" t="str">
        <f>IF(COUNTA(A1418:C1418,E1418)=0,"",IF(COUNTA(A1418:C1418,E1418)&lt;4,"Ligne incomplète",IF(NOT(ISNUMBER(A1418)),"Date invalide",IF(AND(B1418&lt;&gt;"Entrée",B1418&lt;&gt;"Sortie"),"Type inconnu",IF(ISNA(MATCH(C1418,art_ref,0)),"Référence inconnue",IF(OR(NOT(ISNUMBER(E1418)),N(E1418)&lt;=0),"Quantité invalide",IF(K1418&lt;0,"Stock négatif",IF(AND(ISNUMBER(A1417),A1418&lt;A1417),"Date hors ordre","OK"))))))))</f>
        <v/>
      </c>
      <c r="M1418" s="39" t="str">
        <f>IF(C1418="","",C1418&amp;"#"&amp;COUNTIF($C$5:C1418,C1418))</f>
        <v/>
      </c>
    </row>
    <row r="1419">
      <c r="A1419" s="41" t="n"/>
      <c r="B1419" s="37" t="n"/>
      <c r="C1419" s="37" t="n"/>
      <c r="D1419" s="39" t="str">
        <f>IF(C1419="","",IFERROR(INDEX(art_des,MATCH(C1419,art_ref,0))&amp;"","Référence inconnue"))</f>
        <v/>
      </c>
      <c r="E1419" s="37" t="n"/>
      <c r="F1419" s="39" t="str">
        <f>IF(C1419="","",IFERROR(INDEX(art_unit,MATCH(C1419,art_ref,0))&amp;"",""))</f>
        <v/>
      </c>
      <c r="G1419" s="37" t="n"/>
      <c r="H1419" s="37" t="n"/>
      <c r="I1419" s="37" t="n"/>
      <c r="J1419" s="40" t="str">
        <f>IF(OR(C1419="",NOT(ISNUMBER(E1419))),"",IFERROR(E1419*N(INDEX(art_price,MATCH(C1419,art_ref,0))),""))</f>
        <v/>
      </c>
      <c r="K1419" s="39" t="str">
        <f>IF(OR(C1419="",NOT(ISNUMBER(E1419))),"",IFERROR(ROUND(N(INDEX(art_init,MATCH(C1419,art_ref,0)))+SUMIFS($E$5:E1419,$C$5:C1419,C1419,$B$5:B1419,"Entrée")-SUMIFS($E$5:E1419,$C$5:C1419,C1419,$B$5:B1419,"Sortie"),6),""))</f>
        <v/>
      </c>
      <c r="L1419" s="39" t="str">
        <f>IF(COUNTA(A1419:C1419,E1419)=0,"",IF(COUNTA(A1419:C1419,E1419)&lt;4,"Ligne incomplète",IF(NOT(ISNUMBER(A1419)),"Date invalide",IF(AND(B1419&lt;&gt;"Entrée",B1419&lt;&gt;"Sortie"),"Type inconnu",IF(ISNA(MATCH(C1419,art_ref,0)),"Référence inconnue",IF(OR(NOT(ISNUMBER(E1419)),N(E1419)&lt;=0),"Quantité invalide",IF(K1419&lt;0,"Stock négatif",IF(AND(ISNUMBER(A1418),A1419&lt;A1418),"Date hors ordre","OK"))))))))</f>
        <v/>
      </c>
      <c r="M1419" s="39" t="str">
        <f>IF(C1419="","",C1419&amp;"#"&amp;COUNTIF($C$5:C1419,C1419))</f>
        <v/>
      </c>
    </row>
    <row r="1420">
      <c r="A1420" s="41" t="n"/>
      <c r="B1420" s="37" t="n"/>
      <c r="C1420" s="37" t="n"/>
      <c r="D1420" s="39" t="str">
        <f>IF(C1420="","",IFERROR(INDEX(art_des,MATCH(C1420,art_ref,0))&amp;"","Référence inconnue"))</f>
        <v/>
      </c>
      <c r="E1420" s="37" t="n"/>
      <c r="F1420" s="39" t="str">
        <f>IF(C1420="","",IFERROR(INDEX(art_unit,MATCH(C1420,art_ref,0))&amp;"",""))</f>
        <v/>
      </c>
      <c r="G1420" s="37" t="n"/>
      <c r="H1420" s="37" t="n"/>
      <c r="I1420" s="37" t="n"/>
      <c r="J1420" s="40" t="str">
        <f>IF(OR(C1420="",NOT(ISNUMBER(E1420))),"",IFERROR(E1420*N(INDEX(art_price,MATCH(C1420,art_ref,0))),""))</f>
        <v/>
      </c>
      <c r="K1420" s="39" t="str">
        <f>IF(OR(C1420="",NOT(ISNUMBER(E1420))),"",IFERROR(ROUND(N(INDEX(art_init,MATCH(C1420,art_ref,0)))+SUMIFS($E$5:E1420,$C$5:C1420,C1420,$B$5:B1420,"Entrée")-SUMIFS($E$5:E1420,$C$5:C1420,C1420,$B$5:B1420,"Sortie"),6),""))</f>
        <v/>
      </c>
      <c r="L1420" s="39" t="str">
        <f>IF(COUNTA(A1420:C1420,E1420)=0,"",IF(COUNTA(A1420:C1420,E1420)&lt;4,"Ligne incomplète",IF(NOT(ISNUMBER(A1420)),"Date invalide",IF(AND(B1420&lt;&gt;"Entrée",B1420&lt;&gt;"Sortie"),"Type inconnu",IF(ISNA(MATCH(C1420,art_ref,0)),"Référence inconnue",IF(OR(NOT(ISNUMBER(E1420)),N(E1420)&lt;=0),"Quantité invalide",IF(K1420&lt;0,"Stock négatif",IF(AND(ISNUMBER(A1419),A1420&lt;A1419),"Date hors ordre","OK"))))))))</f>
        <v/>
      </c>
      <c r="M1420" s="39" t="str">
        <f>IF(C1420="","",C1420&amp;"#"&amp;COUNTIF($C$5:C1420,C1420))</f>
        <v/>
      </c>
    </row>
    <row r="1421">
      <c r="A1421" s="41" t="n"/>
      <c r="B1421" s="37" t="n"/>
      <c r="C1421" s="37" t="n"/>
      <c r="D1421" s="39" t="str">
        <f>IF(C1421="","",IFERROR(INDEX(art_des,MATCH(C1421,art_ref,0))&amp;"","Référence inconnue"))</f>
        <v/>
      </c>
      <c r="E1421" s="37" t="n"/>
      <c r="F1421" s="39" t="str">
        <f>IF(C1421="","",IFERROR(INDEX(art_unit,MATCH(C1421,art_ref,0))&amp;"",""))</f>
        <v/>
      </c>
      <c r="G1421" s="37" t="n"/>
      <c r="H1421" s="37" t="n"/>
      <c r="I1421" s="37" t="n"/>
      <c r="J1421" s="40" t="str">
        <f>IF(OR(C1421="",NOT(ISNUMBER(E1421))),"",IFERROR(E1421*N(INDEX(art_price,MATCH(C1421,art_ref,0))),""))</f>
        <v/>
      </c>
      <c r="K1421" s="39" t="str">
        <f>IF(OR(C1421="",NOT(ISNUMBER(E1421))),"",IFERROR(ROUND(N(INDEX(art_init,MATCH(C1421,art_ref,0)))+SUMIFS($E$5:E1421,$C$5:C1421,C1421,$B$5:B1421,"Entrée")-SUMIFS($E$5:E1421,$C$5:C1421,C1421,$B$5:B1421,"Sortie"),6),""))</f>
        <v/>
      </c>
      <c r="L1421" s="39" t="str">
        <f>IF(COUNTA(A1421:C1421,E1421)=0,"",IF(COUNTA(A1421:C1421,E1421)&lt;4,"Ligne incomplète",IF(NOT(ISNUMBER(A1421)),"Date invalide",IF(AND(B1421&lt;&gt;"Entrée",B1421&lt;&gt;"Sortie"),"Type inconnu",IF(ISNA(MATCH(C1421,art_ref,0)),"Référence inconnue",IF(OR(NOT(ISNUMBER(E1421)),N(E1421)&lt;=0),"Quantité invalide",IF(K1421&lt;0,"Stock négatif",IF(AND(ISNUMBER(A1420),A1421&lt;A1420),"Date hors ordre","OK"))))))))</f>
        <v/>
      </c>
      <c r="M1421" s="39" t="str">
        <f>IF(C1421="","",C1421&amp;"#"&amp;COUNTIF($C$5:C1421,C1421))</f>
        <v/>
      </c>
    </row>
    <row r="1422">
      <c r="A1422" s="41" t="n"/>
      <c r="B1422" s="37" t="n"/>
      <c r="C1422" s="37" t="n"/>
      <c r="D1422" s="39" t="str">
        <f>IF(C1422="","",IFERROR(INDEX(art_des,MATCH(C1422,art_ref,0))&amp;"","Référence inconnue"))</f>
        <v/>
      </c>
      <c r="E1422" s="37" t="n"/>
      <c r="F1422" s="39" t="str">
        <f>IF(C1422="","",IFERROR(INDEX(art_unit,MATCH(C1422,art_ref,0))&amp;"",""))</f>
        <v/>
      </c>
      <c r="G1422" s="37" t="n"/>
      <c r="H1422" s="37" t="n"/>
      <c r="I1422" s="37" t="n"/>
      <c r="J1422" s="40" t="str">
        <f>IF(OR(C1422="",NOT(ISNUMBER(E1422))),"",IFERROR(E1422*N(INDEX(art_price,MATCH(C1422,art_ref,0))),""))</f>
        <v/>
      </c>
      <c r="K1422" s="39" t="str">
        <f>IF(OR(C1422="",NOT(ISNUMBER(E1422))),"",IFERROR(ROUND(N(INDEX(art_init,MATCH(C1422,art_ref,0)))+SUMIFS($E$5:E1422,$C$5:C1422,C1422,$B$5:B1422,"Entrée")-SUMIFS($E$5:E1422,$C$5:C1422,C1422,$B$5:B1422,"Sortie"),6),""))</f>
        <v/>
      </c>
      <c r="L1422" s="39" t="str">
        <f>IF(COUNTA(A1422:C1422,E1422)=0,"",IF(COUNTA(A1422:C1422,E1422)&lt;4,"Ligne incomplète",IF(NOT(ISNUMBER(A1422)),"Date invalide",IF(AND(B1422&lt;&gt;"Entrée",B1422&lt;&gt;"Sortie"),"Type inconnu",IF(ISNA(MATCH(C1422,art_ref,0)),"Référence inconnue",IF(OR(NOT(ISNUMBER(E1422)),N(E1422)&lt;=0),"Quantité invalide",IF(K1422&lt;0,"Stock négatif",IF(AND(ISNUMBER(A1421),A1422&lt;A1421),"Date hors ordre","OK"))))))))</f>
        <v/>
      </c>
      <c r="M1422" s="39" t="str">
        <f>IF(C1422="","",C1422&amp;"#"&amp;COUNTIF($C$5:C1422,C1422))</f>
        <v/>
      </c>
    </row>
    <row r="1423">
      <c r="A1423" s="41" t="n"/>
      <c r="B1423" s="37" t="n"/>
      <c r="C1423" s="37" t="n"/>
      <c r="D1423" s="39" t="str">
        <f>IF(C1423="","",IFERROR(INDEX(art_des,MATCH(C1423,art_ref,0))&amp;"","Référence inconnue"))</f>
        <v/>
      </c>
      <c r="E1423" s="37" t="n"/>
      <c r="F1423" s="39" t="str">
        <f>IF(C1423="","",IFERROR(INDEX(art_unit,MATCH(C1423,art_ref,0))&amp;"",""))</f>
        <v/>
      </c>
      <c r="G1423" s="37" t="n"/>
      <c r="H1423" s="37" t="n"/>
      <c r="I1423" s="37" t="n"/>
      <c r="J1423" s="40" t="str">
        <f>IF(OR(C1423="",NOT(ISNUMBER(E1423))),"",IFERROR(E1423*N(INDEX(art_price,MATCH(C1423,art_ref,0))),""))</f>
        <v/>
      </c>
      <c r="K1423" s="39" t="str">
        <f>IF(OR(C1423="",NOT(ISNUMBER(E1423))),"",IFERROR(ROUND(N(INDEX(art_init,MATCH(C1423,art_ref,0)))+SUMIFS($E$5:E1423,$C$5:C1423,C1423,$B$5:B1423,"Entrée")-SUMIFS($E$5:E1423,$C$5:C1423,C1423,$B$5:B1423,"Sortie"),6),""))</f>
        <v/>
      </c>
      <c r="L1423" s="39" t="str">
        <f>IF(COUNTA(A1423:C1423,E1423)=0,"",IF(COUNTA(A1423:C1423,E1423)&lt;4,"Ligne incomplète",IF(NOT(ISNUMBER(A1423)),"Date invalide",IF(AND(B1423&lt;&gt;"Entrée",B1423&lt;&gt;"Sortie"),"Type inconnu",IF(ISNA(MATCH(C1423,art_ref,0)),"Référence inconnue",IF(OR(NOT(ISNUMBER(E1423)),N(E1423)&lt;=0),"Quantité invalide",IF(K1423&lt;0,"Stock négatif",IF(AND(ISNUMBER(A1422),A1423&lt;A1422),"Date hors ordre","OK"))))))))</f>
        <v/>
      </c>
      <c r="M1423" s="39" t="str">
        <f>IF(C1423="","",C1423&amp;"#"&amp;COUNTIF($C$5:C1423,C1423))</f>
        <v/>
      </c>
    </row>
    <row r="1424">
      <c r="A1424" s="41" t="n"/>
      <c r="B1424" s="37" t="n"/>
      <c r="C1424" s="37" t="n"/>
      <c r="D1424" s="39" t="str">
        <f>IF(C1424="","",IFERROR(INDEX(art_des,MATCH(C1424,art_ref,0))&amp;"","Référence inconnue"))</f>
        <v/>
      </c>
      <c r="E1424" s="37" t="n"/>
      <c r="F1424" s="39" t="str">
        <f>IF(C1424="","",IFERROR(INDEX(art_unit,MATCH(C1424,art_ref,0))&amp;"",""))</f>
        <v/>
      </c>
      <c r="G1424" s="37" t="n"/>
      <c r="H1424" s="37" t="n"/>
      <c r="I1424" s="37" t="n"/>
      <c r="J1424" s="40" t="str">
        <f>IF(OR(C1424="",NOT(ISNUMBER(E1424))),"",IFERROR(E1424*N(INDEX(art_price,MATCH(C1424,art_ref,0))),""))</f>
        <v/>
      </c>
      <c r="K1424" s="39" t="str">
        <f>IF(OR(C1424="",NOT(ISNUMBER(E1424))),"",IFERROR(ROUND(N(INDEX(art_init,MATCH(C1424,art_ref,0)))+SUMIFS($E$5:E1424,$C$5:C1424,C1424,$B$5:B1424,"Entrée")-SUMIFS($E$5:E1424,$C$5:C1424,C1424,$B$5:B1424,"Sortie"),6),""))</f>
        <v/>
      </c>
      <c r="L1424" s="39" t="str">
        <f>IF(COUNTA(A1424:C1424,E1424)=0,"",IF(COUNTA(A1424:C1424,E1424)&lt;4,"Ligne incomplète",IF(NOT(ISNUMBER(A1424)),"Date invalide",IF(AND(B1424&lt;&gt;"Entrée",B1424&lt;&gt;"Sortie"),"Type inconnu",IF(ISNA(MATCH(C1424,art_ref,0)),"Référence inconnue",IF(OR(NOT(ISNUMBER(E1424)),N(E1424)&lt;=0),"Quantité invalide",IF(K1424&lt;0,"Stock négatif",IF(AND(ISNUMBER(A1423),A1424&lt;A1423),"Date hors ordre","OK"))))))))</f>
        <v/>
      </c>
      <c r="M1424" s="39" t="str">
        <f>IF(C1424="","",C1424&amp;"#"&amp;COUNTIF($C$5:C1424,C1424))</f>
        <v/>
      </c>
    </row>
    <row r="1425">
      <c r="A1425" s="41" t="n"/>
      <c r="B1425" s="37" t="n"/>
      <c r="C1425" s="37" t="n"/>
      <c r="D1425" s="39" t="str">
        <f>IF(C1425="","",IFERROR(INDEX(art_des,MATCH(C1425,art_ref,0))&amp;"","Référence inconnue"))</f>
        <v/>
      </c>
      <c r="E1425" s="37" t="n"/>
      <c r="F1425" s="39" t="str">
        <f>IF(C1425="","",IFERROR(INDEX(art_unit,MATCH(C1425,art_ref,0))&amp;"",""))</f>
        <v/>
      </c>
      <c r="G1425" s="37" t="n"/>
      <c r="H1425" s="37" t="n"/>
      <c r="I1425" s="37" t="n"/>
      <c r="J1425" s="40" t="str">
        <f>IF(OR(C1425="",NOT(ISNUMBER(E1425))),"",IFERROR(E1425*N(INDEX(art_price,MATCH(C1425,art_ref,0))),""))</f>
        <v/>
      </c>
      <c r="K1425" s="39" t="str">
        <f>IF(OR(C1425="",NOT(ISNUMBER(E1425))),"",IFERROR(ROUND(N(INDEX(art_init,MATCH(C1425,art_ref,0)))+SUMIFS($E$5:E1425,$C$5:C1425,C1425,$B$5:B1425,"Entrée")-SUMIFS($E$5:E1425,$C$5:C1425,C1425,$B$5:B1425,"Sortie"),6),""))</f>
        <v/>
      </c>
      <c r="L1425" s="39" t="str">
        <f>IF(COUNTA(A1425:C1425,E1425)=0,"",IF(COUNTA(A1425:C1425,E1425)&lt;4,"Ligne incomplète",IF(NOT(ISNUMBER(A1425)),"Date invalide",IF(AND(B1425&lt;&gt;"Entrée",B1425&lt;&gt;"Sortie"),"Type inconnu",IF(ISNA(MATCH(C1425,art_ref,0)),"Référence inconnue",IF(OR(NOT(ISNUMBER(E1425)),N(E1425)&lt;=0),"Quantité invalide",IF(K1425&lt;0,"Stock négatif",IF(AND(ISNUMBER(A1424),A1425&lt;A1424),"Date hors ordre","OK"))))))))</f>
        <v/>
      </c>
      <c r="M1425" s="39" t="str">
        <f>IF(C1425="","",C1425&amp;"#"&amp;COUNTIF($C$5:C1425,C1425))</f>
        <v/>
      </c>
    </row>
    <row r="1426">
      <c r="A1426" s="41" t="n"/>
      <c r="B1426" s="37" t="n"/>
      <c r="C1426" s="37" t="n"/>
      <c r="D1426" s="39" t="str">
        <f>IF(C1426="","",IFERROR(INDEX(art_des,MATCH(C1426,art_ref,0))&amp;"","Référence inconnue"))</f>
        <v/>
      </c>
      <c r="E1426" s="37" t="n"/>
      <c r="F1426" s="39" t="str">
        <f>IF(C1426="","",IFERROR(INDEX(art_unit,MATCH(C1426,art_ref,0))&amp;"",""))</f>
        <v/>
      </c>
      <c r="G1426" s="37" t="n"/>
      <c r="H1426" s="37" t="n"/>
      <c r="I1426" s="37" t="n"/>
      <c r="J1426" s="40" t="str">
        <f>IF(OR(C1426="",NOT(ISNUMBER(E1426))),"",IFERROR(E1426*N(INDEX(art_price,MATCH(C1426,art_ref,0))),""))</f>
        <v/>
      </c>
      <c r="K1426" s="39" t="str">
        <f>IF(OR(C1426="",NOT(ISNUMBER(E1426))),"",IFERROR(ROUND(N(INDEX(art_init,MATCH(C1426,art_ref,0)))+SUMIFS($E$5:E1426,$C$5:C1426,C1426,$B$5:B1426,"Entrée")-SUMIFS($E$5:E1426,$C$5:C1426,C1426,$B$5:B1426,"Sortie"),6),""))</f>
        <v/>
      </c>
      <c r="L1426" s="39" t="str">
        <f>IF(COUNTA(A1426:C1426,E1426)=0,"",IF(COUNTA(A1426:C1426,E1426)&lt;4,"Ligne incomplète",IF(NOT(ISNUMBER(A1426)),"Date invalide",IF(AND(B1426&lt;&gt;"Entrée",B1426&lt;&gt;"Sortie"),"Type inconnu",IF(ISNA(MATCH(C1426,art_ref,0)),"Référence inconnue",IF(OR(NOT(ISNUMBER(E1426)),N(E1426)&lt;=0),"Quantité invalide",IF(K1426&lt;0,"Stock négatif",IF(AND(ISNUMBER(A1425),A1426&lt;A1425),"Date hors ordre","OK"))))))))</f>
        <v/>
      </c>
      <c r="M1426" s="39" t="str">
        <f>IF(C1426="","",C1426&amp;"#"&amp;COUNTIF($C$5:C1426,C1426))</f>
        <v/>
      </c>
    </row>
    <row r="1427">
      <c r="A1427" s="41" t="n"/>
      <c r="B1427" s="37" t="n"/>
      <c r="C1427" s="37" t="n"/>
      <c r="D1427" s="39" t="str">
        <f>IF(C1427="","",IFERROR(INDEX(art_des,MATCH(C1427,art_ref,0))&amp;"","Référence inconnue"))</f>
        <v/>
      </c>
      <c r="E1427" s="37" t="n"/>
      <c r="F1427" s="39" t="str">
        <f>IF(C1427="","",IFERROR(INDEX(art_unit,MATCH(C1427,art_ref,0))&amp;"",""))</f>
        <v/>
      </c>
      <c r="G1427" s="37" t="n"/>
      <c r="H1427" s="37" t="n"/>
      <c r="I1427" s="37" t="n"/>
      <c r="J1427" s="40" t="str">
        <f>IF(OR(C1427="",NOT(ISNUMBER(E1427))),"",IFERROR(E1427*N(INDEX(art_price,MATCH(C1427,art_ref,0))),""))</f>
        <v/>
      </c>
      <c r="K1427" s="39" t="str">
        <f>IF(OR(C1427="",NOT(ISNUMBER(E1427))),"",IFERROR(ROUND(N(INDEX(art_init,MATCH(C1427,art_ref,0)))+SUMIFS($E$5:E1427,$C$5:C1427,C1427,$B$5:B1427,"Entrée")-SUMIFS($E$5:E1427,$C$5:C1427,C1427,$B$5:B1427,"Sortie"),6),""))</f>
        <v/>
      </c>
      <c r="L1427" s="39" t="str">
        <f>IF(COUNTA(A1427:C1427,E1427)=0,"",IF(COUNTA(A1427:C1427,E1427)&lt;4,"Ligne incomplète",IF(NOT(ISNUMBER(A1427)),"Date invalide",IF(AND(B1427&lt;&gt;"Entrée",B1427&lt;&gt;"Sortie"),"Type inconnu",IF(ISNA(MATCH(C1427,art_ref,0)),"Référence inconnue",IF(OR(NOT(ISNUMBER(E1427)),N(E1427)&lt;=0),"Quantité invalide",IF(K1427&lt;0,"Stock négatif",IF(AND(ISNUMBER(A1426),A1427&lt;A1426),"Date hors ordre","OK"))))))))</f>
        <v/>
      </c>
      <c r="M1427" s="39" t="str">
        <f>IF(C1427="","",C1427&amp;"#"&amp;COUNTIF($C$5:C1427,C1427))</f>
        <v/>
      </c>
    </row>
    <row r="1428">
      <c r="A1428" s="41" t="n"/>
      <c r="B1428" s="37" t="n"/>
      <c r="C1428" s="37" t="n"/>
      <c r="D1428" s="39" t="str">
        <f>IF(C1428="","",IFERROR(INDEX(art_des,MATCH(C1428,art_ref,0))&amp;"","Référence inconnue"))</f>
        <v/>
      </c>
      <c r="E1428" s="37" t="n"/>
      <c r="F1428" s="39" t="str">
        <f>IF(C1428="","",IFERROR(INDEX(art_unit,MATCH(C1428,art_ref,0))&amp;"",""))</f>
        <v/>
      </c>
      <c r="G1428" s="37" t="n"/>
      <c r="H1428" s="37" t="n"/>
      <c r="I1428" s="37" t="n"/>
      <c r="J1428" s="40" t="str">
        <f>IF(OR(C1428="",NOT(ISNUMBER(E1428))),"",IFERROR(E1428*N(INDEX(art_price,MATCH(C1428,art_ref,0))),""))</f>
        <v/>
      </c>
      <c r="K1428" s="39" t="str">
        <f>IF(OR(C1428="",NOT(ISNUMBER(E1428))),"",IFERROR(ROUND(N(INDEX(art_init,MATCH(C1428,art_ref,0)))+SUMIFS($E$5:E1428,$C$5:C1428,C1428,$B$5:B1428,"Entrée")-SUMIFS($E$5:E1428,$C$5:C1428,C1428,$B$5:B1428,"Sortie"),6),""))</f>
        <v/>
      </c>
      <c r="L1428" s="39" t="str">
        <f>IF(COUNTA(A1428:C1428,E1428)=0,"",IF(COUNTA(A1428:C1428,E1428)&lt;4,"Ligne incomplète",IF(NOT(ISNUMBER(A1428)),"Date invalide",IF(AND(B1428&lt;&gt;"Entrée",B1428&lt;&gt;"Sortie"),"Type inconnu",IF(ISNA(MATCH(C1428,art_ref,0)),"Référence inconnue",IF(OR(NOT(ISNUMBER(E1428)),N(E1428)&lt;=0),"Quantité invalide",IF(K1428&lt;0,"Stock négatif",IF(AND(ISNUMBER(A1427),A1428&lt;A1427),"Date hors ordre","OK"))))))))</f>
        <v/>
      </c>
      <c r="M1428" s="39" t="str">
        <f>IF(C1428="","",C1428&amp;"#"&amp;COUNTIF($C$5:C1428,C1428))</f>
        <v/>
      </c>
    </row>
    <row r="1429">
      <c r="A1429" s="41" t="n"/>
      <c r="B1429" s="37" t="n"/>
      <c r="C1429" s="37" t="n"/>
      <c r="D1429" s="39" t="str">
        <f>IF(C1429="","",IFERROR(INDEX(art_des,MATCH(C1429,art_ref,0))&amp;"","Référence inconnue"))</f>
        <v/>
      </c>
      <c r="E1429" s="37" t="n"/>
      <c r="F1429" s="39" t="str">
        <f>IF(C1429="","",IFERROR(INDEX(art_unit,MATCH(C1429,art_ref,0))&amp;"",""))</f>
        <v/>
      </c>
      <c r="G1429" s="37" t="n"/>
      <c r="H1429" s="37" t="n"/>
      <c r="I1429" s="37" t="n"/>
      <c r="J1429" s="40" t="str">
        <f>IF(OR(C1429="",NOT(ISNUMBER(E1429))),"",IFERROR(E1429*N(INDEX(art_price,MATCH(C1429,art_ref,0))),""))</f>
        <v/>
      </c>
      <c r="K1429" s="39" t="str">
        <f>IF(OR(C1429="",NOT(ISNUMBER(E1429))),"",IFERROR(ROUND(N(INDEX(art_init,MATCH(C1429,art_ref,0)))+SUMIFS($E$5:E1429,$C$5:C1429,C1429,$B$5:B1429,"Entrée")-SUMIFS($E$5:E1429,$C$5:C1429,C1429,$B$5:B1429,"Sortie"),6),""))</f>
        <v/>
      </c>
      <c r="L1429" s="39" t="str">
        <f>IF(COUNTA(A1429:C1429,E1429)=0,"",IF(COUNTA(A1429:C1429,E1429)&lt;4,"Ligne incomplète",IF(NOT(ISNUMBER(A1429)),"Date invalide",IF(AND(B1429&lt;&gt;"Entrée",B1429&lt;&gt;"Sortie"),"Type inconnu",IF(ISNA(MATCH(C1429,art_ref,0)),"Référence inconnue",IF(OR(NOT(ISNUMBER(E1429)),N(E1429)&lt;=0),"Quantité invalide",IF(K1429&lt;0,"Stock négatif",IF(AND(ISNUMBER(A1428),A1429&lt;A1428),"Date hors ordre","OK"))))))))</f>
        <v/>
      </c>
      <c r="M1429" s="39" t="str">
        <f>IF(C1429="","",C1429&amp;"#"&amp;COUNTIF($C$5:C1429,C1429))</f>
        <v/>
      </c>
    </row>
    <row r="1430">
      <c r="A1430" s="41" t="n"/>
      <c r="B1430" s="37" t="n"/>
      <c r="C1430" s="37" t="n"/>
      <c r="D1430" s="39" t="str">
        <f>IF(C1430="","",IFERROR(INDEX(art_des,MATCH(C1430,art_ref,0))&amp;"","Référence inconnue"))</f>
        <v/>
      </c>
      <c r="E1430" s="37" t="n"/>
      <c r="F1430" s="39" t="str">
        <f>IF(C1430="","",IFERROR(INDEX(art_unit,MATCH(C1430,art_ref,0))&amp;"",""))</f>
        <v/>
      </c>
      <c r="G1430" s="37" t="n"/>
      <c r="H1430" s="37" t="n"/>
      <c r="I1430" s="37" t="n"/>
      <c r="J1430" s="40" t="str">
        <f>IF(OR(C1430="",NOT(ISNUMBER(E1430))),"",IFERROR(E1430*N(INDEX(art_price,MATCH(C1430,art_ref,0))),""))</f>
        <v/>
      </c>
      <c r="K1430" s="39" t="str">
        <f>IF(OR(C1430="",NOT(ISNUMBER(E1430))),"",IFERROR(ROUND(N(INDEX(art_init,MATCH(C1430,art_ref,0)))+SUMIFS($E$5:E1430,$C$5:C1430,C1430,$B$5:B1430,"Entrée")-SUMIFS($E$5:E1430,$C$5:C1430,C1430,$B$5:B1430,"Sortie"),6),""))</f>
        <v/>
      </c>
      <c r="L1430" s="39" t="str">
        <f>IF(COUNTA(A1430:C1430,E1430)=0,"",IF(COUNTA(A1430:C1430,E1430)&lt;4,"Ligne incomplète",IF(NOT(ISNUMBER(A1430)),"Date invalide",IF(AND(B1430&lt;&gt;"Entrée",B1430&lt;&gt;"Sortie"),"Type inconnu",IF(ISNA(MATCH(C1430,art_ref,0)),"Référence inconnue",IF(OR(NOT(ISNUMBER(E1430)),N(E1430)&lt;=0),"Quantité invalide",IF(K1430&lt;0,"Stock négatif",IF(AND(ISNUMBER(A1429),A1430&lt;A1429),"Date hors ordre","OK"))))))))</f>
        <v/>
      </c>
      <c r="M1430" s="39" t="str">
        <f>IF(C1430="","",C1430&amp;"#"&amp;COUNTIF($C$5:C1430,C1430))</f>
        <v/>
      </c>
    </row>
    <row r="1431">
      <c r="A1431" s="41" t="n"/>
      <c r="B1431" s="37" t="n"/>
      <c r="C1431" s="37" t="n"/>
      <c r="D1431" s="39" t="str">
        <f>IF(C1431="","",IFERROR(INDEX(art_des,MATCH(C1431,art_ref,0))&amp;"","Référence inconnue"))</f>
        <v/>
      </c>
      <c r="E1431" s="37" t="n"/>
      <c r="F1431" s="39" t="str">
        <f>IF(C1431="","",IFERROR(INDEX(art_unit,MATCH(C1431,art_ref,0))&amp;"",""))</f>
        <v/>
      </c>
      <c r="G1431" s="37" t="n"/>
      <c r="H1431" s="37" t="n"/>
      <c r="I1431" s="37" t="n"/>
      <c r="J1431" s="40" t="str">
        <f>IF(OR(C1431="",NOT(ISNUMBER(E1431))),"",IFERROR(E1431*N(INDEX(art_price,MATCH(C1431,art_ref,0))),""))</f>
        <v/>
      </c>
      <c r="K1431" s="39" t="str">
        <f>IF(OR(C1431="",NOT(ISNUMBER(E1431))),"",IFERROR(ROUND(N(INDEX(art_init,MATCH(C1431,art_ref,0)))+SUMIFS($E$5:E1431,$C$5:C1431,C1431,$B$5:B1431,"Entrée")-SUMIFS($E$5:E1431,$C$5:C1431,C1431,$B$5:B1431,"Sortie"),6),""))</f>
        <v/>
      </c>
      <c r="L1431" s="39" t="str">
        <f>IF(COUNTA(A1431:C1431,E1431)=0,"",IF(COUNTA(A1431:C1431,E1431)&lt;4,"Ligne incomplète",IF(NOT(ISNUMBER(A1431)),"Date invalide",IF(AND(B1431&lt;&gt;"Entrée",B1431&lt;&gt;"Sortie"),"Type inconnu",IF(ISNA(MATCH(C1431,art_ref,0)),"Référence inconnue",IF(OR(NOT(ISNUMBER(E1431)),N(E1431)&lt;=0),"Quantité invalide",IF(K1431&lt;0,"Stock négatif",IF(AND(ISNUMBER(A1430),A1431&lt;A1430),"Date hors ordre","OK"))))))))</f>
        <v/>
      </c>
      <c r="M1431" s="39" t="str">
        <f>IF(C1431="","",C1431&amp;"#"&amp;COUNTIF($C$5:C1431,C1431))</f>
        <v/>
      </c>
    </row>
    <row r="1432">
      <c r="A1432" s="41" t="n"/>
      <c r="B1432" s="37" t="n"/>
      <c r="C1432" s="37" t="n"/>
      <c r="D1432" s="39" t="str">
        <f>IF(C1432="","",IFERROR(INDEX(art_des,MATCH(C1432,art_ref,0))&amp;"","Référence inconnue"))</f>
        <v/>
      </c>
      <c r="E1432" s="37" t="n"/>
      <c r="F1432" s="39" t="str">
        <f>IF(C1432="","",IFERROR(INDEX(art_unit,MATCH(C1432,art_ref,0))&amp;"",""))</f>
        <v/>
      </c>
      <c r="G1432" s="37" t="n"/>
      <c r="H1432" s="37" t="n"/>
      <c r="I1432" s="37" t="n"/>
      <c r="J1432" s="40" t="str">
        <f>IF(OR(C1432="",NOT(ISNUMBER(E1432))),"",IFERROR(E1432*N(INDEX(art_price,MATCH(C1432,art_ref,0))),""))</f>
        <v/>
      </c>
      <c r="K1432" s="39" t="str">
        <f>IF(OR(C1432="",NOT(ISNUMBER(E1432))),"",IFERROR(ROUND(N(INDEX(art_init,MATCH(C1432,art_ref,0)))+SUMIFS($E$5:E1432,$C$5:C1432,C1432,$B$5:B1432,"Entrée")-SUMIFS($E$5:E1432,$C$5:C1432,C1432,$B$5:B1432,"Sortie"),6),""))</f>
        <v/>
      </c>
      <c r="L1432" s="39" t="str">
        <f>IF(COUNTA(A1432:C1432,E1432)=0,"",IF(COUNTA(A1432:C1432,E1432)&lt;4,"Ligne incomplète",IF(NOT(ISNUMBER(A1432)),"Date invalide",IF(AND(B1432&lt;&gt;"Entrée",B1432&lt;&gt;"Sortie"),"Type inconnu",IF(ISNA(MATCH(C1432,art_ref,0)),"Référence inconnue",IF(OR(NOT(ISNUMBER(E1432)),N(E1432)&lt;=0),"Quantité invalide",IF(K1432&lt;0,"Stock négatif",IF(AND(ISNUMBER(A1431),A1432&lt;A1431),"Date hors ordre","OK"))))))))</f>
        <v/>
      </c>
      <c r="M1432" s="39" t="str">
        <f>IF(C1432="","",C1432&amp;"#"&amp;COUNTIF($C$5:C1432,C1432))</f>
        <v/>
      </c>
    </row>
    <row r="1433">
      <c r="A1433" s="41" t="n"/>
      <c r="B1433" s="37" t="n"/>
      <c r="C1433" s="37" t="n"/>
      <c r="D1433" s="39" t="str">
        <f>IF(C1433="","",IFERROR(INDEX(art_des,MATCH(C1433,art_ref,0))&amp;"","Référence inconnue"))</f>
        <v/>
      </c>
      <c r="E1433" s="37" t="n"/>
      <c r="F1433" s="39" t="str">
        <f>IF(C1433="","",IFERROR(INDEX(art_unit,MATCH(C1433,art_ref,0))&amp;"",""))</f>
        <v/>
      </c>
      <c r="G1433" s="37" t="n"/>
      <c r="H1433" s="37" t="n"/>
      <c r="I1433" s="37" t="n"/>
      <c r="J1433" s="40" t="str">
        <f>IF(OR(C1433="",NOT(ISNUMBER(E1433))),"",IFERROR(E1433*N(INDEX(art_price,MATCH(C1433,art_ref,0))),""))</f>
        <v/>
      </c>
      <c r="K1433" s="39" t="str">
        <f>IF(OR(C1433="",NOT(ISNUMBER(E1433))),"",IFERROR(ROUND(N(INDEX(art_init,MATCH(C1433,art_ref,0)))+SUMIFS($E$5:E1433,$C$5:C1433,C1433,$B$5:B1433,"Entrée")-SUMIFS($E$5:E1433,$C$5:C1433,C1433,$B$5:B1433,"Sortie"),6),""))</f>
        <v/>
      </c>
      <c r="L1433" s="39" t="str">
        <f>IF(COUNTA(A1433:C1433,E1433)=0,"",IF(COUNTA(A1433:C1433,E1433)&lt;4,"Ligne incomplète",IF(NOT(ISNUMBER(A1433)),"Date invalide",IF(AND(B1433&lt;&gt;"Entrée",B1433&lt;&gt;"Sortie"),"Type inconnu",IF(ISNA(MATCH(C1433,art_ref,0)),"Référence inconnue",IF(OR(NOT(ISNUMBER(E1433)),N(E1433)&lt;=0),"Quantité invalide",IF(K1433&lt;0,"Stock négatif",IF(AND(ISNUMBER(A1432),A1433&lt;A1432),"Date hors ordre","OK"))))))))</f>
        <v/>
      </c>
      <c r="M1433" s="39" t="str">
        <f>IF(C1433="","",C1433&amp;"#"&amp;COUNTIF($C$5:C1433,C1433))</f>
        <v/>
      </c>
    </row>
    <row r="1434">
      <c r="A1434" s="41" t="n"/>
      <c r="B1434" s="37" t="n"/>
      <c r="C1434" s="37" t="n"/>
      <c r="D1434" s="39" t="str">
        <f>IF(C1434="","",IFERROR(INDEX(art_des,MATCH(C1434,art_ref,0))&amp;"","Référence inconnue"))</f>
        <v/>
      </c>
      <c r="E1434" s="37" t="n"/>
      <c r="F1434" s="39" t="str">
        <f>IF(C1434="","",IFERROR(INDEX(art_unit,MATCH(C1434,art_ref,0))&amp;"",""))</f>
        <v/>
      </c>
      <c r="G1434" s="37" t="n"/>
      <c r="H1434" s="37" t="n"/>
      <c r="I1434" s="37" t="n"/>
      <c r="J1434" s="40" t="str">
        <f>IF(OR(C1434="",NOT(ISNUMBER(E1434))),"",IFERROR(E1434*N(INDEX(art_price,MATCH(C1434,art_ref,0))),""))</f>
        <v/>
      </c>
      <c r="K1434" s="39" t="str">
        <f>IF(OR(C1434="",NOT(ISNUMBER(E1434))),"",IFERROR(ROUND(N(INDEX(art_init,MATCH(C1434,art_ref,0)))+SUMIFS($E$5:E1434,$C$5:C1434,C1434,$B$5:B1434,"Entrée")-SUMIFS($E$5:E1434,$C$5:C1434,C1434,$B$5:B1434,"Sortie"),6),""))</f>
        <v/>
      </c>
      <c r="L1434" s="39" t="str">
        <f>IF(COUNTA(A1434:C1434,E1434)=0,"",IF(COUNTA(A1434:C1434,E1434)&lt;4,"Ligne incomplète",IF(NOT(ISNUMBER(A1434)),"Date invalide",IF(AND(B1434&lt;&gt;"Entrée",B1434&lt;&gt;"Sortie"),"Type inconnu",IF(ISNA(MATCH(C1434,art_ref,0)),"Référence inconnue",IF(OR(NOT(ISNUMBER(E1434)),N(E1434)&lt;=0),"Quantité invalide",IF(K1434&lt;0,"Stock négatif",IF(AND(ISNUMBER(A1433),A1434&lt;A1433),"Date hors ordre","OK"))))))))</f>
        <v/>
      </c>
      <c r="M1434" s="39" t="str">
        <f>IF(C1434="","",C1434&amp;"#"&amp;COUNTIF($C$5:C1434,C1434))</f>
        <v/>
      </c>
    </row>
    <row r="1435">
      <c r="A1435" s="41" t="n"/>
      <c r="B1435" s="37" t="n"/>
      <c r="C1435" s="37" t="n"/>
      <c r="D1435" s="39" t="str">
        <f>IF(C1435="","",IFERROR(INDEX(art_des,MATCH(C1435,art_ref,0))&amp;"","Référence inconnue"))</f>
        <v/>
      </c>
      <c r="E1435" s="37" t="n"/>
      <c r="F1435" s="39" t="str">
        <f>IF(C1435="","",IFERROR(INDEX(art_unit,MATCH(C1435,art_ref,0))&amp;"",""))</f>
        <v/>
      </c>
      <c r="G1435" s="37" t="n"/>
      <c r="H1435" s="37" t="n"/>
      <c r="I1435" s="37" t="n"/>
      <c r="J1435" s="40" t="str">
        <f>IF(OR(C1435="",NOT(ISNUMBER(E1435))),"",IFERROR(E1435*N(INDEX(art_price,MATCH(C1435,art_ref,0))),""))</f>
        <v/>
      </c>
      <c r="K1435" s="39" t="str">
        <f>IF(OR(C1435="",NOT(ISNUMBER(E1435))),"",IFERROR(ROUND(N(INDEX(art_init,MATCH(C1435,art_ref,0)))+SUMIFS($E$5:E1435,$C$5:C1435,C1435,$B$5:B1435,"Entrée")-SUMIFS($E$5:E1435,$C$5:C1435,C1435,$B$5:B1435,"Sortie"),6),""))</f>
        <v/>
      </c>
      <c r="L1435" s="39" t="str">
        <f>IF(COUNTA(A1435:C1435,E1435)=0,"",IF(COUNTA(A1435:C1435,E1435)&lt;4,"Ligne incomplète",IF(NOT(ISNUMBER(A1435)),"Date invalide",IF(AND(B1435&lt;&gt;"Entrée",B1435&lt;&gt;"Sortie"),"Type inconnu",IF(ISNA(MATCH(C1435,art_ref,0)),"Référence inconnue",IF(OR(NOT(ISNUMBER(E1435)),N(E1435)&lt;=0),"Quantité invalide",IF(K1435&lt;0,"Stock négatif",IF(AND(ISNUMBER(A1434),A1435&lt;A1434),"Date hors ordre","OK"))))))))</f>
        <v/>
      </c>
      <c r="M1435" s="39" t="str">
        <f>IF(C1435="","",C1435&amp;"#"&amp;COUNTIF($C$5:C1435,C1435))</f>
        <v/>
      </c>
    </row>
    <row r="1436">
      <c r="A1436" s="41" t="n"/>
      <c r="B1436" s="37" t="n"/>
      <c r="C1436" s="37" t="n"/>
      <c r="D1436" s="39" t="str">
        <f>IF(C1436="","",IFERROR(INDEX(art_des,MATCH(C1436,art_ref,0))&amp;"","Référence inconnue"))</f>
        <v/>
      </c>
      <c r="E1436" s="37" t="n"/>
      <c r="F1436" s="39" t="str">
        <f>IF(C1436="","",IFERROR(INDEX(art_unit,MATCH(C1436,art_ref,0))&amp;"",""))</f>
        <v/>
      </c>
      <c r="G1436" s="37" t="n"/>
      <c r="H1436" s="37" t="n"/>
      <c r="I1436" s="37" t="n"/>
      <c r="J1436" s="40" t="str">
        <f>IF(OR(C1436="",NOT(ISNUMBER(E1436))),"",IFERROR(E1436*N(INDEX(art_price,MATCH(C1436,art_ref,0))),""))</f>
        <v/>
      </c>
      <c r="K1436" s="39" t="str">
        <f>IF(OR(C1436="",NOT(ISNUMBER(E1436))),"",IFERROR(ROUND(N(INDEX(art_init,MATCH(C1436,art_ref,0)))+SUMIFS($E$5:E1436,$C$5:C1436,C1436,$B$5:B1436,"Entrée")-SUMIFS($E$5:E1436,$C$5:C1436,C1436,$B$5:B1436,"Sortie"),6),""))</f>
        <v/>
      </c>
      <c r="L1436" s="39" t="str">
        <f>IF(COUNTA(A1436:C1436,E1436)=0,"",IF(COUNTA(A1436:C1436,E1436)&lt;4,"Ligne incomplète",IF(NOT(ISNUMBER(A1436)),"Date invalide",IF(AND(B1436&lt;&gt;"Entrée",B1436&lt;&gt;"Sortie"),"Type inconnu",IF(ISNA(MATCH(C1436,art_ref,0)),"Référence inconnue",IF(OR(NOT(ISNUMBER(E1436)),N(E1436)&lt;=0),"Quantité invalide",IF(K1436&lt;0,"Stock négatif",IF(AND(ISNUMBER(A1435),A1436&lt;A1435),"Date hors ordre","OK"))))))))</f>
        <v/>
      </c>
      <c r="M1436" s="39" t="str">
        <f>IF(C1436="","",C1436&amp;"#"&amp;COUNTIF($C$5:C1436,C1436))</f>
        <v/>
      </c>
    </row>
    <row r="1437">
      <c r="A1437" s="41" t="n"/>
      <c r="B1437" s="37" t="n"/>
      <c r="C1437" s="37" t="n"/>
      <c r="D1437" s="39" t="str">
        <f>IF(C1437="","",IFERROR(INDEX(art_des,MATCH(C1437,art_ref,0))&amp;"","Référence inconnue"))</f>
        <v/>
      </c>
      <c r="E1437" s="37" t="n"/>
      <c r="F1437" s="39" t="str">
        <f>IF(C1437="","",IFERROR(INDEX(art_unit,MATCH(C1437,art_ref,0))&amp;"",""))</f>
        <v/>
      </c>
      <c r="G1437" s="37" t="n"/>
      <c r="H1437" s="37" t="n"/>
      <c r="I1437" s="37" t="n"/>
      <c r="J1437" s="40" t="str">
        <f>IF(OR(C1437="",NOT(ISNUMBER(E1437))),"",IFERROR(E1437*N(INDEX(art_price,MATCH(C1437,art_ref,0))),""))</f>
        <v/>
      </c>
      <c r="K1437" s="39" t="str">
        <f>IF(OR(C1437="",NOT(ISNUMBER(E1437))),"",IFERROR(ROUND(N(INDEX(art_init,MATCH(C1437,art_ref,0)))+SUMIFS($E$5:E1437,$C$5:C1437,C1437,$B$5:B1437,"Entrée")-SUMIFS($E$5:E1437,$C$5:C1437,C1437,$B$5:B1437,"Sortie"),6),""))</f>
        <v/>
      </c>
      <c r="L1437" s="39" t="str">
        <f>IF(COUNTA(A1437:C1437,E1437)=0,"",IF(COUNTA(A1437:C1437,E1437)&lt;4,"Ligne incomplète",IF(NOT(ISNUMBER(A1437)),"Date invalide",IF(AND(B1437&lt;&gt;"Entrée",B1437&lt;&gt;"Sortie"),"Type inconnu",IF(ISNA(MATCH(C1437,art_ref,0)),"Référence inconnue",IF(OR(NOT(ISNUMBER(E1437)),N(E1437)&lt;=0),"Quantité invalide",IF(K1437&lt;0,"Stock négatif",IF(AND(ISNUMBER(A1436),A1437&lt;A1436),"Date hors ordre","OK"))))))))</f>
        <v/>
      </c>
      <c r="M1437" s="39" t="str">
        <f>IF(C1437="","",C1437&amp;"#"&amp;COUNTIF($C$5:C1437,C1437))</f>
        <v/>
      </c>
    </row>
    <row r="1438">
      <c r="A1438" s="41" t="n"/>
      <c r="B1438" s="37" t="n"/>
      <c r="C1438" s="37" t="n"/>
      <c r="D1438" s="39" t="str">
        <f>IF(C1438="","",IFERROR(INDEX(art_des,MATCH(C1438,art_ref,0))&amp;"","Référence inconnue"))</f>
        <v/>
      </c>
      <c r="E1438" s="37" t="n"/>
      <c r="F1438" s="39" t="str">
        <f>IF(C1438="","",IFERROR(INDEX(art_unit,MATCH(C1438,art_ref,0))&amp;"",""))</f>
        <v/>
      </c>
      <c r="G1438" s="37" t="n"/>
      <c r="H1438" s="37" t="n"/>
      <c r="I1438" s="37" t="n"/>
      <c r="J1438" s="40" t="str">
        <f>IF(OR(C1438="",NOT(ISNUMBER(E1438))),"",IFERROR(E1438*N(INDEX(art_price,MATCH(C1438,art_ref,0))),""))</f>
        <v/>
      </c>
      <c r="K1438" s="39" t="str">
        <f>IF(OR(C1438="",NOT(ISNUMBER(E1438))),"",IFERROR(ROUND(N(INDEX(art_init,MATCH(C1438,art_ref,0)))+SUMIFS($E$5:E1438,$C$5:C1438,C1438,$B$5:B1438,"Entrée")-SUMIFS($E$5:E1438,$C$5:C1438,C1438,$B$5:B1438,"Sortie"),6),""))</f>
        <v/>
      </c>
      <c r="L1438" s="39" t="str">
        <f>IF(COUNTA(A1438:C1438,E1438)=0,"",IF(COUNTA(A1438:C1438,E1438)&lt;4,"Ligne incomplète",IF(NOT(ISNUMBER(A1438)),"Date invalide",IF(AND(B1438&lt;&gt;"Entrée",B1438&lt;&gt;"Sortie"),"Type inconnu",IF(ISNA(MATCH(C1438,art_ref,0)),"Référence inconnue",IF(OR(NOT(ISNUMBER(E1438)),N(E1438)&lt;=0),"Quantité invalide",IF(K1438&lt;0,"Stock négatif",IF(AND(ISNUMBER(A1437),A1438&lt;A1437),"Date hors ordre","OK"))))))))</f>
        <v/>
      </c>
      <c r="M1438" s="39" t="str">
        <f>IF(C1438="","",C1438&amp;"#"&amp;COUNTIF($C$5:C1438,C1438))</f>
        <v/>
      </c>
    </row>
    <row r="1439">
      <c r="A1439" s="41" t="n"/>
      <c r="B1439" s="37" t="n"/>
      <c r="C1439" s="37" t="n"/>
      <c r="D1439" s="39" t="str">
        <f>IF(C1439="","",IFERROR(INDEX(art_des,MATCH(C1439,art_ref,0))&amp;"","Référence inconnue"))</f>
        <v/>
      </c>
      <c r="E1439" s="37" t="n"/>
      <c r="F1439" s="39" t="str">
        <f>IF(C1439="","",IFERROR(INDEX(art_unit,MATCH(C1439,art_ref,0))&amp;"",""))</f>
        <v/>
      </c>
      <c r="G1439" s="37" t="n"/>
      <c r="H1439" s="37" t="n"/>
      <c r="I1439" s="37" t="n"/>
      <c r="J1439" s="40" t="str">
        <f>IF(OR(C1439="",NOT(ISNUMBER(E1439))),"",IFERROR(E1439*N(INDEX(art_price,MATCH(C1439,art_ref,0))),""))</f>
        <v/>
      </c>
      <c r="K1439" s="39" t="str">
        <f>IF(OR(C1439="",NOT(ISNUMBER(E1439))),"",IFERROR(ROUND(N(INDEX(art_init,MATCH(C1439,art_ref,0)))+SUMIFS($E$5:E1439,$C$5:C1439,C1439,$B$5:B1439,"Entrée")-SUMIFS($E$5:E1439,$C$5:C1439,C1439,$B$5:B1439,"Sortie"),6),""))</f>
        <v/>
      </c>
      <c r="L1439" s="39" t="str">
        <f>IF(COUNTA(A1439:C1439,E1439)=0,"",IF(COUNTA(A1439:C1439,E1439)&lt;4,"Ligne incomplète",IF(NOT(ISNUMBER(A1439)),"Date invalide",IF(AND(B1439&lt;&gt;"Entrée",B1439&lt;&gt;"Sortie"),"Type inconnu",IF(ISNA(MATCH(C1439,art_ref,0)),"Référence inconnue",IF(OR(NOT(ISNUMBER(E1439)),N(E1439)&lt;=0),"Quantité invalide",IF(K1439&lt;0,"Stock négatif",IF(AND(ISNUMBER(A1438),A1439&lt;A1438),"Date hors ordre","OK"))))))))</f>
        <v/>
      </c>
      <c r="M1439" s="39" t="str">
        <f>IF(C1439="","",C1439&amp;"#"&amp;COUNTIF($C$5:C1439,C1439))</f>
        <v/>
      </c>
    </row>
    <row r="1440">
      <c r="A1440" s="41" t="n"/>
      <c r="B1440" s="37" t="n"/>
      <c r="C1440" s="37" t="n"/>
      <c r="D1440" s="39" t="str">
        <f>IF(C1440="","",IFERROR(INDEX(art_des,MATCH(C1440,art_ref,0))&amp;"","Référence inconnue"))</f>
        <v/>
      </c>
      <c r="E1440" s="37" t="n"/>
      <c r="F1440" s="39" t="str">
        <f>IF(C1440="","",IFERROR(INDEX(art_unit,MATCH(C1440,art_ref,0))&amp;"",""))</f>
        <v/>
      </c>
      <c r="G1440" s="37" t="n"/>
      <c r="H1440" s="37" t="n"/>
      <c r="I1440" s="37" t="n"/>
      <c r="J1440" s="40" t="str">
        <f>IF(OR(C1440="",NOT(ISNUMBER(E1440))),"",IFERROR(E1440*N(INDEX(art_price,MATCH(C1440,art_ref,0))),""))</f>
        <v/>
      </c>
      <c r="K1440" s="39" t="str">
        <f>IF(OR(C1440="",NOT(ISNUMBER(E1440))),"",IFERROR(ROUND(N(INDEX(art_init,MATCH(C1440,art_ref,0)))+SUMIFS($E$5:E1440,$C$5:C1440,C1440,$B$5:B1440,"Entrée")-SUMIFS($E$5:E1440,$C$5:C1440,C1440,$B$5:B1440,"Sortie"),6),""))</f>
        <v/>
      </c>
      <c r="L1440" s="39" t="str">
        <f>IF(COUNTA(A1440:C1440,E1440)=0,"",IF(COUNTA(A1440:C1440,E1440)&lt;4,"Ligne incomplète",IF(NOT(ISNUMBER(A1440)),"Date invalide",IF(AND(B1440&lt;&gt;"Entrée",B1440&lt;&gt;"Sortie"),"Type inconnu",IF(ISNA(MATCH(C1440,art_ref,0)),"Référence inconnue",IF(OR(NOT(ISNUMBER(E1440)),N(E1440)&lt;=0),"Quantité invalide",IF(K1440&lt;0,"Stock négatif",IF(AND(ISNUMBER(A1439),A1440&lt;A1439),"Date hors ordre","OK"))))))))</f>
        <v/>
      </c>
      <c r="M1440" s="39" t="str">
        <f>IF(C1440="","",C1440&amp;"#"&amp;COUNTIF($C$5:C1440,C1440))</f>
        <v/>
      </c>
    </row>
    <row r="1441">
      <c r="A1441" s="41" t="n"/>
      <c r="B1441" s="37" t="n"/>
      <c r="C1441" s="37" t="n"/>
      <c r="D1441" s="39" t="str">
        <f>IF(C1441="","",IFERROR(INDEX(art_des,MATCH(C1441,art_ref,0))&amp;"","Référence inconnue"))</f>
        <v/>
      </c>
      <c r="E1441" s="37" t="n"/>
      <c r="F1441" s="39" t="str">
        <f>IF(C1441="","",IFERROR(INDEX(art_unit,MATCH(C1441,art_ref,0))&amp;"",""))</f>
        <v/>
      </c>
      <c r="G1441" s="37" t="n"/>
      <c r="H1441" s="37" t="n"/>
      <c r="I1441" s="37" t="n"/>
      <c r="J1441" s="40" t="str">
        <f>IF(OR(C1441="",NOT(ISNUMBER(E1441))),"",IFERROR(E1441*N(INDEX(art_price,MATCH(C1441,art_ref,0))),""))</f>
        <v/>
      </c>
      <c r="K1441" s="39" t="str">
        <f>IF(OR(C1441="",NOT(ISNUMBER(E1441))),"",IFERROR(ROUND(N(INDEX(art_init,MATCH(C1441,art_ref,0)))+SUMIFS($E$5:E1441,$C$5:C1441,C1441,$B$5:B1441,"Entrée")-SUMIFS($E$5:E1441,$C$5:C1441,C1441,$B$5:B1441,"Sortie"),6),""))</f>
        <v/>
      </c>
      <c r="L1441" s="39" t="str">
        <f>IF(COUNTA(A1441:C1441,E1441)=0,"",IF(COUNTA(A1441:C1441,E1441)&lt;4,"Ligne incomplète",IF(NOT(ISNUMBER(A1441)),"Date invalide",IF(AND(B1441&lt;&gt;"Entrée",B1441&lt;&gt;"Sortie"),"Type inconnu",IF(ISNA(MATCH(C1441,art_ref,0)),"Référence inconnue",IF(OR(NOT(ISNUMBER(E1441)),N(E1441)&lt;=0),"Quantité invalide",IF(K1441&lt;0,"Stock négatif",IF(AND(ISNUMBER(A1440),A1441&lt;A1440),"Date hors ordre","OK"))))))))</f>
        <v/>
      </c>
      <c r="M1441" s="39" t="str">
        <f>IF(C1441="","",C1441&amp;"#"&amp;COUNTIF($C$5:C1441,C1441))</f>
        <v/>
      </c>
    </row>
    <row r="1442">
      <c r="A1442" s="41" t="n"/>
      <c r="B1442" s="37" t="n"/>
      <c r="C1442" s="37" t="n"/>
      <c r="D1442" s="39" t="str">
        <f>IF(C1442="","",IFERROR(INDEX(art_des,MATCH(C1442,art_ref,0))&amp;"","Référence inconnue"))</f>
        <v/>
      </c>
      <c r="E1442" s="37" t="n"/>
      <c r="F1442" s="39" t="str">
        <f>IF(C1442="","",IFERROR(INDEX(art_unit,MATCH(C1442,art_ref,0))&amp;"",""))</f>
        <v/>
      </c>
      <c r="G1442" s="37" t="n"/>
      <c r="H1442" s="37" t="n"/>
      <c r="I1442" s="37" t="n"/>
      <c r="J1442" s="40" t="str">
        <f>IF(OR(C1442="",NOT(ISNUMBER(E1442))),"",IFERROR(E1442*N(INDEX(art_price,MATCH(C1442,art_ref,0))),""))</f>
        <v/>
      </c>
      <c r="K1442" s="39" t="str">
        <f>IF(OR(C1442="",NOT(ISNUMBER(E1442))),"",IFERROR(ROUND(N(INDEX(art_init,MATCH(C1442,art_ref,0)))+SUMIFS($E$5:E1442,$C$5:C1442,C1442,$B$5:B1442,"Entrée")-SUMIFS($E$5:E1442,$C$5:C1442,C1442,$B$5:B1442,"Sortie"),6),""))</f>
        <v/>
      </c>
      <c r="L1442" s="39" t="str">
        <f>IF(COUNTA(A1442:C1442,E1442)=0,"",IF(COUNTA(A1442:C1442,E1442)&lt;4,"Ligne incomplète",IF(NOT(ISNUMBER(A1442)),"Date invalide",IF(AND(B1442&lt;&gt;"Entrée",B1442&lt;&gt;"Sortie"),"Type inconnu",IF(ISNA(MATCH(C1442,art_ref,0)),"Référence inconnue",IF(OR(NOT(ISNUMBER(E1442)),N(E1442)&lt;=0),"Quantité invalide",IF(K1442&lt;0,"Stock négatif",IF(AND(ISNUMBER(A1441),A1442&lt;A1441),"Date hors ordre","OK"))))))))</f>
        <v/>
      </c>
      <c r="M1442" s="39" t="str">
        <f>IF(C1442="","",C1442&amp;"#"&amp;COUNTIF($C$5:C1442,C1442))</f>
        <v/>
      </c>
    </row>
    <row r="1443">
      <c r="A1443" s="41" t="n"/>
      <c r="B1443" s="37" t="n"/>
      <c r="C1443" s="37" t="n"/>
      <c r="D1443" s="39" t="str">
        <f>IF(C1443="","",IFERROR(INDEX(art_des,MATCH(C1443,art_ref,0))&amp;"","Référence inconnue"))</f>
        <v/>
      </c>
      <c r="E1443" s="37" t="n"/>
      <c r="F1443" s="39" t="str">
        <f>IF(C1443="","",IFERROR(INDEX(art_unit,MATCH(C1443,art_ref,0))&amp;"",""))</f>
        <v/>
      </c>
      <c r="G1443" s="37" t="n"/>
      <c r="H1443" s="37" t="n"/>
      <c r="I1443" s="37" t="n"/>
      <c r="J1443" s="40" t="str">
        <f>IF(OR(C1443="",NOT(ISNUMBER(E1443))),"",IFERROR(E1443*N(INDEX(art_price,MATCH(C1443,art_ref,0))),""))</f>
        <v/>
      </c>
      <c r="K1443" s="39" t="str">
        <f>IF(OR(C1443="",NOT(ISNUMBER(E1443))),"",IFERROR(ROUND(N(INDEX(art_init,MATCH(C1443,art_ref,0)))+SUMIFS($E$5:E1443,$C$5:C1443,C1443,$B$5:B1443,"Entrée")-SUMIFS($E$5:E1443,$C$5:C1443,C1443,$B$5:B1443,"Sortie"),6),""))</f>
        <v/>
      </c>
      <c r="L1443" s="39" t="str">
        <f>IF(COUNTA(A1443:C1443,E1443)=0,"",IF(COUNTA(A1443:C1443,E1443)&lt;4,"Ligne incomplète",IF(NOT(ISNUMBER(A1443)),"Date invalide",IF(AND(B1443&lt;&gt;"Entrée",B1443&lt;&gt;"Sortie"),"Type inconnu",IF(ISNA(MATCH(C1443,art_ref,0)),"Référence inconnue",IF(OR(NOT(ISNUMBER(E1443)),N(E1443)&lt;=0),"Quantité invalide",IF(K1443&lt;0,"Stock négatif",IF(AND(ISNUMBER(A1442),A1443&lt;A1442),"Date hors ordre","OK"))))))))</f>
        <v/>
      </c>
      <c r="M1443" s="39" t="str">
        <f>IF(C1443="","",C1443&amp;"#"&amp;COUNTIF($C$5:C1443,C1443))</f>
        <v/>
      </c>
    </row>
    <row r="1444">
      <c r="A1444" s="41" t="n"/>
      <c r="B1444" s="37" t="n"/>
      <c r="C1444" s="37" t="n"/>
      <c r="D1444" s="39" t="str">
        <f>IF(C1444="","",IFERROR(INDEX(art_des,MATCH(C1444,art_ref,0))&amp;"","Référence inconnue"))</f>
        <v/>
      </c>
      <c r="E1444" s="37" t="n"/>
      <c r="F1444" s="39" t="str">
        <f>IF(C1444="","",IFERROR(INDEX(art_unit,MATCH(C1444,art_ref,0))&amp;"",""))</f>
        <v/>
      </c>
      <c r="G1444" s="37" t="n"/>
      <c r="H1444" s="37" t="n"/>
      <c r="I1444" s="37" t="n"/>
      <c r="J1444" s="40" t="str">
        <f>IF(OR(C1444="",NOT(ISNUMBER(E1444))),"",IFERROR(E1444*N(INDEX(art_price,MATCH(C1444,art_ref,0))),""))</f>
        <v/>
      </c>
      <c r="K1444" s="39" t="str">
        <f>IF(OR(C1444="",NOT(ISNUMBER(E1444))),"",IFERROR(ROUND(N(INDEX(art_init,MATCH(C1444,art_ref,0)))+SUMIFS($E$5:E1444,$C$5:C1444,C1444,$B$5:B1444,"Entrée")-SUMIFS($E$5:E1444,$C$5:C1444,C1444,$B$5:B1444,"Sortie"),6),""))</f>
        <v/>
      </c>
      <c r="L1444" s="39" t="str">
        <f>IF(COUNTA(A1444:C1444,E1444)=0,"",IF(COUNTA(A1444:C1444,E1444)&lt;4,"Ligne incomplète",IF(NOT(ISNUMBER(A1444)),"Date invalide",IF(AND(B1444&lt;&gt;"Entrée",B1444&lt;&gt;"Sortie"),"Type inconnu",IF(ISNA(MATCH(C1444,art_ref,0)),"Référence inconnue",IF(OR(NOT(ISNUMBER(E1444)),N(E1444)&lt;=0),"Quantité invalide",IF(K1444&lt;0,"Stock négatif",IF(AND(ISNUMBER(A1443),A1444&lt;A1443),"Date hors ordre","OK"))))))))</f>
        <v/>
      </c>
      <c r="M1444" s="39" t="str">
        <f>IF(C1444="","",C1444&amp;"#"&amp;COUNTIF($C$5:C1444,C1444))</f>
        <v/>
      </c>
    </row>
    <row r="1445">
      <c r="A1445" s="41" t="n"/>
      <c r="B1445" s="37" t="n"/>
      <c r="C1445" s="37" t="n"/>
      <c r="D1445" s="39" t="str">
        <f>IF(C1445="","",IFERROR(INDEX(art_des,MATCH(C1445,art_ref,0))&amp;"","Référence inconnue"))</f>
        <v/>
      </c>
      <c r="E1445" s="37" t="n"/>
      <c r="F1445" s="39" t="str">
        <f>IF(C1445="","",IFERROR(INDEX(art_unit,MATCH(C1445,art_ref,0))&amp;"",""))</f>
        <v/>
      </c>
      <c r="G1445" s="37" t="n"/>
      <c r="H1445" s="37" t="n"/>
      <c r="I1445" s="37" t="n"/>
      <c r="J1445" s="40" t="str">
        <f>IF(OR(C1445="",NOT(ISNUMBER(E1445))),"",IFERROR(E1445*N(INDEX(art_price,MATCH(C1445,art_ref,0))),""))</f>
        <v/>
      </c>
      <c r="K1445" s="39" t="str">
        <f>IF(OR(C1445="",NOT(ISNUMBER(E1445))),"",IFERROR(ROUND(N(INDEX(art_init,MATCH(C1445,art_ref,0)))+SUMIFS($E$5:E1445,$C$5:C1445,C1445,$B$5:B1445,"Entrée")-SUMIFS($E$5:E1445,$C$5:C1445,C1445,$B$5:B1445,"Sortie"),6),""))</f>
        <v/>
      </c>
      <c r="L1445" s="39" t="str">
        <f>IF(COUNTA(A1445:C1445,E1445)=0,"",IF(COUNTA(A1445:C1445,E1445)&lt;4,"Ligne incomplète",IF(NOT(ISNUMBER(A1445)),"Date invalide",IF(AND(B1445&lt;&gt;"Entrée",B1445&lt;&gt;"Sortie"),"Type inconnu",IF(ISNA(MATCH(C1445,art_ref,0)),"Référence inconnue",IF(OR(NOT(ISNUMBER(E1445)),N(E1445)&lt;=0),"Quantité invalide",IF(K1445&lt;0,"Stock négatif",IF(AND(ISNUMBER(A1444),A1445&lt;A1444),"Date hors ordre","OK"))))))))</f>
        <v/>
      </c>
      <c r="M1445" s="39" t="str">
        <f>IF(C1445="","",C1445&amp;"#"&amp;COUNTIF($C$5:C1445,C1445))</f>
        <v/>
      </c>
    </row>
    <row r="1446">
      <c r="A1446" s="41" t="n"/>
      <c r="B1446" s="37" t="n"/>
      <c r="C1446" s="37" t="n"/>
      <c r="D1446" s="39" t="str">
        <f>IF(C1446="","",IFERROR(INDEX(art_des,MATCH(C1446,art_ref,0))&amp;"","Référence inconnue"))</f>
        <v/>
      </c>
      <c r="E1446" s="37" t="n"/>
      <c r="F1446" s="39" t="str">
        <f>IF(C1446="","",IFERROR(INDEX(art_unit,MATCH(C1446,art_ref,0))&amp;"",""))</f>
        <v/>
      </c>
      <c r="G1446" s="37" t="n"/>
      <c r="H1446" s="37" t="n"/>
      <c r="I1446" s="37" t="n"/>
      <c r="J1446" s="40" t="str">
        <f>IF(OR(C1446="",NOT(ISNUMBER(E1446))),"",IFERROR(E1446*N(INDEX(art_price,MATCH(C1446,art_ref,0))),""))</f>
        <v/>
      </c>
      <c r="K1446" s="39" t="str">
        <f>IF(OR(C1446="",NOT(ISNUMBER(E1446))),"",IFERROR(ROUND(N(INDEX(art_init,MATCH(C1446,art_ref,0)))+SUMIFS($E$5:E1446,$C$5:C1446,C1446,$B$5:B1446,"Entrée")-SUMIFS($E$5:E1446,$C$5:C1446,C1446,$B$5:B1446,"Sortie"),6),""))</f>
        <v/>
      </c>
      <c r="L1446" s="39" t="str">
        <f>IF(COUNTA(A1446:C1446,E1446)=0,"",IF(COUNTA(A1446:C1446,E1446)&lt;4,"Ligne incomplète",IF(NOT(ISNUMBER(A1446)),"Date invalide",IF(AND(B1446&lt;&gt;"Entrée",B1446&lt;&gt;"Sortie"),"Type inconnu",IF(ISNA(MATCH(C1446,art_ref,0)),"Référence inconnue",IF(OR(NOT(ISNUMBER(E1446)),N(E1446)&lt;=0),"Quantité invalide",IF(K1446&lt;0,"Stock négatif",IF(AND(ISNUMBER(A1445),A1446&lt;A1445),"Date hors ordre","OK"))))))))</f>
        <v/>
      </c>
      <c r="M1446" s="39" t="str">
        <f>IF(C1446="","",C1446&amp;"#"&amp;COUNTIF($C$5:C1446,C1446))</f>
        <v/>
      </c>
    </row>
    <row r="1447">
      <c r="A1447" s="41" t="n"/>
      <c r="B1447" s="37" t="n"/>
      <c r="C1447" s="37" t="n"/>
      <c r="D1447" s="39" t="str">
        <f>IF(C1447="","",IFERROR(INDEX(art_des,MATCH(C1447,art_ref,0))&amp;"","Référence inconnue"))</f>
        <v/>
      </c>
      <c r="E1447" s="37" t="n"/>
      <c r="F1447" s="39" t="str">
        <f>IF(C1447="","",IFERROR(INDEX(art_unit,MATCH(C1447,art_ref,0))&amp;"",""))</f>
        <v/>
      </c>
      <c r="G1447" s="37" t="n"/>
      <c r="H1447" s="37" t="n"/>
      <c r="I1447" s="37" t="n"/>
      <c r="J1447" s="40" t="str">
        <f>IF(OR(C1447="",NOT(ISNUMBER(E1447))),"",IFERROR(E1447*N(INDEX(art_price,MATCH(C1447,art_ref,0))),""))</f>
        <v/>
      </c>
      <c r="K1447" s="39" t="str">
        <f>IF(OR(C1447="",NOT(ISNUMBER(E1447))),"",IFERROR(ROUND(N(INDEX(art_init,MATCH(C1447,art_ref,0)))+SUMIFS($E$5:E1447,$C$5:C1447,C1447,$B$5:B1447,"Entrée")-SUMIFS($E$5:E1447,$C$5:C1447,C1447,$B$5:B1447,"Sortie"),6),""))</f>
        <v/>
      </c>
      <c r="L1447" s="39" t="str">
        <f>IF(COUNTA(A1447:C1447,E1447)=0,"",IF(COUNTA(A1447:C1447,E1447)&lt;4,"Ligne incomplète",IF(NOT(ISNUMBER(A1447)),"Date invalide",IF(AND(B1447&lt;&gt;"Entrée",B1447&lt;&gt;"Sortie"),"Type inconnu",IF(ISNA(MATCH(C1447,art_ref,0)),"Référence inconnue",IF(OR(NOT(ISNUMBER(E1447)),N(E1447)&lt;=0),"Quantité invalide",IF(K1447&lt;0,"Stock négatif",IF(AND(ISNUMBER(A1446),A1447&lt;A1446),"Date hors ordre","OK"))))))))</f>
        <v/>
      </c>
      <c r="M1447" s="39" t="str">
        <f>IF(C1447="","",C1447&amp;"#"&amp;COUNTIF($C$5:C1447,C1447))</f>
        <v/>
      </c>
    </row>
    <row r="1448">
      <c r="A1448" s="41" t="n"/>
      <c r="B1448" s="37" t="n"/>
      <c r="C1448" s="37" t="n"/>
      <c r="D1448" s="39" t="str">
        <f>IF(C1448="","",IFERROR(INDEX(art_des,MATCH(C1448,art_ref,0))&amp;"","Référence inconnue"))</f>
        <v/>
      </c>
      <c r="E1448" s="37" t="n"/>
      <c r="F1448" s="39" t="str">
        <f>IF(C1448="","",IFERROR(INDEX(art_unit,MATCH(C1448,art_ref,0))&amp;"",""))</f>
        <v/>
      </c>
      <c r="G1448" s="37" t="n"/>
      <c r="H1448" s="37" t="n"/>
      <c r="I1448" s="37" t="n"/>
      <c r="J1448" s="40" t="str">
        <f>IF(OR(C1448="",NOT(ISNUMBER(E1448))),"",IFERROR(E1448*N(INDEX(art_price,MATCH(C1448,art_ref,0))),""))</f>
        <v/>
      </c>
      <c r="K1448" s="39" t="str">
        <f>IF(OR(C1448="",NOT(ISNUMBER(E1448))),"",IFERROR(ROUND(N(INDEX(art_init,MATCH(C1448,art_ref,0)))+SUMIFS($E$5:E1448,$C$5:C1448,C1448,$B$5:B1448,"Entrée")-SUMIFS($E$5:E1448,$C$5:C1448,C1448,$B$5:B1448,"Sortie"),6),""))</f>
        <v/>
      </c>
      <c r="L1448" s="39" t="str">
        <f>IF(COUNTA(A1448:C1448,E1448)=0,"",IF(COUNTA(A1448:C1448,E1448)&lt;4,"Ligne incomplète",IF(NOT(ISNUMBER(A1448)),"Date invalide",IF(AND(B1448&lt;&gt;"Entrée",B1448&lt;&gt;"Sortie"),"Type inconnu",IF(ISNA(MATCH(C1448,art_ref,0)),"Référence inconnue",IF(OR(NOT(ISNUMBER(E1448)),N(E1448)&lt;=0),"Quantité invalide",IF(K1448&lt;0,"Stock négatif",IF(AND(ISNUMBER(A1447),A1448&lt;A1447),"Date hors ordre","OK"))))))))</f>
        <v/>
      </c>
      <c r="M1448" s="39" t="str">
        <f>IF(C1448="","",C1448&amp;"#"&amp;COUNTIF($C$5:C1448,C1448))</f>
        <v/>
      </c>
    </row>
    <row r="1449">
      <c r="A1449" s="41" t="n"/>
      <c r="B1449" s="37" t="n"/>
      <c r="C1449" s="37" t="n"/>
      <c r="D1449" s="39" t="str">
        <f>IF(C1449="","",IFERROR(INDEX(art_des,MATCH(C1449,art_ref,0))&amp;"","Référence inconnue"))</f>
        <v/>
      </c>
      <c r="E1449" s="37" t="n"/>
      <c r="F1449" s="39" t="str">
        <f>IF(C1449="","",IFERROR(INDEX(art_unit,MATCH(C1449,art_ref,0))&amp;"",""))</f>
        <v/>
      </c>
      <c r="G1449" s="37" t="n"/>
      <c r="H1449" s="37" t="n"/>
      <c r="I1449" s="37" t="n"/>
      <c r="J1449" s="40" t="str">
        <f>IF(OR(C1449="",NOT(ISNUMBER(E1449))),"",IFERROR(E1449*N(INDEX(art_price,MATCH(C1449,art_ref,0))),""))</f>
        <v/>
      </c>
      <c r="K1449" s="39" t="str">
        <f>IF(OR(C1449="",NOT(ISNUMBER(E1449))),"",IFERROR(ROUND(N(INDEX(art_init,MATCH(C1449,art_ref,0)))+SUMIFS($E$5:E1449,$C$5:C1449,C1449,$B$5:B1449,"Entrée")-SUMIFS($E$5:E1449,$C$5:C1449,C1449,$B$5:B1449,"Sortie"),6),""))</f>
        <v/>
      </c>
      <c r="L1449" s="39" t="str">
        <f>IF(COUNTA(A1449:C1449,E1449)=0,"",IF(COUNTA(A1449:C1449,E1449)&lt;4,"Ligne incomplète",IF(NOT(ISNUMBER(A1449)),"Date invalide",IF(AND(B1449&lt;&gt;"Entrée",B1449&lt;&gt;"Sortie"),"Type inconnu",IF(ISNA(MATCH(C1449,art_ref,0)),"Référence inconnue",IF(OR(NOT(ISNUMBER(E1449)),N(E1449)&lt;=0),"Quantité invalide",IF(K1449&lt;0,"Stock négatif",IF(AND(ISNUMBER(A1448),A1449&lt;A1448),"Date hors ordre","OK"))))))))</f>
        <v/>
      </c>
      <c r="M1449" s="39" t="str">
        <f>IF(C1449="","",C1449&amp;"#"&amp;COUNTIF($C$5:C1449,C1449))</f>
        <v/>
      </c>
    </row>
    <row r="1450">
      <c r="A1450" s="41" t="n"/>
      <c r="B1450" s="37" t="n"/>
      <c r="C1450" s="37" t="n"/>
      <c r="D1450" s="39" t="str">
        <f>IF(C1450="","",IFERROR(INDEX(art_des,MATCH(C1450,art_ref,0))&amp;"","Référence inconnue"))</f>
        <v/>
      </c>
      <c r="E1450" s="37" t="n"/>
      <c r="F1450" s="39" t="str">
        <f>IF(C1450="","",IFERROR(INDEX(art_unit,MATCH(C1450,art_ref,0))&amp;"",""))</f>
        <v/>
      </c>
      <c r="G1450" s="37" t="n"/>
      <c r="H1450" s="37" t="n"/>
      <c r="I1450" s="37" t="n"/>
      <c r="J1450" s="40" t="str">
        <f>IF(OR(C1450="",NOT(ISNUMBER(E1450))),"",IFERROR(E1450*N(INDEX(art_price,MATCH(C1450,art_ref,0))),""))</f>
        <v/>
      </c>
      <c r="K1450" s="39" t="str">
        <f>IF(OR(C1450="",NOT(ISNUMBER(E1450))),"",IFERROR(ROUND(N(INDEX(art_init,MATCH(C1450,art_ref,0)))+SUMIFS($E$5:E1450,$C$5:C1450,C1450,$B$5:B1450,"Entrée")-SUMIFS($E$5:E1450,$C$5:C1450,C1450,$B$5:B1450,"Sortie"),6),""))</f>
        <v/>
      </c>
      <c r="L1450" s="39" t="str">
        <f>IF(COUNTA(A1450:C1450,E1450)=0,"",IF(COUNTA(A1450:C1450,E1450)&lt;4,"Ligne incomplète",IF(NOT(ISNUMBER(A1450)),"Date invalide",IF(AND(B1450&lt;&gt;"Entrée",B1450&lt;&gt;"Sortie"),"Type inconnu",IF(ISNA(MATCH(C1450,art_ref,0)),"Référence inconnue",IF(OR(NOT(ISNUMBER(E1450)),N(E1450)&lt;=0),"Quantité invalide",IF(K1450&lt;0,"Stock négatif",IF(AND(ISNUMBER(A1449),A1450&lt;A1449),"Date hors ordre","OK"))))))))</f>
        <v/>
      </c>
      <c r="M1450" s="39" t="str">
        <f>IF(C1450="","",C1450&amp;"#"&amp;COUNTIF($C$5:C1450,C1450))</f>
        <v/>
      </c>
    </row>
    <row r="1451">
      <c r="A1451" s="41" t="n"/>
      <c r="B1451" s="37" t="n"/>
      <c r="C1451" s="37" t="n"/>
      <c r="D1451" s="39" t="str">
        <f>IF(C1451="","",IFERROR(INDEX(art_des,MATCH(C1451,art_ref,0))&amp;"","Référence inconnue"))</f>
        <v/>
      </c>
      <c r="E1451" s="37" t="n"/>
      <c r="F1451" s="39" t="str">
        <f>IF(C1451="","",IFERROR(INDEX(art_unit,MATCH(C1451,art_ref,0))&amp;"",""))</f>
        <v/>
      </c>
      <c r="G1451" s="37" t="n"/>
      <c r="H1451" s="37" t="n"/>
      <c r="I1451" s="37" t="n"/>
      <c r="J1451" s="40" t="str">
        <f>IF(OR(C1451="",NOT(ISNUMBER(E1451))),"",IFERROR(E1451*N(INDEX(art_price,MATCH(C1451,art_ref,0))),""))</f>
        <v/>
      </c>
      <c r="K1451" s="39" t="str">
        <f>IF(OR(C1451="",NOT(ISNUMBER(E1451))),"",IFERROR(ROUND(N(INDEX(art_init,MATCH(C1451,art_ref,0)))+SUMIFS($E$5:E1451,$C$5:C1451,C1451,$B$5:B1451,"Entrée")-SUMIFS($E$5:E1451,$C$5:C1451,C1451,$B$5:B1451,"Sortie"),6),""))</f>
        <v/>
      </c>
      <c r="L1451" s="39" t="str">
        <f>IF(COUNTA(A1451:C1451,E1451)=0,"",IF(COUNTA(A1451:C1451,E1451)&lt;4,"Ligne incomplète",IF(NOT(ISNUMBER(A1451)),"Date invalide",IF(AND(B1451&lt;&gt;"Entrée",B1451&lt;&gt;"Sortie"),"Type inconnu",IF(ISNA(MATCH(C1451,art_ref,0)),"Référence inconnue",IF(OR(NOT(ISNUMBER(E1451)),N(E1451)&lt;=0),"Quantité invalide",IF(K1451&lt;0,"Stock négatif",IF(AND(ISNUMBER(A1450),A1451&lt;A1450),"Date hors ordre","OK"))))))))</f>
        <v/>
      </c>
      <c r="M1451" s="39" t="str">
        <f>IF(C1451="","",C1451&amp;"#"&amp;COUNTIF($C$5:C1451,C1451))</f>
        <v/>
      </c>
    </row>
    <row r="1452">
      <c r="A1452" s="41" t="n"/>
      <c r="B1452" s="37" t="n"/>
      <c r="C1452" s="37" t="n"/>
      <c r="D1452" s="39" t="str">
        <f>IF(C1452="","",IFERROR(INDEX(art_des,MATCH(C1452,art_ref,0))&amp;"","Référence inconnue"))</f>
        <v/>
      </c>
      <c r="E1452" s="37" t="n"/>
      <c r="F1452" s="39" t="str">
        <f>IF(C1452="","",IFERROR(INDEX(art_unit,MATCH(C1452,art_ref,0))&amp;"",""))</f>
        <v/>
      </c>
      <c r="G1452" s="37" t="n"/>
      <c r="H1452" s="37" t="n"/>
      <c r="I1452" s="37" t="n"/>
      <c r="J1452" s="40" t="str">
        <f>IF(OR(C1452="",NOT(ISNUMBER(E1452))),"",IFERROR(E1452*N(INDEX(art_price,MATCH(C1452,art_ref,0))),""))</f>
        <v/>
      </c>
      <c r="K1452" s="39" t="str">
        <f>IF(OR(C1452="",NOT(ISNUMBER(E1452))),"",IFERROR(ROUND(N(INDEX(art_init,MATCH(C1452,art_ref,0)))+SUMIFS($E$5:E1452,$C$5:C1452,C1452,$B$5:B1452,"Entrée")-SUMIFS($E$5:E1452,$C$5:C1452,C1452,$B$5:B1452,"Sortie"),6),""))</f>
        <v/>
      </c>
      <c r="L1452" s="39" t="str">
        <f>IF(COUNTA(A1452:C1452,E1452)=0,"",IF(COUNTA(A1452:C1452,E1452)&lt;4,"Ligne incomplète",IF(NOT(ISNUMBER(A1452)),"Date invalide",IF(AND(B1452&lt;&gt;"Entrée",B1452&lt;&gt;"Sortie"),"Type inconnu",IF(ISNA(MATCH(C1452,art_ref,0)),"Référence inconnue",IF(OR(NOT(ISNUMBER(E1452)),N(E1452)&lt;=0),"Quantité invalide",IF(K1452&lt;0,"Stock négatif",IF(AND(ISNUMBER(A1451),A1452&lt;A1451),"Date hors ordre","OK"))))))))</f>
        <v/>
      </c>
      <c r="M1452" s="39" t="str">
        <f>IF(C1452="","",C1452&amp;"#"&amp;COUNTIF($C$5:C1452,C1452))</f>
        <v/>
      </c>
    </row>
    <row r="1453">
      <c r="A1453" s="41" t="n"/>
      <c r="B1453" s="37" t="n"/>
      <c r="C1453" s="37" t="n"/>
      <c r="D1453" s="39" t="str">
        <f>IF(C1453="","",IFERROR(INDEX(art_des,MATCH(C1453,art_ref,0))&amp;"","Référence inconnue"))</f>
        <v/>
      </c>
      <c r="E1453" s="37" t="n"/>
      <c r="F1453" s="39" t="str">
        <f>IF(C1453="","",IFERROR(INDEX(art_unit,MATCH(C1453,art_ref,0))&amp;"",""))</f>
        <v/>
      </c>
      <c r="G1453" s="37" t="n"/>
      <c r="H1453" s="37" t="n"/>
      <c r="I1453" s="37" t="n"/>
      <c r="J1453" s="40" t="str">
        <f>IF(OR(C1453="",NOT(ISNUMBER(E1453))),"",IFERROR(E1453*N(INDEX(art_price,MATCH(C1453,art_ref,0))),""))</f>
        <v/>
      </c>
      <c r="K1453" s="39" t="str">
        <f>IF(OR(C1453="",NOT(ISNUMBER(E1453))),"",IFERROR(ROUND(N(INDEX(art_init,MATCH(C1453,art_ref,0)))+SUMIFS($E$5:E1453,$C$5:C1453,C1453,$B$5:B1453,"Entrée")-SUMIFS($E$5:E1453,$C$5:C1453,C1453,$B$5:B1453,"Sortie"),6),""))</f>
        <v/>
      </c>
      <c r="L1453" s="39" t="str">
        <f>IF(COUNTA(A1453:C1453,E1453)=0,"",IF(COUNTA(A1453:C1453,E1453)&lt;4,"Ligne incomplète",IF(NOT(ISNUMBER(A1453)),"Date invalide",IF(AND(B1453&lt;&gt;"Entrée",B1453&lt;&gt;"Sortie"),"Type inconnu",IF(ISNA(MATCH(C1453,art_ref,0)),"Référence inconnue",IF(OR(NOT(ISNUMBER(E1453)),N(E1453)&lt;=0),"Quantité invalide",IF(K1453&lt;0,"Stock négatif",IF(AND(ISNUMBER(A1452),A1453&lt;A1452),"Date hors ordre","OK"))))))))</f>
        <v/>
      </c>
      <c r="M1453" s="39" t="str">
        <f>IF(C1453="","",C1453&amp;"#"&amp;COUNTIF($C$5:C1453,C1453))</f>
        <v/>
      </c>
    </row>
    <row r="1454">
      <c r="A1454" s="41" t="n"/>
      <c r="B1454" s="37" t="n"/>
      <c r="C1454" s="37" t="n"/>
      <c r="D1454" s="39" t="str">
        <f>IF(C1454="","",IFERROR(INDEX(art_des,MATCH(C1454,art_ref,0))&amp;"","Référence inconnue"))</f>
        <v/>
      </c>
      <c r="E1454" s="37" t="n"/>
      <c r="F1454" s="39" t="str">
        <f>IF(C1454="","",IFERROR(INDEX(art_unit,MATCH(C1454,art_ref,0))&amp;"",""))</f>
        <v/>
      </c>
      <c r="G1454" s="37" t="n"/>
      <c r="H1454" s="37" t="n"/>
      <c r="I1454" s="37" t="n"/>
      <c r="J1454" s="40" t="str">
        <f>IF(OR(C1454="",NOT(ISNUMBER(E1454))),"",IFERROR(E1454*N(INDEX(art_price,MATCH(C1454,art_ref,0))),""))</f>
        <v/>
      </c>
      <c r="K1454" s="39" t="str">
        <f>IF(OR(C1454="",NOT(ISNUMBER(E1454))),"",IFERROR(ROUND(N(INDEX(art_init,MATCH(C1454,art_ref,0)))+SUMIFS($E$5:E1454,$C$5:C1454,C1454,$B$5:B1454,"Entrée")-SUMIFS($E$5:E1454,$C$5:C1454,C1454,$B$5:B1454,"Sortie"),6),""))</f>
        <v/>
      </c>
      <c r="L1454" s="39" t="str">
        <f>IF(COUNTA(A1454:C1454,E1454)=0,"",IF(COUNTA(A1454:C1454,E1454)&lt;4,"Ligne incomplète",IF(NOT(ISNUMBER(A1454)),"Date invalide",IF(AND(B1454&lt;&gt;"Entrée",B1454&lt;&gt;"Sortie"),"Type inconnu",IF(ISNA(MATCH(C1454,art_ref,0)),"Référence inconnue",IF(OR(NOT(ISNUMBER(E1454)),N(E1454)&lt;=0),"Quantité invalide",IF(K1454&lt;0,"Stock négatif",IF(AND(ISNUMBER(A1453),A1454&lt;A1453),"Date hors ordre","OK"))))))))</f>
        <v/>
      </c>
      <c r="M1454" s="39" t="str">
        <f>IF(C1454="","",C1454&amp;"#"&amp;COUNTIF($C$5:C1454,C1454))</f>
        <v/>
      </c>
    </row>
    <row r="1455">
      <c r="A1455" s="41" t="n"/>
      <c r="B1455" s="37" t="n"/>
      <c r="C1455" s="37" t="n"/>
      <c r="D1455" s="39" t="str">
        <f>IF(C1455="","",IFERROR(INDEX(art_des,MATCH(C1455,art_ref,0))&amp;"","Référence inconnue"))</f>
        <v/>
      </c>
      <c r="E1455" s="37" t="n"/>
      <c r="F1455" s="39" t="str">
        <f>IF(C1455="","",IFERROR(INDEX(art_unit,MATCH(C1455,art_ref,0))&amp;"",""))</f>
        <v/>
      </c>
      <c r="G1455" s="37" t="n"/>
      <c r="H1455" s="37" t="n"/>
      <c r="I1455" s="37" t="n"/>
      <c r="J1455" s="40" t="str">
        <f>IF(OR(C1455="",NOT(ISNUMBER(E1455))),"",IFERROR(E1455*N(INDEX(art_price,MATCH(C1455,art_ref,0))),""))</f>
        <v/>
      </c>
      <c r="K1455" s="39" t="str">
        <f>IF(OR(C1455="",NOT(ISNUMBER(E1455))),"",IFERROR(ROUND(N(INDEX(art_init,MATCH(C1455,art_ref,0)))+SUMIFS($E$5:E1455,$C$5:C1455,C1455,$B$5:B1455,"Entrée")-SUMIFS($E$5:E1455,$C$5:C1455,C1455,$B$5:B1455,"Sortie"),6),""))</f>
        <v/>
      </c>
      <c r="L1455" s="39" t="str">
        <f>IF(COUNTA(A1455:C1455,E1455)=0,"",IF(COUNTA(A1455:C1455,E1455)&lt;4,"Ligne incomplète",IF(NOT(ISNUMBER(A1455)),"Date invalide",IF(AND(B1455&lt;&gt;"Entrée",B1455&lt;&gt;"Sortie"),"Type inconnu",IF(ISNA(MATCH(C1455,art_ref,0)),"Référence inconnue",IF(OR(NOT(ISNUMBER(E1455)),N(E1455)&lt;=0),"Quantité invalide",IF(K1455&lt;0,"Stock négatif",IF(AND(ISNUMBER(A1454),A1455&lt;A1454),"Date hors ordre","OK"))))))))</f>
        <v/>
      </c>
      <c r="M1455" s="39" t="str">
        <f>IF(C1455="","",C1455&amp;"#"&amp;COUNTIF($C$5:C1455,C1455))</f>
        <v/>
      </c>
    </row>
    <row r="1456">
      <c r="A1456" s="41" t="n"/>
      <c r="B1456" s="37" t="n"/>
      <c r="C1456" s="37" t="n"/>
      <c r="D1456" s="39" t="str">
        <f>IF(C1456="","",IFERROR(INDEX(art_des,MATCH(C1456,art_ref,0))&amp;"","Référence inconnue"))</f>
        <v/>
      </c>
      <c r="E1456" s="37" t="n"/>
      <c r="F1456" s="39" t="str">
        <f>IF(C1456="","",IFERROR(INDEX(art_unit,MATCH(C1456,art_ref,0))&amp;"",""))</f>
        <v/>
      </c>
      <c r="G1456" s="37" t="n"/>
      <c r="H1456" s="37" t="n"/>
      <c r="I1456" s="37" t="n"/>
      <c r="J1456" s="40" t="str">
        <f>IF(OR(C1456="",NOT(ISNUMBER(E1456))),"",IFERROR(E1456*N(INDEX(art_price,MATCH(C1456,art_ref,0))),""))</f>
        <v/>
      </c>
      <c r="K1456" s="39" t="str">
        <f>IF(OR(C1456="",NOT(ISNUMBER(E1456))),"",IFERROR(ROUND(N(INDEX(art_init,MATCH(C1456,art_ref,0)))+SUMIFS($E$5:E1456,$C$5:C1456,C1456,$B$5:B1456,"Entrée")-SUMIFS($E$5:E1456,$C$5:C1456,C1456,$B$5:B1456,"Sortie"),6),""))</f>
        <v/>
      </c>
      <c r="L1456" s="39" t="str">
        <f>IF(COUNTA(A1456:C1456,E1456)=0,"",IF(COUNTA(A1456:C1456,E1456)&lt;4,"Ligne incomplète",IF(NOT(ISNUMBER(A1456)),"Date invalide",IF(AND(B1456&lt;&gt;"Entrée",B1456&lt;&gt;"Sortie"),"Type inconnu",IF(ISNA(MATCH(C1456,art_ref,0)),"Référence inconnue",IF(OR(NOT(ISNUMBER(E1456)),N(E1456)&lt;=0),"Quantité invalide",IF(K1456&lt;0,"Stock négatif",IF(AND(ISNUMBER(A1455),A1456&lt;A1455),"Date hors ordre","OK"))))))))</f>
        <v/>
      </c>
      <c r="M1456" s="39" t="str">
        <f>IF(C1456="","",C1456&amp;"#"&amp;COUNTIF($C$5:C1456,C1456))</f>
        <v/>
      </c>
    </row>
    <row r="1457">
      <c r="A1457" s="41" t="n"/>
      <c r="B1457" s="37" t="n"/>
      <c r="C1457" s="37" t="n"/>
      <c r="D1457" s="39" t="str">
        <f>IF(C1457="","",IFERROR(INDEX(art_des,MATCH(C1457,art_ref,0))&amp;"","Référence inconnue"))</f>
        <v/>
      </c>
      <c r="E1457" s="37" t="n"/>
      <c r="F1457" s="39" t="str">
        <f>IF(C1457="","",IFERROR(INDEX(art_unit,MATCH(C1457,art_ref,0))&amp;"",""))</f>
        <v/>
      </c>
      <c r="G1457" s="37" t="n"/>
      <c r="H1457" s="37" t="n"/>
      <c r="I1457" s="37" t="n"/>
      <c r="J1457" s="40" t="str">
        <f>IF(OR(C1457="",NOT(ISNUMBER(E1457))),"",IFERROR(E1457*N(INDEX(art_price,MATCH(C1457,art_ref,0))),""))</f>
        <v/>
      </c>
      <c r="K1457" s="39" t="str">
        <f>IF(OR(C1457="",NOT(ISNUMBER(E1457))),"",IFERROR(ROUND(N(INDEX(art_init,MATCH(C1457,art_ref,0)))+SUMIFS($E$5:E1457,$C$5:C1457,C1457,$B$5:B1457,"Entrée")-SUMIFS($E$5:E1457,$C$5:C1457,C1457,$B$5:B1457,"Sortie"),6),""))</f>
        <v/>
      </c>
      <c r="L1457" s="39" t="str">
        <f>IF(COUNTA(A1457:C1457,E1457)=0,"",IF(COUNTA(A1457:C1457,E1457)&lt;4,"Ligne incomplète",IF(NOT(ISNUMBER(A1457)),"Date invalide",IF(AND(B1457&lt;&gt;"Entrée",B1457&lt;&gt;"Sortie"),"Type inconnu",IF(ISNA(MATCH(C1457,art_ref,0)),"Référence inconnue",IF(OR(NOT(ISNUMBER(E1457)),N(E1457)&lt;=0),"Quantité invalide",IF(K1457&lt;0,"Stock négatif",IF(AND(ISNUMBER(A1456),A1457&lt;A1456),"Date hors ordre","OK"))))))))</f>
        <v/>
      </c>
      <c r="M1457" s="39" t="str">
        <f>IF(C1457="","",C1457&amp;"#"&amp;COUNTIF($C$5:C1457,C1457))</f>
        <v/>
      </c>
    </row>
    <row r="1458">
      <c r="A1458" s="41" t="n"/>
      <c r="B1458" s="37" t="n"/>
      <c r="C1458" s="37" t="n"/>
      <c r="D1458" s="39" t="str">
        <f>IF(C1458="","",IFERROR(INDEX(art_des,MATCH(C1458,art_ref,0))&amp;"","Référence inconnue"))</f>
        <v/>
      </c>
      <c r="E1458" s="37" t="n"/>
      <c r="F1458" s="39" t="str">
        <f>IF(C1458="","",IFERROR(INDEX(art_unit,MATCH(C1458,art_ref,0))&amp;"",""))</f>
        <v/>
      </c>
      <c r="G1458" s="37" t="n"/>
      <c r="H1458" s="37" t="n"/>
      <c r="I1458" s="37" t="n"/>
      <c r="J1458" s="40" t="str">
        <f>IF(OR(C1458="",NOT(ISNUMBER(E1458))),"",IFERROR(E1458*N(INDEX(art_price,MATCH(C1458,art_ref,0))),""))</f>
        <v/>
      </c>
      <c r="K1458" s="39" t="str">
        <f>IF(OR(C1458="",NOT(ISNUMBER(E1458))),"",IFERROR(ROUND(N(INDEX(art_init,MATCH(C1458,art_ref,0)))+SUMIFS($E$5:E1458,$C$5:C1458,C1458,$B$5:B1458,"Entrée")-SUMIFS($E$5:E1458,$C$5:C1458,C1458,$B$5:B1458,"Sortie"),6),""))</f>
        <v/>
      </c>
      <c r="L1458" s="39" t="str">
        <f>IF(COUNTA(A1458:C1458,E1458)=0,"",IF(COUNTA(A1458:C1458,E1458)&lt;4,"Ligne incomplète",IF(NOT(ISNUMBER(A1458)),"Date invalide",IF(AND(B1458&lt;&gt;"Entrée",B1458&lt;&gt;"Sortie"),"Type inconnu",IF(ISNA(MATCH(C1458,art_ref,0)),"Référence inconnue",IF(OR(NOT(ISNUMBER(E1458)),N(E1458)&lt;=0),"Quantité invalide",IF(K1458&lt;0,"Stock négatif",IF(AND(ISNUMBER(A1457),A1458&lt;A1457),"Date hors ordre","OK"))))))))</f>
        <v/>
      </c>
      <c r="M1458" s="39" t="str">
        <f>IF(C1458="","",C1458&amp;"#"&amp;COUNTIF($C$5:C1458,C1458))</f>
        <v/>
      </c>
    </row>
    <row r="1459">
      <c r="A1459" s="41" t="n"/>
      <c r="B1459" s="37" t="n"/>
      <c r="C1459" s="37" t="n"/>
      <c r="D1459" s="39" t="str">
        <f>IF(C1459="","",IFERROR(INDEX(art_des,MATCH(C1459,art_ref,0))&amp;"","Référence inconnue"))</f>
        <v/>
      </c>
      <c r="E1459" s="37" t="n"/>
      <c r="F1459" s="39" t="str">
        <f>IF(C1459="","",IFERROR(INDEX(art_unit,MATCH(C1459,art_ref,0))&amp;"",""))</f>
        <v/>
      </c>
      <c r="G1459" s="37" t="n"/>
      <c r="H1459" s="37" t="n"/>
      <c r="I1459" s="37" t="n"/>
      <c r="J1459" s="40" t="str">
        <f>IF(OR(C1459="",NOT(ISNUMBER(E1459))),"",IFERROR(E1459*N(INDEX(art_price,MATCH(C1459,art_ref,0))),""))</f>
        <v/>
      </c>
      <c r="K1459" s="39" t="str">
        <f>IF(OR(C1459="",NOT(ISNUMBER(E1459))),"",IFERROR(ROUND(N(INDEX(art_init,MATCH(C1459,art_ref,0)))+SUMIFS($E$5:E1459,$C$5:C1459,C1459,$B$5:B1459,"Entrée")-SUMIFS($E$5:E1459,$C$5:C1459,C1459,$B$5:B1459,"Sortie"),6),""))</f>
        <v/>
      </c>
      <c r="L1459" s="39" t="str">
        <f>IF(COUNTA(A1459:C1459,E1459)=0,"",IF(COUNTA(A1459:C1459,E1459)&lt;4,"Ligne incomplète",IF(NOT(ISNUMBER(A1459)),"Date invalide",IF(AND(B1459&lt;&gt;"Entrée",B1459&lt;&gt;"Sortie"),"Type inconnu",IF(ISNA(MATCH(C1459,art_ref,0)),"Référence inconnue",IF(OR(NOT(ISNUMBER(E1459)),N(E1459)&lt;=0),"Quantité invalide",IF(K1459&lt;0,"Stock négatif",IF(AND(ISNUMBER(A1458),A1459&lt;A1458),"Date hors ordre","OK"))))))))</f>
        <v/>
      </c>
      <c r="M1459" s="39" t="str">
        <f>IF(C1459="","",C1459&amp;"#"&amp;COUNTIF($C$5:C1459,C1459))</f>
        <v/>
      </c>
    </row>
    <row r="1460">
      <c r="A1460" s="41" t="n"/>
      <c r="B1460" s="37" t="n"/>
      <c r="C1460" s="37" t="n"/>
      <c r="D1460" s="39" t="str">
        <f>IF(C1460="","",IFERROR(INDEX(art_des,MATCH(C1460,art_ref,0))&amp;"","Référence inconnue"))</f>
        <v/>
      </c>
      <c r="E1460" s="37" t="n"/>
      <c r="F1460" s="39" t="str">
        <f>IF(C1460="","",IFERROR(INDEX(art_unit,MATCH(C1460,art_ref,0))&amp;"",""))</f>
        <v/>
      </c>
      <c r="G1460" s="37" t="n"/>
      <c r="H1460" s="37" t="n"/>
      <c r="I1460" s="37" t="n"/>
      <c r="J1460" s="40" t="str">
        <f>IF(OR(C1460="",NOT(ISNUMBER(E1460))),"",IFERROR(E1460*N(INDEX(art_price,MATCH(C1460,art_ref,0))),""))</f>
        <v/>
      </c>
      <c r="K1460" s="39" t="str">
        <f>IF(OR(C1460="",NOT(ISNUMBER(E1460))),"",IFERROR(ROUND(N(INDEX(art_init,MATCH(C1460,art_ref,0)))+SUMIFS($E$5:E1460,$C$5:C1460,C1460,$B$5:B1460,"Entrée")-SUMIFS($E$5:E1460,$C$5:C1460,C1460,$B$5:B1460,"Sortie"),6),""))</f>
        <v/>
      </c>
      <c r="L1460" s="39" t="str">
        <f>IF(COUNTA(A1460:C1460,E1460)=0,"",IF(COUNTA(A1460:C1460,E1460)&lt;4,"Ligne incomplète",IF(NOT(ISNUMBER(A1460)),"Date invalide",IF(AND(B1460&lt;&gt;"Entrée",B1460&lt;&gt;"Sortie"),"Type inconnu",IF(ISNA(MATCH(C1460,art_ref,0)),"Référence inconnue",IF(OR(NOT(ISNUMBER(E1460)),N(E1460)&lt;=0),"Quantité invalide",IF(K1460&lt;0,"Stock négatif",IF(AND(ISNUMBER(A1459),A1460&lt;A1459),"Date hors ordre","OK"))))))))</f>
        <v/>
      </c>
      <c r="M1460" s="39" t="str">
        <f>IF(C1460="","",C1460&amp;"#"&amp;COUNTIF($C$5:C1460,C1460))</f>
        <v/>
      </c>
    </row>
    <row r="1461">
      <c r="A1461" s="41" t="n"/>
      <c r="B1461" s="37" t="n"/>
      <c r="C1461" s="37" t="n"/>
      <c r="D1461" s="39" t="str">
        <f>IF(C1461="","",IFERROR(INDEX(art_des,MATCH(C1461,art_ref,0))&amp;"","Référence inconnue"))</f>
        <v/>
      </c>
      <c r="E1461" s="37" t="n"/>
      <c r="F1461" s="39" t="str">
        <f>IF(C1461="","",IFERROR(INDEX(art_unit,MATCH(C1461,art_ref,0))&amp;"",""))</f>
        <v/>
      </c>
      <c r="G1461" s="37" t="n"/>
      <c r="H1461" s="37" t="n"/>
      <c r="I1461" s="37" t="n"/>
      <c r="J1461" s="40" t="str">
        <f>IF(OR(C1461="",NOT(ISNUMBER(E1461))),"",IFERROR(E1461*N(INDEX(art_price,MATCH(C1461,art_ref,0))),""))</f>
        <v/>
      </c>
      <c r="K1461" s="39" t="str">
        <f>IF(OR(C1461="",NOT(ISNUMBER(E1461))),"",IFERROR(ROUND(N(INDEX(art_init,MATCH(C1461,art_ref,0)))+SUMIFS($E$5:E1461,$C$5:C1461,C1461,$B$5:B1461,"Entrée")-SUMIFS($E$5:E1461,$C$5:C1461,C1461,$B$5:B1461,"Sortie"),6),""))</f>
        <v/>
      </c>
      <c r="L1461" s="39" t="str">
        <f>IF(COUNTA(A1461:C1461,E1461)=0,"",IF(COUNTA(A1461:C1461,E1461)&lt;4,"Ligne incomplète",IF(NOT(ISNUMBER(A1461)),"Date invalide",IF(AND(B1461&lt;&gt;"Entrée",B1461&lt;&gt;"Sortie"),"Type inconnu",IF(ISNA(MATCH(C1461,art_ref,0)),"Référence inconnue",IF(OR(NOT(ISNUMBER(E1461)),N(E1461)&lt;=0),"Quantité invalide",IF(K1461&lt;0,"Stock négatif",IF(AND(ISNUMBER(A1460),A1461&lt;A1460),"Date hors ordre","OK"))))))))</f>
        <v/>
      </c>
      <c r="M1461" s="39" t="str">
        <f>IF(C1461="","",C1461&amp;"#"&amp;COUNTIF($C$5:C1461,C1461))</f>
        <v/>
      </c>
    </row>
    <row r="1462">
      <c r="A1462" s="41" t="n"/>
      <c r="B1462" s="37" t="n"/>
      <c r="C1462" s="37" t="n"/>
      <c r="D1462" s="39" t="str">
        <f>IF(C1462="","",IFERROR(INDEX(art_des,MATCH(C1462,art_ref,0))&amp;"","Référence inconnue"))</f>
        <v/>
      </c>
      <c r="E1462" s="37" t="n"/>
      <c r="F1462" s="39" t="str">
        <f>IF(C1462="","",IFERROR(INDEX(art_unit,MATCH(C1462,art_ref,0))&amp;"",""))</f>
        <v/>
      </c>
      <c r="G1462" s="37" t="n"/>
      <c r="H1462" s="37" t="n"/>
      <c r="I1462" s="37" t="n"/>
      <c r="J1462" s="40" t="str">
        <f>IF(OR(C1462="",NOT(ISNUMBER(E1462))),"",IFERROR(E1462*N(INDEX(art_price,MATCH(C1462,art_ref,0))),""))</f>
        <v/>
      </c>
      <c r="K1462" s="39" t="str">
        <f>IF(OR(C1462="",NOT(ISNUMBER(E1462))),"",IFERROR(ROUND(N(INDEX(art_init,MATCH(C1462,art_ref,0)))+SUMIFS($E$5:E1462,$C$5:C1462,C1462,$B$5:B1462,"Entrée")-SUMIFS($E$5:E1462,$C$5:C1462,C1462,$B$5:B1462,"Sortie"),6),""))</f>
        <v/>
      </c>
      <c r="L1462" s="39" t="str">
        <f>IF(COUNTA(A1462:C1462,E1462)=0,"",IF(COUNTA(A1462:C1462,E1462)&lt;4,"Ligne incomplète",IF(NOT(ISNUMBER(A1462)),"Date invalide",IF(AND(B1462&lt;&gt;"Entrée",B1462&lt;&gt;"Sortie"),"Type inconnu",IF(ISNA(MATCH(C1462,art_ref,0)),"Référence inconnue",IF(OR(NOT(ISNUMBER(E1462)),N(E1462)&lt;=0),"Quantité invalide",IF(K1462&lt;0,"Stock négatif",IF(AND(ISNUMBER(A1461),A1462&lt;A1461),"Date hors ordre","OK"))))))))</f>
        <v/>
      </c>
      <c r="M1462" s="39" t="str">
        <f>IF(C1462="","",C1462&amp;"#"&amp;COUNTIF($C$5:C1462,C1462))</f>
        <v/>
      </c>
    </row>
    <row r="1463">
      <c r="A1463" s="41" t="n"/>
      <c r="B1463" s="37" t="n"/>
      <c r="C1463" s="37" t="n"/>
      <c r="D1463" s="39" t="str">
        <f>IF(C1463="","",IFERROR(INDEX(art_des,MATCH(C1463,art_ref,0))&amp;"","Référence inconnue"))</f>
        <v/>
      </c>
      <c r="E1463" s="37" t="n"/>
      <c r="F1463" s="39" t="str">
        <f>IF(C1463="","",IFERROR(INDEX(art_unit,MATCH(C1463,art_ref,0))&amp;"",""))</f>
        <v/>
      </c>
      <c r="G1463" s="37" t="n"/>
      <c r="H1463" s="37" t="n"/>
      <c r="I1463" s="37" t="n"/>
      <c r="J1463" s="40" t="str">
        <f>IF(OR(C1463="",NOT(ISNUMBER(E1463))),"",IFERROR(E1463*N(INDEX(art_price,MATCH(C1463,art_ref,0))),""))</f>
        <v/>
      </c>
      <c r="K1463" s="39" t="str">
        <f>IF(OR(C1463="",NOT(ISNUMBER(E1463))),"",IFERROR(ROUND(N(INDEX(art_init,MATCH(C1463,art_ref,0)))+SUMIFS($E$5:E1463,$C$5:C1463,C1463,$B$5:B1463,"Entrée")-SUMIFS($E$5:E1463,$C$5:C1463,C1463,$B$5:B1463,"Sortie"),6),""))</f>
        <v/>
      </c>
      <c r="L1463" s="39" t="str">
        <f>IF(COUNTA(A1463:C1463,E1463)=0,"",IF(COUNTA(A1463:C1463,E1463)&lt;4,"Ligne incomplète",IF(NOT(ISNUMBER(A1463)),"Date invalide",IF(AND(B1463&lt;&gt;"Entrée",B1463&lt;&gt;"Sortie"),"Type inconnu",IF(ISNA(MATCH(C1463,art_ref,0)),"Référence inconnue",IF(OR(NOT(ISNUMBER(E1463)),N(E1463)&lt;=0),"Quantité invalide",IF(K1463&lt;0,"Stock négatif",IF(AND(ISNUMBER(A1462),A1463&lt;A1462),"Date hors ordre","OK"))))))))</f>
        <v/>
      </c>
      <c r="M1463" s="39" t="str">
        <f>IF(C1463="","",C1463&amp;"#"&amp;COUNTIF($C$5:C1463,C1463))</f>
        <v/>
      </c>
    </row>
    <row r="1464">
      <c r="A1464" s="41" t="n"/>
      <c r="B1464" s="37" t="n"/>
      <c r="C1464" s="37" t="n"/>
      <c r="D1464" s="39" t="str">
        <f>IF(C1464="","",IFERROR(INDEX(art_des,MATCH(C1464,art_ref,0))&amp;"","Référence inconnue"))</f>
        <v/>
      </c>
      <c r="E1464" s="37" t="n"/>
      <c r="F1464" s="39" t="str">
        <f>IF(C1464="","",IFERROR(INDEX(art_unit,MATCH(C1464,art_ref,0))&amp;"",""))</f>
        <v/>
      </c>
      <c r="G1464" s="37" t="n"/>
      <c r="H1464" s="37" t="n"/>
      <c r="I1464" s="37" t="n"/>
      <c r="J1464" s="40" t="str">
        <f>IF(OR(C1464="",NOT(ISNUMBER(E1464))),"",IFERROR(E1464*N(INDEX(art_price,MATCH(C1464,art_ref,0))),""))</f>
        <v/>
      </c>
      <c r="K1464" s="39" t="str">
        <f>IF(OR(C1464="",NOT(ISNUMBER(E1464))),"",IFERROR(ROUND(N(INDEX(art_init,MATCH(C1464,art_ref,0)))+SUMIFS($E$5:E1464,$C$5:C1464,C1464,$B$5:B1464,"Entrée")-SUMIFS($E$5:E1464,$C$5:C1464,C1464,$B$5:B1464,"Sortie"),6),""))</f>
        <v/>
      </c>
      <c r="L1464" s="39" t="str">
        <f>IF(COUNTA(A1464:C1464,E1464)=0,"",IF(COUNTA(A1464:C1464,E1464)&lt;4,"Ligne incomplète",IF(NOT(ISNUMBER(A1464)),"Date invalide",IF(AND(B1464&lt;&gt;"Entrée",B1464&lt;&gt;"Sortie"),"Type inconnu",IF(ISNA(MATCH(C1464,art_ref,0)),"Référence inconnue",IF(OR(NOT(ISNUMBER(E1464)),N(E1464)&lt;=0),"Quantité invalide",IF(K1464&lt;0,"Stock négatif",IF(AND(ISNUMBER(A1463),A1464&lt;A1463),"Date hors ordre","OK"))))))))</f>
        <v/>
      </c>
      <c r="M1464" s="39" t="str">
        <f>IF(C1464="","",C1464&amp;"#"&amp;COUNTIF($C$5:C1464,C1464))</f>
        <v/>
      </c>
    </row>
    <row r="1465">
      <c r="A1465" s="41" t="n"/>
      <c r="B1465" s="37" t="n"/>
      <c r="C1465" s="37" t="n"/>
      <c r="D1465" s="39" t="str">
        <f>IF(C1465="","",IFERROR(INDEX(art_des,MATCH(C1465,art_ref,0))&amp;"","Référence inconnue"))</f>
        <v/>
      </c>
      <c r="E1465" s="37" t="n"/>
      <c r="F1465" s="39" t="str">
        <f>IF(C1465="","",IFERROR(INDEX(art_unit,MATCH(C1465,art_ref,0))&amp;"",""))</f>
        <v/>
      </c>
      <c r="G1465" s="37" t="n"/>
      <c r="H1465" s="37" t="n"/>
      <c r="I1465" s="37" t="n"/>
      <c r="J1465" s="40" t="str">
        <f>IF(OR(C1465="",NOT(ISNUMBER(E1465))),"",IFERROR(E1465*N(INDEX(art_price,MATCH(C1465,art_ref,0))),""))</f>
        <v/>
      </c>
      <c r="K1465" s="39" t="str">
        <f>IF(OR(C1465="",NOT(ISNUMBER(E1465))),"",IFERROR(ROUND(N(INDEX(art_init,MATCH(C1465,art_ref,0)))+SUMIFS($E$5:E1465,$C$5:C1465,C1465,$B$5:B1465,"Entrée")-SUMIFS($E$5:E1465,$C$5:C1465,C1465,$B$5:B1465,"Sortie"),6),""))</f>
        <v/>
      </c>
      <c r="L1465" s="39" t="str">
        <f>IF(COUNTA(A1465:C1465,E1465)=0,"",IF(COUNTA(A1465:C1465,E1465)&lt;4,"Ligne incomplète",IF(NOT(ISNUMBER(A1465)),"Date invalide",IF(AND(B1465&lt;&gt;"Entrée",B1465&lt;&gt;"Sortie"),"Type inconnu",IF(ISNA(MATCH(C1465,art_ref,0)),"Référence inconnue",IF(OR(NOT(ISNUMBER(E1465)),N(E1465)&lt;=0),"Quantité invalide",IF(K1465&lt;0,"Stock négatif",IF(AND(ISNUMBER(A1464),A1465&lt;A1464),"Date hors ordre","OK"))))))))</f>
        <v/>
      </c>
      <c r="M1465" s="39" t="str">
        <f>IF(C1465="","",C1465&amp;"#"&amp;COUNTIF($C$5:C1465,C1465))</f>
        <v/>
      </c>
    </row>
    <row r="1466">
      <c r="A1466" s="41" t="n"/>
      <c r="B1466" s="37" t="n"/>
      <c r="C1466" s="37" t="n"/>
      <c r="D1466" s="39" t="str">
        <f>IF(C1466="","",IFERROR(INDEX(art_des,MATCH(C1466,art_ref,0))&amp;"","Référence inconnue"))</f>
        <v/>
      </c>
      <c r="E1466" s="37" t="n"/>
      <c r="F1466" s="39" t="str">
        <f>IF(C1466="","",IFERROR(INDEX(art_unit,MATCH(C1466,art_ref,0))&amp;"",""))</f>
        <v/>
      </c>
      <c r="G1466" s="37" t="n"/>
      <c r="H1466" s="37" t="n"/>
      <c r="I1466" s="37" t="n"/>
      <c r="J1466" s="40" t="str">
        <f>IF(OR(C1466="",NOT(ISNUMBER(E1466))),"",IFERROR(E1466*N(INDEX(art_price,MATCH(C1466,art_ref,0))),""))</f>
        <v/>
      </c>
      <c r="K1466" s="39" t="str">
        <f>IF(OR(C1466="",NOT(ISNUMBER(E1466))),"",IFERROR(ROUND(N(INDEX(art_init,MATCH(C1466,art_ref,0)))+SUMIFS($E$5:E1466,$C$5:C1466,C1466,$B$5:B1466,"Entrée")-SUMIFS($E$5:E1466,$C$5:C1466,C1466,$B$5:B1466,"Sortie"),6),""))</f>
        <v/>
      </c>
      <c r="L1466" s="39" t="str">
        <f>IF(COUNTA(A1466:C1466,E1466)=0,"",IF(COUNTA(A1466:C1466,E1466)&lt;4,"Ligne incomplète",IF(NOT(ISNUMBER(A1466)),"Date invalide",IF(AND(B1466&lt;&gt;"Entrée",B1466&lt;&gt;"Sortie"),"Type inconnu",IF(ISNA(MATCH(C1466,art_ref,0)),"Référence inconnue",IF(OR(NOT(ISNUMBER(E1466)),N(E1466)&lt;=0),"Quantité invalide",IF(K1466&lt;0,"Stock négatif",IF(AND(ISNUMBER(A1465),A1466&lt;A1465),"Date hors ordre","OK"))))))))</f>
        <v/>
      </c>
      <c r="M1466" s="39" t="str">
        <f>IF(C1466="","",C1466&amp;"#"&amp;COUNTIF($C$5:C1466,C1466))</f>
        <v/>
      </c>
    </row>
    <row r="1467">
      <c r="A1467" s="41" t="n"/>
      <c r="B1467" s="37" t="n"/>
      <c r="C1467" s="37" t="n"/>
      <c r="D1467" s="39" t="str">
        <f>IF(C1467="","",IFERROR(INDEX(art_des,MATCH(C1467,art_ref,0))&amp;"","Référence inconnue"))</f>
        <v/>
      </c>
      <c r="E1467" s="37" t="n"/>
      <c r="F1467" s="39" t="str">
        <f>IF(C1467="","",IFERROR(INDEX(art_unit,MATCH(C1467,art_ref,0))&amp;"",""))</f>
        <v/>
      </c>
      <c r="G1467" s="37" t="n"/>
      <c r="H1467" s="37" t="n"/>
      <c r="I1467" s="37" t="n"/>
      <c r="J1467" s="40" t="str">
        <f>IF(OR(C1467="",NOT(ISNUMBER(E1467))),"",IFERROR(E1467*N(INDEX(art_price,MATCH(C1467,art_ref,0))),""))</f>
        <v/>
      </c>
      <c r="K1467" s="39" t="str">
        <f>IF(OR(C1467="",NOT(ISNUMBER(E1467))),"",IFERROR(ROUND(N(INDEX(art_init,MATCH(C1467,art_ref,0)))+SUMIFS($E$5:E1467,$C$5:C1467,C1467,$B$5:B1467,"Entrée")-SUMIFS($E$5:E1467,$C$5:C1467,C1467,$B$5:B1467,"Sortie"),6),""))</f>
        <v/>
      </c>
      <c r="L1467" s="39" t="str">
        <f>IF(COUNTA(A1467:C1467,E1467)=0,"",IF(COUNTA(A1467:C1467,E1467)&lt;4,"Ligne incomplète",IF(NOT(ISNUMBER(A1467)),"Date invalide",IF(AND(B1467&lt;&gt;"Entrée",B1467&lt;&gt;"Sortie"),"Type inconnu",IF(ISNA(MATCH(C1467,art_ref,0)),"Référence inconnue",IF(OR(NOT(ISNUMBER(E1467)),N(E1467)&lt;=0),"Quantité invalide",IF(K1467&lt;0,"Stock négatif",IF(AND(ISNUMBER(A1466),A1467&lt;A1466),"Date hors ordre","OK"))))))))</f>
        <v/>
      </c>
      <c r="M1467" s="39" t="str">
        <f>IF(C1467="","",C1467&amp;"#"&amp;COUNTIF($C$5:C1467,C1467))</f>
        <v/>
      </c>
    </row>
    <row r="1468">
      <c r="A1468" s="41" t="n"/>
      <c r="B1468" s="37" t="n"/>
      <c r="C1468" s="37" t="n"/>
      <c r="D1468" s="39" t="str">
        <f>IF(C1468="","",IFERROR(INDEX(art_des,MATCH(C1468,art_ref,0))&amp;"","Référence inconnue"))</f>
        <v/>
      </c>
      <c r="E1468" s="37" t="n"/>
      <c r="F1468" s="39" t="str">
        <f>IF(C1468="","",IFERROR(INDEX(art_unit,MATCH(C1468,art_ref,0))&amp;"",""))</f>
        <v/>
      </c>
      <c r="G1468" s="37" t="n"/>
      <c r="H1468" s="37" t="n"/>
      <c r="I1468" s="37" t="n"/>
      <c r="J1468" s="40" t="str">
        <f>IF(OR(C1468="",NOT(ISNUMBER(E1468))),"",IFERROR(E1468*N(INDEX(art_price,MATCH(C1468,art_ref,0))),""))</f>
        <v/>
      </c>
      <c r="K1468" s="39" t="str">
        <f>IF(OR(C1468="",NOT(ISNUMBER(E1468))),"",IFERROR(ROUND(N(INDEX(art_init,MATCH(C1468,art_ref,0)))+SUMIFS($E$5:E1468,$C$5:C1468,C1468,$B$5:B1468,"Entrée")-SUMIFS($E$5:E1468,$C$5:C1468,C1468,$B$5:B1468,"Sortie"),6),""))</f>
        <v/>
      </c>
      <c r="L1468" s="39" t="str">
        <f>IF(COUNTA(A1468:C1468,E1468)=0,"",IF(COUNTA(A1468:C1468,E1468)&lt;4,"Ligne incomplète",IF(NOT(ISNUMBER(A1468)),"Date invalide",IF(AND(B1468&lt;&gt;"Entrée",B1468&lt;&gt;"Sortie"),"Type inconnu",IF(ISNA(MATCH(C1468,art_ref,0)),"Référence inconnue",IF(OR(NOT(ISNUMBER(E1468)),N(E1468)&lt;=0),"Quantité invalide",IF(K1468&lt;0,"Stock négatif",IF(AND(ISNUMBER(A1467),A1468&lt;A1467),"Date hors ordre","OK"))))))))</f>
        <v/>
      </c>
      <c r="M1468" s="39" t="str">
        <f>IF(C1468="","",C1468&amp;"#"&amp;COUNTIF($C$5:C1468,C1468))</f>
        <v/>
      </c>
    </row>
    <row r="1469">
      <c r="A1469" s="41" t="n"/>
      <c r="B1469" s="37" t="n"/>
      <c r="C1469" s="37" t="n"/>
      <c r="D1469" s="39" t="str">
        <f>IF(C1469="","",IFERROR(INDEX(art_des,MATCH(C1469,art_ref,0))&amp;"","Référence inconnue"))</f>
        <v/>
      </c>
      <c r="E1469" s="37" t="n"/>
      <c r="F1469" s="39" t="str">
        <f>IF(C1469="","",IFERROR(INDEX(art_unit,MATCH(C1469,art_ref,0))&amp;"",""))</f>
        <v/>
      </c>
      <c r="G1469" s="37" t="n"/>
      <c r="H1469" s="37" t="n"/>
      <c r="I1469" s="37" t="n"/>
      <c r="J1469" s="40" t="str">
        <f>IF(OR(C1469="",NOT(ISNUMBER(E1469))),"",IFERROR(E1469*N(INDEX(art_price,MATCH(C1469,art_ref,0))),""))</f>
        <v/>
      </c>
      <c r="K1469" s="39" t="str">
        <f>IF(OR(C1469="",NOT(ISNUMBER(E1469))),"",IFERROR(ROUND(N(INDEX(art_init,MATCH(C1469,art_ref,0)))+SUMIFS($E$5:E1469,$C$5:C1469,C1469,$B$5:B1469,"Entrée")-SUMIFS($E$5:E1469,$C$5:C1469,C1469,$B$5:B1469,"Sortie"),6),""))</f>
        <v/>
      </c>
      <c r="L1469" s="39" t="str">
        <f>IF(COUNTA(A1469:C1469,E1469)=0,"",IF(COUNTA(A1469:C1469,E1469)&lt;4,"Ligne incomplète",IF(NOT(ISNUMBER(A1469)),"Date invalide",IF(AND(B1469&lt;&gt;"Entrée",B1469&lt;&gt;"Sortie"),"Type inconnu",IF(ISNA(MATCH(C1469,art_ref,0)),"Référence inconnue",IF(OR(NOT(ISNUMBER(E1469)),N(E1469)&lt;=0),"Quantité invalide",IF(K1469&lt;0,"Stock négatif",IF(AND(ISNUMBER(A1468),A1469&lt;A1468),"Date hors ordre","OK"))))))))</f>
        <v/>
      </c>
      <c r="M1469" s="39" t="str">
        <f>IF(C1469="","",C1469&amp;"#"&amp;COUNTIF($C$5:C1469,C1469))</f>
        <v/>
      </c>
    </row>
    <row r="1470">
      <c r="A1470" s="41" t="n"/>
      <c r="B1470" s="37" t="n"/>
      <c r="C1470" s="37" t="n"/>
      <c r="D1470" s="39" t="str">
        <f>IF(C1470="","",IFERROR(INDEX(art_des,MATCH(C1470,art_ref,0))&amp;"","Référence inconnue"))</f>
        <v/>
      </c>
      <c r="E1470" s="37" t="n"/>
      <c r="F1470" s="39" t="str">
        <f>IF(C1470="","",IFERROR(INDEX(art_unit,MATCH(C1470,art_ref,0))&amp;"",""))</f>
        <v/>
      </c>
      <c r="G1470" s="37" t="n"/>
      <c r="H1470" s="37" t="n"/>
      <c r="I1470" s="37" t="n"/>
      <c r="J1470" s="40" t="str">
        <f>IF(OR(C1470="",NOT(ISNUMBER(E1470))),"",IFERROR(E1470*N(INDEX(art_price,MATCH(C1470,art_ref,0))),""))</f>
        <v/>
      </c>
      <c r="K1470" s="39" t="str">
        <f>IF(OR(C1470="",NOT(ISNUMBER(E1470))),"",IFERROR(ROUND(N(INDEX(art_init,MATCH(C1470,art_ref,0)))+SUMIFS($E$5:E1470,$C$5:C1470,C1470,$B$5:B1470,"Entrée")-SUMIFS($E$5:E1470,$C$5:C1470,C1470,$B$5:B1470,"Sortie"),6),""))</f>
        <v/>
      </c>
      <c r="L1470" s="39" t="str">
        <f>IF(COUNTA(A1470:C1470,E1470)=0,"",IF(COUNTA(A1470:C1470,E1470)&lt;4,"Ligne incomplète",IF(NOT(ISNUMBER(A1470)),"Date invalide",IF(AND(B1470&lt;&gt;"Entrée",B1470&lt;&gt;"Sortie"),"Type inconnu",IF(ISNA(MATCH(C1470,art_ref,0)),"Référence inconnue",IF(OR(NOT(ISNUMBER(E1470)),N(E1470)&lt;=0),"Quantité invalide",IF(K1470&lt;0,"Stock négatif",IF(AND(ISNUMBER(A1469),A1470&lt;A1469),"Date hors ordre","OK"))))))))</f>
        <v/>
      </c>
      <c r="M1470" s="39" t="str">
        <f>IF(C1470="","",C1470&amp;"#"&amp;COUNTIF($C$5:C1470,C1470))</f>
        <v/>
      </c>
    </row>
    <row r="1471">
      <c r="A1471" s="41" t="n"/>
      <c r="B1471" s="37" t="n"/>
      <c r="C1471" s="37" t="n"/>
      <c r="D1471" s="39" t="str">
        <f>IF(C1471="","",IFERROR(INDEX(art_des,MATCH(C1471,art_ref,0))&amp;"","Référence inconnue"))</f>
        <v/>
      </c>
      <c r="E1471" s="37" t="n"/>
      <c r="F1471" s="39" t="str">
        <f>IF(C1471="","",IFERROR(INDEX(art_unit,MATCH(C1471,art_ref,0))&amp;"",""))</f>
        <v/>
      </c>
      <c r="G1471" s="37" t="n"/>
      <c r="H1471" s="37" t="n"/>
      <c r="I1471" s="37" t="n"/>
      <c r="J1471" s="40" t="str">
        <f>IF(OR(C1471="",NOT(ISNUMBER(E1471))),"",IFERROR(E1471*N(INDEX(art_price,MATCH(C1471,art_ref,0))),""))</f>
        <v/>
      </c>
      <c r="K1471" s="39" t="str">
        <f>IF(OR(C1471="",NOT(ISNUMBER(E1471))),"",IFERROR(ROUND(N(INDEX(art_init,MATCH(C1471,art_ref,0)))+SUMIFS($E$5:E1471,$C$5:C1471,C1471,$B$5:B1471,"Entrée")-SUMIFS($E$5:E1471,$C$5:C1471,C1471,$B$5:B1471,"Sortie"),6),""))</f>
        <v/>
      </c>
      <c r="L1471" s="39" t="str">
        <f>IF(COUNTA(A1471:C1471,E1471)=0,"",IF(COUNTA(A1471:C1471,E1471)&lt;4,"Ligne incomplète",IF(NOT(ISNUMBER(A1471)),"Date invalide",IF(AND(B1471&lt;&gt;"Entrée",B1471&lt;&gt;"Sortie"),"Type inconnu",IF(ISNA(MATCH(C1471,art_ref,0)),"Référence inconnue",IF(OR(NOT(ISNUMBER(E1471)),N(E1471)&lt;=0),"Quantité invalide",IF(K1471&lt;0,"Stock négatif",IF(AND(ISNUMBER(A1470),A1471&lt;A1470),"Date hors ordre","OK"))))))))</f>
        <v/>
      </c>
      <c r="M1471" s="39" t="str">
        <f>IF(C1471="","",C1471&amp;"#"&amp;COUNTIF($C$5:C1471,C1471))</f>
        <v/>
      </c>
    </row>
    <row r="1472">
      <c r="A1472" s="41" t="n"/>
      <c r="B1472" s="37" t="n"/>
      <c r="C1472" s="37" t="n"/>
      <c r="D1472" s="39" t="str">
        <f>IF(C1472="","",IFERROR(INDEX(art_des,MATCH(C1472,art_ref,0))&amp;"","Référence inconnue"))</f>
        <v/>
      </c>
      <c r="E1472" s="37" t="n"/>
      <c r="F1472" s="39" t="str">
        <f>IF(C1472="","",IFERROR(INDEX(art_unit,MATCH(C1472,art_ref,0))&amp;"",""))</f>
        <v/>
      </c>
      <c r="G1472" s="37" t="n"/>
      <c r="H1472" s="37" t="n"/>
      <c r="I1472" s="37" t="n"/>
      <c r="J1472" s="40" t="str">
        <f>IF(OR(C1472="",NOT(ISNUMBER(E1472))),"",IFERROR(E1472*N(INDEX(art_price,MATCH(C1472,art_ref,0))),""))</f>
        <v/>
      </c>
      <c r="K1472" s="39" t="str">
        <f>IF(OR(C1472="",NOT(ISNUMBER(E1472))),"",IFERROR(ROUND(N(INDEX(art_init,MATCH(C1472,art_ref,0)))+SUMIFS($E$5:E1472,$C$5:C1472,C1472,$B$5:B1472,"Entrée")-SUMIFS($E$5:E1472,$C$5:C1472,C1472,$B$5:B1472,"Sortie"),6),""))</f>
        <v/>
      </c>
      <c r="L1472" s="39" t="str">
        <f>IF(COUNTA(A1472:C1472,E1472)=0,"",IF(COUNTA(A1472:C1472,E1472)&lt;4,"Ligne incomplète",IF(NOT(ISNUMBER(A1472)),"Date invalide",IF(AND(B1472&lt;&gt;"Entrée",B1472&lt;&gt;"Sortie"),"Type inconnu",IF(ISNA(MATCH(C1472,art_ref,0)),"Référence inconnue",IF(OR(NOT(ISNUMBER(E1472)),N(E1472)&lt;=0),"Quantité invalide",IF(K1472&lt;0,"Stock négatif",IF(AND(ISNUMBER(A1471),A1472&lt;A1471),"Date hors ordre","OK"))))))))</f>
        <v/>
      </c>
      <c r="M1472" s="39" t="str">
        <f>IF(C1472="","",C1472&amp;"#"&amp;COUNTIF($C$5:C1472,C1472))</f>
        <v/>
      </c>
    </row>
    <row r="1473">
      <c r="A1473" s="41" t="n"/>
      <c r="B1473" s="37" t="n"/>
      <c r="C1473" s="37" t="n"/>
      <c r="D1473" s="39" t="str">
        <f>IF(C1473="","",IFERROR(INDEX(art_des,MATCH(C1473,art_ref,0))&amp;"","Référence inconnue"))</f>
        <v/>
      </c>
      <c r="E1473" s="37" t="n"/>
      <c r="F1473" s="39" t="str">
        <f>IF(C1473="","",IFERROR(INDEX(art_unit,MATCH(C1473,art_ref,0))&amp;"",""))</f>
        <v/>
      </c>
      <c r="G1473" s="37" t="n"/>
      <c r="H1473" s="37" t="n"/>
      <c r="I1473" s="37" t="n"/>
      <c r="J1473" s="40" t="str">
        <f>IF(OR(C1473="",NOT(ISNUMBER(E1473))),"",IFERROR(E1473*N(INDEX(art_price,MATCH(C1473,art_ref,0))),""))</f>
        <v/>
      </c>
      <c r="K1473" s="39" t="str">
        <f>IF(OR(C1473="",NOT(ISNUMBER(E1473))),"",IFERROR(ROUND(N(INDEX(art_init,MATCH(C1473,art_ref,0)))+SUMIFS($E$5:E1473,$C$5:C1473,C1473,$B$5:B1473,"Entrée")-SUMIFS($E$5:E1473,$C$5:C1473,C1473,$B$5:B1473,"Sortie"),6),""))</f>
        <v/>
      </c>
      <c r="L1473" s="39" t="str">
        <f>IF(COUNTA(A1473:C1473,E1473)=0,"",IF(COUNTA(A1473:C1473,E1473)&lt;4,"Ligne incomplète",IF(NOT(ISNUMBER(A1473)),"Date invalide",IF(AND(B1473&lt;&gt;"Entrée",B1473&lt;&gt;"Sortie"),"Type inconnu",IF(ISNA(MATCH(C1473,art_ref,0)),"Référence inconnue",IF(OR(NOT(ISNUMBER(E1473)),N(E1473)&lt;=0),"Quantité invalide",IF(K1473&lt;0,"Stock négatif",IF(AND(ISNUMBER(A1472),A1473&lt;A1472),"Date hors ordre","OK"))))))))</f>
        <v/>
      </c>
      <c r="M1473" s="39" t="str">
        <f>IF(C1473="","",C1473&amp;"#"&amp;COUNTIF($C$5:C1473,C1473))</f>
        <v/>
      </c>
    </row>
    <row r="1474">
      <c r="A1474" s="41" t="n"/>
      <c r="B1474" s="37" t="n"/>
      <c r="C1474" s="37" t="n"/>
      <c r="D1474" s="39" t="str">
        <f>IF(C1474="","",IFERROR(INDEX(art_des,MATCH(C1474,art_ref,0))&amp;"","Référence inconnue"))</f>
        <v/>
      </c>
      <c r="E1474" s="37" t="n"/>
      <c r="F1474" s="39" t="str">
        <f>IF(C1474="","",IFERROR(INDEX(art_unit,MATCH(C1474,art_ref,0))&amp;"",""))</f>
        <v/>
      </c>
      <c r="G1474" s="37" t="n"/>
      <c r="H1474" s="37" t="n"/>
      <c r="I1474" s="37" t="n"/>
      <c r="J1474" s="40" t="str">
        <f>IF(OR(C1474="",NOT(ISNUMBER(E1474))),"",IFERROR(E1474*N(INDEX(art_price,MATCH(C1474,art_ref,0))),""))</f>
        <v/>
      </c>
      <c r="K1474" s="39" t="str">
        <f>IF(OR(C1474="",NOT(ISNUMBER(E1474))),"",IFERROR(ROUND(N(INDEX(art_init,MATCH(C1474,art_ref,0)))+SUMIFS($E$5:E1474,$C$5:C1474,C1474,$B$5:B1474,"Entrée")-SUMIFS($E$5:E1474,$C$5:C1474,C1474,$B$5:B1474,"Sortie"),6),""))</f>
        <v/>
      </c>
      <c r="L1474" s="39" t="str">
        <f>IF(COUNTA(A1474:C1474,E1474)=0,"",IF(COUNTA(A1474:C1474,E1474)&lt;4,"Ligne incomplète",IF(NOT(ISNUMBER(A1474)),"Date invalide",IF(AND(B1474&lt;&gt;"Entrée",B1474&lt;&gt;"Sortie"),"Type inconnu",IF(ISNA(MATCH(C1474,art_ref,0)),"Référence inconnue",IF(OR(NOT(ISNUMBER(E1474)),N(E1474)&lt;=0),"Quantité invalide",IF(K1474&lt;0,"Stock négatif",IF(AND(ISNUMBER(A1473),A1474&lt;A1473),"Date hors ordre","OK"))))))))</f>
        <v/>
      </c>
      <c r="M1474" s="39" t="str">
        <f>IF(C1474="","",C1474&amp;"#"&amp;COUNTIF($C$5:C1474,C1474))</f>
        <v/>
      </c>
    </row>
    <row r="1475">
      <c r="A1475" s="41" t="n"/>
      <c r="B1475" s="37" t="n"/>
      <c r="C1475" s="37" t="n"/>
      <c r="D1475" s="39" t="str">
        <f>IF(C1475="","",IFERROR(INDEX(art_des,MATCH(C1475,art_ref,0))&amp;"","Référence inconnue"))</f>
        <v/>
      </c>
      <c r="E1475" s="37" t="n"/>
      <c r="F1475" s="39" t="str">
        <f>IF(C1475="","",IFERROR(INDEX(art_unit,MATCH(C1475,art_ref,0))&amp;"",""))</f>
        <v/>
      </c>
      <c r="G1475" s="37" t="n"/>
      <c r="H1475" s="37" t="n"/>
      <c r="I1475" s="37" t="n"/>
      <c r="J1475" s="40" t="str">
        <f>IF(OR(C1475="",NOT(ISNUMBER(E1475))),"",IFERROR(E1475*N(INDEX(art_price,MATCH(C1475,art_ref,0))),""))</f>
        <v/>
      </c>
      <c r="K1475" s="39" t="str">
        <f>IF(OR(C1475="",NOT(ISNUMBER(E1475))),"",IFERROR(ROUND(N(INDEX(art_init,MATCH(C1475,art_ref,0)))+SUMIFS($E$5:E1475,$C$5:C1475,C1475,$B$5:B1475,"Entrée")-SUMIFS($E$5:E1475,$C$5:C1475,C1475,$B$5:B1475,"Sortie"),6),""))</f>
        <v/>
      </c>
      <c r="L1475" s="39" t="str">
        <f>IF(COUNTA(A1475:C1475,E1475)=0,"",IF(COUNTA(A1475:C1475,E1475)&lt;4,"Ligne incomplète",IF(NOT(ISNUMBER(A1475)),"Date invalide",IF(AND(B1475&lt;&gt;"Entrée",B1475&lt;&gt;"Sortie"),"Type inconnu",IF(ISNA(MATCH(C1475,art_ref,0)),"Référence inconnue",IF(OR(NOT(ISNUMBER(E1475)),N(E1475)&lt;=0),"Quantité invalide",IF(K1475&lt;0,"Stock négatif",IF(AND(ISNUMBER(A1474),A1475&lt;A1474),"Date hors ordre","OK"))))))))</f>
        <v/>
      </c>
      <c r="M1475" s="39" t="str">
        <f>IF(C1475="","",C1475&amp;"#"&amp;COUNTIF($C$5:C1475,C1475))</f>
        <v/>
      </c>
    </row>
    <row r="1476">
      <c r="A1476" s="41" t="n"/>
      <c r="B1476" s="37" t="n"/>
      <c r="C1476" s="37" t="n"/>
      <c r="D1476" s="39" t="str">
        <f>IF(C1476="","",IFERROR(INDEX(art_des,MATCH(C1476,art_ref,0))&amp;"","Référence inconnue"))</f>
        <v/>
      </c>
      <c r="E1476" s="37" t="n"/>
      <c r="F1476" s="39" t="str">
        <f>IF(C1476="","",IFERROR(INDEX(art_unit,MATCH(C1476,art_ref,0))&amp;"",""))</f>
        <v/>
      </c>
      <c r="G1476" s="37" t="n"/>
      <c r="H1476" s="37" t="n"/>
      <c r="I1476" s="37" t="n"/>
      <c r="J1476" s="40" t="str">
        <f>IF(OR(C1476="",NOT(ISNUMBER(E1476))),"",IFERROR(E1476*N(INDEX(art_price,MATCH(C1476,art_ref,0))),""))</f>
        <v/>
      </c>
      <c r="K1476" s="39" t="str">
        <f>IF(OR(C1476="",NOT(ISNUMBER(E1476))),"",IFERROR(ROUND(N(INDEX(art_init,MATCH(C1476,art_ref,0)))+SUMIFS($E$5:E1476,$C$5:C1476,C1476,$B$5:B1476,"Entrée")-SUMIFS($E$5:E1476,$C$5:C1476,C1476,$B$5:B1476,"Sortie"),6),""))</f>
        <v/>
      </c>
      <c r="L1476" s="39" t="str">
        <f>IF(COUNTA(A1476:C1476,E1476)=0,"",IF(COUNTA(A1476:C1476,E1476)&lt;4,"Ligne incomplète",IF(NOT(ISNUMBER(A1476)),"Date invalide",IF(AND(B1476&lt;&gt;"Entrée",B1476&lt;&gt;"Sortie"),"Type inconnu",IF(ISNA(MATCH(C1476,art_ref,0)),"Référence inconnue",IF(OR(NOT(ISNUMBER(E1476)),N(E1476)&lt;=0),"Quantité invalide",IF(K1476&lt;0,"Stock négatif",IF(AND(ISNUMBER(A1475),A1476&lt;A1475),"Date hors ordre","OK"))))))))</f>
        <v/>
      </c>
      <c r="M1476" s="39" t="str">
        <f>IF(C1476="","",C1476&amp;"#"&amp;COUNTIF($C$5:C1476,C1476))</f>
        <v/>
      </c>
    </row>
    <row r="1477">
      <c r="A1477" s="41" t="n"/>
      <c r="B1477" s="37" t="n"/>
      <c r="C1477" s="37" t="n"/>
      <c r="D1477" s="39" t="str">
        <f>IF(C1477="","",IFERROR(INDEX(art_des,MATCH(C1477,art_ref,0))&amp;"","Référence inconnue"))</f>
        <v/>
      </c>
      <c r="E1477" s="37" t="n"/>
      <c r="F1477" s="39" t="str">
        <f>IF(C1477="","",IFERROR(INDEX(art_unit,MATCH(C1477,art_ref,0))&amp;"",""))</f>
        <v/>
      </c>
      <c r="G1477" s="37" t="n"/>
      <c r="H1477" s="37" t="n"/>
      <c r="I1477" s="37" t="n"/>
      <c r="J1477" s="40" t="str">
        <f>IF(OR(C1477="",NOT(ISNUMBER(E1477))),"",IFERROR(E1477*N(INDEX(art_price,MATCH(C1477,art_ref,0))),""))</f>
        <v/>
      </c>
      <c r="K1477" s="39" t="str">
        <f>IF(OR(C1477="",NOT(ISNUMBER(E1477))),"",IFERROR(ROUND(N(INDEX(art_init,MATCH(C1477,art_ref,0)))+SUMIFS($E$5:E1477,$C$5:C1477,C1477,$B$5:B1477,"Entrée")-SUMIFS($E$5:E1477,$C$5:C1477,C1477,$B$5:B1477,"Sortie"),6),""))</f>
        <v/>
      </c>
      <c r="L1477" s="39" t="str">
        <f>IF(COUNTA(A1477:C1477,E1477)=0,"",IF(COUNTA(A1477:C1477,E1477)&lt;4,"Ligne incomplète",IF(NOT(ISNUMBER(A1477)),"Date invalide",IF(AND(B1477&lt;&gt;"Entrée",B1477&lt;&gt;"Sortie"),"Type inconnu",IF(ISNA(MATCH(C1477,art_ref,0)),"Référence inconnue",IF(OR(NOT(ISNUMBER(E1477)),N(E1477)&lt;=0),"Quantité invalide",IF(K1477&lt;0,"Stock négatif",IF(AND(ISNUMBER(A1476),A1477&lt;A1476),"Date hors ordre","OK"))))))))</f>
        <v/>
      </c>
      <c r="M1477" s="39" t="str">
        <f>IF(C1477="","",C1477&amp;"#"&amp;COUNTIF($C$5:C1477,C1477))</f>
        <v/>
      </c>
    </row>
    <row r="1478">
      <c r="A1478" s="41" t="n"/>
      <c r="B1478" s="37" t="n"/>
      <c r="C1478" s="37" t="n"/>
      <c r="D1478" s="39" t="str">
        <f>IF(C1478="","",IFERROR(INDEX(art_des,MATCH(C1478,art_ref,0))&amp;"","Référence inconnue"))</f>
        <v/>
      </c>
      <c r="E1478" s="37" t="n"/>
      <c r="F1478" s="39" t="str">
        <f>IF(C1478="","",IFERROR(INDEX(art_unit,MATCH(C1478,art_ref,0))&amp;"",""))</f>
        <v/>
      </c>
      <c r="G1478" s="37" t="n"/>
      <c r="H1478" s="37" t="n"/>
      <c r="I1478" s="37" t="n"/>
      <c r="J1478" s="40" t="str">
        <f>IF(OR(C1478="",NOT(ISNUMBER(E1478))),"",IFERROR(E1478*N(INDEX(art_price,MATCH(C1478,art_ref,0))),""))</f>
        <v/>
      </c>
      <c r="K1478" s="39" t="str">
        <f>IF(OR(C1478="",NOT(ISNUMBER(E1478))),"",IFERROR(ROUND(N(INDEX(art_init,MATCH(C1478,art_ref,0)))+SUMIFS($E$5:E1478,$C$5:C1478,C1478,$B$5:B1478,"Entrée")-SUMIFS($E$5:E1478,$C$5:C1478,C1478,$B$5:B1478,"Sortie"),6),""))</f>
        <v/>
      </c>
      <c r="L1478" s="39" t="str">
        <f>IF(COUNTA(A1478:C1478,E1478)=0,"",IF(COUNTA(A1478:C1478,E1478)&lt;4,"Ligne incomplète",IF(NOT(ISNUMBER(A1478)),"Date invalide",IF(AND(B1478&lt;&gt;"Entrée",B1478&lt;&gt;"Sortie"),"Type inconnu",IF(ISNA(MATCH(C1478,art_ref,0)),"Référence inconnue",IF(OR(NOT(ISNUMBER(E1478)),N(E1478)&lt;=0),"Quantité invalide",IF(K1478&lt;0,"Stock négatif",IF(AND(ISNUMBER(A1477),A1478&lt;A1477),"Date hors ordre","OK"))))))))</f>
        <v/>
      </c>
      <c r="M1478" s="39" t="str">
        <f>IF(C1478="","",C1478&amp;"#"&amp;COUNTIF($C$5:C1478,C1478))</f>
        <v/>
      </c>
    </row>
    <row r="1479">
      <c r="A1479" s="41" t="n"/>
      <c r="B1479" s="37" t="n"/>
      <c r="C1479" s="37" t="n"/>
      <c r="D1479" s="39" t="str">
        <f>IF(C1479="","",IFERROR(INDEX(art_des,MATCH(C1479,art_ref,0))&amp;"","Référence inconnue"))</f>
        <v/>
      </c>
      <c r="E1479" s="37" t="n"/>
      <c r="F1479" s="39" t="str">
        <f>IF(C1479="","",IFERROR(INDEX(art_unit,MATCH(C1479,art_ref,0))&amp;"",""))</f>
        <v/>
      </c>
      <c r="G1479" s="37" t="n"/>
      <c r="H1479" s="37" t="n"/>
      <c r="I1479" s="37" t="n"/>
      <c r="J1479" s="40" t="str">
        <f>IF(OR(C1479="",NOT(ISNUMBER(E1479))),"",IFERROR(E1479*N(INDEX(art_price,MATCH(C1479,art_ref,0))),""))</f>
        <v/>
      </c>
      <c r="K1479" s="39" t="str">
        <f>IF(OR(C1479="",NOT(ISNUMBER(E1479))),"",IFERROR(ROUND(N(INDEX(art_init,MATCH(C1479,art_ref,0)))+SUMIFS($E$5:E1479,$C$5:C1479,C1479,$B$5:B1479,"Entrée")-SUMIFS($E$5:E1479,$C$5:C1479,C1479,$B$5:B1479,"Sortie"),6),""))</f>
        <v/>
      </c>
      <c r="L1479" s="39" t="str">
        <f>IF(COUNTA(A1479:C1479,E1479)=0,"",IF(COUNTA(A1479:C1479,E1479)&lt;4,"Ligne incomplète",IF(NOT(ISNUMBER(A1479)),"Date invalide",IF(AND(B1479&lt;&gt;"Entrée",B1479&lt;&gt;"Sortie"),"Type inconnu",IF(ISNA(MATCH(C1479,art_ref,0)),"Référence inconnue",IF(OR(NOT(ISNUMBER(E1479)),N(E1479)&lt;=0),"Quantité invalide",IF(K1479&lt;0,"Stock négatif",IF(AND(ISNUMBER(A1478),A1479&lt;A1478),"Date hors ordre","OK"))))))))</f>
        <v/>
      </c>
      <c r="M1479" s="39" t="str">
        <f>IF(C1479="","",C1479&amp;"#"&amp;COUNTIF($C$5:C1479,C1479))</f>
        <v/>
      </c>
    </row>
    <row r="1480">
      <c r="A1480" s="41" t="n"/>
      <c r="B1480" s="37" t="n"/>
      <c r="C1480" s="37" t="n"/>
      <c r="D1480" s="39" t="str">
        <f>IF(C1480="","",IFERROR(INDEX(art_des,MATCH(C1480,art_ref,0))&amp;"","Référence inconnue"))</f>
        <v/>
      </c>
      <c r="E1480" s="37" t="n"/>
      <c r="F1480" s="39" t="str">
        <f>IF(C1480="","",IFERROR(INDEX(art_unit,MATCH(C1480,art_ref,0))&amp;"",""))</f>
        <v/>
      </c>
      <c r="G1480" s="37" t="n"/>
      <c r="H1480" s="37" t="n"/>
      <c r="I1480" s="37" t="n"/>
      <c r="J1480" s="40" t="str">
        <f>IF(OR(C1480="",NOT(ISNUMBER(E1480))),"",IFERROR(E1480*N(INDEX(art_price,MATCH(C1480,art_ref,0))),""))</f>
        <v/>
      </c>
      <c r="K1480" s="39" t="str">
        <f>IF(OR(C1480="",NOT(ISNUMBER(E1480))),"",IFERROR(ROUND(N(INDEX(art_init,MATCH(C1480,art_ref,0)))+SUMIFS($E$5:E1480,$C$5:C1480,C1480,$B$5:B1480,"Entrée")-SUMIFS($E$5:E1480,$C$5:C1480,C1480,$B$5:B1480,"Sortie"),6),""))</f>
        <v/>
      </c>
      <c r="L1480" s="39" t="str">
        <f>IF(COUNTA(A1480:C1480,E1480)=0,"",IF(COUNTA(A1480:C1480,E1480)&lt;4,"Ligne incomplète",IF(NOT(ISNUMBER(A1480)),"Date invalide",IF(AND(B1480&lt;&gt;"Entrée",B1480&lt;&gt;"Sortie"),"Type inconnu",IF(ISNA(MATCH(C1480,art_ref,0)),"Référence inconnue",IF(OR(NOT(ISNUMBER(E1480)),N(E1480)&lt;=0),"Quantité invalide",IF(K1480&lt;0,"Stock négatif",IF(AND(ISNUMBER(A1479),A1480&lt;A1479),"Date hors ordre","OK"))))))))</f>
        <v/>
      </c>
      <c r="M1480" s="39" t="str">
        <f>IF(C1480="","",C1480&amp;"#"&amp;COUNTIF($C$5:C1480,C1480))</f>
        <v/>
      </c>
    </row>
    <row r="1481">
      <c r="A1481" s="41" t="n"/>
      <c r="B1481" s="37" t="n"/>
      <c r="C1481" s="37" t="n"/>
      <c r="D1481" s="39" t="str">
        <f>IF(C1481="","",IFERROR(INDEX(art_des,MATCH(C1481,art_ref,0))&amp;"","Référence inconnue"))</f>
        <v/>
      </c>
      <c r="E1481" s="37" t="n"/>
      <c r="F1481" s="39" t="str">
        <f>IF(C1481="","",IFERROR(INDEX(art_unit,MATCH(C1481,art_ref,0))&amp;"",""))</f>
        <v/>
      </c>
      <c r="G1481" s="37" t="n"/>
      <c r="H1481" s="37" t="n"/>
      <c r="I1481" s="37" t="n"/>
      <c r="J1481" s="40" t="str">
        <f>IF(OR(C1481="",NOT(ISNUMBER(E1481))),"",IFERROR(E1481*N(INDEX(art_price,MATCH(C1481,art_ref,0))),""))</f>
        <v/>
      </c>
      <c r="K1481" s="39" t="str">
        <f>IF(OR(C1481="",NOT(ISNUMBER(E1481))),"",IFERROR(ROUND(N(INDEX(art_init,MATCH(C1481,art_ref,0)))+SUMIFS($E$5:E1481,$C$5:C1481,C1481,$B$5:B1481,"Entrée")-SUMIFS($E$5:E1481,$C$5:C1481,C1481,$B$5:B1481,"Sortie"),6),""))</f>
        <v/>
      </c>
      <c r="L1481" s="39" t="str">
        <f>IF(COUNTA(A1481:C1481,E1481)=0,"",IF(COUNTA(A1481:C1481,E1481)&lt;4,"Ligne incomplète",IF(NOT(ISNUMBER(A1481)),"Date invalide",IF(AND(B1481&lt;&gt;"Entrée",B1481&lt;&gt;"Sortie"),"Type inconnu",IF(ISNA(MATCH(C1481,art_ref,0)),"Référence inconnue",IF(OR(NOT(ISNUMBER(E1481)),N(E1481)&lt;=0),"Quantité invalide",IF(K1481&lt;0,"Stock négatif",IF(AND(ISNUMBER(A1480),A1481&lt;A1480),"Date hors ordre","OK"))))))))</f>
        <v/>
      </c>
      <c r="M1481" s="39" t="str">
        <f>IF(C1481="","",C1481&amp;"#"&amp;COUNTIF($C$5:C1481,C1481))</f>
        <v/>
      </c>
    </row>
    <row r="1482">
      <c r="A1482" s="41" t="n"/>
      <c r="B1482" s="37" t="n"/>
      <c r="C1482" s="37" t="n"/>
      <c r="D1482" s="39" t="str">
        <f>IF(C1482="","",IFERROR(INDEX(art_des,MATCH(C1482,art_ref,0))&amp;"","Référence inconnue"))</f>
        <v/>
      </c>
      <c r="E1482" s="37" t="n"/>
      <c r="F1482" s="39" t="str">
        <f>IF(C1482="","",IFERROR(INDEX(art_unit,MATCH(C1482,art_ref,0))&amp;"",""))</f>
        <v/>
      </c>
      <c r="G1482" s="37" t="n"/>
      <c r="H1482" s="37" t="n"/>
      <c r="I1482" s="37" t="n"/>
      <c r="J1482" s="40" t="str">
        <f>IF(OR(C1482="",NOT(ISNUMBER(E1482))),"",IFERROR(E1482*N(INDEX(art_price,MATCH(C1482,art_ref,0))),""))</f>
        <v/>
      </c>
      <c r="K1482" s="39" t="str">
        <f>IF(OR(C1482="",NOT(ISNUMBER(E1482))),"",IFERROR(ROUND(N(INDEX(art_init,MATCH(C1482,art_ref,0)))+SUMIFS($E$5:E1482,$C$5:C1482,C1482,$B$5:B1482,"Entrée")-SUMIFS($E$5:E1482,$C$5:C1482,C1482,$B$5:B1482,"Sortie"),6),""))</f>
        <v/>
      </c>
      <c r="L1482" s="39" t="str">
        <f>IF(COUNTA(A1482:C1482,E1482)=0,"",IF(COUNTA(A1482:C1482,E1482)&lt;4,"Ligne incomplète",IF(NOT(ISNUMBER(A1482)),"Date invalide",IF(AND(B1482&lt;&gt;"Entrée",B1482&lt;&gt;"Sortie"),"Type inconnu",IF(ISNA(MATCH(C1482,art_ref,0)),"Référence inconnue",IF(OR(NOT(ISNUMBER(E1482)),N(E1482)&lt;=0),"Quantité invalide",IF(K1482&lt;0,"Stock négatif",IF(AND(ISNUMBER(A1481),A1482&lt;A1481),"Date hors ordre","OK"))))))))</f>
        <v/>
      </c>
      <c r="M1482" s="39" t="str">
        <f>IF(C1482="","",C1482&amp;"#"&amp;COUNTIF($C$5:C1482,C1482))</f>
        <v/>
      </c>
    </row>
    <row r="1483">
      <c r="A1483" s="41" t="n"/>
      <c r="B1483" s="37" t="n"/>
      <c r="C1483" s="37" t="n"/>
      <c r="D1483" s="39" t="str">
        <f>IF(C1483="","",IFERROR(INDEX(art_des,MATCH(C1483,art_ref,0))&amp;"","Référence inconnue"))</f>
        <v/>
      </c>
      <c r="E1483" s="37" t="n"/>
      <c r="F1483" s="39" t="str">
        <f>IF(C1483="","",IFERROR(INDEX(art_unit,MATCH(C1483,art_ref,0))&amp;"",""))</f>
        <v/>
      </c>
      <c r="G1483" s="37" t="n"/>
      <c r="H1483" s="37" t="n"/>
      <c r="I1483" s="37" t="n"/>
      <c r="J1483" s="40" t="str">
        <f>IF(OR(C1483="",NOT(ISNUMBER(E1483))),"",IFERROR(E1483*N(INDEX(art_price,MATCH(C1483,art_ref,0))),""))</f>
        <v/>
      </c>
      <c r="K1483" s="39" t="str">
        <f>IF(OR(C1483="",NOT(ISNUMBER(E1483))),"",IFERROR(ROUND(N(INDEX(art_init,MATCH(C1483,art_ref,0)))+SUMIFS($E$5:E1483,$C$5:C1483,C1483,$B$5:B1483,"Entrée")-SUMIFS($E$5:E1483,$C$5:C1483,C1483,$B$5:B1483,"Sortie"),6),""))</f>
        <v/>
      </c>
      <c r="L1483" s="39" t="str">
        <f>IF(COUNTA(A1483:C1483,E1483)=0,"",IF(COUNTA(A1483:C1483,E1483)&lt;4,"Ligne incomplète",IF(NOT(ISNUMBER(A1483)),"Date invalide",IF(AND(B1483&lt;&gt;"Entrée",B1483&lt;&gt;"Sortie"),"Type inconnu",IF(ISNA(MATCH(C1483,art_ref,0)),"Référence inconnue",IF(OR(NOT(ISNUMBER(E1483)),N(E1483)&lt;=0),"Quantité invalide",IF(K1483&lt;0,"Stock négatif",IF(AND(ISNUMBER(A1482),A1483&lt;A1482),"Date hors ordre","OK"))))))))</f>
        <v/>
      </c>
      <c r="M1483" s="39" t="str">
        <f>IF(C1483="","",C1483&amp;"#"&amp;COUNTIF($C$5:C1483,C1483))</f>
        <v/>
      </c>
    </row>
    <row r="1484">
      <c r="A1484" s="41" t="n"/>
      <c r="B1484" s="37" t="n"/>
      <c r="C1484" s="37" t="n"/>
      <c r="D1484" s="39" t="str">
        <f>IF(C1484="","",IFERROR(INDEX(art_des,MATCH(C1484,art_ref,0))&amp;"","Référence inconnue"))</f>
        <v/>
      </c>
      <c r="E1484" s="37" t="n"/>
      <c r="F1484" s="39" t="str">
        <f>IF(C1484="","",IFERROR(INDEX(art_unit,MATCH(C1484,art_ref,0))&amp;"",""))</f>
        <v/>
      </c>
      <c r="G1484" s="37" t="n"/>
      <c r="H1484" s="37" t="n"/>
      <c r="I1484" s="37" t="n"/>
      <c r="J1484" s="40" t="str">
        <f>IF(OR(C1484="",NOT(ISNUMBER(E1484))),"",IFERROR(E1484*N(INDEX(art_price,MATCH(C1484,art_ref,0))),""))</f>
        <v/>
      </c>
      <c r="K1484" s="39" t="str">
        <f>IF(OR(C1484="",NOT(ISNUMBER(E1484))),"",IFERROR(ROUND(N(INDEX(art_init,MATCH(C1484,art_ref,0)))+SUMIFS($E$5:E1484,$C$5:C1484,C1484,$B$5:B1484,"Entrée")-SUMIFS($E$5:E1484,$C$5:C1484,C1484,$B$5:B1484,"Sortie"),6),""))</f>
        <v/>
      </c>
      <c r="L1484" s="39" t="str">
        <f>IF(COUNTA(A1484:C1484,E1484)=0,"",IF(COUNTA(A1484:C1484,E1484)&lt;4,"Ligne incomplète",IF(NOT(ISNUMBER(A1484)),"Date invalide",IF(AND(B1484&lt;&gt;"Entrée",B1484&lt;&gt;"Sortie"),"Type inconnu",IF(ISNA(MATCH(C1484,art_ref,0)),"Référence inconnue",IF(OR(NOT(ISNUMBER(E1484)),N(E1484)&lt;=0),"Quantité invalide",IF(K1484&lt;0,"Stock négatif",IF(AND(ISNUMBER(A1483),A1484&lt;A1483),"Date hors ordre","OK"))))))))</f>
        <v/>
      </c>
      <c r="M1484" s="39" t="str">
        <f>IF(C1484="","",C1484&amp;"#"&amp;COUNTIF($C$5:C1484,C1484))</f>
        <v/>
      </c>
    </row>
    <row r="1485">
      <c r="A1485" s="41" t="n"/>
      <c r="B1485" s="37" t="n"/>
      <c r="C1485" s="37" t="n"/>
      <c r="D1485" s="39" t="str">
        <f>IF(C1485="","",IFERROR(INDEX(art_des,MATCH(C1485,art_ref,0))&amp;"","Référence inconnue"))</f>
        <v/>
      </c>
      <c r="E1485" s="37" t="n"/>
      <c r="F1485" s="39" t="str">
        <f>IF(C1485="","",IFERROR(INDEX(art_unit,MATCH(C1485,art_ref,0))&amp;"",""))</f>
        <v/>
      </c>
      <c r="G1485" s="37" t="n"/>
      <c r="H1485" s="37" t="n"/>
      <c r="I1485" s="37" t="n"/>
      <c r="J1485" s="40" t="str">
        <f>IF(OR(C1485="",NOT(ISNUMBER(E1485))),"",IFERROR(E1485*N(INDEX(art_price,MATCH(C1485,art_ref,0))),""))</f>
        <v/>
      </c>
      <c r="K1485" s="39" t="str">
        <f>IF(OR(C1485="",NOT(ISNUMBER(E1485))),"",IFERROR(ROUND(N(INDEX(art_init,MATCH(C1485,art_ref,0)))+SUMIFS($E$5:E1485,$C$5:C1485,C1485,$B$5:B1485,"Entrée")-SUMIFS($E$5:E1485,$C$5:C1485,C1485,$B$5:B1485,"Sortie"),6),""))</f>
        <v/>
      </c>
      <c r="L1485" s="39" t="str">
        <f>IF(COUNTA(A1485:C1485,E1485)=0,"",IF(COUNTA(A1485:C1485,E1485)&lt;4,"Ligne incomplète",IF(NOT(ISNUMBER(A1485)),"Date invalide",IF(AND(B1485&lt;&gt;"Entrée",B1485&lt;&gt;"Sortie"),"Type inconnu",IF(ISNA(MATCH(C1485,art_ref,0)),"Référence inconnue",IF(OR(NOT(ISNUMBER(E1485)),N(E1485)&lt;=0),"Quantité invalide",IF(K1485&lt;0,"Stock négatif",IF(AND(ISNUMBER(A1484),A1485&lt;A1484),"Date hors ordre","OK"))))))))</f>
        <v/>
      </c>
      <c r="M1485" s="39" t="str">
        <f>IF(C1485="","",C1485&amp;"#"&amp;COUNTIF($C$5:C1485,C1485))</f>
        <v/>
      </c>
    </row>
    <row r="1486">
      <c r="A1486" s="41" t="n"/>
      <c r="B1486" s="37" t="n"/>
      <c r="C1486" s="37" t="n"/>
      <c r="D1486" s="39" t="str">
        <f>IF(C1486="","",IFERROR(INDEX(art_des,MATCH(C1486,art_ref,0))&amp;"","Référence inconnue"))</f>
        <v/>
      </c>
      <c r="E1486" s="37" t="n"/>
      <c r="F1486" s="39" t="str">
        <f>IF(C1486="","",IFERROR(INDEX(art_unit,MATCH(C1486,art_ref,0))&amp;"",""))</f>
        <v/>
      </c>
      <c r="G1486" s="37" t="n"/>
      <c r="H1486" s="37" t="n"/>
      <c r="I1486" s="37" t="n"/>
      <c r="J1486" s="40" t="str">
        <f>IF(OR(C1486="",NOT(ISNUMBER(E1486))),"",IFERROR(E1486*N(INDEX(art_price,MATCH(C1486,art_ref,0))),""))</f>
        <v/>
      </c>
      <c r="K1486" s="39" t="str">
        <f>IF(OR(C1486="",NOT(ISNUMBER(E1486))),"",IFERROR(ROUND(N(INDEX(art_init,MATCH(C1486,art_ref,0)))+SUMIFS($E$5:E1486,$C$5:C1486,C1486,$B$5:B1486,"Entrée")-SUMIFS($E$5:E1486,$C$5:C1486,C1486,$B$5:B1486,"Sortie"),6),""))</f>
        <v/>
      </c>
      <c r="L1486" s="39" t="str">
        <f>IF(COUNTA(A1486:C1486,E1486)=0,"",IF(COUNTA(A1486:C1486,E1486)&lt;4,"Ligne incomplète",IF(NOT(ISNUMBER(A1486)),"Date invalide",IF(AND(B1486&lt;&gt;"Entrée",B1486&lt;&gt;"Sortie"),"Type inconnu",IF(ISNA(MATCH(C1486,art_ref,0)),"Référence inconnue",IF(OR(NOT(ISNUMBER(E1486)),N(E1486)&lt;=0),"Quantité invalide",IF(K1486&lt;0,"Stock négatif",IF(AND(ISNUMBER(A1485),A1486&lt;A1485),"Date hors ordre","OK"))))))))</f>
        <v/>
      </c>
      <c r="M1486" s="39" t="str">
        <f>IF(C1486="","",C1486&amp;"#"&amp;COUNTIF($C$5:C1486,C1486))</f>
        <v/>
      </c>
    </row>
    <row r="1487">
      <c r="A1487" s="41" t="n"/>
      <c r="B1487" s="37" t="n"/>
      <c r="C1487" s="37" t="n"/>
      <c r="D1487" s="39" t="str">
        <f>IF(C1487="","",IFERROR(INDEX(art_des,MATCH(C1487,art_ref,0))&amp;"","Référence inconnue"))</f>
        <v/>
      </c>
      <c r="E1487" s="37" t="n"/>
      <c r="F1487" s="39" t="str">
        <f>IF(C1487="","",IFERROR(INDEX(art_unit,MATCH(C1487,art_ref,0))&amp;"",""))</f>
        <v/>
      </c>
      <c r="G1487" s="37" t="n"/>
      <c r="H1487" s="37" t="n"/>
      <c r="I1487" s="37" t="n"/>
      <c r="J1487" s="40" t="str">
        <f>IF(OR(C1487="",NOT(ISNUMBER(E1487))),"",IFERROR(E1487*N(INDEX(art_price,MATCH(C1487,art_ref,0))),""))</f>
        <v/>
      </c>
      <c r="K1487" s="39" t="str">
        <f>IF(OR(C1487="",NOT(ISNUMBER(E1487))),"",IFERROR(ROUND(N(INDEX(art_init,MATCH(C1487,art_ref,0)))+SUMIFS($E$5:E1487,$C$5:C1487,C1487,$B$5:B1487,"Entrée")-SUMIFS($E$5:E1487,$C$5:C1487,C1487,$B$5:B1487,"Sortie"),6),""))</f>
        <v/>
      </c>
      <c r="L1487" s="39" t="str">
        <f>IF(COUNTA(A1487:C1487,E1487)=0,"",IF(COUNTA(A1487:C1487,E1487)&lt;4,"Ligne incomplète",IF(NOT(ISNUMBER(A1487)),"Date invalide",IF(AND(B1487&lt;&gt;"Entrée",B1487&lt;&gt;"Sortie"),"Type inconnu",IF(ISNA(MATCH(C1487,art_ref,0)),"Référence inconnue",IF(OR(NOT(ISNUMBER(E1487)),N(E1487)&lt;=0),"Quantité invalide",IF(K1487&lt;0,"Stock négatif",IF(AND(ISNUMBER(A1486),A1487&lt;A1486),"Date hors ordre","OK"))))))))</f>
        <v/>
      </c>
      <c r="M1487" s="39" t="str">
        <f>IF(C1487="","",C1487&amp;"#"&amp;COUNTIF($C$5:C1487,C1487))</f>
        <v/>
      </c>
    </row>
    <row r="1488">
      <c r="A1488" s="41" t="n"/>
      <c r="B1488" s="37" t="n"/>
      <c r="C1488" s="37" t="n"/>
      <c r="D1488" s="39" t="str">
        <f>IF(C1488="","",IFERROR(INDEX(art_des,MATCH(C1488,art_ref,0))&amp;"","Référence inconnue"))</f>
        <v/>
      </c>
      <c r="E1488" s="37" t="n"/>
      <c r="F1488" s="39" t="str">
        <f>IF(C1488="","",IFERROR(INDEX(art_unit,MATCH(C1488,art_ref,0))&amp;"",""))</f>
        <v/>
      </c>
      <c r="G1488" s="37" t="n"/>
      <c r="H1488" s="37" t="n"/>
      <c r="I1488" s="37" t="n"/>
      <c r="J1488" s="40" t="str">
        <f>IF(OR(C1488="",NOT(ISNUMBER(E1488))),"",IFERROR(E1488*N(INDEX(art_price,MATCH(C1488,art_ref,0))),""))</f>
        <v/>
      </c>
      <c r="K1488" s="39" t="str">
        <f>IF(OR(C1488="",NOT(ISNUMBER(E1488))),"",IFERROR(ROUND(N(INDEX(art_init,MATCH(C1488,art_ref,0)))+SUMIFS($E$5:E1488,$C$5:C1488,C1488,$B$5:B1488,"Entrée")-SUMIFS($E$5:E1488,$C$5:C1488,C1488,$B$5:B1488,"Sortie"),6),""))</f>
        <v/>
      </c>
      <c r="L1488" s="39" t="str">
        <f>IF(COUNTA(A1488:C1488,E1488)=0,"",IF(COUNTA(A1488:C1488,E1488)&lt;4,"Ligne incomplète",IF(NOT(ISNUMBER(A1488)),"Date invalide",IF(AND(B1488&lt;&gt;"Entrée",B1488&lt;&gt;"Sortie"),"Type inconnu",IF(ISNA(MATCH(C1488,art_ref,0)),"Référence inconnue",IF(OR(NOT(ISNUMBER(E1488)),N(E1488)&lt;=0),"Quantité invalide",IF(K1488&lt;0,"Stock négatif",IF(AND(ISNUMBER(A1487),A1488&lt;A1487),"Date hors ordre","OK"))))))))</f>
        <v/>
      </c>
      <c r="M1488" s="39" t="str">
        <f>IF(C1488="","",C1488&amp;"#"&amp;COUNTIF($C$5:C1488,C1488))</f>
        <v/>
      </c>
    </row>
    <row r="1489">
      <c r="A1489" s="41" t="n"/>
      <c r="B1489" s="37" t="n"/>
      <c r="C1489" s="37" t="n"/>
      <c r="D1489" s="39" t="str">
        <f>IF(C1489="","",IFERROR(INDEX(art_des,MATCH(C1489,art_ref,0))&amp;"","Référence inconnue"))</f>
        <v/>
      </c>
      <c r="E1489" s="37" t="n"/>
      <c r="F1489" s="39" t="str">
        <f>IF(C1489="","",IFERROR(INDEX(art_unit,MATCH(C1489,art_ref,0))&amp;"",""))</f>
        <v/>
      </c>
      <c r="G1489" s="37" t="n"/>
      <c r="H1489" s="37" t="n"/>
      <c r="I1489" s="37" t="n"/>
      <c r="J1489" s="40" t="str">
        <f>IF(OR(C1489="",NOT(ISNUMBER(E1489))),"",IFERROR(E1489*N(INDEX(art_price,MATCH(C1489,art_ref,0))),""))</f>
        <v/>
      </c>
      <c r="K1489" s="39" t="str">
        <f>IF(OR(C1489="",NOT(ISNUMBER(E1489))),"",IFERROR(ROUND(N(INDEX(art_init,MATCH(C1489,art_ref,0)))+SUMIFS($E$5:E1489,$C$5:C1489,C1489,$B$5:B1489,"Entrée")-SUMIFS($E$5:E1489,$C$5:C1489,C1489,$B$5:B1489,"Sortie"),6),""))</f>
        <v/>
      </c>
      <c r="L1489" s="39" t="str">
        <f>IF(COUNTA(A1489:C1489,E1489)=0,"",IF(COUNTA(A1489:C1489,E1489)&lt;4,"Ligne incomplète",IF(NOT(ISNUMBER(A1489)),"Date invalide",IF(AND(B1489&lt;&gt;"Entrée",B1489&lt;&gt;"Sortie"),"Type inconnu",IF(ISNA(MATCH(C1489,art_ref,0)),"Référence inconnue",IF(OR(NOT(ISNUMBER(E1489)),N(E1489)&lt;=0),"Quantité invalide",IF(K1489&lt;0,"Stock négatif",IF(AND(ISNUMBER(A1488),A1489&lt;A1488),"Date hors ordre","OK"))))))))</f>
        <v/>
      </c>
      <c r="M1489" s="39" t="str">
        <f>IF(C1489="","",C1489&amp;"#"&amp;COUNTIF($C$5:C1489,C1489))</f>
        <v/>
      </c>
    </row>
    <row r="1490">
      <c r="A1490" s="41" t="n"/>
      <c r="B1490" s="37" t="n"/>
      <c r="C1490" s="37" t="n"/>
      <c r="D1490" s="39" t="str">
        <f>IF(C1490="","",IFERROR(INDEX(art_des,MATCH(C1490,art_ref,0))&amp;"","Référence inconnue"))</f>
        <v/>
      </c>
      <c r="E1490" s="37" t="n"/>
      <c r="F1490" s="39" t="str">
        <f>IF(C1490="","",IFERROR(INDEX(art_unit,MATCH(C1490,art_ref,0))&amp;"",""))</f>
        <v/>
      </c>
      <c r="G1490" s="37" t="n"/>
      <c r="H1490" s="37" t="n"/>
      <c r="I1490" s="37" t="n"/>
      <c r="J1490" s="40" t="str">
        <f>IF(OR(C1490="",NOT(ISNUMBER(E1490))),"",IFERROR(E1490*N(INDEX(art_price,MATCH(C1490,art_ref,0))),""))</f>
        <v/>
      </c>
      <c r="K1490" s="39" t="str">
        <f>IF(OR(C1490="",NOT(ISNUMBER(E1490))),"",IFERROR(ROUND(N(INDEX(art_init,MATCH(C1490,art_ref,0)))+SUMIFS($E$5:E1490,$C$5:C1490,C1490,$B$5:B1490,"Entrée")-SUMIFS($E$5:E1490,$C$5:C1490,C1490,$B$5:B1490,"Sortie"),6),""))</f>
        <v/>
      </c>
      <c r="L1490" s="39" t="str">
        <f>IF(COUNTA(A1490:C1490,E1490)=0,"",IF(COUNTA(A1490:C1490,E1490)&lt;4,"Ligne incomplète",IF(NOT(ISNUMBER(A1490)),"Date invalide",IF(AND(B1490&lt;&gt;"Entrée",B1490&lt;&gt;"Sortie"),"Type inconnu",IF(ISNA(MATCH(C1490,art_ref,0)),"Référence inconnue",IF(OR(NOT(ISNUMBER(E1490)),N(E1490)&lt;=0),"Quantité invalide",IF(K1490&lt;0,"Stock négatif",IF(AND(ISNUMBER(A1489),A1490&lt;A1489),"Date hors ordre","OK"))))))))</f>
        <v/>
      </c>
      <c r="M1490" s="39" t="str">
        <f>IF(C1490="","",C1490&amp;"#"&amp;COUNTIF($C$5:C1490,C1490))</f>
        <v/>
      </c>
    </row>
    <row r="1491">
      <c r="A1491" s="41" t="n"/>
      <c r="B1491" s="37" t="n"/>
      <c r="C1491" s="37" t="n"/>
      <c r="D1491" s="39" t="str">
        <f>IF(C1491="","",IFERROR(INDEX(art_des,MATCH(C1491,art_ref,0))&amp;"","Référence inconnue"))</f>
        <v/>
      </c>
      <c r="E1491" s="37" t="n"/>
      <c r="F1491" s="39" t="str">
        <f>IF(C1491="","",IFERROR(INDEX(art_unit,MATCH(C1491,art_ref,0))&amp;"",""))</f>
        <v/>
      </c>
      <c r="G1491" s="37" t="n"/>
      <c r="H1491" s="37" t="n"/>
      <c r="I1491" s="37" t="n"/>
      <c r="J1491" s="40" t="str">
        <f>IF(OR(C1491="",NOT(ISNUMBER(E1491))),"",IFERROR(E1491*N(INDEX(art_price,MATCH(C1491,art_ref,0))),""))</f>
        <v/>
      </c>
      <c r="K1491" s="39" t="str">
        <f>IF(OR(C1491="",NOT(ISNUMBER(E1491))),"",IFERROR(ROUND(N(INDEX(art_init,MATCH(C1491,art_ref,0)))+SUMIFS($E$5:E1491,$C$5:C1491,C1491,$B$5:B1491,"Entrée")-SUMIFS($E$5:E1491,$C$5:C1491,C1491,$B$5:B1491,"Sortie"),6),""))</f>
        <v/>
      </c>
      <c r="L1491" s="39" t="str">
        <f>IF(COUNTA(A1491:C1491,E1491)=0,"",IF(COUNTA(A1491:C1491,E1491)&lt;4,"Ligne incomplète",IF(NOT(ISNUMBER(A1491)),"Date invalide",IF(AND(B1491&lt;&gt;"Entrée",B1491&lt;&gt;"Sortie"),"Type inconnu",IF(ISNA(MATCH(C1491,art_ref,0)),"Référence inconnue",IF(OR(NOT(ISNUMBER(E1491)),N(E1491)&lt;=0),"Quantité invalide",IF(K1491&lt;0,"Stock négatif",IF(AND(ISNUMBER(A1490),A1491&lt;A1490),"Date hors ordre","OK"))))))))</f>
        <v/>
      </c>
      <c r="M1491" s="39" t="str">
        <f>IF(C1491="","",C1491&amp;"#"&amp;COUNTIF($C$5:C1491,C1491))</f>
        <v/>
      </c>
    </row>
    <row r="1492">
      <c r="A1492" s="41" t="n"/>
      <c r="B1492" s="37" t="n"/>
      <c r="C1492" s="37" t="n"/>
      <c r="D1492" s="39" t="str">
        <f>IF(C1492="","",IFERROR(INDEX(art_des,MATCH(C1492,art_ref,0))&amp;"","Référence inconnue"))</f>
        <v/>
      </c>
      <c r="E1492" s="37" t="n"/>
      <c r="F1492" s="39" t="str">
        <f>IF(C1492="","",IFERROR(INDEX(art_unit,MATCH(C1492,art_ref,0))&amp;"",""))</f>
        <v/>
      </c>
      <c r="G1492" s="37" t="n"/>
      <c r="H1492" s="37" t="n"/>
      <c r="I1492" s="37" t="n"/>
      <c r="J1492" s="40" t="str">
        <f>IF(OR(C1492="",NOT(ISNUMBER(E1492))),"",IFERROR(E1492*N(INDEX(art_price,MATCH(C1492,art_ref,0))),""))</f>
        <v/>
      </c>
      <c r="K1492" s="39" t="str">
        <f>IF(OR(C1492="",NOT(ISNUMBER(E1492))),"",IFERROR(ROUND(N(INDEX(art_init,MATCH(C1492,art_ref,0)))+SUMIFS($E$5:E1492,$C$5:C1492,C1492,$B$5:B1492,"Entrée")-SUMIFS($E$5:E1492,$C$5:C1492,C1492,$B$5:B1492,"Sortie"),6),""))</f>
        <v/>
      </c>
      <c r="L1492" s="39" t="str">
        <f>IF(COUNTA(A1492:C1492,E1492)=0,"",IF(COUNTA(A1492:C1492,E1492)&lt;4,"Ligne incomplète",IF(NOT(ISNUMBER(A1492)),"Date invalide",IF(AND(B1492&lt;&gt;"Entrée",B1492&lt;&gt;"Sortie"),"Type inconnu",IF(ISNA(MATCH(C1492,art_ref,0)),"Référence inconnue",IF(OR(NOT(ISNUMBER(E1492)),N(E1492)&lt;=0),"Quantité invalide",IF(K1492&lt;0,"Stock négatif",IF(AND(ISNUMBER(A1491),A1492&lt;A1491),"Date hors ordre","OK"))))))))</f>
        <v/>
      </c>
      <c r="M1492" s="39" t="str">
        <f>IF(C1492="","",C1492&amp;"#"&amp;COUNTIF($C$5:C1492,C1492))</f>
        <v/>
      </c>
    </row>
    <row r="1493">
      <c r="A1493" s="41" t="n"/>
      <c r="B1493" s="37" t="n"/>
      <c r="C1493" s="37" t="n"/>
      <c r="D1493" s="39" t="str">
        <f>IF(C1493="","",IFERROR(INDEX(art_des,MATCH(C1493,art_ref,0))&amp;"","Référence inconnue"))</f>
        <v/>
      </c>
      <c r="E1493" s="37" t="n"/>
      <c r="F1493" s="39" t="str">
        <f>IF(C1493="","",IFERROR(INDEX(art_unit,MATCH(C1493,art_ref,0))&amp;"",""))</f>
        <v/>
      </c>
      <c r="G1493" s="37" t="n"/>
      <c r="H1493" s="37" t="n"/>
      <c r="I1493" s="37" t="n"/>
      <c r="J1493" s="40" t="str">
        <f>IF(OR(C1493="",NOT(ISNUMBER(E1493))),"",IFERROR(E1493*N(INDEX(art_price,MATCH(C1493,art_ref,0))),""))</f>
        <v/>
      </c>
      <c r="K1493" s="39" t="str">
        <f>IF(OR(C1493="",NOT(ISNUMBER(E1493))),"",IFERROR(ROUND(N(INDEX(art_init,MATCH(C1493,art_ref,0)))+SUMIFS($E$5:E1493,$C$5:C1493,C1493,$B$5:B1493,"Entrée")-SUMIFS($E$5:E1493,$C$5:C1493,C1493,$B$5:B1493,"Sortie"),6),""))</f>
        <v/>
      </c>
      <c r="L1493" s="39" t="str">
        <f>IF(COUNTA(A1493:C1493,E1493)=0,"",IF(COUNTA(A1493:C1493,E1493)&lt;4,"Ligne incomplète",IF(NOT(ISNUMBER(A1493)),"Date invalide",IF(AND(B1493&lt;&gt;"Entrée",B1493&lt;&gt;"Sortie"),"Type inconnu",IF(ISNA(MATCH(C1493,art_ref,0)),"Référence inconnue",IF(OR(NOT(ISNUMBER(E1493)),N(E1493)&lt;=0),"Quantité invalide",IF(K1493&lt;0,"Stock négatif",IF(AND(ISNUMBER(A1492),A1493&lt;A1492),"Date hors ordre","OK"))))))))</f>
        <v/>
      </c>
      <c r="M1493" s="39" t="str">
        <f>IF(C1493="","",C1493&amp;"#"&amp;COUNTIF($C$5:C1493,C1493))</f>
        <v/>
      </c>
    </row>
    <row r="1494">
      <c r="A1494" s="41" t="n"/>
      <c r="B1494" s="37" t="n"/>
      <c r="C1494" s="37" t="n"/>
      <c r="D1494" s="39" t="str">
        <f>IF(C1494="","",IFERROR(INDEX(art_des,MATCH(C1494,art_ref,0))&amp;"","Référence inconnue"))</f>
        <v/>
      </c>
      <c r="E1494" s="37" t="n"/>
      <c r="F1494" s="39" t="str">
        <f>IF(C1494="","",IFERROR(INDEX(art_unit,MATCH(C1494,art_ref,0))&amp;"",""))</f>
        <v/>
      </c>
      <c r="G1494" s="37" t="n"/>
      <c r="H1494" s="37" t="n"/>
      <c r="I1494" s="37" t="n"/>
      <c r="J1494" s="40" t="str">
        <f>IF(OR(C1494="",NOT(ISNUMBER(E1494))),"",IFERROR(E1494*N(INDEX(art_price,MATCH(C1494,art_ref,0))),""))</f>
        <v/>
      </c>
      <c r="K1494" s="39" t="str">
        <f>IF(OR(C1494="",NOT(ISNUMBER(E1494))),"",IFERROR(ROUND(N(INDEX(art_init,MATCH(C1494,art_ref,0)))+SUMIFS($E$5:E1494,$C$5:C1494,C1494,$B$5:B1494,"Entrée")-SUMIFS($E$5:E1494,$C$5:C1494,C1494,$B$5:B1494,"Sortie"),6),""))</f>
        <v/>
      </c>
      <c r="L1494" s="39" t="str">
        <f>IF(COUNTA(A1494:C1494,E1494)=0,"",IF(COUNTA(A1494:C1494,E1494)&lt;4,"Ligne incomplète",IF(NOT(ISNUMBER(A1494)),"Date invalide",IF(AND(B1494&lt;&gt;"Entrée",B1494&lt;&gt;"Sortie"),"Type inconnu",IF(ISNA(MATCH(C1494,art_ref,0)),"Référence inconnue",IF(OR(NOT(ISNUMBER(E1494)),N(E1494)&lt;=0),"Quantité invalide",IF(K1494&lt;0,"Stock négatif",IF(AND(ISNUMBER(A1493),A1494&lt;A1493),"Date hors ordre","OK"))))))))</f>
        <v/>
      </c>
      <c r="M1494" s="39" t="str">
        <f>IF(C1494="","",C1494&amp;"#"&amp;COUNTIF($C$5:C1494,C1494))</f>
        <v/>
      </c>
    </row>
    <row r="1495">
      <c r="A1495" s="41" t="n"/>
      <c r="B1495" s="37" t="n"/>
      <c r="C1495" s="37" t="n"/>
      <c r="D1495" s="39" t="str">
        <f>IF(C1495="","",IFERROR(INDEX(art_des,MATCH(C1495,art_ref,0))&amp;"","Référence inconnue"))</f>
        <v/>
      </c>
      <c r="E1495" s="37" t="n"/>
      <c r="F1495" s="39" t="str">
        <f>IF(C1495="","",IFERROR(INDEX(art_unit,MATCH(C1495,art_ref,0))&amp;"",""))</f>
        <v/>
      </c>
      <c r="G1495" s="37" t="n"/>
      <c r="H1495" s="37" t="n"/>
      <c r="I1495" s="37" t="n"/>
      <c r="J1495" s="40" t="str">
        <f>IF(OR(C1495="",NOT(ISNUMBER(E1495))),"",IFERROR(E1495*N(INDEX(art_price,MATCH(C1495,art_ref,0))),""))</f>
        <v/>
      </c>
      <c r="K1495" s="39" t="str">
        <f>IF(OR(C1495="",NOT(ISNUMBER(E1495))),"",IFERROR(ROUND(N(INDEX(art_init,MATCH(C1495,art_ref,0)))+SUMIFS($E$5:E1495,$C$5:C1495,C1495,$B$5:B1495,"Entrée")-SUMIFS($E$5:E1495,$C$5:C1495,C1495,$B$5:B1495,"Sortie"),6),""))</f>
        <v/>
      </c>
      <c r="L1495" s="39" t="str">
        <f>IF(COUNTA(A1495:C1495,E1495)=0,"",IF(COUNTA(A1495:C1495,E1495)&lt;4,"Ligne incomplète",IF(NOT(ISNUMBER(A1495)),"Date invalide",IF(AND(B1495&lt;&gt;"Entrée",B1495&lt;&gt;"Sortie"),"Type inconnu",IF(ISNA(MATCH(C1495,art_ref,0)),"Référence inconnue",IF(OR(NOT(ISNUMBER(E1495)),N(E1495)&lt;=0),"Quantité invalide",IF(K1495&lt;0,"Stock négatif",IF(AND(ISNUMBER(A1494),A1495&lt;A1494),"Date hors ordre","OK"))))))))</f>
        <v/>
      </c>
      <c r="M1495" s="39" t="str">
        <f>IF(C1495="","",C1495&amp;"#"&amp;COUNTIF($C$5:C1495,C1495))</f>
        <v/>
      </c>
    </row>
    <row r="1496">
      <c r="A1496" s="41" t="n"/>
      <c r="B1496" s="37" t="n"/>
      <c r="C1496" s="37" t="n"/>
      <c r="D1496" s="39" t="str">
        <f>IF(C1496="","",IFERROR(INDEX(art_des,MATCH(C1496,art_ref,0))&amp;"","Référence inconnue"))</f>
        <v/>
      </c>
      <c r="E1496" s="37" t="n"/>
      <c r="F1496" s="39" t="str">
        <f>IF(C1496="","",IFERROR(INDEX(art_unit,MATCH(C1496,art_ref,0))&amp;"",""))</f>
        <v/>
      </c>
      <c r="G1496" s="37" t="n"/>
      <c r="H1496" s="37" t="n"/>
      <c r="I1496" s="37" t="n"/>
      <c r="J1496" s="40" t="str">
        <f>IF(OR(C1496="",NOT(ISNUMBER(E1496))),"",IFERROR(E1496*N(INDEX(art_price,MATCH(C1496,art_ref,0))),""))</f>
        <v/>
      </c>
      <c r="K1496" s="39" t="str">
        <f>IF(OR(C1496="",NOT(ISNUMBER(E1496))),"",IFERROR(ROUND(N(INDEX(art_init,MATCH(C1496,art_ref,0)))+SUMIFS($E$5:E1496,$C$5:C1496,C1496,$B$5:B1496,"Entrée")-SUMIFS($E$5:E1496,$C$5:C1496,C1496,$B$5:B1496,"Sortie"),6),""))</f>
        <v/>
      </c>
      <c r="L1496" s="39" t="str">
        <f>IF(COUNTA(A1496:C1496,E1496)=0,"",IF(COUNTA(A1496:C1496,E1496)&lt;4,"Ligne incomplète",IF(NOT(ISNUMBER(A1496)),"Date invalide",IF(AND(B1496&lt;&gt;"Entrée",B1496&lt;&gt;"Sortie"),"Type inconnu",IF(ISNA(MATCH(C1496,art_ref,0)),"Référence inconnue",IF(OR(NOT(ISNUMBER(E1496)),N(E1496)&lt;=0),"Quantité invalide",IF(K1496&lt;0,"Stock négatif",IF(AND(ISNUMBER(A1495),A1496&lt;A1495),"Date hors ordre","OK"))))))))</f>
        <v/>
      </c>
      <c r="M1496" s="39" t="str">
        <f>IF(C1496="","",C1496&amp;"#"&amp;COUNTIF($C$5:C1496,C1496))</f>
        <v/>
      </c>
    </row>
    <row r="1497">
      <c r="A1497" s="41" t="n"/>
      <c r="B1497" s="37" t="n"/>
      <c r="C1497" s="37" t="n"/>
      <c r="D1497" s="39" t="str">
        <f>IF(C1497="","",IFERROR(INDEX(art_des,MATCH(C1497,art_ref,0))&amp;"","Référence inconnue"))</f>
        <v/>
      </c>
      <c r="E1497" s="37" t="n"/>
      <c r="F1497" s="39" t="str">
        <f>IF(C1497="","",IFERROR(INDEX(art_unit,MATCH(C1497,art_ref,0))&amp;"",""))</f>
        <v/>
      </c>
      <c r="G1497" s="37" t="n"/>
      <c r="H1497" s="37" t="n"/>
      <c r="I1497" s="37" t="n"/>
      <c r="J1497" s="40" t="str">
        <f>IF(OR(C1497="",NOT(ISNUMBER(E1497))),"",IFERROR(E1497*N(INDEX(art_price,MATCH(C1497,art_ref,0))),""))</f>
        <v/>
      </c>
      <c r="K1497" s="39" t="str">
        <f>IF(OR(C1497="",NOT(ISNUMBER(E1497))),"",IFERROR(ROUND(N(INDEX(art_init,MATCH(C1497,art_ref,0)))+SUMIFS($E$5:E1497,$C$5:C1497,C1497,$B$5:B1497,"Entrée")-SUMIFS($E$5:E1497,$C$5:C1497,C1497,$B$5:B1497,"Sortie"),6),""))</f>
        <v/>
      </c>
      <c r="L1497" s="39" t="str">
        <f>IF(COUNTA(A1497:C1497,E1497)=0,"",IF(COUNTA(A1497:C1497,E1497)&lt;4,"Ligne incomplète",IF(NOT(ISNUMBER(A1497)),"Date invalide",IF(AND(B1497&lt;&gt;"Entrée",B1497&lt;&gt;"Sortie"),"Type inconnu",IF(ISNA(MATCH(C1497,art_ref,0)),"Référence inconnue",IF(OR(NOT(ISNUMBER(E1497)),N(E1497)&lt;=0),"Quantité invalide",IF(K1497&lt;0,"Stock négatif",IF(AND(ISNUMBER(A1496),A1497&lt;A1496),"Date hors ordre","OK"))))))))</f>
        <v/>
      </c>
      <c r="M1497" s="39" t="str">
        <f>IF(C1497="","",C1497&amp;"#"&amp;COUNTIF($C$5:C1497,C1497))</f>
        <v/>
      </c>
    </row>
    <row r="1498">
      <c r="A1498" s="41" t="n"/>
      <c r="B1498" s="37" t="n"/>
      <c r="C1498" s="37" t="n"/>
      <c r="D1498" s="39" t="str">
        <f>IF(C1498="","",IFERROR(INDEX(art_des,MATCH(C1498,art_ref,0))&amp;"","Référence inconnue"))</f>
        <v/>
      </c>
      <c r="E1498" s="37" t="n"/>
      <c r="F1498" s="39" t="str">
        <f>IF(C1498="","",IFERROR(INDEX(art_unit,MATCH(C1498,art_ref,0))&amp;"",""))</f>
        <v/>
      </c>
      <c r="G1498" s="37" t="n"/>
      <c r="H1498" s="37" t="n"/>
      <c r="I1498" s="37" t="n"/>
      <c r="J1498" s="40" t="str">
        <f>IF(OR(C1498="",NOT(ISNUMBER(E1498))),"",IFERROR(E1498*N(INDEX(art_price,MATCH(C1498,art_ref,0))),""))</f>
        <v/>
      </c>
      <c r="K1498" s="39" t="str">
        <f>IF(OR(C1498="",NOT(ISNUMBER(E1498))),"",IFERROR(ROUND(N(INDEX(art_init,MATCH(C1498,art_ref,0)))+SUMIFS($E$5:E1498,$C$5:C1498,C1498,$B$5:B1498,"Entrée")-SUMIFS($E$5:E1498,$C$5:C1498,C1498,$B$5:B1498,"Sortie"),6),""))</f>
        <v/>
      </c>
      <c r="L1498" s="39" t="str">
        <f>IF(COUNTA(A1498:C1498,E1498)=0,"",IF(COUNTA(A1498:C1498,E1498)&lt;4,"Ligne incomplète",IF(NOT(ISNUMBER(A1498)),"Date invalide",IF(AND(B1498&lt;&gt;"Entrée",B1498&lt;&gt;"Sortie"),"Type inconnu",IF(ISNA(MATCH(C1498,art_ref,0)),"Référence inconnue",IF(OR(NOT(ISNUMBER(E1498)),N(E1498)&lt;=0),"Quantité invalide",IF(K1498&lt;0,"Stock négatif",IF(AND(ISNUMBER(A1497),A1498&lt;A1497),"Date hors ordre","OK"))))))))</f>
        <v/>
      </c>
      <c r="M1498" s="39" t="str">
        <f>IF(C1498="","",C1498&amp;"#"&amp;COUNTIF($C$5:C1498,C1498))</f>
        <v/>
      </c>
    </row>
    <row r="1499">
      <c r="A1499" s="41" t="n"/>
      <c r="B1499" s="37" t="n"/>
      <c r="C1499" s="37" t="n"/>
      <c r="D1499" s="39" t="str">
        <f>IF(C1499="","",IFERROR(INDEX(art_des,MATCH(C1499,art_ref,0))&amp;"","Référence inconnue"))</f>
        <v/>
      </c>
      <c r="E1499" s="37" t="n"/>
      <c r="F1499" s="39" t="str">
        <f>IF(C1499="","",IFERROR(INDEX(art_unit,MATCH(C1499,art_ref,0))&amp;"",""))</f>
        <v/>
      </c>
      <c r="G1499" s="37" t="n"/>
      <c r="H1499" s="37" t="n"/>
      <c r="I1499" s="37" t="n"/>
      <c r="J1499" s="40" t="str">
        <f>IF(OR(C1499="",NOT(ISNUMBER(E1499))),"",IFERROR(E1499*N(INDEX(art_price,MATCH(C1499,art_ref,0))),""))</f>
        <v/>
      </c>
      <c r="K1499" s="39" t="str">
        <f>IF(OR(C1499="",NOT(ISNUMBER(E1499))),"",IFERROR(ROUND(N(INDEX(art_init,MATCH(C1499,art_ref,0)))+SUMIFS($E$5:E1499,$C$5:C1499,C1499,$B$5:B1499,"Entrée")-SUMIFS($E$5:E1499,$C$5:C1499,C1499,$B$5:B1499,"Sortie"),6),""))</f>
        <v/>
      </c>
      <c r="L1499" s="39" t="str">
        <f>IF(COUNTA(A1499:C1499,E1499)=0,"",IF(COUNTA(A1499:C1499,E1499)&lt;4,"Ligne incomplète",IF(NOT(ISNUMBER(A1499)),"Date invalide",IF(AND(B1499&lt;&gt;"Entrée",B1499&lt;&gt;"Sortie"),"Type inconnu",IF(ISNA(MATCH(C1499,art_ref,0)),"Référence inconnue",IF(OR(NOT(ISNUMBER(E1499)),N(E1499)&lt;=0),"Quantité invalide",IF(K1499&lt;0,"Stock négatif",IF(AND(ISNUMBER(A1498),A1499&lt;A1498),"Date hors ordre","OK"))))))))</f>
        <v/>
      </c>
      <c r="M1499" s="39" t="str">
        <f>IF(C1499="","",C1499&amp;"#"&amp;COUNTIF($C$5:C1499,C1499))</f>
        <v/>
      </c>
    </row>
    <row r="1500">
      <c r="A1500" s="41" t="n"/>
      <c r="B1500" s="37" t="n"/>
      <c r="C1500" s="37" t="n"/>
      <c r="D1500" s="39" t="str">
        <f>IF(C1500="","",IFERROR(INDEX(art_des,MATCH(C1500,art_ref,0))&amp;"","Référence inconnue"))</f>
        <v/>
      </c>
      <c r="E1500" s="37" t="n"/>
      <c r="F1500" s="39" t="str">
        <f>IF(C1500="","",IFERROR(INDEX(art_unit,MATCH(C1500,art_ref,0))&amp;"",""))</f>
        <v/>
      </c>
      <c r="G1500" s="37" t="n"/>
      <c r="H1500" s="37" t="n"/>
      <c r="I1500" s="37" t="n"/>
      <c r="J1500" s="40" t="str">
        <f>IF(OR(C1500="",NOT(ISNUMBER(E1500))),"",IFERROR(E1500*N(INDEX(art_price,MATCH(C1500,art_ref,0))),""))</f>
        <v/>
      </c>
      <c r="K1500" s="39" t="str">
        <f>IF(OR(C1500="",NOT(ISNUMBER(E1500))),"",IFERROR(ROUND(N(INDEX(art_init,MATCH(C1500,art_ref,0)))+SUMIFS($E$5:E1500,$C$5:C1500,C1500,$B$5:B1500,"Entrée")-SUMIFS($E$5:E1500,$C$5:C1500,C1500,$B$5:B1500,"Sortie"),6),""))</f>
        <v/>
      </c>
      <c r="L1500" s="39" t="str">
        <f>IF(COUNTA(A1500:C1500,E1500)=0,"",IF(COUNTA(A1500:C1500,E1500)&lt;4,"Ligne incomplète",IF(NOT(ISNUMBER(A1500)),"Date invalide",IF(AND(B1500&lt;&gt;"Entrée",B1500&lt;&gt;"Sortie"),"Type inconnu",IF(ISNA(MATCH(C1500,art_ref,0)),"Référence inconnue",IF(OR(NOT(ISNUMBER(E1500)),N(E1500)&lt;=0),"Quantité invalide",IF(K1500&lt;0,"Stock négatif",IF(AND(ISNUMBER(A1499),A1500&lt;A1499),"Date hors ordre","OK"))))))))</f>
        <v/>
      </c>
      <c r="M1500" s="39" t="str">
        <f>IF(C1500="","",C1500&amp;"#"&amp;COUNTIF($C$5:C1500,C1500))</f>
        <v/>
      </c>
    </row>
    <row r="1501">
      <c r="A1501" s="41" t="n"/>
      <c r="B1501" s="37" t="n"/>
      <c r="C1501" s="37" t="n"/>
      <c r="D1501" s="39" t="str">
        <f>IF(C1501="","",IFERROR(INDEX(art_des,MATCH(C1501,art_ref,0))&amp;"","Référence inconnue"))</f>
        <v/>
      </c>
      <c r="E1501" s="37" t="n"/>
      <c r="F1501" s="39" t="str">
        <f>IF(C1501="","",IFERROR(INDEX(art_unit,MATCH(C1501,art_ref,0))&amp;"",""))</f>
        <v/>
      </c>
      <c r="G1501" s="37" t="n"/>
      <c r="H1501" s="37" t="n"/>
      <c r="I1501" s="37" t="n"/>
      <c r="J1501" s="40" t="str">
        <f>IF(OR(C1501="",NOT(ISNUMBER(E1501))),"",IFERROR(E1501*N(INDEX(art_price,MATCH(C1501,art_ref,0))),""))</f>
        <v/>
      </c>
      <c r="K1501" s="39" t="str">
        <f>IF(OR(C1501="",NOT(ISNUMBER(E1501))),"",IFERROR(ROUND(N(INDEX(art_init,MATCH(C1501,art_ref,0)))+SUMIFS($E$5:E1501,$C$5:C1501,C1501,$B$5:B1501,"Entrée")-SUMIFS($E$5:E1501,$C$5:C1501,C1501,$B$5:B1501,"Sortie"),6),""))</f>
        <v/>
      </c>
      <c r="L1501" s="39" t="str">
        <f>IF(COUNTA(A1501:C1501,E1501)=0,"",IF(COUNTA(A1501:C1501,E1501)&lt;4,"Ligne incomplète",IF(NOT(ISNUMBER(A1501)),"Date invalide",IF(AND(B1501&lt;&gt;"Entrée",B1501&lt;&gt;"Sortie"),"Type inconnu",IF(ISNA(MATCH(C1501,art_ref,0)),"Référence inconnue",IF(OR(NOT(ISNUMBER(E1501)),N(E1501)&lt;=0),"Quantité invalide",IF(K1501&lt;0,"Stock négatif",IF(AND(ISNUMBER(A1500),A1501&lt;A1500),"Date hors ordre","OK"))))))))</f>
        <v/>
      </c>
      <c r="M1501" s="39" t="str">
        <f>IF(C1501="","",C1501&amp;"#"&amp;COUNTIF($C$5:C1501,C1501))</f>
        <v/>
      </c>
    </row>
    <row r="1502">
      <c r="A1502" s="41" t="n"/>
      <c r="B1502" s="37" t="n"/>
      <c r="C1502" s="37" t="n"/>
      <c r="D1502" s="39" t="str">
        <f>IF(C1502="","",IFERROR(INDEX(art_des,MATCH(C1502,art_ref,0))&amp;"","Référence inconnue"))</f>
        <v/>
      </c>
      <c r="E1502" s="37" t="n"/>
      <c r="F1502" s="39" t="str">
        <f>IF(C1502="","",IFERROR(INDEX(art_unit,MATCH(C1502,art_ref,0))&amp;"",""))</f>
        <v/>
      </c>
      <c r="G1502" s="37" t="n"/>
      <c r="H1502" s="37" t="n"/>
      <c r="I1502" s="37" t="n"/>
      <c r="J1502" s="40" t="str">
        <f>IF(OR(C1502="",NOT(ISNUMBER(E1502))),"",IFERROR(E1502*N(INDEX(art_price,MATCH(C1502,art_ref,0))),""))</f>
        <v/>
      </c>
      <c r="K1502" s="39" t="str">
        <f>IF(OR(C1502="",NOT(ISNUMBER(E1502))),"",IFERROR(ROUND(N(INDEX(art_init,MATCH(C1502,art_ref,0)))+SUMIFS($E$5:E1502,$C$5:C1502,C1502,$B$5:B1502,"Entrée")-SUMIFS($E$5:E1502,$C$5:C1502,C1502,$B$5:B1502,"Sortie"),6),""))</f>
        <v/>
      </c>
      <c r="L1502" s="39" t="str">
        <f>IF(COUNTA(A1502:C1502,E1502)=0,"",IF(COUNTA(A1502:C1502,E1502)&lt;4,"Ligne incomplète",IF(NOT(ISNUMBER(A1502)),"Date invalide",IF(AND(B1502&lt;&gt;"Entrée",B1502&lt;&gt;"Sortie"),"Type inconnu",IF(ISNA(MATCH(C1502,art_ref,0)),"Référence inconnue",IF(OR(NOT(ISNUMBER(E1502)),N(E1502)&lt;=0),"Quantité invalide",IF(K1502&lt;0,"Stock négatif",IF(AND(ISNUMBER(A1501),A1502&lt;A1501),"Date hors ordre","OK"))))))))</f>
        <v/>
      </c>
      <c r="M1502" s="39" t="str">
        <f>IF(C1502="","",C1502&amp;"#"&amp;COUNTIF($C$5:C1502,C1502))</f>
        <v/>
      </c>
    </row>
    <row r="1503">
      <c r="A1503" s="41" t="n"/>
      <c r="B1503" s="37" t="n"/>
      <c r="C1503" s="37" t="n"/>
      <c r="D1503" s="39" t="str">
        <f>IF(C1503="","",IFERROR(INDEX(art_des,MATCH(C1503,art_ref,0))&amp;"","Référence inconnue"))</f>
        <v/>
      </c>
      <c r="E1503" s="37" t="n"/>
      <c r="F1503" s="39" t="str">
        <f>IF(C1503="","",IFERROR(INDEX(art_unit,MATCH(C1503,art_ref,0))&amp;"",""))</f>
        <v/>
      </c>
      <c r="G1503" s="37" t="n"/>
      <c r="H1503" s="37" t="n"/>
      <c r="I1503" s="37" t="n"/>
      <c r="J1503" s="40" t="str">
        <f>IF(OR(C1503="",NOT(ISNUMBER(E1503))),"",IFERROR(E1503*N(INDEX(art_price,MATCH(C1503,art_ref,0))),""))</f>
        <v/>
      </c>
      <c r="K1503" s="39" t="str">
        <f>IF(OR(C1503="",NOT(ISNUMBER(E1503))),"",IFERROR(ROUND(N(INDEX(art_init,MATCH(C1503,art_ref,0)))+SUMIFS($E$5:E1503,$C$5:C1503,C1503,$B$5:B1503,"Entrée")-SUMIFS($E$5:E1503,$C$5:C1503,C1503,$B$5:B1503,"Sortie"),6),""))</f>
        <v/>
      </c>
      <c r="L1503" s="39" t="str">
        <f>IF(COUNTA(A1503:C1503,E1503)=0,"",IF(COUNTA(A1503:C1503,E1503)&lt;4,"Ligne incomplète",IF(NOT(ISNUMBER(A1503)),"Date invalide",IF(AND(B1503&lt;&gt;"Entrée",B1503&lt;&gt;"Sortie"),"Type inconnu",IF(ISNA(MATCH(C1503,art_ref,0)),"Référence inconnue",IF(OR(NOT(ISNUMBER(E1503)),N(E1503)&lt;=0),"Quantité invalide",IF(K1503&lt;0,"Stock négatif",IF(AND(ISNUMBER(A1502),A1503&lt;A1502),"Date hors ordre","OK"))))))))</f>
        <v/>
      </c>
      <c r="M1503" s="39" t="str">
        <f>IF(C1503="","",C1503&amp;"#"&amp;COUNTIF($C$5:C1503,C1503))</f>
        <v/>
      </c>
    </row>
    <row r="1504">
      <c r="A1504" s="41" t="n"/>
      <c r="B1504" s="37" t="n"/>
      <c r="C1504" s="37" t="n"/>
      <c r="D1504" s="39" t="str">
        <f>IF(C1504="","",IFERROR(INDEX(art_des,MATCH(C1504,art_ref,0))&amp;"","Référence inconnue"))</f>
        <v/>
      </c>
      <c r="E1504" s="37" t="n"/>
      <c r="F1504" s="39" t="str">
        <f>IF(C1504="","",IFERROR(INDEX(art_unit,MATCH(C1504,art_ref,0))&amp;"",""))</f>
        <v/>
      </c>
      <c r="G1504" s="37" t="n"/>
      <c r="H1504" s="37" t="n"/>
      <c r="I1504" s="37" t="n"/>
      <c r="J1504" s="40" t="str">
        <f>IF(OR(C1504="",NOT(ISNUMBER(E1504))),"",IFERROR(E1504*N(INDEX(art_price,MATCH(C1504,art_ref,0))),""))</f>
        <v/>
      </c>
      <c r="K1504" s="39" t="str">
        <f>IF(OR(C1504="",NOT(ISNUMBER(E1504))),"",IFERROR(ROUND(N(INDEX(art_init,MATCH(C1504,art_ref,0)))+SUMIFS($E$5:E1504,$C$5:C1504,C1504,$B$5:B1504,"Entrée")-SUMIFS($E$5:E1504,$C$5:C1504,C1504,$B$5:B1504,"Sortie"),6),""))</f>
        <v/>
      </c>
      <c r="L1504" s="39" t="str">
        <f>IF(COUNTA(A1504:C1504,E1504)=0,"",IF(COUNTA(A1504:C1504,E1504)&lt;4,"Ligne incomplète",IF(NOT(ISNUMBER(A1504)),"Date invalide",IF(AND(B1504&lt;&gt;"Entrée",B1504&lt;&gt;"Sortie"),"Type inconnu",IF(ISNA(MATCH(C1504,art_ref,0)),"Référence inconnue",IF(OR(NOT(ISNUMBER(E1504)),N(E1504)&lt;=0),"Quantité invalide",IF(K1504&lt;0,"Stock négatif",IF(AND(ISNUMBER(A1503),A1504&lt;A1503),"Date hors ordre","OK"))))))))</f>
        <v/>
      </c>
      <c r="M1504" s="39" t="str">
        <f>IF(C1504="","",C1504&amp;"#"&amp;COUNTIF($C$5:C1504,C1504))</f>
        <v/>
      </c>
    </row>
    <row r="1505">
      <c r="A1505" s="41" t="n"/>
      <c r="B1505" s="37" t="n"/>
      <c r="C1505" s="37" t="n"/>
      <c r="D1505" s="39" t="str">
        <f>IF(C1505="","",IFERROR(INDEX(art_des,MATCH(C1505,art_ref,0))&amp;"","Référence inconnue"))</f>
        <v/>
      </c>
      <c r="E1505" s="37" t="n"/>
      <c r="F1505" s="39" t="str">
        <f>IF(C1505="","",IFERROR(INDEX(art_unit,MATCH(C1505,art_ref,0))&amp;"",""))</f>
        <v/>
      </c>
      <c r="G1505" s="37" t="n"/>
      <c r="H1505" s="37" t="n"/>
      <c r="I1505" s="37" t="n"/>
      <c r="J1505" s="40" t="str">
        <f>IF(OR(C1505="",NOT(ISNUMBER(E1505))),"",IFERROR(E1505*N(INDEX(art_price,MATCH(C1505,art_ref,0))),""))</f>
        <v/>
      </c>
      <c r="K1505" s="39" t="str">
        <f>IF(OR(C1505="",NOT(ISNUMBER(E1505))),"",IFERROR(ROUND(N(INDEX(art_init,MATCH(C1505,art_ref,0)))+SUMIFS($E$5:E1505,$C$5:C1505,C1505,$B$5:B1505,"Entrée")-SUMIFS($E$5:E1505,$C$5:C1505,C1505,$B$5:B1505,"Sortie"),6),""))</f>
        <v/>
      </c>
      <c r="L1505" s="39" t="str">
        <f>IF(COUNTA(A1505:C1505,E1505)=0,"",IF(COUNTA(A1505:C1505,E1505)&lt;4,"Ligne incomplète",IF(NOT(ISNUMBER(A1505)),"Date invalide",IF(AND(B1505&lt;&gt;"Entrée",B1505&lt;&gt;"Sortie"),"Type inconnu",IF(ISNA(MATCH(C1505,art_ref,0)),"Référence inconnue",IF(OR(NOT(ISNUMBER(E1505)),N(E1505)&lt;=0),"Quantité invalide",IF(K1505&lt;0,"Stock négatif",IF(AND(ISNUMBER(A1504),A1505&lt;A1504),"Date hors ordre","OK"))))))))</f>
        <v/>
      </c>
      <c r="M1505" s="39" t="str">
        <f>IF(C1505="","",C1505&amp;"#"&amp;COUNTIF($C$5:C1505,C1505))</f>
        <v/>
      </c>
    </row>
    <row r="1506">
      <c r="A1506" s="41" t="n"/>
      <c r="B1506" s="37" t="n"/>
      <c r="C1506" s="37" t="n"/>
      <c r="D1506" s="39" t="str">
        <f>IF(C1506="","",IFERROR(INDEX(art_des,MATCH(C1506,art_ref,0))&amp;"","Référence inconnue"))</f>
        <v/>
      </c>
      <c r="E1506" s="37" t="n"/>
      <c r="F1506" s="39" t="str">
        <f>IF(C1506="","",IFERROR(INDEX(art_unit,MATCH(C1506,art_ref,0))&amp;"",""))</f>
        <v/>
      </c>
      <c r="G1506" s="37" t="n"/>
      <c r="H1506" s="37" t="n"/>
      <c r="I1506" s="37" t="n"/>
      <c r="J1506" s="40" t="str">
        <f>IF(OR(C1506="",NOT(ISNUMBER(E1506))),"",IFERROR(E1506*N(INDEX(art_price,MATCH(C1506,art_ref,0))),""))</f>
        <v/>
      </c>
      <c r="K1506" s="39" t="str">
        <f>IF(OR(C1506="",NOT(ISNUMBER(E1506))),"",IFERROR(ROUND(N(INDEX(art_init,MATCH(C1506,art_ref,0)))+SUMIFS($E$5:E1506,$C$5:C1506,C1506,$B$5:B1506,"Entrée")-SUMIFS($E$5:E1506,$C$5:C1506,C1506,$B$5:B1506,"Sortie"),6),""))</f>
        <v/>
      </c>
      <c r="L1506" s="39" t="str">
        <f>IF(COUNTA(A1506:C1506,E1506)=0,"",IF(COUNTA(A1506:C1506,E1506)&lt;4,"Ligne incomplète",IF(NOT(ISNUMBER(A1506)),"Date invalide",IF(AND(B1506&lt;&gt;"Entrée",B1506&lt;&gt;"Sortie"),"Type inconnu",IF(ISNA(MATCH(C1506,art_ref,0)),"Référence inconnue",IF(OR(NOT(ISNUMBER(E1506)),N(E1506)&lt;=0),"Quantité invalide",IF(K1506&lt;0,"Stock négatif",IF(AND(ISNUMBER(A1505),A1506&lt;A1505),"Date hors ordre","OK"))))))))</f>
        <v/>
      </c>
      <c r="M1506" s="39" t="str">
        <f>IF(C1506="","",C1506&amp;"#"&amp;COUNTIF($C$5:C1506,C1506))</f>
        <v/>
      </c>
    </row>
    <row r="1507">
      <c r="A1507" s="41" t="n"/>
      <c r="B1507" s="37" t="n"/>
      <c r="C1507" s="37" t="n"/>
      <c r="D1507" s="39" t="str">
        <f>IF(C1507="","",IFERROR(INDEX(art_des,MATCH(C1507,art_ref,0))&amp;"","Référence inconnue"))</f>
        <v/>
      </c>
      <c r="E1507" s="37" t="n"/>
      <c r="F1507" s="39" t="str">
        <f>IF(C1507="","",IFERROR(INDEX(art_unit,MATCH(C1507,art_ref,0))&amp;"",""))</f>
        <v/>
      </c>
      <c r="G1507" s="37" t="n"/>
      <c r="H1507" s="37" t="n"/>
      <c r="I1507" s="37" t="n"/>
      <c r="J1507" s="40" t="str">
        <f>IF(OR(C1507="",NOT(ISNUMBER(E1507))),"",IFERROR(E1507*N(INDEX(art_price,MATCH(C1507,art_ref,0))),""))</f>
        <v/>
      </c>
      <c r="K1507" s="39" t="str">
        <f>IF(OR(C1507="",NOT(ISNUMBER(E1507))),"",IFERROR(ROUND(N(INDEX(art_init,MATCH(C1507,art_ref,0)))+SUMIFS($E$5:E1507,$C$5:C1507,C1507,$B$5:B1507,"Entrée")-SUMIFS($E$5:E1507,$C$5:C1507,C1507,$B$5:B1507,"Sortie"),6),""))</f>
        <v/>
      </c>
      <c r="L1507" s="39" t="str">
        <f>IF(COUNTA(A1507:C1507,E1507)=0,"",IF(COUNTA(A1507:C1507,E1507)&lt;4,"Ligne incomplète",IF(NOT(ISNUMBER(A1507)),"Date invalide",IF(AND(B1507&lt;&gt;"Entrée",B1507&lt;&gt;"Sortie"),"Type inconnu",IF(ISNA(MATCH(C1507,art_ref,0)),"Référence inconnue",IF(OR(NOT(ISNUMBER(E1507)),N(E1507)&lt;=0),"Quantité invalide",IF(K1507&lt;0,"Stock négatif",IF(AND(ISNUMBER(A1506),A1507&lt;A1506),"Date hors ordre","OK"))))))))</f>
        <v/>
      </c>
      <c r="M1507" s="39" t="str">
        <f>IF(C1507="","",C1507&amp;"#"&amp;COUNTIF($C$5:C1507,C1507))</f>
        <v/>
      </c>
    </row>
    <row r="1508">
      <c r="A1508" s="41" t="n"/>
      <c r="B1508" s="37" t="n"/>
      <c r="C1508" s="37" t="n"/>
      <c r="D1508" s="39" t="str">
        <f>IF(C1508="","",IFERROR(INDEX(art_des,MATCH(C1508,art_ref,0))&amp;"","Référence inconnue"))</f>
        <v/>
      </c>
      <c r="E1508" s="37" t="n"/>
      <c r="F1508" s="39" t="str">
        <f>IF(C1508="","",IFERROR(INDEX(art_unit,MATCH(C1508,art_ref,0))&amp;"",""))</f>
        <v/>
      </c>
      <c r="G1508" s="37" t="n"/>
      <c r="H1508" s="37" t="n"/>
      <c r="I1508" s="37" t="n"/>
      <c r="J1508" s="40" t="str">
        <f>IF(OR(C1508="",NOT(ISNUMBER(E1508))),"",IFERROR(E1508*N(INDEX(art_price,MATCH(C1508,art_ref,0))),""))</f>
        <v/>
      </c>
      <c r="K1508" s="39" t="str">
        <f>IF(OR(C1508="",NOT(ISNUMBER(E1508))),"",IFERROR(ROUND(N(INDEX(art_init,MATCH(C1508,art_ref,0)))+SUMIFS($E$5:E1508,$C$5:C1508,C1508,$B$5:B1508,"Entrée")-SUMIFS($E$5:E1508,$C$5:C1508,C1508,$B$5:B1508,"Sortie"),6),""))</f>
        <v/>
      </c>
      <c r="L1508" s="39" t="str">
        <f>IF(COUNTA(A1508:C1508,E1508)=0,"",IF(COUNTA(A1508:C1508,E1508)&lt;4,"Ligne incomplète",IF(NOT(ISNUMBER(A1508)),"Date invalide",IF(AND(B1508&lt;&gt;"Entrée",B1508&lt;&gt;"Sortie"),"Type inconnu",IF(ISNA(MATCH(C1508,art_ref,0)),"Référence inconnue",IF(OR(NOT(ISNUMBER(E1508)),N(E1508)&lt;=0),"Quantité invalide",IF(K1508&lt;0,"Stock négatif",IF(AND(ISNUMBER(A1507),A1508&lt;A1507),"Date hors ordre","OK"))))))))</f>
        <v/>
      </c>
      <c r="M1508" s="39" t="str">
        <f>IF(C1508="","",C1508&amp;"#"&amp;COUNTIF($C$5:C1508,C1508))</f>
        <v/>
      </c>
    </row>
    <row r="1509">
      <c r="A1509" s="41" t="n"/>
      <c r="B1509" s="37" t="n"/>
      <c r="C1509" s="37" t="n"/>
      <c r="D1509" s="39" t="str">
        <f>IF(C1509="","",IFERROR(INDEX(art_des,MATCH(C1509,art_ref,0))&amp;"","Référence inconnue"))</f>
        <v/>
      </c>
      <c r="E1509" s="37" t="n"/>
      <c r="F1509" s="39" t="str">
        <f>IF(C1509="","",IFERROR(INDEX(art_unit,MATCH(C1509,art_ref,0))&amp;"",""))</f>
        <v/>
      </c>
      <c r="G1509" s="37" t="n"/>
      <c r="H1509" s="37" t="n"/>
      <c r="I1509" s="37" t="n"/>
      <c r="J1509" s="40" t="str">
        <f>IF(OR(C1509="",NOT(ISNUMBER(E1509))),"",IFERROR(E1509*N(INDEX(art_price,MATCH(C1509,art_ref,0))),""))</f>
        <v/>
      </c>
      <c r="K1509" s="39" t="str">
        <f>IF(OR(C1509="",NOT(ISNUMBER(E1509))),"",IFERROR(ROUND(N(INDEX(art_init,MATCH(C1509,art_ref,0)))+SUMIFS($E$5:E1509,$C$5:C1509,C1509,$B$5:B1509,"Entrée")-SUMIFS($E$5:E1509,$C$5:C1509,C1509,$B$5:B1509,"Sortie"),6),""))</f>
        <v/>
      </c>
      <c r="L1509" s="39" t="str">
        <f>IF(COUNTA(A1509:C1509,E1509)=0,"",IF(COUNTA(A1509:C1509,E1509)&lt;4,"Ligne incomplète",IF(NOT(ISNUMBER(A1509)),"Date invalide",IF(AND(B1509&lt;&gt;"Entrée",B1509&lt;&gt;"Sortie"),"Type inconnu",IF(ISNA(MATCH(C1509,art_ref,0)),"Référence inconnue",IF(OR(NOT(ISNUMBER(E1509)),N(E1509)&lt;=0),"Quantité invalide",IF(K1509&lt;0,"Stock négatif",IF(AND(ISNUMBER(A1508),A1509&lt;A1508),"Date hors ordre","OK"))))))))</f>
        <v/>
      </c>
      <c r="M1509" s="39" t="str">
        <f>IF(C1509="","",C1509&amp;"#"&amp;COUNTIF($C$5:C1509,C1509))</f>
        <v/>
      </c>
    </row>
    <row r="1510">
      <c r="A1510" s="41" t="n"/>
      <c r="B1510" s="37" t="n"/>
      <c r="C1510" s="37" t="n"/>
      <c r="D1510" s="39" t="str">
        <f>IF(C1510="","",IFERROR(INDEX(art_des,MATCH(C1510,art_ref,0))&amp;"","Référence inconnue"))</f>
        <v/>
      </c>
      <c r="E1510" s="37" t="n"/>
      <c r="F1510" s="39" t="str">
        <f>IF(C1510="","",IFERROR(INDEX(art_unit,MATCH(C1510,art_ref,0))&amp;"",""))</f>
        <v/>
      </c>
      <c r="G1510" s="37" t="n"/>
      <c r="H1510" s="37" t="n"/>
      <c r="I1510" s="37" t="n"/>
      <c r="J1510" s="40" t="str">
        <f>IF(OR(C1510="",NOT(ISNUMBER(E1510))),"",IFERROR(E1510*N(INDEX(art_price,MATCH(C1510,art_ref,0))),""))</f>
        <v/>
      </c>
      <c r="K1510" s="39" t="str">
        <f>IF(OR(C1510="",NOT(ISNUMBER(E1510))),"",IFERROR(ROUND(N(INDEX(art_init,MATCH(C1510,art_ref,0)))+SUMIFS($E$5:E1510,$C$5:C1510,C1510,$B$5:B1510,"Entrée")-SUMIFS($E$5:E1510,$C$5:C1510,C1510,$B$5:B1510,"Sortie"),6),""))</f>
        <v/>
      </c>
      <c r="L1510" s="39" t="str">
        <f>IF(COUNTA(A1510:C1510,E1510)=0,"",IF(COUNTA(A1510:C1510,E1510)&lt;4,"Ligne incomplète",IF(NOT(ISNUMBER(A1510)),"Date invalide",IF(AND(B1510&lt;&gt;"Entrée",B1510&lt;&gt;"Sortie"),"Type inconnu",IF(ISNA(MATCH(C1510,art_ref,0)),"Référence inconnue",IF(OR(NOT(ISNUMBER(E1510)),N(E1510)&lt;=0),"Quantité invalide",IF(K1510&lt;0,"Stock négatif",IF(AND(ISNUMBER(A1509),A1510&lt;A1509),"Date hors ordre","OK"))))))))</f>
        <v/>
      </c>
      <c r="M1510" s="39" t="str">
        <f>IF(C1510="","",C1510&amp;"#"&amp;COUNTIF($C$5:C1510,C1510))</f>
        <v/>
      </c>
    </row>
    <row r="1511">
      <c r="A1511" s="41" t="n"/>
      <c r="B1511" s="37" t="n"/>
      <c r="C1511" s="37" t="n"/>
      <c r="D1511" s="39" t="str">
        <f>IF(C1511="","",IFERROR(INDEX(art_des,MATCH(C1511,art_ref,0))&amp;"","Référence inconnue"))</f>
        <v/>
      </c>
      <c r="E1511" s="37" t="n"/>
      <c r="F1511" s="39" t="str">
        <f>IF(C1511="","",IFERROR(INDEX(art_unit,MATCH(C1511,art_ref,0))&amp;"",""))</f>
        <v/>
      </c>
      <c r="G1511" s="37" t="n"/>
      <c r="H1511" s="37" t="n"/>
      <c r="I1511" s="37" t="n"/>
      <c r="J1511" s="40" t="str">
        <f>IF(OR(C1511="",NOT(ISNUMBER(E1511))),"",IFERROR(E1511*N(INDEX(art_price,MATCH(C1511,art_ref,0))),""))</f>
        <v/>
      </c>
      <c r="K1511" s="39" t="str">
        <f>IF(OR(C1511="",NOT(ISNUMBER(E1511))),"",IFERROR(ROUND(N(INDEX(art_init,MATCH(C1511,art_ref,0)))+SUMIFS($E$5:E1511,$C$5:C1511,C1511,$B$5:B1511,"Entrée")-SUMIFS($E$5:E1511,$C$5:C1511,C1511,$B$5:B1511,"Sortie"),6),""))</f>
        <v/>
      </c>
      <c r="L1511" s="39" t="str">
        <f>IF(COUNTA(A1511:C1511,E1511)=0,"",IF(COUNTA(A1511:C1511,E1511)&lt;4,"Ligne incomplète",IF(NOT(ISNUMBER(A1511)),"Date invalide",IF(AND(B1511&lt;&gt;"Entrée",B1511&lt;&gt;"Sortie"),"Type inconnu",IF(ISNA(MATCH(C1511,art_ref,0)),"Référence inconnue",IF(OR(NOT(ISNUMBER(E1511)),N(E1511)&lt;=0),"Quantité invalide",IF(K1511&lt;0,"Stock négatif",IF(AND(ISNUMBER(A1510),A1511&lt;A1510),"Date hors ordre","OK"))))))))</f>
        <v/>
      </c>
      <c r="M1511" s="39" t="str">
        <f>IF(C1511="","",C1511&amp;"#"&amp;COUNTIF($C$5:C1511,C1511))</f>
        <v/>
      </c>
    </row>
    <row r="1512">
      <c r="A1512" s="41" t="n"/>
      <c r="B1512" s="37" t="n"/>
      <c r="C1512" s="37" t="n"/>
      <c r="D1512" s="39" t="str">
        <f>IF(C1512="","",IFERROR(INDEX(art_des,MATCH(C1512,art_ref,0))&amp;"","Référence inconnue"))</f>
        <v/>
      </c>
      <c r="E1512" s="37" t="n"/>
      <c r="F1512" s="39" t="str">
        <f>IF(C1512="","",IFERROR(INDEX(art_unit,MATCH(C1512,art_ref,0))&amp;"",""))</f>
        <v/>
      </c>
      <c r="G1512" s="37" t="n"/>
      <c r="H1512" s="37" t="n"/>
      <c r="I1512" s="37" t="n"/>
      <c r="J1512" s="40" t="str">
        <f>IF(OR(C1512="",NOT(ISNUMBER(E1512))),"",IFERROR(E1512*N(INDEX(art_price,MATCH(C1512,art_ref,0))),""))</f>
        <v/>
      </c>
      <c r="K1512" s="39" t="str">
        <f>IF(OR(C1512="",NOT(ISNUMBER(E1512))),"",IFERROR(ROUND(N(INDEX(art_init,MATCH(C1512,art_ref,0)))+SUMIFS($E$5:E1512,$C$5:C1512,C1512,$B$5:B1512,"Entrée")-SUMIFS($E$5:E1512,$C$5:C1512,C1512,$B$5:B1512,"Sortie"),6),""))</f>
        <v/>
      </c>
      <c r="L1512" s="39" t="str">
        <f>IF(COUNTA(A1512:C1512,E1512)=0,"",IF(COUNTA(A1512:C1512,E1512)&lt;4,"Ligne incomplète",IF(NOT(ISNUMBER(A1512)),"Date invalide",IF(AND(B1512&lt;&gt;"Entrée",B1512&lt;&gt;"Sortie"),"Type inconnu",IF(ISNA(MATCH(C1512,art_ref,0)),"Référence inconnue",IF(OR(NOT(ISNUMBER(E1512)),N(E1512)&lt;=0),"Quantité invalide",IF(K1512&lt;0,"Stock négatif",IF(AND(ISNUMBER(A1511),A1512&lt;A1511),"Date hors ordre","OK"))))))))</f>
        <v/>
      </c>
      <c r="M1512" s="39" t="str">
        <f>IF(C1512="","",C1512&amp;"#"&amp;COUNTIF($C$5:C1512,C1512))</f>
        <v/>
      </c>
    </row>
    <row r="1513">
      <c r="A1513" s="41" t="n"/>
      <c r="B1513" s="37" t="n"/>
      <c r="C1513" s="37" t="n"/>
      <c r="D1513" s="39" t="str">
        <f>IF(C1513="","",IFERROR(INDEX(art_des,MATCH(C1513,art_ref,0))&amp;"","Référence inconnue"))</f>
        <v/>
      </c>
      <c r="E1513" s="37" t="n"/>
      <c r="F1513" s="39" t="str">
        <f>IF(C1513="","",IFERROR(INDEX(art_unit,MATCH(C1513,art_ref,0))&amp;"",""))</f>
        <v/>
      </c>
      <c r="G1513" s="37" t="n"/>
      <c r="H1513" s="37" t="n"/>
      <c r="I1513" s="37" t="n"/>
      <c r="J1513" s="40" t="str">
        <f>IF(OR(C1513="",NOT(ISNUMBER(E1513))),"",IFERROR(E1513*N(INDEX(art_price,MATCH(C1513,art_ref,0))),""))</f>
        <v/>
      </c>
      <c r="K1513" s="39" t="str">
        <f>IF(OR(C1513="",NOT(ISNUMBER(E1513))),"",IFERROR(ROUND(N(INDEX(art_init,MATCH(C1513,art_ref,0)))+SUMIFS($E$5:E1513,$C$5:C1513,C1513,$B$5:B1513,"Entrée")-SUMIFS($E$5:E1513,$C$5:C1513,C1513,$B$5:B1513,"Sortie"),6),""))</f>
        <v/>
      </c>
      <c r="L1513" s="39" t="str">
        <f>IF(COUNTA(A1513:C1513,E1513)=0,"",IF(COUNTA(A1513:C1513,E1513)&lt;4,"Ligne incomplète",IF(NOT(ISNUMBER(A1513)),"Date invalide",IF(AND(B1513&lt;&gt;"Entrée",B1513&lt;&gt;"Sortie"),"Type inconnu",IF(ISNA(MATCH(C1513,art_ref,0)),"Référence inconnue",IF(OR(NOT(ISNUMBER(E1513)),N(E1513)&lt;=0),"Quantité invalide",IF(K1513&lt;0,"Stock négatif",IF(AND(ISNUMBER(A1512),A1513&lt;A1512),"Date hors ordre","OK"))))))))</f>
        <v/>
      </c>
      <c r="M1513" s="39" t="str">
        <f>IF(C1513="","",C1513&amp;"#"&amp;COUNTIF($C$5:C1513,C1513))</f>
        <v/>
      </c>
    </row>
    <row r="1514">
      <c r="A1514" s="41" t="n"/>
      <c r="B1514" s="37" t="n"/>
      <c r="C1514" s="37" t="n"/>
      <c r="D1514" s="39" t="str">
        <f>IF(C1514="","",IFERROR(INDEX(art_des,MATCH(C1514,art_ref,0))&amp;"","Référence inconnue"))</f>
        <v/>
      </c>
      <c r="E1514" s="37" t="n"/>
      <c r="F1514" s="39" t="str">
        <f>IF(C1514="","",IFERROR(INDEX(art_unit,MATCH(C1514,art_ref,0))&amp;"",""))</f>
        <v/>
      </c>
      <c r="G1514" s="37" t="n"/>
      <c r="H1514" s="37" t="n"/>
      <c r="I1514" s="37" t="n"/>
      <c r="J1514" s="40" t="str">
        <f>IF(OR(C1514="",NOT(ISNUMBER(E1514))),"",IFERROR(E1514*N(INDEX(art_price,MATCH(C1514,art_ref,0))),""))</f>
        <v/>
      </c>
      <c r="K1514" s="39" t="str">
        <f>IF(OR(C1514="",NOT(ISNUMBER(E1514))),"",IFERROR(ROUND(N(INDEX(art_init,MATCH(C1514,art_ref,0)))+SUMIFS($E$5:E1514,$C$5:C1514,C1514,$B$5:B1514,"Entrée")-SUMIFS($E$5:E1514,$C$5:C1514,C1514,$B$5:B1514,"Sortie"),6),""))</f>
        <v/>
      </c>
      <c r="L1514" s="39" t="str">
        <f>IF(COUNTA(A1514:C1514,E1514)=0,"",IF(COUNTA(A1514:C1514,E1514)&lt;4,"Ligne incomplète",IF(NOT(ISNUMBER(A1514)),"Date invalide",IF(AND(B1514&lt;&gt;"Entrée",B1514&lt;&gt;"Sortie"),"Type inconnu",IF(ISNA(MATCH(C1514,art_ref,0)),"Référence inconnue",IF(OR(NOT(ISNUMBER(E1514)),N(E1514)&lt;=0),"Quantité invalide",IF(K1514&lt;0,"Stock négatif",IF(AND(ISNUMBER(A1513),A1514&lt;A1513),"Date hors ordre","OK"))))))))</f>
        <v/>
      </c>
      <c r="M1514" s="39" t="str">
        <f>IF(C1514="","",C1514&amp;"#"&amp;COUNTIF($C$5:C1514,C1514))</f>
        <v/>
      </c>
    </row>
    <row r="1515">
      <c r="A1515" s="41" t="n"/>
      <c r="B1515" s="37" t="n"/>
      <c r="C1515" s="37" t="n"/>
      <c r="D1515" s="39" t="str">
        <f>IF(C1515="","",IFERROR(INDEX(art_des,MATCH(C1515,art_ref,0))&amp;"","Référence inconnue"))</f>
        <v/>
      </c>
      <c r="E1515" s="37" t="n"/>
      <c r="F1515" s="39" t="str">
        <f>IF(C1515="","",IFERROR(INDEX(art_unit,MATCH(C1515,art_ref,0))&amp;"",""))</f>
        <v/>
      </c>
      <c r="G1515" s="37" t="n"/>
      <c r="H1515" s="37" t="n"/>
      <c r="I1515" s="37" t="n"/>
      <c r="J1515" s="40" t="str">
        <f>IF(OR(C1515="",NOT(ISNUMBER(E1515))),"",IFERROR(E1515*N(INDEX(art_price,MATCH(C1515,art_ref,0))),""))</f>
        <v/>
      </c>
      <c r="K1515" s="39" t="str">
        <f>IF(OR(C1515="",NOT(ISNUMBER(E1515))),"",IFERROR(ROUND(N(INDEX(art_init,MATCH(C1515,art_ref,0)))+SUMIFS($E$5:E1515,$C$5:C1515,C1515,$B$5:B1515,"Entrée")-SUMIFS($E$5:E1515,$C$5:C1515,C1515,$B$5:B1515,"Sortie"),6),""))</f>
        <v/>
      </c>
      <c r="L1515" s="39" t="str">
        <f>IF(COUNTA(A1515:C1515,E1515)=0,"",IF(COUNTA(A1515:C1515,E1515)&lt;4,"Ligne incomplète",IF(NOT(ISNUMBER(A1515)),"Date invalide",IF(AND(B1515&lt;&gt;"Entrée",B1515&lt;&gt;"Sortie"),"Type inconnu",IF(ISNA(MATCH(C1515,art_ref,0)),"Référence inconnue",IF(OR(NOT(ISNUMBER(E1515)),N(E1515)&lt;=0),"Quantité invalide",IF(K1515&lt;0,"Stock négatif",IF(AND(ISNUMBER(A1514),A1515&lt;A1514),"Date hors ordre","OK"))))))))</f>
        <v/>
      </c>
      <c r="M1515" s="39" t="str">
        <f>IF(C1515="","",C1515&amp;"#"&amp;COUNTIF($C$5:C1515,C1515))</f>
        <v/>
      </c>
    </row>
    <row r="1516">
      <c r="A1516" s="41" t="n"/>
      <c r="B1516" s="37" t="n"/>
      <c r="C1516" s="37" t="n"/>
      <c r="D1516" s="39" t="str">
        <f>IF(C1516="","",IFERROR(INDEX(art_des,MATCH(C1516,art_ref,0))&amp;"","Référence inconnue"))</f>
        <v/>
      </c>
      <c r="E1516" s="37" t="n"/>
      <c r="F1516" s="39" t="str">
        <f>IF(C1516="","",IFERROR(INDEX(art_unit,MATCH(C1516,art_ref,0))&amp;"",""))</f>
        <v/>
      </c>
      <c r="G1516" s="37" t="n"/>
      <c r="H1516" s="37" t="n"/>
      <c r="I1516" s="37" t="n"/>
      <c r="J1516" s="40" t="str">
        <f>IF(OR(C1516="",NOT(ISNUMBER(E1516))),"",IFERROR(E1516*N(INDEX(art_price,MATCH(C1516,art_ref,0))),""))</f>
        <v/>
      </c>
      <c r="K1516" s="39" t="str">
        <f>IF(OR(C1516="",NOT(ISNUMBER(E1516))),"",IFERROR(ROUND(N(INDEX(art_init,MATCH(C1516,art_ref,0)))+SUMIFS($E$5:E1516,$C$5:C1516,C1516,$B$5:B1516,"Entrée")-SUMIFS($E$5:E1516,$C$5:C1516,C1516,$B$5:B1516,"Sortie"),6),""))</f>
        <v/>
      </c>
      <c r="L1516" s="39" t="str">
        <f>IF(COUNTA(A1516:C1516,E1516)=0,"",IF(COUNTA(A1516:C1516,E1516)&lt;4,"Ligne incomplète",IF(NOT(ISNUMBER(A1516)),"Date invalide",IF(AND(B1516&lt;&gt;"Entrée",B1516&lt;&gt;"Sortie"),"Type inconnu",IF(ISNA(MATCH(C1516,art_ref,0)),"Référence inconnue",IF(OR(NOT(ISNUMBER(E1516)),N(E1516)&lt;=0),"Quantité invalide",IF(K1516&lt;0,"Stock négatif",IF(AND(ISNUMBER(A1515),A1516&lt;A1515),"Date hors ordre","OK"))))))))</f>
        <v/>
      </c>
      <c r="M1516" s="39" t="str">
        <f>IF(C1516="","",C1516&amp;"#"&amp;COUNTIF($C$5:C1516,C1516))</f>
        <v/>
      </c>
    </row>
    <row r="1517">
      <c r="A1517" s="41" t="n"/>
      <c r="B1517" s="37" t="n"/>
      <c r="C1517" s="37" t="n"/>
      <c r="D1517" s="39" t="str">
        <f>IF(C1517="","",IFERROR(INDEX(art_des,MATCH(C1517,art_ref,0))&amp;"","Référence inconnue"))</f>
        <v/>
      </c>
      <c r="E1517" s="37" t="n"/>
      <c r="F1517" s="39" t="str">
        <f>IF(C1517="","",IFERROR(INDEX(art_unit,MATCH(C1517,art_ref,0))&amp;"",""))</f>
        <v/>
      </c>
      <c r="G1517" s="37" t="n"/>
      <c r="H1517" s="37" t="n"/>
      <c r="I1517" s="37" t="n"/>
      <c r="J1517" s="40" t="str">
        <f>IF(OR(C1517="",NOT(ISNUMBER(E1517))),"",IFERROR(E1517*N(INDEX(art_price,MATCH(C1517,art_ref,0))),""))</f>
        <v/>
      </c>
      <c r="K1517" s="39" t="str">
        <f>IF(OR(C1517="",NOT(ISNUMBER(E1517))),"",IFERROR(ROUND(N(INDEX(art_init,MATCH(C1517,art_ref,0)))+SUMIFS($E$5:E1517,$C$5:C1517,C1517,$B$5:B1517,"Entrée")-SUMIFS($E$5:E1517,$C$5:C1517,C1517,$B$5:B1517,"Sortie"),6),""))</f>
        <v/>
      </c>
      <c r="L1517" s="39" t="str">
        <f>IF(COUNTA(A1517:C1517,E1517)=0,"",IF(COUNTA(A1517:C1517,E1517)&lt;4,"Ligne incomplète",IF(NOT(ISNUMBER(A1517)),"Date invalide",IF(AND(B1517&lt;&gt;"Entrée",B1517&lt;&gt;"Sortie"),"Type inconnu",IF(ISNA(MATCH(C1517,art_ref,0)),"Référence inconnue",IF(OR(NOT(ISNUMBER(E1517)),N(E1517)&lt;=0),"Quantité invalide",IF(K1517&lt;0,"Stock négatif",IF(AND(ISNUMBER(A1516),A1517&lt;A1516),"Date hors ordre","OK"))))))))</f>
        <v/>
      </c>
      <c r="M1517" s="39" t="str">
        <f>IF(C1517="","",C1517&amp;"#"&amp;COUNTIF($C$5:C1517,C1517))</f>
        <v/>
      </c>
    </row>
    <row r="1518">
      <c r="A1518" s="41" t="n"/>
      <c r="B1518" s="37" t="n"/>
      <c r="C1518" s="37" t="n"/>
      <c r="D1518" s="39" t="str">
        <f>IF(C1518="","",IFERROR(INDEX(art_des,MATCH(C1518,art_ref,0))&amp;"","Référence inconnue"))</f>
        <v/>
      </c>
      <c r="E1518" s="37" t="n"/>
      <c r="F1518" s="39" t="str">
        <f>IF(C1518="","",IFERROR(INDEX(art_unit,MATCH(C1518,art_ref,0))&amp;"",""))</f>
        <v/>
      </c>
      <c r="G1518" s="37" t="n"/>
      <c r="H1518" s="37" t="n"/>
      <c r="I1518" s="37" t="n"/>
      <c r="J1518" s="40" t="str">
        <f>IF(OR(C1518="",NOT(ISNUMBER(E1518))),"",IFERROR(E1518*N(INDEX(art_price,MATCH(C1518,art_ref,0))),""))</f>
        <v/>
      </c>
      <c r="K1518" s="39" t="str">
        <f>IF(OR(C1518="",NOT(ISNUMBER(E1518))),"",IFERROR(ROUND(N(INDEX(art_init,MATCH(C1518,art_ref,0)))+SUMIFS($E$5:E1518,$C$5:C1518,C1518,$B$5:B1518,"Entrée")-SUMIFS($E$5:E1518,$C$5:C1518,C1518,$B$5:B1518,"Sortie"),6),""))</f>
        <v/>
      </c>
      <c r="L1518" s="39" t="str">
        <f>IF(COUNTA(A1518:C1518,E1518)=0,"",IF(COUNTA(A1518:C1518,E1518)&lt;4,"Ligne incomplète",IF(NOT(ISNUMBER(A1518)),"Date invalide",IF(AND(B1518&lt;&gt;"Entrée",B1518&lt;&gt;"Sortie"),"Type inconnu",IF(ISNA(MATCH(C1518,art_ref,0)),"Référence inconnue",IF(OR(NOT(ISNUMBER(E1518)),N(E1518)&lt;=0),"Quantité invalide",IF(K1518&lt;0,"Stock négatif",IF(AND(ISNUMBER(A1517),A1518&lt;A1517),"Date hors ordre","OK"))))))))</f>
        <v/>
      </c>
      <c r="M1518" s="39" t="str">
        <f>IF(C1518="","",C1518&amp;"#"&amp;COUNTIF($C$5:C1518,C1518))</f>
        <v/>
      </c>
    </row>
    <row r="1519">
      <c r="A1519" s="41" t="n"/>
      <c r="B1519" s="37" t="n"/>
      <c r="C1519" s="37" t="n"/>
      <c r="D1519" s="39" t="str">
        <f>IF(C1519="","",IFERROR(INDEX(art_des,MATCH(C1519,art_ref,0))&amp;"","Référence inconnue"))</f>
        <v/>
      </c>
      <c r="E1519" s="37" t="n"/>
      <c r="F1519" s="39" t="str">
        <f>IF(C1519="","",IFERROR(INDEX(art_unit,MATCH(C1519,art_ref,0))&amp;"",""))</f>
        <v/>
      </c>
      <c r="G1519" s="37" t="n"/>
      <c r="H1519" s="37" t="n"/>
      <c r="I1519" s="37" t="n"/>
      <c r="J1519" s="40" t="str">
        <f>IF(OR(C1519="",NOT(ISNUMBER(E1519))),"",IFERROR(E1519*N(INDEX(art_price,MATCH(C1519,art_ref,0))),""))</f>
        <v/>
      </c>
      <c r="K1519" s="39" t="str">
        <f>IF(OR(C1519="",NOT(ISNUMBER(E1519))),"",IFERROR(ROUND(N(INDEX(art_init,MATCH(C1519,art_ref,0)))+SUMIFS($E$5:E1519,$C$5:C1519,C1519,$B$5:B1519,"Entrée")-SUMIFS($E$5:E1519,$C$5:C1519,C1519,$B$5:B1519,"Sortie"),6),""))</f>
        <v/>
      </c>
      <c r="L1519" s="39" t="str">
        <f>IF(COUNTA(A1519:C1519,E1519)=0,"",IF(COUNTA(A1519:C1519,E1519)&lt;4,"Ligne incomplète",IF(NOT(ISNUMBER(A1519)),"Date invalide",IF(AND(B1519&lt;&gt;"Entrée",B1519&lt;&gt;"Sortie"),"Type inconnu",IF(ISNA(MATCH(C1519,art_ref,0)),"Référence inconnue",IF(OR(NOT(ISNUMBER(E1519)),N(E1519)&lt;=0),"Quantité invalide",IF(K1519&lt;0,"Stock négatif",IF(AND(ISNUMBER(A1518),A1519&lt;A1518),"Date hors ordre","OK"))))))))</f>
        <v/>
      </c>
      <c r="M1519" s="39" t="str">
        <f>IF(C1519="","",C1519&amp;"#"&amp;COUNTIF($C$5:C1519,C1519))</f>
        <v/>
      </c>
    </row>
    <row r="1520">
      <c r="A1520" s="41" t="n"/>
      <c r="B1520" s="37" t="n"/>
      <c r="C1520" s="37" t="n"/>
      <c r="D1520" s="39" t="str">
        <f>IF(C1520="","",IFERROR(INDEX(art_des,MATCH(C1520,art_ref,0))&amp;"","Référence inconnue"))</f>
        <v/>
      </c>
      <c r="E1520" s="37" t="n"/>
      <c r="F1520" s="39" t="str">
        <f>IF(C1520="","",IFERROR(INDEX(art_unit,MATCH(C1520,art_ref,0))&amp;"",""))</f>
        <v/>
      </c>
      <c r="G1520" s="37" t="n"/>
      <c r="H1520" s="37" t="n"/>
      <c r="I1520" s="37" t="n"/>
      <c r="J1520" s="40" t="str">
        <f>IF(OR(C1520="",NOT(ISNUMBER(E1520))),"",IFERROR(E1520*N(INDEX(art_price,MATCH(C1520,art_ref,0))),""))</f>
        <v/>
      </c>
      <c r="K1520" s="39" t="str">
        <f>IF(OR(C1520="",NOT(ISNUMBER(E1520))),"",IFERROR(ROUND(N(INDEX(art_init,MATCH(C1520,art_ref,0)))+SUMIFS($E$5:E1520,$C$5:C1520,C1520,$B$5:B1520,"Entrée")-SUMIFS($E$5:E1520,$C$5:C1520,C1520,$B$5:B1520,"Sortie"),6),""))</f>
        <v/>
      </c>
      <c r="L1520" s="39" t="str">
        <f>IF(COUNTA(A1520:C1520,E1520)=0,"",IF(COUNTA(A1520:C1520,E1520)&lt;4,"Ligne incomplète",IF(NOT(ISNUMBER(A1520)),"Date invalide",IF(AND(B1520&lt;&gt;"Entrée",B1520&lt;&gt;"Sortie"),"Type inconnu",IF(ISNA(MATCH(C1520,art_ref,0)),"Référence inconnue",IF(OR(NOT(ISNUMBER(E1520)),N(E1520)&lt;=0),"Quantité invalide",IF(K1520&lt;0,"Stock négatif",IF(AND(ISNUMBER(A1519),A1520&lt;A1519),"Date hors ordre","OK"))))))))</f>
        <v/>
      </c>
      <c r="M1520" s="39" t="str">
        <f>IF(C1520="","",C1520&amp;"#"&amp;COUNTIF($C$5:C1520,C1520))</f>
        <v/>
      </c>
    </row>
    <row r="1521">
      <c r="A1521" s="41" t="n"/>
      <c r="B1521" s="37" t="n"/>
      <c r="C1521" s="37" t="n"/>
      <c r="D1521" s="39" t="str">
        <f>IF(C1521="","",IFERROR(INDEX(art_des,MATCH(C1521,art_ref,0))&amp;"","Référence inconnue"))</f>
        <v/>
      </c>
      <c r="E1521" s="37" t="n"/>
      <c r="F1521" s="39" t="str">
        <f>IF(C1521="","",IFERROR(INDEX(art_unit,MATCH(C1521,art_ref,0))&amp;"",""))</f>
        <v/>
      </c>
      <c r="G1521" s="37" t="n"/>
      <c r="H1521" s="37" t="n"/>
      <c r="I1521" s="37" t="n"/>
      <c r="J1521" s="40" t="str">
        <f>IF(OR(C1521="",NOT(ISNUMBER(E1521))),"",IFERROR(E1521*N(INDEX(art_price,MATCH(C1521,art_ref,0))),""))</f>
        <v/>
      </c>
      <c r="K1521" s="39" t="str">
        <f>IF(OR(C1521="",NOT(ISNUMBER(E1521))),"",IFERROR(ROUND(N(INDEX(art_init,MATCH(C1521,art_ref,0)))+SUMIFS($E$5:E1521,$C$5:C1521,C1521,$B$5:B1521,"Entrée")-SUMIFS($E$5:E1521,$C$5:C1521,C1521,$B$5:B1521,"Sortie"),6),""))</f>
        <v/>
      </c>
      <c r="L1521" s="39" t="str">
        <f>IF(COUNTA(A1521:C1521,E1521)=0,"",IF(COUNTA(A1521:C1521,E1521)&lt;4,"Ligne incomplète",IF(NOT(ISNUMBER(A1521)),"Date invalide",IF(AND(B1521&lt;&gt;"Entrée",B1521&lt;&gt;"Sortie"),"Type inconnu",IF(ISNA(MATCH(C1521,art_ref,0)),"Référence inconnue",IF(OR(NOT(ISNUMBER(E1521)),N(E1521)&lt;=0),"Quantité invalide",IF(K1521&lt;0,"Stock négatif",IF(AND(ISNUMBER(A1520),A1521&lt;A1520),"Date hors ordre","OK"))))))))</f>
        <v/>
      </c>
      <c r="M1521" s="39" t="str">
        <f>IF(C1521="","",C1521&amp;"#"&amp;COUNTIF($C$5:C1521,C1521))</f>
        <v/>
      </c>
    </row>
    <row r="1522">
      <c r="A1522" s="41" t="n"/>
      <c r="B1522" s="37" t="n"/>
      <c r="C1522" s="37" t="n"/>
      <c r="D1522" s="39" t="str">
        <f>IF(C1522="","",IFERROR(INDEX(art_des,MATCH(C1522,art_ref,0))&amp;"","Référence inconnue"))</f>
        <v/>
      </c>
      <c r="E1522" s="37" t="n"/>
      <c r="F1522" s="39" t="str">
        <f>IF(C1522="","",IFERROR(INDEX(art_unit,MATCH(C1522,art_ref,0))&amp;"",""))</f>
        <v/>
      </c>
      <c r="G1522" s="37" t="n"/>
      <c r="H1522" s="37" t="n"/>
      <c r="I1522" s="37" t="n"/>
      <c r="J1522" s="40" t="str">
        <f>IF(OR(C1522="",NOT(ISNUMBER(E1522))),"",IFERROR(E1522*N(INDEX(art_price,MATCH(C1522,art_ref,0))),""))</f>
        <v/>
      </c>
      <c r="K1522" s="39" t="str">
        <f>IF(OR(C1522="",NOT(ISNUMBER(E1522))),"",IFERROR(ROUND(N(INDEX(art_init,MATCH(C1522,art_ref,0)))+SUMIFS($E$5:E1522,$C$5:C1522,C1522,$B$5:B1522,"Entrée")-SUMIFS($E$5:E1522,$C$5:C1522,C1522,$B$5:B1522,"Sortie"),6),""))</f>
        <v/>
      </c>
      <c r="L1522" s="39" t="str">
        <f>IF(COUNTA(A1522:C1522,E1522)=0,"",IF(COUNTA(A1522:C1522,E1522)&lt;4,"Ligne incomplète",IF(NOT(ISNUMBER(A1522)),"Date invalide",IF(AND(B1522&lt;&gt;"Entrée",B1522&lt;&gt;"Sortie"),"Type inconnu",IF(ISNA(MATCH(C1522,art_ref,0)),"Référence inconnue",IF(OR(NOT(ISNUMBER(E1522)),N(E1522)&lt;=0),"Quantité invalide",IF(K1522&lt;0,"Stock négatif",IF(AND(ISNUMBER(A1521),A1522&lt;A1521),"Date hors ordre","OK"))))))))</f>
        <v/>
      </c>
      <c r="M1522" s="39" t="str">
        <f>IF(C1522="","",C1522&amp;"#"&amp;COUNTIF($C$5:C1522,C1522))</f>
        <v/>
      </c>
    </row>
    <row r="1523">
      <c r="A1523" s="41" t="n"/>
      <c r="B1523" s="37" t="n"/>
      <c r="C1523" s="37" t="n"/>
      <c r="D1523" s="39" t="str">
        <f>IF(C1523="","",IFERROR(INDEX(art_des,MATCH(C1523,art_ref,0))&amp;"","Référence inconnue"))</f>
        <v/>
      </c>
      <c r="E1523" s="37" t="n"/>
      <c r="F1523" s="39" t="str">
        <f>IF(C1523="","",IFERROR(INDEX(art_unit,MATCH(C1523,art_ref,0))&amp;"",""))</f>
        <v/>
      </c>
      <c r="G1523" s="37" t="n"/>
      <c r="H1523" s="37" t="n"/>
      <c r="I1523" s="37" t="n"/>
      <c r="J1523" s="40" t="str">
        <f>IF(OR(C1523="",NOT(ISNUMBER(E1523))),"",IFERROR(E1523*N(INDEX(art_price,MATCH(C1523,art_ref,0))),""))</f>
        <v/>
      </c>
      <c r="K1523" s="39" t="str">
        <f>IF(OR(C1523="",NOT(ISNUMBER(E1523))),"",IFERROR(ROUND(N(INDEX(art_init,MATCH(C1523,art_ref,0)))+SUMIFS($E$5:E1523,$C$5:C1523,C1523,$B$5:B1523,"Entrée")-SUMIFS($E$5:E1523,$C$5:C1523,C1523,$B$5:B1523,"Sortie"),6),""))</f>
        <v/>
      </c>
      <c r="L1523" s="39" t="str">
        <f>IF(COUNTA(A1523:C1523,E1523)=0,"",IF(COUNTA(A1523:C1523,E1523)&lt;4,"Ligne incomplète",IF(NOT(ISNUMBER(A1523)),"Date invalide",IF(AND(B1523&lt;&gt;"Entrée",B1523&lt;&gt;"Sortie"),"Type inconnu",IF(ISNA(MATCH(C1523,art_ref,0)),"Référence inconnue",IF(OR(NOT(ISNUMBER(E1523)),N(E1523)&lt;=0),"Quantité invalide",IF(K1523&lt;0,"Stock négatif",IF(AND(ISNUMBER(A1522),A1523&lt;A1522),"Date hors ordre","OK"))))))))</f>
        <v/>
      </c>
      <c r="M1523" s="39" t="str">
        <f>IF(C1523="","",C1523&amp;"#"&amp;COUNTIF($C$5:C1523,C1523))</f>
        <v/>
      </c>
    </row>
    <row r="1524">
      <c r="A1524" s="41" t="n"/>
      <c r="B1524" s="37" t="n"/>
      <c r="C1524" s="37" t="n"/>
      <c r="D1524" s="39" t="str">
        <f>IF(C1524="","",IFERROR(INDEX(art_des,MATCH(C1524,art_ref,0))&amp;"","Référence inconnue"))</f>
        <v/>
      </c>
      <c r="E1524" s="37" t="n"/>
      <c r="F1524" s="39" t="str">
        <f>IF(C1524="","",IFERROR(INDEX(art_unit,MATCH(C1524,art_ref,0))&amp;"",""))</f>
        <v/>
      </c>
      <c r="G1524" s="37" t="n"/>
      <c r="H1524" s="37" t="n"/>
      <c r="I1524" s="37" t="n"/>
      <c r="J1524" s="40" t="str">
        <f>IF(OR(C1524="",NOT(ISNUMBER(E1524))),"",IFERROR(E1524*N(INDEX(art_price,MATCH(C1524,art_ref,0))),""))</f>
        <v/>
      </c>
      <c r="K1524" s="39" t="str">
        <f>IF(OR(C1524="",NOT(ISNUMBER(E1524))),"",IFERROR(ROUND(N(INDEX(art_init,MATCH(C1524,art_ref,0)))+SUMIFS($E$5:E1524,$C$5:C1524,C1524,$B$5:B1524,"Entrée")-SUMIFS($E$5:E1524,$C$5:C1524,C1524,$B$5:B1524,"Sortie"),6),""))</f>
        <v/>
      </c>
      <c r="L1524" s="39" t="str">
        <f>IF(COUNTA(A1524:C1524,E1524)=0,"",IF(COUNTA(A1524:C1524,E1524)&lt;4,"Ligne incomplète",IF(NOT(ISNUMBER(A1524)),"Date invalide",IF(AND(B1524&lt;&gt;"Entrée",B1524&lt;&gt;"Sortie"),"Type inconnu",IF(ISNA(MATCH(C1524,art_ref,0)),"Référence inconnue",IF(OR(NOT(ISNUMBER(E1524)),N(E1524)&lt;=0),"Quantité invalide",IF(K1524&lt;0,"Stock négatif",IF(AND(ISNUMBER(A1523),A1524&lt;A1523),"Date hors ordre","OK"))))))))</f>
        <v/>
      </c>
      <c r="M1524" s="39" t="str">
        <f>IF(C1524="","",C1524&amp;"#"&amp;COUNTIF($C$5:C1524,C1524))</f>
        <v/>
      </c>
    </row>
    <row r="1525">
      <c r="A1525" s="41" t="n"/>
      <c r="B1525" s="37" t="n"/>
      <c r="C1525" s="37" t="n"/>
      <c r="D1525" s="39" t="str">
        <f>IF(C1525="","",IFERROR(INDEX(art_des,MATCH(C1525,art_ref,0))&amp;"","Référence inconnue"))</f>
        <v/>
      </c>
      <c r="E1525" s="37" t="n"/>
      <c r="F1525" s="39" t="str">
        <f>IF(C1525="","",IFERROR(INDEX(art_unit,MATCH(C1525,art_ref,0))&amp;"",""))</f>
        <v/>
      </c>
      <c r="G1525" s="37" t="n"/>
      <c r="H1525" s="37" t="n"/>
      <c r="I1525" s="37" t="n"/>
      <c r="J1525" s="40" t="str">
        <f>IF(OR(C1525="",NOT(ISNUMBER(E1525))),"",IFERROR(E1525*N(INDEX(art_price,MATCH(C1525,art_ref,0))),""))</f>
        <v/>
      </c>
      <c r="K1525" s="39" t="str">
        <f>IF(OR(C1525="",NOT(ISNUMBER(E1525))),"",IFERROR(ROUND(N(INDEX(art_init,MATCH(C1525,art_ref,0)))+SUMIFS($E$5:E1525,$C$5:C1525,C1525,$B$5:B1525,"Entrée")-SUMIFS($E$5:E1525,$C$5:C1525,C1525,$B$5:B1525,"Sortie"),6),""))</f>
        <v/>
      </c>
      <c r="L1525" s="39" t="str">
        <f>IF(COUNTA(A1525:C1525,E1525)=0,"",IF(COUNTA(A1525:C1525,E1525)&lt;4,"Ligne incomplète",IF(NOT(ISNUMBER(A1525)),"Date invalide",IF(AND(B1525&lt;&gt;"Entrée",B1525&lt;&gt;"Sortie"),"Type inconnu",IF(ISNA(MATCH(C1525,art_ref,0)),"Référence inconnue",IF(OR(NOT(ISNUMBER(E1525)),N(E1525)&lt;=0),"Quantité invalide",IF(K1525&lt;0,"Stock négatif",IF(AND(ISNUMBER(A1524),A1525&lt;A1524),"Date hors ordre","OK"))))))))</f>
        <v/>
      </c>
      <c r="M1525" s="39" t="str">
        <f>IF(C1525="","",C1525&amp;"#"&amp;COUNTIF($C$5:C1525,C1525))</f>
        <v/>
      </c>
    </row>
    <row r="1526">
      <c r="A1526" s="41" t="n"/>
      <c r="B1526" s="37" t="n"/>
      <c r="C1526" s="37" t="n"/>
      <c r="D1526" s="39" t="str">
        <f>IF(C1526="","",IFERROR(INDEX(art_des,MATCH(C1526,art_ref,0))&amp;"","Référence inconnue"))</f>
        <v/>
      </c>
      <c r="E1526" s="37" t="n"/>
      <c r="F1526" s="39" t="str">
        <f>IF(C1526="","",IFERROR(INDEX(art_unit,MATCH(C1526,art_ref,0))&amp;"",""))</f>
        <v/>
      </c>
      <c r="G1526" s="37" t="n"/>
      <c r="H1526" s="37" t="n"/>
      <c r="I1526" s="37" t="n"/>
      <c r="J1526" s="40" t="str">
        <f>IF(OR(C1526="",NOT(ISNUMBER(E1526))),"",IFERROR(E1526*N(INDEX(art_price,MATCH(C1526,art_ref,0))),""))</f>
        <v/>
      </c>
      <c r="K1526" s="39" t="str">
        <f>IF(OR(C1526="",NOT(ISNUMBER(E1526))),"",IFERROR(ROUND(N(INDEX(art_init,MATCH(C1526,art_ref,0)))+SUMIFS($E$5:E1526,$C$5:C1526,C1526,$B$5:B1526,"Entrée")-SUMIFS($E$5:E1526,$C$5:C1526,C1526,$B$5:B1526,"Sortie"),6),""))</f>
        <v/>
      </c>
      <c r="L1526" s="39" t="str">
        <f>IF(COUNTA(A1526:C1526,E1526)=0,"",IF(COUNTA(A1526:C1526,E1526)&lt;4,"Ligne incomplète",IF(NOT(ISNUMBER(A1526)),"Date invalide",IF(AND(B1526&lt;&gt;"Entrée",B1526&lt;&gt;"Sortie"),"Type inconnu",IF(ISNA(MATCH(C1526,art_ref,0)),"Référence inconnue",IF(OR(NOT(ISNUMBER(E1526)),N(E1526)&lt;=0),"Quantité invalide",IF(K1526&lt;0,"Stock négatif",IF(AND(ISNUMBER(A1525),A1526&lt;A1525),"Date hors ordre","OK"))))))))</f>
        <v/>
      </c>
      <c r="M1526" s="39" t="str">
        <f>IF(C1526="","",C1526&amp;"#"&amp;COUNTIF($C$5:C1526,C1526))</f>
        <v/>
      </c>
    </row>
    <row r="1527">
      <c r="A1527" s="41" t="n"/>
      <c r="B1527" s="37" t="n"/>
      <c r="C1527" s="37" t="n"/>
      <c r="D1527" s="39" t="str">
        <f>IF(C1527="","",IFERROR(INDEX(art_des,MATCH(C1527,art_ref,0))&amp;"","Référence inconnue"))</f>
        <v/>
      </c>
      <c r="E1527" s="37" t="n"/>
      <c r="F1527" s="39" t="str">
        <f>IF(C1527="","",IFERROR(INDEX(art_unit,MATCH(C1527,art_ref,0))&amp;"",""))</f>
        <v/>
      </c>
      <c r="G1527" s="37" t="n"/>
      <c r="H1527" s="37" t="n"/>
      <c r="I1527" s="37" t="n"/>
      <c r="J1527" s="40" t="str">
        <f>IF(OR(C1527="",NOT(ISNUMBER(E1527))),"",IFERROR(E1527*N(INDEX(art_price,MATCH(C1527,art_ref,0))),""))</f>
        <v/>
      </c>
      <c r="K1527" s="39" t="str">
        <f>IF(OR(C1527="",NOT(ISNUMBER(E1527))),"",IFERROR(ROUND(N(INDEX(art_init,MATCH(C1527,art_ref,0)))+SUMIFS($E$5:E1527,$C$5:C1527,C1527,$B$5:B1527,"Entrée")-SUMIFS($E$5:E1527,$C$5:C1527,C1527,$B$5:B1527,"Sortie"),6),""))</f>
        <v/>
      </c>
      <c r="L1527" s="39" t="str">
        <f>IF(COUNTA(A1527:C1527,E1527)=0,"",IF(COUNTA(A1527:C1527,E1527)&lt;4,"Ligne incomplète",IF(NOT(ISNUMBER(A1527)),"Date invalide",IF(AND(B1527&lt;&gt;"Entrée",B1527&lt;&gt;"Sortie"),"Type inconnu",IF(ISNA(MATCH(C1527,art_ref,0)),"Référence inconnue",IF(OR(NOT(ISNUMBER(E1527)),N(E1527)&lt;=0),"Quantité invalide",IF(K1527&lt;0,"Stock négatif",IF(AND(ISNUMBER(A1526),A1527&lt;A1526),"Date hors ordre","OK"))))))))</f>
        <v/>
      </c>
      <c r="M1527" s="39" t="str">
        <f>IF(C1527="","",C1527&amp;"#"&amp;COUNTIF($C$5:C1527,C1527))</f>
        <v/>
      </c>
    </row>
    <row r="1528">
      <c r="A1528" s="41" t="n"/>
      <c r="B1528" s="37" t="n"/>
      <c r="C1528" s="37" t="n"/>
      <c r="D1528" s="39" t="str">
        <f>IF(C1528="","",IFERROR(INDEX(art_des,MATCH(C1528,art_ref,0))&amp;"","Référence inconnue"))</f>
        <v/>
      </c>
      <c r="E1528" s="37" t="n"/>
      <c r="F1528" s="39" t="str">
        <f>IF(C1528="","",IFERROR(INDEX(art_unit,MATCH(C1528,art_ref,0))&amp;"",""))</f>
        <v/>
      </c>
      <c r="G1528" s="37" t="n"/>
      <c r="H1528" s="37" t="n"/>
      <c r="I1528" s="37" t="n"/>
      <c r="J1528" s="40" t="str">
        <f>IF(OR(C1528="",NOT(ISNUMBER(E1528))),"",IFERROR(E1528*N(INDEX(art_price,MATCH(C1528,art_ref,0))),""))</f>
        <v/>
      </c>
      <c r="K1528" s="39" t="str">
        <f>IF(OR(C1528="",NOT(ISNUMBER(E1528))),"",IFERROR(ROUND(N(INDEX(art_init,MATCH(C1528,art_ref,0)))+SUMIFS($E$5:E1528,$C$5:C1528,C1528,$B$5:B1528,"Entrée")-SUMIFS($E$5:E1528,$C$5:C1528,C1528,$B$5:B1528,"Sortie"),6),""))</f>
        <v/>
      </c>
      <c r="L1528" s="39" t="str">
        <f>IF(COUNTA(A1528:C1528,E1528)=0,"",IF(COUNTA(A1528:C1528,E1528)&lt;4,"Ligne incomplète",IF(NOT(ISNUMBER(A1528)),"Date invalide",IF(AND(B1528&lt;&gt;"Entrée",B1528&lt;&gt;"Sortie"),"Type inconnu",IF(ISNA(MATCH(C1528,art_ref,0)),"Référence inconnue",IF(OR(NOT(ISNUMBER(E1528)),N(E1528)&lt;=0),"Quantité invalide",IF(K1528&lt;0,"Stock négatif",IF(AND(ISNUMBER(A1527),A1528&lt;A1527),"Date hors ordre","OK"))))))))</f>
        <v/>
      </c>
      <c r="M1528" s="39" t="str">
        <f>IF(C1528="","",C1528&amp;"#"&amp;COUNTIF($C$5:C1528,C1528))</f>
        <v/>
      </c>
    </row>
    <row r="1529">
      <c r="A1529" s="41" t="n"/>
      <c r="B1529" s="37" t="n"/>
      <c r="C1529" s="37" t="n"/>
      <c r="D1529" s="39" t="str">
        <f>IF(C1529="","",IFERROR(INDEX(art_des,MATCH(C1529,art_ref,0))&amp;"","Référence inconnue"))</f>
        <v/>
      </c>
      <c r="E1529" s="37" t="n"/>
      <c r="F1529" s="39" t="str">
        <f>IF(C1529="","",IFERROR(INDEX(art_unit,MATCH(C1529,art_ref,0))&amp;"",""))</f>
        <v/>
      </c>
      <c r="G1529" s="37" t="n"/>
      <c r="H1529" s="37" t="n"/>
      <c r="I1529" s="37" t="n"/>
      <c r="J1529" s="40" t="str">
        <f>IF(OR(C1529="",NOT(ISNUMBER(E1529))),"",IFERROR(E1529*N(INDEX(art_price,MATCH(C1529,art_ref,0))),""))</f>
        <v/>
      </c>
      <c r="K1529" s="39" t="str">
        <f>IF(OR(C1529="",NOT(ISNUMBER(E1529))),"",IFERROR(ROUND(N(INDEX(art_init,MATCH(C1529,art_ref,0)))+SUMIFS($E$5:E1529,$C$5:C1529,C1529,$B$5:B1529,"Entrée")-SUMIFS($E$5:E1529,$C$5:C1529,C1529,$B$5:B1529,"Sortie"),6),""))</f>
        <v/>
      </c>
      <c r="L1529" s="39" t="str">
        <f>IF(COUNTA(A1529:C1529,E1529)=0,"",IF(COUNTA(A1529:C1529,E1529)&lt;4,"Ligne incomplète",IF(NOT(ISNUMBER(A1529)),"Date invalide",IF(AND(B1529&lt;&gt;"Entrée",B1529&lt;&gt;"Sortie"),"Type inconnu",IF(ISNA(MATCH(C1529,art_ref,0)),"Référence inconnue",IF(OR(NOT(ISNUMBER(E1529)),N(E1529)&lt;=0),"Quantité invalide",IF(K1529&lt;0,"Stock négatif",IF(AND(ISNUMBER(A1528),A1529&lt;A1528),"Date hors ordre","OK"))))))))</f>
        <v/>
      </c>
      <c r="M1529" s="39" t="str">
        <f>IF(C1529="","",C1529&amp;"#"&amp;COUNTIF($C$5:C1529,C1529))</f>
        <v/>
      </c>
    </row>
    <row r="1530">
      <c r="A1530" s="41" t="n"/>
      <c r="B1530" s="37" t="n"/>
      <c r="C1530" s="37" t="n"/>
      <c r="D1530" s="39" t="str">
        <f>IF(C1530="","",IFERROR(INDEX(art_des,MATCH(C1530,art_ref,0))&amp;"","Référence inconnue"))</f>
        <v/>
      </c>
      <c r="E1530" s="37" t="n"/>
      <c r="F1530" s="39" t="str">
        <f>IF(C1530="","",IFERROR(INDEX(art_unit,MATCH(C1530,art_ref,0))&amp;"",""))</f>
        <v/>
      </c>
      <c r="G1530" s="37" t="n"/>
      <c r="H1530" s="37" t="n"/>
      <c r="I1530" s="37" t="n"/>
      <c r="J1530" s="40" t="str">
        <f>IF(OR(C1530="",NOT(ISNUMBER(E1530))),"",IFERROR(E1530*N(INDEX(art_price,MATCH(C1530,art_ref,0))),""))</f>
        <v/>
      </c>
      <c r="K1530" s="39" t="str">
        <f>IF(OR(C1530="",NOT(ISNUMBER(E1530))),"",IFERROR(ROUND(N(INDEX(art_init,MATCH(C1530,art_ref,0)))+SUMIFS($E$5:E1530,$C$5:C1530,C1530,$B$5:B1530,"Entrée")-SUMIFS($E$5:E1530,$C$5:C1530,C1530,$B$5:B1530,"Sortie"),6),""))</f>
        <v/>
      </c>
      <c r="L1530" s="39" t="str">
        <f>IF(COUNTA(A1530:C1530,E1530)=0,"",IF(COUNTA(A1530:C1530,E1530)&lt;4,"Ligne incomplète",IF(NOT(ISNUMBER(A1530)),"Date invalide",IF(AND(B1530&lt;&gt;"Entrée",B1530&lt;&gt;"Sortie"),"Type inconnu",IF(ISNA(MATCH(C1530,art_ref,0)),"Référence inconnue",IF(OR(NOT(ISNUMBER(E1530)),N(E1530)&lt;=0),"Quantité invalide",IF(K1530&lt;0,"Stock négatif",IF(AND(ISNUMBER(A1529),A1530&lt;A1529),"Date hors ordre","OK"))))))))</f>
        <v/>
      </c>
      <c r="M1530" s="39" t="str">
        <f>IF(C1530="","",C1530&amp;"#"&amp;COUNTIF($C$5:C1530,C1530))</f>
        <v/>
      </c>
    </row>
    <row r="1531">
      <c r="A1531" s="41" t="n"/>
      <c r="B1531" s="37" t="n"/>
      <c r="C1531" s="37" t="n"/>
      <c r="D1531" s="39" t="str">
        <f>IF(C1531="","",IFERROR(INDEX(art_des,MATCH(C1531,art_ref,0))&amp;"","Référence inconnue"))</f>
        <v/>
      </c>
      <c r="E1531" s="37" t="n"/>
      <c r="F1531" s="39" t="str">
        <f>IF(C1531="","",IFERROR(INDEX(art_unit,MATCH(C1531,art_ref,0))&amp;"",""))</f>
        <v/>
      </c>
      <c r="G1531" s="37" t="n"/>
      <c r="H1531" s="37" t="n"/>
      <c r="I1531" s="37" t="n"/>
      <c r="J1531" s="40" t="str">
        <f>IF(OR(C1531="",NOT(ISNUMBER(E1531))),"",IFERROR(E1531*N(INDEX(art_price,MATCH(C1531,art_ref,0))),""))</f>
        <v/>
      </c>
      <c r="K1531" s="39" t="str">
        <f>IF(OR(C1531="",NOT(ISNUMBER(E1531))),"",IFERROR(ROUND(N(INDEX(art_init,MATCH(C1531,art_ref,0)))+SUMIFS($E$5:E1531,$C$5:C1531,C1531,$B$5:B1531,"Entrée")-SUMIFS($E$5:E1531,$C$5:C1531,C1531,$B$5:B1531,"Sortie"),6),""))</f>
        <v/>
      </c>
      <c r="L1531" s="39" t="str">
        <f>IF(COUNTA(A1531:C1531,E1531)=0,"",IF(COUNTA(A1531:C1531,E1531)&lt;4,"Ligne incomplète",IF(NOT(ISNUMBER(A1531)),"Date invalide",IF(AND(B1531&lt;&gt;"Entrée",B1531&lt;&gt;"Sortie"),"Type inconnu",IF(ISNA(MATCH(C1531,art_ref,0)),"Référence inconnue",IF(OR(NOT(ISNUMBER(E1531)),N(E1531)&lt;=0),"Quantité invalide",IF(K1531&lt;0,"Stock négatif",IF(AND(ISNUMBER(A1530),A1531&lt;A1530),"Date hors ordre","OK"))))))))</f>
        <v/>
      </c>
      <c r="M1531" s="39" t="str">
        <f>IF(C1531="","",C1531&amp;"#"&amp;COUNTIF($C$5:C1531,C1531))</f>
        <v/>
      </c>
    </row>
    <row r="1532">
      <c r="A1532" s="41" t="n"/>
      <c r="B1532" s="37" t="n"/>
      <c r="C1532" s="37" t="n"/>
      <c r="D1532" s="39" t="str">
        <f>IF(C1532="","",IFERROR(INDEX(art_des,MATCH(C1532,art_ref,0))&amp;"","Référence inconnue"))</f>
        <v/>
      </c>
      <c r="E1532" s="37" t="n"/>
      <c r="F1532" s="39" t="str">
        <f>IF(C1532="","",IFERROR(INDEX(art_unit,MATCH(C1532,art_ref,0))&amp;"",""))</f>
        <v/>
      </c>
      <c r="G1532" s="37" t="n"/>
      <c r="H1532" s="37" t="n"/>
      <c r="I1532" s="37" t="n"/>
      <c r="J1532" s="40" t="str">
        <f>IF(OR(C1532="",NOT(ISNUMBER(E1532))),"",IFERROR(E1532*N(INDEX(art_price,MATCH(C1532,art_ref,0))),""))</f>
        <v/>
      </c>
      <c r="K1532" s="39" t="str">
        <f>IF(OR(C1532="",NOT(ISNUMBER(E1532))),"",IFERROR(ROUND(N(INDEX(art_init,MATCH(C1532,art_ref,0)))+SUMIFS($E$5:E1532,$C$5:C1532,C1532,$B$5:B1532,"Entrée")-SUMIFS($E$5:E1532,$C$5:C1532,C1532,$B$5:B1532,"Sortie"),6),""))</f>
        <v/>
      </c>
      <c r="L1532" s="39" t="str">
        <f>IF(COUNTA(A1532:C1532,E1532)=0,"",IF(COUNTA(A1532:C1532,E1532)&lt;4,"Ligne incomplète",IF(NOT(ISNUMBER(A1532)),"Date invalide",IF(AND(B1532&lt;&gt;"Entrée",B1532&lt;&gt;"Sortie"),"Type inconnu",IF(ISNA(MATCH(C1532,art_ref,0)),"Référence inconnue",IF(OR(NOT(ISNUMBER(E1532)),N(E1532)&lt;=0),"Quantité invalide",IF(K1532&lt;0,"Stock négatif",IF(AND(ISNUMBER(A1531),A1532&lt;A1531),"Date hors ordre","OK"))))))))</f>
        <v/>
      </c>
      <c r="M1532" s="39" t="str">
        <f>IF(C1532="","",C1532&amp;"#"&amp;COUNTIF($C$5:C1532,C1532))</f>
        <v/>
      </c>
    </row>
    <row r="1533">
      <c r="A1533" s="41" t="n"/>
      <c r="B1533" s="37" t="n"/>
      <c r="C1533" s="37" t="n"/>
      <c r="D1533" s="39" t="str">
        <f>IF(C1533="","",IFERROR(INDEX(art_des,MATCH(C1533,art_ref,0))&amp;"","Référence inconnue"))</f>
        <v/>
      </c>
      <c r="E1533" s="37" t="n"/>
      <c r="F1533" s="39" t="str">
        <f>IF(C1533="","",IFERROR(INDEX(art_unit,MATCH(C1533,art_ref,0))&amp;"",""))</f>
        <v/>
      </c>
      <c r="G1533" s="37" t="n"/>
      <c r="H1533" s="37" t="n"/>
      <c r="I1533" s="37" t="n"/>
      <c r="J1533" s="40" t="str">
        <f>IF(OR(C1533="",NOT(ISNUMBER(E1533))),"",IFERROR(E1533*N(INDEX(art_price,MATCH(C1533,art_ref,0))),""))</f>
        <v/>
      </c>
      <c r="K1533" s="39" t="str">
        <f>IF(OR(C1533="",NOT(ISNUMBER(E1533))),"",IFERROR(ROUND(N(INDEX(art_init,MATCH(C1533,art_ref,0)))+SUMIFS($E$5:E1533,$C$5:C1533,C1533,$B$5:B1533,"Entrée")-SUMIFS($E$5:E1533,$C$5:C1533,C1533,$B$5:B1533,"Sortie"),6),""))</f>
        <v/>
      </c>
      <c r="L1533" s="39" t="str">
        <f>IF(COUNTA(A1533:C1533,E1533)=0,"",IF(COUNTA(A1533:C1533,E1533)&lt;4,"Ligne incomplète",IF(NOT(ISNUMBER(A1533)),"Date invalide",IF(AND(B1533&lt;&gt;"Entrée",B1533&lt;&gt;"Sortie"),"Type inconnu",IF(ISNA(MATCH(C1533,art_ref,0)),"Référence inconnue",IF(OR(NOT(ISNUMBER(E1533)),N(E1533)&lt;=0),"Quantité invalide",IF(K1533&lt;0,"Stock négatif",IF(AND(ISNUMBER(A1532),A1533&lt;A1532),"Date hors ordre","OK"))))))))</f>
        <v/>
      </c>
      <c r="M1533" s="39" t="str">
        <f>IF(C1533="","",C1533&amp;"#"&amp;COUNTIF($C$5:C1533,C1533))</f>
        <v/>
      </c>
    </row>
    <row r="1534">
      <c r="A1534" s="41" t="n"/>
      <c r="B1534" s="37" t="n"/>
      <c r="C1534" s="37" t="n"/>
      <c r="D1534" s="39" t="str">
        <f>IF(C1534="","",IFERROR(INDEX(art_des,MATCH(C1534,art_ref,0))&amp;"","Référence inconnue"))</f>
        <v/>
      </c>
      <c r="E1534" s="37" t="n"/>
      <c r="F1534" s="39" t="str">
        <f>IF(C1534="","",IFERROR(INDEX(art_unit,MATCH(C1534,art_ref,0))&amp;"",""))</f>
        <v/>
      </c>
      <c r="G1534" s="37" t="n"/>
      <c r="H1534" s="37" t="n"/>
      <c r="I1534" s="37" t="n"/>
      <c r="J1534" s="40" t="str">
        <f>IF(OR(C1534="",NOT(ISNUMBER(E1534))),"",IFERROR(E1534*N(INDEX(art_price,MATCH(C1534,art_ref,0))),""))</f>
        <v/>
      </c>
      <c r="K1534" s="39" t="str">
        <f>IF(OR(C1534="",NOT(ISNUMBER(E1534))),"",IFERROR(ROUND(N(INDEX(art_init,MATCH(C1534,art_ref,0)))+SUMIFS($E$5:E1534,$C$5:C1534,C1534,$B$5:B1534,"Entrée")-SUMIFS($E$5:E1534,$C$5:C1534,C1534,$B$5:B1534,"Sortie"),6),""))</f>
        <v/>
      </c>
      <c r="L1534" s="39" t="str">
        <f>IF(COUNTA(A1534:C1534,E1534)=0,"",IF(COUNTA(A1534:C1534,E1534)&lt;4,"Ligne incomplète",IF(NOT(ISNUMBER(A1534)),"Date invalide",IF(AND(B1534&lt;&gt;"Entrée",B1534&lt;&gt;"Sortie"),"Type inconnu",IF(ISNA(MATCH(C1534,art_ref,0)),"Référence inconnue",IF(OR(NOT(ISNUMBER(E1534)),N(E1534)&lt;=0),"Quantité invalide",IF(K1534&lt;0,"Stock négatif",IF(AND(ISNUMBER(A1533),A1534&lt;A1533),"Date hors ordre","OK"))))))))</f>
        <v/>
      </c>
      <c r="M1534" s="39" t="str">
        <f>IF(C1534="","",C1534&amp;"#"&amp;COUNTIF($C$5:C1534,C1534))</f>
        <v/>
      </c>
    </row>
    <row r="1535">
      <c r="A1535" s="41" t="n"/>
      <c r="B1535" s="37" t="n"/>
      <c r="C1535" s="37" t="n"/>
      <c r="D1535" s="39" t="str">
        <f>IF(C1535="","",IFERROR(INDEX(art_des,MATCH(C1535,art_ref,0))&amp;"","Référence inconnue"))</f>
        <v/>
      </c>
      <c r="E1535" s="37" t="n"/>
      <c r="F1535" s="39" t="str">
        <f>IF(C1535="","",IFERROR(INDEX(art_unit,MATCH(C1535,art_ref,0))&amp;"",""))</f>
        <v/>
      </c>
      <c r="G1535" s="37" t="n"/>
      <c r="H1535" s="37" t="n"/>
      <c r="I1535" s="37" t="n"/>
      <c r="J1535" s="40" t="str">
        <f>IF(OR(C1535="",NOT(ISNUMBER(E1535))),"",IFERROR(E1535*N(INDEX(art_price,MATCH(C1535,art_ref,0))),""))</f>
        <v/>
      </c>
      <c r="K1535" s="39" t="str">
        <f>IF(OR(C1535="",NOT(ISNUMBER(E1535))),"",IFERROR(ROUND(N(INDEX(art_init,MATCH(C1535,art_ref,0)))+SUMIFS($E$5:E1535,$C$5:C1535,C1535,$B$5:B1535,"Entrée")-SUMIFS($E$5:E1535,$C$5:C1535,C1535,$B$5:B1535,"Sortie"),6),""))</f>
        <v/>
      </c>
      <c r="L1535" s="39" t="str">
        <f>IF(COUNTA(A1535:C1535,E1535)=0,"",IF(COUNTA(A1535:C1535,E1535)&lt;4,"Ligne incomplète",IF(NOT(ISNUMBER(A1535)),"Date invalide",IF(AND(B1535&lt;&gt;"Entrée",B1535&lt;&gt;"Sortie"),"Type inconnu",IF(ISNA(MATCH(C1535,art_ref,0)),"Référence inconnue",IF(OR(NOT(ISNUMBER(E1535)),N(E1535)&lt;=0),"Quantité invalide",IF(K1535&lt;0,"Stock négatif",IF(AND(ISNUMBER(A1534),A1535&lt;A1534),"Date hors ordre","OK"))))))))</f>
        <v/>
      </c>
      <c r="M1535" s="39" t="str">
        <f>IF(C1535="","",C1535&amp;"#"&amp;COUNTIF($C$5:C1535,C1535))</f>
        <v/>
      </c>
    </row>
    <row r="1536">
      <c r="A1536" s="41" t="n"/>
      <c r="B1536" s="37" t="n"/>
      <c r="C1536" s="37" t="n"/>
      <c r="D1536" s="39" t="str">
        <f>IF(C1536="","",IFERROR(INDEX(art_des,MATCH(C1536,art_ref,0))&amp;"","Référence inconnue"))</f>
        <v/>
      </c>
      <c r="E1536" s="37" t="n"/>
      <c r="F1536" s="39" t="str">
        <f>IF(C1536="","",IFERROR(INDEX(art_unit,MATCH(C1536,art_ref,0))&amp;"",""))</f>
        <v/>
      </c>
      <c r="G1536" s="37" t="n"/>
      <c r="H1536" s="37" t="n"/>
      <c r="I1536" s="37" t="n"/>
      <c r="J1536" s="40" t="str">
        <f>IF(OR(C1536="",NOT(ISNUMBER(E1536))),"",IFERROR(E1536*N(INDEX(art_price,MATCH(C1536,art_ref,0))),""))</f>
        <v/>
      </c>
      <c r="K1536" s="39" t="str">
        <f>IF(OR(C1536="",NOT(ISNUMBER(E1536))),"",IFERROR(ROUND(N(INDEX(art_init,MATCH(C1536,art_ref,0)))+SUMIFS($E$5:E1536,$C$5:C1536,C1536,$B$5:B1536,"Entrée")-SUMIFS($E$5:E1536,$C$5:C1536,C1536,$B$5:B1536,"Sortie"),6),""))</f>
        <v/>
      </c>
      <c r="L1536" s="39" t="str">
        <f>IF(COUNTA(A1536:C1536,E1536)=0,"",IF(COUNTA(A1536:C1536,E1536)&lt;4,"Ligne incomplète",IF(NOT(ISNUMBER(A1536)),"Date invalide",IF(AND(B1536&lt;&gt;"Entrée",B1536&lt;&gt;"Sortie"),"Type inconnu",IF(ISNA(MATCH(C1536,art_ref,0)),"Référence inconnue",IF(OR(NOT(ISNUMBER(E1536)),N(E1536)&lt;=0),"Quantité invalide",IF(K1536&lt;0,"Stock négatif",IF(AND(ISNUMBER(A1535),A1536&lt;A1535),"Date hors ordre","OK"))))))))</f>
        <v/>
      </c>
      <c r="M1536" s="39" t="str">
        <f>IF(C1536="","",C1536&amp;"#"&amp;COUNTIF($C$5:C1536,C1536))</f>
        <v/>
      </c>
    </row>
    <row r="1537">
      <c r="A1537" s="41" t="n"/>
      <c r="B1537" s="37" t="n"/>
      <c r="C1537" s="37" t="n"/>
      <c r="D1537" s="39" t="str">
        <f>IF(C1537="","",IFERROR(INDEX(art_des,MATCH(C1537,art_ref,0))&amp;"","Référence inconnue"))</f>
        <v/>
      </c>
      <c r="E1537" s="37" t="n"/>
      <c r="F1537" s="39" t="str">
        <f>IF(C1537="","",IFERROR(INDEX(art_unit,MATCH(C1537,art_ref,0))&amp;"",""))</f>
        <v/>
      </c>
      <c r="G1537" s="37" t="n"/>
      <c r="H1537" s="37" t="n"/>
      <c r="I1537" s="37" t="n"/>
      <c r="J1537" s="40" t="str">
        <f>IF(OR(C1537="",NOT(ISNUMBER(E1537))),"",IFERROR(E1537*N(INDEX(art_price,MATCH(C1537,art_ref,0))),""))</f>
        <v/>
      </c>
      <c r="K1537" s="39" t="str">
        <f>IF(OR(C1537="",NOT(ISNUMBER(E1537))),"",IFERROR(ROUND(N(INDEX(art_init,MATCH(C1537,art_ref,0)))+SUMIFS($E$5:E1537,$C$5:C1537,C1537,$B$5:B1537,"Entrée")-SUMIFS($E$5:E1537,$C$5:C1537,C1537,$B$5:B1537,"Sortie"),6),""))</f>
        <v/>
      </c>
      <c r="L1537" s="39" t="str">
        <f>IF(COUNTA(A1537:C1537,E1537)=0,"",IF(COUNTA(A1537:C1537,E1537)&lt;4,"Ligne incomplète",IF(NOT(ISNUMBER(A1537)),"Date invalide",IF(AND(B1537&lt;&gt;"Entrée",B1537&lt;&gt;"Sortie"),"Type inconnu",IF(ISNA(MATCH(C1537,art_ref,0)),"Référence inconnue",IF(OR(NOT(ISNUMBER(E1537)),N(E1537)&lt;=0),"Quantité invalide",IF(K1537&lt;0,"Stock négatif",IF(AND(ISNUMBER(A1536),A1537&lt;A1536),"Date hors ordre","OK"))))))))</f>
        <v/>
      </c>
      <c r="M1537" s="39" t="str">
        <f>IF(C1537="","",C1537&amp;"#"&amp;COUNTIF($C$5:C1537,C1537))</f>
        <v/>
      </c>
    </row>
    <row r="1538">
      <c r="A1538" s="41" t="n"/>
      <c r="B1538" s="37" t="n"/>
      <c r="C1538" s="37" t="n"/>
      <c r="D1538" s="39" t="str">
        <f>IF(C1538="","",IFERROR(INDEX(art_des,MATCH(C1538,art_ref,0))&amp;"","Référence inconnue"))</f>
        <v/>
      </c>
      <c r="E1538" s="37" t="n"/>
      <c r="F1538" s="39" t="str">
        <f>IF(C1538="","",IFERROR(INDEX(art_unit,MATCH(C1538,art_ref,0))&amp;"",""))</f>
        <v/>
      </c>
      <c r="G1538" s="37" t="n"/>
      <c r="H1538" s="37" t="n"/>
      <c r="I1538" s="37" t="n"/>
      <c r="J1538" s="40" t="str">
        <f>IF(OR(C1538="",NOT(ISNUMBER(E1538))),"",IFERROR(E1538*N(INDEX(art_price,MATCH(C1538,art_ref,0))),""))</f>
        <v/>
      </c>
      <c r="K1538" s="39" t="str">
        <f>IF(OR(C1538="",NOT(ISNUMBER(E1538))),"",IFERROR(ROUND(N(INDEX(art_init,MATCH(C1538,art_ref,0)))+SUMIFS($E$5:E1538,$C$5:C1538,C1538,$B$5:B1538,"Entrée")-SUMIFS($E$5:E1538,$C$5:C1538,C1538,$B$5:B1538,"Sortie"),6),""))</f>
        <v/>
      </c>
      <c r="L1538" s="39" t="str">
        <f>IF(COUNTA(A1538:C1538,E1538)=0,"",IF(COUNTA(A1538:C1538,E1538)&lt;4,"Ligne incomplète",IF(NOT(ISNUMBER(A1538)),"Date invalide",IF(AND(B1538&lt;&gt;"Entrée",B1538&lt;&gt;"Sortie"),"Type inconnu",IF(ISNA(MATCH(C1538,art_ref,0)),"Référence inconnue",IF(OR(NOT(ISNUMBER(E1538)),N(E1538)&lt;=0),"Quantité invalide",IF(K1538&lt;0,"Stock négatif",IF(AND(ISNUMBER(A1537),A1538&lt;A1537),"Date hors ordre","OK"))))))))</f>
        <v/>
      </c>
      <c r="M1538" s="39" t="str">
        <f>IF(C1538="","",C1538&amp;"#"&amp;COUNTIF($C$5:C1538,C1538))</f>
        <v/>
      </c>
    </row>
    <row r="1539">
      <c r="A1539" s="41" t="n"/>
      <c r="B1539" s="37" t="n"/>
      <c r="C1539" s="37" t="n"/>
      <c r="D1539" s="39" t="str">
        <f>IF(C1539="","",IFERROR(INDEX(art_des,MATCH(C1539,art_ref,0))&amp;"","Référence inconnue"))</f>
        <v/>
      </c>
      <c r="E1539" s="37" t="n"/>
      <c r="F1539" s="39" t="str">
        <f>IF(C1539="","",IFERROR(INDEX(art_unit,MATCH(C1539,art_ref,0))&amp;"",""))</f>
        <v/>
      </c>
      <c r="G1539" s="37" t="n"/>
      <c r="H1539" s="37" t="n"/>
      <c r="I1539" s="37" t="n"/>
      <c r="J1539" s="40" t="str">
        <f>IF(OR(C1539="",NOT(ISNUMBER(E1539))),"",IFERROR(E1539*N(INDEX(art_price,MATCH(C1539,art_ref,0))),""))</f>
        <v/>
      </c>
      <c r="K1539" s="39" t="str">
        <f>IF(OR(C1539="",NOT(ISNUMBER(E1539))),"",IFERROR(ROUND(N(INDEX(art_init,MATCH(C1539,art_ref,0)))+SUMIFS($E$5:E1539,$C$5:C1539,C1539,$B$5:B1539,"Entrée")-SUMIFS($E$5:E1539,$C$5:C1539,C1539,$B$5:B1539,"Sortie"),6),""))</f>
        <v/>
      </c>
      <c r="L1539" s="39" t="str">
        <f>IF(COUNTA(A1539:C1539,E1539)=0,"",IF(COUNTA(A1539:C1539,E1539)&lt;4,"Ligne incomplète",IF(NOT(ISNUMBER(A1539)),"Date invalide",IF(AND(B1539&lt;&gt;"Entrée",B1539&lt;&gt;"Sortie"),"Type inconnu",IF(ISNA(MATCH(C1539,art_ref,0)),"Référence inconnue",IF(OR(NOT(ISNUMBER(E1539)),N(E1539)&lt;=0),"Quantité invalide",IF(K1539&lt;0,"Stock négatif",IF(AND(ISNUMBER(A1538),A1539&lt;A1538),"Date hors ordre","OK"))))))))</f>
        <v/>
      </c>
      <c r="M1539" s="39" t="str">
        <f>IF(C1539="","",C1539&amp;"#"&amp;COUNTIF($C$5:C1539,C1539))</f>
        <v/>
      </c>
    </row>
    <row r="1540">
      <c r="A1540" s="41" t="n"/>
      <c r="B1540" s="37" t="n"/>
      <c r="C1540" s="37" t="n"/>
      <c r="D1540" s="39" t="str">
        <f>IF(C1540="","",IFERROR(INDEX(art_des,MATCH(C1540,art_ref,0))&amp;"","Référence inconnue"))</f>
        <v/>
      </c>
      <c r="E1540" s="37" t="n"/>
      <c r="F1540" s="39" t="str">
        <f>IF(C1540="","",IFERROR(INDEX(art_unit,MATCH(C1540,art_ref,0))&amp;"",""))</f>
        <v/>
      </c>
      <c r="G1540" s="37" t="n"/>
      <c r="H1540" s="37" t="n"/>
      <c r="I1540" s="37" t="n"/>
      <c r="J1540" s="40" t="str">
        <f>IF(OR(C1540="",NOT(ISNUMBER(E1540))),"",IFERROR(E1540*N(INDEX(art_price,MATCH(C1540,art_ref,0))),""))</f>
        <v/>
      </c>
      <c r="K1540" s="39" t="str">
        <f>IF(OR(C1540="",NOT(ISNUMBER(E1540))),"",IFERROR(ROUND(N(INDEX(art_init,MATCH(C1540,art_ref,0)))+SUMIFS($E$5:E1540,$C$5:C1540,C1540,$B$5:B1540,"Entrée")-SUMIFS($E$5:E1540,$C$5:C1540,C1540,$B$5:B1540,"Sortie"),6),""))</f>
        <v/>
      </c>
      <c r="L1540" s="39" t="str">
        <f>IF(COUNTA(A1540:C1540,E1540)=0,"",IF(COUNTA(A1540:C1540,E1540)&lt;4,"Ligne incomplète",IF(NOT(ISNUMBER(A1540)),"Date invalide",IF(AND(B1540&lt;&gt;"Entrée",B1540&lt;&gt;"Sortie"),"Type inconnu",IF(ISNA(MATCH(C1540,art_ref,0)),"Référence inconnue",IF(OR(NOT(ISNUMBER(E1540)),N(E1540)&lt;=0),"Quantité invalide",IF(K1540&lt;0,"Stock négatif",IF(AND(ISNUMBER(A1539),A1540&lt;A1539),"Date hors ordre","OK"))))))))</f>
        <v/>
      </c>
      <c r="M1540" s="39" t="str">
        <f>IF(C1540="","",C1540&amp;"#"&amp;COUNTIF($C$5:C1540,C1540))</f>
        <v/>
      </c>
    </row>
    <row r="1541">
      <c r="A1541" s="41" t="n"/>
      <c r="B1541" s="37" t="n"/>
      <c r="C1541" s="37" t="n"/>
      <c r="D1541" s="39" t="str">
        <f>IF(C1541="","",IFERROR(INDEX(art_des,MATCH(C1541,art_ref,0))&amp;"","Référence inconnue"))</f>
        <v/>
      </c>
      <c r="E1541" s="37" t="n"/>
      <c r="F1541" s="39" t="str">
        <f>IF(C1541="","",IFERROR(INDEX(art_unit,MATCH(C1541,art_ref,0))&amp;"",""))</f>
        <v/>
      </c>
      <c r="G1541" s="37" t="n"/>
      <c r="H1541" s="37" t="n"/>
      <c r="I1541" s="37" t="n"/>
      <c r="J1541" s="40" t="str">
        <f>IF(OR(C1541="",NOT(ISNUMBER(E1541))),"",IFERROR(E1541*N(INDEX(art_price,MATCH(C1541,art_ref,0))),""))</f>
        <v/>
      </c>
      <c r="K1541" s="39" t="str">
        <f>IF(OR(C1541="",NOT(ISNUMBER(E1541))),"",IFERROR(ROUND(N(INDEX(art_init,MATCH(C1541,art_ref,0)))+SUMIFS($E$5:E1541,$C$5:C1541,C1541,$B$5:B1541,"Entrée")-SUMIFS($E$5:E1541,$C$5:C1541,C1541,$B$5:B1541,"Sortie"),6),""))</f>
        <v/>
      </c>
      <c r="L1541" s="39" t="str">
        <f>IF(COUNTA(A1541:C1541,E1541)=0,"",IF(COUNTA(A1541:C1541,E1541)&lt;4,"Ligne incomplète",IF(NOT(ISNUMBER(A1541)),"Date invalide",IF(AND(B1541&lt;&gt;"Entrée",B1541&lt;&gt;"Sortie"),"Type inconnu",IF(ISNA(MATCH(C1541,art_ref,0)),"Référence inconnue",IF(OR(NOT(ISNUMBER(E1541)),N(E1541)&lt;=0),"Quantité invalide",IF(K1541&lt;0,"Stock négatif",IF(AND(ISNUMBER(A1540),A1541&lt;A1540),"Date hors ordre","OK"))))))))</f>
        <v/>
      </c>
      <c r="M1541" s="39" t="str">
        <f>IF(C1541="","",C1541&amp;"#"&amp;COUNTIF($C$5:C1541,C1541))</f>
        <v/>
      </c>
    </row>
    <row r="1542">
      <c r="A1542" s="41" t="n"/>
      <c r="B1542" s="37" t="n"/>
      <c r="C1542" s="37" t="n"/>
      <c r="D1542" s="39" t="str">
        <f>IF(C1542="","",IFERROR(INDEX(art_des,MATCH(C1542,art_ref,0))&amp;"","Référence inconnue"))</f>
        <v/>
      </c>
      <c r="E1542" s="37" t="n"/>
      <c r="F1542" s="39" t="str">
        <f>IF(C1542="","",IFERROR(INDEX(art_unit,MATCH(C1542,art_ref,0))&amp;"",""))</f>
        <v/>
      </c>
      <c r="G1542" s="37" t="n"/>
      <c r="H1542" s="37" t="n"/>
      <c r="I1542" s="37" t="n"/>
      <c r="J1542" s="40" t="str">
        <f>IF(OR(C1542="",NOT(ISNUMBER(E1542))),"",IFERROR(E1542*N(INDEX(art_price,MATCH(C1542,art_ref,0))),""))</f>
        <v/>
      </c>
      <c r="K1542" s="39" t="str">
        <f>IF(OR(C1542="",NOT(ISNUMBER(E1542))),"",IFERROR(ROUND(N(INDEX(art_init,MATCH(C1542,art_ref,0)))+SUMIFS($E$5:E1542,$C$5:C1542,C1542,$B$5:B1542,"Entrée")-SUMIFS($E$5:E1542,$C$5:C1542,C1542,$B$5:B1542,"Sortie"),6),""))</f>
        <v/>
      </c>
      <c r="L1542" s="39" t="str">
        <f>IF(COUNTA(A1542:C1542,E1542)=0,"",IF(COUNTA(A1542:C1542,E1542)&lt;4,"Ligne incomplète",IF(NOT(ISNUMBER(A1542)),"Date invalide",IF(AND(B1542&lt;&gt;"Entrée",B1542&lt;&gt;"Sortie"),"Type inconnu",IF(ISNA(MATCH(C1542,art_ref,0)),"Référence inconnue",IF(OR(NOT(ISNUMBER(E1542)),N(E1542)&lt;=0),"Quantité invalide",IF(K1542&lt;0,"Stock négatif",IF(AND(ISNUMBER(A1541),A1542&lt;A1541),"Date hors ordre","OK"))))))))</f>
        <v/>
      </c>
      <c r="M1542" s="39" t="str">
        <f>IF(C1542="","",C1542&amp;"#"&amp;COUNTIF($C$5:C1542,C1542))</f>
        <v/>
      </c>
    </row>
    <row r="1543">
      <c r="A1543" s="41" t="n"/>
      <c r="B1543" s="37" t="n"/>
      <c r="C1543" s="37" t="n"/>
      <c r="D1543" s="39" t="str">
        <f>IF(C1543="","",IFERROR(INDEX(art_des,MATCH(C1543,art_ref,0))&amp;"","Référence inconnue"))</f>
        <v/>
      </c>
      <c r="E1543" s="37" t="n"/>
      <c r="F1543" s="39" t="str">
        <f>IF(C1543="","",IFERROR(INDEX(art_unit,MATCH(C1543,art_ref,0))&amp;"",""))</f>
        <v/>
      </c>
      <c r="G1543" s="37" t="n"/>
      <c r="H1543" s="37" t="n"/>
      <c r="I1543" s="37" t="n"/>
      <c r="J1543" s="40" t="str">
        <f>IF(OR(C1543="",NOT(ISNUMBER(E1543))),"",IFERROR(E1543*N(INDEX(art_price,MATCH(C1543,art_ref,0))),""))</f>
        <v/>
      </c>
      <c r="K1543" s="39" t="str">
        <f>IF(OR(C1543="",NOT(ISNUMBER(E1543))),"",IFERROR(ROUND(N(INDEX(art_init,MATCH(C1543,art_ref,0)))+SUMIFS($E$5:E1543,$C$5:C1543,C1543,$B$5:B1543,"Entrée")-SUMIFS($E$5:E1543,$C$5:C1543,C1543,$B$5:B1543,"Sortie"),6),""))</f>
        <v/>
      </c>
      <c r="L1543" s="39" t="str">
        <f>IF(COUNTA(A1543:C1543,E1543)=0,"",IF(COUNTA(A1543:C1543,E1543)&lt;4,"Ligne incomplète",IF(NOT(ISNUMBER(A1543)),"Date invalide",IF(AND(B1543&lt;&gt;"Entrée",B1543&lt;&gt;"Sortie"),"Type inconnu",IF(ISNA(MATCH(C1543,art_ref,0)),"Référence inconnue",IF(OR(NOT(ISNUMBER(E1543)),N(E1543)&lt;=0),"Quantité invalide",IF(K1543&lt;0,"Stock négatif",IF(AND(ISNUMBER(A1542),A1543&lt;A1542),"Date hors ordre","OK"))))))))</f>
        <v/>
      </c>
      <c r="M1543" s="39" t="str">
        <f>IF(C1543="","",C1543&amp;"#"&amp;COUNTIF($C$5:C1543,C1543))</f>
        <v/>
      </c>
    </row>
    <row r="1544">
      <c r="A1544" s="41" t="n"/>
      <c r="B1544" s="37" t="n"/>
      <c r="C1544" s="37" t="n"/>
      <c r="D1544" s="39" t="str">
        <f>IF(C1544="","",IFERROR(INDEX(art_des,MATCH(C1544,art_ref,0))&amp;"","Référence inconnue"))</f>
        <v/>
      </c>
      <c r="E1544" s="37" t="n"/>
      <c r="F1544" s="39" t="str">
        <f>IF(C1544="","",IFERROR(INDEX(art_unit,MATCH(C1544,art_ref,0))&amp;"",""))</f>
        <v/>
      </c>
      <c r="G1544" s="37" t="n"/>
      <c r="H1544" s="37" t="n"/>
      <c r="I1544" s="37" t="n"/>
      <c r="J1544" s="40" t="str">
        <f>IF(OR(C1544="",NOT(ISNUMBER(E1544))),"",IFERROR(E1544*N(INDEX(art_price,MATCH(C1544,art_ref,0))),""))</f>
        <v/>
      </c>
      <c r="K1544" s="39" t="str">
        <f>IF(OR(C1544="",NOT(ISNUMBER(E1544))),"",IFERROR(ROUND(N(INDEX(art_init,MATCH(C1544,art_ref,0)))+SUMIFS($E$5:E1544,$C$5:C1544,C1544,$B$5:B1544,"Entrée")-SUMIFS($E$5:E1544,$C$5:C1544,C1544,$B$5:B1544,"Sortie"),6),""))</f>
        <v/>
      </c>
      <c r="L1544" s="39" t="str">
        <f>IF(COUNTA(A1544:C1544,E1544)=0,"",IF(COUNTA(A1544:C1544,E1544)&lt;4,"Ligne incomplète",IF(NOT(ISNUMBER(A1544)),"Date invalide",IF(AND(B1544&lt;&gt;"Entrée",B1544&lt;&gt;"Sortie"),"Type inconnu",IF(ISNA(MATCH(C1544,art_ref,0)),"Référence inconnue",IF(OR(NOT(ISNUMBER(E1544)),N(E1544)&lt;=0),"Quantité invalide",IF(K1544&lt;0,"Stock négatif",IF(AND(ISNUMBER(A1543),A1544&lt;A1543),"Date hors ordre","OK"))))))))</f>
        <v/>
      </c>
      <c r="M1544" s="39" t="str">
        <f>IF(C1544="","",C1544&amp;"#"&amp;COUNTIF($C$5:C1544,C1544))</f>
        <v/>
      </c>
    </row>
    <row r="1545">
      <c r="A1545" s="41" t="n"/>
      <c r="B1545" s="37" t="n"/>
      <c r="C1545" s="37" t="n"/>
      <c r="D1545" s="39" t="str">
        <f>IF(C1545="","",IFERROR(INDEX(art_des,MATCH(C1545,art_ref,0))&amp;"","Référence inconnue"))</f>
        <v/>
      </c>
      <c r="E1545" s="37" t="n"/>
      <c r="F1545" s="39" t="str">
        <f>IF(C1545="","",IFERROR(INDEX(art_unit,MATCH(C1545,art_ref,0))&amp;"",""))</f>
        <v/>
      </c>
      <c r="G1545" s="37" t="n"/>
      <c r="H1545" s="37" t="n"/>
      <c r="I1545" s="37" t="n"/>
      <c r="J1545" s="40" t="str">
        <f>IF(OR(C1545="",NOT(ISNUMBER(E1545))),"",IFERROR(E1545*N(INDEX(art_price,MATCH(C1545,art_ref,0))),""))</f>
        <v/>
      </c>
      <c r="K1545" s="39" t="str">
        <f>IF(OR(C1545="",NOT(ISNUMBER(E1545))),"",IFERROR(ROUND(N(INDEX(art_init,MATCH(C1545,art_ref,0)))+SUMIFS($E$5:E1545,$C$5:C1545,C1545,$B$5:B1545,"Entrée")-SUMIFS($E$5:E1545,$C$5:C1545,C1545,$B$5:B1545,"Sortie"),6),""))</f>
        <v/>
      </c>
      <c r="L1545" s="39" t="str">
        <f>IF(COUNTA(A1545:C1545,E1545)=0,"",IF(COUNTA(A1545:C1545,E1545)&lt;4,"Ligne incomplète",IF(NOT(ISNUMBER(A1545)),"Date invalide",IF(AND(B1545&lt;&gt;"Entrée",B1545&lt;&gt;"Sortie"),"Type inconnu",IF(ISNA(MATCH(C1545,art_ref,0)),"Référence inconnue",IF(OR(NOT(ISNUMBER(E1545)),N(E1545)&lt;=0),"Quantité invalide",IF(K1545&lt;0,"Stock négatif",IF(AND(ISNUMBER(A1544),A1545&lt;A1544),"Date hors ordre","OK"))))))))</f>
        <v/>
      </c>
      <c r="M1545" s="39" t="str">
        <f>IF(C1545="","",C1545&amp;"#"&amp;COUNTIF($C$5:C1545,C1545))</f>
        <v/>
      </c>
    </row>
    <row r="1546">
      <c r="A1546" s="41" t="n"/>
      <c r="B1546" s="37" t="n"/>
      <c r="C1546" s="37" t="n"/>
      <c r="D1546" s="39" t="str">
        <f>IF(C1546="","",IFERROR(INDEX(art_des,MATCH(C1546,art_ref,0))&amp;"","Référence inconnue"))</f>
        <v/>
      </c>
      <c r="E1546" s="37" t="n"/>
      <c r="F1546" s="39" t="str">
        <f>IF(C1546="","",IFERROR(INDEX(art_unit,MATCH(C1546,art_ref,0))&amp;"",""))</f>
        <v/>
      </c>
      <c r="G1546" s="37" t="n"/>
      <c r="H1546" s="37" t="n"/>
      <c r="I1546" s="37" t="n"/>
      <c r="J1546" s="40" t="str">
        <f>IF(OR(C1546="",NOT(ISNUMBER(E1546))),"",IFERROR(E1546*N(INDEX(art_price,MATCH(C1546,art_ref,0))),""))</f>
        <v/>
      </c>
      <c r="K1546" s="39" t="str">
        <f>IF(OR(C1546="",NOT(ISNUMBER(E1546))),"",IFERROR(ROUND(N(INDEX(art_init,MATCH(C1546,art_ref,0)))+SUMIFS($E$5:E1546,$C$5:C1546,C1546,$B$5:B1546,"Entrée")-SUMIFS($E$5:E1546,$C$5:C1546,C1546,$B$5:B1546,"Sortie"),6),""))</f>
        <v/>
      </c>
      <c r="L1546" s="39" t="str">
        <f>IF(COUNTA(A1546:C1546,E1546)=0,"",IF(COUNTA(A1546:C1546,E1546)&lt;4,"Ligne incomplète",IF(NOT(ISNUMBER(A1546)),"Date invalide",IF(AND(B1546&lt;&gt;"Entrée",B1546&lt;&gt;"Sortie"),"Type inconnu",IF(ISNA(MATCH(C1546,art_ref,0)),"Référence inconnue",IF(OR(NOT(ISNUMBER(E1546)),N(E1546)&lt;=0),"Quantité invalide",IF(K1546&lt;0,"Stock négatif",IF(AND(ISNUMBER(A1545),A1546&lt;A1545),"Date hors ordre","OK"))))))))</f>
        <v/>
      </c>
      <c r="M1546" s="39" t="str">
        <f>IF(C1546="","",C1546&amp;"#"&amp;COUNTIF($C$5:C1546,C1546))</f>
        <v/>
      </c>
    </row>
    <row r="1547">
      <c r="A1547" s="41" t="n"/>
      <c r="B1547" s="37" t="n"/>
      <c r="C1547" s="37" t="n"/>
      <c r="D1547" s="39" t="str">
        <f>IF(C1547="","",IFERROR(INDEX(art_des,MATCH(C1547,art_ref,0))&amp;"","Référence inconnue"))</f>
        <v/>
      </c>
      <c r="E1547" s="37" t="n"/>
      <c r="F1547" s="39" t="str">
        <f>IF(C1547="","",IFERROR(INDEX(art_unit,MATCH(C1547,art_ref,0))&amp;"",""))</f>
        <v/>
      </c>
      <c r="G1547" s="37" t="n"/>
      <c r="H1547" s="37" t="n"/>
      <c r="I1547" s="37" t="n"/>
      <c r="J1547" s="40" t="str">
        <f>IF(OR(C1547="",NOT(ISNUMBER(E1547))),"",IFERROR(E1547*N(INDEX(art_price,MATCH(C1547,art_ref,0))),""))</f>
        <v/>
      </c>
      <c r="K1547" s="39" t="str">
        <f>IF(OR(C1547="",NOT(ISNUMBER(E1547))),"",IFERROR(ROUND(N(INDEX(art_init,MATCH(C1547,art_ref,0)))+SUMIFS($E$5:E1547,$C$5:C1547,C1547,$B$5:B1547,"Entrée")-SUMIFS($E$5:E1547,$C$5:C1547,C1547,$B$5:B1547,"Sortie"),6),""))</f>
        <v/>
      </c>
      <c r="L1547" s="39" t="str">
        <f>IF(COUNTA(A1547:C1547,E1547)=0,"",IF(COUNTA(A1547:C1547,E1547)&lt;4,"Ligne incomplète",IF(NOT(ISNUMBER(A1547)),"Date invalide",IF(AND(B1547&lt;&gt;"Entrée",B1547&lt;&gt;"Sortie"),"Type inconnu",IF(ISNA(MATCH(C1547,art_ref,0)),"Référence inconnue",IF(OR(NOT(ISNUMBER(E1547)),N(E1547)&lt;=0),"Quantité invalide",IF(K1547&lt;0,"Stock négatif",IF(AND(ISNUMBER(A1546),A1547&lt;A1546),"Date hors ordre","OK"))))))))</f>
        <v/>
      </c>
      <c r="M1547" s="39" t="str">
        <f>IF(C1547="","",C1547&amp;"#"&amp;COUNTIF($C$5:C1547,C1547))</f>
        <v/>
      </c>
    </row>
    <row r="1548">
      <c r="A1548" s="41" t="n"/>
      <c r="B1548" s="37" t="n"/>
      <c r="C1548" s="37" t="n"/>
      <c r="D1548" s="39" t="str">
        <f>IF(C1548="","",IFERROR(INDEX(art_des,MATCH(C1548,art_ref,0))&amp;"","Référence inconnue"))</f>
        <v/>
      </c>
      <c r="E1548" s="37" t="n"/>
      <c r="F1548" s="39" t="str">
        <f>IF(C1548="","",IFERROR(INDEX(art_unit,MATCH(C1548,art_ref,0))&amp;"",""))</f>
        <v/>
      </c>
      <c r="G1548" s="37" t="n"/>
      <c r="H1548" s="37" t="n"/>
      <c r="I1548" s="37" t="n"/>
      <c r="J1548" s="40" t="str">
        <f>IF(OR(C1548="",NOT(ISNUMBER(E1548))),"",IFERROR(E1548*N(INDEX(art_price,MATCH(C1548,art_ref,0))),""))</f>
        <v/>
      </c>
      <c r="K1548" s="39" t="str">
        <f>IF(OR(C1548="",NOT(ISNUMBER(E1548))),"",IFERROR(ROUND(N(INDEX(art_init,MATCH(C1548,art_ref,0)))+SUMIFS($E$5:E1548,$C$5:C1548,C1548,$B$5:B1548,"Entrée")-SUMIFS($E$5:E1548,$C$5:C1548,C1548,$B$5:B1548,"Sortie"),6),""))</f>
        <v/>
      </c>
      <c r="L1548" s="39" t="str">
        <f>IF(COUNTA(A1548:C1548,E1548)=0,"",IF(COUNTA(A1548:C1548,E1548)&lt;4,"Ligne incomplète",IF(NOT(ISNUMBER(A1548)),"Date invalide",IF(AND(B1548&lt;&gt;"Entrée",B1548&lt;&gt;"Sortie"),"Type inconnu",IF(ISNA(MATCH(C1548,art_ref,0)),"Référence inconnue",IF(OR(NOT(ISNUMBER(E1548)),N(E1548)&lt;=0),"Quantité invalide",IF(K1548&lt;0,"Stock négatif",IF(AND(ISNUMBER(A1547),A1548&lt;A1547),"Date hors ordre","OK"))))))))</f>
        <v/>
      </c>
      <c r="M1548" s="39" t="str">
        <f>IF(C1548="","",C1548&amp;"#"&amp;COUNTIF($C$5:C1548,C1548))</f>
        <v/>
      </c>
    </row>
    <row r="1549">
      <c r="A1549" s="41" t="n"/>
      <c r="B1549" s="37" t="n"/>
      <c r="C1549" s="37" t="n"/>
      <c r="D1549" s="39" t="str">
        <f>IF(C1549="","",IFERROR(INDEX(art_des,MATCH(C1549,art_ref,0))&amp;"","Référence inconnue"))</f>
        <v/>
      </c>
      <c r="E1549" s="37" t="n"/>
      <c r="F1549" s="39" t="str">
        <f>IF(C1549="","",IFERROR(INDEX(art_unit,MATCH(C1549,art_ref,0))&amp;"",""))</f>
        <v/>
      </c>
      <c r="G1549" s="37" t="n"/>
      <c r="H1549" s="37" t="n"/>
      <c r="I1549" s="37" t="n"/>
      <c r="J1549" s="40" t="str">
        <f>IF(OR(C1549="",NOT(ISNUMBER(E1549))),"",IFERROR(E1549*N(INDEX(art_price,MATCH(C1549,art_ref,0))),""))</f>
        <v/>
      </c>
      <c r="K1549" s="39" t="str">
        <f>IF(OR(C1549="",NOT(ISNUMBER(E1549))),"",IFERROR(ROUND(N(INDEX(art_init,MATCH(C1549,art_ref,0)))+SUMIFS($E$5:E1549,$C$5:C1549,C1549,$B$5:B1549,"Entrée")-SUMIFS($E$5:E1549,$C$5:C1549,C1549,$B$5:B1549,"Sortie"),6),""))</f>
        <v/>
      </c>
      <c r="L1549" s="39" t="str">
        <f>IF(COUNTA(A1549:C1549,E1549)=0,"",IF(COUNTA(A1549:C1549,E1549)&lt;4,"Ligne incomplète",IF(NOT(ISNUMBER(A1549)),"Date invalide",IF(AND(B1549&lt;&gt;"Entrée",B1549&lt;&gt;"Sortie"),"Type inconnu",IF(ISNA(MATCH(C1549,art_ref,0)),"Référence inconnue",IF(OR(NOT(ISNUMBER(E1549)),N(E1549)&lt;=0),"Quantité invalide",IF(K1549&lt;0,"Stock négatif",IF(AND(ISNUMBER(A1548),A1549&lt;A1548),"Date hors ordre","OK"))))))))</f>
        <v/>
      </c>
      <c r="M1549" s="39" t="str">
        <f>IF(C1549="","",C1549&amp;"#"&amp;COUNTIF($C$5:C1549,C1549))</f>
        <v/>
      </c>
    </row>
    <row r="1550">
      <c r="A1550" s="41" t="n"/>
      <c r="B1550" s="37" t="n"/>
      <c r="C1550" s="37" t="n"/>
      <c r="D1550" s="39" t="str">
        <f>IF(C1550="","",IFERROR(INDEX(art_des,MATCH(C1550,art_ref,0))&amp;"","Référence inconnue"))</f>
        <v/>
      </c>
      <c r="E1550" s="37" t="n"/>
      <c r="F1550" s="39" t="str">
        <f>IF(C1550="","",IFERROR(INDEX(art_unit,MATCH(C1550,art_ref,0))&amp;"",""))</f>
        <v/>
      </c>
      <c r="G1550" s="37" t="n"/>
      <c r="H1550" s="37" t="n"/>
      <c r="I1550" s="37" t="n"/>
      <c r="J1550" s="40" t="str">
        <f>IF(OR(C1550="",NOT(ISNUMBER(E1550))),"",IFERROR(E1550*N(INDEX(art_price,MATCH(C1550,art_ref,0))),""))</f>
        <v/>
      </c>
      <c r="K1550" s="39" t="str">
        <f>IF(OR(C1550="",NOT(ISNUMBER(E1550))),"",IFERROR(ROUND(N(INDEX(art_init,MATCH(C1550,art_ref,0)))+SUMIFS($E$5:E1550,$C$5:C1550,C1550,$B$5:B1550,"Entrée")-SUMIFS($E$5:E1550,$C$5:C1550,C1550,$B$5:B1550,"Sortie"),6),""))</f>
        <v/>
      </c>
      <c r="L1550" s="39" t="str">
        <f>IF(COUNTA(A1550:C1550,E1550)=0,"",IF(COUNTA(A1550:C1550,E1550)&lt;4,"Ligne incomplète",IF(NOT(ISNUMBER(A1550)),"Date invalide",IF(AND(B1550&lt;&gt;"Entrée",B1550&lt;&gt;"Sortie"),"Type inconnu",IF(ISNA(MATCH(C1550,art_ref,0)),"Référence inconnue",IF(OR(NOT(ISNUMBER(E1550)),N(E1550)&lt;=0),"Quantité invalide",IF(K1550&lt;0,"Stock négatif",IF(AND(ISNUMBER(A1549),A1550&lt;A1549),"Date hors ordre","OK"))))))))</f>
        <v/>
      </c>
      <c r="M1550" s="39" t="str">
        <f>IF(C1550="","",C1550&amp;"#"&amp;COUNTIF($C$5:C1550,C1550))</f>
        <v/>
      </c>
    </row>
    <row r="1551">
      <c r="A1551" s="41" t="n"/>
      <c r="B1551" s="37" t="n"/>
      <c r="C1551" s="37" t="n"/>
      <c r="D1551" s="39" t="str">
        <f>IF(C1551="","",IFERROR(INDEX(art_des,MATCH(C1551,art_ref,0))&amp;"","Référence inconnue"))</f>
        <v/>
      </c>
      <c r="E1551" s="37" t="n"/>
      <c r="F1551" s="39" t="str">
        <f>IF(C1551="","",IFERROR(INDEX(art_unit,MATCH(C1551,art_ref,0))&amp;"",""))</f>
        <v/>
      </c>
      <c r="G1551" s="37" t="n"/>
      <c r="H1551" s="37" t="n"/>
      <c r="I1551" s="37" t="n"/>
      <c r="J1551" s="40" t="str">
        <f>IF(OR(C1551="",NOT(ISNUMBER(E1551))),"",IFERROR(E1551*N(INDEX(art_price,MATCH(C1551,art_ref,0))),""))</f>
        <v/>
      </c>
      <c r="K1551" s="39" t="str">
        <f>IF(OR(C1551="",NOT(ISNUMBER(E1551))),"",IFERROR(ROUND(N(INDEX(art_init,MATCH(C1551,art_ref,0)))+SUMIFS($E$5:E1551,$C$5:C1551,C1551,$B$5:B1551,"Entrée")-SUMIFS($E$5:E1551,$C$5:C1551,C1551,$B$5:B1551,"Sortie"),6),""))</f>
        <v/>
      </c>
      <c r="L1551" s="39" t="str">
        <f>IF(COUNTA(A1551:C1551,E1551)=0,"",IF(COUNTA(A1551:C1551,E1551)&lt;4,"Ligne incomplète",IF(NOT(ISNUMBER(A1551)),"Date invalide",IF(AND(B1551&lt;&gt;"Entrée",B1551&lt;&gt;"Sortie"),"Type inconnu",IF(ISNA(MATCH(C1551,art_ref,0)),"Référence inconnue",IF(OR(NOT(ISNUMBER(E1551)),N(E1551)&lt;=0),"Quantité invalide",IF(K1551&lt;0,"Stock négatif",IF(AND(ISNUMBER(A1550),A1551&lt;A1550),"Date hors ordre","OK"))))))))</f>
        <v/>
      </c>
      <c r="M1551" s="39" t="str">
        <f>IF(C1551="","",C1551&amp;"#"&amp;COUNTIF($C$5:C1551,C1551))</f>
        <v/>
      </c>
    </row>
    <row r="1552">
      <c r="A1552" s="41" t="n"/>
      <c r="B1552" s="37" t="n"/>
      <c r="C1552" s="37" t="n"/>
      <c r="D1552" s="39" t="str">
        <f>IF(C1552="","",IFERROR(INDEX(art_des,MATCH(C1552,art_ref,0))&amp;"","Référence inconnue"))</f>
        <v/>
      </c>
      <c r="E1552" s="37" t="n"/>
      <c r="F1552" s="39" t="str">
        <f>IF(C1552="","",IFERROR(INDEX(art_unit,MATCH(C1552,art_ref,0))&amp;"",""))</f>
        <v/>
      </c>
      <c r="G1552" s="37" t="n"/>
      <c r="H1552" s="37" t="n"/>
      <c r="I1552" s="37" t="n"/>
      <c r="J1552" s="40" t="str">
        <f>IF(OR(C1552="",NOT(ISNUMBER(E1552))),"",IFERROR(E1552*N(INDEX(art_price,MATCH(C1552,art_ref,0))),""))</f>
        <v/>
      </c>
      <c r="K1552" s="39" t="str">
        <f>IF(OR(C1552="",NOT(ISNUMBER(E1552))),"",IFERROR(ROUND(N(INDEX(art_init,MATCH(C1552,art_ref,0)))+SUMIFS($E$5:E1552,$C$5:C1552,C1552,$B$5:B1552,"Entrée")-SUMIFS($E$5:E1552,$C$5:C1552,C1552,$B$5:B1552,"Sortie"),6),""))</f>
        <v/>
      </c>
      <c r="L1552" s="39" t="str">
        <f>IF(COUNTA(A1552:C1552,E1552)=0,"",IF(COUNTA(A1552:C1552,E1552)&lt;4,"Ligne incomplète",IF(NOT(ISNUMBER(A1552)),"Date invalide",IF(AND(B1552&lt;&gt;"Entrée",B1552&lt;&gt;"Sortie"),"Type inconnu",IF(ISNA(MATCH(C1552,art_ref,0)),"Référence inconnue",IF(OR(NOT(ISNUMBER(E1552)),N(E1552)&lt;=0),"Quantité invalide",IF(K1552&lt;0,"Stock négatif",IF(AND(ISNUMBER(A1551),A1552&lt;A1551),"Date hors ordre","OK"))))))))</f>
        <v/>
      </c>
      <c r="M1552" s="39" t="str">
        <f>IF(C1552="","",C1552&amp;"#"&amp;COUNTIF($C$5:C1552,C1552))</f>
        <v/>
      </c>
    </row>
    <row r="1553">
      <c r="A1553" s="41" t="n"/>
      <c r="B1553" s="37" t="n"/>
      <c r="C1553" s="37" t="n"/>
      <c r="D1553" s="39" t="str">
        <f>IF(C1553="","",IFERROR(INDEX(art_des,MATCH(C1553,art_ref,0))&amp;"","Référence inconnue"))</f>
        <v/>
      </c>
      <c r="E1553" s="37" t="n"/>
      <c r="F1553" s="39" t="str">
        <f>IF(C1553="","",IFERROR(INDEX(art_unit,MATCH(C1553,art_ref,0))&amp;"",""))</f>
        <v/>
      </c>
      <c r="G1553" s="37" t="n"/>
      <c r="H1553" s="37" t="n"/>
      <c r="I1553" s="37" t="n"/>
      <c r="J1553" s="40" t="str">
        <f>IF(OR(C1553="",NOT(ISNUMBER(E1553))),"",IFERROR(E1553*N(INDEX(art_price,MATCH(C1553,art_ref,0))),""))</f>
        <v/>
      </c>
      <c r="K1553" s="39" t="str">
        <f>IF(OR(C1553="",NOT(ISNUMBER(E1553))),"",IFERROR(ROUND(N(INDEX(art_init,MATCH(C1553,art_ref,0)))+SUMIFS($E$5:E1553,$C$5:C1553,C1553,$B$5:B1553,"Entrée")-SUMIFS($E$5:E1553,$C$5:C1553,C1553,$B$5:B1553,"Sortie"),6),""))</f>
        <v/>
      </c>
      <c r="L1553" s="39" t="str">
        <f>IF(COUNTA(A1553:C1553,E1553)=0,"",IF(COUNTA(A1553:C1553,E1553)&lt;4,"Ligne incomplète",IF(NOT(ISNUMBER(A1553)),"Date invalide",IF(AND(B1553&lt;&gt;"Entrée",B1553&lt;&gt;"Sortie"),"Type inconnu",IF(ISNA(MATCH(C1553,art_ref,0)),"Référence inconnue",IF(OR(NOT(ISNUMBER(E1553)),N(E1553)&lt;=0),"Quantité invalide",IF(K1553&lt;0,"Stock négatif",IF(AND(ISNUMBER(A1552),A1553&lt;A1552),"Date hors ordre","OK"))))))))</f>
        <v/>
      </c>
      <c r="M1553" s="39" t="str">
        <f>IF(C1553="","",C1553&amp;"#"&amp;COUNTIF($C$5:C1553,C1553))</f>
        <v/>
      </c>
    </row>
    <row r="1554">
      <c r="A1554" s="41" t="n"/>
      <c r="B1554" s="37" t="n"/>
      <c r="C1554" s="37" t="n"/>
      <c r="D1554" s="39" t="str">
        <f>IF(C1554="","",IFERROR(INDEX(art_des,MATCH(C1554,art_ref,0))&amp;"","Référence inconnue"))</f>
        <v/>
      </c>
      <c r="E1554" s="37" t="n"/>
      <c r="F1554" s="39" t="str">
        <f>IF(C1554="","",IFERROR(INDEX(art_unit,MATCH(C1554,art_ref,0))&amp;"",""))</f>
        <v/>
      </c>
      <c r="G1554" s="37" t="n"/>
      <c r="H1554" s="37" t="n"/>
      <c r="I1554" s="37" t="n"/>
      <c r="J1554" s="40" t="str">
        <f>IF(OR(C1554="",NOT(ISNUMBER(E1554))),"",IFERROR(E1554*N(INDEX(art_price,MATCH(C1554,art_ref,0))),""))</f>
        <v/>
      </c>
      <c r="K1554" s="39" t="str">
        <f>IF(OR(C1554="",NOT(ISNUMBER(E1554))),"",IFERROR(ROUND(N(INDEX(art_init,MATCH(C1554,art_ref,0)))+SUMIFS($E$5:E1554,$C$5:C1554,C1554,$B$5:B1554,"Entrée")-SUMIFS($E$5:E1554,$C$5:C1554,C1554,$B$5:B1554,"Sortie"),6),""))</f>
        <v/>
      </c>
      <c r="L1554" s="39" t="str">
        <f>IF(COUNTA(A1554:C1554,E1554)=0,"",IF(COUNTA(A1554:C1554,E1554)&lt;4,"Ligne incomplète",IF(NOT(ISNUMBER(A1554)),"Date invalide",IF(AND(B1554&lt;&gt;"Entrée",B1554&lt;&gt;"Sortie"),"Type inconnu",IF(ISNA(MATCH(C1554,art_ref,0)),"Référence inconnue",IF(OR(NOT(ISNUMBER(E1554)),N(E1554)&lt;=0),"Quantité invalide",IF(K1554&lt;0,"Stock négatif",IF(AND(ISNUMBER(A1553),A1554&lt;A1553),"Date hors ordre","OK"))))))))</f>
        <v/>
      </c>
      <c r="M1554" s="39" t="str">
        <f>IF(C1554="","",C1554&amp;"#"&amp;COUNTIF($C$5:C1554,C1554))</f>
        <v/>
      </c>
    </row>
    <row r="1555">
      <c r="A1555" s="41" t="n"/>
      <c r="B1555" s="37" t="n"/>
      <c r="C1555" s="37" t="n"/>
      <c r="D1555" s="39" t="str">
        <f>IF(C1555="","",IFERROR(INDEX(art_des,MATCH(C1555,art_ref,0))&amp;"","Référence inconnue"))</f>
        <v/>
      </c>
      <c r="E1555" s="37" t="n"/>
      <c r="F1555" s="39" t="str">
        <f>IF(C1555="","",IFERROR(INDEX(art_unit,MATCH(C1555,art_ref,0))&amp;"",""))</f>
        <v/>
      </c>
      <c r="G1555" s="37" t="n"/>
      <c r="H1555" s="37" t="n"/>
      <c r="I1555" s="37" t="n"/>
      <c r="J1555" s="40" t="str">
        <f>IF(OR(C1555="",NOT(ISNUMBER(E1555))),"",IFERROR(E1555*N(INDEX(art_price,MATCH(C1555,art_ref,0))),""))</f>
        <v/>
      </c>
      <c r="K1555" s="39" t="str">
        <f>IF(OR(C1555="",NOT(ISNUMBER(E1555))),"",IFERROR(ROUND(N(INDEX(art_init,MATCH(C1555,art_ref,0)))+SUMIFS($E$5:E1555,$C$5:C1555,C1555,$B$5:B1555,"Entrée")-SUMIFS($E$5:E1555,$C$5:C1555,C1555,$B$5:B1555,"Sortie"),6),""))</f>
        <v/>
      </c>
      <c r="L1555" s="39" t="str">
        <f>IF(COUNTA(A1555:C1555,E1555)=0,"",IF(COUNTA(A1555:C1555,E1555)&lt;4,"Ligne incomplète",IF(NOT(ISNUMBER(A1555)),"Date invalide",IF(AND(B1555&lt;&gt;"Entrée",B1555&lt;&gt;"Sortie"),"Type inconnu",IF(ISNA(MATCH(C1555,art_ref,0)),"Référence inconnue",IF(OR(NOT(ISNUMBER(E1555)),N(E1555)&lt;=0),"Quantité invalide",IF(K1555&lt;0,"Stock négatif",IF(AND(ISNUMBER(A1554),A1555&lt;A1554),"Date hors ordre","OK"))))))))</f>
        <v/>
      </c>
      <c r="M1555" s="39" t="str">
        <f>IF(C1555="","",C1555&amp;"#"&amp;COUNTIF($C$5:C1555,C1555))</f>
        <v/>
      </c>
    </row>
    <row r="1556">
      <c r="A1556" s="41" t="n"/>
      <c r="B1556" s="37" t="n"/>
      <c r="C1556" s="37" t="n"/>
      <c r="D1556" s="39" t="str">
        <f>IF(C1556="","",IFERROR(INDEX(art_des,MATCH(C1556,art_ref,0))&amp;"","Référence inconnue"))</f>
        <v/>
      </c>
      <c r="E1556" s="37" t="n"/>
      <c r="F1556" s="39" t="str">
        <f>IF(C1556="","",IFERROR(INDEX(art_unit,MATCH(C1556,art_ref,0))&amp;"",""))</f>
        <v/>
      </c>
      <c r="G1556" s="37" t="n"/>
      <c r="H1556" s="37" t="n"/>
      <c r="I1556" s="37" t="n"/>
      <c r="J1556" s="40" t="str">
        <f>IF(OR(C1556="",NOT(ISNUMBER(E1556))),"",IFERROR(E1556*N(INDEX(art_price,MATCH(C1556,art_ref,0))),""))</f>
        <v/>
      </c>
      <c r="K1556" s="39" t="str">
        <f>IF(OR(C1556="",NOT(ISNUMBER(E1556))),"",IFERROR(ROUND(N(INDEX(art_init,MATCH(C1556,art_ref,0)))+SUMIFS($E$5:E1556,$C$5:C1556,C1556,$B$5:B1556,"Entrée")-SUMIFS($E$5:E1556,$C$5:C1556,C1556,$B$5:B1556,"Sortie"),6),""))</f>
        <v/>
      </c>
      <c r="L1556" s="39" t="str">
        <f>IF(COUNTA(A1556:C1556,E1556)=0,"",IF(COUNTA(A1556:C1556,E1556)&lt;4,"Ligne incomplète",IF(NOT(ISNUMBER(A1556)),"Date invalide",IF(AND(B1556&lt;&gt;"Entrée",B1556&lt;&gt;"Sortie"),"Type inconnu",IF(ISNA(MATCH(C1556,art_ref,0)),"Référence inconnue",IF(OR(NOT(ISNUMBER(E1556)),N(E1556)&lt;=0),"Quantité invalide",IF(K1556&lt;0,"Stock négatif",IF(AND(ISNUMBER(A1555),A1556&lt;A1555),"Date hors ordre","OK"))))))))</f>
        <v/>
      </c>
      <c r="M1556" s="39" t="str">
        <f>IF(C1556="","",C1556&amp;"#"&amp;COUNTIF($C$5:C1556,C1556))</f>
        <v/>
      </c>
    </row>
    <row r="1557">
      <c r="A1557" s="41" t="n"/>
      <c r="B1557" s="37" t="n"/>
      <c r="C1557" s="37" t="n"/>
      <c r="D1557" s="39" t="str">
        <f>IF(C1557="","",IFERROR(INDEX(art_des,MATCH(C1557,art_ref,0))&amp;"","Référence inconnue"))</f>
        <v/>
      </c>
      <c r="E1557" s="37" t="n"/>
      <c r="F1557" s="39" t="str">
        <f>IF(C1557="","",IFERROR(INDEX(art_unit,MATCH(C1557,art_ref,0))&amp;"",""))</f>
        <v/>
      </c>
      <c r="G1557" s="37" t="n"/>
      <c r="H1557" s="37" t="n"/>
      <c r="I1557" s="37" t="n"/>
      <c r="J1557" s="40" t="str">
        <f>IF(OR(C1557="",NOT(ISNUMBER(E1557))),"",IFERROR(E1557*N(INDEX(art_price,MATCH(C1557,art_ref,0))),""))</f>
        <v/>
      </c>
      <c r="K1557" s="39" t="str">
        <f>IF(OR(C1557="",NOT(ISNUMBER(E1557))),"",IFERROR(ROUND(N(INDEX(art_init,MATCH(C1557,art_ref,0)))+SUMIFS($E$5:E1557,$C$5:C1557,C1557,$B$5:B1557,"Entrée")-SUMIFS($E$5:E1557,$C$5:C1557,C1557,$B$5:B1557,"Sortie"),6),""))</f>
        <v/>
      </c>
      <c r="L1557" s="39" t="str">
        <f>IF(COUNTA(A1557:C1557,E1557)=0,"",IF(COUNTA(A1557:C1557,E1557)&lt;4,"Ligne incomplète",IF(NOT(ISNUMBER(A1557)),"Date invalide",IF(AND(B1557&lt;&gt;"Entrée",B1557&lt;&gt;"Sortie"),"Type inconnu",IF(ISNA(MATCH(C1557,art_ref,0)),"Référence inconnue",IF(OR(NOT(ISNUMBER(E1557)),N(E1557)&lt;=0),"Quantité invalide",IF(K1557&lt;0,"Stock négatif",IF(AND(ISNUMBER(A1556),A1557&lt;A1556),"Date hors ordre","OK"))))))))</f>
        <v/>
      </c>
      <c r="M1557" s="39" t="str">
        <f>IF(C1557="","",C1557&amp;"#"&amp;COUNTIF($C$5:C1557,C1557))</f>
        <v/>
      </c>
    </row>
    <row r="1558">
      <c r="A1558" s="41" t="n"/>
      <c r="B1558" s="37" t="n"/>
      <c r="C1558" s="37" t="n"/>
      <c r="D1558" s="39" t="str">
        <f>IF(C1558="","",IFERROR(INDEX(art_des,MATCH(C1558,art_ref,0))&amp;"","Référence inconnue"))</f>
        <v/>
      </c>
      <c r="E1558" s="37" t="n"/>
      <c r="F1558" s="39" t="str">
        <f>IF(C1558="","",IFERROR(INDEX(art_unit,MATCH(C1558,art_ref,0))&amp;"",""))</f>
        <v/>
      </c>
      <c r="G1558" s="37" t="n"/>
      <c r="H1558" s="37" t="n"/>
      <c r="I1558" s="37" t="n"/>
      <c r="J1558" s="40" t="str">
        <f>IF(OR(C1558="",NOT(ISNUMBER(E1558))),"",IFERROR(E1558*N(INDEX(art_price,MATCH(C1558,art_ref,0))),""))</f>
        <v/>
      </c>
      <c r="K1558" s="39" t="str">
        <f>IF(OR(C1558="",NOT(ISNUMBER(E1558))),"",IFERROR(ROUND(N(INDEX(art_init,MATCH(C1558,art_ref,0)))+SUMIFS($E$5:E1558,$C$5:C1558,C1558,$B$5:B1558,"Entrée")-SUMIFS($E$5:E1558,$C$5:C1558,C1558,$B$5:B1558,"Sortie"),6),""))</f>
        <v/>
      </c>
      <c r="L1558" s="39" t="str">
        <f>IF(COUNTA(A1558:C1558,E1558)=0,"",IF(COUNTA(A1558:C1558,E1558)&lt;4,"Ligne incomplète",IF(NOT(ISNUMBER(A1558)),"Date invalide",IF(AND(B1558&lt;&gt;"Entrée",B1558&lt;&gt;"Sortie"),"Type inconnu",IF(ISNA(MATCH(C1558,art_ref,0)),"Référence inconnue",IF(OR(NOT(ISNUMBER(E1558)),N(E1558)&lt;=0),"Quantité invalide",IF(K1558&lt;0,"Stock négatif",IF(AND(ISNUMBER(A1557),A1558&lt;A1557),"Date hors ordre","OK"))))))))</f>
        <v/>
      </c>
      <c r="M1558" s="39" t="str">
        <f>IF(C1558="","",C1558&amp;"#"&amp;COUNTIF($C$5:C1558,C1558))</f>
        <v/>
      </c>
    </row>
    <row r="1559">
      <c r="A1559" s="41" t="n"/>
      <c r="B1559" s="37" t="n"/>
      <c r="C1559" s="37" t="n"/>
      <c r="D1559" s="39" t="str">
        <f>IF(C1559="","",IFERROR(INDEX(art_des,MATCH(C1559,art_ref,0))&amp;"","Référence inconnue"))</f>
        <v/>
      </c>
      <c r="E1559" s="37" t="n"/>
      <c r="F1559" s="39" t="str">
        <f>IF(C1559="","",IFERROR(INDEX(art_unit,MATCH(C1559,art_ref,0))&amp;"",""))</f>
        <v/>
      </c>
      <c r="G1559" s="37" t="n"/>
      <c r="H1559" s="37" t="n"/>
      <c r="I1559" s="37" t="n"/>
      <c r="J1559" s="40" t="str">
        <f>IF(OR(C1559="",NOT(ISNUMBER(E1559))),"",IFERROR(E1559*N(INDEX(art_price,MATCH(C1559,art_ref,0))),""))</f>
        <v/>
      </c>
      <c r="K1559" s="39" t="str">
        <f>IF(OR(C1559="",NOT(ISNUMBER(E1559))),"",IFERROR(ROUND(N(INDEX(art_init,MATCH(C1559,art_ref,0)))+SUMIFS($E$5:E1559,$C$5:C1559,C1559,$B$5:B1559,"Entrée")-SUMIFS($E$5:E1559,$C$5:C1559,C1559,$B$5:B1559,"Sortie"),6),""))</f>
        <v/>
      </c>
      <c r="L1559" s="39" t="str">
        <f>IF(COUNTA(A1559:C1559,E1559)=0,"",IF(COUNTA(A1559:C1559,E1559)&lt;4,"Ligne incomplète",IF(NOT(ISNUMBER(A1559)),"Date invalide",IF(AND(B1559&lt;&gt;"Entrée",B1559&lt;&gt;"Sortie"),"Type inconnu",IF(ISNA(MATCH(C1559,art_ref,0)),"Référence inconnue",IF(OR(NOT(ISNUMBER(E1559)),N(E1559)&lt;=0),"Quantité invalide",IF(K1559&lt;0,"Stock négatif",IF(AND(ISNUMBER(A1558),A1559&lt;A1558),"Date hors ordre","OK"))))))))</f>
        <v/>
      </c>
      <c r="M1559" s="39" t="str">
        <f>IF(C1559="","",C1559&amp;"#"&amp;COUNTIF($C$5:C1559,C1559))</f>
        <v/>
      </c>
    </row>
    <row r="1560">
      <c r="A1560" s="41" t="n"/>
      <c r="B1560" s="37" t="n"/>
      <c r="C1560" s="37" t="n"/>
      <c r="D1560" s="39" t="str">
        <f>IF(C1560="","",IFERROR(INDEX(art_des,MATCH(C1560,art_ref,0))&amp;"","Référence inconnue"))</f>
        <v/>
      </c>
      <c r="E1560" s="37" t="n"/>
      <c r="F1560" s="39" t="str">
        <f>IF(C1560="","",IFERROR(INDEX(art_unit,MATCH(C1560,art_ref,0))&amp;"",""))</f>
        <v/>
      </c>
      <c r="G1560" s="37" t="n"/>
      <c r="H1560" s="37" t="n"/>
      <c r="I1560" s="37" t="n"/>
      <c r="J1560" s="40" t="str">
        <f>IF(OR(C1560="",NOT(ISNUMBER(E1560))),"",IFERROR(E1560*N(INDEX(art_price,MATCH(C1560,art_ref,0))),""))</f>
        <v/>
      </c>
      <c r="K1560" s="39" t="str">
        <f>IF(OR(C1560="",NOT(ISNUMBER(E1560))),"",IFERROR(ROUND(N(INDEX(art_init,MATCH(C1560,art_ref,0)))+SUMIFS($E$5:E1560,$C$5:C1560,C1560,$B$5:B1560,"Entrée")-SUMIFS($E$5:E1560,$C$5:C1560,C1560,$B$5:B1560,"Sortie"),6),""))</f>
        <v/>
      </c>
      <c r="L1560" s="39" t="str">
        <f>IF(COUNTA(A1560:C1560,E1560)=0,"",IF(COUNTA(A1560:C1560,E1560)&lt;4,"Ligne incomplète",IF(NOT(ISNUMBER(A1560)),"Date invalide",IF(AND(B1560&lt;&gt;"Entrée",B1560&lt;&gt;"Sortie"),"Type inconnu",IF(ISNA(MATCH(C1560,art_ref,0)),"Référence inconnue",IF(OR(NOT(ISNUMBER(E1560)),N(E1560)&lt;=0),"Quantité invalide",IF(K1560&lt;0,"Stock négatif",IF(AND(ISNUMBER(A1559),A1560&lt;A1559),"Date hors ordre","OK"))))))))</f>
        <v/>
      </c>
      <c r="M1560" s="39" t="str">
        <f>IF(C1560="","",C1560&amp;"#"&amp;COUNTIF($C$5:C1560,C1560))</f>
        <v/>
      </c>
    </row>
    <row r="1561">
      <c r="A1561" s="41" t="n"/>
      <c r="B1561" s="37" t="n"/>
      <c r="C1561" s="37" t="n"/>
      <c r="D1561" s="39" t="str">
        <f>IF(C1561="","",IFERROR(INDEX(art_des,MATCH(C1561,art_ref,0))&amp;"","Référence inconnue"))</f>
        <v/>
      </c>
      <c r="E1561" s="37" t="n"/>
      <c r="F1561" s="39" t="str">
        <f>IF(C1561="","",IFERROR(INDEX(art_unit,MATCH(C1561,art_ref,0))&amp;"",""))</f>
        <v/>
      </c>
      <c r="G1561" s="37" t="n"/>
      <c r="H1561" s="37" t="n"/>
      <c r="I1561" s="37" t="n"/>
      <c r="J1561" s="40" t="str">
        <f>IF(OR(C1561="",NOT(ISNUMBER(E1561))),"",IFERROR(E1561*N(INDEX(art_price,MATCH(C1561,art_ref,0))),""))</f>
        <v/>
      </c>
      <c r="K1561" s="39" t="str">
        <f>IF(OR(C1561="",NOT(ISNUMBER(E1561))),"",IFERROR(ROUND(N(INDEX(art_init,MATCH(C1561,art_ref,0)))+SUMIFS($E$5:E1561,$C$5:C1561,C1561,$B$5:B1561,"Entrée")-SUMIFS($E$5:E1561,$C$5:C1561,C1561,$B$5:B1561,"Sortie"),6),""))</f>
        <v/>
      </c>
      <c r="L1561" s="39" t="str">
        <f>IF(COUNTA(A1561:C1561,E1561)=0,"",IF(COUNTA(A1561:C1561,E1561)&lt;4,"Ligne incomplète",IF(NOT(ISNUMBER(A1561)),"Date invalide",IF(AND(B1561&lt;&gt;"Entrée",B1561&lt;&gt;"Sortie"),"Type inconnu",IF(ISNA(MATCH(C1561,art_ref,0)),"Référence inconnue",IF(OR(NOT(ISNUMBER(E1561)),N(E1561)&lt;=0),"Quantité invalide",IF(K1561&lt;0,"Stock négatif",IF(AND(ISNUMBER(A1560),A1561&lt;A1560),"Date hors ordre","OK"))))))))</f>
        <v/>
      </c>
      <c r="M1561" s="39" t="str">
        <f>IF(C1561="","",C1561&amp;"#"&amp;COUNTIF($C$5:C1561,C1561))</f>
        <v/>
      </c>
    </row>
    <row r="1562">
      <c r="A1562" s="41" t="n"/>
      <c r="B1562" s="37" t="n"/>
      <c r="C1562" s="37" t="n"/>
      <c r="D1562" s="39" t="str">
        <f>IF(C1562="","",IFERROR(INDEX(art_des,MATCH(C1562,art_ref,0))&amp;"","Référence inconnue"))</f>
        <v/>
      </c>
      <c r="E1562" s="37" t="n"/>
      <c r="F1562" s="39" t="str">
        <f>IF(C1562="","",IFERROR(INDEX(art_unit,MATCH(C1562,art_ref,0))&amp;"",""))</f>
        <v/>
      </c>
      <c r="G1562" s="37" t="n"/>
      <c r="H1562" s="37" t="n"/>
      <c r="I1562" s="37" t="n"/>
      <c r="J1562" s="40" t="str">
        <f>IF(OR(C1562="",NOT(ISNUMBER(E1562))),"",IFERROR(E1562*N(INDEX(art_price,MATCH(C1562,art_ref,0))),""))</f>
        <v/>
      </c>
      <c r="K1562" s="39" t="str">
        <f>IF(OR(C1562="",NOT(ISNUMBER(E1562))),"",IFERROR(ROUND(N(INDEX(art_init,MATCH(C1562,art_ref,0)))+SUMIFS($E$5:E1562,$C$5:C1562,C1562,$B$5:B1562,"Entrée")-SUMIFS($E$5:E1562,$C$5:C1562,C1562,$B$5:B1562,"Sortie"),6),""))</f>
        <v/>
      </c>
      <c r="L1562" s="39" t="str">
        <f>IF(COUNTA(A1562:C1562,E1562)=0,"",IF(COUNTA(A1562:C1562,E1562)&lt;4,"Ligne incomplète",IF(NOT(ISNUMBER(A1562)),"Date invalide",IF(AND(B1562&lt;&gt;"Entrée",B1562&lt;&gt;"Sortie"),"Type inconnu",IF(ISNA(MATCH(C1562,art_ref,0)),"Référence inconnue",IF(OR(NOT(ISNUMBER(E1562)),N(E1562)&lt;=0),"Quantité invalide",IF(K1562&lt;0,"Stock négatif",IF(AND(ISNUMBER(A1561),A1562&lt;A1561),"Date hors ordre","OK"))))))))</f>
        <v/>
      </c>
      <c r="M1562" s="39" t="str">
        <f>IF(C1562="","",C1562&amp;"#"&amp;COUNTIF($C$5:C1562,C1562))</f>
        <v/>
      </c>
    </row>
    <row r="1563">
      <c r="A1563" s="41" t="n"/>
      <c r="B1563" s="37" t="n"/>
      <c r="C1563" s="37" t="n"/>
      <c r="D1563" s="39" t="str">
        <f>IF(C1563="","",IFERROR(INDEX(art_des,MATCH(C1563,art_ref,0))&amp;"","Référence inconnue"))</f>
        <v/>
      </c>
      <c r="E1563" s="37" t="n"/>
      <c r="F1563" s="39" t="str">
        <f>IF(C1563="","",IFERROR(INDEX(art_unit,MATCH(C1563,art_ref,0))&amp;"",""))</f>
        <v/>
      </c>
      <c r="G1563" s="37" t="n"/>
      <c r="H1563" s="37" t="n"/>
      <c r="I1563" s="37" t="n"/>
      <c r="J1563" s="40" t="str">
        <f>IF(OR(C1563="",NOT(ISNUMBER(E1563))),"",IFERROR(E1563*N(INDEX(art_price,MATCH(C1563,art_ref,0))),""))</f>
        <v/>
      </c>
      <c r="K1563" s="39" t="str">
        <f>IF(OR(C1563="",NOT(ISNUMBER(E1563))),"",IFERROR(ROUND(N(INDEX(art_init,MATCH(C1563,art_ref,0)))+SUMIFS($E$5:E1563,$C$5:C1563,C1563,$B$5:B1563,"Entrée")-SUMIFS($E$5:E1563,$C$5:C1563,C1563,$B$5:B1563,"Sortie"),6),""))</f>
        <v/>
      </c>
      <c r="L1563" s="39" t="str">
        <f>IF(COUNTA(A1563:C1563,E1563)=0,"",IF(COUNTA(A1563:C1563,E1563)&lt;4,"Ligne incomplète",IF(NOT(ISNUMBER(A1563)),"Date invalide",IF(AND(B1563&lt;&gt;"Entrée",B1563&lt;&gt;"Sortie"),"Type inconnu",IF(ISNA(MATCH(C1563,art_ref,0)),"Référence inconnue",IF(OR(NOT(ISNUMBER(E1563)),N(E1563)&lt;=0),"Quantité invalide",IF(K1563&lt;0,"Stock négatif",IF(AND(ISNUMBER(A1562),A1563&lt;A1562),"Date hors ordre","OK"))))))))</f>
        <v/>
      </c>
      <c r="M1563" s="39" t="str">
        <f>IF(C1563="","",C1563&amp;"#"&amp;COUNTIF($C$5:C1563,C1563))</f>
        <v/>
      </c>
    </row>
    <row r="1564">
      <c r="A1564" s="41" t="n"/>
      <c r="B1564" s="37" t="n"/>
      <c r="C1564" s="37" t="n"/>
      <c r="D1564" s="39" t="str">
        <f>IF(C1564="","",IFERROR(INDEX(art_des,MATCH(C1564,art_ref,0))&amp;"","Référence inconnue"))</f>
        <v/>
      </c>
      <c r="E1564" s="37" t="n"/>
      <c r="F1564" s="39" t="str">
        <f>IF(C1564="","",IFERROR(INDEX(art_unit,MATCH(C1564,art_ref,0))&amp;"",""))</f>
        <v/>
      </c>
      <c r="G1564" s="37" t="n"/>
      <c r="H1564" s="37" t="n"/>
      <c r="I1564" s="37" t="n"/>
      <c r="J1564" s="40" t="str">
        <f>IF(OR(C1564="",NOT(ISNUMBER(E1564))),"",IFERROR(E1564*N(INDEX(art_price,MATCH(C1564,art_ref,0))),""))</f>
        <v/>
      </c>
      <c r="K1564" s="39" t="str">
        <f>IF(OR(C1564="",NOT(ISNUMBER(E1564))),"",IFERROR(ROUND(N(INDEX(art_init,MATCH(C1564,art_ref,0)))+SUMIFS($E$5:E1564,$C$5:C1564,C1564,$B$5:B1564,"Entrée")-SUMIFS($E$5:E1564,$C$5:C1564,C1564,$B$5:B1564,"Sortie"),6),""))</f>
        <v/>
      </c>
      <c r="L1564" s="39" t="str">
        <f>IF(COUNTA(A1564:C1564,E1564)=0,"",IF(COUNTA(A1564:C1564,E1564)&lt;4,"Ligne incomplète",IF(NOT(ISNUMBER(A1564)),"Date invalide",IF(AND(B1564&lt;&gt;"Entrée",B1564&lt;&gt;"Sortie"),"Type inconnu",IF(ISNA(MATCH(C1564,art_ref,0)),"Référence inconnue",IF(OR(NOT(ISNUMBER(E1564)),N(E1564)&lt;=0),"Quantité invalide",IF(K1564&lt;0,"Stock négatif",IF(AND(ISNUMBER(A1563),A1564&lt;A1563),"Date hors ordre","OK"))))))))</f>
        <v/>
      </c>
      <c r="M1564" s="39" t="str">
        <f>IF(C1564="","",C1564&amp;"#"&amp;COUNTIF($C$5:C1564,C1564))</f>
        <v/>
      </c>
    </row>
    <row r="1565">
      <c r="A1565" s="41" t="n"/>
      <c r="B1565" s="37" t="n"/>
      <c r="C1565" s="37" t="n"/>
      <c r="D1565" s="39" t="str">
        <f>IF(C1565="","",IFERROR(INDEX(art_des,MATCH(C1565,art_ref,0))&amp;"","Référence inconnue"))</f>
        <v/>
      </c>
      <c r="E1565" s="37" t="n"/>
      <c r="F1565" s="39" t="str">
        <f>IF(C1565="","",IFERROR(INDEX(art_unit,MATCH(C1565,art_ref,0))&amp;"",""))</f>
        <v/>
      </c>
      <c r="G1565" s="37" t="n"/>
      <c r="H1565" s="37" t="n"/>
      <c r="I1565" s="37" t="n"/>
      <c r="J1565" s="40" t="str">
        <f>IF(OR(C1565="",NOT(ISNUMBER(E1565))),"",IFERROR(E1565*N(INDEX(art_price,MATCH(C1565,art_ref,0))),""))</f>
        <v/>
      </c>
      <c r="K1565" s="39" t="str">
        <f>IF(OR(C1565="",NOT(ISNUMBER(E1565))),"",IFERROR(ROUND(N(INDEX(art_init,MATCH(C1565,art_ref,0)))+SUMIFS($E$5:E1565,$C$5:C1565,C1565,$B$5:B1565,"Entrée")-SUMIFS($E$5:E1565,$C$5:C1565,C1565,$B$5:B1565,"Sortie"),6),""))</f>
        <v/>
      </c>
      <c r="L1565" s="39" t="str">
        <f>IF(COUNTA(A1565:C1565,E1565)=0,"",IF(COUNTA(A1565:C1565,E1565)&lt;4,"Ligne incomplète",IF(NOT(ISNUMBER(A1565)),"Date invalide",IF(AND(B1565&lt;&gt;"Entrée",B1565&lt;&gt;"Sortie"),"Type inconnu",IF(ISNA(MATCH(C1565,art_ref,0)),"Référence inconnue",IF(OR(NOT(ISNUMBER(E1565)),N(E1565)&lt;=0),"Quantité invalide",IF(K1565&lt;0,"Stock négatif",IF(AND(ISNUMBER(A1564),A1565&lt;A1564),"Date hors ordre","OK"))))))))</f>
        <v/>
      </c>
      <c r="M1565" s="39" t="str">
        <f>IF(C1565="","",C1565&amp;"#"&amp;COUNTIF($C$5:C1565,C1565))</f>
        <v/>
      </c>
    </row>
    <row r="1566">
      <c r="A1566" s="41" t="n"/>
      <c r="B1566" s="37" t="n"/>
      <c r="C1566" s="37" t="n"/>
      <c r="D1566" s="39" t="str">
        <f>IF(C1566="","",IFERROR(INDEX(art_des,MATCH(C1566,art_ref,0))&amp;"","Référence inconnue"))</f>
        <v/>
      </c>
      <c r="E1566" s="37" t="n"/>
      <c r="F1566" s="39" t="str">
        <f>IF(C1566="","",IFERROR(INDEX(art_unit,MATCH(C1566,art_ref,0))&amp;"",""))</f>
        <v/>
      </c>
      <c r="G1566" s="37" t="n"/>
      <c r="H1566" s="37" t="n"/>
      <c r="I1566" s="37" t="n"/>
      <c r="J1566" s="40" t="str">
        <f>IF(OR(C1566="",NOT(ISNUMBER(E1566))),"",IFERROR(E1566*N(INDEX(art_price,MATCH(C1566,art_ref,0))),""))</f>
        <v/>
      </c>
      <c r="K1566" s="39" t="str">
        <f>IF(OR(C1566="",NOT(ISNUMBER(E1566))),"",IFERROR(ROUND(N(INDEX(art_init,MATCH(C1566,art_ref,0)))+SUMIFS($E$5:E1566,$C$5:C1566,C1566,$B$5:B1566,"Entrée")-SUMIFS($E$5:E1566,$C$5:C1566,C1566,$B$5:B1566,"Sortie"),6),""))</f>
        <v/>
      </c>
      <c r="L1566" s="39" t="str">
        <f>IF(COUNTA(A1566:C1566,E1566)=0,"",IF(COUNTA(A1566:C1566,E1566)&lt;4,"Ligne incomplète",IF(NOT(ISNUMBER(A1566)),"Date invalide",IF(AND(B1566&lt;&gt;"Entrée",B1566&lt;&gt;"Sortie"),"Type inconnu",IF(ISNA(MATCH(C1566,art_ref,0)),"Référence inconnue",IF(OR(NOT(ISNUMBER(E1566)),N(E1566)&lt;=0),"Quantité invalide",IF(K1566&lt;0,"Stock négatif",IF(AND(ISNUMBER(A1565),A1566&lt;A1565),"Date hors ordre","OK"))))))))</f>
        <v/>
      </c>
      <c r="M1566" s="39" t="str">
        <f>IF(C1566="","",C1566&amp;"#"&amp;COUNTIF($C$5:C1566,C1566))</f>
        <v/>
      </c>
    </row>
    <row r="1567">
      <c r="A1567" s="41" t="n"/>
      <c r="B1567" s="37" t="n"/>
      <c r="C1567" s="37" t="n"/>
      <c r="D1567" s="39" t="str">
        <f>IF(C1567="","",IFERROR(INDEX(art_des,MATCH(C1567,art_ref,0))&amp;"","Référence inconnue"))</f>
        <v/>
      </c>
      <c r="E1567" s="37" t="n"/>
      <c r="F1567" s="39" t="str">
        <f>IF(C1567="","",IFERROR(INDEX(art_unit,MATCH(C1567,art_ref,0))&amp;"",""))</f>
        <v/>
      </c>
      <c r="G1567" s="37" t="n"/>
      <c r="H1567" s="37" t="n"/>
      <c r="I1567" s="37" t="n"/>
      <c r="J1567" s="40" t="str">
        <f>IF(OR(C1567="",NOT(ISNUMBER(E1567))),"",IFERROR(E1567*N(INDEX(art_price,MATCH(C1567,art_ref,0))),""))</f>
        <v/>
      </c>
      <c r="K1567" s="39" t="str">
        <f>IF(OR(C1567="",NOT(ISNUMBER(E1567))),"",IFERROR(ROUND(N(INDEX(art_init,MATCH(C1567,art_ref,0)))+SUMIFS($E$5:E1567,$C$5:C1567,C1567,$B$5:B1567,"Entrée")-SUMIFS($E$5:E1567,$C$5:C1567,C1567,$B$5:B1567,"Sortie"),6),""))</f>
        <v/>
      </c>
      <c r="L1567" s="39" t="str">
        <f>IF(COUNTA(A1567:C1567,E1567)=0,"",IF(COUNTA(A1567:C1567,E1567)&lt;4,"Ligne incomplète",IF(NOT(ISNUMBER(A1567)),"Date invalide",IF(AND(B1567&lt;&gt;"Entrée",B1567&lt;&gt;"Sortie"),"Type inconnu",IF(ISNA(MATCH(C1567,art_ref,0)),"Référence inconnue",IF(OR(NOT(ISNUMBER(E1567)),N(E1567)&lt;=0),"Quantité invalide",IF(K1567&lt;0,"Stock négatif",IF(AND(ISNUMBER(A1566),A1567&lt;A1566),"Date hors ordre","OK"))))))))</f>
        <v/>
      </c>
      <c r="M1567" s="39" t="str">
        <f>IF(C1567="","",C1567&amp;"#"&amp;COUNTIF($C$5:C1567,C1567))</f>
        <v/>
      </c>
    </row>
    <row r="1568">
      <c r="A1568" s="41" t="n"/>
      <c r="B1568" s="37" t="n"/>
      <c r="C1568" s="37" t="n"/>
      <c r="D1568" s="39" t="str">
        <f>IF(C1568="","",IFERROR(INDEX(art_des,MATCH(C1568,art_ref,0))&amp;"","Référence inconnue"))</f>
        <v/>
      </c>
      <c r="E1568" s="37" t="n"/>
      <c r="F1568" s="39" t="str">
        <f>IF(C1568="","",IFERROR(INDEX(art_unit,MATCH(C1568,art_ref,0))&amp;"",""))</f>
        <v/>
      </c>
      <c r="G1568" s="37" t="n"/>
      <c r="H1568" s="37" t="n"/>
      <c r="I1568" s="37" t="n"/>
      <c r="J1568" s="40" t="str">
        <f>IF(OR(C1568="",NOT(ISNUMBER(E1568))),"",IFERROR(E1568*N(INDEX(art_price,MATCH(C1568,art_ref,0))),""))</f>
        <v/>
      </c>
      <c r="K1568" s="39" t="str">
        <f>IF(OR(C1568="",NOT(ISNUMBER(E1568))),"",IFERROR(ROUND(N(INDEX(art_init,MATCH(C1568,art_ref,0)))+SUMIFS($E$5:E1568,$C$5:C1568,C1568,$B$5:B1568,"Entrée")-SUMIFS($E$5:E1568,$C$5:C1568,C1568,$B$5:B1568,"Sortie"),6),""))</f>
        <v/>
      </c>
      <c r="L1568" s="39" t="str">
        <f>IF(COUNTA(A1568:C1568,E1568)=0,"",IF(COUNTA(A1568:C1568,E1568)&lt;4,"Ligne incomplète",IF(NOT(ISNUMBER(A1568)),"Date invalide",IF(AND(B1568&lt;&gt;"Entrée",B1568&lt;&gt;"Sortie"),"Type inconnu",IF(ISNA(MATCH(C1568,art_ref,0)),"Référence inconnue",IF(OR(NOT(ISNUMBER(E1568)),N(E1568)&lt;=0),"Quantité invalide",IF(K1568&lt;0,"Stock négatif",IF(AND(ISNUMBER(A1567),A1568&lt;A1567),"Date hors ordre","OK"))))))))</f>
        <v/>
      </c>
      <c r="M1568" s="39" t="str">
        <f>IF(C1568="","",C1568&amp;"#"&amp;COUNTIF($C$5:C1568,C1568))</f>
        <v/>
      </c>
    </row>
    <row r="1569">
      <c r="A1569" s="41" t="n"/>
      <c r="B1569" s="37" t="n"/>
      <c r="C1569" s="37" t="n"/>
      <c r="D1569" s="39" t="str">
        <f>IF(C1569="","",IFERROR(INDEX(art_des,MATCH(C1569,art_ref,0))&amp;"","Référence inconnue"))</f>
        <v/>
      </c>
      <c r="E1569" s="37" t="n"/>
      <c r="F1569" s="39" t="str">
        <f>IF(C1569="","",IFERROR(INDEX(art_unit,MATCH(C1569,art_ref,0))&amp;"",""))</f>
        <v/>
      </c>
      <c r="G1569" s="37" t="n"/>
      <c r="H1569" s="37" t="n"/>
      <c r="I1569" s="37" t="n"/>
      <c r="J1569" s="40" t="str">
        <f>IF(OR(C1569="",NOT(ISNUMBER(E1569))),"",IFERROR(E1569*N(INDEX(art_price,MATCH(C1569,art_ref,0))),""))</f>
        <v/>
      </c>
      <c r="K1569" s="39" t="str">
        <f>IF(OR(C1569="",NOT(ISNUMBER(E1569))),"",IFERROR(ROUND(N(INDEX(art_init,MATCH(C1569,art_ref,0)))+SUMIFS($E$5:E1569,$C$5:C1569,C1569,$B$5:B1569,"Entrée")-SUMIFS($E$5:E1569,$C$5:C1569,C1569,$B$5:B1569,"Sortie"),6),""))</f>
        <v/>
      </c>
      <c r="L1569" s="39" t="str">
        <f>IF(COUNTA(A1569:C1569,E1569)=0,"",IF(COUNTA(A1569:C1569,E1569)&lt;4,"Ligne incomplète",IF(NOT(ISNUMBER(A1569)),"Date invalide",IF(AND(B1569&lt;&gt;"Entrée",B1569&lt;&gt;"Sortie"),"Type inconnu",IF(ISNA(MATCH(C1569,art_ref,0)),"Référence inconnue",IF(OR(NOT(ISNUMBER(E1569)),N(E1569)&lt;=0),"Quantité invalide",IF(K1569&lt;0,"Stock négatif",IF(AND(ISNUMBER(A1568),A1569&lt;A1568),"Date hors ordre","OK"))))))))</f>
        <v/>
      </c>
      <c r="M1569" s="39" t="str">
        <f>IF(C1569="","",C1569&amp;"#"&amp;COUNTIF($C$5:C1569,C1569))</f>
        <v/>
      </c>
    </row>
    <row r="1570">
      <c r="A1570" s="41" t="n"/>
      <c r="B1570" s="37" t="n"/>
      <c r="C1570" s="37" t="n"/>
      <c r="D1570" s="39" t="str">
        <f>IF(C1570="","",IFERROR(INDEX(art_des,MATCH(C1570,art_ref,0))&amp;"","Référence inconnue"))</f>
        <v/>
      </c>
      <c r="E1570" s="37" t="n"/>
      <c r="F1570" s="39" t="str">
        <f>IF(C1570="","",IFERROR(INDEX(art_unit,MATCH(C1570,art_ref,0))&amp;"",""))</f>
        <v/>
      </c>
      <c r="G1570" s="37" t="n"/>
      <c r="H1570" s="37" t="n"/>
      <c r="I1570" s="37" t="n"/>
      <c r="J1570" s="40" t="str">
        <f>IF(OR(C1570="",NOT(ISNUMBER(E1570))),"",IFERROR(E1570*N(INDEX(art_price,MATCH(C1570,art_ref,0))),""))</f>
        <v/>
      </c>
      <c r="K1570" s="39" t="str">
        <f>IF(OR(C1570="",NOT(ISNUMBER(E1570))),"",IFERROR(ROUND(N(INDEX(art_init,MATCH(C1570,art_ref,0)))+SUMIFS($E$5:E1570,$C$5:C1570,C1570,$B$5:B1570,"Entrée")-SUMIFS($E$5:E1570,$C$5:C1570,C1570,$B$5:B1570,"Sortie"),6),""))</f>
        <v/>
      </c>
      <c r="L1570" s="39" t="str">
        <f>IF(COUNTA(A1570:C1570,E1570)=0,"",IF(COUNTA(A1570:C1570,E1570)&lt;4,"Ligne incomplète",IF(NOT(ISNUMBER(A1570)),"Date invalide",IF(AND(B1570&lt;&gt;"Entrée",B1570&lt;&gt;"Sortie"),"Type inconnu",IF(ISNA(MATCH(C1570,art_ref,0)),"Référence inconnue",IF(OR(NOT(ISNUMBER(E1570)),N(E1570)&lt;=0),"Quantité invalide",IF(K1570&lt;0,"Stock négatif",IF(AND(ISNUMBER(A1569),A1570&lt;A1569),"Date hors ordre","OK"))))))))</f>
        <v/>
      </c>
      <c r="M1570" s="39" t="str">
        <f>IF(C1570="","",C1570&amp;"#"&amp;COUNTIF($C$5:C1570,C1570))</f>
        <v/>
      </c>
    </row>
    <row r="1571">
      <c r="A1571" s="41" t="n"/>
      <c r="B1571" s="37" t="n"/>
      <c r="C1571" s="37" t="n"/>
      <c r="D1571" s="39" t="str">
        <f>IF(C1571="","",IFERROR(INDEX(art_des,MATCH(C1571,art_ref,0))&amp;"","Référence inconnue"))</f>
        <v/>
      </c>
      <c r="E1571" s="37" t="n"/>
      <c r="F1571" s="39" t="str">
        <f>IF(C1571="","",IFERROR(INDEX(art_unit,MATCH(C1571,art_ref,0))&amp;"",""))</f>
        <v/>
      </c>
      <c r="G1571" s="37" t="n"/>
      <c r="H1571" s="37" t="n"/>
      <c r="I1571" s="37" t="n"/>
      <c r="J1571" s="40" t="str">
        <f>IF(OR(C1571="",NOT(ISNUMBER(E1571))),"",IFERROR(E1571*N(INDEX(art_price,MATCH(C1571,art_ref,0))),""))</f>
        <v/>
      </c>
      <c r="K1571" s="39" t="str">
        <f>IF(OR(C1571="",NOT(ISNUMBER(E1571))),"",IFERROR(ROUND(N(INDEX(art_init,MATCH(C1571,art_ref,0)))+SUMIFS($E$5:E1571,$C$5:C1571,C1571,$B$5:B1571,"Entrée")-SUMIFS($E$5:E1571,$C$5:C1571,C1571,$B$5:B1571,"Sortie"),6),""))</f>
        <v/>
      </c>
      <c r="L1571" s="39" t="str">
        <f>IF(COUNTA(A1571:C1571,E1571)=0,"",IF(COUNTA(A1571:C1571,E1571)&lt;4,"Ligne incomplète",IF(NOT(ISNUMBER(A1571)),"Date invalide",IF(AND(B1571&lt;&gt;"Entrée",B1571&lt;&gt;"Sortie"),"Type inconnu",IF(ISNA(MATCH(C1571,art_ref,0)),"Référence inconnue",IF(OR(NOT(ISNUMBER(E1571)),N(E1571)&lt;=0),"Quantité invalide",IF(K1571&lt;0,"Stock négatif",IF(AND(ISNUMBER(A1570),A1571&lt;A1570),"Date hors ordre","OK"))))))))</f>
        <v/>
      </c>
      <c r="M1571" s="39" t="str">
        <f>IF(C1571="","",C1571&amp;"#"&amp;COUNTIF($C$5:C1571,C1571))</f>
        <v/>
      </c>
    </row>
    <row r="1572">
      <c r="A1572" s="41" t="n"/>
      <c r="B1572" s="37" t="n"/>
      <c r="C1572" s="37" t="n"/>
      <c r="D1572" s="39" t="str">
        <f>IF(C1572="","",IFERROR(INDEX(art_des,MATCH(C1572,art_ref,0))&amp;"","Référence inconnue"))</f>
        <v/>
      </c>
      <c r="E1572" s="37" t="n"/>
      <c r="F1572" s="39" t="str">
        <f>IF(C1572="","",IFERROR(INDEX(art_unit,MATCH(C1572,art_ref,0))&amp;"",""))</f>
        <v/>
      </c>
      <c r="G1572" s="37" t="n"/>
      <c r="H1572" s="37" t="n"/>
      <c r="I1572" s="37" t="n"/>
      <c r="J1572" s="40" t="str">
        <f>IF(OR(C1572="",NOT(ISNUMBER(E1572))),"",IFERROR(E1572*N(INDEX(art_price,MATCH(C1572,art_ref,0))),""))</f>
        <v/>
      </c>
      <c r="K1572" s="39" t="str">
        <f>IF(OR(C1572="",NOT(ISNUMBER(E1572))),"",IFERROR(ROUND(N(INDEX(art_init,MATCH(C1572,art_ref,0)))+SUMIFS($E$5:E1572,$C$5:C1572,C1572,$B$5:B1572,"Entrée")-SUMIFS($E$5:E1572,$C$5:C1572,C1572,$B$5:B1572,"Sortie"),6),""))</f>
        <v/>
      </c>
      <c r="L1572" s="39" t="str">
        <f>IF(COUNTA(A1572:C1572,E1572)=0,"",IF(COUNTA(A1572:C1572,E1572)&lt;4,"Ligne incomplète",IF(NOT(ISNUMBER(A1572)),"Date invalide",IF(AND(B1572&lt;&gt;"Entrée",B1572&lt;&gt;"Sortie"),"Type inconnu",IF(ISNA(MATCH(C1572,art_ref,0)),"Référence inconnue",IF(OR(NOT(ISNUMBER(E1572)),N(E1572)&lt;=0),"Quantité invalide",IF(K1572&lt;0,"Stock négatif",IF(AND(ISNUMBER(A1571),A1572&lt;A1571),"Date hors ordre","OK"))))))))</f>
        <v/>
      </c>
      <c r="M1572" s="39" t="str">
        <f>IF(C1572="","",C1572&amp;"#"&amp;COUNTIF($C$5:C1572,C1572))</f>
        <v/>
      </c>
    </row>
    <row r="1573">
      <c r="A1573" s="41" t="n"/>
      <c r="B1573" s="37" t="n"/>
      <c r="C1573" s="37" t="n"/>
      <c r="D1573" s="39" t="str">
        <f>IF(C1573="","",IFERROR(INDEX(art_des,MATCH(C1573,art_ref,0))&amp;"","Référence inconnue"))</f>
        <v/>
      </c>
      <c r="E1573" s="37" t="n"/>
      <c r="F1573" s="39" t="str">
        <f>IF(C1573="","",IFERROR(INDEX(art_unit,MATCH(C1573,art_ref,0))&amp;"",""))</f>
        <v/>
      </c>
      <c r="G1573" s="37" t="n"/>
      <c r="H1573" s="37" t="n"/>
      <c r="I1573" s="37" t="n"/>
      <c r="J1573" s="40" t="str">
        <f>IF(OR(C1573="",NOT(ISNUMBER(E1573))),"",IFERROR(E1573*N(INDEX(art_price,MATCH(C1573,art_ref,0))),""))</f>
        <v/>
      </c>
      <c r="K1573" s="39" t="str">
        <f>IF(OR(C1573="",NOT(ISNUMBER(E1573))),"",IFERROR(ROUND(N(INDEX(art_init,MATCH(C1573,art_ref,0)))+SUMIFS($E$5:E1573,$C$5:C1573,C1573,$B$5:B1573,"Entrée")-SUMIFS($E$5:E1573,$C$5:C1573,C1573,$B$5:B1573,"Sortie"),6),""))</f>
        <v/>
      </c>
      <c r="L1573" s="39" t="str">
        <f>IF(COUNTA(A1573:C1573,E1573)=0,"",IF(COUNTA(A1573:C1573,E1573)&lt;4,"Ligne incomplète",IF(NOT(ISNUMBER(A1573)),"Date invalide",IF(AND(B1573&lt;&gt;"Entrée",B1573&lt;&gt;"Sortie"),"Type inconnu",IF(ISNA(MATCH(C1573,art_ref,0)),"Référence inconnue",IF(OR(NOT(ISNUMBER(E1573)),N(E1573)&lt;=0),"Quantité invalide",IF(K1573&lt;0,"Stock négatif",IF(AND(ISNUMBER(A1572),A1573&lt;A1572),"Date hors ordre","OK"))))))))</f>
        <v/>
      </c>
      <c r="M1573" s="39" t="str">
        <f>IF(C1573="","",C1573&amp;"#"&amp;COUNTIF($C$5:C1573,C1573))</f>
        <v/>
      </c>
    </row>
    <row r="1574">
      <c r="A1574" s="41" t="n"/>
      <c r="B1574" s="37" t="n"/>
      <c r="C1574" s="37" t="n"/>
      <c r="D1574" s="39" t="str">
        <f>IF(C1574="","",IFERROR(INDEX(art_des,MATCH(C1574,art_ref,0))&amp;"","Référence inconnue"))</f>
        <v/>
      </c>
      <c r="E1574" s="37" t="n"/>
      <c r="F1574" s="39" t="str">
        <f>IF(C1574="","",IFERROR(INDEX(art_unit,MATCH(C1574,art_ref,0))&amp;"",""))</f>
        <v/>
      </c>
      <c r="G1574" s="37" t="n"/>
      <c r="H1574" s="37" t="n"/>
      <c r="I1574" s="37" t="n"/>
      <c r="J1574" s="40" t="str">
        <f>IF(OR(C1574="",NOT(ISNUMBER(E1574))),"",IFERROR(E1574*N(INDEX(art_price,MATCH(C1574,art_ref,0))),""))</f>
        <v/>
      </c>
      <c r="K1574" s="39" t="str">
        <f>IF(OR(C1574="",NOT(ISNUMBER(E1574))),"",IFERROR(ROUND(N(INDEX(art_init,MATCH(C1574,art_ref,0)))+SUMIFS($E$5:E1574,$C$5:C1574,C1574,$B$5:B1574,"Entrée")-SUMIFS($E$5:E1574,$C$5:C1574,C1574,$B$5:B1574,"Sortie"),6),""))</f>
        <v/>
      </c>
      <c r="L1574" s="39" t="str">
        <f>IF(COUNTA(A1574:C1574,E1574)=0,"",IF(COUNTA(A1574:C1574,E1574)&lt;4,"Ligne incomplète",IF(NOT(ISNUMBER(A1574)),"Date invalide",IF(AND(B1574&lt;&gt;"Entrée",B1574&lt;&gt;"Sortie"),"Type inconnu",IF(ISNA(MATCH(C1574,art_ref,0)),"Référence inconnue",IF(OR(NOT(ISNUMBER(E1574)),N(E1574)&lt;=0),"Quantité invalide",IF(K1574&lt;0,"Stock négatif",IF(AND(ISNUMBER(A1573),A1574&lt;A1573),"Date hors ordre","OK"))))))))</f>
        <v/>
      </c>
      <c r="M1574" s="39" t="str">
        <f>IF(C1574="","",C1574&amp;"#"&amp;COUNTIF($C$5:C1574,C1574))</f>
        <v/>
      </c>
    </row>
    <row r="1575">
      <c r="A1575" s="41" t="n"/>
      <c r="B1575" s="37" t="n"/>
      <c r="C1575" s="37" t="n"/>
      <c r="D1575" s="39" t="str">
        <f>IF(C1575="","",IFERROR(INDEX(art_des,MATCH(C1575,art_ref,0))&amp;"","Référence inconnue"))</f>
        <v/>
      </c>
      <c r="E1575" s="37" t="n"/>
      <c r="F1575" s="39" t="str">
        <f>IF(C1575="","",IFERROR(INDEX(art_unit,MATCH(C1575,art_ref,0))&amp;"",""))</f>
        <v/>
      </c>
      <c r="G1575" s="37" t="n"/>
      <c r="H1575" s="37" t="n"/>
      <c r="I1575" s="37" t="n"/>
      <c r="J1575" s="40" t="str">
        <f>IF(OR(C1575="",NOT(ISNUMBER(E1575))),"",IFERROR(E1575*N(INDEX(art_price,MATCH(C1575,art_ref,0))),""))</f>
        <v/>
      </c>
      <c r="K1575" s="39" t="str">
        <f>IF(OR(C1575="",NOT(ISNUMBER(E1575))),"",IFERROR(ROUND(N(INDEX(art_init,MATCH(C1575,art_ref,0)))+SUMIFS($E$5:E1575,$C$5:C1575,C1575,$B$5:B1575,"Entrée")-SUMIFS($E$5:E1575,$C$5:C1575,C1575,$B$5:B1575,"Sortie"),6),""))</f>
        <v/>
      </c>
      <c r="L1575" s="39" t="str">
        <f>IF(COUNTA(A1575:C1575,E1575)=0,"",IF(COUNTA(A1575:C1575,E1575)&lt;4,"Ligne incomplète",IF(NOT(ISNUMBER(A1575)),"Date invalide",IF(AND(B1575&lt;&gt;"Entrée",B1575&lt;&gt;"Sortie"),"Type inconnu",IF(ISNA(MATCH(C1575,art_ref,0)),"Référence inconnue",IF(OR(NOT(ISNUMBER(E1575)),N(E1575)&lt;=0),"Quantité invalide",IF(K1575&lt;0,"Stock négatif",IF(AND(ISNUMBER(A1574),A1575&lt;A1574),"Date hors ordre","OK"))))))))</f>
        <v/>
      </c>
      <c r="M1575" s="39" t="str">
        <f>IF(C1575="","",C1575&amp;"#"&amp;COUNTIF($C$5:C1575,C1575))</f>
        <v/>
      </c>
    </row>
    <row r="1576">
      <c r="A1576" s="41" t="n"/>
      <c r="B1576" s="37" t="n"/>
      <c r="C1576" s="37" t="n"/>
      <c r="D1576" s="39" t="str">
        <f>IF(C1576="","",IFERROR(INDEX(art_des,MATCH(C1576,art_ref,0))&amp;"","Référence inconnue"))</f>
        <v/>
      </c>
      <c r="E1576" s="37" t="n"/>
      <c r="F1576" s="39" t="str">
        <f>IF(C1576="","",IFERROR(INDEX(art_unit,MATCH(C1576,art_ref,0))&amp;"",""))</f>
        <v/>
      </c>
      <c r="G1576" s="37" t="n"/>
      <c r="H1576" s="37" t="n"/>
      <c r="I1576" s="37" t="n"/>
      <c r="J1576" s="40" t="str">
        <f>IF(OR(C1576="",NOT(ISNUMBER(E1576))),"",IFERROR(E1576*N(INDEX(art_price,MATCH(C1576,art_ref,0))),""))</f>
        <v/>
      </c>
      <c r="K1576" s="39" t="str">
        <f>IF(OR(C1576="",NOT(ISNUMBER(E1576))),"",IFERROR(ROUND(N(INDEX(art_init,MATCH(C1576,art_ref,0)))+SUMIFS($E$5:E1576,$C$5:C1576,C1576,$B$5:B1576,"Entrée")-SUMIFS($E$5:E1576,$C$5:C1576,C1576,$B$5:B1576,"Sortie"),6),""))</f>
        <v/>
      </c>
      <c r="L1576" s="39" t="str">
        <f>IF(COUNTA(A1576:C1576,E1576)=0,"",IF(COUNTA(A1576:C1576,E1576)&lt;4,"Ligne incomplète",IF(NOT(ISNUMBER(A1576)),"Date invalide",IF(AND(B1576&lt;&gt;"Entrée",B1576&lt;&gt;"Sortie"),"Type inconnu",IF(ISNA(MATCH(C1576,art_ref,0)),"Référence inconnue",IF(OR(NOT(ISNUMBER(E1576)),N(E1576)&lt;=0),"Quantité invalide",IF(K1576&lt;0,"Stock négatif",IF(AND(ISNUMBER(A1575),A1576&lt;A1575),"Date hors ordre","OK"))))))))</f>
        <v/>
      </c>
      <c r="M1576" s="39" t="str">
        <f>IF(C1576="","",C1576&amp;"#"&amp;COUNTIF($C$5:C1576,C1576))</f>
        <v/>
      </c>
    </row>
    <row r="1577">
      <c r="A1577" s="41" t="n"/>
      <c r="B1577" s="37" t="n"/>
      <c r="C1577" s="37" t="n"/>
      <c r="D1577" s="39" t="str">
        <f>IF(C1577="","",IFERROR(INDEX(art_des,MATCH(C1577,art_ref,0))&amp;"","Référence inconnue"))</f>
        <v/>
      </c>
      <c r="E1577" s="37" t="n"/>
      <c r="F1577" s="39" t="str">
        <f>IF(C1577="","",IFERROR(INDEX(art_unit,MATCH(C1577,art_ref,0))&amp;"",""))</f>
        <v/>
      </c>
      <c r="G1577" s="37" t="n"/>
      <c r="H1577" s="37" t="n"/>
      <c r="I1577" s="37" t="n"/>
      <c r="J1577" s="40" t="str">
        <f>IF(OR(C1577="",NOT(ISNUMBER(E1577))),"",IFERROR(E1577*N(INDEX(art_price,MATCH(C1577,art_ref,0))),""))</f>
        <v/>
      </c>
      <c r="K1577" s="39" t="str">
        <f>IF(OR(C1577="",NOT(ISNUMBER(E1577))),"",IFERROR(ROUND(N(INDEX(art_init,MATCH(C1577,art_ref,0)))+SUMIFS($E$5:E1577,$C$5:C1577,C1577,$B$5:B1577,"Entrée")-SUMIFS($E$5:E1577,$C$5:C1577,C1577,$B$5:B1577,"Sortie"),6),""))</f>
        <v/>
      </c>
      <c r="L1577" s="39" t="str">
        <f>IF(COUNTA(A1577:C1577,E1577)=0,"",IF(COUNTA(A1577:C1577,E1577)&lt;4,"Ligne incomplète",IF(NOT(ISNUMBER(A1577)),"Date invalide",IF(AND(B1577&lt;&gt;"Entrée",B1577&lt;&gt;"Sortie"),"Type inconnu",IF(ISNA(MATCH(C1577,art_ref,0)),"Référence inconnue",IF(OR(NOT(ISNUMBER(E1577)),N(E1577)&lt;=0),"Quantité invalide",IF(K1577&lt;0,"Stock négatif",IF(AND(ISNUMBER(A1576),A1577&lt;A1576),"Date hors ordre","OK"))))))))</f>
        <v/>
      </c>
      <c r="M1577" s="39" t="str">
        <f>IF(C1577="","",C1577&amp;"#"&amp;COUNTIF($C$5:C1577,C1577))</f>
        <v/>
      </c>
    </row>
    <row r="1578">
      <c r="A1578" s="41" t="n"/>
      <c r="B1578" s="37" t="n"/>
      <c r="C1578" s="37" t="n"/>
      <c r="D1578" s="39" t="str">
        <f>IF(C1578="","",IFERROR(INDEX(art_des,MATCH(C1578,art_ref,0))&amp;"","Référence inconnue"))</f>
        <v/>
      </c>
      <c r="E1578" s="37" t="n"/>
      <c r="F1578" s="39" t="str">
        <f>IF(C1578="","",IFERROR(INDEX(art_unit,MATCH(C1578,art_ref,0))&amp;"",""))</f>
        <v/>
      </c>
      <c r="G1578" s="37" t="n"/>
      <c r="H1578" s="37" t="n"/>
      <c r="I1578" s="37" t="n"/>
      <c r="J1578" s="40" t="str">
        <f>IF(OR(C1578="",NOT(ISNUMBER(E1578))),"",IFERROR(E1578*N(INDEX(art_price,MATCH(C1578,art_ref,0))),""))</f>
        <v/>
      </c>
      <c r="K1578" s="39" t="str">
        <f>IF(OR(C1578="",NOT(ISNUMBER(E1578))),"",IFERROR(ROUND(N(INDEX(art_init,MATCH(C1578,art_ref,0)))+SUMIFS($E$5:E1578,$C$5:C1578,C1578,$B$5:B1578,"Entrée")-SUMIFS($E$5:E1578,$C$5:C1578,C1578,$B$5:B1578,"Sortie"),6),""))</f>
        <v/>
      </c>
      <c r="L1578" s="39" t="str">
        <f>IF(COUNTA(A1578:C1578,E1578)=0,"",IF(COUNTA(A1578:C1578,E1578)&lt;4,"Ligne incomplète",IF(NOT(ISNUMBER(A1578)),"Date invalide",IF(AND(B1578&lt;&gt;"Entrée",B1578&lt;&gt;"Sortie"),"Type inconnu",IF(ISNA(MATCH(C1578,art_ref,0)),"Référence inconnue",IF(OR(NOT(ISNUMBER(E1578)),N(E1578)&lt;=0),"Quantité invalide",IF(K1578&lt;0,"Stock négatif",IF(AND(ISNUMBER(A1577),A1578&lt;A1577),"Date hors ordre","OK"))))))))</f>
        <v/>
      </c>
      <c r="M1578" s="39" t="str">
        <f>IF(C1578="","",C1578&amp;"#"&amp;COUNTIF($C$5:C1578,C1578))</f>
        <v/>
      </c>
    </row>
    <row r="1579">
      <c r="A1579" s="41" t="n"/>
      <c r="B1579" s="37" t="n"/>
      <c r="C1579" s="37" t="n"/>
      <c r="D1579" s="39" t="str">
        <f>IF(C1579="","",IFERROR(INDEX(art_des,MATCH(C1579,art_ref,0))&amp;"","Référence inconnue"))</f>
        <v/>
      </c>
      <c r="E1579" s="37" t="n"/>
      <c r="F1579" s="39" t="str">
        <f>IF(C1579="","",IFERROR(INDEX(art_unit,MATCH(C1579,art_ref,0))&amp;"",""))</f>
        <v/>
      </c>
      <c r="G1579" s="37" t="n"/>
      <c r="H1579" s="37" t="n"/>
      <c r="I1579" s="37" t="n"/>
      <c r="J1579" s="40" t="str">
        <f>IF(OR(C1579="",NOT(ISNUMBER(E1579))),"",IFERROR(E1579*N(INDEX(art_price,MATCH(C1579,art_ref,0))),""))</f>
        <v/>
      </c>
      <c r="K1579" s="39" t="str">
        <f>IF(OR(C1579="",NOT(ISNUMBER(E1579))),"",IFERROR(ROUND(N(INDEX(art_init,MATCH(C1579,art_ref,0)))+SUMIFS($E$5:E1579,$C$5:C1579,C1579,$B$5:B1579,"Entrée")-SUMIFS($E$5:E1579,$C$5:C1579,C1579,$B$5:B1579,"Sortie"),6),""))</f>
        <v/>
      </c>
      <c r="L1579" s="39" t="str">
        <f>IF(COUNTA(A1579:C1579,E1579)=0,"",IF(COUNTA(A1579:C1579,E1579)&lt;4,"Ligne incomplète",IF(NOT(ISNUMBER(A1579)),"Date invalide",IF(AND(B1579&lt;&gt;"Entrée",B1579&lt;&gt;"Sortie"),"Type inconnu",IF(ISNA(MATCH(C1579,art_ref,0)),"Référence inconnue",IF(OR(NOT(ISNUMBER(E1579)),N(E1579)&lt;=0),"Quantité invalide",IF(K1579&lt;0,"Stock négatif",IF(AND(ISNUMBER(A1578),A1579&lt;A1578),"Date hors ordre","OK"))))))))</f>
        <v/>
      </c>
      <c r="M1579" s="39" t="str">
        <f>IF(C1579="","",C1579&amp;"#"&amp;COUNTIF($C$5:C1579,C1579))</f>
        <v/>
      </c>
    </row>
    <row r="1580">
      <c r="A1580" s="41" t="n"/>
      <c r="B1580" s="37" t="n"/>
      <c r="C1580" s="37" t="n"/>
      <c r="D1580" s="39" t="str">
        <f>IF(C1580="","",IFERROR(INDEX(art_des,MATCH(C1580,art_ref,0))&amp;"","Référence inconnue"))</f>
        <v/>
      </c>
      <c r="E1580" s="37" t="n"/>
      <c r="F1580" s="39" t="str">
        <f>IF(C1580="","",IFERROR(INDEX(art_unit,MATCH(C1580,art_ref,0))&amp;"",""))</f>
        <v/>
      </c>
      <c r="G1580" s="37" t="n"/>
      <c r="H1580" s="37" t="n"/>
      <c r="I1580" s="37" t="n"/>
      <c r="J1580" s="40" t="str">
        <f>IF(OR(C1580="",NOT(ISNUMBER(E1580))),"",IFERROR(E1580*N(INDEX(art_price,MATCH(C1580,art_ref,0))),""))</f>
        <v/>
      </c>
      <c r="K1580" s="39" t="str">
        <f>IF(OR(C1580="",NOT(ISNUMBER(E1580))),"",IFERROR(ROUND(N(INDEX(art_init,MATCH(C1580,art_ref,0)))+SUMIFS($E$5:E1580,$C$5:C1580,C1580,$B$5:B1580,"Entrée")-SUMIFS($E$5:E1580,$C$5:C1580,C1580,$B$5:B1580,"Sortie"),6),""))</f>
        <v/>
      </c>
      <c r="L1580" s="39" t="str">
        <f>IF(COUNTA(A1580:C1580,E1580)=0,"",IF(COUNTA(A1580:C1580,E1580)&lt;4,"Ligne incomplète",IF(NOT(ISNUMBER(A1580)),"Date invalide",IF(AND(B1580&lt;&gt;"Entrée",B1580&lt;&gt;"Sortie"),"Type inconnu",IF(ISNA(MATCH(C1580,art_ref,0)),"Référence inconnue",IF(OR(NOT(ISNUMBER(E1580)),N(E1580)&lt;=0),"Quantité invalide",IF(K1580&lt;0,"Stock négatif",IF(AND(ISNUMBER(A1579),A1580&lt;A1579),"Date hors ordre","OK"))))))))</f>
        <v/>
      </c>
      <c r="M1580" s="39" t="str">
        <f>IF(C1580="","",C1580&amp;"#"&amp;COUNTIF($C$5:C1580,C1580))</f>
        <v/>
      </c>
    </row>
    <row r="1581">
      <c r="A1581" s="41" t="n"/>
      <c r="B1581" s="37" t="n"/>
      <c r="C1581" s="37" t="n"/>
      <c r="D1581" s="39" t="str">
        <f>IF(C1581="","",IFERROR(INDEX(art_des,MATCH(C1581,art_ref,0))&amp;"","Référence inconnue"))</f>
        <v/>
      </c>
      <c r="E1581" s="37" t="n"/>
      <c r="F1581" s="39" t="str">
        <f>IF(C1581="","",IFERROR(INDEX(art_unit,MATCH(C1581,art_ref,0))&amp;"",""))</f>
        <v/>
      </c>
      <c r="G1581" s="37" t="n"/>
      <c r="H1581" s="37" t="n"/>
      <c r="I1581" s="37" t="n"/>
      <c r="J1581" s="40" t="str">
        <f>IF(OR(C1581="",NOT(ISNUMBER(E1581))),"",IFERROR(E1581*N(INDEX(art_price,MATCH(C1581,art_ref,0))),""))</f>
        <v/>
      </c>
      <c r="K1581" s="39" t="str">
        <f>IF(OR(C1581="",NOT(ISNUMBER(E1581))),"",IFERROR(ROUND(N(INDEX(art_init,MATCH(C1581,art_ref,0)))+SUMIFS($E$5:E1581,$C$5:C1581,C1581,$B$5:B1581,"Entrée")-SUMIFS($E$5:E1581,$C$5:C1581,C1581,$B$5:B1581,"Sortie"),6),""))</f>
        <v/>
      </c>
      <c r="L1581" s="39" t="str">
        <f>IF(COUNTA(A1581:C1581,E1581)=0,"",IF(COUNTA(A1581:C1581,E1581)&lt;4,"Ligne incomplète",IF(NOT(ISNUMBER(A1581)),"Date invalide",IF(AND(B1581&lt;&gt;"Entrée",B1581&lt;&gt;"Sortie"),"Type inconnu",IF(ISNA(MATCH(C1581,art_ref,0)),"Référence inconnue",IF(OR(NOT(ISNUMBER(E1581)),N(E1581)&lt;=0),"Quantité invalide",IF(K1581&lt;0,"Stock négatif",IF(AND(ISNUMBER(A1580),A1581&lt;A1580),"Date hors ordre","OK"))))))))</f>
        <v/>
      </c>
      <c r="M1581" s="39" t="str">
        <f>IF(C1581="","",C1581&amp;"#"&amp;COUNTIF($C$5:C1581,C1581))</f>
        <v/>
      </c>
    </row>
    <row r="1582">
      <c r="A1582" s="41" t="n"/>
      <c r="B1582" s="37" t="n"/>
      <c r="C1582" s="37" t="n"/>
      <c r="D1582" s="39" t="str">
        <f>IF(C1582="","",IFERROR(INDEX(art_des,MATCH(C1582,art_ref,0))&amp;"","Référence inconnue"))</f>
        <v/>
      </c>
      <c r="E1582" s="37" t="n"/>
      <c r="F1582" s="39" t="str">
        <f>IF(C1582="","",IFERROR(INDEX(art_unit,MATCH(C1582,art_ref,0))&amp;"",""))</f>
        <v/>
      </c>
      <c r="G1582" s="37" t="n"/>
      <c r="H1582" s="37" t="n"/>
      <c r="I1582" s="37" t="n"/>
      <c r="J1582" s="40" t="str">
        <f>IF(OR(C1582="",NOT(ISNUMBER(E1582))),"",IFERROR(E1582*N(INDEX(art_price,MATCH(C1582,art_ref,0))),""))</f>
        <v/>
      </c>
      <c r="K1582" s="39" t="str">
        <f>IF(OR(C1582="",NOT(ISNUMBER(E1582))),"",IFERROR(ROUND(N(INDEX(art_init,MATCH(C1582,art_ref,0)))+SUMIFS($E$5:E1582,$C$5:C1582,C1582,$B$5:B1582,"Entrée")-SUMIFS($E$5:E1582,$C$5:C1582,C1582,$B$5:B1582,"Sortie"),6),""))</f>
        <v/>
      </c>
      <c r="L1582" s="39" t="str">
        <f>IF(COUNTA(A1582:C1582,E1582)=0,"",IF(COUNTA(A1582:C1582,E1582)&lt;4,"Ligne incomplète",IF(NOT(ISNUMBER(A1582)),"Date invalide",IF(AND(B1582&lt;&gt;"Entrée",B1582&lt;&gt;"Sortie"),"Type inconnu",IF(ISNA(MATCH(C1582,art_ref,0)),"Référence inconnue",IF(OR(NOT(ISNUMBER(E1582)),N(E1582)&lt;=0),"Quantité invalide",IF(K1582&lt;0,"Stock négatif",IF(AND(ISNUMBER(A1581),A1582&lt;A1581),"Date hors ordre","OK"))))))))</f>
        <v/>
      </c>
      <c r="M1582" s="39" t="str">
        <f>IF(C1582="","",C1582&amp;"#"&amp;COUNTIF($C$5:C1582,C1582))</f>
        <v/>
      </c>
    </row>
    <row r="1583">
      <c r="A1583" s="41" t="n"/>
      <c r="B1583" s="37" t="n"/>
      <c r="C1583" s="37" t="n"/>
      <c r="D1583" s="39" t="str">
        <f>IF(C1583="","",IFERROR(INDEX(art_des,MATCH(C1583,art_ref,0))&amp;"","Référence inconnue"))</f>
        <v/>
      </c>
      <c r="E1583" s="37" t="n"/>
      <c r="F1583" s="39" t="str">
        <f>IF(C1583="","",IFERROR(INDEX(art_unit,MATCH(C1583,art_ref,0))&amp;"",""))</f>
        <v/>
      </c>
      <c r="G1583" s="37" t="n"/>
      <c r="H1583" s="37" t="n"/>
      <c r="I1583" s="37" t="n"/>
      <c r="J1583" s="40" t="str">
        <f>IF(OR(C1583="",NOT(ISNUMBER(E1583))),"",IFERROR(E1583*N(INDEX(art_price,MATCH(C1583,art_ref,0))),""))</f>
        <v/>
      </c>
      <c r="K1583" s="39" t="str">
        <f>IF(OR(C1583="",NOT(ISNUMBER(E1583))),"",IFERROR(ROUND(N(INDEX(art_init,MATCH(C1583,art_ref,0)))+SUMIFS($E$5:E1583,$C$5:C1583,C1583,$B$5:B1583,"Entrée")-SUMIFS($E$5:E1583,$C$5:C1583,C1583,$B$5:B1583,"Sortie"),6),""))</f>
        <v/>
      </c>
      <c r="L1583" s="39" t="str">
        <f>IF(COUNTA(A1583:C1583,E1583)=0,"",IF(COUNTA(A1583:C1583,E1583)&lt;4,"Ligne incomplète",IF(NOT(ISNUMBER(A1583)),"Date invalide",IF(AND(B1583&lt;&gt;"Entrée",B1583&lt;&gt;"Sortie"),"Type inconnu",IF(ISNA(MATCH(C1583,art_ref,0)),"Référence inconnue",IF(OR(NOT(ISNUMBER(E1583)),N(E1583)&lt;=0),"Quantité invalide",IF(K1583&lt;0,"Stock négatif",IF(AND(ISNUMBER(A1582),A1583&lt;A1582),"Date hors ordre","OK"))))))))</f>
        <v/>
      </c>
      <c r="M1583" s="39" t="str">
        <f>IF(C1583="","",C1583&amp;"#"&amp;COUNTIF($C$5:C1583,C1583))</f>
        <v/>
      </c>
    </row>
    <row r="1584">
      <c r="A1584" s="41" t="n"/>
      <c r="B1584" s="37" t="n"/>
      <c r="C1584" s="37" t="n"/>
      <c r="D1584" s="39" t="str">
        <f>IF(C1584="","",IFERROR(INDEX(art_des,MATCH(C1584,art_ref,0))&amp;"","Référence inconnue"))</f>
        <v/>
      </c>
      <c r="E1584" s="37" t="n"/>
      <c r="F1584" s="39" t="str">
        <f>IF(C1584="","",IFERROR(INDEX(art_unit,MATCH(C1584,art_ref,0))&amp;"",""))</f>
        <v/>
      </c>
      <c r="G1584" s="37" t="n"/>
      <c r="H1584" s="37" t="n"/>
      <c r="I1584" s="37" t="n"/>
      <c r="J1584" s="40" t="str">
        <f>IF(OR(C1584="",NOT(ISNUMBER(E1584))),"",IFERROR(E1584*N(INDEX(art_price,MATCH(C1584,art_ref,0))),""))</f>
        <v/>
      </c>
      <c r="K1584" s="39" t="str">
        <f>IF(OR(C1584="",NOT(ISNUMBER(E1584))),"",IFERROR(ROUND(N(INDEX(art_init,MATCH(C1584,art_ref,0)))+SUMIFS($E$5:E1584,$C$5:C1584,C1584,$B$5:B1584,"Entrée")-SUMIFS($E$5:E1584,$C$5:C1584,C1584,$B$5:B1584,"Sortie"),6),""))</f>
        <v/>
      </c>
      <c r="L1584" s="39" t="str">
        <f>IF(COUNTA(A1584:C1584,E1584)=0,"",IF(COUNTA(A1584:C1584,E1584)&lt;4,"Ligne incomplète",IF(NOT(ISNUMBER(A1584)),"Date invalide",IF(AND(B1584&lt;&gt;"Entrée",B1584&lt;&gt;"Sortie"),"Type inconnu",IF(ISNA(MATCH(C1584,art_ref,0)),"Référence inconnue",IF(OR(NOT(ISNUMBER(E1584)),N(E1584)&lt;=0),"Quantité invalide",IF(K1584&lt;0,"Stock négatif",IF(AND(ISNUMBER(A1583),A1584&lt;A1583),"Date hors ordre","OK"))))))))</f>
        <v/>
      </c>
      <c r="M1584" s="39" t="str">
        <f>IF(C1584="","",C1584&amp;"#"&amp;COUNTIF($C$5:C1584,C1584))</f>
        <v/>
      </c>
    </row>
    <row r="1585">
      <c r="A1585" s="41" t="n"/>
      <c r="B1585" s="37" t="n"/>
      <c r="C1585" s="37" t="n"/>
      <c r="D1585" s="39" t="str">
        <f>IF(C1585="","",IFERROR(INDEX(art_des,MATCH(C1585,art_ref,0))&amp;"","Référence inconnue"))</f>
        <v/>
      </c>
      <c r="E1585" s="37" t="n"/>
      <c r="F1585" s="39" t="str">
        <f>IF(C1585="","",IFERROR(INDEX(art_unit,MATCH(C1585,art_ref,0))&amp;"",""))</f>
        <v/>
      </c>
      <c r="G1585" s="37" t="n"/>
      <c r="H1585" s="37" t="n"/>
      <c r="I1585" s="37" t="n"/>
      <c r="J1585" s="40" t="str">
        <f>IF(OR(C1585="",NOT(ISNUMBER(E1585))),"",IFERROR(E1585*N(INDEX(art_price,MATCH(C1585,art_ref,0))),""))</f>
        <v/>
      </c>
      <c r="K1585" s="39" t="str">
        <f>IF(OR(C1585="",NOT(ISNUMBER(E1585))),"",IFERROR(ROUND(N(INDEX(art_init,MATCH(C1585,art_ref,0)))+SUMIFS($E$5:E1585,$C$5:C1585,C1585,$B$5:B1585,"Entrée")-SUMIFS($E$5:E1585,$C$5:C1585,C1585,$B$5:B1585,"Sortie"),6),""))</f>
        <v/>
      </c>
      <c r="L1585" s="39" t="str">
        <f>IF(COUNTA(A1585:C1585,E1585)=0,"",IF(COUNTA(A1585:C1585,E1585)&lt;4,"Ligne incomplète",IF(NOT(ISNUMBER(A1585)),"Date invalide",IF(AND(B1585&lt;&gt;"Entrée",B1585&lt;&gt;"Sortie"),"Type inconnu",IF(ISNA(MATCH(C1585,art_ref,0)),"Référence inconnue",IF(OR(NOT(ISNUMBER(E1585)),N(E1585)&lt;=0),"Quantité invalide",IF(K1585&lt;0,"Stock négatif",IF(AND(ISNUMBER(A1584),A1585&lt;A1584),"Date hors ordre","OK"))))))))</f>
        <v/>
      </c>
      <c r="M1585" s="39" t="str">
        <f>IF(C1585="","",C1585&amp;"#"&amp;COUNTIF($C$5:C1585,C1585))</f>
        <v/>
      </c>
    </row>
    <row r="1586">
      <c r="A1586" s="41" t="n"/>
      <c r="B1586" s="37" t="n"/>
      <c r="C1586" s="37" t="n"/>
      <c r="D1586" s="39" t="str">
        <f>IF(C1586="","",IFERROR(INDEX(art_des,MATCH(C1586,art_ref,0))&amp;"","Référence inconnue"))</f>
        <v/>
      </c>
      <c r="E1586" s="37" t="n"/>
      <c r="F1586" s="39" t="str">
        <f>IF(C1586="","",IFERROR(INDEX(art_unit,MATCH(C1586,art_ref,0))&amp;"",""))</f>
        <v/>
      </c>
      <c r="G1586" s="37" t="n"/>
      <c r="H1586" s="37" t="n"/>
      <c r="I1586" s="37" t="n"/>
      <c r="J1586" s="40" t="str">
        <f>IF(OR(C1586="",NOT(ISNUMBER(E1586))),"",IFERROR(E1586*N(INDEX(art_price,MATCH(C1586,art_ref,0))),""))</f>
        <v/>
      </c>
      <c r="K1586" s="39" t="str">
        <f>IF(OR(C1586="",NOT(ISNUMBER(E1586))),"",IFERROR(ROUND(N(INDEX(art_init,MATCH(C1586,art_ref,0)))+SUMIFS($E$5:E1586,$C$5:C1586,C1586,$B$5:B1586,"Entrée")-SUMIFS($E$5:E1586,$C$5:C1586,C1586,$B$5:B1586,"Sortie"),6),""))</f>
        <v/>
      </c>
      <c r="L1586" s="39" t="str">
        <f>IF(COUNTA(A1586:C1586,E1586)=0,"",IF(COUNTA(A1586:C1586,E1586)&lt;4,"Ligne incomplète",IF(NOT(ISNUMBER(A1586)),"Date invalide",IF(AND(B1586&lt;&gt;"Entrée",B1586&lt;&gt;"Sortie"),"Type inconnu",IF(ISNA(MATCH(C1586,art_ref,0)),"Référence inconnue",IF(OR(NOT(ISNUMBER(E1586)),N(E1586)&lt;=0),"Quantité invalide",IF(K1586&lt;0,"Stock négatif",IF(AND(ISNUMBER(A1585),A1586&lt;A1585),"Date hors ordre","OK"))))))))</f>
        <v/>
      </c>
      <c r="M1586" s="39" t="str">
        <f>IF(C1586="","",C1586&amp;"#"&amp;COUNTIF($C$5:C1586,C1586))</f>
        <v/>
      </c>
    </row>
    <row r="1587">
      <c r="A1587" s="41" t="n"/>
      <c r="B1587" s="37" t="n"/>
      <c r="C1587" s="37" t="n"/>
      <c r="D1587" s="39" t="str">
        <f>IF(C1587="","",IFERROR(INDEX(art_des,MATCH(C1587,art_ref,0))&amp;"","Référence inconnue"))</f>
        <v/>
      </c>
      <c r="E1587" s="37" t="n"/>
      <c r="F1587" s="39" t="str">
        <f>IF(C1587="","",IFERROR(INDEX(art_unit,MATCH(C1587,art_ref,0))&amp;"",""))</f>
        <v/>
      </c>
      <c r="G1587" s="37" t="n"/>
      <c r="H1587" s="37" t="n"/>
      <c r="I1587" s="37" t="n"/>
      <c r="J1587" s="40" t="str">
        <f>IF(OR(C1587="",NOT(ISNUMBER(E1587))),"",IFERROR(E1587*N(INDEX(art_price,MATCH(C1587,art_ref,0))),""))</f>
        <v/>
      </c>
      <c r="K1587" s="39" t="str">
        <f>IF(OR(C1587="",NOT(ISNUMBER(E1587))),"",IFERROR(ROUND(N(INDEX(art_init,MATCH(C1587,art_ref,0)))+SUMIFS($E$5:E1587,$C$5:C1587,C1587,$B$5:B1587,"Entrée")-SUMIFS($E$5:E1587,$C$5:C1587,C1587,$B$5:B1587,"Sortie"),6),""))</f>
        <v/>
      </c>
      <c r="L1587" s="39" t="str">
        <f>IF(COUNTA(A1587:C1587,E1587)=0,"",IF(COUNTA(A1587:C1587,E1587)&lt;4,"Ligne incomplète",IF(NOT(ISNUMBER(A1587)),"Date invalide",IF(AND(B1587&lt;&gt;"Entrée",B1587&lt;&gt;"Sortie"),"Type inconnu",IF(ISNA(MATCH(C1587,art_ref,0)),"Référence inconnue",IF(OR(NOT(ISNUMBER(E1587)),N(E1587)&lt;=0),"Quantité invalide",IF(K1587&lt;0,"Stock négatif",IF(AND(ISNUMBER(A1586),A1587&lt;A1586),"Date hors ordre","OK"))))))))</f>
        <v/>
      </c>
      <c r="M1587" s="39" t="str">
        <f>IF(C1587="","",C1587&amp;"#"&amp;COUNTIF($C$5:C1587,C1587))</f>
        <v/>
      </c>
    </row>
    <row r="1588">
      <c r="A1588" s="41" t="n"/>
      <c r="B1588" s="37" t="n"/>
      <c r="C1588" s="37" t="n"/>
      <c r="D1588" s="39" t="str">
        <f>IF(C1588="","",IFERROR(INDEX(art_des,MATCH(C1588,art_ref,0))&amp;"","Référence inconnue"))</f>
        <v/>
      </c>
      <c r="E1588" s="37" t="n"/>
      <c r="F1588" s="39" t="str">
        <f>IF(C1588="","",IFERROR(INDEX(art_unit,MATCH(C1588,art_ref,0))&amp;"",""))</f>
        <v/>
      </c>
      <c r="G1588" s="37" t="n"/>
      <c r="H1588" s="37" t="n"/>
      <c r="I1588" s="37" t="n"/>
      <c r="J1588" s="40" t="str">
        <f>IF(OR(C1588="",NOT(ISNUMBER(E1588))),"",IFERROR(E1588*N(INDEX(art_price,MATCH(C1588,art_ref,0))),""))</f>
        <v/>
      </c>
      <c r="K1588" s="39" t="str">
        <f>IF(OR(C1588="",NOT(ISNUMBER(E1588))),"",IFERROR(ROUND(N(INDEX(art_init,MATCH(C1588,art_ref,0)))+SUMIFS($E$5:E1588,$C$5:C1588,C1588,$B$5:B1588,"Entrée")-SUMIFS($E$5:E1588,$C$5:C1588,C1588,$B$5:B1588,"Sortie"),6),""))</f>
        <v/>
      </c>
      <c r="L1588" s="39" t="str">
        <f>IF(COUNTA(A1588:C1588,E1588)=0,"",IF(COUNTA(A1588:C1588,E1588)&lt;4,"Ligne incomplète",IF(NOT(ISNUMBER(A1588)),"Date invalide",IF(AND(B1588&lt;&gt;"Entrée",B1588&lt;&gt;"Sortie"),"Type inconnu",IF(ISNA(MATCH(C1588,art_ref,0)),"Référence inconnue",IF(OR(NOT(ISNUMBER(E1588)),N(E1588)&lt;=0),"Quantité invalide",IF(K1588&lt;0,"Stock négatif",IF(AND(ISNUMBER(A1587),A1588&lt;A1587),"Date hors ordre","OK"))))))))</f>
        <v/>
      </c>
      <c r="M1588" s="39" t="str">
        <f>IF(C1588="","",C1588&amp;"#"&amp;COUNTIF($C$5:C1588,C1588))</f>
        <v/>
      </c>
    </row>
    <row r="1589">
      <c r="A1589" s="41" t="n"/>
      <c r="B1589" s="37" t="n"/>
      <c r="C1589" s="37" t="n"/>
      <c r="D1589" s="39" t="str">
        <f>IF(C1589="","",IFERROR(INDEX(art_des,MATCH(C1589,art_ref,0))&amp;"","Référence inconnue"))</f>
        <v/>
      </c>
      <c r="E1589" s="37" t="n"/>
      <c r="F1589" s="39" t="str">
        <f>IF(C1589="","",IFERROR(INDEX(art_unit,MATCH(C1589,art_ref,0))&amp;"",""))</f>
        <v/>
      </c>
      <c r="G1589" s="37" t="n"/>
      <c r="H1589" s="37" t="n"/>
      <c r="I1589" s="37" t="n"/>
      <c r="J1589" s="40" t="str">
        <f>IF(OR(C1589="",NOT(ISNUMBER(E1589))),"",IFERROR(E1589*N(INDEX(art_price,MATCH(C1589,art_ref,0))),""))</f>
        <v/>
      </c>
      <c r="K1589" s="39" t="str">
        <f>IF(OR(C1589="",NOT(ISNUMBER(E1589))),"",IFERROR(ROUND(N(INDEX(art_init,MATCH(C1589,art_ref,0)))+SUMIFS($E$5:E1589,$C$5:C1589,C1589,$B$5:B1589,"Entrée")-SUMIFS($E$5:E1589,$C$5:C1589,C1589,$B$5:B1589,"Sortie"),6),""))</f>
        <v/>
      </c>
      <c r="L1589" s="39" t="str">
        <f>IF(COUNTA(A1589:C1589,E1589)=0,"",IF(COUNTA(A1589:C1589,E1589)&lt;4,"Ligne incomplète",IF(NOT(ISNUMBER(A1589)),"Date invalide",IF(AND(B1589&lt;&gt;"Entrée",B1589&lt;&gt;"Sortie"),"Type inconnu",IF(ISNA(MATCH(C1589,art_ref,0)),"Référence inconnue",IF(OR(NOT(ISNUMBER(E1589)),N(E1589)&lt;=0),"Quantité invalide",IF(K1589&lt;0,"Stock négatif",IF(AND(ISNUMBER(A1588),A1589&lt;A1588),"Date hors ordre","OK"))))))))</f>
        <v/>
      </c>
      <c r="M1589" s="39" t="str">
        <f>IF(C1589="","",C1589&amp;"#"&amp;COUNTIF($C$5:C1589,C1589))</f>
        <v/>
      </c>
    </row>
    <row r="1590">
      <c r="A1590" s="41" t="n"/>
      <c r="B1590" s="37" t="n"/>
      <c r="C1590" s="37" t="n"/>
      <c r="D1590" s="39" t="str">
        <f>IF(C1590="","",IFERROR(INDEX(art_des,MATCH(C1590,art_ref,0))&amp;"","Référence inconnue"))</f>
        <v/>
      </c>
      <c r="E1590" s="37" t="n"/>
      <c r="F1590" s="39" t="str">
        <f>IF(C1590="","",IFERROR(INDEX(art_unit,MATCH(C1590,art_ref,0))&amp;"",""))</f>
        <v/>
      </c>
      <c r="G1590" s="37" t="n"/>
      <c r="H1590" s="37" t="n"/>
      <c r="I1590" s="37" t="n"/>
      <c r="J1590" s="40" t="str">
        <f>IF(OR(C1590="",NOT(ISNUMBER(E1590))),"",IFERROR(E1590*N(INDEX(art_price,MATCH(C1590,art_ref,0))),""))</f>
        <v/>
      </c>
      <c r="K1590" s="39" t="str">
        <f>IF(OR(C1590="",NOT(ISNUMBER(E1590))),"",IFERROR(ROUND(N(INDEX(art_init,MATCH(C1590,art_ref,0)))+SUMIFS($E$5:E1590,$C$5:C1590,C1590,$B$5:B1590,"Entrée")-SUMIFS($E$5:E1590,$C$5:C1590,C1590,$B$5:B1590,"Sortie"),6),""))</f>
        <v/>
      </c>
      <c r="L1590" s="39" t="str">
        <f>IF(COUNTA(A1590:C1590,E1590)=0,"",IF(COUNTA(A1590:C1590,E1590)&lt;4,"Ligne incomplète",IF(NOT(ISNUMBER(A1590)),"Date invalide",IF(AND(B1590&lt;&gt;"Entrée",B1590&lt;&gt;"Sortie"),"Type inconnu",IF(ISNA(MATCH(C1590,art_ref,0)),"Référence inconnue",IF(OR(NOT(ISNUMBER(E1590)),N(E1590)&lt;=0),"Quantité invalide",IF(K1590&lt;0,"Stock négatif",IF(AND(ISNUMBER(A1589),A1590&lt;A1589),"Date hors ordre","OK"))))))))</f>
        <v/>
      </c>
      <c r="M1590" s="39" t="str">
        <f>IF(C1590="","",C1590&amp;"#"&amp;COUNTIF($C$5:C1590,C1590))</f>
        <v/>
      </c>
    </row>
    <row r="1591">
      <c r="A1591" s="41" t="n"/>
      <c r="B1591" s="37" t="n"/>
      <c r="C1591" s="37" t="n"/>
      <c r="D1591" s="39" t="str">
        <f>IF(C1591="","",IFERROR(INDEX(art_des,MATCH(C1591,art_ref,0))&amp;"","Référence inconnue"))</f>
        <v/>
      </c>
      <c r="E1591" s="37" t="n"/>
      <c r="F1591" s="39" t="str">
        <f>IF(C1591="","",IFERROR(INDEX(art_unit,MATCH(C1591,art_ref,0))&amp;"",""))</f>
        <v/>
      </c>
      <c r="G1591" s="37" t="n"/>
      <c r="H1591" s="37" t="n"/>
      <c r="I1591" s="37" t="n"/>
      <c r="J1591" s="40" t="str">
        <f>IF(OR(C1591="",NOT(ISNUMBER(E1591))),"",IFERROR(E1591*N(INDEX(art_price,MATCH(C1591,art_ref,0))),""))</f>
        <v/>
      </c>
      <c r="K1591" s="39" t="str">
        <f>IF(OR(C1591="",NOT(ISNUMBER(E1591))),"",IFERROR(ROUND(N(INDEX(art_init,MATCH(C1591,art_ref,0)))+SUMIFS($E$5:E1591,$C$5:C1591,C1591,$B$5:B1591,"Entrée")-SUMIFS($E$5:E1591,$C$5:C1591,C1591,$B$5:B1591,"Sortie"),6),""))</f>
        <v/>
      </c>
      <c r="L1591" s="39" t="str">
        <f>IF(COUNTA(A1591:C1591,E1591)=0,"",IF(COUNTA(A1591:C1591,E1591)&lt;4,"Ligne incomplète",IF(NOT(ISNUMBER(A1591)),"Date invalide",IF(AND(B1591&lt;&gt;"Entrée",B1591&lt;&gt;"Sortie"),"Type inconnu",IF(ISNA(MATCH(C1591,art_ref,0)),"Référence inconnue",IF(OR(NOT(ISNUMBER(E1591)),N(E1591)&lt;=0),"Quantité invalide",IF(K1591&lt;0,"Stock négatif",IF(AND(ISNUMBER(A1590),A1591&lt;A1590),"Date hors ordre","OK"))))))))</f>
        <v/>
      </c>
      <c r="M1591" s="39" t="str">
        <f>IF(C1591="","",C1591&amp;"#"&amp;COUNTIF($C$5:C1591,C1591))</f>
        <v/>
      </c>
    </row>
    <row r="1592">
      <c r="A1592" s="41" t="n"/>
      <c r="B1592" s="37" t="n"/>
      <c r="C1592" s="37" t="n"/>
      <c r="D1592" s="39" t="str">
        <f>IF(C1592="","",IFERROR(INDEX(art_des,MATCH(C1592,art_ref,0))&amp;"","Référence inconnue"))</f>
        <v/>
      </c>
      <c r="E1592" s="37" t="n"/>
      <c r="F1592" s="39" t="str">
        <f>IF(C1592="","",IFERROR(INDEX(art_unit,MATCH(C1592,art_ref,0))&amp;"",""))</f>
        <v/>
      </c>
      <c r="G1592" s="37" t="n"/>
      <c r="H1592" s="37" t="n"/>
      <c r="I1592" s="37" t="n"/>
      <c r="J1592" s="40" t="str">
        <f>IF(OR(C1592="",NOT(ISNUMBER(E1592))),"",IFERROR(E1592*N(INDEX(art_price,MATCH(C1592,art_ref,0))),""))</f>
        <v/>
      </c>
      <c r="K1592" s="39" t="str">
        <f>IF(OR(C1592="",NOT(ISNUMBER(E1592))),"",IFERROR(ROUND(N(INDEX(art_init,MATCH(C1592,art_ref,0)))+SUMIFS($E$5:E1592,$C$5:C1592,C1592,$B$5:B1592,"Entrée")-SUMIFS($E$5:E1592,$C$5:C1592,C1592,$B$5:B1592,"Sortie"),6),""))</f>
        <v/>
      </c>
      <c r="L1592" s="39" t="str">
        <f>IF(COUNTA(A1592:C1592,E1592)=0,"",IF(COUNTA(A1592:C1592,E1592)&lt;4,"Ligne incomplète",IF(NOT(ISNUMBER(A1592)),"Date invalide",IF(AND(B1592&lt;&gt;"Entrée",B1592&lt;&gt;"Sortie"),"Type inconnu",IF(ISNA(MATCH(C1592,art_ref,0)),"Référence inconnue",IF(OR(NOT(ISNUMBER(E1592)),N(E1592)&lt;=0),"Quantité invalide",IF(K1592&lt;0,"Stock négatif",IF(AND(ISNUMBER(A1591),A1592&lt;A1591),"Date hors ordre","OK"))))))))</f>
        <v/>
      </c>
      <c r="M1592" s="39" t="str">
        <f>IF(C1592="","",C1592&amp;"#"&amp;COUNTIF($C$5:C1592,C1592))</f>
        <v/>
      </c>
    </row>
    <row r="1593">
      <c r="A1593" s="41" t="n"/>
      <c r="B1593" s="37" t="n"/>
      <c r="C1593" s="37" t="n"/>
      <c r="D1593" s="39" t="str">
        <f>IF(C1593="","",IFERROR(INDEX(art_des,MATCH(C1593,art_ref,0))&amp;"","Référence inconnue"))</f>
        <v/>
      </c>
      <c r="E1593" s="37" t="n"/>
      <c r="F1593" s="39" t="str">
        <f>IF(C1593="","",IFERROR(INDEX(art_unit,MATCH(C1593,art_ref,0))&amp;"",""))</f>
        <v/>
      </c>
      <c r="G1593" s="37" t="n"/>
      <c r="H1593" s="37" t="n"/>
      <c r="I1593" s="37" t="n"/>
      <c r="J1593" s="40" t="str">
        <f>IF(OR(C1593="",NOT(ISNUMBER(E1593))),"",IFERROR(E1593*N(INDEX(art_price,MATCH(C1593,art_ref,0))),""))</f>
        <v/>
      </c>
      <c r="K1593" s="39" t="str">
        <f>IF(OR(C1593="",NOT(ISNUMBER(E1593))),"",IFERROR(ROUND(N(INDEX(art_init,MATCH(C1593,art_ref,0)))+SUMIFS($E$5:E1593,$C$5:C1593,C1593,$B$5:B1593,"Entrée")-SUMIFS($E$5:E1593,$C$5:C1593,C1593,$B$5:B1593,"Sortie"),6),""))</f>
        <v/>
      </c>
      <c r="L1593" s="39" t="str">
        <f>IF(COUNTA(A1593:C1593,E1593)=0,"",IF(COUNTA(A1593:C1593,E1593)&lt;4,"Ligne incomplète",IF(NOT(ISNUMBER(A1593)),"Date invalide",IF(AND(B1593&lt;&gt;"Entrée",B1593&lt;&gt;"Sortie"),"Type inconnu",IF(ISNA(MATCH(C1593,art_ref,0)),"Référence inconnue",IF(OR(NOT(ISNUMBER(E1593)),N(E1593)&lt;=0),"Quantité invalide",IF(K1593&lt;0,"Stock négatif",IF(AND(ISNUMBER(A1592),A1593&lt;A1592),"Date hors ordre","OK"))))))))</f>
        <v/>
      </c>
      <c r="M1593" s="39" t="str">
        <f>IF(C1593="","",C1593&amp;"#"&amp;COUNTIF($C$5:C1593,C1593))</f>
        <v/>
      </c>
    </row>
    <row r="1594">
      <c r="A1594" s="41" t="n"/>
      <c r="B1594" s="37" t="n"/>
      <c r="C1594" s="37" t="n"/>
      <c r="D1594" s="39" t="str">
        <f>IF(C1594="","",IFERROR(INDEX(art_des,MATCH(C1594,art_ref,0))&amp;"","Référence inconnue"))</f>
        <v/>
      </c>
      <c r="E1594" s="37" t="n"/>
      <c r="F1594" s="39" t="str">
        <f>IF(C1594="","",IFERROR(INDEX(art_unit,MATCH(C1594,art_ref,0))&amp;"",""))</f>
        <v/>
      </c>
      <c r="G1594" s="37" t="n"/>
      <c r="H1594" s="37" t="n"/>
      <c r="I1594" s="37" t="n"/>
      <c r="J1594" s="40" t="str">
        <f>IF(OR(C1594="",NOT(ISNUMBER(E1594))),"",IFERROR(E1594*N(INDEX(art_price,MATCH(C1594,art_ref,0))),""))</f>
        <v/>
      </c>
      <c r="K1594" s="39" t="str">
        <f>IF(OR(C1594="",NOT(ISNUMBER(E1594))),"",IFERROR(ROUND(N(INDEX(art_init,MATCH(C1594,art_ref,0)))+SUMIFS($E$5:E1594,$C$5:C1594,C1594,$B$5:B1594,"Entrée")-SUMIFS($E$5:E1594,$C$5:C1594,C1594,$B$5:B1594,"Sortie"),6),""))</f>
        <v/>
      </c>
      <c r="L1594" s="39" t="str">
        <f>IF(COUNTA(A1594:C1594,E1594)=0,"",IF(COUNTA(A1594:C1594,E1594)&lt;4,"Ligne incomplète",IF(NOT(ISNUMBER(A1594)),"Date invalide",IF(AND(B1594&lt;&gt;"Entrée",B1594&lt;&gt;"Sortie"),"Type inconnu",IF(ISNA(MATCH(C1594,art_ref,0)),"Référence inconnue",IF(OR(NOT(ISNUMBER(E1594)),N(E1594)&lt;=0),"Quantité invalide",IF(K1594&lt;0,"Stock négatif",IF(AND(ISNUMBER(A1593),A1594&lt;A1593),"Date hors ordre","OK"))))))))</f>
        <v/>
      </c>
      <c r="M1594" s="39" t="str">
        <f>IF(C1594="","",C1594&amp;"#"&amp;COUNTIF($C$5:C1594,C1594))</f>
        <v/>
      </c>
    </row>
    <row r="1595">
      <c r="A1595" s="41" t="n"/>
      <c r="B1595" s="37" t="n"/>
      <c r="C1595" s="37" t="n"/>
      <c r="D1595" s="39" t="str">
        <f>IF(C1595="","",IFERROR(INDEX(art_des,MATCH(C1595,art_ref,0))&amp;"","Référence inconnue"))</f>
        <v/>
      </c>
      <c r="E1595" s="37" t="n"/>
      <c r="F1595" s="39" t="str">
        <f>IF(C1595="","",IFERROR(INDEX(art_unit,MATCH(C1595,art_ref,0))&amp;"",""))</f>
        <v/>
      </c>
      <c r="G1595" s="37" t="n"/>
      <c r="H1595" s="37" t="n"/>
      <c r="I1595" s="37" t="n"/>
      <c r="J1595" s="40" t="str">
        <f>IF(OR(C1595="",NOT(ISNUMBER(E1595))),"",IFERROR(E1595*N(INDEX(art_price,MATCH(C1595,art_ref,0))),""))</f>
        <v/>
      </c>
      <c r="K1595" s="39" t="str">
        <f>IF(OR(C1595="",NOT(ISNUMBER(E1595))),"",IFERROR(ROUND(N(INDEX(art_init,MATCH(C1595,art_ref,0)))+SUMIFS($E$5:E1595,$C$5:C1595,C1595,$B$5:B1595,"Entrée")-SUMIFS($E$5:E1595,$C$5:C1595,C1595,$B$5:B1595,"Sortie"),6),""))</f>
        <v/>
      </c>
      <c r="L1595" s="39" t="str">
        <f>IF(COUNTA(A1595:C1595,E1595)=0,"",IF(COUNTA(A1595:C1595,E1595)&lt;4,"Ligne incomplète",IF(NOT(ISNUMBER(A1595)),"Date invalide",IF(AND(B1595&lt;&gt;"Entrée",B1595&lt;&gt;"Sortie"),"Type inconnu",IF(ISNA(MATCH(C1595,art_ref,0)),"Référence inconnue",IF(OR(NOT(ISNUMBER(E1595)),N(E1595)&lt;=0),"Quantité invalide",IF(K1595&lt;0,"Stock négatif",IF(AND(ISNUMBER(A1594),A1595&lt;A1594),"Date hors ordre","OK"))))))))</f>
        <v/>
      </c>
      <c r="M1595" s="39" t="str">
        <f>IF(C1595="","",C1595&amp;"#"&amp;COUNTIF($C$5:C1595,C1595))</f>
        <v/>
      </c>
    </row>
    <row r="1596">
      <c r="A1596" s="41" t="n"/>
      <c r="B1596" s="37" t="n"/>
      <c r="C1596" s="37" t="n"/>
      <c r="D1596" s="39" t="str">
        <f>IF(C1596="","",IFERROR(INDEX(art_des,MATCH(C1596,art_ref,0))&amp;"","Référence inconnue"))</f>
        <v/>
      </c>
      <c r="E1596" s="37" t="n"/>
      <c r="F1596" s="39" t="str">
        <f>IF(C1596="","",IFERROR(INDEX(art_unit,MATCH(C1596,art_ref,0))&amp;"",""))</f>
        <v/>
      </c>
      <c r="G1596" s="37" t="n"/>
      <c r="H1596" s="37" t="n"/>
      <c r="I1596" s="37" t="n"/>
      <c r="J1596" s="40" t="str">
        <f>IF(OR(C1596="",NOT(ISNUMBER(E1596))),"",IFERROR(E1596*N(INDEX(art_price,MATCH(C1596,art_ref,0))),""))</f>
        <v/>
      </c>
      <c r="K1596" s="39" t="str">
        <f>IF(OR(C1596="",NOT(ISNUMBER(E1596))),"",IFERROR(ROUND(N(INDEX(art_init,MATCH(C1596,art_ref,0)))+SUMIFS($E$5:E1596,$C$5:C1596,C1596,$B$5:B1596,"Entrée")-SUMIFS($E$5:E1596,$C$5:C1596,C1596,$B$5:B1596,"Sortie"),6),""))</f>
        <v/>
      </c>
      <c r="L1596" s="39" t="str">
        <f>IF(COUNTA(A1596:C1596,E1596)=0,"",IF(COUNTA(A1596:C1596,E1596)&lt;4,"Ligne incomplète",IF(NOT(ISNUMBER(A1596)),"Date invalide",IF(AND(B1596&lt;&gt;"Entrée",B1596&lt;&gt;"Sortie"),"Type inconnu",IF(ISNA(MATCH(C1596,art_ref,0)),"Référence inconnue",IF(OR(NOT(ISNUMBER(E1596)),N(E1596)&lt;=0),"Quantité invalide",IF(K1596&lt;0,"Stock négatif",IF(AND(ISNUMBER(A1595),A1596&lt;A1595),"Date hors ordre","OK"))))))))</f>
        <v/>
      </c>
      <c r="M1596" s="39" t="str">
        <f>IF(C1596="","",C1596&amp;"#"&amp;COUNTIF($C$5:C1596,C1596))</f>
        <v/>
      </c>
    </row>
    <row r="1597">
      <c r="A1597" s="41" t="n"/>
      <c r="B1597" s="37" t="n"/>
      <c r="C1597" s="37" t="n"/>
      <c r="D1597" s="39" t="str">
        <f>IF(C1597="","",IFERROR(INDEX(art_des,MATCH(C1597,art_ref,0))&amp;"","Référence inconnue"))</f>
        <v/>
      </c>
      <c r="E1597" s="37" t="n"/>
      <c r="F1597" s="39" t="str">
        <f>IF(C1597="","",IFERROR(INDEX(art_unit,MATCH(C1597,art_ref,0))&amp;"",""))</f>
        <v/>
      </c>
      <c r="G1597" s="37" t="n"/>
      <c r="H1597" s="37" t="n"/>
      <c r="I1597" s="37" t="n"/>
      <c r="J1597" s="40" t="str">
        <f>IF(OR(C1597="",NOT(ISNUMBER(E1597))),"",IFERROR(E1597*N(INDEX(art_price,MATCH(C1597,art_ref,0))),""))</f>
        <v/>
      </c>
      <c r="K1597" s="39" t="str">
        <f>IF(OR(C1597="",NOT(ISNUMBER(E1597))),"",IFERROR(ROUND(N(INDEX(art_init,MATCH(C1597,art_ref,0)))+SUMIFS($E$5:E1597,$C$5:C1597,C1597,$B$5:B1597,"Entrée")-SUMIFS($E$5:E1597,$C$5:C1597,C1597,$B$5:B1597,"Sortie"),6),""))</f>
        <v/>
      </c>
      <c r="L1597" s="39" t="str">
        <f>IF(COUNTA(A1597:C1597,E1597)=0,"",IF(COUNTA(A1597:C1597,E1597)&lt;4,"Ligne incomplète",IF(NOT(ISNUMBER(A1597)),"Date invalide",IF(AND(B1597&lt;&gt;"Entrée",B1597&lt;&gt;"Sortie"),"Type inconnu",IF(ISNA(MATCH(C1597,art_ref,0)),"Référence inconnue",IF(OR(NOT(ISNUMBER(E1597)),N(E1597)&lt;=0),"Quantité invalide",IF(K1597&lt;0,"Stock négatif",IF(AND(ISNUMBER(A1596),A1597&lt;A1596),"Date hors ordre","OK"))))))))</f>
        <v/>
      </c>
      <c r="M1597" s="39" t="str">
        <f>IF(C1597="","",C1597&amp;"#"&amp;COUNTIF($C$5:C1597,C1597))</f>
        <v/>
      </c>
    </row>
    <row r="1598">
      <c r="A1598" s="41" t="n"/>
      <c r="B1598" s="37" t="n"/>
      <c r="C1598" s="37" t="n"/>
      <c r="D1598" s="39" t="str">
        <f>IF(C1598="","",IFERROR(INDEX(art_des,MATCH(C1598,art_ref,0))&amp;"","Référence inconnue"))</f>
        <v/>
      </c>
      <c r="E1598" s="37" t="n"/>
      <c r="F1598" s="39" t="str">
        <f>IF(C1598="","",IFERROR(INDEX(art_unit,MATCH(C1598,art_ref,0))&amp;"",""))</f>
        <v/>
      </c>
      <c r="G1598" s="37" t="n"/>
      <c r="H1598" s="37" t="n"/>
      <c r="I1598" s="37" t="n"/>
      <c r="J1598" s="40" t="str">
        <f>IF(OR(C1598="",NOT(ISNUMBER(E1598))),"",IFERROR(E1598*N(INDEX(art_price,MATCH(C1598,art_ref,0))),""))</f>
        <v/>
      </c>
      <c r="K1598" s="39" t="str">
        <f>IF(OR(C1598="",NOT(ISNUMBER(E1598))),"",IFERROR(ROUND(N(INDEX(art_init,MATCH(C1598,art_ref,0)))+SUMIFS($E$5:E1598,$C$5:C1598,C1598,$B$5:B1598,"Entrée")-SUMIFS($E$5:E1598,$C$5:C1598,C1598,$B$5:B1598,"Sortie"),6),""))</f>
        <v/>
      </c>
      <c r="L1598" s="39" t="str">
        <f>IF(COUNTA(A1598:C1598,E1598)=0,"",IF(COUNTA(A1598:C1598,E1598)&lt;4,"Ligne incomplète",IF(NOT(ISNUMBER(A1598)),"Date invalide",IF(AND(B1598&lt;&gt;"Entrée",B1598&lt;&gt;"Sortie"),"Type inconnu",IF(ISNA(MATCH(C1598,art_ref,0)),"Référence inconnue",IF(OR(NOT(ISNUMBER(E1598)),N(E1598)&lt;=0),"Quantité invalide",IF(K1598&lt;0,"Stock négatif",IF(AND(ISNUMBER(A1597),A1598&lt;A1597),"Date hors ordre","OK"))))))))</f>
        <v/>
      </c>
      <c r="M1598" s="39" t="str">
        <f>IF(C1598="","",C1598&amp;"#"&amp;COUNTIF($C$5:C1598,C1598))</f>
        <v/>
      </c>
    </row>
    <row r="1599">
      <c r="A1599" s="41" t="n"/>
      <c r="B1599" s="37" t="n"/>
      <c r="C1599" s="37" t="n"/>
      <c r="D1599" s="39" t="str">
        <f>IF(C1599="","",IFERROR(INDEX(art_des,MATCH(C1599,art_ref,0))&amp;"","Référence inconnue"))</f>
        <v/>
      </c>
      <c r="E1599" s="37" t="n"/>
      <c r="F1599" s="39" t="str">
        <f>IF(C1599="","",IFERROR(INDEX(art_unit,MATCH(C1599,art_ref,0))&amp;"",""))</f>
        <v/>
      </c>
      <c r="G1599" s="37" t="n"/>
      <c r="H1599" s="37" t="n"/>
      <c r="I1599" s="37" t="n"/>
      <c r="J1599" s="40" t="str">
        <f>IF(OR(C1599="",NOT(ISNUMBER(E1599))),"",IFERROR(E1599*N(INDEX(art_price,MATCH(C1599,art_ref,0))),""))</f>
        <v/>
      </c>
      <c r="K1599" s="39" t="str">
        <f>IF(OR(C1599="",NOT(ISNUMBER(E1599))),"",IFERROR(ROUND(N(INDEX(art_init,MATCH(C1599,art_ref,0)))+SUMIFS($E$5:E1599,$C$5:C1599,C1599,$B$5:B1599,"Entrée")-SUMIFS($E$5:E1599,$C$5:C1599,C1599,$B$5:B1599,"Sortie"),6),""))</f>
        <v/>
      </c>
      <c r="L1599" s="39" t="str">
        <f>IF(COUNTA(A1599:C1599,E1599)=0,"",IF(COUNTA(A1599:C1599,E1599)&lt;4,"Ligne incomplète",IF(NOT(ISNUMBER(A1599)),"Date invalide",IF(AND(B1599&lt;&gt;"Entrée",B1599&lt;&gt;"Sortie"),"Type inconnu",IF(ISNA(MATCH(C1599,art_ref,0)),"Référence inconnue",IF(OR(NOT(ISNUMBER(E1599)),N(E1599)&lt;=0),"Quantité invalide",IF(K1599&lt;0,"Stock négatif",IF(AND(ISNUMBER(A1598),A1599&lt;A1598),"Date hors ordre","OK"))))))))</f>
        <v/>
      </c>
      <c r="M1599" s="39" t="str">
        <f>IF(C1599="","",C1599&amp;"#"&amp;COUNTIF($C$5:C1599,C1599))</f>
        <v/>
      </c>
    </row>
    <row r="1600">
      <c r="A1600" s="41" t="n"/>
      <c r="B1600" s="37" t="n"/>
      <c r="C1600" s="37" t="n"/>
      <c r="D1600" s="39" t="str">
        <f>IF(C1600="","",IFERROR(INDEX(art_des,MATCH(C1600,art_ref,0))&amp;"","Référence inconnue"))</f>
        <v/>
      </c>
      <c r="E1600" s="37" t="n"/>
      <c r="F1600" s="39" t="str">
        <f>IF(C1600="","",IFERROR(INDEX(art_unit,MATCH(C1600,art_ref,0))&amp;"",""))</f>
        <v/>
      </c>
      <c r="G1600" s="37" t="n"/>
      <c r="H1600" s="37" t="n"/>
      <c r="I1600" s="37" t="n"/>
      <c r="J1600" s="40" t="str">
        <f>IF(OR(C1600="",NOT(ISNUMBER(E1600))),"",IFERROR(E1600*N(INDEX(art_price,MATCH(C1600,art_ref,0))),""))</f>
        <v/>
      </c>
      <c r="K1600" s="39" t="str">
        <f>IF(OR(C1600="",NOT(ISNUMBER(E1600))),"",IFERROR(ROUND(N(INDEX(art_init,MATCH(C1600,art_ref,0)))+SUMIFS($E$5:E1600,$C$5:C1600,C1600,$B$5:B1600,"Entrée")-SUMIFS($E$5:E1600,$C$5:C1600,C1600,$B$5:B1600,"Sortie"),6),""))</f>
        <v/>
      </c>
      <c r="L1600" s="39" t="str">
        <f>IF(COUNTA(A1600:C1600,E1600)=0,"",IF(COUNTA(A1600:C1600,E1600)&lt;4,"Ligne incomplète",IF(NOT(ISNUMBER(A1600)),"Date invalide",IF(AND(B1600&lt;&gt;"Entrée",B1600&lt;&gt;"Sortie"),"Type inconnu",IF(ISNA(MATCH(C1600,art_ref,0)),"Référence inconnue",IF(OR(NOT(ISNUMBER(E1600)),N(E1600)&lt;=0),"Quantité invalide",IF(K1600&lt;0,"Stock négatif",IF(AND(ISNUMBER(A1599),A1600&lt;A1599),"Date hors ordre","OK"))))))))</f>
        <v/>
      </c>
      <c r="M1600" s="39" t="str">
        <f>IF(C1600="","",C1600&amp;"#"&amp;COUNTIF($C$5:C1600,C1600))</f>
        <v/>
      </c>
    </row>
    <row r="1601">
      <c r="A1601" s="41" t="n"/>
      <c r="B1601" s="37" t="n"/>
      <c r="C1601" s="37" t="n"/>
      <c r="D1601" s="39" t="str">
        <f>IF(C1601="","",IFERROR(INDEX(art_des,MATCH(C1601,art_ref,0))&amp;"","Référence inconnue"))</f>
        <v/>
      </c>
      <c r="E1601" s="37" t="n"/>
      <c r="F1601" s="39" t="str">
        <f>IF(C1601="","",IFERROR(INDEX(art_unit,MATCH(C1601,art_ref,0))&amp;"",""))</f>
        <v/>
      </c>
      <c r="G1601" s="37" t="n"/>
      <c r="H1601" s="37" t="n"/>
      <c r="I1601" s="37" t="n"/>
      <c r="J1601" s="40" t="str">
        <f>IF(OR(C1601="",NOT(ISNUMBER(E1601))),"",IFERROR(E1601*N(INDEX(art_price,MATCH(C1601,art_ref,0))),""))</f>
        <v/>
      </c>
      <c r="K1601" s="39" t="str">
        <f>IF(OR(C1601="",NOT(ISNUMBER(E1601))),"",IFERROR(ROUND(N(INDEX(art_init,MATCH(C1601,art_ref,0)))+SUMIFS($E$5:E1601,$C$5:C1601,C1601,$B$5:B1601,"Entrée")-SUMIFS($E$5:E1601,$C$5:C1601,C1601,$B$5:B1601,"Sortie"),6),""))</f>
        <v/>
      </c>
      <c r="L1601" s="39" t="str">
        <f>IF(COUNTA(A1601:C1601,E1601)=0,"",IF(COUNTA(A1601:C1601,E1601)&lt;4,"Ligne incomplète",IF(NOT(ISNUMBER(A1601)),"Date invalide",IF(AND(B1601&lt;&gt;"Entrée",B1601&lt;&gt;"Sortie"),"Type inconnu",IF(ISNA(MATCH(C1601,art_ref,0)),"Référence inconnue",IF(OR(NOT(ISNUMBER(E1601)),N(E1601)&lt;=0),"Quantité invalide",IF(K1601&lt;0,"Stock négatif",IF(AND(ISNUMBER(A1600),A1601&lt;A1600),"Date hors ordre","OK"))))))))</f>
        <v/>
      </c>
      <c r="M1601" s="39" t="str">
        <f>IF(C1601="","",C1601&amp;"#"&amp;COUNTIF($C$5:C1601,C1601))</f>
        <v/>
      </c>
    </row>
    <row r="1602">
      <c r="A1602" s="41" t="n"/>
      <c r="B1602" s="37" t="n"/>
      <c r="C1602" s="37" t="n"/>
      <c r="D1602" s="39" t="str">
        <f>IF(C1602="","",IFERROR(INDEX(art_des,MATCH(C1602,art_ref,0))&amp;"","Référence inconnue"))</f>
        <v/>
      </c>
      <c r="E1602" s="37" t="n"/>
      <c r="F1602" s="39" t="str">
        <f>IF(C1602="","",IFERROR(INDEX(art_unit,MATCH(C1602,art_ref,0))&amp;"",""))</f>
        <v/>
      </c>
      <c r="G1602" s="37" t="n"/>
      <c r="H1602" s="37" t="n"/>
      <c r="I1602" s="37" t="n"/>
      <c r="J1602" s="40" t="str">
        <f>IF(OR(C1602="",NOT(ISNUMBER(E1602))),"",IFERROR(E1602*N(INDEX(art_price,MATCH(C1602,art_ref,0))),""))</f>
        <v/>
      </c>
      <c r="K1602" s="39" t="str">
        <f>IF(OR(C1602="",NOT(ISNUMBER(E1602))),"",IFERROR(ROUND(N(INDEX(art_init,MATCH(C1602,art_ref,0)))+SUMIFS($E$5:E1602,$C$5:C1602,C1602,$B$5:B1602,"Entrée")-SUMIFS($E$5:E1602,$C$5:C1602,C1602,$B$5:B1602,"Sortie"),6),""))</f>
        <v/>
      </c>
      <c r="L1602" s="39" t="str">
        <f>IF(COUNTA(A1602:C1602,E1602)=0,"",IF(COUNTA(A1602:C1602,E1602)&lt;4,"Ligne incomplète",IF(NOT(ISNUMBER(A1602)),"Date invalide",IF(AND(B1602&lt;&gt;"Entrée",B1602&lt;&gt;"Sortie"),"Type inconnu",IF(ISNA(MATCH(C1602,art_ref,0)),"Référence inconnue",IF(OR(NOT(ISNUMBER(E1602)),N(E1602)&lt;=0),"Quantité invalide",IF(K1602&lt;0,"Stock négatif",IF(AND(ISNUMBER(A1601),A1602&lt;A1601),"Date hors ordre","OK"))))))))</f>
        <v/>
      </c>
      <c r="M1602" s="39" t="str">
        <f>IF(C1602="","",C1602&amp;"#"&amp;COUNTIF($C$5:C1602,C1602))</f>
        <v/>
      </c>
    </row>
    <row r="1603">
      <c r="A1603" s="41" t="n"/>
      <c r="B1603" s="37" t="n"/>
      <c r="C1603" s="37" t="n"/>
      <c r="D1603" s="39" t="str">
        <f>IF(C1603="","",IFERROR(INDEX(art_des,MATCH(C1603,art_ref,0))&amp;"","Référence inconnue"))</f>
        <v/>
      </c>
      <c r="E1603" s="37" t="n"/>
      <c r="F1603" s="39" t="str">
        <f>IF(C1603="","",IFERROR(INDEX(art_unit,MATCH(C1603,art_ref,0))&amp;"",""))</f>
        <v/>
      </c>
      <c r="G1603" s="37" t="n"/>
      <c r="H1603" s="37" t="n"/>
      <c r="I1603" s="37" t="n"/>
      <c r="J1603" s="40" t="str">
        <f>IF(OR(C1603="",NOT(ISNUMBER(E1603))),"",IFERROR(E1603*N(INDEX(art_price,MATCH(C1603,art_ref,0))),""))</f>
        <v/>
      </c>
      <c r="K1603" s="39" t="str">
        <f>IF(OR(C1603="",NOT(ISNUMBER(E1603))),"",IFERROR(ROUND(N(INDEX(art_init,MATCH(C1603,art_ref,0)))+SUMIFS($E$5:E1603,$C$5:C1603,C1603,$B$5:B1603,"Entrée")-SUMIFS($E$5:E1603,$C$5:C1603,C1603,$B$5:B1603,"Sortie"),6),""))</f>
        <v/>
      </c>
      <c r="L1603" s="39" t="str">
        <f>IF(COUNTA(A1603:C1603,E1603)=0,"",IF(COUNTA(A1603:C1603,E1603)&lt;4,"Ligne incomplète",IF(NOT(ISNUMBER(A1603)),"Date invalide",IF(AND(B1603&lt;&gt;"Entrée",B1603&lt;&gt;"Sortie"),"Type inconnu",IF(ISNA(MATCH(C1603,art_ref,0)),"Référence inconnue",IF(OR(NOT(ISNUMBER(E1603)),N(E1603)&lt;=0),"Quantité invalide",IF(K1603&lt;0,"Stock négatif",IF(AND(ISNUMBER(A1602),A1603&lt;A1602),"Date hors ordre","OK"))))))))</f>
        <v/>
      </c>
      <c r="M1603" s="39" t="str">
        <f>IF(C1603="","",C1603&amp;"#"&amp;COUNTIF($C$5:C1603,C1603))</f>
        <v/>
      </c>
    </row>
    <row r="1604">
      <c r="A1604" s="41" t="n"/>
      <c r="B1604" s="37" t="n"/>
      <c r="C1604" s="37" t="n"/>
      <c r="D1604" s="39" t="str">
        <f>IF(C1604="","",IFERROR(INDEX(art_des,MATCH(C1604,art_ref,0))&amp;"","Référence inconnue"))</f>
        <v/>
      </c>
      <c r="E1604" s="37" t="n"/>
      <c r="F1604" s="39" t="str">
        <f>IF(C1604="","",IFERROR(INDEX(art_unit,MATCH(C1604,art_ref,0))&amp;"",""))</f>
        <v/>
      </c>
      <c r="G1604" s="37" t="n"/>
      <c r="H1604" s="37" t="n"/>
      <c r="I1604" s="37" t="n"/>
      <c r="J1604" s="40" t="str">
        <f>IF(OR(C1604="",NOT(ISNUMBER(E1604))),"",IFERROR(E1604*N(INDEX(art_price,MATCH(C1604,art_ref,0))),""))</f>
        <v/>
      </c>
      <c r="K1604" s="39" t="str">
        <f>IF(OR(C1604="",NOT(ISNUMBER(E1604))),"",IFERROR(ROUND(N(INDEX(art_init,MATCH(C1604,art_ref,0)))+SUMIFS($E$5:E1604,$C$5:C1604,C1604,$B$5:B1604,"Entrée")-SUMIFS($E$5:E1604,$C$5:C1604,C1604,$B$5:B1604,"Sortie"),6),""))</f>
        <v/>
      </c>
      <c r="L1604" s="39" t="str">
        <f>IF(COUNTA(A1604:C1604,E1604)=0,"",IF(COUNTA(A1604:C1604,E1604)&lt;4,"Ligne incomplète",IF(NOT(ISNUMBER(A1604)),"Date invalide",IF(AND(B1604&lt;&gt;"Entrée",B1604&lt;&gt;"Sortie"),"Type inconnu",IF(ISNA(MATCH(C1604,art_ref,0)),"Référence inconnue",IF(OR(NOT(ISNUMBER(E1604)),N(E1604)&lt;=0),"Quantité invalide",IF(K1604&lt;0,"Stock négatif",IF(AND(ISNUMBER(A1603),A1604&lt;A1603),"Date hors ordre","OK"))))))))</f>
        <v/>
      </c>
      <c r="M1604" s="39" t="str">
        <f>IF(C1604="","",C1604&amp;"#"&amp;COUNTIF($C$5:C1604,C1604))</f>
        <v/>
      </c>
    </row>
    <row r="1605">
      <c r="A1605" s="41" t="n"/>
      <c r="B1605" s="37" t="n"/>
      <c r="C1605" s="37" t="n"/>
      <c r="D1605" s="39" t="str">
        <f>IF(C1605="","",IFERROR(INDEX(art_des,MATCH(C1605,art_ref,0))&amp;"","Référence inconnue"))</f>
        <v/>
      </c>
      <c r="E1605" s="37" t="n"/>
      <c r="F1605" s="39" t="str">
        <f>IF(C1605="","",IFERROR(INDEX(art_unit,MATCH(C1605,art_ref,0))&amp;"",""))</f>
        <v/>
      </c>
      <c r="G1605" s="37" t="n"/>
      <c r="H1605" s="37" t="n"/>
      <c r="I1605" s="37" t="n"/>
      <c r="J1605" s="40" t="str">
        <f>IF(OR(C1605="",NOT(ISNUMBER(E1605))),"",IFERROR(E1605*N(INDEX(art_price,MATCH(C1605,art_ref,0))),""))</f>
        <v/>
      </c>
      <c r="K1605" s="39" t="str">
        <f>IF(OR(C1605="",NOT(ISNUMBER(E1605))),"",IFERROR(ROUND(N(INDEX(art_init,MATCH(C1605,art_ref,0)))+SUMIFS($E$5:E1605,$C$5:C1605,C1605,$B$5:B1605,"Entrée")-SUMIFS($E$5:E1605,$C$5:C1605,C1605,$B$5:B1605,"Sortie"),6),""))</f>
        <v/>
      </c>
      <c r="L1605" s="39" t="str">
        <f>IF(COUNTA(A1605:C1605,E1605)=0,"",IF(COUNTA(A1605:C1605,E1605)&lt;4,"Ligne incomplète",IF(NOT(ISNUMBER(A1605)),"Date invalide",IF(AND(B1605&lt;&gt;"Entrée",B1605&lt;&gt;"Sortie"),"Type inconnu",IF(ISNA(MATCH(C1605,art_ref,0)),"Référence inconnue",IF(OR(NOT(ISNUMBER(E1605)),N(E1605)&lt;=0),"Quantité invalide",IF(K1605&lt;0,"Stock négatif",IF(AND(ISNUMBER(A1604),A1605&lt;A1604),"Date hors ordre","OK"))))))))</f>
        <v/>
      </c>
      <c r="M1605" s="39" t="str">
        <f>IF(C1605="","",C1605&amp;"#"&amp;COUNTIF($C$5:C1605,C1605))</f>
        <v/>
      </c>
    </row>
    <row r="1606">
      <c r="A1606" s="41" t="n"/>
      <c r="B1606" s="37" t="n"/>
      <c r="C1606" s="37" t="n"/>
      <c r="D1606" s="39" t="str">
        <f>IF(C1606="","",IFERROR(INDEX(art_des,MATCH(C1606,art_ref,0))&amp;"","Référence inconnue"))</f>
        <v/>
      </c>
      <c r="E1606" s="37" t="n"/>
      <c r="F1606" s="39" t="str">
        <f>IF(C1606="","",IFERROR(INDEX(art_unit,MATCH(C1606,art_ref,0))&amp;"",""))</f>
        <v/>
      </c>
      <c r="G1606" s="37" t="n"/>
      <c r="H1606" s="37" t="n"/>
      <c r="I1606" s="37" t="n"/>
      <c r="J1606" s="40" t="str">
        <f>IF(OR(C1606="",NOT(ISNUMBER(E1606))),"",IFERROR(E1606*N(INDEX(art_price,MATCH(C1606,art_ref,0))),""))</f>
        <v/>
      </c>
      <c r="K1606" s="39" t="str">
        <f>IF(OR(C1606="",NOT(ISNUMBER(E1606))),"",IFERROR(ROUND(N(INDEX(art_init,MATCH(C1606,art_ref,0)))+SUMIFS($E$5:E1606,$C$5:C1606,C1606,$B$5:B1606,"Entrée")-SUMIFS($E$5:E1606,$C$5:C1606,C1606,$B$5:B1606,"Sortie"),6),""))</f>
        <v/>
      </c>
      <c r="L1606" s="39" t="str">
        <f>IF(COUNTA(A1606:C1606,E1606)=0,"",IF(COUNTA(A1606:C1606,E1606)&lt;4,"Ligne incomplète",IF(NOT(ISNUMBER(A1606)),"Date invalide",IF(AND(B1606&lt;&gt;"Entrée",B1606&lt;&gt;"Sortie"),"Type inconnu",IF(ISNA(MATCH(C1606,art_ref,0)),"Référence inconnue",IF(OR(NOT(ISNUMBER(E1606)),N(E1606)&lt;=0),"Quantité invalide",IF(K1606&lt;0,"Stock négatif",IF(AND(ISNUMBER(A1605),A1606&lt;A1605),"Date hors ordre","OK"))))))))</f>
        <v/>
      </c>
      <c r="M1606" s="39" t="str">
        <f>IF(C1606="","",C1606&amp;"#"&amp;COUNTIF($C$5:C1606,C1606))</f>
        <v/>
      </c>
    </row>
    <row r="1607">
      <c r="A1607" s="41" t="n"/>
      <c r="B1607" s="37" t="n"/>
      <c r="C1607" s="37" t="n"/>
      <c r="D1607" s="39" t="str">
        <f>IF(C1607="","",IFERROR(INDEX(art_des,MATCH(C1607,art_ref,0))&amp;"","Référence inconnue"))</f>
        <v/>
      </c>
      <c r="E1607" s="37" t="n"/>
      <c r="F1607" s="39" t="str">
        <f>IF(C1607="","",IFERROR(INDEX(art_unit,MATCH(C1607,art_ref,0))&amp;"",""))</f>
        <v/>
      </c>
      <c r="G1607" s="37" t="n"/>
      <c r="H1607" s="37" t="n"/>
      <c r="I1607" s="37" t="n"/>
      <c r="J1607" s="40" t="str">
        <f>IF(OR(C1607="",NOT(ISNUMBER(E1607))),"",IFERROR(E1607*N(INDEX(art_price,MATCH(C1607,art_ref,0))),""))</f>
        <v/>
      </c>
      <c r="K1607" s="39" t="str">
        <f>IF(OR(C1607="",NOT(ISNUMBER(E1607))),"",IFERROR(ROUND(N(INDEX(art_init,MATCH(C1607,art_ref,0)))+SUMIFS($E$5:E1607,$C$5:C1607,C1607,$B$5:B1607,"Entrée")-SUMIFS($E$5:E1607,$C$5:C1607,C1607,$B$5:B1607,"Sortie"),6),""))</f>
        <v/>
      </c>
      <c r="L1607" s="39" t="str">
        <f>IF(COUNTA(A1607:C1607,E1607)=0,"",IF(COUNTA(A1607:C1607,E1607)&lt;4,"Ligne incomplète",IF(NOT(ISNUMBER(A1607)),"Date invalide",IF(AND(B1607&lt;&gt;"Entrée",B1607&lt;&gt;"Sortie"),"Type inconnu",IF(ISNA(MATCH(C1607,art_ref,0)),"Référence inconnue",IF(OR(NOT(ISNUMBER(E1607)),N(E1607)&lt;=0),"Quantité invalide",IF(K1607&lt;0,"Stock négatif",IF(AND(ISNUMBER(A1606),A1607&lt;A1606),"Date hors ordre","OK"))))))))</f>
        <v/>
      </c>
      <c r="M1607" s="39" t="str">
        <f>IF(C1607="","",C1607&amp;"#"&amp;COUNTIF($C$5:C1607,C1607))</f>
        <v/>
      </c>
    </row>
    <row r="1608">
      <c r="A1608" s="41" t="n"/>
      <c r="B1608" s="37" t="n"/>
      <c r="C1608" s="37" t="n"/>
      <c r="D1608" s="39" t="str">
        <f>IF(C1608="","",IFERROR(INDEX(art_des,MATCH(C1608,art_ref,0))&amp;"","Référence inconnue"))</f>
        <v/>
      </c>
      <c r="E1608" s="37" t="n"/>
      <c r="F1608" s="39" t="str">
        <f>IF(C1608="","",IFERROR(INDEX(art_unit,MATCH(C1608,art_ref,0))&amp;"",""))</f>
        <v/>
      </c>
      <c r="G1608" s="37" t="n"/>
      <c r="H1608" s="37" t="n"/>
      <c r="I1608" s="37" t="n"/>
      <c r="J1608" s="40" t="str">
        <f>IF(OR(C1608="",NOT(ISNUMBER(E1608))),"",IFERROR(E1608*N(INDEX(art_price,MATCH(C1608,art_ref,0))),""))</f>
        <v/>
      </c>
      <c r="K1608" s="39" t="str">
        <f>IF(OR(C1608="",NOT(ISNUMBER(E1608))),"",IFERROR(ROUND(N(INDEX(art_init,MATCH(C1608,art_ref,0)))+SUMIFS($E$5:E1608,$C$5:C1608,C1608,$B$5:B1608,"Entrée")-SUMIFS($E$5:E1608,$C$5:C1608,C1608,$B$5:B1608,"Sortie"),6),""))</f>
        <v/>
      </c>
      <c r="L1608" s="39" t="str">
        <f>IF(COUNTA(A1608:C1608,E1608)=0,"",IF(COUNTA(A1608:C1608,E1608)&lt;4,"Ligne incomplète",IF(NOT(ISNUMBER(A1608)),"Date invalide",IF(AND(B1608&lt;&gt;"Entrée",B1608&lt;&gt;"Sortie"),"Type inconnu",IF(ISNA(MATCH(C1608,art_ref,0)),"Référence inconnue",IF(OR(NOT(ISNUMBER(E1608)),N(E1608)&lt;=0),"Quantité invalide",IF(K1608&lt;0,"Stock négatif",IF(AND(ISNUMBER(A1607),A1608&lt;A1607),"Date hors ordre","OK"))))))))</f>
        <v/>
      </c>
      <c r="M1608" s="39" t="str">
        <f>IF(C1608="","",C1608&amp;"#"&amp;COUNTIF($C$5:C1608,C1608))</f>
        <v/>
      </c>
    </row>
    <row r="1609">
      <c r="A1609" s="41" t="n"/>
      <c r="B1609" s="37" t="n"/>
      <c r="C1609" s="37" t="n"/>
      <c r="D1609" s="39" t="str">
        <f>IF(C1609="","",IFERROR(INDEX(art_des,MATCH(C1609,art_ref,0))&amp;"","Référence inconnue"))</f>
        <v/>
      </c>
      <c r="E1609" s="37" t="n"/>
      <c r="F1609" s="39" t="str">
        <f>IF(C1609="","",IFERROR(INDEX(art_unit,MATCH(C1609,art_ref,0))&amp;"",""))</f>
        <v/>
      </c>
      <c r="G1609" s="37" t="n"/>
      <c r="H1609" s="37" t="n"/>
      <c r="I1609" s="37" t="n"/>
      <c r="J1609" s="40" t="str">
        <f>IF(OR(C1609="",NOT(ISNUMBER(E1609))),"",IFERROR(E1609*N(INDEX(art_price,MATCH(C1609,art_ref,0))),""))</f>
        <v/>
      </c>
      <c r="K1609" s="39" t="str">
        <f>IF(OR(C1609="",NOT(ISNUMBER(E1609))),"",IFERROR(ROUND(N(INDEX(art_init,MATCH(C1609,art_ref,0)))+SUMIFS($E$5:E1609,$C$5:C1609,C1609,$B$5:B1609,"Entrée")-SUMIFS($E$5:E1609,$C$5:C1609,C1609,$B$5:B1609,"Sortie"),6),""))</f>
        <v/>
      </c>
      <c r="L1609" s="39" t="str">
        <f>IF(COUNTA(A1609:C1609,E1609)=0,"",IF(COUNTA(A1609:C1609,E1609)&lt;4,"Ligne incomplète",IF(NOT(ISNUMBER(A1609)),"Date invalide",IF(AND(B1609&lt;&gt;"Entrée",B1609&lt;&gt;"Sortie"),"Type inconnu",IF(ISNA(MATCH(C1609,art_ref,0)),"Référence inconnue",IF(OR(NOT(ISNUMBER(E1609)),N(E1609)&lt;=0),"Quantité invalide",IF(K1609&lt;0,"Stock négatif",IF(AND(ISNUMBER(A1608),A1609&lt;A1608),"Date hors ordre","OK"))))))))</f>
        <v/>
      </c>
      <c r="M1609" s="39" t="str">
        <f>IF(C1609="","",C1609&amp;"#"&amp;COUNTIF($C$5:C1609,C1609))</f>
        <v/>
      </c>
    </row>
    <row r="1610">
      <c r="A1610" s="41" t="n"/>
      <c r="B1610" s="37" t="n"/>
      <c r="C1610" s="37" t="n"/>
      <c r="D1610" s="39" t="str">
        <f>IF(C1610="","",IFERROR(INDEX(art_des,MATCH(C1610,art_ref,0))&amp;"","Référence inconnue"))</f>
        <v/>
      </c>
      <c r="E1610" s="37" t="n"/>
      <c r="F1610" s="39" t="str">
        <f>IF(C1610="","",IFERROR(INDEX(art_unit,MATCH(C1610,art_ref,0))&amp;"",""))</f>
        <v/>
      </c>
      <c r="G1610" s="37" t="n"/>
      <c r="H1610" s="37" t="n"/>
      <c r="I1610" s="37" t="n"/>
      <c r="J1610" s="40" t="str">
        <f>IF(OR(C1610="",NOT(ISNUMBER(E1610))),"",IFERROR(E1610*N(INDEX(art_price,MATCH(C1610,art_ref,0))),""))</f>
        <v/>
      </c>
      <c r="K1610" s="39" t="str">
        <f>IF(OR(C1610="",NOT(ISNUMBER(E1610))),"",IFERROR(ROUND(N(INDEX(art_init,MATCH(C1610,art_ref,0)))+SUMIFS($E$5:E1610,$C$5:C1610,C1610,$B$5:B1610,"Entrée")-SUMIFS($E$5:E1610,$C$5:C1610,C1610,$B$5:B1610,"Sortie"),6),""))</f>
        <v/>
      </c>
      <c r="L1610" s="39" t="str">
        <f>IF(COUNTA(A1610:C1610,E1610)=0,"",IF(COUNTA(A1610:C1610,E1610)&lt;4,"Ligne incomplète",IF(NOT(ISNUMBER(A1610)),"Date invalide",IF(AND(B1610&lt;&gt;"Entrée",B1610&lt;&gt;"Sortie"),"Type inconnu",IF(ISNA(MATCH(C1610,art_ref,0)),"Référence inconnue",IF(OR(NOT(ISNUMBER(E1610)),N(E1610)&lt;=0),"Quantité invalide",IF(K1610&lt;0,"Stock négatif",IF(AND(ISNUMBER(A1609),A1610&lt;A1609),"Date hors ordre","OK"))))))))</f>
        <v/>
      </c>
      <c r="M1610" s="39" t="str">
        <f>IF(C1610="","",C1610&amp;"#"&amp;COUNTIF($C$5:C1610,C1610))</f>
        <v/>
      </c>
    </row>
    <row r="1611">
      <c r="A1611" s="41" t="n"/>
      <c r="B1611" s="37" t="n"/>
      <c r="C1611" s="37" t="n"/>
      <c r="D1611" s="39" t="str">
        <f>IF(C1611="","",IFERROR(INDEX(art_des,MATCH(C1611,art_ref,0))&amp;"","Référence inconnue"))</f>
        <v/>
      </c>
      <c r="E1611" s="37" t="n"/>
      <c r="F1611" s="39" t="str">
        <f>IF(C1611="","",IFERROR(INDEX(art_unit,MATCH(C1611,art_ref,0))&amp;"",""))</f>
        <v/>
      </c>
      <c r="G1611" s="37" t="n"/>
      <c r="H1611" s="37" t="n"/>
      <c r="I1611" s="37" t="n"/>
      <c r="J1611" s="40" t="str">
        <f>IF(OR(C1611="",NOT(ISNUMBER(E1611))),"",IFERROR(E1611*N(INDEX(art_price,MATCH(C1611,art_ref,0))),""))</f>
        <v/>
      </c>
      <c r="K1611" s="39" t="str">
        <f>IF(OR(C1611="",NOT(ISNUMBER(E1611))),"",IFERROR(ROUND(N(INDEX(art_init,MATCH(C1611,art_ref,0)))+SUMIFS($E$5:E1611,$C$5:C1611,C1611,$B$5:B1611,"Entrée")-SUMIFS($E$5:E1611,$C$5:C1611,C1611,$B$5:B1611,"Sortie"),6),""))</f>
        <v/>
      </c>
      <c r="L1611" s="39" t="str">
        <f>IF(COUNTA(A1611:C1611,E1611)=0,"",IF(COUNTA(A1611:C1611,E1611)&lt;4,"Ligne incomplète",IF(NOT(ISNUMBER(A1611)),"Date invalide",IF(AND(B1611&lt;&gt;"Entrée",B1611&lt;&gt;"Sortie"),"Type inconnu",IF(ISNA(MATCH(C1611,art_ref,0)),"Référence inconnue",IF(OR(NOT(ISNUMBER(E1611)),N(E1611)&lt;=0),"Quantité invalide",IF(K1611&lt;0,"Stock négatif",IF(AND(ISNUMBER(A1610),A1611&lt;A1610),"Date hors ordre","OK"))))))))</f>
        <v/>
      </c>
      <c r="M1611" s="39" t="str">
        <f>IF(C1611="","",C1611&amp;"#"&amp;COUNTIF($C$5:C1611,C1611))</f>
        <v/>
      </c>
    </row>
    <row r="1612">
      <c r="A1612" s="41" t="n"/>
      <c r="B1612" s="37" t="n"/>
      <c r="C1612" s="37" t="n"/>
      <c r="D1612" s="39" t="str">
        <f>IF(C1612="","",IFERROR(INDEX(art_des,MATCH(C1612,art_ref,0))&amp;"","Référence inconnue"))</f>
        <v/>
      </c>
      <c r="E1612" s="37" t="n"/>
      <c r="F1612" s="39" t="str">
        <f>IF(C1612="","",IFERROR(INDEX(art_unit,MATCH(C1612,art_ref,0))&amp;"",""))</f>
        <v/>
      </c>
      <c r="G1612" s="37" t="n"/>
      <c r="H1612" s="37" t="n"/>
      <c r="I1612" s="37" t="n"/>
      <c r="J1612" s="40" t="str">
        <f>IF(OR(C1612="",NOT(ISNUMBER(E1612))),"",IFERROR(E1612*N(INDEX(art_price,MATCH(C1612,art_ref,0))),""))</f>
        <v/>
      </c>
      <c r="K1612" s="39" t="str">
        <f>IF(OR(C1612="",NOT(ISNUMBER(E1612))),"",IFERROR(ROUND(N(INDEX(art_init,MATCH(C1612,art_ref,0)))+SUMIFS($E$5:E1612,$C$5:C1612,C1612,$B$5:B1612,"Entrée")-SUMIFS($E$5:E1612,$C$5:C1612,C1612,$B$5:B1612,"Sortie"),6),""))</f>
        <v/>
      </c>
      <c r="L1612" s="39" t="str">
        <f>IF(COUNTA(A1612:C1612,E1612)=0,"",IF(COUNTA(A1612:C1612,E1612)&lt;4,"Ligne incomplète",IF(NOT(ISNUMBER(A1612)),"Date invalide",IF(AND(B1612&lt;&gt;"Entrée",B1612&lt;&gt;"Sortie"),"Type inconnu",IF(ISNA(MATCH(C1612,art_ref,0)),"Référence inconnue",IF(OR(NOT(ISNUMBER(E1612)),N(E1612)&lt;=0),"Quantité invalide",IF(K1612&lt;0,"Stock négatif",IF(AND(ISNUMBER(A1611),A1612&lt;A1611),"Date hors ordre","OK"))))))))</f>
        <v/>
      </c>
      <c r="M1612" s="39" t="str">
        <f>IF(C1612="","",C1612&amp;"#"&amp;COUNTIF($C$5:C1612,C1612))</f>
        <v/>
      </c>
    </row>
    <row r="1613">
      <c r="A1613" s="41" t="n"/>
      <c r="B1613" s="37" t="n"/>
      <c r="C1613" s="37" t="n"/>
      <c r="D1613" s="39" t="str">
        <f>IF(C1613="","",IFERROR(INDEX(art_des,MATCH(C1613,art_ref,0))&amp;"","Référence inconnue"))</f>
        <v/>
      </c>
      <c r="E1613" s="37" t="n"/>
      <c r="F1613" s="39" t="str">
        <f>IF(C1613="","",IFERROR(INDEX(art_unit,MATCH(C1613,art_ref,0))&amp;"",""))</f>
        <v/>
      </c>
      <c r="G1613" s="37" t="n"/>
      <c r="H1613" s="37" t="n"/>
      <c r="I1613" s="37" t="n"/>
      <c r="J1613" s="40" t="str">
        <f>IF(OR(C1613="",NOT(ISNUMBER(E1613))),"",IFERROR(E1613*N(INDEX(art_price,MATCH(C1613,art_ref,0))),""))</f>
        <v/>
      </c>
      <c r="K1613" s="39" t="str">
        <f>IF(OR(C1613="",NOT(ISNUMBER(E1613))),"",IFERROR(ROUND(N(INDEX(art_init,MATCH(C1613,art_ref,0)))+SUMIFS($E$5:E1613,$C$5:C1613,C1613,$B$5:B1613,"Entrée")-SUMIFS($E$5:E1613,$C$5:C1613,C1613,$B$5:B1613,"Sortie"),6),""))</f>
        <v/>
      </c>
      <c r="L1613" s="39" t="str">
        <f>IF(COUNTA(A1613:C1613,E1613)=0,"",IF(COUNTA(A1613:C1613,E1613)&lt;4,"Ligne incomplète",IF(NOT(ISNUMBER(A1613)),"Date invalide",IF(AND(B1613&lt;&gt;"Entrée",B1613&lt;&gt;"Sortie"),"Type inconnu",IF(ISNA(MATCH(C1613,art_ref,0)),"Référence inconnue",IF(OR(NOT(ISNUMBER(E1613)),N(E1613)&lt;=0),"Quantité invalide",IF(K1613&lt;0,"Stock négatif",IF(AND(ISNUMBER(A1612),A1613&lt;A1612),"Date hors ordre","OK"))))))))</f>
        <v/>
      </c>
      <c r="M1613" s="39" t="str">
        <f>IF(C1613="","",C1613&amp;"#"&amp;COUNTIF($C$5:C1613,C1613))</f>
        <v/>
      </c>
    </row>
    <row r="1614">
      <c r="A1614" s="41" t="n"/>
      <c r="B1614" s="37" t="n"/>
      <c r="C1614" s="37" t="n"/>
      <c r="D1614" s="39" t="str">
        <f>IF(C1614="","",IFERROR(INDEX(art_des,MATCH(C1614,art_ref,0))&amp;"","Référence inconnue"))</f>
        <v/>
      </c>
      <c r="E1614" s="37" t="n"/>
      <c r="F1614" s="39" t="str">
        <f>IF(C1614="","",IFERROR(INDEX(art_unit,MATCH(C1614,art_ref,0))&amp;"",""))</f>
        <v/>
      </c>
      <c r="G1614" s="37" t="n"/>
      <c r="H1614" s="37" t="n"/>
      <c r="I1614" s="37" t="n"/>
      <c r="J1614" s="40" t="str">
        <f>IF(OR(C1614="",NOT(ISNUMBER(E1614))),"",IFERROR(E1614*N(INDEX(art_price,MATCH(C1614,art_ref,0))),""))</f>
        <v/>
      </c>
      <c r="K1614" s="39" t="str">
        <f>IF(OR(C1614="",NOT(ISNUMBER(E1614))),"",IFERROR(ROUND(N(INDEX(art_init,MATCH(C1614,art_ref,0)))+SUMIFS($E$5:E1614,$C$5:C1614,C1614,$B$5:B1614,"Entrée")-SUMIFS($E$5:E1614,$C$5:C1614,C1614,$B$5:B1614,"Sortie"),6),""))</f>
        <v/>
      </c>
      <c r="L1614" s="39" t="str">
        <f>IF(COUNTA(A1614:C1614,E1614)=0,"",IF(COUNTA(A1614:C1614,E1614)&lt;4,"Ligne incomplète",IF(NOT(ISNUMBER(A1614)),"Date invalide",IF(AND(B1614&lt;&gt;"Entrée",B1614&lt;&gt;"Sortie"),"Type inconnu",IF(ISNA(MATCH(C1614,art_ref,0)),"Référence inconnue",IF(OR(NOT(ISNUMBER(E1614)),N(E1614)&lt;=0),"Quantité invalide",IF(K1614&lt;0,"Stock négatif",IF(AND(ISNUMBER(A1613),A1614&lt;A1613),"Date hors ordre","OK"))))))))</f>
        <v/>
      </c>
      <c r="M1614" s="39" t="str">
        <f>IF(C1614="","",C1614&amp;"#"&amp;COUNTIF($C$5:C1614,C1614))</f>
        <v/>
      </c>
    </row>
    <row r="1615">
      <c r="A1615" s="41" t="n"/>
      <c r="B1615" s="37" t="n"/>
      <c r="C1615" s="37" t="n"/>
      <c r="D1615" s="39" t="str">
        <f>IF(C1615="","",IFERROR(INDEX(art_des,MATCH(C1615,art_ref,0))&amp;"","Référence inconnue"))</f>
        <v/>
      </c>
      <c r="E1615" s="37" t="n"/>
      <c r="F1615" s="39" t="str">
        <f>IF(C1615="","",IFERROR(INDEX(art_unit,MATCH(C1615,art_ref,0))&amp;"",""))</f>
        <v/>
      </c>
      <c r="G1615" s="37" t="n"/>
      <c r="H1615" s="37" t="n"/>
      <c r="I1615" s="37" t="n"/>
      <c r="J1615" s="40" t="str">
        <f>IF(OR(C1615="",NOT(ISNUMBER(E1615))),"",IFERROR(E1615*N(INDEX(art_price,MATCH(C1615,art_ref,0))),""))</f>
        <v/>
      </c>
      <c r="K1615" s="39" t="str">
        <f>IF(OR(C1615="",NOT(ISNUMBER(E1615))),"",IFERROR(ROUND(N(INDEX(art_init,MATCH(C1615,art_ref,0)))+SUMIFS($E$5:E1615,$C$5:C1615,C1615,$B$5:B1615,"Entrée")-SUMIFS($E$5:E1615,$C$5:C1615,C1615,$B$5:B1615,"Sortie"),6),""))</f>
        <v/>
      </c>
      <c r="L1615" s="39" t="str">
        <f>IF(COUNTA(A1615:C1615,E1615)=0,"",IF(COUNTA(A1615:C1615,E1615)&lt;4,"Ligne incomplète",IF(NOT(ISNUMBER(A1615)),"Date invalide",IF(AND(B1615&lt;&gt;"Entrée",B1615&lt;&gt;"Sortie"),"Type inconnu",IF(ISNA(MATCH(C1615,art_ref,0)),"Référence inconnue",IF(OR(NOT(ISNUMBER(E1615)),N(E1615)&lt;=0),"Quantité invalide",IF(K1615&lt;0,"Stock négatif",IF(AND(ISNUMBER(A1614),A1615&lt;A1614),"Date hors ordre","OK"))))))))</f>
        <v/>
      </c>
      <c r="M1615" s="39" t="str">
        <f>IF(C1615="","",C1615&amp;"#"&amp;COUNTIF($C$5:C1615,C1615))</f>
        <v/>
      </c>
    </row>
    <row r="1616">
      <c r="A1616" s="41" t="n"/>
      <c r="B1616" s="37" t="n"/>
      <c r="C1616" s="37" t="n"/>
      <c r="D1616" s="39" t="str">
        <f>IF(C1616="","",IFERROR(INDEX(art_des,MATCH(C1616,art_ref,0))&amp;"","Référence inconnue"))</f>
        <v/>
      </c>
      <c r="E1616" s="37" t="n"/>
      <c r="F1616" s="39" t="str">
        <f>IF(C1616="","",IFERROR(INDEX(art_unit,MATCH(C1616,art_ref,0))&amp;"",""))</f>
        <v/>
      </c>
      <c r="G1616" s="37" t="n"/>
      <c r="H1616" s="37" t="n"/>
      <c r="I1616" s="37" t="n"/>
      <c r="J1616" s="40" t="str">
        <f>IF(OR(C1616="",NOT(ISNUMBER(E1616))),"",IFERROR(E1616*N(INDEX(art_price,MATCH(C1616,art_ref,0))),""))</f>
        <v/>
      </c>
      <c r="K1616" s="39" t="str">
        <f>IF(OR(C1616="",NOT(ISNUMBER(E1616))),"",IFERROR(ROUND(N(INDEX(art_init,MATCH(C1616,art_ref,0)))+SUMIFS($E$5:E1616,$C$5:C1616,C1616,$B$5:B1616,"Entrée")-SUMIFS($E$5:E1616,$C$5:C1616,C1616,$B$5:B1616,"Sortie"),6),""))</f>
        <v/>
      </c>
      <c r="L1616" s="39" t="str">
        <f>IF(COUNTA(A1616:C1616,E1616)=0,"",IF(COUNTA(A1616:C1616,E1616)&lt;4,"Ligne incomplète",IF(NOT(ISNUMBER(A1616)),"Date invalide",IF(AND(B1616&lt;&gt;"Entrée",B1616&lt;&gt;"Sortie"),"Type inconnu",IF(ISNA(MATCH(C1616,art_ref,0)),"Référence inconnue",IF(OR(NOT(ISNUMBER(E1616)),N(E1616)&lt;=0),"Quantité invalide",IF(K1616&lt;0,"Stock négatif",IF(AND(ISNUMBER(A1615),A1616&lt;A1615),"Date hors ordre","OK"))))))))</f>
        <v/>
      </c>
      <c r="M1616" s="39" t="str">
        <f>IF(C1616="","",C1616&amp;"#"&amp;COUNTIF($C$5:C1616,C1616))</f>
        <v/>
      </c>
    </row>
    <row r="1617">
      <c r="A1617" s="41" t="n"/>
      <c r="B1617" s="37" t="n"/>
      <c r="C1617" s="37" t="n"/>
      <c r="D1617" s="39" t="str">
        <f>IF(C1617="","",IFERROR(INDEX(art_des,MATCH(C1617,art_ref,0))&amp;"","Référence inconnue"))</f>
        <v/>
      </c>
      <c r="E1617" s="37" t="n"/>
      <c r="F1617" s="39" t="str">
        <f>IF(C1617="","",IFERROR(INDEX(art_unit,MATCH(C1617,art_ref,0))&amp;"",""))</f>
        <v/>
      </c>
      <c r="G1617" s="37" t="n"/>
      <c r="H1617" s="37" t="n"/>
      <c r="I1617" s="37" t="n"/>
      <c r="J1617" s="40" t="str">
        <f>IF(OR(C1617="",NOT(ISNUMBER(E1617))),"",IFERROR(E1617*N(INDEX(art_price,MATCH(C1617,art_ref,0))),""))</f>
        <v/>
      </c>
      <c r="K1617" s="39" t="str">
        <f>IF(OR(C1617="",NOT(ISNUMBER(E1617))),"",IFERROR(ROUND(N(INDEX(art_init,MATCH(C1617,art_ref,0)))+SUMIFS($E$5:E1617,$C$5:C1617,C1617,$B$5:B1617,"Entrée")-SUMIFS($E$5:E1617,$C$5:C1617,C1617,$B$5:B1617,"Sortie"),6),""))</f>
        <v/>
      </c>
      <c r="L1617" s="39" t="str">
        <f>IF(COUNTA(A1617:C1617,E1617)=0,"",IF(COUNTA(A1617:C1617,E1617)&lt;4,"Ligne incomplète",IF(NOT(ISNUMBER(A1617)),"Date invalide",IF(AND(B1617&lt;&gt;"Entrée",B1617&lt;&gt;"Sortie"),"Type inconnu",IF(ISNA(MATCH(C1617,art_ref,0)),"Référence inconnue",IF(OR(NOT(ISNUMBER(E1617)),N(E1617)&lt;=0),"Quantité invalide",IF(K1617&lt;0,"Stock négatif",IF(AND(ISNUMBER(A1616),A1617&lt;A1616),"Date hors ordre","OK"))))))))</f>
        <v/>
      </c>
      <c r="M1617" s="39" t="str">
        <f>IF(C1617="","",C1617&amp;"#"&amp;COUNTIF($C$5:C1617,C1617))</f>
        <v/>
      </c>
    </row>
    <row r="1618">
      <c r="A1618" s="41" t="n"/>
      <c r="B1618" s="37" t="n"/>
      <c r="C1618" s="37" t="n"/>
      <c r="D1618" s="39" t="str">
        <f>IF(C1618="","",IFERROR(INDEX(art_des,MATCH(C1618,art_ref,0))&amp;"","Référence inconnue"))</f>
        <v/>
      </c>
      <c r="E1618" s="37" t="n"/>
      <c r="F1618" s="39" t="str">
        <f>IF(C1618="","",IFERROR(INDEX(art_unit,MATCH(C1618,art_ref,0))&amp;"",""))</f>
        <v/>
      </c>
      <c r="G1618" s="37" t="n"/>
      <c r="H1618" s="37" t="n"/>
      <c r="I1618" s="37" t="n"/>
      <c r="J1618" s="40" t="str">
        <f>IF(OR(C1618="",NOT(ISNUMBER(E1618))),"",IFERROR(E1618*N(INDEX(art_price,MATCH(C1618,art_ref,0))),""))</f>
        <v/>
      </c>
      <c r="K1618" s="39" t="str">
        <f>IF(OR(C1618="",NOT(ISNUMBER(E1618))),"",IFERROR(ROUND(N(INDEX(art_init,MATCH(C1618,art_ref,0)))+SUMIFS($E$5:E1618,$C$5:C1618,C1618,$B$5:B1618,"Entrée")-SUMIFS($E$5:E1618,$C$5:C1618,C1618,$B$5:B1618,"Sortie"),6),""))</f>
        <v/>
      </c>
      <c r="L1618" s="39" t="str">
        <f>IF(COUNTA(A1618:C1618,E1618)=0,"",IF(COUNTA(A1618:C1618,E1618)&lt;4,"Ligne incomplète",IF(NOT(ISNUMBER(A1618)),"Date invalide",IF(AND(B1618&lt;&gt;"Entrée",B1618&lt;&gt;"Sortie"),"Type inconnu",IF(ISNA(MATCH(C1618,art_ref,0)),"Référence inconnue",IF(OR(NOT(ISNUMBER(E1618)),N(E1618)&lt;=0),"Quantité invalide",IF(K1618&lt;0,"Stock négatif",IF(AND(ISNUMBER(A1617),A1618&lt;A1617),"Date hors ordre","OK"))))))))</f>
        <v/>
      </c>
      <c r="M1618" s="39" t="str">
        <f>IF(C1618="","",C1618&amp;"#"&amp;COUNTIF($C$5:C1618,C1618))</f>
        <v/>
      </c>
    </row>
    <row r="1619">
      <c r="A1619" s="41" t="n"/>
      <c r="B1619" s="37" t="n"/>
      <c r="C1619" s="37" t="n"/>
      <c r="D1619" s="39" t="str">
        <f>IF(C1619="","",IFERROR(INDEX(art_des,MATCH(C1619,art_ref,0))&amp;"","Référence inconnue"))</f>
        <v/>
      </c>
      <c r="E1619" s="37" t="n"/>
      <c r="F1619" s="39" t="str">
        <f>IF(C1619="","",IFERROR(INDEX(art_unit,MATCH(C1619,art_ref,0))&amp;"",""))</f>
        <v/>
      </c>
      <c r="G1619" s="37" t="n"/>
      <c r="H1619" s="37" t="n"/>
      <c r="I1619" s="37" t="n"/>
      <c r="J1619" s="40" t="str">
        <f>IF(OR(C1619="",NOT(ISNUMBER(E1619))),"",IFERROR(E1619*N(INDEX(art_price,MATCH(C1619,art_ref,0))),""))</f>
        <v/>
      </c>
      <c r="K1619" s="39" t="str">
        <f>IF(OR(C1619="",NOT(ISNUMBER(E1619))),"",IFERROR(ROUND(N(INDEX(art_init,MATCH(C1619,art_ref,0)))+SUMIFS($E$5:E1619,$C$5:C1619,C1619,$B$5:B1619,"Entrée")-SUMIFS($E$5:E1619,$C$5:C1619,C1619,$B$5:B1619,"Sortie"),6),""))</f>
        <v/>
      </c>
      <c r="L1619" s="39" t="str">
        <f>IF(COUNTA(A1619:C1619,E1619)=0,"",IF(COUNTA(A1619:C1619,E1619)&lt;4,"Ligne incomplète",IF(NOT(ISNUMBER(A1619)),"Date invalide",IF(AND(B1619&lt;&gt;"Entrée",B1619&lt;&gt;"Sortie"),"Type inconnu",IF(ISNA(MATCH(C1619,art_ref,0)),"Référence inconnue",IF(OR(NOT(ISNUMBER(E1619)),N(E1619)&lt;=0),"Quantité invalide",IF(K1619&lt;0,"Stock négatif",IF(AND(ISNUMBER(A1618),A1619&lt;A1618),"Date hors ordre","OK"))))))))</f>
        <v/>
      </c>
      <c r="M1619" s="39" t="str">
        <f>IF(C1619="","",C1619&amp;"#"&amp;COUNTIF($C$5:C1619,C1619))</f>
        <v/>
      </c>
    </row>
    <row r="1620">
      <c r="A1620" s="41" t="n"/>
      <c r="B1620" s="37" t="n"/>
      <c r="C1620" s="37" t="n"/>
      <c r="D1620" s="39" t="str">
        <f>IF(C1620="","",IFERROR(INDEX(art_des,MATCH(C1620,art_ref,0))&amp;"","Référence inconnue"))</f>
        <v/>
      </c>
      <c r="E1620" s="37" t="n"/>
      <c r="F1620" s="39" t="str">
        <f>IF(C1620="","",IFERROR(INDEX(art_unit,MATCH(C1620,art_ref,0))&amp;"",""))</f>
        <v/>
      </c>
      <c r="G1620" s="37" t="n"/>
      <c r="H1620" s="37" t="n"/>
      <c r="I1620" s="37" t="n"/>
      <c r="J1620" s="40" t="str">
        <f>IF(OR(C1620="",NOT(ISNUMBER(E1620))),"",IFERROR(E1620*N(INDEX(art_price,MATCH(C1620,art_ref,0))),""))</f>
        <v/>
      </c>
      <c r="K1620" s="39" t="str">
        <f>IF(OR(C1620="",NOT(ISNUMBER(E1620))),"",IFERROR(ROUND(N(INDEX(art_init,MATCH(C1620,art_ref,0)))+SUMIFS($E$5:E1620,$C$5:C1620,C1620,$B$5:B1620,"Entrée")-SUMIFS($E$5:E1620,$C$5:C1620,C1620,$B$5:B1620,"Sortie"),6),""))</f>
        <v/>
      </c>
      <c r="L1620" s="39" t="str">
        <f>IF(COUNTA(A1620:C1620,E1620)=0,"",IF(COUNTA(A1620:C1620,E1620)&lt;4,"Ligne incomplète",IF(NOT(ISNUMBER(A1620)),"Date invalide",IF(AND(B1620&lt;&gt;"Entrée",B1620&lt;&gt;"Sortie"),"Type inconnu",IF(ISNA(MATCH(C1620,art_ref,0)),"Référence inconnue",IF(OR(NOT(ISNUMBER(E1620)),N(E1620)&lt;=0),"Quantité invalide",IF(K1620&lt;0,"Stock négatif",IF(AND(ISNUMBER(A1619),A1620&lt;A1619),"Date hors ordre","OK"))))))))</f>
        <v/>
      </c>
      <c r="M1620" s="39" t="str">
        <f>IF(C1620="","",C1620&amp;"#"&amp;COUNTIF($C$5:C1620,C1620))</f>
        <v/>
      </c>
    </row>
    <row r="1621">
      <c r="A1621" s="41" t="n"/>
      <c r="B1621" s="37" t="n"/>
      <c r="C1621" s="37" t="n"/>
      <c r="D1621" s="39" t="str">
        <f>IF(C1621="","",IFERROR(INDEX(art_des,MATCH(C1621,art_ref,0))&amp;"","Référence inconnue"))</f>
        <v/>
      </c>
      <c r="E1621" s="37" t="n"/>
      <c r="F1621" s="39" t="str">
        <f>IF(C1621="","",IFERROR(INDEX(art_unit,MATCH(C1621,art_ref,0))&amp;"",""))</f>
        <v/>
      </c>
      <c r="G1621" s="37" t="n"/>
      <c r="H1621" s="37" t="n"/>
      <c r="I1621" s="37" t="n"/>
      <c r="J1621" s="40" t="str">
        <f>IF(OR(C1621="",NOT(ISNUMBER(E1621))),"",IFERROR(E1621*N(INDEX(art_price,MATCH(C1621,art_ref,0))),""))</f>
        <v/>
      </c>
      <c r="K1621" s="39" t="str">
        <f>IF(OR(C1621="",NOT(ISNUMBER(E1621))),"",IFERROR(ROUND(N(INDEX(art_init,MATCH(C1621,art_ref,0)))+SUMIFS($E$5:E1621,$C$5:C1621,C1621,$B$5:B1621,"Entrée")-SUMIFS($E$5:E1621,$C$5:C1621,C1621,$B$5:B1621,"Sortie"),6),""))</f>
        <v/>
      </c>
      <c r="L1621" s="39" t="str">
        <f>IF(COUNTA(A1621:C1621,E1621)=0,"",IF(COUNTA(A1621:C1621,E1621)&lt;4,"Ligne incomplète",IF(NOT(ISNUMBER(A1621)),"Date invalide",IF(AND(B1621&lt;&gt;"Entrée",B1621&lt;&gt;"Sortie"),"Type inconnu",IF(ISNA(MATCH(C1621,art_ref,0)),"Référence inconnue",IF(OR(NOT(ISNUMBER(E1621)),N(E1621)&lt;=0),"Quantité invalide",IF(K1621&lt;0,"Stock négatif",IF(AND(ISNUMBER(A1620),A1621&lt;A1620),"Date hors ordre","OK"))))))))</f>
        <v/>
      </c>
      <c r="M1621" s="39" t="str">
        <f>IF(C1621="","",C1621&amp;"#"&amp;COUNTIF($C$5:C1621,C1621))</f>
        <v/>
      </c>
    </row>
    <row r="1622">
      <c r="A1622" s="41" t="n"/>
      <c r="B1622" s="37" t="n"/>
      <c r="C1622" s="37" t="n"/>
      <c r="D1622" s="39" t="str">
        <f>IF(C1622="","",IFERROR(INDEX(art_des,MATCH(C1622,art_ref,0))&amp;"","Référence inconnue"))</f>
        <v/>
      </c>
      <c r="E1622" s="37" t="n"/>
      <c r="F1622" s="39" t="str">
        <f>IF(C1622="","",IFERROR(INDEX(art_unit,MATCH(C1622,art_ref,0))&amp;"",""))</f>
        <v/>
      </c>
      <c r="G1622" s="37" t="n"/>
      <c r="H1622" s="37" t="n"/>
      <c r="I1622" s="37" t="n"/>
      <c r="J1622" s="40" t="str">
        <f>IF(OR(C1622="",NOT(ISNUMBER(E1622))),"",IFERROR(E1622*N(INDEX(art_price,MATCH(C1622,art_ref,0))),""))</f>
        <v/>
      </c>
      <c r="K1622" s="39" t="str">
        <f>IF(OR(C1622="",NOT(ISNUMBER(E1622))),"",IFERROR(ROUND(N(INDEX(art_init,MATCH(C1622,art_ref,0)))+SUMIFS($E$5:E1622,$C$5:C1622,C1622,$B$5:B1622,"Entrée")-SUMIFS($E$5:E1622,$C$5:C1622,C1622,$B$5:B1622,"Sortie"),6),""))</f>
        <v/>
      </c>
      <c r="L1622" s="39" t="str">
        <f>IF(COUNTA(A1622:C1622,E1622)=0,"",IF(COUNTA(A1622:C1622,E1622)&lt;4,"Ligne incomplète",IF(NOT(ISNUMBER(A1622)),"Date invalide",IF(AND(B1622&lt;&gt;"Entrée",B1622&lt;&gt;"Sortie"),"Type inconnu",IF(ISNA(MATCH(C1622,art_ref,0)),"Référence inconnue",IF(OR(NOT(ISNUMBER(E1622)),N(E1622)&lt;=0),"Quantité invalide",IF(K1622&lt;0,"Stock négatif",IF(AND(ISNUMBER(A1621),A1622&lt;A1621),"Date hors ordre","OK"))))))))</f>
        <v/>
      </c>
      <c r="M1622" s="39" t="str">
        <f>IF(C1622="","",C1622&amp;"#"&amp;COUNTIF($C$5:C1622,C1622))</f>
        <v/>
      </c>
    </row>
    <row r="1623">
      <c r="A1623" s="41" t="n"/>
      <c r="B1623" s="37" t="n"/>
      <c r="C1623" s="37" t="n"/>
      <c r="D1623" s="39" t="str">
        <f>IF(C1623="","",IFERROR(INDEX(art_des,MATCH(C1623,art_ref,0))&amp;"","Référence inconnue"))</f>
        <v/>
      </c>
      <c r="E1623" s="37" t="n"/>
      <c r="F1623" s="39" t="str">
        <f>IF(C1623="","",IFERROR(INDEX(art_unit,MATCH(C1623,art_ref,0))&amp;"",""))</f>
        <v/>
      </c>
      <c r="G1623" s="37" t="n"/>
      <c r="H1623" s="37" t="n"/>
      <c r="I1623" s="37" t="n"/>
      <c r="J1623" s="40" t="str">
        <f>IF(OR(C1623="",NOT(ISNUMBER(E1623))),"",IFERROR(E1623*N(INDEX(art_price,MATCH(C1623,art_ref,0))),""))</f>
        <v/>
      </c>
      <c r="K1623" s="39" t="str">
        <f>IF(OR(C1623="",NOT(ISNUMBER(E1623))),"",IFERROR(ROUND(N(INDEX(art_init,MATCH(C1623,art_ref,0)))+SUMIFS($E$5:E1623,$C$5:C1623,C1623,$B$5:B1623,"Entrée")-SUMIFS($E$5:E1623,$C$5:C1623,C1623,$B$5:B1623,"Sortie"),6),""))</f>
        <v/>
      </c>
      <c r="L1623" s="39" t="str">
        <f>IF(COUNTA(A1623:C1623,E1623)=0,"",IF(COUNTA(A1623:C1623,E1623)&lt;4,"Ligne incomplète",IF(NOT(ISNUMBER(A1623)),"Date invalide",IF(AND(B1623&lt;&gt;"Entrée",B1623&lt;&gt;"Sortie"),"Type inconnu",IF(ISNA(MATCH(C1623,art_ref,0)),"Référence inconnue",IF(OR(NOT(ISNUMBER(E1623)),N(E1623)&lt;=0),"Quantité invalide",IF(K1623&lt;0,"Stock négatif",IF(AND(ISNUMBER(A1622),A1623&lt;A1622),"Date hors ordre","OK"))))))))</f>
        <v/>
      </c>
      <c r="M1623" s="39" t="str">
        <f>IF(C1623="","",C1623&amp;"#"&amp;COUNTIF($C$5:C1623,C1623))</f>
        <v/>
      </c>
    </row>
    <row r="1624">
      <c r="A1624" s="41" t="n"/>
      <c r="B1624" s="37" t="n"/>
      <c r="C1624" s="37" t="n"/>
      <c r="D1624" s="39" t="str">
        <f>IF(C1624="","",IFERROR(INDEX(art_des,MATCH(C1624,art_ref,0))&amp;"","Référence inconnue"))</f>
        <v/>
      </c>
      <c r="E1624" s="37" t="n"/>
      <c r="F1624" s="39" t="str">
        <f>IF(C1624="","",IFERROR(INDEX(art_unit,MATCH(C1624,art_ref,0))&amp;"",""))</f>
        <v/>
      </c>
      <c r="G1624" s="37" t="n"/>
      <c r="H1624" s="37" t="n"/>
      <c r="I1624" s="37" t="n"/>
      <c r="J1624" s="40" t="str">
        <f>IF(OR(C1624="",NOT(ISNUMBER(E1624))),"",IFERROR(E1624*N(INDEX(art_price,MATCH(C1624,art_ref,0))),""))</f>
        <v/>
      </c>
      <c r="K1624" s="39" t="str">
        <f>IF(OR(C1624="",NOT(ISNUMBER(E1624))),"",IFERROR(ROUND(N(INDEX(art_init,MATCH(C1624,art_ref,0)))+SUMIFS($E$5:E1624,$C$5:C1624,C1624,$B$5:B1624,"Entrée")-SUMIFS($E$5:E1624,$C$5:C1624,C1624,$B$5:B1624,"Sortie"),6),""))</f>
        <v/>
      </c>
      <c r="L1624" s="39" t="str">
        <f>IF(COUNTA(A1624:C1624,E1624)=0,"",IF(COUNTA(A1624:C1624,E1624)&lt;4,"Ligne incomplète",IF(NOT(ISNUMBER(A1624)),"Date invalide",IF(AND(B1624&lt;&gt;"Entrée",B1624&lt;&gt;"Sortie"),"Type inconnu",IF(ISNA(MATCH(C1624,art_ref,0)),"Référence inconnue",IF(OR(NOT(ISNUMBER(E1624)),N(E1624)&lt;=0),"Quantité invalide",IF(K1624&lt;0,"Stock négatif",IF(AND(ISNUMBER(A1623),A1624&lt;A1623),"Date hors ordre","OK"))))))))</f>
        <v/>
      </c>
      <c r="M1624" s="39" t="str">
        <f>IF(C1624="","",C1624&amp;"#"&amp;COUNTIF($C$5:C1624,C1624))</f>
        <v/>
      </c>
    </row>
    <row r="1625">
      <c r="A1625" s="41" t="n"/>
      <c r="B1625" s="37" t="n"/>
      <c r="C1625" s="37" t="n"/>
      <c r="D1625" s="39" t="str">
        <f>IF(C1625="","",IFERROR(INDEX(art_des,MATCH(C1625,art_ref,0))&amp;"","Référence inconnue"))</f>
        <v/>
      </c>
      <c r="E1625" s="37" t="n"/>
      <c r="F1625" s="39" t="str">
        <f>IF(C1625="","",IFERROR(INDEX(art_unit,MATCH(C1625,art_ref,0))&amp;"",""))</f>
        <v/>
      </c>
      <c r="G1625" s="37" t="n"/>
      <c r="H1625" s="37" t="n"/>
      <c r="I1625" s="37" t="n"/>
      <c r="J1625" s="40" t="str">
        <f>IF(OR(C1625="",NOT(ISNUMBER(E1625))),"",IFERROR(E1625*N(INDEX(art_price,MATCH(C1625,art_ref,0))),""))</f>
        <v/>
      </c>
      <c r="K1625" s="39" t="str">
        <f>IF(OR(C1625="",NOT(ISNUMBER(E1625))),"",IFERROR(ROUND(N(INDEX(art_init,MATCH(C1625,art_ref,0)))+SUMIFS($E$5:E1625,$C$5:C1625,C1625,$B$5:B1625,"Entrée")-SUMIFS($E$5:E1625,$C$5:C1625,C1625,$B$5:B1625,"Sortie"),6),""))</f>
        <v/>
      </c>
      <c r="L1625" s="39" t="str">
        <f>IF(COUNTA(A1625:C1625,E1625)=0,"",IF(COUNTA(A1625:C1625,E1625)&lt;4,"Ligne incomplète",IF(NOT(ISNUMBER(A1625)),"Date invalide",IF(AND(B1625&lt;&gt;"Entrée",B1625&lt;&gt;"Sortie"),"Type inconnu",IF(ISNA(MATCH(C1625,art_ref,0)),"Référence inconnue",IF(OR(NOT(ISNUMBER(E1625)),N(E1625)&lt;=0),"Quantité invalide",IF(K1625&lt;0,"Stock négatif",IF(AND(ISNUMBER(A1624),A1625&lt;A1624),"Date hors ordre","OK"))))))))</f>
        <v/>
      </c>
      <c r="M1625" s="39" t="str">
        <f>IF(C1625="","",C1625&amp;"#"&amp;COUNTIF($C$5:C1625,C1625))</f>
        <v/>
      </c>
    </row>
    <row r="1626">
      <c r="A1626" s="41" t="n"/>
      <c r="B1626" s="37" t="n"/>
      <c r="C1626" s="37" t="n"/>
      <c r="D1626" s="39" t="str">
        <f>IF(C1626="","",IFERROR(INDEX(art_des,MATCH(C1626,art_ref,0))&amp;"","Référence inconnue"))</f>
        <v/>
      </c>
      <c r="E1626" s="37" t="n"/>
      <c r="F1626" s="39" t="str">
        <f>IF(C1626="","",IFERROR(INDEX(art_unit,MATCH(C1626,art_ref,0))&amp;"",""))</f>
        <v/>
      </c>
      <c r="G1626" s="37" t="n"/>
      <c r="H1626" s="37" t="n"/>
      <c r="I1626" s="37" t="n"/>
      <c r="J1626" s="40" t="str">
        <f>IF(OR(C1626="",NOT(ISNUMBER(E1626))),"",IFERROR(E1626*N(INDEX(art_price,MATCH(C1626,art_ref,0))),""))</f>
        <v/>
      </c>
      <c r="K1626" s="39" t="str">
        <f>IF(OR(C1626="",NOT(ISNUMBER(E1626))),"",IFERROR(ROUND(N(INDEX(art_init,MATCH(C1626,art_ref,0)))+SUMIFS($E$5:E1626,$C$5:C1626,C1626,$B$5:B1626,"Entrée")-SUMIFS($E$5:E1626,$C$5:C1626,C1626,$B$5:B1626,"Sortie"),6),""))</f>
        <v/>
      </c>
      <c r="L1626" s="39" t="str">
        <f>IF(COUNTA(A1626:C1626,E1626)=0,"",IF(COUNTA(A1626:C1626,E1626)&lt;4,"Ligne incomplète",IF(NOT(ISNUMBER(A1626)),"Date invalide",IF(AND(B1626&lt;&gt;"Entrée",B1626&lt;&gt;"Sortie"),"Type inconnu",IF(ISNA(MATCH(C1626,art_ref,0)),"Référence inconnue",IF(OR(NOT(ISNUMBER(E1626)),N(E1626)&lt;=0),"Quantité invalide",IF(K1626&lt;0,"Stock négatif",IF(AND(ISNUMBER(A1625),A1626&lt;A1625),"Date hors ordre","OK"))))))))</f>
        <v/>
      </c>
      <c r="M1626" s="39" t="str">
        <f>IF(C1626="","",C1626&amp;"#"&amp;COUNTIF($C$5:C1626,C1626))</f>
        <v/>
      </c>
    </row>
    <row r="1627">
      <c r="A1627" s="41" t="n"/>
      <c r="B1627" s="37" t="n"/>
      <c r="C1627" s="37" t="n"/>
      <c r="D1627" s="39" t="str">
        <f>IF(C1627="","",IFERROR(INDEX(art_des,MATCH(C1627,art_ref,0))&amp;"","Référence inconnue"))</f>
        <v/>
      </c>
      <c r="E1627" s="37" t="n"/>
      <c r="F1627" s="39" t="str">
        <f>IF(C1627="","",IFERROR(INDEX(art_unit,MATCH(C1627,art_ref,0))&amp;"",""))</f>
        <v/>
      </c>
      <c r="G1627" s="37" t="n"/>
      <c r="H1627" s="37" t="n"/>
      <c r="I1627" s="37" t="n"/>
      <c r="J1627" s="40" t="str">
        <f>IF(OR(C1627="",NOT(ISNUMBER(E1627))),"",IFERROR(E1627*N(INDEX(art_price,MATCH(C1627,art_ref,0))),""))</f>
        <v/>
      </c>
      <c r="K1627" s="39" t="str">
        <f>IF(OR(C1627="",NOT(ISNUMBER(E1627))),"",IFERROR(ROUND(N(INDEX(art_init,MATCH(C1627,art_ref,0)))+SUMIFS($E$5:E1627,$C$5:C1627,C1627,$B$5:B1627,"Entrée")-SUMIFS($E$5:E1627,$C$5:C1627,C1627,$B$5:B1627,"Sortie"),6),""))</f>
        <v/>
      </c>
      <c r="L1627" s="39" t="str">
        <f>IF(COUNTA(A1627:C1627,E1627)=0,"",IF(COUNTA(A1627:C1627,E1627)&lt;4,"Ligne incomplète",IF(NOT(ISNUMBER(A1627)),"Date invalide",IF(AND(B1627&lt;&gt;"Entrée",B1627&lt;&gt;"Sortie"),"Type inconnu",IF(ISNA(MATCH(C1627,art_ref,0)),"Référence inconnue",IF(OR(NOT(ISNUMBER(E1627)),N(E1627)&lt;=0),"Quantité invalide",IF(K1627&lt;0,"Stock négatif",IF(AND(ISNUMBER(A1626),A1627&lt;A1626),"Date hors ordre","OK"))))))))</f>
        <v/>
      </c>
      <c r="M1627" s="39" t="str">
        <f>IF(C1627="","",C1627&amp;"#"&amp;COUNTIF($C$5:C1627,C1627))</f>
        <v/>
      </c>
    </row>
    <row r="1628">
      <c r="A1628" s="41" t="n"/>
      <c r="B1628" s="37" t="n"/>
      <c r="C1628" s="37" t="n"/>
      <c r="D1628" s="39" t="str">
        <f>IF(C1628="","",IFERROR(INDEX(art_des,MATCH(C1628,art_ref,0))&amp;"","Référence inconnue"))</f>
        <v/>
      </c>
      <c r="E1628" s="37" t="n"/>
      <c r="F1628" s="39" t="str">
        <f>IF(C1628="","",IFERROR(INDEX(art_unit,MATCH(C1628,art_ref,0))&amp;"",""))</f>
        <v/>
      </c>
      <c r="G1628" s="37" t="n"/>
      <c r="H1628" s="37" t="n"/>
      <c r="I1628" s="37" t="n"/>
      <c r="J1628" s="40" t="str">
        <f>IF(OR(C1628="",NOT(ISNUMBER(E1628))),"",IFERROR(E1628*N(INDEX(art_price,MATCH(C1628,art_ref,0))),""))</f>
        <v/>
      </c>
      <c r="K1628" s="39" t="str">
        <f>IF(OR(C1628="",NOT(ISNUMBER(E1628))),"",IFERROR(ROUND(N(INDEX(art_init,MATCH(C1628,art_ref,0)))+SUMIFS($E$5:E1628,$C$5:C1628,C1628,$B$5:B1628,"Entrée")-SUMIFS($E$5:E1628,$C$5:C1628,C1628,$B$5:B1628,"Sortie"),6),""))</f>
        <v/>
      </c>
      <c r="L1628" s="39" t="str">
        <f>IF(COUNTA(A1628:C1628,E1628)=0,"",IF(COUNTA(A1628:C1628,E1628)&lt;4,"Ligne incomplète",IF(NOT(ISNUMBER(A1628)),"Date invalide",IF(AND(B1628&lt;&gt;"Entrée",B1628&lt;&gt;"Sortie"),"Type inconnu",IF(ISNA(MATCH(C1628,art_ref,0)),"Référence inconnue",IF(OR(NOT(ISNUMBER(E1628)),N(E1628)&lt;=0),"Quantité invalide",IF(K1628&lt;0,"Stock négatif",IF(AND(ISNUMBER(A1627),A1628&lt;A1627),"Date hors ordre","OK"))))))))</f>
        <v/>
      </c>
      <c r="M1628" s="39" t="str">
        <f>IF(C1628="","",C1628&amp;"#"&amp;COUNTIF($C$5:C1628,C1628))</f>
        <v/>
      </c>
    </row>
    <row r="1629">
      <c r="A1629" s="41" t="n"/>
      <c r="B1629" s="37" t="n"/>
      <c r="C1629" s="37" t="n"/>
      <c r="D1629" s="39" t="str">
        <f>IF(C1629="","",IFERROR(INDEX(art_des,MATCH(C1629,art_ref,0))&amp;"","Référence inconnue"))</f>
        <v/>
      </c>
      <c r="E1629" s="37" t="n"/>
      <c r="F1629" s="39" t="str">
        <f>IF(C1629="","",IFERROR(INDEX(art_unit,MATCH(C1629,art_ref,0))&amp;"",""))</f>
        <v/>
      </c>
      <c r="G1629" s="37" t="n"/>
      <c r="H1629" s="37" t="n"/>
      <c r="I1629" s="37" t="n"/>
      <c r="J1629" s="40" t="str">
        <f>IF(OR(C1629="",NOT(ISNUMBER(E1629))),"",IFERROR(E1629*N(INDEX(art_price,MATCH(C1629,art_ref,0))),""))</f>
        <v/>
      </c>
      <c r="K1629" s="39" t="str">
        <f>IF(OR(C1629="",NOT(ISNUMBER(E1629))),"",IFERROR(ROUND(N(INDEX(art_init,MATCH(C1629,art_ref,0)))+SUMIFS($E$5:E1629,$C$5:C1629,C1629,$B$5:B1629,"Entrée")-SUMIFS($E$5:E1629,$C$5:C1629,C1629,$B$5:B1629,"Sortie"),6),""))</f>
        <v/>
      </c>
      <c r="L1629" s="39" t="str">
        <f>IF(COUNTA(A1629:C1629,E1629)=0,"",IF(COUNTA(A1629:C1629,E1629)&lt;4,"Ligne incomplète",IF(NOT(ISNUMBER(A1629)),"Date invalide",IF(AND(B1629&lt;&gt;"Entrée",B1629&lt;&gt;"Sortie"),"Type inconnu",IF(ISNA(MATCH(C1629,art_ref,0)),"Référence inconnue",IF(OR(NOT(ISNUMBER(E1629)),N(E1629)&lt;=0),"Quantité invalide",IF(K1629&lt;0,"Stock négatif",IF(AND(ISNUMBER(A1628),A1629&lt;A1628),"Date hors ordre","OK"))))))))</f>
        <v/>
      </c>
      <c r="M1629" s="39" t="str">
        <f>IF(C1629="","",C1629&amp;"#"&amp;COUNTIF($C$5:C1629,C1629))</f>
        <v/>
      </c>
    </row>
    <row r="1630">
      <c r="A1630" s="41" t="n"/>
      <c r="B1630" s="37" t="n"/>
      <c r="C1630" s="37" t="n"/>
      <c r="D1630" s="39" t="str">
        <f>IF(C1630="","",IFERROR(INDEX(art_des,MATCH(C1630,art_ref,0))&amp;"","Référence inconnue"))</f>
        <v/>
      </c>
      <c r="E1630" s="37" t="n"/>
      <c r="F1630" s="39" t="str">
        <f>IF(C1630="","",IFERROR(INDEX(art_unit,MATCH(C1630,art_ref,0))&amp;"",""))</f>
        <v/>
      </c>
      <c r="G1630" s="37" t="n"/>
      <c r="H1630" s="37" t="n"/>
      <c r="I1630" s="37" t="n"/>
      <c r="J1630" s="40" t="str">
        <f>IF(OR(C1630="",NOT(ISNUMBER(E1630))),"",IFERROR(E1630*N(INDEX(art_price,MATCH(C1630,art_ref,0))),""))</f>
        <v/>
      </c>
      <c r="K1630" s="39" t="str">
        <f>IF(OR(C1630="",NOT(ISNUMBER(E1630))),"",IFERROR(ROUND(N(INDEX(art_init,MATCH(C1630,art_ref,0)))+SUMIFS($E$5:E1630,$C$5:C1630,C1630,$B$5:B1630,"Entrée")-SUMIFS($E$5:E1630,$C$5:C1630,C1630,$B$5:B1630,"Sortie"),6),""))</f>
        <v/>
      </c>
      <c r="L1630" s="39" t="str">
        <f>IF(COUNTA(A1630:C1630,E1630)=0,"",IF(COUNTA(A1630:C1630,E1630)&lt;4,"Ligne incomplète",IF(NOT(ISNUMBER(A1630)),"Date invalide",IF(AND(B1630&lt;&gt;"Entrée",B1630&lt;&gt;"Sortie"),"Type inconnu",IF(ISNA(MATCH(C1630,art_ref,0)),"Référence inconnue",IF(OR(NOT(ISNUMBER(E1630)),N(E1630)&lt;=0),"Quantité invalide",IF(K1630&lt;0,"Stock négatif",IF(AND(ISNUMBER(A1629),A1630&lt;A1629),"Date hors ordre","OK"))))))))</f>
        <v/>
      </c>
      <c r="M1630" s="39" t="str">
        <f>IF(C1630="","",C1630&amp;"#"&amp;COUNTIF($C$5:C1630,C1630))</f>
        <v/>
      </c>
    </row>
    <row r="1631">
      <c r="A1631" s="41" t="n"/>
      <c r="B1631" s="37" t="n"/>
      <c r="C1631" s="37" t="n"/>
      <c r="D1631" s="39" t="str">
        <f>IF(C1631="","",IFERROR(INDEX(art_des,MATCH(C1631,art_ref,0))&amp;"","Référence inconnue"))</f>
        <v/>
      </c>
      <c r="E1631" s="37" t="n"/>
      <c r="F1631" s="39" t="str">
        <f>IF(C1631="","",IFERROR(INDEX(art_unit,MATCH(C1631,art_ref,0))&amp;"",""))</f>
        <v/>
      </c>
      <c r="G1631" s="37" t="n"/>
      <c r="H1631" s="37" t="n"/>
      <c r="I1631" s="37" t="n"/>
      <c r="J1631" s="40" t="str">
        <f>IF(OR(C1631="",NOT(ISNUMBER(E1631))),"",IFERROR(E1631*N(INDEX(art_price,MATCH(C1631,art_ref,0))),""))</f>
        <v/>
      </c>
      <c r="K1631" s="39" t="str">
        <f>IF(OR(C1631="",NOT(ISNUMBER(E1631))),"",IFERROR(ROUND(N(INDEX(art_init,MATCH(C1631,art_ref,0)))+SUMIFS($E$5:E1631,$C$5:C1631,C1631,$B$5:B1631,"Entrée")-SUMIFS($E$5:E1631,$C$5:C1631,C1631,$B$5:B1631,"Sortie"),6),""))</f>
        <v/>
      </c>
      <c r="L1631" s="39" t="str">
        <f>IF(COUNTA(A1631:C1631,E1631)=0,"",IF(COUNTA(A1631:C1631,E1631)&lt;4,"Ligne incomplète",IF(NOT(ISNUMBER(A1631)),"Date invalide",IF(AND(B1631&lt;&gt;"Entrée",B1631&lt;&gt;"Sortie"),"Type inconnu",IF(ISNA(MATCH(C1631,art_ref,0)),"Référence inconnue",IF(OR(NOT(ISNUMBER(E1631)),N(E1631)&lt;=0),"Quantité invalide",IF(K1631&lt;0,"Stock négatif",IF(AND(ISNUMBER(A1630),A1631&lt;A1630),"Date hors ordre","OK"))))))))</f>
        <v/>
      </c>
      <c r="M1631" s="39" t="str">
        <f>IF(C1631="","",C1631&amp;"#"&amp;COUNTIF($C$5:C1631,C1631))</f>
        <v/>
      </c>
    </row>
    <row r="1632">
      <c r="A1632" s="41" t="n"/>
      <c r="B1632" s="37" t="n"/>
      <c r="C1632" s="37" t="n"/>
      <c r="D1632" s="39" t="str">
        <f>IF(C1632="","",IFERROR(INDEX(art_des,MATCH(C1632,art_ref,0))&amp;"","Référence inconnue"))</f>
        <v/>
      </c>
      <c r="E1632" s="37" t="n"/>
      <c r="F1632" s="39" t="str">
        <f>IF(C1632="","",IFERROR(INDEX(art_unit,MATCH(C1632,art_ref,0))&amp;"",""))</f>
        <v/>
      </c>
      <c r="G1632" s="37" t="n"/>
      <c r="H1632" s="37" t="n"/>
      <c r="I1632" s="37" t="n"/>
      <c r="J1632" s="40" t="str">
        <f>IF(OR(C1632="",NOT(ISNUMBER(E1632))),"",IFERROR(E1632*N(INDEX(art_price,MATCH(C1632,art_ref,0))),""))</f>
        <v/>
      </c>
      <c r="K1632" s="39" t="str">
        <f>IF(OR(C1632="",NOT(ISNUMBER(E1632))),"",IFERROR(ROUND(N(INDEX(art_init,MATCH(C1632,art_ref,0)))+SUMIFS($E$5:E1632,$C$5:C1632,C1632,$B$5:B1632,"Entrée")-SUMIFS($E$5:E1632,$C$5:C1632,C1632,$B$5:B1632,"Sortie"),6),""))</f>
        <v/>
      </c>
      <c r="L1632" s="39" t="str">
        <f>IF(COUNTA(A1632:C1632,E1632)=0,"",IF(COUNTA(A1632:C1632,E1632)&lt;4,"Ligne incomplète",IF(NOT(ISNUMBER(A1632)),"Date invalide",IF(AND(B1632&lt;&gt;"Entrée",B1632&lt;&gt;"Sortie"),"Type inconnu",IF(ISNA(MATCH(C1632,art_ref,0)),"Référence inconnue",IF(OR(NOT(ISNUMBER(E1632)),N(E1632)&lt;=0),"Quantité invalide",IF(K1632&lt;0,"Stock négatif",IF(AND(ISNUMBER(A1631),A1632&lt;A1631),"Date hors ordre","OK"))))))))</f>
        <v/>
      </c>
      <c r="M1632" s="39" t="str">
        <f>IF(C1632="","",C1632&amp;"#"&amp;COUNTIF($C$5:C1632,C1632))</f>
        <v/>
      </c>
    </row>
    <row r="1633">
      <c r="A1633" s="41" t="n"/>
      <c r="B1633" s="37" t="n"/>
      <c r="C1633" s="37" t="n"/>
      <c r="D1633" s="39" t="str">
        <f>IF(C1633="","",IFERROR(INDEX(art_des,MATCH(C1633,art_ref,0))&amp;"","Référence inconnue"))</f>
        <v/>
      </c>
      <c r="E1633" s="37" t="n"/>
      <c r="F1633" s="39" t="str">
        <f>IF(C1633="","",IFERROR(INDEX(art_unit,MATCH(C1633,art_ref,0))&amp;"",""))</f>
        <v/>
      </c>
      <c r="G1633" s="37" t="n"/>
      <c r="H1633" s="37" t="n"/>
      <c r="I1633" s="37" t="n"/>
      <c r="J1633" s="40" t="str">
        <f>IF(OR(C1633="",NOT(ISNUMBER(E1633))),"",IFERROR(E1633*N(INDEX(art_price,MATCH(C1633,art_ref,0))),""))</f>
        <v/>
      </c>
      <c r="K1633" s="39" t="str">
        <f>IF(OR(C1633="",NOT(ISNUMBER(E1633))),"",IFERROR(ROUND(N(INDEX(art_init,MATCH(C1633,art_ref,0)))+SUMIFS($E$5:E1633,$C$5:C1633,C1633,$B$5:B1633,"Entrée")-SUMIFS($E$5:E1633,$C$5:C1633,C1633,$B$5:B1633,"Sortie"),6),""))</f>
        <v/>
      </c>
      <c r="L1633" s="39" t="str">
        <f>IF(COUNTA(A1633:C1633,E1633)=0,"",IF(COUNTA(A1633:C1633,E1633)&lt;4,"Ligne incomplète",IF(NOT(ISNUMBER(A1633)),"Date invalide",IF(AND(B1633&lt;&gt;"Entrée",B1633&lt;&gt;"Sortie"),"Type inconnu",IF(ISNA(MATCH(C1633,art_ref,0)),"Référence inconnue",IF(OR(NOT(ISNUMBER(E1633)),N(E1633)&lt;=0),"Quantité invalide",IF(K1633&lt;0,"Stock négatif",IF(AND(ISNUMBER(A1632),A1633&lt;A1632),"Date hors ordre","OK"))))))))</f>
        <v/>
      </c>
      <c r="M1633" s="39" t="str">
        <f>IF(C1633="","",C1633&amp;"#"&amp;COUNTIF($C$5:C1633,C1633))</f>
        <v/>
      </c>
    </row>
    <row r="1634">
      <c r="A1634" s="41" t="n"/>
      <c r="B1634" s="37" t="n"/>
      <c r="C1634" s="37" t="n"/>
      <c r="D1634" s="39" t="str">
        <f>IF(C1634="","",IFERROR(INDEX(art_des,MATCH(C1634,art_ref,0))&amp;"","Référence inconnue"))</f>
        <v/>
      </c>
      <c r="E1634" s="37" t="n"/>
      <c r="F1634" s="39" t="str">
        <f>IF(C1634="","",IFERROR(INDEX(art_unit,MATCH(C1634,art_ref,0))&amp;"",""))</f>
        <v/>
      </c>
      <c r="G1634" s="37" t="n"/>
      <c r="H1634" s="37" t="n"/>
      <c r="I1634" s="37" t="n"/>
      <c r="J1634" s="40" t="str">
        <f>IF(OR(C1634="",NOT(ISNUMBER(E1634))),"",IFERROR(E1634*N(INDEX(art_price,MATCH(C1634,art_ref,0))),""))</f>
        <v/>
      </c>
      <c r="K1634" s="39" t="str">
        <f>IF(OR(C1634="",NOT(ISNUMBER(E1634))),"",IFERROR(ROUND(N(INDEX(art_init,MATCH(C1634,art_ref,0)))+SUMIFS($E$5:E1634,$C$5:C1634,C1634,$B$5:B1634,"Entrée")-SUMIFS($E$5:E1634,$C$5:C1634,C1634,$B$5:B1634,"Sortie"),6),""))</f>
        <v/>
      </c>
      <c r="L1634" s="39" t="str">
        <f>IF(COUNTA(A1634:C1634,E1634)=0,"",IF(COUNTA(A1634:C1634,E1634)&lt;4,"Ligne incomplète",IF(NOT(ISNUMBER(A1634)),"Date invalide",IF(AND(B1634&lt;&gt;"Entrée",B1634&lt;&gt;"Sortie"),"Type inconnu",IF(ISNA(MATCH(C1634,art_ref,0)),"Référence inconnue",IF(OR(NOT(ISNUMBER(E1634)),N(E1634)&lt;=0),"Quantité invalide",IF(K1634&lt;0,"Stock négatif",IF(AND(ISNUMBER(A1633),A1634&lt;A1633),"Date hors ordre","OK"))))))))</f>
        <v/>
      </c>
      <c r="M1634" s="39" t="str">
        <f>IF(C1634="","",C1634&amp;"#"&amp;COUNTIF($C$5:C1634,C1634))</f>
        <v/>
      </c>
    </row>
    <row r="1635">
      <c r="A1635" s="41" t="n"/>
      <c r="B1635" s="37" t="n"/>
      <c r="C1635" s="37" t="n"/>
      <c r="D1635" s="39" t="str">
        <f>IF(C1635="","",IFERROR(INDEX(art_des,MATCH(C1635,art_ref,0))&amp;"","Référence inconnue"))</f>
        <v/>
      </c>
      <c r="E1635" s="37" t="n"/>
      <c r="F1635" s="39" t="str">
        <f>IF(C1635="","",IFERROR(INDEX(art_unit,MATCH(C1635,art_ref,0))&amp;"",""))</f>
        <v/>
      </c>
      <c r="G1635" s="37" t="n"/>
      <c r="H1635" s="37" t="n"/>
      <c r="I1635" s="37" t="n"/>
      <c r="J1635" s="40" t="str">
        <f>IF(OR(C1635="",NOT(ISNUMBER(E1635))),"",IFERROR(E1635*N(INDEX(art_price,MATCH(C1635,art_ref,0))),""))</f>
        <v/>
      </c>
      <c r="K1635" s="39" t="str">
        <f>IF(OR(C1635="",NOT(ISNUMBER(E1635))),"",IFERROR(ROUND(N(INDEX(art_init,MATCH(C1635,art_ref,0)))+SUMIFS($E$5:E1635,$C$5:C1635,C1635,$B$5:B1635,"Entrée")-SUMIFS($E$5:E1635,$C$5:C1635,C1635,$B$5:B1635,"Sortie"),6),""))</f>
        <v/>
      </c>
      <c r="L1635" s="39" t="str">
        <f>IF(COUNTA(A1635:C1635,E1635)=0,"",IF(COUNTA(A1635:C1635,E1635)&lt;4,"Ligne incomplète",IF(NOT(ISNUMBER(A1635)),"Date invalide",IF(AND(B1635&lt;&gt;"Entrée",B1635&lt;&gt;"Sortie"),"Type inconnu",IF(ISNA(MATCH(C1635,art_ref,0)),"Référence inconnue",IF(OR(NOT(ISNUMBER(E1635)),N(E1635)&lt;=0),"Quantité invalide",IF(K1635&lt;0,"Stock négatif",IF(AND(ISNUMBER(A1634),A1635&lt;A1634),"Date hors ordre","OK"))))))))</f>
        <v/>
      </c>
      <c r="M1635" s="39" t="str">
        <f>IF(C1635="","",C1635&amp;"#"&amp;COUNTIF($C$5:C1635,C1635))</f>
        <v/>
      </c>
    </row>
    <row r="1636">
      <c r="A1636" s="41" t="n"/>
      <c r="B1636" s="37" t="n"/>
      <c r="C1636" s="37" t="n"/>
      <c r="D1636" s="39" t="str">
        <f>IF(C1636="","",IFERROR(INDEX(art_des,MATCH(C1636,art_ref,0))&amp;"","Référence inconnue"))</f>
        <v/>
      </c>
      <c r="E1636" s="37" t="n"/>
      <c r="F1636" s="39" t="str">
        <f>IF(C1636="","",IFERROR(INDEX(art_unit,MATCH(C1636,art_ref,0))&amp;"",""))</f>
        <v/>
      </c>
      <c r="G1636" s="37" t="n"/>
      <c r="H1636" s="37" t="n"/>
      <c r="I1636" s="37" t="n"/>
      <c r="J1636" s="40" t="str">
        <f>IF(OR(C1636="",NOT(ISNUMBER(E1636))),"",IFERROR(E1636*N(INDEX(art_price,MATCH(C1636,art_ref,0))),""))</f>
        <v/>
      </c>
      <c r="K1636" s="39" t="str">
        <f>IF(OR(C1636="",NOT(ISNUMBER(E1636))),"",IFERROR(ROUND(N(INDEX(art_init,MATCH(C1636,art_ref,0)))+SUMIFS($E$5:E1636,$C$5:C1636,C1636,$B$5:B1636,"Entrée")-SUMIFS($E$5:E1636,$C$5:C1636,C1636,$B$5:B1636,"Sortie"),6),""))</f>
        <v/>
      </c>
      <c r="L1636" s="39" t="str">
        <f>IF(COUNTA(A1636:C1636,E1636)=0,"",IF(COUNTA(A1636:C1636,E1636)&lt;4,"Ligne incomplète",IF(NOT(ISNUMBER(A1636)),"Date invalide",IF(AND(B1636&lt;&gt;"Entrée",B1636&lt;&gt;"Sortie"),"Type inconnu",IF(ISNA(MATCH(C1636,art_ref,0)),"Référence inconnue",IF(OR(NOT(ISNUMBER(E1636)),N(E1636)&lt;=0),"Quantité invalide",IF(K1636&lt;0,"Stock négatif",IF(AND(ISNUMBER(A1635),A1636&lt;A1635),"Date hors ordre","OK"))))))))</f>
        <v/>
      </c>
      <c r="M1636" s="39" t="str">
        <f>IF(C1636="","",C1636&amp;"#"&amp;COUNTIF($C$5:C1636,C1636))</f>
        <v/>
      </c>
    </row>
    <row r="1637">
      <c r="A1637" s="41" t="n"/>
      <c r="B1637" s="37" t="n"/>
      <c r="C1637" s="37" t="n"/>
      <c r="D1637" s="39" t="str">
        <f>IF(C1637="","",IFERROR(INDEX(art_des,MATCH(C1637,art_ref,0))&amp;"","Référence inconnue"))</f>
        <v/>
      </c>
      <c r="E1637" s="37" t="n"/>
      <c r="F1637" s="39" t="str">
        <f>IF(C1637="","",IFERROR(INDEX(art_unit,MATCH(C1637,art_ref,0))&amp;"",""))</f>
        <v/>
      </c>
      <c r="G1637" s="37" t="n"/>
      <c r="H1637" s="37" t="n"/>
      <c r="I1637" s="37" t="n"/>
      <c r="J1637" s="40" t="str">
        <f>IF(OR(C1637="",NOT(ISNUMBER(E1637))),"",IFERROR(E1637*N(INDEX(art_price,MATCH(C1637,art_ref,0))),""))</f>
        <v/>
      </c>
      <c r="K1637" s="39" t="str">
        <f>IF(OR(C1637="",NOT(ISNUMBER(E1637))),"",IFERROR(ROUND(N(INDEX(art_init,MATCH(C1637,art_ref,0)))+SUMIFS($E$5:E1637,$C$5:C1637,C1637,$B$5:B1637,"Entrée")-SUMIFS($E$5:E1637,$C$5:C1637,C1637,$B$5:B1637,"Sortie"),6),""))</f>
        <v/>
      </c>
      <c r="L1637" s="39" t="str">
        <f>IF(COUNTA(A1637:C1637,E1637)=0,"",IF(COUNTA(A1637:C1637,E1637)&lt;4,"Ligne incomplète",IF(NOT(ISNUMBER(A1637)),"Date invalide",IF(AND(B1637&lt;&gt;"Entrée",B1637&lt;&gt;"Sortie"),"Type inconnu",IF(ISNA(MATCH(C1637,art_ref,0)),"Référence inconnue",IF(OR(NOT(ISNUMBER(E1637)),N(E1637)&lt;=0),"Quantité invalide",IF(K1637&lt;0,"Stock négatif",IF(AND(ISNUMBER(A1636),A1637&lt;A1636),"Date hors ordre","OK"))))))))</f>
        <v/>
      </c>
      <c r="M1637" s="39" t="str">
        <f>IF(C1637="","",C1637&amp;"#"&amp;COUNTIF($C$5:C1637,C1637))</f>
        <v/>
      </c>
    </row>
    <row r="1638">
      <c r="A1638" s="41" t="n"/>
      <c r="B1638" s="37" t="n"/>
      <c r="C1638" s="37" t="n"/>
      <c r="D1638" s="39" t="str">
        <f>IF(C1638="","",IFERROR(INDEX(art_des,MATCH(C1638,art_ref,0))&amp;"","Référence inconnue"))</f>
        <v/>
      </c>
      <c r="E1638" s="37" t="n"/>
      <c r="F1638" s="39" t="str">
        <f>IF(C1638="","",IFERROR(INDEX(art_unit,MATCH(C1638,art_ref,0))&amp;"",""))</f>
        <v/>
      </c>
      <c r="G1638" s="37" t="n"/>
      <c r="H1638" s="37" t="n"/>
      <c r="I1638" s="37" t="n"/>
      <c r="J1638" s="40" t="str">
        <f>IF(OR(C1638="",NOT(ISNUMBER(E1638))),"",IFERROR(E1638*N(INDEX(art_price,MATCH(C1638,art_ref,0))),""))</f>
        <v/>
      </c>
      <c r="K1638" s="39" t="str">
        <f>IF(OR(C1638="",NOT(ISNUMBER(E1638))),"",IFERROR(ROUND(N(INDEX(art_init,MATCH(C1638,art_ref,0)))+SUMIFS($E$5:E1638,$C$5:C1638,C1638,$B$5:B1638,"Entrée")-SUMIFS($E$5:E1638,$C$5:C1638,C1638,$B$5:B1638,"Sortie"),6),""))</f>
        <v/>
      </c>
      <c r="L1638" s="39" t="str">
        <f>IF(COUNTA(A1638:C1638,E1638)=0,"",IF(COUNTA(A1638:C1638,E1638)&lt;4,"Ligne incomplète",IF(NOT(ISNUMBER(A1638)),"Date invalide",IF(AND(B1638&lt;&gt;"Entrée",B1638&lt;&gt;"Sortie"),"Type inconnu",IF(ISNA(MATCH(C1638,art_ref,0)),"Référence inconnue",IF(OR(NOT(ISNUMBER(E1638)),N(E1638)&lt;=0),"Quantité invalide",IF(K1638&lt;0,"Stock négatif",IF(AND(ISNUMBER(A1637),A1638&lt;A1637),"Date hors ordre","OK"))))))))</f>
        <v/>
      </c>
      <c r="M1638" s="39" t="str">
        <f>IF(C1638="","",C1638&amp;"#"&amp;COUNTIF($C$5:C1638,C1638))</f>
        <v/>
      </c>
    </row>
    <row r="1639">
      <c r="A1639" s="41" t="n"/>
      <c r="B1639" s="37" t="n"/>
      <c r="C1639" s="37" t="n"/>
      <c r="D1639" s="39" t="str">
        <f>IF(C1639="","",IFERROR(INDEX(art_des,MATCH(C1639,art_ref,0))&amp;"","Référence inconnue"))</f>
        <v/>
      </c>
      <c r="E1639" s="37" t="n"/>
      <c r="F1639" s="39" t="str">
        <f>IF(C1639="","",IFERROR(INDEX(art_unit,MATCH(C1639,art_ref,0))&amp;"",""))</f>
        <v/>
      </c>
      <c r="G1639" s="37" t="n"/>
      <c r="H1639" s="37" t="n"/>
      <c r="I1639" s="37" t="n"/>
      <c r="J1639" s="40" t="str">
        <f>IF(OR(C1639="",NOT(ISNUMBER(E1639))),"",IFERROR(E1639*N(INDEX(art_price,MATCH(C1639,art_ref,0))),""))</f>
        <v/>
      </c>
      <c r="K1639" s="39" t="str">
        <f>IF(OR(C1639="",NOT(ISNUMBER(E1639))),"",IFERROR(ROUND(N(INDEX(art_init,MATCH(C1639,art_ref,0)))+SUMIFS($E$5:E1639,$C$5:C1639,C1639,$B$5:B1639,"Entrée")-SUMIFS($E$5:E1639,$C$5:C1639,C1639,$B$5:B1639,"Sortie"),6),""))</f>
        <v/>
      </c>
      <c r="L1639" s="39" t="str">
        <f>IF(COUNTA(A1639:C1639,E1639)=0,"",IF(COUNTA(A1639:C1639,E1639)&lt;4,"Ligne incomplète",IF(NOT(ISNUMBER(A1639)),"Date invalide",IF(AND(B1639&lt;&gt;"Entrée",B1639&lt;&gt;"Sortie"),"Type inconnu",IF(ISNA(MATCH(C1639,art_ref,0)),"Référence inconnue",IF(OR(NOT(ISNUMBER(E1639)),N(E1639)&lt;=0),"Quantité invalide",IF(K1639&lt;0,"Stock négatif",IF(AND(ISNUMBER(A1638),A1639&lt;A1638),"Date hors ordre","OK"))))))))</f>
        <v/>
      </c>
      <c r="M1639" s="39" t="str">
        <f>IF(C1639="","",C1639&amp;"#"&amp;COUNTIF($C$5:C1639,C1639))</f>
        <v/>
      </c>
    </row>
    <row r="1640">
      <c r="A1640" s="41" t="n"/>
      <c r="B1640" s="37" t="n"/>
      <c r="C1640" s="37" t="n"/>
      <c r="D1640" s="39" t="str">
        <f>IF(C1640="","",IFERROR(INDEX(art_des,MATCH(C1640,art_ref,0))&amp;"","Référence inconnue"))</f>
        <v/>
      </c>
      <c r="E1640" s="37" t="n"/>
      <c r="F1640" s="39" t="str">
        <f>IF(C1640="","",IFERROR(INDEX(art_unit,MATCH(C1640,art_ref,0))&amp;"",""))</f>
        <v/>
      </c>
      <c r="G1640" s="37" t="n"/>
      <c r="H1640" s="37" t="n"/>
      <c r="I1640" s="37" t="n"/>
      <c r="J1640" s="40" t="str">
        <f>IF(OR(C1640="",NOT(ISNUMBER(E1640))),"",IFERROR(E1640*N(INDEX(art_price,MATCH(C1640,art_ref,0))),""))</f>
        <v/>
      </c>
      <c r="K1640" s="39" t="str">
        <f>IF(OR(C1640="",NOT(ISNUMBER(E1640))),"",IFERROR(ROUND(N(INDEX(art_init,MATCH(C1640,art_ref,0)))+SUMIFS($E$5:E1640,$C$5:C1640,C1640,$B$5:B1640,"Entrée")-SUMIFS($E$5:E1640,$C$5:C1640,C1640,$B$5:B1640,"Sortie"),6),""))</f>
        <v/>
      </c>
      <c r="L1640" s="39" t="str">
        <f>IF(COUNTA(A1640:C1640,E1640)=0,"",IF(COUNTA(A1640:C1640,E1640)&lt;4,"Ligne incomplète",IF(NOT(ISNUMBER(A1640)),"Date invalide",IF(AND(B1640&lt;&gt;"Entrée",B1640&lt;&gt;"Sortie"),"Type inconnu",IF(ISNA(MATCH(C1640,art_ref,0)),"Référence inconnue",IF(OR(NOT(ISNUMBER(E1640)),N(E1640)&lt;=0),"Quantité invalide",IF(K1640&lt;0,"Stock négatif",IF(AND(ISNUMBER(A1639),A1640&lt;A1639),"Date hors ordre","OK"))))))))</f>
        <v/>
      </c>
      <c r="M1640" s="39" t="str">
        <f>IF(C1640="","",C1640&amp;"#"&amp;COUNTIF($C$5:C1640,C1640))</f>
        <v/>
      </c>
    </row>
    <row r="1641">
      <c r="A1641" s="41" t="n"/>
      <c r="B1641" s="37" t="n"/>
      <c r="C1641" s="37" t="n"/>
      <c r="D1641" s="39" t="str">
        <f>IF(C1641="","",IFERROR(INDEX(art_des,MATCH(C1641,art_ref,0))&amp;"","Référence inconnue"))</f>
        <v/>
      </c>
      <c r="E1641" s="37" t="n"/>
      <c r="F1641" s="39" t="str">
        <f>IF(C1641="","",IFERROR(INDEX(art_unit,MATCH(C1641,art_ref,0))&amp;"",""))</f>
        <v/>
      </c>
      <c r="G1641" s="37" t="n"/>
      <c r="H1641" s="37" t="n"/>
      <c r="I1641" s="37" t="n"/>
      <c r="J1641" s="40" t="str">
        <f>IF(OR(C1641="",NOT(ISNUMBER(E1641))),"",IFERROR(E1641*N(INDEX(art_price,MATCH(C1641,art_ref,0))),""))</f>
        <v/>
      </c>
      <c r="K1641" s="39" t="str">
        <f>IF(OR(C1641="",NOT(ISNUMBER(E1641))),"",IFERROR(ROUND(N(INDEX(art_init,MATCH(C1641,art_ref,0)))+SUMIFS($E$5:E1641,$C$5:C1641,C1641,$B$5:B1641,"Entrée")-SUMIFS($E$5:E1641,$C$5:C1641,C1641,$B$5:B1641,"Sortie"),6),""))</f>
        <v/>
      </c>
      <c r="L1641" s="39" t="str">
        <f>IF(COUNTA(A1641:C1641,E1641)=0,"",IF(COUNTA(A1641:C1641,E1641)&lt;4,"Ligne incomplète",IF(NOT(ISNUMBER(A1641)),"Date invalide",IF(AND(B1641&lt;&gt;"Entrée",B1641&lt;&gt;"Sortie"),"Type inconnu",IF(ISNA(MATCH(C1641,art_ref,0)),"Référence inconnue",IF(OR(NOT(ISNUMBER(E1641)),N(E1641)&lt;=0),"Quantité invalide",IF(K1641&lt;0,"Stock négatif",IF(AND(ISNUMBER(A1640),A1641&lt;A1640),"Date hors ordre","OK"))))))))</f>
        <v/>
      </c>
      <c r="M1641" s="39" t="str">
        <f>IF(C1641="","",C1641&amp;"#"&amp;COUNTIF($C$5:C1641,C1641))</f>
        <v/>
      </c>
    </row>
    <row r="1642">
      <c r="A1642" s="41" t="n"/>
      <c r="B1642" s="37" t="n"/>
      <c r="C1642" s="37" t="n"/>
      <c r="D1642" s="39" t="str">
        <f>IF(C1642="","",IFERROR(INDEX(art_des,MATCH(C1642,art_ref,0))&amp;"","Référence inconnue"))</f>
        <v/>
      </c>
      <c r="E1642" s="37" t="n"/>
      <c r="F1642" s="39" t="str">
        <f>IF(C1642="","",IFERROR(INDEX(art_unit,MATCH(C1642,art_ref,0))&amp;"",""))</f>
        <v/>
      </c>
      <c r="G1642" s="37" t="n"/>
      <c r="H1642" s="37" t="n"/>
      <c r="I1642" s="37" t="n"/>
      <c r="J1642" s="40" t="str">
        <f>IF(OR(C1642="",NOT(ISNUMBER(E1642))),"",IFERROR(E1642*N(INDEX(art_price,MATCH(C1642,art_ref,0))),""))</f>
        <v/>
      </c>
      <c r="K1642" s="39" t="str">
        <f>IF(OR(C1642="",NOT(ISNUMBER(E1642))),"",IFERROR(ROUND(N(INDEX(art_init,MATCH(C1642,art_ref,0)))+SUMIFS($E$5:E1642,$C$5:C1642,C1642,$B$5:B1642,"Entrée")-SUMIFS($E$5:E1642,$C$5:C1642,C1642,$B$5:B1642,"Sortie"),6),""))</f>
        <v/>
      </c>
      <c r="L1642" s="39" t="str">
        <f>IF(COUNTA(A1642:C1642,E1642)=0,"",IF(COUNTA(A1642:C1642,E1642)&lt;4,"Ligne incomplète",IF(NOT(ISNUMBER(A1642)),"Date invalide",IF(AND(B1642&lt;&gt;"Entrée",B1642&lt;&gt;"Sortie"),"Type inconnu",IF(ISNA(MATCH(C1642,art_ref,0)),"Référence inconnue",IF(OR(NOT(ISNUMBER(E1642)),N(E1642)&lt;=0),"Quantité invalide",IF(K1642&lt;0,"Stock négatif",IF(AND(ISNUMBER(A1641),A1642&lt;A1641),"Date hors ordre","OK"))))))))</f>
        <v/>
      </c>
      <c r="M1642" s="39" t="str">
        <f>IF(C1642="","",C1642&amp;"#"&amp;COUNTIF($C$5:C1642,C1642))</f>
        <v/>
      </c>
    </row>
    <row r="1643">
      <c r="A1643" s="41" t="n"/>
      <c r="B1643" s="37" t="n"/>
      <c r="C1643" s="37" t="n"/>
      <c r="D1643" s="39" t="str">
        <f>IF(C1643="","",IFERROR(INDEX(art_des,MATCH(C1643,art_ref,0))&amp;"","Référence inconnue"))</f>
        <v/>
      </c>
      <c r="E1643" s="37" t="n"/>
      <c r="F1643" s="39" t="str">
        <f>IF(C1643="","",IFERROR(INDEX(art_unit,MATCH(C1643,art_ref,0))&amp;"",""))</f>
        <v/>
      </c>
      <c r="G1643" s="37" t="n"/>
      <c r="H1643" s="37" t="n"/>
      <c r="I1643" s="37" t="n"/>
      <c r="J1643" s="40" t="str">
        <f>IF(OR(C1643="",NOT(ISNUMBER(E1643))),"",IFERROR(E1643*N(INDEX(art_price,MATCH(C1643,art_ref,0))),""))</f>
        <v/>
      </c>
      <c r="K1643" s="39" t="str">
        <f>IF(OR(C1643="",NOT(ISNUMBER(E1643))),"",IFERROR(ROUND(N(INDEX(art_init,MATCH(C1643,art_ref,0)))+SUMIFS($E$5:E1643,$C$5:C1643,C1643,$B$5:B1643,"Entrée")-SUMIFS($E$5:E1643,$C$5:C1643,C1643,$B$5:B1643,"Sortie"),6),""))</f>
        <v/>
      </c>
      <c r="L1643" s="39" t="str">
        <f>IF(COUNTA(A1643:C1643,E1643)=0,"",IF(COUNTA(A1643:C1643,E1643)&lt;4,"Ligne incomplète",IF(NOT(ISNUMBER(A1643)),"Date invalide",IF(AND(B1643&lt;&gt;"Entrée",B1643&lt;&gt;"Sortie"),"Type inconnu",IF(ISNA(MATCH(C1643,art_ref,0)),"Référence inconnue",IF(OR(NOT(ISNUMBER(E1643)),N(E1643)&lt;=0),"Quantité invalide",IF(K1643&lt;0,"Stock négatif",IF(AND(ISNUMBER(A1642),A1643&lt;A1642),"Date hors ordre","OK"))))))))</f>
        <v/>
      </c>
      <c r="M1643" s="39" t="str">
        <f>IF(C1643="","",C1643&amp;"#"&amp;COUNTIF($C$5:C1643,C1643))</f>
        <v/>
      </c>
    </row>
    <row r="1644">
      <c r="A1644" s="41" t="n"/>
      <c r="B1644" s="37" t="n"/>
      <c r="C1644" s="37" t="n"/>
      <c r="D1644" s="39" t="str">
        <f>IF(C1644="","",IFERROR(INDEX(art_des,MATCH(C1644,art_ref,0))&amp;"","Référence inconnue"))</f>
        <v/>
      </c>
      <c r="E1644" s="37" t="n"/>
      <c r="F1644" s="39" t="str">
        <f>IF(C1644="","",IFERROR(INDEX(art_unit,MATCH(C1644,art_ref,0))&amp;"",""))</f>
        <v/>
      </c>
      <c r="G1644" s="37" t="n"/>
      <c r="H1644" s="37" t="n"/>
      <c r="I1644" s="37" t="n"/>
      <c r="J1644" s="40" t="str">
        <f>IF(OR(C1644="",NOT(ISNUMBER(E1644))),"",IFERROR(E1644*N(INDEX(art_price,MATCH(C1644,art_ref,0))),""))</f>
        <v/>
      </c>
      <c r="K1644" s="39" t="str">
        <f>IF(OR(C1644="",NOT(ISNUMBER(E1644))),"",IFERROR(ROUND(N(INDEX(art_init,MATCH(C1644,art_ref,0)))+SUMIFS($E$5:E1644,$C$5:C1644,C1644,$B$5:B1644,"Entrée")-SUMIFS($E$5:E1644,$C$5:C1644,C1644,$B$5:B1644,"Sortie"),6),""))</f>
        <v/>
      </c>
      <c r="L1644" s="39" t="str">
        <f>IF(COUNTA(A1644:C1644,E1644)=0,"",IF(COUNTA(A1644:C1644,E1644)&lt;4,"Ligne incomplète",IF(NOT(ISNUMBER(A1644)),"Date invalide",IF(AND(B1644&lt;&gt;"Entrée",B1644&lt;&gt;"Sortie"),"Type inconnu",IF(ISNA(MATCH(C1644,art_ref,0)),"Référence inconnue",IF(OR(NOT(ISNUMBER(E1644)),N(E1644)&lt;=0),"Quantité invalide",IF(K1644&lt;0,"Stock négatif",IF(AND(ISNUMBER(A1643),A1644&lt;A1643),"Date hors ordre","OK"))))))))</f>
        <v/>
      </c>
      <c r="M1644" s="39" t="str">
        <f>IF(C1644="","",C1644&amp;"#"&amp;COUNTIF($C$5:C1644,C1644))</f>
        <v/>
      </c>
    </row>
    <row r="1645">
      <c r="A1645" s="41" t="n"/>
      <c r="B1645" s="37" t="n"/>
      <c r="C1645" s="37" t="n"/>
      <c r="D1645" s="39" t="str">
        <f>IF(C1645="","",IFERROR(INDEX(art_des,MATCH(C1645,art_ref,0))&amp;"","Référence inconnue"))</f>
        <v/>
      </c>
      <c r="E1645" s="37" t="n"/>
      <c r="F1645" s="39" t="str">
        <f>IF(C1645="","",IFERROR(INDEX(art_unit,MATCH(C1645,art_ref,0))&amp;"",""))</f>
        <v/>
      </c>
      <c r="G1645" s="37" t="n"/>
      <c r="H1645" s="37" t="n"/>
      <c r="I1645" s="37" t="n"/>
      <c r="J1645" s="40" t="str">
        <f>IF(OR(C1645="",NOT(ISNUMBER(E1645))),"",IFERROR(E1645*N(INDEX(art_price,MATCH(C1645,art_ref,0))),""))</f>
        <v/>
      </c>
      <c r="K1645" s="39" t="str">
        <f>IF(OR(C1645="",NOT(ISNUMBER(E1645))),"",IFERROR(ROUND(N(INDEX(art_init,MATCH(C1645,art_ref,0)))+SUMIFS($E$5:E1645,$C$5:C1645,C1645,$B$5:B1645,"Entrée")-SUMIFS($E$5:E1645,$C$5:C1645,C1645,$B$5:B1645,"Sortie"),6),""))</f>
        <v/>
      </c>
      <c r="L1645" s="39" t="str">
        <f>IF(COUNTA(A1645:C1645,E1645)=0,"",IF(COUNTA(A1645:C1645,E1645)&lt;4,"Ligne incomplète",IF(NOT(ISNUMBER(A1645)),"Date invalide",IF(AND(B1645&lt;&gt;"Entrée",B1645&lt;&gt;"Sortie"),"Type inconnu",IF(ISNA(MATCH(C1645,art_ref,0)),"Référence inconnue",IF(OR(NOT(ISNUMBER(E1645)),N(E1645)&lt;=0),"Quantité invalide",IF(K1645&lt;0,"Stock négatif",IF(AND(ISNUMBER(A1644),A1645&lt;A1644),"Date hors ordre","OK"))))))))</f>
        <v/>
      </c>
      <c r="M1645" s="39" t="str">
        <f>IF(C1645="","",C1645&amp;"#"&amp;COUNTIF($C$5:C1645,C1645))</f>
        <v/>
      </c>
    </row>
    <row r="1646">
      <c r="A1646" s="41" t="n"/>
      <c r="B1646" s="37" t="n"/>
      <c r="C1646" s="37" t="n"/>
      <c r="D1646" s="39" t="str">
        <f>IF(C1646="","",IFERROR(INDEX(art_des,MATCH(C1646,art_ref,0))&amp;"","Référence inconnue"))</f>
        <v/>
      </c>
      <c r="E1646" s="37" t="n"/>
      <c r="F1646" s="39" t="str">
        <f>IF(C1646="","",IFERROR(INDEX(art_unit,MATCH(C1646,art_ref,0))&amp;"",""))</f>
        <v/>
      </c>
      <c r="G1646" s="37" t="n"/>
      <c r="H1646" s="37" t="n"/>
      <c r="I1646" s="37" t="n"/>
      <c r="J1646" s="40" t="str">
        <f>IF(OR(C1646="",NOT(ISNUMBER(E1646))),"",IFERROR(E1646*N(INDEX(art_price,MATCH(C1646,art_ref,0))),""))</f>
        <v/>
      </c>
      <c r="K1646" s="39" t="str">
        <f>IF(OR(C1646="",NOT(ISNUMBER(E1646))),"",IFERROR(ROUND(N(INDEX(art_init,MATCH(C1646,art_ref,0)))+SUMIFS($E$5:E1646,$C$5:C1646,C1646,$B$5:B1646,"Entrée")-SUMIFS($E$5:E1646,$C$5:C1646,C1646,$B$5:B1646,"Sortie"),6),""))</f>
        <v/>
      </c>
      <c r="L1646" s="39" t="str">
        <f>IF(COUNTA(A1646:C1646,E1646)=0,"",IF(COUNTA(A1646:C1646,E1646)&lt;4,"Ligne incomplète",IF(NOT(ISNUMBER(A1646)),"Date invalide",IF(AND(B1646&lt;&gt;"Entrée",B1646&lt;&gt;"Sortie"),"Type inconnu",IF(ISNA(MATCH(C1646,art_ref,0)),"Référence inconnue",IF(OR(NOT(ISNUMBER(E1646)),N(E1646)&lt;=0),"Quantité invalide",IF(K1646&lt;0,"Stock négatif",IF(AND(ISNUMBER(A1645),A1646&lt;A1645),"Date hors ordre","OK"))))))))</f>
        <v/>
      </c>
      <c r="M1646" s="39" t="str">
        <f>IF(C1646="","",C1646&amp;"#"&amp;COUNTIF($C$5:C1646,C1646))</f>
        <v/>
      </c>
    </row>
    <row r="1647">
      <c r="A1647" s="41" t="n"/>
      <c r="B1647" s="37" t="n"/>
      <c r="C1647" s="37" t="n"/>
      <c r="D1647" s="39" t="str">
        <f>IF(C1647="","",IFERROR(INDEX(art_des,MATCH(C1647,art_ref,0))&amp;"","Référence inconnue"))</f>
        <v/>
      </c>
      <c r="E1647" s="37" t="n"/>
      <c r="F1647" s="39" t="str">
        <f>IF(C1647="","",IFERROR(INDEX(art_unit,MATCH(C1647,art_ref,0))&amp;"",""))</f>
        <v/>
      </c>
      <c r="G1647" s="37" t="n"/>
      <c r="H1647" s="37" t="n"/>
      <c r="I1647" s="37" t="n"/>
      <c r="J1647" s="40" t="str">
        <f>IF(OR(C1647="",NOT(ISNUMBER(E1647))),"",IFERROR(E1647*N(INDEX(art_price,MATCH(C1647,art_ref,0))),""))</f>
        <v/>
      </c>
      <c r="K1647" s="39" t="str">
        <f>IF(OR(C1647="",NOT(ISNUMBER(E1647))),"",IFERROR(ROUND(N(INDEX(art_init,MATCH(C1647,art_ref,0)))+SUMIFS($E$5:E1647,$C$5:C1647,C1647,$B$5:B1647,"Entrée")-SUMIFS($E$5:E1647,$C$5:C1647,C1647,$B$5:B1647,"Sortie"),6),""))</f>
        <v/>
      </c>
      <c r="L1647" s="39" t="str">
        <f>IF(COUNTA(A1647:C1647,E1647)=0,"",IF(COUNTA(A1647:C1647,E1647)&lt;4,"Ligne incomplète",IF(NOT(ISNUMBER(A1647)),"Date invalide",IF(AND(B1647&lt;&gt;"Entrée",B1647&lt;&gt;"Sortie"),"Type inconnu",IF(ISNA(MATCH(C1647,art_ref,0)),"Référence inconnue",IF(OR(NOT(ISNUMBER(E1647)),N(E1647)&lt;=0),"Quantité invalide",IF(K1647&lt;0,"Stock négatif",IF(AND(ISNUMBER(A1646),A1647&lt;A1646),"Date hors ordre","OK"))))))))</f>
        <v/>
      </c>
      <c r="M1647" s="39" t="str">
        <f>IF(C1647="","",C1647&amp;"#"&amp;COUNTIF($C$5:C1647,C1647))</f>
        <v/>
      </c>
    </row>
    <row r="1648">
      <c r="A1648" s="41" t="n"/>
      <c r="B1648" s="37" t="n"/>
      <c r="C1648" s="37" t="n"/>
      <c r="D1648" s="39" t="str">
        <f>IF(C1648="","",IFERROR(INDEX(art_des,MATCH(C1648,art_ref,0))&amp;"","Référence inconnue"))</f>
        <v/>
      </c>
      <c r="E1648" s="37" t="n"/>
      <c r="F1648" s="39" t="str">
        <f>IF(C1648="","",IFERROR(INDEX(art_unit,MATCH(C1648,art_ref,0))&amp;"",""))</f>
        <v/>
      </c>
      <c r="G1648" s="37" t="n"/>
      <c r="H1648" s="37" t="n"/>
      <c r="I1648" s="37" t="n"/>
      <c r="J1648" s="40" t="str">
        <f>IF(OR(C1648="",NOT(ISNUMBER(E1648))),"",IFERROR(E1648*N(INDEX(art_price,MATCH(C1648,art_ref,0))),""))</f>
        <v/>
      </c>
      <c r="K1648" s="39" t="str">
        <f>IF(OR(C1648="",NOT(ISNUMBER(E1648))),"",IFERROR(ROUND(N(INDEX(art_init,MATCH(C1648,art_ref,0)))+SUMIFS($E$5:E1648,$C$5:C1648,C1648,$B$5:B1648,"Entrée")-SUMIFS($E$5:E1648,$C$5:C1648,C1648,$B$5:B1648,"Sortie"),6),""))</f>
        <v/>
      </c>
      <c r="L1648" s="39" t="str">
        <f>IF(COUNTA(A1648:C1648,E1648)=0,"",IF(COUNTA(A1648:C1648,E1648)&lt;4,"Ligne incomplète",IF(NOT(ISNUMBER(A1648)),"Date invalide",IF(AND(B1648&lt;&gt;"Entrée",B1648&lt;&gt;"Sortie"),"Type inconnu",IF(ISNA(MATCH(C1648,art_ref,0)),"Référence inconnue",IF(OR(NOT(ISNUMBER(E1648)),N(E1648)&lt;=0),"Quantité invalide",IF(K1648&lt;0,"Stock négatif",IF(AND(ISNUMBER(A1647),A1648&lt;A1647),"Date hors ordre","OK"))))))))</f>
        <v/>
      </c>
      <c r="M1648" s="39" t="str">
        <f>IF(C1648="","",C1648&amp;"#"&amp;COUNTIF($C$5:C1648,C1648))</f>
        <v/>
      </c>
    </row>
    <row r="1649">
      <c r="A1649" s="41" t="n"/>
      <c r="B1649" s="37" t="n"/>
      <c r="C1649" s="37" t="n"/>
      <c r="D1649" s="39" t="str">
        <f>IF(C1649="","",IFERROR(INDEX(art_des,MATCH(C1649,art_ref,0))&amp;"","Référence inconnue"))</f>
        <v/>
      </c>
      <c r="E1649" s="37" t="n"/>
      <c r="F1649" s="39" t="str">
        <f>IF(C1649="","",IFERROR(INDEX(art_unit,MATCH(C1649,art_ref,0))&amp;"",""))</f>
        <v/>
      </c>
      <c r="G1649" s="37" t="n"/>
      <c r="H1649" s="37" t="n"/>
      <c r="I1649" s="37" t="n"/>
      <c r="J1649" s="40" t="str">
        <f>IF(OR(C1649="",NOT(ISNUMBER(E1649))),"",IFERROR(E1649*N(INDEX(art_price,MATCH(C1649,art_ref,0))),""))</f>
        <v/>
      </c>
      <c r="K1649" s="39" t="str">
        <f>IF(OR(C1649="",NOT(ISNUMBER(E1649))),"",IFERROR(ROUND(N(INDEX(art_init,MATCH(C1649,art_ref,0)))+SUMIFS($E$5:E1649,$C$5:C1649,C1649,$B$5:B1649,"Entrée")-SUMIFS($E$5:E1649,$C$5:C1649,C1649,$B$5:B1649,"Sortie"),6),""))</f>
        <v/>
      </c>
      <c r="L1649" s="39" t="str">
        <f>IF(COUNTA(A1649:C1649,E1649)=0,"",IF(COUNTA(A1649:C1649,E1649)&lt;4,"Ligne incomplète",IF(NOT(ISNUMBER(A1649)),"Date invalide",IF(AND(B1649&lt;&gt;"Entrée",B1649&lt;&gt;"Sortie"),"Type inconnu",IF(ISNA(MATCH(C1649,art_ref,0)),"Référence inconnue",IF(OR(NOT(ISNUMBER(E1649)),N(E1649)&lt;=0),"Quantité invalide",IF(K1649&lt;0,"Stock négatif",IF(AND(ISNUMBER(A1648),A1649&lt;A1648),"Date hors ordre","OK"))))))))</f>
        <v/>
      </c>
      <c r="M1649" s="39" t="str">
        <f>IF(C1649="","",C1649&amp;"#"&amp;COUNTIF($C$5:C1649,C1649))</f>
        <v/>
      </c>
    </row>
    <row r="1650">
      <c r="A1650" s="41" t="n"/>
      <c r="B1650" s="37" t="n"/>
      <c r="C1650" s="37" t="n"/>
      <c r="D1650" s="39" t="str">
        <f>IF(C1650="","",IFERROR(INDEX(art_des,MATCH(C1650,art_ref,0))&amp;"","Référence inconnue"))</f>
        <v/>
      </c>
      <c r="E1650" s="37" t="n"/>
      <c r="F1650" s="39" t="str">
        <f>IF(C1650="","",IFERROR(INDEX(art_unit,MATCH(C1650,art_ref,0))&amp;"",""))</f>
        <v/>
      </c>
      <c r="G1650" s="37" t="n"/>
      <c r="H1650" s="37" t="n"/>
      <c r="I1650" s="37" t="n"/>
      <c r="J1650" s="40" t="str">
        <f>IF(OR(C1650="",NOT(ISNUMBER(E1650))),"",IFERROR(E1650*N(INDEX(art_price,MATCH(C1650,art_ref,0))),""))</f>
        <v/>
      </c>
      <c r="K1650" s="39" t="str">
        <f>IF(OR(C1650="",NOT(ISNUMBER(E1650))),"",IFERROR(ROUND(N(INDEX(art_init,MATCH(C1650,art_ref,0)))+SUMIFS($E$5:E1650,$C$5:C1650,C1650,$B$5:B1650,"Entrée")-SUMIFS($E$5:E1650,$C$5:C1650,C1650,$B$5:B1650,"Sortie"),6),""))</f>
        <v/>
      </c>
      <c r="L1650" s="39" t="str">
        <f>IF(COUNTA(A1650:C1650,E1650)=0,"",IF(COUNTA(A1650:C1650,E1650)&lt;4,"Ligne incomplète",IF(NOT(ISNUMBER(A1650)),"Date invalide",IF(AND(B1650&lt;&gt;"Entrée",B1650&lt;&gt;"Sortie"),"Type inconnu",IF(ISNA(MATCH(C1650,art_ref,0)),"Référence inconnue",IF(OR(NOT(ISNUMBER(E1650)),N(E1650)&lt;=0),"Quantité invalide",IF(K1650&lt;0,"Stock négatif",IF(AND(ISNUMBER(A1649),A1650&lt;A1649),"Date hors ordre","OK"))))))))</f>
        <v/>
      </c>
      <c r="M1650" s="39" t="str">
        <f>IF(C1650="","",C1650&amp;"#"&amp;COUNTIF($C$5:C1650,C1650))</f>
        <v/>
      </c>
    </row>
    <row r="1651">
      <c r="A1651" s="41" t="n"/>
      <c r="B1651" s="37" t="n"/>
      <c r="C1651" s="37" t="n"/>
      <c r="D1651" s="39" t="str">
        <f>IF(C1651="","",IFERROR(INDEX(art_des,MATCH(C1651,art_ref,0))&amp;"","Référence inconnue"))</f>
        <v/>
      </c>
      <c r="E1651" s="37" t="n"/>
      <c r="F1651" s="39" t="str">
        <f>IF(C1651="","",IFERROR(INDEX(art_unit,MATCH(C1651,art_ref,0))&amp;"",""))</f>
        <v/>
      </c>
      <c r="G1651" s="37" t="n"/>
      <c r="H1651" s="37" t="n"/>
      <c r="I1651" s="37" t="n"/>
      <c r="J1651" s="40" t="str">
        <f>IF(OR(C1651="",NOT(ISNUMBER(E1651))),"",IFERROR(E1651*N(INDEX(art_price,MATCH(C1651,art_ref,0))),""))</f>
        <v/>
      </c>
      <c r="K1651" s="39" t="str">
        <f>IF(OR(C1651="",NOT(ISNUMBER(E1651))),"",IFERROR(ROUND(N(INDEX(art_init,MATCH(C1651,art_ref,0)))+SUMIFS($E$5:E1651,$C$5:C1651,C1651,$B$5:B1651,"Entrée")-SUMIFS($E$5:E1651,$C$5:C1651,C1651,$B$5:B1651,"Sortie"),6),""))</f>
        <v/>
      </c>
      <c r="L1651" s="39" t="str">
        <f>IF(COUNTA(A1651:C1651,E1651)=0,"",IF(COUNTA(A1651:C1651,E1651)&lt;4,"Ligne incomplète",IF(NOT(ISNUMBER(A1651)),"Date invalide",IF(AND(B1651&lt;&gt;"Entrée",B1651&lt;&gt;"Sortie"),"Type inconnu",IF(ISNA(MATCH(C1651,art_ref,0)),"Référence inconnue",IF(OR(NOT(ISNUMBER(E1651)),N(E1651)&lt;=0),"Quantité invalide",IF(K1651&lt;0,"Stock négatif",IF(AND(ISNUMBER(A1650),A1651&lt;A1650),"Date hors ordre","OK"))))))))</f>
        <v/>
      </c>
      <c r="M1651" s="39" t="str">
        <f>IF(C1651="","",C1651&amp;"#"&amp;COUNTIF($C$5:C1651,C1651))</f>
        <v/>
      </c>
    </row>
    <row r="1652">
      <c r="A1652" s="41" t="n"/>
      <c r="B1652" s="37" t="n"/>
      <c r="C1652" s="37" t="n"/>
      <c r="D1652" s="39" t="str">
        <f>IF(C1652="","",IFERROR(INDEX(art_des,MATCH(C1652,art_ref,0))&amp;"","Référence inconnue"))</f>
        <v/>
      </c>
      <c r="E1652" s="37" t="n"/>
      <c r="F1652" s="39" t="str">
        <f>IF(C1652="","",IFERROR(INDEX(art_unit,MATCH(C1652,art_ref,0))&amp;"",""))</f>
        <v/>
      </c>
      <c r="G1652" s="37" t="n"/>
      <c r="H1652" s="37" t="n"/>
      <c r="I1652" s="37" t="n"/>
      <c r="J1652" s="40" t="str">
        <f>IF(OR(C1652="",NOT(ISNUMBER(E1652))),"",IFERROR(E1652*N(INDEX(art_price,MATCH(C1652,art_ref,0))),""))</f>
        <v/>
      </c>
      <c r="K1652" s="39" t="str">
        <f>IF(OR(C1652="",NOT(ISNUMBER(E1652))),"",IFERROR(ROUND(N(INDEX(art_init,MATCH(C1652,art_ref,0)))+SUMIFS($E$5:E1652,$C$5:C1652,C1652,$B$5:B1652,"Entrée")-SUMIFS($E$5:E1652,$C$5:C1652,C1652,$B$5:B1652,"Sortie"),6),""))</f>
        <v/>
      </c>
      <c r="L1652" s="39" t="str">
        <f>IF(COUNTA(A1652:C1652,E1652)=0,"",IF(COUNTA(A1652:C1652,E1652)&lt;4,"Ligne incomplète",IF(NOT(ISNUMBER(A1652)),"Date invalide",IF(AND(B1652&lt;&gt;"Entrée",B1652&lt;&gt;"Sortie"),"Type inconnu",IF(ISNA(MATCH(C1652,art_ref,0)),"Référence inconnue",IF(OR(NOT(ISNUMBER(E1652)),N(E1652)&lt;=0),"Quantité invalide",IF(K1652&lt;0,"Stock négatif",IF(AND(ISNUMBER(A1651),A1652&lt;A1651),"Date hors ordre","OK"))))))))</f>
        <v/>
      </c>
      <c r="M1652" s="39" t="str">
        <f>IF(C1652="","",C1652&amp;"#"&amp;COUNTIF($C$5:C1652,C1652))</f>
        <v/>
      </c>
    </row>
    <row r="1653">
      <c r="A1653" s="41" t="n"/>
      <c r="B1653" s="37" t="n"/>
      <c r="C1653" s="37" t="n"/>
      <c r="D1653" s="39" t="str">
        <f>IF(C1653="","",IFERROR(INDEX(art_des,MATCH(C1653,art_ref,0))&amp;"","Référence inconnue"))</f>
        <v/>
      </c>
      <c r="E1653" s="37" t="n"/>
      <c r="F1653" s="39" t="str">
        <f>IF(C1653="","",IFERROR(INDEX(art_unit,MATCH(C1653,art_ref,0))&amp;"",""))</f>
        <v/>
      </c>
      <c r="G1653" s="37" t="n"/>
      <c r="H1653" s="37" t="n"/>
      <c r="I1653" s="37" t="n"/>
      <c r="J1653" s="40" t="str">
        <f>IF(OR(C1653="",NOT(ISNUMBER(E1653))),"",IFERROR(E1653*N(INDEX(art_price,MATCH(C1653,art_ref,0))),""))</f>
        <v/>
      </c>
      <c r="K1653" s="39" t="str">
        <f>IF(OR(C1653="",NOT(ISNUMBER(E1653))),"",IFERROR(ROUND(N(INDEX(art_init,MATCH(C1653,art_ref,0)))+SUMIFS($E$5:E1653,$C$5:C1653,C1653,$B$5:B1653,"Entrée")-SUMIFS($E$5:E1653,$C$5:C1653,C1653,$B$5:B1653,"Sortie"),6),""))</f>
        <v/>
      </c>
      <c r="L1653" s="39" t="str">
        <f>IF(COUNTA(A1653:C1653,E1653)=0,"",IF(COUNTA(A1653:C1653,E1653)&lt;4,"Ligne incomplète",IF(NOT(ISNUMBER(A1653)),"Date invalide",IF(AND(B1653&lt;&gt;"Entrée",B1653&lt;&gt;"Sortie"),"Type inconnu",IF(ISNA(MATCH(C1653,art_ref,0)),"Référence inconnue",IF(OR(NOT(ISNUMBER(E1653)),N(E1653)&lt;=0),"Quantité invalide",IF(K1653&lt;0,"Stock négatif",IF(AND(ISNUMBER(A1652),A1653&lt;A1652),"Date hors ordre","OK"))))))))</f>
        <v/>
      </c>
      <c r="M1653" s="39" t="str">
        <f>IF(C1653="","",C1653&amp;"#"&amp;COUNTIF($C$5:C1653,C1653))</f>
        <v/>
      </c>
    </row>
    <row r="1654">
      <c r="A1654" s="41" t="n"/>
      <c r="B1654" s="37" t="n"/>
      <c r="C1654" s="37" t="n"/>
      <c r="D1654" s="39" t="str">
        <f>IF(C1654="","",IFERROR(INDEX(art_des,MATCH(C1654,art_ref,0))&amp;"","Référence inconnue"))</f>
        <v/>
      </c>
      <c r="E1654" s="37" t="n"/>
      <c r="F1654" s="39" t="str">
        <f>IF(C1654="","",IFERROR(INDEX(art_unit,MATCH(C1654,art_ref,0))&amp;"",""))</f>
        <v/>
      </c>
      <c r="G1654" s="37" t="n"/>
      <c r="H1654" s="37" t="n"/>
      <c r="I1654" s="37" t="n"/>
      <c r="J1654" s="40" t="str">
        <f>IF(OR(C1654="",NOT(ISNUMBER(E1654))),"",IFERROR(E1654*N(INDEX(art_price,MATCH(C1654,art_ref,0))),""))</f>
        <v/>
      </c>
      <c r="K1654" s="39" t="str">
        <f>IF(OR(C1654="",NOT(ISNUMBER(E1654))),"",IFERROR(ROUND(N(INDEX(art_init,MATCH(C1654,art_ref,0)))+SUMIFS($E$5:E1654,$C$5:C1654,C1654,$B$5:B1654,"Entrée")-SUMIFS($E$5:E1654,$C$5:C1654,C1654,$B$5:B1654,"Sortie"),6),""))</f>
        <v/>
      </c>
      <c r="L1654" s="39" t="str">
        <f>IF(COUNTA(A1654:C1654,E1654)=0,"",IF(COUNTA(A1654:C1654,E1654)&lt;4,"Ligne incomplète",IF(NOT(ISNUMBER(A1654)),"Date invalide",IF(AND(B1654&lt;&gt;"Entrée",B1654&lt;&gt;"Sortie"),"Type inconnu",IF(ISNA(MATCH(C1654,art_ref,0)),"Référence inconnue",IF(OR(NOT(ISNUMBER(E1654)),N(E1654)&lt;=0),"Quantité invalide",IF(K1654&lt;0,"Stock négatif",IF(AND(ISNUMBER(A1653),A1654&lt;A1653),"Date hors ordre","OK"))))))))</f>
        <v/>
      </c>
      <c r="M1654" s="39" t="str">
        <f>IF(C1654="","",C1654&amp;"#"&amp;COUNTIF($C$5:C1654,C1654))</f>
        <v/>
      </c>
    </row>
    <row r="1655">
      <c r="A1655" s="41" t="n"/>
      <c r="B1655" s="37" t="n"/>
      <c r="C1655" s="37" t="n"/>
      <c r="D1655" s="39" t="str">
        <f>IF(C1655="","",IFERROR(INDEX(art_des,MATCH(C1655,art_ref,0))&amp;"","Référence inconnue"))</f>
        <v/>
      </c>
      <c r="E1655" s="37" t="n"/>
      <c r="F1655" s="39" t="str">
        <f>IF(C1655="","",IFERROR(INDEX(art_unit,MATCH(C1655,art_ref,0))&amp;"",""))</f>
        <v/>
      </c>
      <c r="G1655" s="37" t="n"/>
      <c r="H1655" s="37" t="n"/>
      <c r="I1655" s="37" t="n"/>
      <c r="J1655" s="40" t="str">
        <f>IF(OR(C1655="",NOT(ISNUMBER(E1655))),"",IFERROR(E1655*N(INDEX(art_price,MATCH(C1655,art_ref,0))),""))</f>
        <v/>
      </c>
      <c r="K1655" s="39" t="str">
        <f>IF(OR(C1655="",NOT(ISNUMBER(E1655))),"",IFERROR(ROUND(N(INDEX(art_init,MATCH(C1655,art_ref,0)))+SUMIFS($E$5:E1655,$C$5:C1655,C1655,$B$5:B1655,"Entrée")-SUMIFS($E$5:E1655,$C$5:C1655,C1655,$B$5:B1655,"Sortie"),6),""))</f>
        <v/>
      </c>
      <c r="L1655" s="39" t="str">
        <f>IF(COUNTA(A1655:C1655,E1655)=0,"",IF(COUNTA(A1655:C1655,E1655)&lt;4,"Ligne incomplète",IF(NOT(ISNUMBER(A1655)),"Date invalide",IF(AND(B1655&lt;&gt;"Entrée",B1655&lt;&gt;"Sortie"),"Type inconnu",IF(ISNA(MATCH(C1655,art_ref,0)),"Référence inconnue",IF(OR(NOT(ISNUMBER(E1655)),N(E1655)&lt;=0),"Quantité invalide",IF(K1655&lt;0,"Stock négatif",IF(AND(ISNUMBER(A1654),A1655&lt;A1654),"Date hors ordre","OK"))))))))</f>
        <v/>
      </c>
      <c r="M1655" s="39" t="str">
        <f>IF(C1655="","",C1655&amp;"#"&amp;COUNTIF($C$5:C1655,C1655))</f>
        <v/>
      </c>
    </row>
    <row r="1656">
      <c r="A1656" s="41" t="n"/>
      <c r="B1656" s="37" t="n"/>
      <c r="C1656" s="37" t="n"/>
      <c r="D1656" s="39" t="str">
        <f>IF(C1656="","",IFERROR(INDEX(art_des,MATCH(C1656,art_ref,0))&amp;"","Référence inconnue"))</f>
        <v/>
      </c>
      <c r="E1656" s="37" t="n"/>
      <c r="F1656" s="39" t="str">
        <f>IF(C1656="","",IFERROR(INDEX(art_unit,MATCH(C1656,art_ref,0))&amp;"",""))</f>
        <v/>
      </c>
      <c r="G1656" s="37" t="n"/>
      <c r="H1656" s="37" t="n"/>
      <c r="I1656" s="37" t="n"/>
      <c r="J1656" s="40" t="str">
        <f>IF(OR(C1656="",NOT(ISNUMBER(E1656))),"",IFERROR(E1656*N(INDEX(art_price,MATCH(C1656,art_ref,0))),""))</f>
        <v/>
      </c>
      <c r="K1656" s="39" t="str">
        <f>IF(OR(C1656="",NOT(ISNUMBER(E1656))),"",IFERROR(ROUND(N(INDEX(art_init,MATCH(C1656,art_ref,0)))+SUMIFS($E$5:E1656,$C$5:C1656,C1656,$B$5:B1656,"Entrée")-SUMIFS($E$5:E1656,$C$5:C1656,C1656,$B$5:B1656,"Sortie"),6),""))</f>
        <v/>
      </c>
      <c r="L1656" s="39" t="str">
        <f>IF(COUNTA(A1656:C1656,E1656)=0,"",IF(COUNTA(A1656:C1656,E1656)&lt;4,"Ligne incomplète",IF(NOT(ISNUMBER(A1656)),"Date invalide",IF(AND(B1656&lt;&gt;"Entrée",B1656&lt;&gt;"Sortie"),"Type inconnu",IF(ISNA(MATCH(C1656,art_ref,0)),"Référence inconnue",IF(OR(NOT(ISNUMBER(E1656)),N(E1656)&lt;=0),"Quantité invalide",IF(K1656&lt;0,"Stock négatif",IF(AND(ISNUMBER(A1655),A1656&lt;A1655),"Date hors ordre","OK"))))))))</f>
        <v/>
      </c>
      <c r="M1656" s="39" t="str">
        <f>IF(C1656="","",C1656&amp;"#"&amp;COUNTIF($C$5:C1656,C1656))</f>
        <v/>
      </c>
    </row>
    <row r="1657">
      <c r="A1657" s="41" t="n"/>
      <c r="B1657" s="37" t="n"/>
      <c r="C1657" s="37" t="n"/>
      <c r="D1657" s="39" t="str">
        <f>IF(C1657="","",IFERROR(INDEX(art_des,MATCH(C1657,art_ref,0))&amp;"","Référence inconnue"))</f>
        <v/>
      </c>
      <c r="E1657" s="37" t="n"/>
      <c r="F1657" s="39" t="str">
        <f>IF(C1657="","",IFERROR(INDEX(art_unit,MATCH(C1657,art_ref,0))&amp;"",""))</f>
        <v/>
      </c>
      <c r="G1657" s="37" t="n"/>
      <c r="H1657" s="37" t="n"/>
      <c r="I1657" s="37" t="n"/>
      <c r="J1657" s="40" t="str">
        <f>IF(OR(C1657="",NOT(ISNUMBER(E1657))),"",IFERROR(E1657*N(INDEX(art_price,MATCH(C1657,art_ref,0))),""))</f>
        <v/>
      </c>
      <c r="K1657" s="39" t="str">
        <f>IF(OR(C1657="",NOT(ISNUMBER(E1657))),"",IFERROR(ROUND(N(INDEX(art_init,MATCH(C1657,art_ref,0)))+SUMIFS($E$5:E1657,$C$5:C1657,C1657,$B$5:B1657,"Entrée")-SUMIFS($E$5:E1657,$C$5:C1657,C1657,$B$5:B1657,"Sortie"),6),""))</f>
        <v/>
      </c>
      <c r="L1657" s="39" t="str">
        <f>IF(COUNTA(A1657:C1657,E1657)=0,"",IF(COUNTA(A1657:C1657,E1657)&lt;4,"Ligne incomplète",IF(NOT(ISNUMBER(A1657)),"Date invalide",IF(AND(B1657&lt;&gt;"Entrée",B1657&lt;&gt;"Sortie"),"Type inconnu",IF(ISNA(MATCH(C1657,art_ref,0)),"Référence inconnue",IF(OR(NOT(ISNUMBER(E1657)),N(E1657)&lt;=0),"Quantité invalide",IF(K1657&lt;0,"Stock négatif",IF(AND(ISNUMBER(A1656),A1657&lt;A1656),"Date hors ordre","OK"))))))))</f>
        <v/>
      </c>
      <c r="M1657" s="39" t="str">
        <f>IF(C1657="","",C1657&amp;"#"&amp;COUNTIF($C$5:C1657,C1657))</f>
        <v/>
      </c>
    </row>
    <row r="1658">
      <c r="A1658" s="41" t="n"/>
      <c r="B1658" s="37" t="n"/>
      <c r="C1658" s="37" t="n"/>
      <c r="D1658" s="39" t="str">
        <f>IF(C1658="","",IFERROR(INDEX(art_des,MATCH(C1658,art_ref,0))&amp;"","Référence inconnue"))</f>
        <v/>
      </c>
      <c r="E1658" s="37" t="n"/>
      <c r="F1658" s="39" t="str">
        <f>IF(C1658="","",IFERROR(INDEX(art_unit,MATCH(C1658,art_ref,0))&amp;"",""))</f>
        <v/>
      </c>
      <c r="G1658" s="37" t="n"/>
      <c r="H1658" s="37" t="n"/>
      <c r="I1658" s="37" t="n"/>
      <c r="J1658" s="40" t="str">
        <f>IF(OR(C1658="",NOT(ISNUMBER(E1658))),"",IFERROR(E1658*N(INDEX(art_price,MATCH(C1658,art_ref,0))),""))</f>
        <v/>
      </c>
      <c r="K1658" s="39" t="str">
        <f>IF(OR(C1658="",NOT(ISNUMBER(E1658))),"",IFERROR(ROUND(N(INDEX(art_init,MATCH(C1658,art_ref,0)))+SUMIFS($E$5:E1658,$C$5:C1658,C1658,$B$5:B1658,"Entrée")-SUMIFS($E$5:E1658,$C$5:C1658,C1658,$B$5:B1658,"Sortie"),6),""))</f>
        <v/>
      </c>
      <c r="L1658" s="39" t="str">
        <f>IF(COUNTA(A1658:C1658,E1658)=0,"",IF(COUNTA(A1658:C1658,E1658)&lt;4,"Ligne incomplète",IF(NOT(ISNUMBER(A1658)),"Date invalide",IF(AND(B1658&lt;&gt;"Entrée",B1658&lt;&gt;"Sortie"),"Type inconnu",IF(ISNA(MATCH(C1658,art_ref,0)),"Référence inconnue",IF(OR(NOT(ISNUMBER(E1658)),N(E1658)&lt;=0),"Quantité invalide",IF(K1658&lt;0,"Stock négatif",IF(AND(ISNUMBER(A1657),A1658&lt;A1657),"Date hors ordre","OK"))))))))</f>
        <v/>
      </c>
      <c r="M1658" s="39" t="str">
        <f>IF(C1658="","",C1658&amp;"#"&amp;COUNTIF($C$5:C1658,C1658))</f>
        <v/>
      </c>
    </row>
    <row r="1659">
      <c r="A1659" s="41" t="n"/>
      <c r="B1659" s="37" t="n"/>
      <c r="C1659" s="37" t="n"/>
      <c r="D1659" s="39" t="str">
        <f>IF(C1659="","",IFERROR(INDEX(art_des,MATCH(C1659,art_ref,0))&amp;"","Référence inconnue"))</f>
        <v/>
      </c>
      <c r="E1659" s="37" t="n"/>
      <c r="F1659" s="39" t="str">
        <f>IF(C1659="","",IFERROR(INDEX(art_unit,MATCH(C1659,art_ref,0))&amp;"",""))</f>
        <v/>
      </c>
      <c r="G1659" s="37" t="n"/>
      <c r="H1659" s="37" t="n"/>
      <c r="I1659" s="37" t="n"/>
      <c r="J1659" s="40" t="str">
        <f>IF(OR(C1659="",NOT(ISNUMBER(E1659))),"",IFERROR(E1659*N(INDEX(art_price,MATCH(C1659,art_ref,0))),""))</f>
        <v/>
      </c>
      <c r="K1659" s="39" t="str">
        <f>IF(OR(C1659="",NOT(ISNUMBER(E1659))),"",IFERROR(ROUND(N(INDEX(art_init,MATCH(C1659,art_ref,0)))+SUMIFS($E$5:E1659,$C$5:C1659,C1659,$B$5:B1659,"Entrée")-SUMIFS($E$5:E1659,$C$5:C1659,C1659,$B$5:B1659,"Sortie"),6),""))</f>
        <v/>
      </c>
      <c r="L1659" s="39" t="str">
        <f>IF(COUNTA(A1659:C1659,E1659)=0,"",IF(COUNTA(A1659:C1659,E1659)&lt;4,"Ligne incomplète",IF(NOT(ISNUMBER(A1659)),"Date invalide",IF(AND(B1659&lt;&gt;"Entrée",B1659&lt;&gt;"Sortie"),"Type inconnu",IF(ISNA(MATCH(C1659,art_ref,0)),"Référence inconnue",IF(OR(NOT(ISNUMBER(E1659)),N(E1659)&lt;=0),"Quantité invalide",IF(K1659&lt;0,"Stock négatif",IF(AND(ISNUMBER(A1658),A1659&lt;A1658),"Date hors ordre","OK"))))))))</f>
        <v/>
      </c>
      <c r="M1659" s="39" t="str">
        <f>IF(C1659="","",C1659&amp;"#"&amp;COUNTIF($C$5:C1659,C1659))</f>
        <v/>
      </c>
    </row>
    <row r="1660">
      <c r="A1660" s="41" t="n"/>
      <c r="B1660" s="37" t="n"/>
      <c r="C1660" s="37" t="n"/>
      <c r="D1660" s="39" t="str">
        <f>IF(C1660="","",IFERROR(INDEX(art_des,MATCH(C1660,art_ref,0))&amp;"","Référence inconnue"))</f>
        <v/>
      </c>
      <c r="E1660" s="37" t="n"/>
      <c r="F1660" s="39" t="str">
        <f>IF(C1660="","",IFERROR(INDEX(art_unit,MATCH(C1660,art_ref,0))&amp;"",""))</f>
        <v/>
      </c>
      <c r="G1660" s="37" t="n"/>
      <c r="H1660" s="37" t="n"/>
      <c r="I1660" s="37" t="n"/>
      <c r="J1660" s="40" t="str">
        <f>IF(OR(C1660="",NOT(ISNUMBER(E1660))),"",IFERROR(E1660*N(INDEX(art_price,MATCH(C1660,art_ref,0))),""))</f>
        <v/>
      </c>
      <c r="K1660" s="39" t="str">
        <f>IF(OR(C1660="",NOT(ISNUMBER(E1660))),"",IFERROR(ROUND(N(INDEX(art_init,MATCH(C1660,art_ref,0)))+SUMIFS($E$5:E1660,$C$5:C1660,C1660,$B$5:B1660,"Entrée")-SUMIFS($E$5:E1660,$C$5:C1660,C1660,$B$5:B1660,"Sortie"),6),""))</f>
        <v/>
      </c>
      <c r="L1660" s="39" t="str">
        <f>IF(COUNTA(A1660:C1660,E1660)=0,"",IF(COUNTA(A1660:C1660,E1660)&lt;4,"Ligne incomplète",IF(NOT(ISNUMBER(A1660)),"Date invalide",IF(AND(B1660&lt;&gt;"Entrée",B1660&lt;&gt;"Sortie"),"Type inconnu",IF(ISNA(MATCH(C1660,art_ref,0)),"Référence inconnue",IF(OR(NOT(ISNUMBER(E1660)),N(E1660)&lt;=0),"Quantité invalide",IF(K1660&lt;0,"Stock négatif",IF(AND(ISNUMBER(A1659),A1660&lt;A1659),"Date hors ordre","OK"))))))))</f>
        <v/>
      </c>
      <c r="M1660" s="39" t="str">
        <f>IF(C1660="","",C1660&amp;"#"&amp;COUNTIF($C$5:C1660,C1660))</f>
        <v/>
      </c>
    </row>
    <row r="1661">
      <c r="A1661" s="41" t="n"/>
      <c r="B1661" s="37" t="n"/>
      <c r="C1661" s="37" t="n"/>
      <c r="D1661" s="39" t="str">
        <f>IF(C1661="","",IFERROR(INDEX(art_des,MATCH(C1661,art_ref,0))&amp;"","Référence inconnue"))</f>
        <v/>
      </c>
      <c r="E1661" s="37" t="n"/>
      <c r="F1661" s="39" t="str">
        <f>IF(C1661="","",IFERROR(INDEX(art_unit,MATCH(C1661,art_ref,0))&amp;"",""))</f>
        <v/>
      </c>
      <c r="G1661" s="37" t="n"/>
      <c r="H1661" s="37" t="n"/>
      <c r="I1661" s="37" t="n"/>
      <c r="J1661" s="40" t="str">
        <f>IF(OR(C1661="",NOT(ISNUMBER(E1661))),"",IFERROR(E1661*N(INDEX(art_price,MATCH(C1661,art_ref,0))),""))</f>
        <v/>
      </c>
      <c r="K1661" s="39" t="str">
        <f>IF(OR(C1661="",NOT(ISNUMBER(E1661))),"",IFERROR(ROUND(N(INDEX(art_init,MATCH(C1661,art_ref,0)))+SUMIFS($E$5:E1661,$C$5:C1661,C1661,$B$5:B1661,"Entrée")-SUMIFS($E$5:E1661,$C$5:C1661,C1661,$B$5:B1661,"Sortie"),6),""))</f>
        <v/>
      </c>
      <c r="L1661" s="39" t="str">
        <f>IF(COUNTA(A1661:C1661,E1661)=0,"",IF(COUNTA(A1661:C1661,E1661)&lt;4,"Ligne incomplète",IF(NOT(ISNUMBER(A1661)),"Date invalide",IF(AND(B1661&lt;&gt;"Entrée",B1661&lt;&gt;"Sortie"),"Type inconnu",IF(ISNA(MATCH(C1661,art_ref,0)),"Référence inconnue",IF(OR(NOT(ISNUMBER(E1661)),N(E1661)&lt;=0),"Quantité invalide",IF(K1661&lt;0,"Stock négatif",IF(AND(ISNUMBER(A1660),A1661&lt;A1660),"Date hors ordre","OK"))))))))</f>
        <v/>
      </c>
      <c r="M1661" s="39" t="str">
        <f>IF(C1661="","",C1661&amp;"#"&amp;COUNTIF($C$5:C1661,C1661))</f>
        <v/>
      </c>
    </row>
    <row r="1662">
      <c r="A1662" s="41" t="n"/>
      <c r="B1662" s="37" t="n"/>
      <c r="C1662" s="37" t="n"/>
      <c r="D1662" s="39" t="str">
        <f>IF(C1662="","",IFERROR(INDEX(art_des,MATCH(C1662,art_ref,0))&amp;"","Référence inconnue"))</f>
        <v/>
      </c>
      <c r="E1662" s="37" t="n"/>
      <c r="F1662" s="39" t="str">
        <f>IF(C1662="","",IFERROR(INDEX(art_unit,MATCH(C1662,art_ref,0))&amp;"",""))</f>
        <v/>
      </c>
      <c r="G1662" s="37" t="n"/>
      <c r="H1662" s="37" t="n"/>
      <c r="I1662" s="37" t="n"/>
      <c r="J1662" s="40" t="str">
        <f>IF(OR(C1662="",NOT(ISNUMBER(E1662))),"",IFERROR(E1662*N(INDEX(art_price,MATCH(C1662,art_ref,0))),""))</f>
        <v/>
      </c>
      <c r="K1662" s="39" t="str">
        <f>IF(OR(C1662="",NOT(ISNUMBER(E1662))),"",IFERROR(ROUND(N(INDEX(art_init,MATCH(C1662,art_ref,0)))+SUMIFS($E$5:E1662,$C$5:C1662,C1662,$B$5:B1662,"Entrée")-SUMIFS($E$5:E1662,$C$5:C1662,C1662,$B$5:B1662,"Sortie"),6),""))</f>
        <v/>
      </c>
      <c r="L1662" s="39" t="str">
        <f>IF(COUNTA(A1662:C1662,E1662)=0,"",IF(COUNTA(A1662:C1662,E1662)&lt;4,"Ligne incomplète",IF(NOT(ISNUMBER(A1662)),"Date invalide",IF(AND(B1662&lt;&gt;"Entrée",B1662&lt;&gt;"Sortie"),"Type inconnu",IF(ISNA(MATCH(C1662,art_ref,0)),"Référence inconnue",IF(OR(NOT(ISNUMBER(E1662)),N(E1662)&lt;=0),"Quantité invalide",IF(K1662&lt;0,"Stock négatif",IF(AND(ISNUMBER(A1661),A1662&lt;A1661),"Date hors ordre","OK"))))))))</f>
        <v/>
      </c>
      <c r="M1662" s="39" t="str">
        <f>IF(C1662="","",C1662&amp;"#"&amp;COUNTIF($C$5:C1662,C1662))</f>
        <v/>
      </c>
    </row>
    <row r="1663">
      <c r="A1663" s="41" t="n"/>
      <c r="B1663" s="37" t="n"/>
      <c r="C1663" s="37" t="n"/>
      <c r="D1663" s="39" t="str">
        <f>IF(C1663="","",IFERROR(INDEX(art_des,MATCH(C1663,art_ref,0))&amp;"","Référence inconnue"))</f>
        <v/>
      </c>
      <c r="E1663" s="37" t="n"/>
      <c r="F1663" s="39" t="str">
        <f>IF(C1663="","",IFERROR(INDEX(art_unit,MATCH(C1663,art_ref,0))&amp;"",""))</f>
        <v/>
      </c>
      <c r="G1663" s="37" t="n"/>
      <c r="H1663" s="37" t="n"/>
      <c r="I1663" s="37" t="n"/>
      <c r="J1663" s="40" t="str">
        <f>IF(OR(C1663="",NOT(ISNUMBER(E1663))),"",IFERROR(E1663*N(INDEX(art_price,MATCH(C1663,art_ref,0))),""))</f>
        <v/>
      </c>
      <c r="K1663" s="39" t="str">
        <f>IF(OR(C1663="",NOT(ISNUMBER(E1663))),"",IFERROR(ROUND(N(INDEX(art_init,MATCH(C1663,art_ref,0)))+SUMIFS($E$5:E1663,$C$5:C1663,C1663,$B$5:B1663,"Entrée")-SUMIFS($E$5:E1663,$C$5:C1663,C1663,$B$5:B1663,"Sortie"),6),""))</f>
        <v/>
      </c>
      <c r="L1663" s="39" t="str">
        <f>IF(COUNTA(A1663:C1663,E1663)=0,"",IF(COUNTA(A1663:C1663,E1663)&lt;4,"Ligne incomplète",IF(NOT(ISNUMBER(A1663)),"Date invalide",IF(AND(B1663&lt;&gt;"Entrée",B1663&lt;&gt;"Sortie"),"Type inconnu",IF(ISNA(MATCH(C1663,art_ref,0)),"Référence inconnue",IF(OR(NOT(ISNUMBER(E1663)),N(E1663)&lt;=0),"Quantité invalide",IF(K1663&lt;0,"Stock négatif",IF(AND(ISNUMBER(A1662),A1663&lt;A1662),"Date hors ordre","OK"))))))))</f>
        <v/>
      </c>
      <c r="M1663" s="39" t="str">
        <f>IF(C1663="","",C1663&amp;"#"&amp;COUNTIF($C$5:C1663,C1663))</f>
        <v/>
      </c>
    </row>
    <row r="1664">
      <c r="A1664" s="41" t="n"/>
      <c r="B1664" s="37" t="n"/>
      <c r="C1664" s="37" t="n"/>
      <c r="D1664" s="39" t="str">
        <f>IF(C1664="","",IFERROR(INDEX(art_des,MATCH(C1664,art_ref,0))&amp;"","Référence inconnue"))</f>
        <v/>
      </c>
      <c r="E1664" s="37" t="n"/>
      <c r="F1664" s="39" t="str">
        <f>IF(C1664="","",IFERROR(INDEX(art_unit,MATCH(C1664,art_ref,0))&amp;"",""))</f>
        <v/>
      </c>
      <c r="G1664" s="37" t="n"/>
      <c r="H1664" s="37" t="n"/>
      <c r="I1664" s="37" t="n"/>
      <c r="J1664" s="40" t="str">
        <f>IF(OR(C1664="",NOT(ISNUMBER(E1664))),"",IFERROR(E1664*N(INDEX(art_price,MATCH(C1664,art_ref,0))),""))</f>
        <v/>
      </c>
      <c r="K1664" s="39" t="str">
        <f>IF(OR(C1664="",NOT(ISNUMBER(E1664))),"",IFERROR(ROUND(N(INDEX(art_init,MATCH(C1664,art_ref,0)))+SUMIFS($E$5:E1664,$C$5:C1664,C1664,$B$5:B1664,"Entrée")-SUMIFS($E$5:E1664,$C$5:C1664,C1664,$B$5:B1664,"Sortie"),6),""))</f>
        <v/>
      </c>
      <c r="L1664" s="39" t="str">
        <f>IF(COUNTA(A1664:C1664,E1664)=0,"",IF(COUNTA(A1664:C1664,E1664)&lt;4,"Ligne incomplète",IF(NOT(ISNUMBER(A1664)),"Date invalide",IF(AND(B1664&lt;&gt;"Entrée",B1664&lt;&gt;"Sortie"),"Type inconnu",IF(ISNA(MATCH(C1664,art_ref,0)),"Référence inconnue",IF(OR(NOT(ISNUMBER(E1664)),N(E1664)&lt;=0),"Quantité invalide",IF(K1664&lt;0,"Stock négatif",IF(AND(ISNUMBER(A1663),A1664&lt;A1663),"Date hors ordre","OK"))))))))</f>
        <v/>
      </c>
      <c r="M1664" s="39" t="str">
        <f>IF(C1664="","",C1664&amp;"#"&amp;COUNTIF($C$5:C1664,C1664))</f>
        <v/>
      </c>
    </row>
    <row r="1665">
      <c r="A1665" s="41" t="n"/>
      <c r="B1665" s="37" t="n"/>
      <c r="C1665" s="37" t="n"/>
      <c r="D1665" s="39" t="str">
        <f>IF(C1665="","",IFERROR(INDEX(art_des,MATCH(C1665,art_ref,0))&amp;"","Référence inconnue"))</f>
        <v/>
      </c>
      <c r="E1665" s="37" t="n"/>
      <c r="F1665" s="39" t="str">
        <f>IF(C1665="","",IFERROR(INDEX(art_unit,MATCH(C1665,art_ref,0))&amp;"",""))</f>
        <v/>
      </c>
      <c r="G1665" s="37" t="n"/>
      <c r="H1665" s="37" t="n"/>
      <c r="I1665" s="37" t="n"/>
      <c r="J1665" s="40" t="str">
        <f>IF(OR(C1665="",NOT(ISNUMBER(E1665))),"",IFERROR(E1665*N(INDEX(art_price,MATCH(C1665,art_ref,0))),""))</f>
        <v/>
      </c>
      <c r="K1665" s="39" t="str">
        <f>IF(OR(C1665="",NOT(ISNUMBER(E1665))),"",IFERROR(ROUND(N(INDEX(art_init,MATCH(C1665,art_ref,0)))+SUMIFS($E$5:E1665,$C$5:C1665,C1665,$B$5:B1665,"Entrée")-SUMIFS($E$5:E1665,$C$5:C1665,C1665,$B$5:B1665,"Sortie"),6),""))</f>
        <v/>
      </c>
      <c r="L1665" s="39" t="str">
        <f>IF(COUNTA(A1665:C1665,E1665)=0,"",IF(COUNTA(A1665:C1665,E1665)&lt;4,"Ligne incomplète",IF(NOT(ISNUMBER(A1665)),"Date invalide",IF(AND(B1665&lt;&gt;"Entrée",B1665&lt;&gt;"Sortie"),"Type inconnu",IF(ISNA(MATCH(C1665,art_ref,0)),"Référence inconnue",IF(OR(NOT(ISNUMBER(E1665)),N(E1665)&lt;=0),"Quantité invalide",IF(K1665&lt;0,"Stock négatif",IF(AND(ISNUMBER(A1664),A1665&lt;A1664),"Date hors ordre","OK"))))))))</f>
        <v/>
      </c>
      <c r="M1665" s="39" t="str">
        <f>IF(C1665="","",C1665&amp;"#"&amp;COUNTIF($C$5:C1665,C1665))</f>
        <v/>
      </c>
    </row>
    <row r="1666">
      <c r="A1666" s="41" t="n"/>
      <c r="B1666" s="37" t="n"/>
      <c r="C1666" s="37" t="n"/>
      <c r="D1666" s="39" t="str">
        <f>IF(C1666="","",IFERROR(INDEX(art_des,MATCH(C1666,art_ref,0))&amp;"","Référence inconnue"))</f>
        <v/>
      </c>
      <c r="E1666" s="37" t="n"/>
      <c r="F1666" s="39" t="str">
        <f>IF(C1666="","",IFERROR(INDEX(art_unit,MATCH(C1666,art_ref,0))&amp;"",""))</f>
        <v/>
      </c>
      <c r="G1666" s="37" t="n"/>
      <c r="H1666" s="37" t="n"/>
      <c r="I1666" s="37" t="n"/>
      <c r="J1666" s="40" t="str">
        <f>IF(OR(C1666="",NOT(ISNUMBER(E1666))),"",IFERROR(E1666*N(INDEX(art_price,MATCH(C1666,art_ref,0))),""))</f>
        <v/>
      </c>
      <c r="K1666" s="39" t="str">
        <f>IF(OR(C1666="",NOT(ISNUMBER(E1666))),"",IFERROR(ROUND(N(INDEX(art_init,MATCH(C1666,art_ref,0)))+SUMIFS($E$5:E1666,$C$5:C1666,C1666,$B$5:B1666,"Entrée")-SUMIFS($E$5:E1666,$C$5:C1666,C1666,$B$5:B1666,"Sortie"),6),""))</f>
        <v/>
      </c>
      <c r="L1666" s="39" t="str">
        <f>IF(COUNTA(A1666:C1666,E1666)=0,"",IF(COUNTA(A1666:C1666,E1666)&lt;4,"Ligne incomplète",IF(NOT(ISNUMBER(A1666)),"Date invalide",IF(AND(B1666&lt;&gt;"Entrée",B1666&lt;&gt;"Sortie"),"Type inconnu",IF(ISNA(MATCH(C1666,art_ref,0)),"Référence inconnue",IF(OR(NOT(ISNUMBER(E1666)),N(E1666)&lt;=0),"Quantité invalide",IF(K1666&lt;0,"Stock négatif",IF(AND(ISNUMBER(A1665),A1666&lt;A1665),"Date hors ordre","OK"))))))))</f>
        <v/>
      </c>
      <c r="M1666" s="39" t="str">
        <f>IF(C1666="","",C1666&amp;"#"&amp;COUNTIF($C$5:C1666,C1666))</f>
        <v/>
      </c>
    </row>
    <row r="1667">
      <c r="A1667" s="41" t="n"/>
      <c r="B1667" s="37" t="n"/>
      <c r="C1667" s="37" t="n"/>
      <c r="D1667" s="39" t="str">
        <f>IF(C1667="","",IFERROR(INDEX(art_des,MATCH(C1667,art_ref,0))&amp;"","Référence inconnue"))</f>
        <v/>
      </c>
      <c r="E1667" s="37" t="n"/>
      <c r="F1667" s="39" t="str">
        <f>IF(C1667="","",IFERROR(INDEX(art_unit,MATCH(C1667,art_ref,0))&amp;"",""))</f>
        <v/>
      </c>
      <c r="G1667" s="37" t="n"/>
      <c r="H1667" s="37" t="n"/>
      <c r="I1667" s="37" t="n"/>
      <c r="J1667" s="40" t="str">
        <f>IF(OR(C1667="",NOT(ISNUMBER(E1667))),"",IFERROR(E1667*N(INDEX(art_price,MATCH(C1667,art_ref,0))),""))</f>
        <v/>
      </c>
      <c r="K1667" s="39" t="str">
        <f>IF(OR(C1667="",NOT(ISNUMBER(E1667))),"",IFERROR(ROUND(N(INDEX(art_init,MATCH(C1667,art_ref,0)))+SUMIFS($E$5:E1667,$C$5:C1667,C1667,$B$5:B1667,"Entrée")-SUMIFS($E$5:E1667,$C$5:C1667,C1667,$B$5:B1667,"Sortie"),6),""))</f>
        <v/>
      </c>
      <c r="L1667" s="39" t="str">
        <f>IF(COUNTA(A1667:C1667,E1667)=0,"",IF(COUNTA(A1667:C1667,E1667)&lt;4,"Ligne incomplète",IF(NOT(ISNUMBER(A1667)),"Date invalide",IF(AND(B1667&lt;&gt;"Entrée",B1667&lt;&gt;"Sortie"),"Type inconnu",IF(ISNA(MATCH(C1667,art_ref,0)),"Référence inconnue",IF(OR(NOT(ISNUMBER(E1667)),N(E1667)&lt;=0),"Quantité invalide",IF(K1667&lt;0,"Stock négatif",IF(AND(ISNUMBER(A1666),A1667&lt;A1666),"Date hors ordre","OK"))))))))</f>
        <v/>
      </c>
      <c r="M1667" s="39" t="str">
        <f>IF(C1667="","",C1667&amp;"#"&amp;COUNTIF($C$5:C1667,C1667))</f>
        <v/>
      </c>
    </row>
    <row r="1668">
      <c r="A1668" s="41" t="n"/>
      <c r="B1668" s="37" t="n"/>
      <c r="C1668" s="37" t="n"/>
      <c r="D1668" s="39" t="str">
        <f>IF(C1668="","",IFERROR(INDEX(art_des,MATCH(C1668,art_ref,0))&amp;"","Référence inconnue"))</f>
        <v/>
      </c>
      <c r="E1668" s="37" t="n"/>
      <c r="F1668" s="39" t="str">
        <f>IF(C1668="","",IFERROR(INDEX(art_unit,MATCH(C1668,art_ref,0))&amp;"",""))</f>
        <v/>
      </c>
      <c r="G1668" s="37" t="n"/>
      <c r="H1668" s="37" t="n"/>
      <c r="I1668" s="37" t="n"/>
      <c r="J1668" s="40" t="str">
        <f>IF(OR(C1668="",NOT(ISNUMBER(E1668))),"",IFERROR(E1668*N(INDEX(art_price,MATCH(C1668,art_ref,0))),""))</f>
        <v/>
      </c>
      <c r="K1668" s="39" t="str">
        <f>IF(OR(C1668="",NOT(ISNUMBER(E1668))),"",IFERROR(ROUND(N(INDEX(art_init,MATCH(C1668,art_ref,0)))+SUMIFS($E$5:E1668,$C$5:C1668,C1668,$B$5:B1668,"Entrée")-SUMIFS($E$5:E1668,$C$5:C1668,C1668,$B$5:B1668,"Sortie"),6),""))</f>
        <v/>
      </c>
      <c r="L1668" s="39" t="str">
        <f>IF(COUNTA(A1668:C1668,E1668)=0,"",IF(COUNTA(A1668:C1668,E1668)&lt;4,"Ligne incomplète",IF(NOT(ISNUMBER(A1668)),"Date invalide",IF(AND(B1668&lt;&gt;"Entrée",B1668&lt;&gt;"Sortie"),"Type inconnu",IF(ISNA(MATCH(C1668,art_ref,0)),"Référence inconnue",IF(OR(NOT(ISNUMBER(E1668)),N(E1668)&lt;=0),"Quantité invalide",IF(K1668&lt;0,"Stock négatif",IF(AND(ISNUMBER(A1667),A1668&lt;A1667),"Date hors ordre","OK"))))))))</f>
        <v/>
      </c>
      <c r="M1668" s="39" t="str">
        <f>IF(C1668="","",C1668&amp;"#"&amp;COUNTIF($C$5:C1668,C1668))</f>
        <v/>
      </c>
    </row>
    <row r="1669">
      <c r="A1669" s="41" t="n"/>
      <c r="B1669" s="37" t="n"/>
      <c r="C1669" s="37" t="n"/>
      <c r="D1669" s="39" t="str">
        <f>IF(C1669="","",IFERROR(INDEX(art_des,MATCH(C1669,art_ref,0))&amp;"","Référence inconnue"))</f>
        <v/>
      </c>
      <c r="E1669" s="37" t="n"/>
      <c r="F1669" s="39" t="str">
        <f>IF(C1669="","",IFERROR(INDEX(art_unit,MATCH(C1669,art_ref,0))&amp;"",""))</f>
        <v/>
      </c>
      <c r="G1669" s="37" t="n"/>
      <c r="H1669" s="37" t="n"/>
      <c r="I1669" s="37" t="n"/>
      <c r="J1669" s="40" t="str">
        <f>IF(OR(C1669="",NOT(ISNUMBER(E1669))),"",IFERROR(E1669*N(INDEX(art_price,MATCH(C1669,art_ref,0))),""))</f>
        <v/>
      </c>
      <c r="K1669" s="39" t="str">
        <f>IF(OR(C1669="",NOT(ISNUMBER(E1669))),"",IFERROR(ROUND(N(INDEX(art_init,MATCH(C1669,art_ref,0)))+SUMIFS($E$5:E1669,$C$5:C1669,C1669,$B$5:B1669,"Entrée")-SUMIFS($E$5:E1669,$C$5:C1669,C1669,$B$5:B1669,"Sortie"),6),""))</f>
        <v/>
      </c>
      <c r="L1669" s="39" t="str">
        <f>IF(COUNTA(A1669:C1669,E1669)=0,"",IF(COUNTA(A1669:C1669,E1669)&lt;4,"Ligne incomplète",IF(NOT(ISNUMBER(A1669)),"Date invalide",IF(AND(B1669&lt;&gt;"Entrée",B1669&lt;&gt;"Sortie"),"Type inconnu",IF(ISNA(MATCH(C1669,art_ref,0)),"Référence inconnue",IF(OR(NOT(ISNUMBER(E1669)),N(E1669)&lt;=0),"Quantité invalide",IF(K1669&lt;0,"Stock négatif",IF(AND(ISNUMBER(A1668),A1669&lt;A1668),"Date hors ordre","OK"))))))))</f>
        <v/>
      </c>
      <c r="M1669" s="39" t="str">
        <f>IF(C1669="","",C1669&amp;"#"&amp;COUNTIF($C$5:C1669,C1669))</f>
        <v/>
      </c>
    </row>
    <row r="1670">
      <c r="A1670" s="41" t="n"/>
      <c r="B1670" s="37" t="n"/>
      <c r="C1670" s="37" t="n"/>
      <c r="D1670" s="39" t="str">
        <f>IF(C1670="","",IFERROR(INDEX(art_des,MATCH(C1670,art_ref,0))&amp;"","Référence inconnue"))</f>
        <v/>
      </c>
      <c r="E1670" s="37" t="n"/>
      <c r="F1670" s="39" t="str">
        <f>IF(C1670="","",IFERROR(INDEX(art_unit,MATCH(C1670,art_ref,0))&amp;"",""))</f>
        <v/>
      </c>
      <c r="G1670" s="37" t="n"/>
      <c r="H1670" s="37" t="n"/>
      <c r="I1670" s="37" t="n"/>
      <c r="J1670" s="40" t="str">
        <f>IF(OR(C1670="",NOT(ISNUMBER(E1670))),"",IFERROR(E1670*N(INDEX(art_price,MATCH(C1670,art_ref,0))),""))</f>
        <v/>
      </c>
      <c r="K1670" s="39" t="str">
        <f>IF(OR(C1670="",NOT(ISNUMBER(E1670))),"",IFERROR(ROUND(N(INDEX(art_init,MATCH(C1670,art_ref,0)))+SUMIFS($E$5:E1670,$C$5:C1670,C1670,$B$5:B1670,"Entrée")-SUMIFS($E$5:E1670,$C$5:C1670,C1670,$B$5:B1670,"Sortie"),6),""))</f>
        <v/>
      </c>
      <c r="L1670" s="39" t="str">
        <f>IF(COUNTA(A1670:C1670,E1670)=0,"",IF(COUNTA(A1670:C1670,E1670)&lt;4,"Ligne incomplète",IF(NOT(ISNUMBER(A1670)),"Date invalide",IF(AND(B1670&lt;&gt;"Entrée",B1670&lt;&gt;"Sortie"),"Type inconnu",IF(ISNA(MATCH(C1670,art_ref,0)),"Référence inconnue",IF(OR(NOT(ISNUMBER(E1670)),N(E1670)&lt;=0),"Quantité invalide",IF(K1670&lt;0,"Stock négatif",IF(AND(ISNUMBER(A1669),A1670&lt;A1669),"Date hors ordre","OK"))))))))</f>
        <v/>
      </c>
      <c r="M1670" s="39" t="str">
        <f>IF(C1670="","",C1670&amp;"#"&amp;COUNTIF($C$5:C1670,C1670))</f>
        <v/>
      </c>
    </row>
    <row r="1671">
      <c r="A1671" s="41" t="n"/>
      <c r="B1671" s="37" t="n"/>
      <c r="C1671" s="37" t="n"/>
      <c r="D1671" s="39" t="str">
        <f>IF(C1671="","",IFERROR(INDEX(art_des,MATCH(C1671,art_ref,0))&amp;"","Référence inconnue"))</f>
        <v/>
      </c>
      <c r="E1671" s="37" t="n"/>
      <c r="F1671" s="39" t="str">
        <f>IF(C1671="","",IFERROR(INDEX(art_unit,MATCH(C1671,art_ref,0))&amp;"",""))</f>
        <v/>
      </c>
      <c r="G1671" s="37" t="n"/>
      <c r="H1671" s="37" t="n"/>
      <c r="I1671" s="37" t="n"/>
      <c r="J1671" s="40" t="str">
        <f>IF(OR(C1671="",NOT(ISNUMBER(E1671))),"",IFERROR(E1671*N(INDEX(art_price,MATCH(C1671,art_ref,0))),""))</f>
        <v/>
      </c>
      <c r="K1671" s="39" t="str">
        <f>IF(OR(C1671="",NOT(ISNUMBER(E1671))),"",IFERROR(ROUND(N(INDEX(art_init,MATCH(C1671,art_ref,0)))+SUMIFS($E$5:E1671,$C$5:C1671,C1671,$B$5:B1671,"Entrée")-SUMIFS($E$5:E1671,$C$5:C1671,C1671,$B$5:B1671,"Sortie"),6),""))</f>
        <v/>
      </c>
      <c r="L1671" s="39" t="str">
        <f>IF(COUNTA(A1671:C1671,E1671)=0,"",IF(COUNTA(A1671:C1671,E1671)&lt;4,"Ligne incomplète",IF(NOT(ISNUMBER(A1671)),"Date invalide",IF(AND(B1671&lt;&gt;"Entrée",B1671&lt;&gt;"Sortie"),"Type inconnu",IF(ISNA(MATCH(C1671,art_ref,0)),"Référence inconnue",IF(OR(NOT(ISNUMBER(E1671)),N(E1671)&lt;=0),"Quantité invalide",IF(K1671&lt;0,"Stock négatif",IF(AND(ISNUMBER(A1670),A1671&lt;A1670),"Date hors ordre","OK"))))))))</f>
        <v/>
      </c>
      <c r="M1671" s="39" t="str">
        <f>IF(C1671="","",C1671&amp;"#"&amp;COUNTIF($C$5:C1671,C1671))</f>
        <v/>
      </c>
    </row>
    <row r="1672">
      <c r="A1672" s="41" t="n"/>
      <c r="B1672" s="37" t="n"/>
      <c r="C1672" s="37" t="n"/>
      <c r="D1672" s="39" t="str">
        <f>IF(C1672="","",IFERROR(INDEX(art_des,MATCH(C1672,art_ref,0))&amp;"","Référence inconnue"))</f>
        <v/>
      </c>
      <c r="E1672" s="37" t="n"/>
      <c r="F1672" s="39" t="str">
        <f>IF(C1672="","",IFERROR(INDEX(art_unit,MATCH(C1672,art_ref,0))&amp;"",""))</f>
        <v/>
      </c>
      <c r="G1672" s="37" t="n"/>
      <c r="H1672" s="37" t="n"/>
      <c r="I1672" s="37" t="n"/>
      <c r="J1672" s="40" t="str">
        <f>IF(OR(C1672="",NOT(ISNUMBER(E1672))),"",IFERROR(E1672*N(INDEX(art_price,MATCH(C1672,art_ref,0))),""))</f>
        <v/>
      </c>
      <c r="K1672" s="39" t="str">
        <f>IF(OR(C1672="",NOT(ISNUMBER(E1672))),"",IFERROR(ROUND(N(INDEX(art_init,MATCH(C1672,art_ref,0)))+SUMIFS($E$5:E1672,$C$5:C1672,C1672,$B$5:B1672,"Entrée")-SUMIFS($E$5:E1672,$C$5:C1672,C1672,$B$5:B1672,"Sortie"),6),""))</f>
        <v/>
      </c>
      <c r="L1672" s="39" t="str">
        <f>IF(COUNTA(A1672:C1672,E1672)=0,"",IF(COUNTA(A1672:C1672,E1672)&lt;4,"Ligne incomplète",IF(NOT(ISNUMBER(A1672)),"Date invalide",IF(AND(B1672&lt;&gt;"Entrée",B1672&lt;&gt;"Sortie"),"Type inconnu",IF(ISNA(MATCH(C1672,art_ref,0)),"Référence inconnue",IF(OR(NOT(ISNUMBER(E1672)),N(E1672)&lt;=0),"Quantité invalide",IF(K1672&lt;0,"Stock négatif",IF(AND(ISNUMBER(A1671),A1672&lt;A1671),"Date hors ordre","OK"))))))))</f>
        <v/>
      </c>
      <c r="M1672" s="39" t="str">
        <f>IF(C1672="","",C1672&amp;"#"&amp;COUNTIF($C$5:C1672,C1672))</f>
        <v/>
      </c>
    </row>
    <row r="1673">
      <c r="A1673" s="41" t="n"/>
      <c r="B1673" s="37" t="n"/>
      <c r="C1673" s="37" t="n"/>
      <c r="D1673" s="39" t="str">
        <f>IF(C1673="","",IFERROR(INDEX(art_des,MATCH(C1673,art_ref,0))&amp;"","Référence inconnue"))</f>
        <v/>
      </c>
      <c r="E1673" s="37" t="n"/>
      <c r="F1673" s="39" t="str">
        <f>IF(C1673="","",IFERROR(INDEX(art_unit,MATCH(C1673,art_ref,0))&amp;"",""))</f>
        <v/>
      </c>
      <c r="G1673" s="37" t="n"/>
      <c r="H1673" s="37" t="n"/>
      <c r="I1673" s="37" t="n"/>
      <c r="J1673" s="40" t="str">
        <f>IF(OR(C1673="",NOT(ISNUMBER(E1673))),"",IFERROR(E1673*N(INDEX(art_price,MATCH(C1673,art_ref,0))),""))</f>
        <v/>
      </c>
      <c r="K1673" s="39" t="str">
        <f>IF(OR(C1673="",NOT(ISNUMBER(E1673))),"",IFERROR(ROUND(N(INDEX(art_init,MATCH(C1673,art_ref,0)))+SUMIFS($E$5:E1673,$C$5:C1673,C1673,$B$5:B1673,"Entrée")-SUMIFS($E$5:E1673,$C$5:C1673,C1673,$B$5:B1673,"Sortie"),6),""))</f>
        <v/>
      </c>
      <c r="L1673" s="39" t="str">
        <f>IF(COUNTA(A1673:C1673,E1673)=0,"",IF(COUNTA(A1673:C1673,E1673)&lt;4,"Ligne incomplète",IF(NOT(ISNUMBER(A1673)),"Date invalide",IF(AND(B1673&lt;&gt;"Entrée",B1673&lt;&gt;"Sortie"),"Type inconnu",IF(ISNA(MATCH(C1673,art_ref,0)),"Référence inconnue",IF(OR(NOT(ISNUMBER(E1673)),N(E1673)&lt;=0),"Quantité invalide",IF(K1673&lt;0,"Stock négatif",IF(AND(ISNUMBER(A1672),A1673&lt;A1672),"Date hors ordre","OK"))))))))</f>
        <v/>
      </c>
      <c r="M1673" s="39" t="str">
        <f>IF(C1673="","",C1673&amp;"#"&amp;COUNTIF($C$5:C1673,C1673))</f>
        <v/>
      </c>
    </row>
    <row r="1674">
      <c r="A1674" s="41" t="n"/>
      <c r="B1674" s="37" t="n"/>
      <c r="C1674" s="37" t="n"/>
      <c r="D1674" s="39" t="str">
        <f>IF(C1674="","",IFERROR(INDEX(art_des,MATCH(C1674,art_ref,0))&amp;"","Référence inconnue"))</f>
        <v/>
      </c>
      <c r="E1674" s="37" t="n"/>
      <c r="F1674" s="39" t="str">
        <f>IF(C1674="","",IFERROR(INDEX(art_unit,MATCH(C1674,art_ref,0))&amp;"",""))</f>
        <v/>
      </c>
      <c r="G1674" s="37" t="n"/>
      <c r="H1674" s="37" t="n"/>
      <c r="I1674" s="37" t="n"/>
      <c r="J1674" s="40" t="str">
        <f>IF(OR(C1674="",NOT(ISNUMBER(E1674))),"",IFERROR(E1674*N(INDEX(art_price,MATCH(C1674,art_ref,0))),""))</f>
        <v/>
      </c>
      <c r="K1674" s="39" t="str">
        <f>IF(OR(C1674="",NOT(ISNUMBER(E1674))),"",IFERROR(ROUND(N(INDEX(art_init,MATCH(C1674,art_ref,0)))+SUMIFS($E$5:E1674,$C$5:C1674,C1674,$B$5:B1674,"Entrée")-SUMIFS($E$5:E1674,$C$5:C1674,C1674,$B$5:B1674,"Sortie"),6),""))</f>
        <v/>
      </c>
      <c r="L1674" s="39" t="str">
        <f>IF(COUNTA(A1674:C1674,E1674)=0,"",IF(COUNTA(A1674:C1674,E1674)&lt;4,"Ligne incomplète",IF(NOT(ISNUMBER(A1674)),"Date invalide",IF(AND(B1674&lt;&gt;"Entrée",B1674&lt;&gt;"Sortie"),"Type inconnu",IF(ISNA(MATCH(C1674,art_ref,0)),"Référence inconnue",IF(OR(NOT(ISNUMBER(E1674)),N(E1674)&lt;=0),"Quantité invalide",IF(K1674&lt;0,"Stock négatif",IF(AND(ISNUMBER(A1673),A1674&lt;A1673),"Date hors ordre","OK"))))))))</f>
        <v/>
      </c>
      <c r="M1674" s="39" t="str">
        <f>IF(C1674="","",C1674&amp;"#"&amp;COUNTIF($C$5:C1674,C1674))</f>
        <v/>
      </c>
    </row>
    <row r="1675">
      <c r="A1675" s="41" t="n"/>
      <c r="B1675" s="37" t="n"/>
      <c r="C1675" s="37" t="n"/>
      <c r="D1675" s="39" t="str">
        <f>IF(C1675="","",IFERROR(INDEX(art_des,MATCH(C1675,art_ref,0))&amp;"","Référence inconnue"))</f>
        <v/>
      </c>
      <c r="E1675" s="37" t="n"/>
      <c r="F1675" s="39" t="str">
        <f>IF(C1675="","",IFERROR(INDEX(art_unit,MATCH(C1675,art_ref,0))&amp;"",""))</f>
        <v/>
      </c>
      <c r="G1675" s="37" t="n"/>
      <c r="H1675" s="37" t="n"/>
      <c r="I1675" s="37" t="n"/>
      <c r="J1675" s="40" t="str">
        <f>IF(OR(C1675="",NOT(ISNUMBER(E1675))),"",IFERROR(E1675*N(INDEX(art_price,MATCH(C1675,art_ref,0))),""))</f>
        <v/>
      </c>
      <c r="K1675" s="39" t="str">
        <f>IF(OR(C1675="",NOT(ISNUMBER(E1675))),"",IFERROR(ROUND(N(INDEX(art_init,MATCH(C1675,art_ref,0)))+SUMIFS($E$5:E1675,$C$5:C1675,C1675,$B$5:B1675,"Entrée")-SUMIFS($E$5:E1675,$C$5:C1675,C1675,$B$5:B1675,"Sortie"),6),""))</f>
        <v/>
      </c>
      <c r="L1675" s="39" t="str">
        <f>IF(COUNTA(A1675:C1675,E1675)=0,"",IF(COUNTA(A1675:C1675,E1675)&lt;4,"Ligne incomplète",IF(NOT(ISNUMBER(A1675)),"Date invalide",IF(AND(B1675&lt;&gt;"Entrée",B1675&lt;&gt;"Sortie"),"Type inconnu",IF(ISNA(MATCH(C1675,art_ref,0)),"Référence inconnue",IF(OR(NOT(ISNUMBER(E1675)),N(E1675)&lt;=0),"Quantité invalide",IF(K1675&lt;0,"Stock négatif",IF(AND(ISNUMBER(A1674),A1675&lt;A1674),"Date hors ordre","OK"))))))))</f>
        <v/>
      </c>
      <c r="M1675" s="39" t="str">
        <f>IF(C1675="","",C1675&amp;"#"&amp;COUNTIF($C$5:C1675,C1675))</f>
        <v/>
      </c>
    </row>
    <row r="1676">
      <c r="A1676" s="41" t="n"/>
      <c r="B1676" s="37" t="n"/>
      <c r="C1676" s="37" t="n"/>
      <c r="D1676" s="39" t="str">
        <f>IF(C1676="","",IFERROR(INDEX(art_des,MATCH(C1676,art_ref,0))&amp;"","Référence inconnue"))</f>
        <v/>
      </c>
      <c r="E1676" s="37" t="n"/>
      <c r="F1676" s="39" t="str">
        <f>IF(C1676="","",IFERROR(INDEX(art_unit,MATCH(C1676,art_ref,0))&amp;"",""))</f>
        <v/>
      </c>
      <c r="G1676" s="37" t="n"/>
      <c r="H1676" s="37" t="n"/>
      <c r="I1676" s="37" t="n"/>
      <c r="J1676" s="40" t="str">
        <f>IF(OR(C1676="",NOT(ISNUMBER(E1676))),"",IFERROR(E1676*N(INDEX(art_price,MATCH(C1676,art_ref,0))),""))</f>
        <v/>
      </c>
      <c r="K1676" s="39" t="str">
        <f>IF(OR(C1676="",NOT(ISNUMBER(E1676))),"",IFERROR(ROUND(N(INDEX(art_init,MATCH(C1676,art_ref,0)))+SUMIFS($E$5:E1676,$C$5:C1676,C1676,$B$5:B1676,"Entrée")-SUMIFS($E$5:E1676,$C$5:C1676,C1676,$B$5:B1676,"Sortie"),6),""))</f>
        <v/>
      </c>
      <c r="L1676" s="39" t="str">
        <f>IF(COUNTA(A1676:C1676,E1676)=0,"",IF(COUNTA(A1676:C1676,E1676)&lt;4,"Ligne incomplète",IF(NOT(ISNUMBER(A1676)),"Date invalide",IF(AND(B1676&lt;&gt;"Entrée",B1676&lt;&gt;"Sortie"),"Type inconnu",IF(ISNA(MATCH(C1676,art_ref,0)),"Référence inconnue",IF(OR(NOT(ISNUMBER(E1676)),N(E1676)&lt;=0),"Quantité invalide",IF(K1676&lt;0,"Stock négatif",IF(AND(ISNUMBER(A1675),A1676&lt;A1675),"Date hors ordre","OK"))))))))</f>
        <v/>
      </c>
      <c r="M1676" s="39" t="str">
        <f>IF(C1676="","",C1676&amp;"#"&amp;COUNTIF($C$5:C1676,C1676))</f>
        <v/>
      </c>
    </row>
    <row r="1677">
      <c r="A1677" s="41" t="n"/>
      <c r="B1677" s="37" t="n"/>
      <c r="C1677" s="37" t="n"/>
      <c r="D1677" s="39" t="str">
        <f>IF(C1677="","",IFERROR(INDEX(art_des,MATCH(C1677,art_ref,0))&amp;"","Référence inconnue"))</f>
        <v/>
      </c>
      <c r="E1677" s="37" t="n"/>
      <c r="F1677" s="39" t="str">
        <f>IF(C1677="","",IFERROR(INDEX(art_unit,MATCH(C1677,art_ref,0))&amp;"",""))</f>
        <v/>
      </c>
      <c r="G1677" s="37" t="n"/>
      <c r="H1677" s="37" t="n"/>
      <c r="I1677" s="37" t="n"/>
      <c r="J1677" s="40" t="str">
        <f>IF(OR(C1677="",NOT(ISNUMBER(E1677))),"",IFERROR(E1677*N(INDEX(art_price,MATCH(C1677,art_ref,0))),""))</f>
        <v/>
      </c>
      <c r="K1677" s="39" t="str">
        <f>IF(OR(C1677="",NOT(ISNUMBER(E1677))),"",IFERROR(ROUND(N(INDEX(art_init,MATCH(C1677,art_ref,0)))+SUMIFS($E$5:E1677,$C$5:C1677,C1677,$B$5:B1677,"Entrée")-SUMIFS($E$5:E1677,$C$5:C1677,C1677,$B$5:B1677,"Sortie"),6),""))</f>
        <v/>
      </c>
      <c r="L1677" s="39" t="str">
        <f>IF(COUNTA(A1677:C1677,E1677)=0,"",IF(COUNTA(A1677:C1677,E1677)&lt;4,"Ligne incomplète",IF(NOT(ISNUMBER(A1677)),"Date invalide",IF(AND(B1677&lt;&gt;"Entrée",B1677&lt;&gt;"Sortie"),"Type inconnu",IF(ISNA(MATCH(C1677,art_ref,0)),"Référence inconnue",IF(OR(NOT(ISNUMBER(E1677)),N(E1677)&lt;=0),"Quantité invalide",IF(K1677&lt;0,"Stock négatif",IF(AND(ISNUMBER(A1676),A1677&lt;A1676),"Date hors ordre","OK"))))))))</f>
        <v/>
      </c>
      <c r="M1677" s="39" t="str">
        <f>IF(C1677="","",C1677&amp;"#"&amp;COUNTIF($C$5:C1677,C1677))</f>
        <v/>
      </c>
    </row>
    <row r="1678">
      <c r="A1678" s="41" t="n"/>
      <c r="B1678" s="37" t="n"/>
      <c r="C1678" s="37" t="n"/>
      <c r="D1678" s="39" t="str">
        <f>IF(C1678="","",IFERROR(INDEX(art_des,MATCH(C1678,art_ref,0))&amp;"","Référence inconnue"))</f>
        <v/>
      </c>
      <c r="E1678" s="37" t="n"/>
      <c r="F1678" s="39" t="str">
        <f>IF(C1678="","",IFERROR(INDEX(art_unit,MATCH(C1678,art_ref,0))&amp;"",""))</f>
        <v/>
      </c>
      <c r="G1678" s="37" t="n"/>
      <c r="H1678" s="37" t="n"/>
      <c r="I1678" s="37" t="n"/>
      <c r="J1678" s="40" t="str">
        <f>IF(OR(C1678="",NOT(ISNUMBER(E1678))),"",IFERROR(E1678*N(INDEX(art_price,MATCH(C1678,art_ref,0))),""))</f>
        <v/>
      </c>
      <c r="K1678" s="39" t="str">
        <f>IF(OR(C1678="",NOT(ISNUMBER(E1678))),"",IFERROR(ROUND(N(INDEX(art_init,MATCH(C1678,art_ref,0)))+SUMIFS($E$5:E1678,$C$5:C1678,C1678,$B$5:B1678,"Entrée")-SUMIFS($E$5:E1678,$C$5:C1678,C1678,$B$5:B1678,"Sortie"),6),""))</f>
        <v/>
      </c>
      <c r="L1678" s="39" t="str">
        <f>IF(COUNTA(A1678:C1678,E1678)=0,"",IF(COUNTA(A1678:C1678,E1678)&lt;4,"Ligne incomplète",IF(NOT(ISNUMBER(A1678)),"Date invalide",IF(AND(B1678&lt;&gt;"Entrée",B1678&lt;&gt;"Sortie"),"Type inconnu",IF(ISNA(MATCH(C1678,art_ref,0)),"Référence inconnue",IF(OR(NOT(ISNUMBER(E1678)),N(E1678)&lt;=0),"Quantité invalide",IF(K1678&lt;0,"Stock négatif",IF(AND(ISNUMBER(A1677),A1678&lt;A1677),"Date hors ordre","OK"))))))))</f>
        <v/>
      </c>
      <c r="M1678" s="39" t="str">
        <f>IF(C1678="","",C1678&amp;"#"&amp;COUNTIF($C$5:C1678,C1678))</f>
        <v/>
      </c>
    </row>
    <row r="1679">
      <c r="A1679" s="41" t="n"/>
      <c r="B1679" s="37" t="n"/>
      <c r="C1679" s="37" t="n"/>
      <c r="D1679" s="39" t="str">
        <f>IF(C1679="","",IFERROR(INDEX(art_des,MATCH(C1679,art_ref,0))&amp;"","Référence inconnue"))</f>
        <v/>
      </c>
      <c r="E1679" s="37" t="n"/>
      <c r="F1679" s="39" t="str">
        <f>IF(C1679="","",IFERROR(INDEX(art_unit,MATCH(C1679,art_ref,0))&amp;"",""))</f>
        <v/>
      </c>
      <c r="G1679" s="37" t="n"/>
      <c r="H1679" s="37" t="n"/>
      <c r="I1679" s="37" t="n"/>
      <c r="J1679" s="40" t="str">
        <f>IF(OR(C1679="",NOT(ISNUMBER(E1679))),"",IFERROR(E1679*N(INDEX(art_price,MATCH(C1679,art_ref,0))),""))</f>
        <v/>
      </c>
      <c r="K1679" s="39" t="str">
        <f>IF(OR(C1679="",NOT(ISNUMBER(E1679))),"",IFERROR(ROUND(N(INDEX(art_init,MATCH(C1679,art_ref,0)))+SUMIFS($E$5:E1679,$C$5:C1679,C1679,$B$5:B1679,"Entrée")-SUMIFS($E$5:E1679,$C$5:C1679,C1679,$B$5:B1679,"Sortie"),6),""))</f>
        <v/>
      </c>
      <c r="L1679" s="39" t="str">
        <f>IF(COUNTA(A1679:C1679,E1679)=0,"",IF(COUNTA(A1679:C1679,E1679)&lt;4,"Ligne incomplète",IF(NOT(ISNUMBER(A1679)),"Date invalide",IF(AND(B1679&lt;&gt;"Entrée",B1679&lt;&gt;"Sortie"),"Type inconnu",IF(ISNA(MATCH(C1679,art_ref,0)),"Référence inconnue",IF(OR(NOT(ISNUMBER(E1679)),N(E1679)&lt;=0),"Quantité invalide",IF(K1679&lt;0,"Stock négatif",IF(AND(ISNUMBER(A1678),A1679&lt;A1678),"Date hors ordre","OK"))))))))</f>
        <v/>
      </c>
      <c r="M1679" s="39" t="str">
        <f>IF(C1679="","",C1679&amp;"#"&amp;COUNTIF($C$5:C1679,C1679))</f>
        <v/>
      </c>
    </row>
    <row r="1680">
      <c r="A1680" s="41" t="n"/>
      <c r="B1680" s="37" t="n"/>
      <c r="C1680" s="37" t="n"/>
      <c r="D1680" s="39" t="str">
        <f>IF(C1680="","",IFERROR(INDEX(art_des,MATCH(C1680,art_ref,0))&amp;"","Référence inconnue"))</f>
        <v/>
      </c>
      <c r="E1680" s="37" t="n"/>
      <c r="F1680" s="39" t="str">
        <f>IF(C1680="","",IFERROR(INDEX(art_unit,MATCH(C1680,art_ref,0))&amp;"",""))</f>
        <v/>
      </c>
      <c r="G1680" s="37" t="n"/>
      <c r="H1680" s="37" t="n"/>
      <c r="I1680" s="37" t="n"/>
      <c r="J1680" s="40" t="str">
        <f>IF(OR(C1680="",NOT(ISNUMBER(E1680))),"",IFERROR(E1680*N(INDEX(art_price,MATCH(C1680,art_ref,0))),""))</f>
        <v/>
      </c>
      <c r="K1680" s="39" t="str">
        <f>IF(OR(C1680="",NOT(ISNUMBER(E1680))),"",IFERROR(ROUND(N(INDEX(art_init,MATCH(C1680,art_ref,0)))+SUMIFS($E$5:E1680,$C$5:C1680,C1680,$B$5:B1680,"Entrée")-SUMIFS($E$5:E1680,$C$5:C1680,C1680,$B$5:B1680,"Sortie"),6),""))</f>
        <v/>
      </c>
      <c r="L1680" s="39" t="str">
        <f>IF(COUNTA(A1680:C1680,E1680)=0,"",IF(COUNTA(A1680:C1680,E1680)&lt;4,"Ligne incomplète",IF(NOT(ISNUMBER(A1680)),"Date invalide",IF(AND(B1680&lt;&gt;"Entrée",B1680&lt;&gt;"Sortie"),"Type inconnu",IF(ISNA(MATCH(C1680,art_ref,0)),"Référence inconnue",IF(OR(NOT(ISNUMBER(E1680)),N(E1680)&lt;=0),"Quantité invalide",IF(K1680&lt;0,"Stock négatif",IF(AND(ISNUMBER(A1679),A1680&lt;A1679),"Date hors ordre","OK"))))))))</f>
        <v/>
      </c>
      <c r="M1680" s="39" t="str">
        <f>IF(C1680="","",C1680&amp;"#"&amp;COUNTIF($C$5:C1680,C1680))</f>
        <v/>
      </c>
    </row>
    <row r="1681">
      <c r="A1681" s="41" t="n"/>
      <c r="B1681" s="37" t="n"/>
      <c r="C1681" s="37" t="n"/>
      <c r="D1681" s="39" t="str">
        <f>IF(C1681="","",IFERROR(INDEX(art_des,MATCH(C1681,art_ref,0))&amp;"","Référence inconnue"))</f>
        <v/>
      </c>
      <c r="E1681" s="37" t="n"/>
      <c r="F1681" s="39" t="str">
        <f>IF(C1681="","",IFERROR(INDEX(art_unit,MATCH(C1681,art_ref,0))&amp;"",""))</f>
        <v/>
      </c>
      <c r="G1681" s="37" t="n"/>
      <c r="H1681" s="37" t="n"/>
      <c r="I1681" s="37" t="n"/>
      <c r="J1681" s="40" t="str">
        <f>IF(OR(C1681="",NOT(ISNUMBER(E1681))),"",IFERROR(E1681*N(INDEX(art_price,MATCH(C1681,art_ref,0))),""))</f>
        <v/>
      </c>
      <c r="K1681" s="39" t="str">
        <f>IF(OR(C1681="",NOT(ISNUMBER(E1681))),"",IFERROR(ROUND(N(INDEX(art_init,MATCH(C1681,art_ref,0)))+SUMIFS($E$5:E1681,$C$5:C1681,C1681,$B$5:B1681,"Entrée")-SUMIFS($E$5:E1681,$C$5:C1681,C1681,$B$5:B1681,"Sortie"),6),""))</f>
        <v/>
      </c>
      <c r="L1681" s="39" t="str">
        <f>IF(COUNTA(A1681:C1681,E1681)=0,"",IF(COUNTA(A1681:C1681,E1681)&lt;4,"Ligne incomplète",IF(NOT(ISNUMBER(A1681)),"Date invalide",IF(AND(B1681&lt;&gt;"Entrée",B1681&lt;&gt;"Sortie"),"Type inconnu",IF(ISNA(MATCH(C1681,art_ref,0)),"Référence inconnue",IF(OR(NOT(ISNUMBER(E1681)),N(E1681)&lt;=0),"Quantité invalide",IF(K1681&lt;0,"Stock négatif",IF(AND(ISNUMBER(A1680),A1681&lt;A1680),"Date hors ordre","OK"))))))))</f>
        <v/>
      </c>
      <c r="M1681" s="39" t="str">
        <f>IF(C1681="","",C1681&amp;"#"&amp;COUNTIF($C$5:C1681,C1681))</f>
        <v/>
      </c>
    </row>
    <row r="1682">
      <c r="A1682" s="41" t="n"/>
      <c r="B1682" s="37" t="n"/>
      <c r="C1682" s="37" t="n"/>
      <c r="D1682" s="39" t="str">
        <f>IF(C1682="","",IFERROR(INDEX(art_des,MATCH(C1682,art_ref,0))&amp;"","Référence inconnue"))</f>
        <v/>
      </c>
      <c r="E1682" s="37" t="n"/>
      <c r="F1682" s="39" t="str">
        <f>IF(C1682="","",IFERROR(INDEX(art_unit,MATCH(C1682,art_ref,0))&amp;"",""))</f>
        <v/>
      </c>
      <c r="G1682" s="37" t="n"/>
      <c r="H1682" s="37" t="n"/>
      <c r="I1682" s="37" t="n"/>
      <c r="J1682" s="40" t="str">
        <f>IF(OR(C1682="",NOT(ISNUMBER(E1682))),"",IFERROR(E1682*N(INDEX(art_price,MATCH(C1682,art_ref,0))),""))</f>
        <v/>
      </c>
      <c r="K1682" s="39" t="str">
        <f>IF(OR(C1682="",NOT(ISNUMBER(E1682))),"",IFERROR(ROUND(N(INDEX(art_init,MATCH(C1682,art_ref,0)))+SUMIFS($E$5:E1682,$C$5:C1682,C1682,$B$5:B1682,"Entrée")-SUMIFS($E$5:E1682,$C$5:C1682,C1682,$B$5:B1682,"Sortie"),6),""))</f>
        <v/>
      </c>
      <c r="L1682" s="39" t="str">
        <f>IF(COUNTA(A1682:C1682,E1682)=0,"",IF(COUNTA(A1682:C1682,E1682)&lt;4,"Ligne incomplète",IF(NOT(ISNUMBER(A1682)),"Date invalide",IF(AND(B1682&lt;&gt;"Entrée",B1682&lt;&gt;"Sortie"),"Type inconnu",IF(ISNA(MATCH(C1682,art_ref,0)),"Référence inconnue",IF(OR(NOT(ISNUMBER(E1682)),N(E1682)&lt;=0),"Quantité invalide",IF(K1682&lt;0,"Stock négatif",IF(AND(ISNUMBER(A1681),A1682&lt;A1681),"Date hors ordre","OK"))))))))</f>
        <v/>
      </c>
      <c r="M1682" s="39" t="str">
        <f>IF(C1682="","",C1682&amp;"#"&amp;COUNTIF($C$5:C1682,C1682))</f>
        <v/>
      </c>
    </row>
    <row r="1683">
      <c r="A1683" s="41" t="n"/>
      <c r="B1683" s="37" t="n"/>
      <c r="C1683" s="37" t="n"/>
      <c r="D1683" s="39" t="str">
        <f>IF(C1683="","",IFERROR(INDEX(art_des,MATCH(C1683,art_ref,0))&amp;"","Référence inconnue"))</f>
        <v/>
      </c>
      <c r="E1683" s="37" t="n"/>
      <c r="F1683" s="39" t="str">
        <f>IF(C1683="","",IFERROR(INDEX(art_unit,MATCH(C1683,art_ref,0))&amp;"",""))</f>
        <v/>
      </c>
      <c r="G1683" s="37" t="n"/>
      <c r="H1683" s="37" t="n"/>
      <c r="I1683" s="37" t="n"/>
      <c r="J1683" s="40" t="str">
        <f>IF(OR(C1683="",NOT(ISNUMBER(E1683))),"",IFERROR(E1683*N(INDEX(art_price,MATCH(C1683,art_ref,0))),""))</f>
        <v/>
      </c>
      <c r="K1683" s="39" t="str">
        <f>IF(OR(C1683="",NOT(ISNUMBER(E1683))),"",IFERROR(ROUND(N(INDEX(art_init,MATCH(C1683,art_ref,0)))+SUMIFS($E$5:E1683,$C$5:C1683,C1683,$B$5:B1683,"Entrée")-SUMIFS($E$5:E1683,$C$5:C1683,C1683,$B$5:B1683,"Sortie"),6),""))</f>
        <v/>
      </c>
      <c r="L1683" s="39" t="str">
        <f>IF(COUNTA(A1683:C1683,E1683)=0,"",IF(COUNTA(A1683:C1683,E1683)&lt;4,"Ligne incomplète",IF(NOT(ISNUMBER(A1683)),"Date invalide",IF(AND(B1683&lt;&gt;"Entrée",B1683&lt;&gt;"Sortie"),"Type inconnu",IF(ISNA(MATCH(C1683,art_ref,0)),"Référence inconnue",IF(OR(NOT(ISNUMBER(E1683)),N(E1683)&lt;=0),"Quantité invalide",IF(K1683&lt;0,"Stock négatif",IF(AND(ISNUMBER(A1682),A1683&lt;A1682),"Date hors ordre","OK"))))))))</f>
        <v/>
      </c>
      <c r="M1683" s="39" t="str">
        <f>IF(C1683="","",C1683&amp;"#"&amp;COUNTIF($C$5:C1683,C1683))</f>
        <v/>
      </c>
    </row>
    <row r="1684">
      <c r="A1684" s="41" t="n"/>
      <c r="B1684" s="37" t="n"/>
      <c r="C1684" s="37" t="n"/>
      <c r="D1684" s="39" t="str">
        <f>IF(C1684="","",IFERROR(INDEX(art_des,MATCH(C1684,art_ref,0))&amp;"","Référence inconnue"))</f>
        <v/>
      </c>
      <c r="E1684" s="37" t="n"/>
      <c r="F1684" s="39" t="str">
        <f>IF(C1684="","",IFERROR(INDEX(art_unit,MATCH(C1684,art_ref,0))&amp;"",""))</f>
        <v/>
      </c>
      <c r="G1684" s="37" t="n"/>
      <c r="H1684" s="37" t="n"/>
      <c r="I1684" s="37" t="n"/>
      <c r="J1684" s="40" t="str">
        <f>IF(OR(C1684="",NOT(ISNUMBER(E1684))),"",IFERROR(E1684*N(INDEX(art_price,MATCH(C1684,art_ref,0))),""))</f>
        <v/>
      </c>
      <c r="K1684" s="39" t="str">
        <f>IF(OR(C1684="",NOT(ISNUMBER(E1684))),"",IFERROR(ROUND(N(INDEX(art_init,MATCH(C1684,art_ref,0)))+SUMIFS($E$5:E1684,$C$5:C1684,C1684,$B$5:B1684,"Entrée")-SUMIFS($E$5:E1684,$C$5:C1684,C1684,$B$5:B1684,"Sortie"),6),""))</f>
        <v/>
      </c>
      <c r="L1684" s="39" t="str">
        <f>IF(COUNTA(A1684:C1684,E1684)=0,"",IF(COUNTA(A1684:C1684,E1684)&lt;4,"Ligne incomplète",IF(NOT(ISNUMBER(A1684)),"Date invalide",IF(AND(B1684&lt;&gt;"Entrée",B1684&lt;&gt;"Sortie"),"Type inconnu",IF(ISNA(MATCH(C1684,art_ref,0)),"Référence inconnue",IF(OR(NOT(ISNUMBER(E1684)),N(E1684)&lt;=0),"Quantité invalide",IF(K1684&lt;0,"Stock négatif",IF(AND(ISNUMBER(A1683),A1684&lt;A1683),"Date hors ordre","OK"))))))))</f>
        <v/>
      </c>
      <c r="M1684" s="39" t="str">
        <f>IF(C1684="","",C1684&amp;"#"&amp;COUNTIF($C$5:C1684,C1684))</f>
        <v/>
      </c>
    </row>
    <row r="1685">
      <c r="A1685" s="41" t="n"/>
      <c r="B1685" s="37" t="n"/>
      <c r="C1685" s="37" t="n"/>
      <c r="D1685" s="39" t="str">
        <f>IF(C1685="","",IFERROR(INDEX(art_des,MATCH(C1685,art_ref,0))&amp;"","Référence inconnue"))</f>
        <v/>
      </c>
      <c r="E1685" s="37" t="n"/>
      <c r="F1685" s="39" t="str">
        <f>IF(C1685="","",IFERROR(INDEX(art_unit,MATCH(C1685,art_ref,0))&amp;"",""))</f>
        <v/>
      </c>
      <c r="G1685" s="37" t="n"/>
      <c r="H1685" s="37" t="n"/>
      <c r="I1685" s="37" t="n"/>
      <c r="J1685" s="40" t="str">
        <f>IF(OR(C1685="",NOT(ISNUMBER(E1685))),"",IFERROR(E1685*N(INDEX(art_price,MATCH(C1685,art_ref,0))),""))</f>
        <v/>
      </c>
      <c r="K1685" s="39" t="str">
        <f>IF(OR(C1685="",NOT(ISNUMBER(E1685))),"",IFERROR(ROUND(N(INDEX(art_init,MATCH(C1685,art_ref,0)))+SUMIFS($E$5:E1685,$C$5:C1685,C1685,$B$5:B1685,"Entrée")-SUMIFS($E$5:E1685,$C$5:C1685,C1685,$B$5:B1685,"Sortie"),6),""))</f>
        <v/>
      </c>
      <c r="L1685" s="39" t="str">
        <f>IF(COUNTA(A1685:C1685,E1685)=0,"",IF(COUNTA(A1685:C1685,E1685)&lt;4,"Ligne incomplète",IF(NOT(ISNUMBER(A1685)),"Date invalide",IF(AND(B1685&lt;&gt;"Entrée",B1685&lt;&gt;"Sortie"),"Type inconnu",IF(ISNA(MATCH(C1685,art_ref,0)),"Référence inconnue",IF(OR(NOT(ISNUMBER(E1685)),N(E1685)&lt;=0),"Quantité invalide",IF(K1685&lt;0,"Stock négatif",IF(AND(ISNUMBER(A1684),A1685&lt;A1684),"Date hors ordre","OK"))))))))</f>
        <v/>
      </c>
      <c r="M1685" s="39" t="str">
        <f>IF(C1685="","",C1685&amp;"#"&amp;COUNTIF($C$5:C1685,C1685))</f>
        <v/>
      </c>
    </row>
    <row r="1686">
      <c r="A1686" s="41" t="n"/>
      <c r="B1686" s="37" t="n"/>
      <c r="C1686" s="37" t="n"/>
      <c r="D1686" s="39" t="str">
        <f>IF(C1686="","",IFERROR(INDEX(art_des,MATCH(C1686,art_ref,0))&amp;"","Référence inconnue"))</f>
        <v/>
      </c>
      <c r="E1686" s="37" t="n"/>
      <c r="F1686" s="39" t="str">
        <f>IF(C1686="","",IFERROR(INDEX(art_unit,MATCH(C1686,art_ref,0))&amp;"",""))</f>
        <v/>
      </c>
      <c r="G1686" s="37" t="n"/>
      <c r="H1686" s="37" t="n"/>
      <c r="I1686" s="37" t="n"/>
      <c r="J1686" s="40" t="str">
        <f>IF(OR(C1686="",NOT(ISNUMBER(E1686))),"",IFERROR(E1686*N(INDEX(art_price,MATCH(C1686,art_ref,0))),""))</f>
        <v/>
      </c>
      <c r="K1686" s="39" t="str">
        <f>IF(OR(C1686="",NOT(ISNUMBER(E1686))),"",IFERROR(ROUND(N(INDEX(art_init,MATCH(C1686,art_ref,0)))+SUMIFS($E$5:E1686,$C$5:C1686,C1686,$B$5:B1686,"Entrée")-SUMIFS($E$5:E1686,$C$5:C1686,C1686,$B$5:B1686,"Sortie"),6),""))</f>
        <v/>
      </c>
      <c r="L1686" s="39" t="str">
        <f>IF(COUNTA(A1686:C1686,E1686)=0,"",IF(COUNTA(A1686:C1686,E1686)&lt;4,"Ligne incomplète",IF(NOT(ISNUMBER(A1686)),"Date invalide",IF(AND(B1686&lt;&gt;"Entrée",B1686&lt;&gt;"Sortie"),"Type inconnu",IF(ISNA(MATCH(C1686,art_ref,0)),"Référence inconnue",IF(OR(NOT(ISNUMBER(E1686)),N(E1686)&lt;=0),"Quantité invalide",IF(K1686&lt;0,"Stock négatif",IF(AND(ISNUMBER(A1685),A1686&lt;A1685),"Date hors ordre","OK"))))))))</f>
        <v/>
      </c>
      <c r="M1686" s="39" t="str">
        <f>IF(C1686="","",C1686&amp;"#"&amp;COUNTIF($C$5:C1686,C1686))</f>
        <v/>
      </c>
    </row>
    <row r="1687">
      <c r="A1687" s="41" t="n"/>
      <c r="B1687" s="37" t="n"/>
      <c r="C1687" s="37" t="n"/>
      <c r="D1687" s="39" t="str">
        <f>IF(C1687="","",IFERROR(INDEX(art_des,MATCH(C1687,art_ref,0))&amp;"","Référence inconnue"))</f>
        <v/>
      </c>
      <c r="E1687" s="37" t="n"/>
      <c r="F1687" s="39" t="str">
        <f>IF(C1687="","",IFERROR(INDEX(art_unit,MATCH(C1687,art_ref,0))&amp;"",""))</f>
        <v/>
      </c>
      <c r="G1687" s="37" t="n"/>
      <c r="H1687" s="37" t="n"/>
      <c r="I1687" s="37" t="n"/>
      <c r="J1687" s="40" t="str">
        <f>IF(OR(C1687="",NOT(ISNUMBER(E1687))),"",IFERROR(E1687*N(INDEX(art_price,MATCH(C1687,art_ref,0))),""))</f>
        <v/>
      </c>
      <c r="K1687" s="39" t="str">
        <f>IF(OR(C1687="",NOT(ISNUMBER(E1687))),"",IFERROR(ROUND(N(INDEX(art_init,MATCH(C1687,art_ref,0)))+SUMIFS($E$5:E1687,$C$5:C1687,C1687,$B$5:B1687,"Entrée")-SUMIFS($E$5:E1687,$C$5:C1687,C1687,$B$5:B1687,"Sortie"),6),""))</f>
        <v/>
      </c>
      <c r="L1687" s="39" t="str">
        <f>IF(COUNTA(A1687:C1687,E1687)=0,"",IF(COUNTA(A1687:C1687,E1687)&lt;4,"Ligne incomplète",IF(NOT(ISNUMBER(A1687)),"Date invalide",IF(AND(B1687&lt;&gt;"Entrée",B1687&lt;&gt;"Sortie"),"Type inconnu",IF(ISNA(MATCH(C1687,art_ref,0)),"Référence inconnue",IF(OR(NOT(ISNUMBER(E1687)),N(E1687)&lt;=0),"Quantité invalide",IF(K1687&lt;0,"Stock négatif",IF(AND(ISNUMBER(A1686),A1687&lt;A1686),"Date hors ordre","OK"))))))))</f>
        <v/>
      </c>
      <c r="M1687" s="39" t="str">
        <f>IF(C1687="","",C1687&amp;"#"&amp;COUNTIF($C$5:C1687,C1687))</f>
        <v/>
      </c>
    </row>
    <row r="1688">
      <c r="A1688" s="41" t="n"/>
      <c r="B1688" s="37" t="n"/>
      <c r="C1688" s="37" t="n"/>
      <c r="D1688" s="39" t="str">
        <f>IF(C1688="","",IFERROR(INDEX(art_des,MATCH(C1688,art_ref,0))&amp;"","Référence inconnue"))</f>
        <v/>
      </c>
      <c r="E1688" s="37" t="n"/>
      <c r="F1688" s="39" t="str">
        <f>IF(C1688="","",IFERROR(INDEX(art_unit,MATCH(C1688,art_ref,0))&amp;"",""))</f>
        <v/>
      </c>
      <c r="G1688" s="37" t="n"/>
      <c r="H1688" s="37" t="n"/>
      <c r="I1688" s="37" t="n"/>
      <c r="J1688" s="40" t="str">
        <f>IF(OR(C1688="",NOT(ISNUMBER(E1688))),"",IFERROR(E1688*N(INDEX(art_price,MATCH(C1688,art_ref,0))),""))</f>
        <v/>
      </c>
      <c r="K1688" s="39" t="str">
        <f>IF(OR(C1688="",NOT(ISNUMBER(E1688))),"",IFERROR(ROUND(N(INDEX(art_init,MATCH(C1688,art_ref,0)))+SUMIFS($E$5:E1688,$C$5:C1688,C1688,$B$5:B1688,"Entrée")-SUMIFS($E$5:E1688,$C$5:C1688,C1688,$B$5:B1688,"Sortie"),6),""))</f>
        <v/>
      </c>
      <c r="L1688" s="39" t="str">
        <f>IF(COUNTA(A1688:C1688,E1688)=0,"",IF(COUNTA(A1688:C1688,E1688)&lt;4,"Ligne incomplète",IF(NOT(ISNUMBER(A1688)),"Date invalide",IF(AND(B1688&lt;&gt;"Entrée",B1688&lt;&gt;"Sortie"),"Type inconnu",IF(ISNA(MATCH(C1688,art_ref,0)),"Référence inconnue",IF(OR(NOT(ISNUMBER(E1688)),N(E1688)&lt;=0),"Quantité invalide",IF(K1688&lt;0,"Stock négatif",IF(AND(ISNUMBER(A1687),A1688&lt;A1687),"Date hors ordre","OK"))))))))</f>
        <v/>
      </c>
      <c r="M1688" s="39" t="str">
        <f>IF(C1688="","",C1688&amp;"#"&amp;COUNTIF($C$5:C1688,C1688))</f>
        <v/>
      </c>
    </row>
    <row r="1689">
      <c r="A1689" s="41" t="n"/>
      <c r="B1689" s="37" t="n"/>
      <c r="C1689" s="37" t="n"/>
      <c r="D1689" s="39" t="str">
        <f>IF(C1689="","",IFERROR(INDEX(art_des,MATCH(C1689,art_ref,0))&amp;"","Référence inconnue"))</f>
        <v/>
      </c>
      <c r="E1689" s="37" t="n"/>
      <c r="F1689" s="39" t="str">
        <f>IF(C1689="","",IFERROR(INDEX(art_unit,MATCH(C1689,art_ref,0))&amp;"",""))</f>
        <v/>
      </c>
      <c r="G1689" s="37" t="n"/>
      <c r="H1689" s="37" t="n"/>
      <c r="I1689" s="37" t="n"/>
      <c r="J1689" s="40" t="str">
        <f>IF(OR(C1689="",NOT(ISNUMBER(E1689))),"",IFERROR(E1689*N(INDEX(art_price,MATCH(C1689,art_ref,0))),""))</f>
        <v/>
      </c>
      <c r="K1689" s="39" t="str">
        <f>IF(OR(C1689="",NOT(ISNUMBER(E1689))),"",IFERROR(ROUND(N(INDEX(art_init,MATCH(C1689,art_ref,0)))+SUMIFS($E$5:E1689,$C$5:C1689,C1689,$B$5:B1689,"Entrée")-SUMIFS($E$5:E1689,$C$5:C1689,C1689,$B$5:B1689,"Sortie"),6),""))</f>
        <v/>
      </c>
      <c r="L1689" s="39" t="str">
        <f>IF(COUNTA(A1689:C1689,E1689)=0,"",IF(COUNTA(A1689:C1689,E1689)&lt;4,"Ligne incomplète",IF(NOT(ISNUMBER(A1689)),"Date invalide",IF(AND(B1689&lt;&gt;"Entrée",B1689&lt;&gt;"Sortie"),"Type inconnu",IF(ISNA(MATCH(C1689,art_ref,0)),"Référence inconnue",IF(OR(NOT(ISNUMBER(E1689)),N(E1689)&lt;=0),"Quantité invalide",IF(K1689&lt;0,"Stock négatif",IF(AND(ISNUMBER(A1688),A1689&lt;A1688),"Date hors ordre","OK"))))))))</f>
        <v/>
      </c>
      <c r="M1689" s="39" t="str">
        <f>IF(C1689="","",C1689&amp;"#"&amp;COUNTIF($C$5:C1689,C1689))</f>
        <v/>
      </c>
    </row>
    <row r="1690">
      <c r="A1690" s="41" t="n"/>
      <c r="B1690" s="37" t="n"/>
      <c r="C1690" s="37" t="n"/>
      <c r="D1690" s="39" t="str">
        <f>IF(C1690="","",IFERROR(INDEX(art_des,MATCH(C1690,art_ref,0))&amp;"","Référence inconnue"))</f>
        <v/>
      </c>
      <c r="E1690" s="37" t="n"/>
      <c r="F1690" s="39" t="str">
        <f>IF(C1690="","",IFERROR(INDEX(art_unit,MATCH(C1690,art_ref,0))&amp;"",""))</f>
        <v/>
      </c>
      <c r="G1690" s="37" t="n"/>
      <c r="H1690" s="37" t="n"/>
      <c r="I1690" s="37" t="n"/>
      <c r="J1690" s="40" t="str">
        <f>IF(OR(C1690="",NOT(ISNUMBER(E1690))),"",IFERROR(E1690*N(INDEX(art_price,MATCH(C1690,art_ref,0))),""))</f>
        <v/>
      </c>
      <c r="K1690" s="39" t="str">
        <f>IF(OR(C1690="",NOT(ISNUMBER(E1690))),"",IFERROR(ROUND(N(INDEX(art_init,MATCH(C1690,art_ref,0)))+SUMIFS($E$5:E1690,$C$5:C1690,C1690,$B$5:B1690,"Entrée")-SUMIFS($E$5:E1690,$C$5:C1690,C1690,$B$5:B1690,"Sortie"),6),""))</f>
        <v/>
      </c>
      <c r="L1690" s="39" t="str">
        <f>IF(COUNTA(A1690:C1690,E1690)=0,"",IF(COUNTA(A1690:C1690,E1690)&lt;4,"Ligne incomplète",IF(NOT(ISNUMBER(A1690)),"Date invalide",IF(AND(B1690&lt;&gt;"Entrée",B1690&lt;&gt;"Sortie"),"Type inconnu",IF(ISNA(MATCH(C1690,art_ref,0)),"Référence inconnue",IF(OR(NOT(ISNUMBER(E1690)),N(E1690)&lt;=0),"Quantité invalide",IF(K1690&lt;0,"Stock négatif",IF(AND(ISNUMBER(A1689),A1690&lt;A1689),"Date hors ordre","OK"))))))))</f>
        <v/>
      </c>
      <c r="M1690" s="39" t="str">
        <f>IF(C1690="","",C1690&amp;"#"&amp;COUNTIF($C$5:C1690,C1690))</f>
        <v/>
      </c>
    </row>
    <row r="1691">
      <c r="A1691" s="41" t="n"/>
      <c r="B1691" s="37" t="n"/>
      <c r="C1691" s="37" t="n"/>
      <c r="D1691" s="39" t="str">
        <f>IF(C1691="","",IFERROR(INDEX(art_des,MATCH(C1691,art_ref,0))&amp;"","Référence inconnue"))</f>
        <v/>
      </c>
      <c r="E1691" s="37" t="n"/>
      <c r="F1691" s="39" t="str">
        <f>IF(C1691="","",IFERROR(INDEX(art_unit,MATCH(C1691,art_ref,0))&amp;"",""))</f>
        <v/>
      </c>
      <c r="G1691" s="37" t="n"/>
      <c r="H1691" s="37" t="n"/>
      <c r="I1691" s="37" t="n"/>
      <c r="J1691" s="40" t="str">
        <f>IF(OR(C1691="",NOT(ISNUMBER(E1691))),"",IFERROR(E1691*N(INDEX(art_price,MATCH(C1691,art_ref,0))),""))</f>
        <v/>
      </c>
      <c r="K1691" s="39" t="str">
        <f>IF(OR(C1691="",NOT(ISNUMBER(E1691))),"",IFERROR(ROUND(N(INDEX(art_init,MATCH(C1691,art_ref,0)))+SUMIFS($E$5:E1691,$C$5:C1691,C1691,$B$5:B1691,"Entrée")-SUMIFS($E$5:E1691,$C$5:C1691,C1691,$B$5:B1691,"Sortie"),6),""))</f>
        <v/>
      </c>
      <c r="L1691" s="39" t="str">
        <f>IF(COUNTA(A1691:C1691,E1691)=0,"",IF(COUNTA(A1691:C1691,E1691)&lt;4,"Ligne incomplète",IF(NOT(ISNUMBER(A1691)),"Date invalide",IF(AND(B1691&lt;&gt;"Entrée",B1691&lt;&gt;"Sortie"),"Type inconnu",IF(ISNA(MATCH(C1691,art_ref,0)),"Référence inconnue",IF(OR(NOT(ISNUMBER(E1691)),N(E1691)&lt;=0),"Quantité invalide",IF(K1691&lt;0,"Stock négatif",IF(AND(ISNUMBER(A1690),A1691&lt;A1690),"Date hors ordre","OK"))))))))</f>
        <v/>
      </c>
      <c r="M1691" s="39" t="str">
        <f>IF(C1691="","",C1691&amp;"#"&amp;COUNTIF($C$5:C1691,C1691))</f>
        <v/>
      </c>
    </row>
    <row r="1692">
      <c r="A1692" s="41" t="n"/>
      <c r="B1692" s="37" t="n"/>
      <c r="C1692" s="37" t="n"/>
      <c r="D1692" s="39" t="str">
        <f>IF(C1692="","",IFERROR(INDEX(art_des,MATCH(C1692,art_ref,0))&amp;"","Référence inconnue"))</f>
        <v/>
      </c>
      <c r="E1692" s="37" t="n"/>
      <c r="F1692" s="39" t="str">
        <f>IF(C1692="","",IFERROR(INDEX(art_unit,MATCH(C1692,art_ref,0))&amp;"",""))</f>
        <v/>
      </c>
      <c r="G1692" s="37" t="n"/>
      <c r="H1692" s="37" t="n"/>
      <c r="I1692" s="37" t="n"/>
      <c r="J1692" s="40" t="str">
        <f>IF(OR(C1692="",NOT(ISNUMBER(E1692))),"",IFERROR(E1692*N(INDEX(art_price,MATCH(C1692,art_ref,0))),""))</f>
        <v/>
      </c>
      <c r="K1692" s="39" t="str">
        <f>IF(OR(C1692="",NOT(ISNUMBER(E1692))),"",IFERROR(ROUND(N(INDEX(art_init,MATCH(C1692,art_ref,0)))+SUMIFS($E$5:E1692,$C$5:C1692,C1692,$B$5:B1692,"Entrée")-SUMIFS($E$5:E1692,$C$5:C1692,C1692,$B$5:B1692,"Sortie"),6),""))</f>
        <v/>
      </c>
      <c r="L1692" s="39" t="str">
        <f>IF(COUNTA(A1692:C1692,E1692)=0,"",IF(COUNTA(A1692:C1692,E1692)&lt;4,"Ligne incomplète",IF(NOT(ISNUMBER(A1692)),"Date invalide",IF(AND(B1692&lt;&gt;"Entrée",B1692&lt;&gt;"Sortie"),"Type inconnu",IF(ISNA(MATCH(C1692,art_ref,0)),"Référence inconnue",IF(OR(NOT(ISNUMBER(E1692)),N(E1692)&lt;=0),"Quantité invalide",IF(K1692&lt;0,"Stock négatif",IF(AND(ISNUMBER(A1691),A1692&lt;A1691),"Date hors ordre","OK"))))))))</f>
        <v/>
      </c>
      <c r="M1692" s="39" t="str">
        <f>IF(C1692="","",C1692&amp;"#"&amp;COUNTIF($C$5:C1692,C1692))</f>
        <v/>
      </c>
    </row>
    <row r="1693">
      <c r="A1693" s="41" t="n"/>
      <c r="B1693" s="37" t="n"/>
      <c r="C1693" s="37" t="n"/>
      <c r="D1693" s="39" t="str">
        <f>IF(C1693="","",IFERROR(INDEX(art_des,MATCH(C1693,art_ref,0))&amp;"","Référence inconnue"))</f>
        <v/>
      </c>
      <c r="E1693" s="37" t="n"/>
      <c r="F1693" s="39" t="str">
        <f>IF(C1693="","",IFERROR(INDEX(art_unit,MATCH(C1693,art_ref,0))&amp;"",""))</f>
        <v/>
      </c>
      <c r="G1693" s="37" t="n"/>
      <c r="H1693" s="37" t="n"/>
      <c r="I1693" s="37" t="n"/>
      <c r="J1693" s="40" t="str">
        <f>IF(OR(C1693="",NOT(ISNUMBER(E1693))),"",IFERROR(E1693*N(INDEX(art_price,MATCH(C1693,art_ref,0))),""))</f>
        <v/>
      </c>
      <c r="K1693" s="39" t="str">
        <f>IF(OR(C1693="",NOT(ISNUMBER(E1693))),"",IFERROR(ROUND(N(INDEX(art_init,MATCH(C1693,art_ref,0)))+SUMIFS($E$5:E1693,$C$5:C1693,C1693,$B$5:B1693,"Entrée")-SUMIFS($E$5:E1693,$C$5:C1693,C1693,$B$5:B1693,"Sortie"),6),""))</f>
        <v/>
      </c>
      <c r="L1693" s="39" t="str">
        <f>IF(COUNTA(A1693:C1693,E1693)=0,"",IF(COUNTA(A1693:C1693,E1693)&lt;4,"Ligne incomplète",IF(NOT(ISNUMBER(A1693)),"Date invalide",IF(AND(B1693&lt;&gt;"Entrée",B1693&lt;&gt;"Sortie"),"Type inconnu",IF(ISNA(MATCH(C1693,art_ref,0)),"Référence inconnue",IF(OR(NOT(ISNUMBER(E1693)),N(E1693)&lt;=0),"Quantité invalide",IF(K1693&lt;0,"Stock négatif",IF(AND(ISNUMBER(A1692),A1693&lt;A1692),"Date hors ordre","OK"))))))))</f>
        <v/>
      </c>
      <c r="M1693" s="39" t="str">
        <f>IF(C1693="","",C1693&amp;"#"&amp;COUNTIF($C$5:C1693,C1693))</f>
        <v/>
      </c>
    </row>
    <row r="1694">
      <c r="A1694" s="41" t="n"/>
      <c r="B1694" s="37" t="n"/>
      <c r="C1694" s="37" t="n"/>
      <c r="D1694" s="39" t="str">
        <f>IF(C1694="","",IFERROR(INDEX(art_des,MATCH(C1694,art_ref,0))&amp;"","Référence inconnue"))</f>
        <v/>
      </c>
      <c r="E1694" s="37" t="n"/>
      <c r="F1694" s="39" t="str">
        <f>IF(C1694="","",IFERROR(INDEX(art_unit,MATCH(C1694,art_ref,0))&amp;"",""))</f>
        <v/>
      </c>
      <c r="G1694" s="37" t="n"/>
      <c r="H1694" s="37" t="n"/>
      <c r="I1694" s="37" t="n"/>
      <c r="J1694" s="40" t="str">
        <f>IF(OR(C1694="",NOT(ISNUMBER(E1694))),"",IFERROR(E1694*N(INDEX(art_price,MATCH(C1694,art_ref,0))),""))</f>
        <v/>
      </c>
      <c r="K1694" s="39" t="str">
        <f>IF(OR(C1694="",NOT(ISNUMBER(E1694))),"",IFERROR(ROUND(N(INDEX(art_init,MATCH(C1694,art_ref,0)))+SUMIFS($E$5:E1694,$C$5:C1694,C1694,$B$5:B1694,"Entrée")-SUMIFS($E$5:E1694,$C$5:C1694,C1694,$B$5:B1694,"Sortie"),6),""))</f>
        <v/>
      </c>
      <c r="L1694" s="39" t="str">
        <f>IF(COUNTA(A1694:C1694,E1694)=0,"",IF(COUNTA(A1694:C1694,E1694)&lt;4,"Ligne incomplète",IF(NOT(ISNUMBER(A1694)),"Date invalide",IF(AND(B1694&lt;&gt;"Entrée",B1694&lt;&gt;"Sortie"),"Type inconnu",IF(ISNA(MATCH(C1694,art_ref,0)),"Référence inconnue",IF(OR(NOT(ISNUMBER(E1694)),N(E1694)&lt;=0),"Quantité invalide",IF(K1694&lt;0,"Stock négatif",IF(AND(ISNUMBER(A1693),A1694&lt;A1693),"Date hors ordre","OK"))))))))</f>
        <v/>
      </c>
      <c r="M1694" s="39" t="str">
        <f>IF(C1694="","",C1694&amp;"#"&amp;COUNTIF($C$5:C1694,C1694))</f>
        <v/>
      </c>
    </row>
    <row r="1695">
      <c r="A1695" s="41" t="n"/>
      <c r="B1695" s="37" t="n"/>
      <c r="C1695" s="37" t="n"/>
      <c r="D1695" s="39" t="str">
        <f>IF(C1695="","",IFERROR(INDEX(art_des,MATCH(C1695,art_ref,0))&amp;"","Référence inconnue"))</f>
        <v/>
      </c>
      <c r="E1695" s="37" t="n"/>
      <c r="F1695" s="39" t="str">
        <f>IF(C1695="","",IFERROR(INDEX(art_unit,MATCH(C1695,art_ref,0))&amp;"",""))</f>
        <v/>
      </c>
      <c r="G1695" s="37" t="n"/>
      <c r="H1695" s="37" t="n"/>
      <c r="I1695" s="37" t="n"/>
      <c r="J1695" s="40" t="str">
        <f>IF(OR(C1695="",NOT(ISNUMBER(E1695))),"",IFERROR(E1695*N(INDEX(art_price,MATCH(C1695,art_ref,0))),""))</f>
        <v/>
      </c>
      <c r="K1695" s="39" t="str">
        <f>IF(OR(C1695="",NOT(ISNUMBER(E1695))),"",IFERROR(ROUND(N(INDEX(art_init,MATCH(C1695,art_ref,0)))+SUMIFS($E$5:E1695,$C$5:C1695,C1695,$B$5:B1695,"Entrée")-SUMIFS($E$5:E1695,$C$5:C1695,C1695,$B$5:B1695,"Sortie"),6),""))</f>
        <v/>
      </c>
      <c r="L1695" s="39" t="str">
        <f>IF(COUNTA(A1695:C1695,E1695)=0,"",IF(COUNTA(A1695:C1695,E1695)&lt;4,"Ligne incomplète",IF(NOT(ISNUMBER(A1695)),"Date invalide",IF(AND(B1695&lt;&gt;"Entrée",B1695&lt;&gt;"Sortie"),"Type inconnu",IF(ISNA(MATCH(C1695,art_ref,0)),"Référence inconnue",IF(OR(NOT(ISNUMBER(E1695)),N(E1695)&lt;=0),"Quantité invalide",IF(K1695&lt;0,"Stock négatif",IF(AND(ISNUMBER(A1694),A1695&lt;A1694),"Date hors ordre","OK"))))))))</f>
        <v/>
      </c>
      <c r="M1695" s="39" t="str">
        <f>IF(C1695="","",C1695&amp;"#"&amp;COUNTIF($C$5:C1695,C1695))</f>
        <v/>
      </c>
    </row>
    <row r="1696">
      <c r="A1696" s="41" t="n"/>
      <c r="B1696" s="37" t="n"/>
      <c r="C1696" s="37" t="n"/>
      <c r="D1696" s="39" t="str">
        <f>IF(C1696="","",IFERROR(INDEX(art_des,MATCH(C1696,art_ref,0))&amp;"","Référence inconnue"))</f>
        <v/>
      </c>
      <c r="E1696" s="37" t="n"/>
      <c r="F1696" s="39" t="str">
        <f>IF(C1696="","",IFERROR(INDEX(art_unit,MATCH(C1696,art_ref,0))&amp;"",""))</f>
        <v/>
      </c>
      <c r="G1696" s="37" t="n"/>
      <c r="H1696" s="37" t="n"/>
      <c r="I1696" s="37" t="n"/>
      <c r="J1696" s="40" t="str">
        <f>IF(OR(C1696="",NOT(ISNUMBER(E1696))),"",IFERROR(E1696*N(INDEX(art_price,MATCH(C1696,art_ref,0))),""))</f>
        <v/>
      </c>
      <c r="K1696" s="39" t="str">
        <f>IF(OR(C1696="",NOT(ISNUMBER(E1696))),"",IFERROR(ROUND(N(INDEX(art_init,MATCH(C1696,art_ref,0)))+SUMIFS($E$5:E1696,$C$5:C1696,C1696,$B$5:B1696,"Entrée")-SUMIFS($E$5:E1696,$C$5:C1696,C1696,$B$5:B1696,"Sortie"),6),""))</f>
        <v/>
      </c>
      <c r="L1696" s="39" t="str">
        <f>IF(COUNTA(A1696:C1696,E1696)=0,"",IF(COUNTA(A1696:C1696,E1696)&lt;4,"Ligne incomplète",IF(NOT(ISNUMBER(A1696)),"Date invalide",IF(AND(B1696&lt;&gt;"Entrée",B1696&lt;&gt;"Sortie"),"Type inconnu",IF(ISNA(MATCH(C1696,art_ref,0)),"Référence inconnue",IF(OR(NOT(ISNUMBER(E1696)),N(E1696)&lt;=0),"Quantité invalide",IF(K1696&lt;0,"Stock négatif",IF(AND(ISNUMBER(A1695),A1696&lt;A1695),"Date hors ordre","OK"))))))))</f>
        <v/>
      </c>
      <c r="M1696" s="39" t="str">
        <f>IF(C1696="","",C1696&amp;"#"&amp;COUNTIF($C$5:C1696,C1696))</f>
        <v/>
      </c>
    </row>
    <row r="1697">
      <c r="A1697" s="41" t="n"/>
      <c r="B1697" s="37" t="n"/>
      <c r="C1697" s="37" t="n"/>
      <c r="D1697" s="39" t="str">
        <f>IF(C1697="","",IFERROR(INDEX(art_des,MATCH(C1697,art_ref,0))&amp;"","Référence inconnue"))</f>
        <v/>
      </c>
      <c r="E1697" s="37" t="n"/>
      <c r="F1697" s="39" t="str">
        <f>IF(C1697="","",IFERROR(INDEX(art_unit,MATCH(C1697,art_ref,0))&amp;"",""))</f>
        <v/>
      </c>
      <c r="G1697" s="37" t="n"/>
      <c r="H1697" s="37" t="n"/>
      <c r="I1697" s="37" t="n"/>
      <c r="J1697" s="40" t="str">
        <f>IF(OR(C1697="",NOT(ISNUMBER(E1697))),"",IFERROR(E1697*N(INDEX(art_price,MATCH(C1697,art_ref,0))),""))</f>
        <v/>
      </c>
      <c r="K1697" s="39" t="str">
        <f>IF(OR(C1697="",NOT(ISNUMBER(E1697))),"",IFERROR(ROUND(N(INDEX(art_init,MATCH(C1697,art_ref,0)))+SUMIFS($E$5:E1697,$C$5:C1697,C1697,$B$5:B1697,"Entrée")-SUMIFS($E$5:E1697,$C$5:C1697,C1697,$B$5:B1697,"Sortie"),6),""))</f>
        <v/>
      </c>
      <c r="L1697" s="39" t="str">
        <f>IF(COUNTA(A1697:C1697,E1697)=0,"",IF(COUNTA(A1697:C1697,E1697)&lt;4,"Ligne incomplète",IF(NOT(ISNUMBER(A1697)),"Date invalide",IF(AND(B1697&lt;&gt;"Entrée",B1697&lt;&gt;"Sortie"),"Type inconnu",IF(ISNA(MATCH(C1697,art_ref,0)),"Référence inconnue",IF(OR(NOT(ISNUMBER(E1697)),N(E1697)&lt;=0),"Quantité invalide",IF(K1697&lt;0,"Stock négatif",IF(AND(ISNUMBER(A1696),A1697&lt;A1696),"Date hors ordre","OK"))))))))</f>
        <v/>
      </c>
      <c r="M1697" s="39" t="str">
        <f>IF(C1697="","",C1697&amp;"#"&amp;COUNTIF($C$5:C1697,C1697))</f>
        <v/>
      </c>
    </row>
    <row r="1698">
      <c r="A1698" s="41" t="n"/>
      <c r="B1698" s="37" t="n"/>
      <c r="C1698" s="37" t="n"/>
      <c r="D1698" s="39" t="str">
        <f>IF(C1698="","",IFERROR(INDEX(art_des,MATCH(C1698,art_ref,0))&amp;"","Référence inconnue"))</f>
        <v/>
      </c>
      <c r="E1698" s="37" t="n"/>
      <c r="F1698" s="39" t="str">
        <f>IF(C1698="","",IFERROR(INDEX(art_unit,MATCH(C1698,art_ref,0))&amp;"",""))</f>
        <v/>
      </c>
      <c r="G1698" s="37" t="n"/>
      <c r="H1698" s="37" t="n"/>
      <c r="I1698" s="37" t="n"/>
      <c r="J1698" s="40" t="str">
        <f>IF(OR(C1698="",NOT(ISNUMBER(E1698))),"",IFERROR(E1698*N(INDEX(art_price,MATCH(C1698,art_ref,0))),""))</f>
        <v/>
      </c>
      <c r="K1698" s="39" t="str">
        <f>IF(OR(C1698="",NOT(ISNUMBER(E1698))),"",IFERROR(ROUND(N(INDEX(art_init,MATCH(C1698,art_ref,0)))+SUMIFS($E$5:E1698,$C$5:C1698,C1698,$B$5:B1698,"Entrée")-SUMIFS($E$5:E1698,$C$5:C1698,C1698,$B$5:B1698,"Sortie"),6),""))</f>
        <v/>
      </c>
      <c r="L1698" s="39" t="str">
        <f>IF(COUNTA(A1698:C1698,E1698)=0,"",IF(COUNTA(A1698:C1698,E1698)&lt;4,"Ligne incomplète",IF(NOT(ISNUMBER(A1698)),"Date invalide",IF(AND(B1698&lt;&gt;"Entrée",B1698&lt;&gt;"Sortie"),"Type inconnu",IF(ISNA(MATCH(C1698,art_ref,0)),"Référence inconnue",IF(OR(NOT(ISNUMBER(E1698)),N(E1698)&lt;=0),"Quantité invalide",IF(K1698&lt;0,"Stock négatif",IF(AND(ISNUMBER(A1697),A1698&lt;A1697),"Date hors ordre","OK"))))))))</f>
        <v/>
      </c>
      <c r="M1698" s="39" t="str">
        <f>IF(C1698="","",C1698&amp;"#"&amp;COUNTIF($C$5:C1698,C1698))</f>
        <v/>
      </c>
    </row>
    <row r="1699">
      <c r="A1699" s="41" t="n"/>
      <c r="B1699" s="37" t="n"/>
      <c r="C1699" s="37" t="n"/>
      <c r="D1699" s="39" t="str">
        <f>IF(C1699="","",IFERROR(INDEX(art_des,MATCH(C1699,art_ref,0))&amp;"","Référence inconnue"))</f>
        <v/>
      </c>
      <c r="E1699" s="37" t="n"/>
      <c r="F1699" s="39" t="str">
        <f>IF(C1699="","",IFERROR(INDEX(art_unit,MATCH(C1699,art_ref,0))&amp;"",""))</f>
        <v/>
      </c>
      <c r="G1699" s="37" t="n"/>
      <c r="H1699" s="37" t="n"/>
      <c r="I1699" s="37" t="n"/>
      <c r="J1699" s="40" t="str">
        <f>IF(OR(C1699="",NOT(ISNUMBER(E1699))),"",IFERROR(E1699*N(INDEX(art_price,MATCH(C1699,art_ref,0))),""))</f>
        <v/>
      </c>
      <c r="K1699" s="39" t="str">
        <f>IF(OR(C1699="",NOT(ISNUMBER(E1699))),"",IFERROR(ROUND(N(INDEX(art_init,MATCH(C1699,art_ref,0)))+SUMIFS($E$5:E1699,$C$5:C1699,C1699,$B$5:B1699,"Entrée")-SUMIFS($E$5:E1699,$C$5:C1699,C1699,$B$5:B1699,"Sortie"),6),""))</f>
        <v/>
      </c>
      <c r="L1699" s="39" t="str">
        <f>IF(COUNTA(A1699:C1699,E1699)=0,"",IF(COUNTA(A1699:C1699,E1699)&lt;4,"Ligne incomplète",IF(NOT(ISNUMBER(A1699)),"Date invalide",IF(AND(B1699&lt;&gt;"Entrée",B1699&lt;&gt;"Sortie"),"Type inconnu",IF(ISNA(MATCH(C1699,art_ref,0)),"Référence inconnue",IF(OR(NOT(ISNUMBER(E1699)),N(E1699)&lt;=0),"Quantité invalide",IF(K1699&lt;0,"Stock négatif",IF(AND(ISNUMBER(A1698),A1699&lt;A1698),"Date hors ordre","OK"))))))))</f>
        <v/>
      </c>
      <c r="M1699" s="39" t="str">
        <f>IF(C1699="","",C1699&amp;"#"&amp;COUNTIF($C$5:C1699,C1699))</f>
        <v/>
      </c>
    </row>
    <row r="1700">
      <c r="A1700" s="41" t="n"/>
      <c r="B1700" s="37" t="n"/>
      <c r="C1700" s="37" t="n"/>
      <c r="D1700" s="39" t="str">
        <f>IF(C1700="","",IFERROR(INDEX(art_des,MATCH(C1700,art_ref,0))&amp;"","Référence inconnue"))</f>
        <v/>
      </c>
      <c r="E1700" s="37" t="n"/>
      <c r="F1700" s="39" t="str">
        <f>IF(C1700="","",IFERROR(INDEX(art_unit,MATCH(C1700,art_ref,0))&amp;"",""))</f>
        <v/>
      </c>
      <c r="G1700" s="37" t="n"/>
      <c r="H1700" s="37" t="n"/>
      <c r="I1700" s="37" t="n"/>
      <c r="J1700" s="40" t="str">
        <f>IF(OR(C1700="",NOT(ISNUMBER(E1700))),"",IFERROR(E1700*N(INDEX(art_price,MATCH(C1700,art_ref,0))),""))</f>
        <v/>
      </c>
      <c r="K1700" s="39" t="str">
        <f>IF(OR(C1700="",NOT(ISNUMBER(E1700))),"",IFERROR(ROUND(N(INDEX(art_init,MATCH(C1700,art_ref,0)))+SUMIFS($E$5:E1700,$C$5:C1700,C1700,$B$5:B1700,"Entrée")-SUMIFS($E$5:E1700,$C$5:C1700,C1700,$B$5:B1700,"Sortie"),6),""))</f>
        <v/>
      </c>
      <c r="L1700" s="39" t="str">
        <f>IF(COUNTA(A1700:C1700,E1700)=0,"",IF(COUNTA(A1700:C1700,E1700)&lt;4,"Ligne incomplète",IF(NOT(ISNUMBER(A1700)),"Date invalide",IF(AND(B1700&lt;&gt;"Entrée",B1700&lt;&gt;"Sortie"),"Type inconnu",IF(ISNA(MATCH(C1700,art_ref,0)),"Référence inconnue",IF(OR(NOT(ISNUMBER(E1700)),N(E1700)&lt;=0),"Quantité invalide",IF(K1700&lt;0,"Stock négatif",IF(AND(ISNUMBER(A1699),A1700&lt;A1699),"Date hors ordre","OK"))))))))</f>
        <v/>
      </c>
      <c r="M1700" s="39" t="str">
        <f>IF(C1700="","",C1700&amp;"#"&amp;COUNTIF($C$5:C1700,C1700))</f>
        <v/>
      </c>
    </row>
    <row r="1701">
      <c r="A1701" s="41" t="n"/>
      <c r="B1701" s="37" t="n"/>
      <c r="C1701" s="37" t="n"/>
      <c r="D1701" s="39" t="str">
        <f>IF(C1701="","",IFERROR(INDEX(art_des,MATCH(C1701,art_ref,0))&amp;"","Référence inconnue"))</f>
        <v/>
      </c>
      <c r="E1701" s="37" t="n"/>
      <c r="F1701" s="39" t="str">
        <f>IF(C1701="","",IFERROR(INDEX(art_unit,MATCH(C1701,art_ref,0))&amp;"",""))</f>
        <v/>
      </c>
      <c r="G1701" s="37" t="n"/>
      <c r="H1701" s="37" t="n"/>
      <c r="I1701" s="37" t="n"/>
      <c r="J1701" s="40" t="str">
        <f>IF(OR(C1701="",NOT(ISNUMBER(E1701))),"",IFERROR(E1701*N(INDEX(art_price,MATCH(C1701,art_ref,0))),""))</f>
        <v/>
      </c>
      <c r="K1701" s="39" t="str">
        <f>IF(OR(C1701="",NOT(ISNUMBER(E1701))),"",IFERROR(ROUND(N(INDEX(art_init,MATCH(C1701,art_ref,0)))+SUMIFS($E$5:E1701,$C$5:C1701,C1701,$B$5:B1701,"Entrée")-SUMIFS($E$5:E1701,$C$5:C1701,C1701,$B$5:B1701,"Sortie"),6),""))</f>
        <v/>
      </c>
      <c r="L1701" s="39" t="str">
        <f>IF(COUNTA(A1701:C1701,E1701)=0,"",IF(COUNTA(A1701:C1701,E1701)&lt;4,"Ligne incomplète",IF(NOT(ISNUMBER(A1701)),"Date invalide",IF(AND(B1701&lt;&gt;"Entrée",B1701&lt;&gt;"Sortie"),"Type inconnu",IF(ISNA(MATCH(C1701,art_ref,0)),"Référence inconnue",IF(OR(NOT(ISNUMBER(E1701)),N(E1701)&lt;=0),"Quantité invalide",IF(K1701&lt;0,"Stock négatif",IF(AND(ISNUMBER(A1700),A1701&lt;A1700),"Date hors ordre","OK"))))))))</f>
        <v/>
      </c>
      <c r="M1701" s="39" t="str">
        <f>IF(C1701="","",C1701&amp;"#"&amp;COUNTIF($C$5:C1701,C1701))</f>
        <v/>
      </c>
    </row>
    <row r="1702">
      <c r="A1702" s="41" t="n"/>
      <c r="B1702" s="37" t="n"/>
      <c r="C1702" s="37" t="n"/>
      <c r="D1702" s="39" t="str">
        <f>IF(C1702="","",IFERROR(INDEX(art_des,MATCH(C1702,art_ref,0))&amp;"","Référence inconnue"))</f>
        <v/>
      </c>
      <c r="E1702" s="37" t="n"/>
      <c r="F1702" s="39" t="str">
        <f>IF(C1702="","",IFERROR(INDEX(art_unit,MATCH(C1702,art_ref,0))&amp;"",""))</f>
        <v/>
      </c>
      <c r="G1702" s="37" t="n"/>
      <c r="H1702" s="37" t="n"/>
      <c r="I1702" s="37" t="n"/>
      <c r="J1702" s="40" t="str">
        <f>IF(OR(C1702="",NOT(ISNUMBER(E1702))),"",IFERROR(E1702*N(INDEX(art_price,MATCH(C1702,art_ref,0))),""))</f>
        <v/>
      </c>
      <c r="K1702" s="39" t="str">
        <f>IF(OR(C1702="",NOT(ISNUMBER(E1702))),"",IFERROR(ROUND(N(INDEX(art_init,MATCH(C1702,art_ref,0)))+SUMIFS($E$5:E1702,$C$5:C1702,C1702,$B$5:B1702,"Entrée")-SUMIFS($E$5:E1702,$C$5:C1702,C1702,$B$5:B1702,"Sortie"),6),""))</f>
        <v/>
      </c>
      <c r="L1702" s="39" t="str">
        <f>IF(COUNTA(A1702:C1702,E1702)=0,"",IF(COUNTA(A1702:C1702,E1702)&lt;4,"Ligne incomplète",IF(NOT(ISNUMBER(A1702)),"Date invalide",IF(AND(B1702&lt;&gt;"Entrée",B1702&lt;&gt;"Sortie"),"Type inconnu",IF(ISNA(MATCH(C1702,art_ref,0)),"Référence inconnue",IF(OR(NOT(ISNUMBER(E1702)),N(E1702)&lt;=0),"Quantité invalide",IF(K1702&lt;0,"Stock négatif",IF(AND(ISNUMBER(A1701),A1702&lt;A1701),"Date hors ordre","OK"))))))))</f>
        <v/>
      </c>
      <c r="M1702" s="39" t="str">
        <f>IF(C1702="","",C1702&amp;"#"&amp;COUNTIF($C$5:C1702,C1702))</f>
        <v/>
      </c>
    </row>
    <row r="1703">
      <c r="A1703" s="41" t="n"/>
      <c r="B1703" s="37" t="n"/>
      <c r="C1703" s="37" t="n"/>
      <c r="D1703" s="39" t="str">
        <f>IF(C1703="","",IFERROR(INDEX(art_des,MATCH(C1703,art_ref,0))&amp;"","Référence inconnue"))</f>
        <v/>
      </c>
      <c r="E1703" s="37" t="n"/>
      <c r="F1703" s="39" t="str">
        <f>IF(C1703="","",IFERROR(INDEX(art_unit,MATCH(C1703,art_ref,0))&amp;"",""))</f>
        <v/>
      </c>
      <c r="G1703" s="37" t="n"/>
      <c r="H1703" s="37" t="n"/>
      <c r="I1703" s="37" t="n"/>
      <c r="J1703" s="40" t="str">
        <f>IF(OR(C1703="",NOT(ISNUMBER(E1703))),"",IFERROR(E1703*N(INDEX(art_price,MATCH(C1703,art_ref,0))),""))</f>
        <v/>
      </c>
      <c r="K1703" s="39" t="str">
        <f>IF(OR(C1703="",NOT(ISNUMBER(E1703))),"",IFERROR(ROUND(N(INDEX(art_init,MATCH(C1703,art_ref,0)))+SUMIFS($E$5:E1703,$C$5:C1703,C1703,$B$5:B1703,"Entrée")-SUMIFS($E$5:E1703,$C$5:C1703,C1703,$B$5:B1703,"Sortie"),6),""))</f>
        <v/>
      </c>
      <c r="L1703" s="39" t="str">
        <f>IF(COUNTA(A1703:C1703,E1703)=0,"",IF(COUNTA(A1703:C1703,E1703)&lt;4,"Ligne incomplète",IF(NOT(ISNUMBER(A1703)),"Date invalide",IF(AND(B1703&lt;&gt;"Entrée",B1703&lt;&gt;"Sortie"),"Type inconnu",IF(ISNA(MATCH(C1703,art_ref,0)),"Référence inconnue",IF(OR(NOT(ISNUMBER(E1703)),N(E1703)&lt;=0),"Quantité invalide",IF(K1703&lt;0,"Stock négatif",IF(AND(ISNUMBER(A1702),A1703&lt;A1702),"Date hors ordre","OK"))))))))</f>
        <v/>
      </c>
      <c r="M1703" s="39" t="str">
        <f>IF(C1703="","",C1703&amp;"#"&amp;COUNTIF($C$5:C1703,C1703))</f>
        <v/>
      </c>
    </row>
    <row r="1704">
      <c r="A1704" s="41" t="n"/>
      <c r="B1704" s="37" t="n"/>
      <c r="C1704" s="37" t="n"/>
      <c r="D1704" s="39" t="str">
        <f>IF(C1704="","",IFERROR(INDEX(art_des,MATCH(C1704,art_ref,0))&amp;"","Référence inconnue"))</f>
        <v/>
      </c>
      <c r="E1704" s="37" t="n"/>
      <c r="F1704" s="39" t="str">
        <f>IF(C1704="","",IFERROR(INDEX(art_unit,MATCH(C1704,art_ref,0))&amp;"",""))</f>
        <v/>
      </c>
      <c r="G1704" s="37" t="n"/>
      <c r="H1704" s="37" t="n"/>
      <c r="I1704" s="37" t="n"/>
      <c r="J1704" s="40" t="str">
        <f>IF(OR(C1704="",NOT(ISNUMBER(E1704))),"",IFERROR(E1704*N(INDEX(art_price,MATCH(C1704,art_ref,0))),""))</f>
        <v/>
      </c>
      <c r="K1704" s="39" t="str">
        <f>IF(OR(C1704="",NOT(ISNUMBER(E1704))),"",IFERROR(ROUND(N(INDEX(art_init,MATCH(C1704,art_ref,0)))+SUMIFS($E$5:E1704,$C$5:C1704,C1704,$B$5:B1704,"Entrée")-SUMIFS($E$5:E1704,$C$5:C1704,C1704,$B$5:B1704,"Sortie"),6),""))</f>
        <v/>
      </c>
      <c r="L1704" s="39" t="str">
        <f>IF(COUNTA(A1704:C1704,E1704)=0,"",IF(COUNTA(A1704:C1704,E1704)&lt;4,"Ligne incomplète",IF(NOT(ISNUMBER(A1704)),"Date invalide",IF(AND(B1704&lt;&gt;"Entrée",B1704&lt;&gt;"Sortie"),"Type inconnu",IF(ISNA(MATCH(C1704,art_ref,0)),"Référence inconnue",IF(OR(NOT(ISNUMBER(E1704)),N(E1704)&lt;=0),"Quantité invalide",IF(K1704&lt;0,"Stock négatif",IF(AND(ISNUMBER(A1703),A1704&lt;A1703),"Date hors ordre","OK"))))))))</f>
        <v/>
      </c>
      <c r="M1704" s="39" t="str">
        <f>IF(C1704="","",C1704&amp;"#"&amp;COUNTIF($C$5:C1704,C1704))</f>
        <v/>
      </c>
    </row>
    <row r="1705">
      <c r="A1705" s="41" t="n"/>
      <c r="B1705" s="37" t="n"/>
      <c r="C1705" s="37" t="n"/>
      <c r="D1705" s="39" t="str">
        <f>IF(C1705="","",IFERROR(INDEX(art_des,MATCH(C1705,art_ref,0))&amp;"","Référence inconnue"))</f>
        <v/>
      </c>
      <c r="E1705" s="37" t="n"/>
      <c r="F1705" s="39" t="str">
        <f>IF(C1705="","",IFERROR(INDEX(art_unit,MATCH(C1705,art_ref,0))&amp;"",""))</f>
        <v/>
      </c>
      <c r="G1705" s="37" t="n"/>
      <c r="H1705" s="37" t="n"/>
      <c r="I1705" s="37" t="n"/>
      <c r="J1705" s="40" t="str">
        <f>IF(OR(C1705="",NOT(ISNUMBER(E1705))),"",IFERROR(E1705*N(INDEX(art_price,MATCH(C1705,art_ref,0))),""))</f>
        <v/>
      </c>
      <c r="K1705" s="39" t="str">
        <f>IF(OR(C1705="",NOT(ISNUMBER(E1705))),"",IFERROR(ROUND(N(INDEX(art_init,MATCH(C1705,art_ref,0)))+SUMIFS($E$5:E1705,$C$5:C1705,C1705,$B$5:B1705,"Entrée")-SUMIFS($E$5:E1705,$C$5:C1705,C1705,$B$5:B1705,"Sortie"),6),""))</f>
        <v/>
      </c>
      <c r="L1705" s="39" t="str">
        <f>IF(COUNTA(A1705:C1705,E1705)=0,"",IF(COUNTA(A1705:C1705,E1705)&lt;4,"Ligne incomplète",IF(NOT(ISNUMBER(A1705)),"Date invalide",IF(AND(B1705&lt;&gt;"Entrée",B1705&lt;&gt;"Sortie"),"Type inconnu",IF(ISNA(MATCH(C1705,art_ref,0)),"Référence inconnue",IF(OR(NOT(ISNUMBER(E1705)),N(E1705)&lt;=0),"Quantité invalide",IF(K1705&lt;0,"Stock négatif",IF(AND(ISNUMBER(A1704),A1705&lt;A1704),"Date hors ordre","OK"))))))))</f>
        <v/>
      </c>
      <c r="M1705" s="39" t="str">
        <f>IF(C1705="","",C1705&amp;"#"&amp;COUNTIF($C$5:C1705,C1705))</f>
        <v/>
      </c>
    </row>
    <row r="1706">
      <c r="A1706" s="41" t="n"/>
      <c r="B1706" s="37" t="n"/>
      <c r="C1706" s="37" t="n"/>
      <c r="D1706" s="39" t="str">
        <f>IF(C1706="","",IFERROR(INDEX(art_des,MATCH(C1706,art_ref,0))&amp;"","Référence inconnue"))</f>
        <v/>
      </c>
      <c r="E1706" s="37" t="n"/>
      <c r="F1706" s="39" t="str">
        <f>IF(C1706="","",IFERROR(INDEX(art_unit,MATCH(C1706,art_ref,0))&amp;"",""))</f>
        <v/>
      </c>
      <c r="G1706" s="37" t="n"/>
      <c r="H1706" s="37" t="n"/>
      <c r="I1706" s="37" t="n"/>
      <c r="J1706" s="40" t="str">
        <f>IF(OR(C1706="",NOT(ISNUMBER(E1706))),"",IFERROR(E1706*N(INDEX(art_price,MATCH(C1706,art_ref,0))),""))</f>
        <v/>
      </c>
      <c r="K1706" s="39" t="str">
        <f>IF(OR(C1706="",NOT(ISNUMBER(E1706))),"",IFERROR(ROUND(N(INDEX(art_init,MATCH(C1706,art_ref,0)))+SUMIFS($E$5:E1706,$C$5:C1706,C1706,$B$5:B1706,"Entrée")-SUMIFS($E$5:E1706,$C$5:C1706,C1706,$B$5:B1706,"Sortie"),6),""))</f>
        <v/>
      </c>
      <c r="L1706" s="39" t="str">
        <f>IF(COUNTA(A1706:C1706,E1706)=0,"",IF(COUNTA(A1706:C1706,E1706)&lt;4,"Ligne incomplète",IF(NOT(ISNUMBER(A1706)),"Date invalide",IF(AND(B1706&lt;&gt;"Entrée",B1706&lt;&gt;"Sortie"),"Type inconnu",IF(ISNA(MATCH(C1706,art_ref,0)),"Référence inconnue",IF(OR(NOT(ISNUMBER(E1706)),N(E1706)&lt;=0),"Quantité invalide",IF(K1706&lt;0,"Stock négatif",IF(AND(ISNUMBER(A1705),A1706&lt;A1705),"Date hors ordre","OK"))))))))</f>
        <v/>
      </c>
      <c r="M1706" s="39" t="str">
        <f>IF(C1706="","",C1706&amp;"#"&amp;COUNTIF($C$5:C1706,C1706))</f>
        <v/>
      </c>
    </row>
    <row r="1707">
      <c r="A1707" s="41" t="n"/>
      <c r="B1707" s="37" t="n"/>
      <c r="C1707" s="37" t="n"/>
      <c r="D1707" s="39" t="str">
        <f>IF(C1707="","",IFERROR(INDEX(art_des,MATCH(C1707,art_ref,0))&amp;"","Référence inconnue"))</f>
        <v/>
      </c>
      <c r="E1707" s="37" t="n"/>
      <c r="F1707" s="39" t="str">
        <f>IF(C1707="","",IFERROR(INDEX(art_unit,MATCH(C1707,art_ref,0))&amp;"",""))</f>
        <v/>
      </c>
      <c r="G1707" s="37" t="n"/>
      <c r="H1707" s="37" t="n"/>
      <c r="I1707" s="37" t="n"/>
      <c r="J1707" s="40" t="str">
        <f>IF(OR(C1707="",NOT(ISNUMBER(E1707))),"",IFERROR(E1707*N(INDEX(art_price,MATCH(C1707,art_ref,0))),""))</f>
        <v/>
      </c>
      <c r="K1707" s="39" t="str">
        <f>IF(OR(C1707="",NOT(ISNUMBER(E1707))),"",IFERROR(ROUND(N(INDEX(art_init,MATCH(C1707,art_ref,0)))+SUMIFS($E$5:E1707,$C$5:C1707,C1707,$B$5:B1707,"Entrée")-SUMIFS($E$5:E1707,$C$5:C1707,C1707,$B$5:B1707,"Sortie"),6),""))</f>
        <v/>
      </c>
      <c r="L1707" s="39" t="str">
        <f>IF(COUNTA(A1707:C1707,E1707)=0,"",IF(COUNTA(A1707:C1707,E1707)&lt;4,"Ligne incomplète",IF(NOT(ISNUMBER(A1707)),"Date invalide",IF(AND(B1707&lt;&gt;"Entrée",B1707&lt;&gt;"Sortie"),"Type inconnu",IF(ISNA(MATCH(C1707,art_ref,0)),"Référence inconnue",IF(OR(NOT(ISNUMBER(E1707)),N(E1707)&lt;=0),"Quantité invalide",IF(K1707&lt;0,"Stock négatif",IF(AND(ISNUMBER(A1706),A1707&lt;A1706),"Date hors ordre","OK"))))))))</f>
        <v/>
      </c>
      <c r="M1707" s="39" t="str">
        <f>IF(C1707="","",C1707&amp;"#"&amp;COUNTIF($C$5:C1707,C1707))</f>
        <v/>
      </c>
    </row>
    <row r="1708">
      <c r="A1708" s="41" t="n"/>
      <c r="B1708" s="37" t="n"/>
      <c r="C1708" s="37" t="n"/>
      <c r="D1708" s="39" t="str">
        <f>IF(C1708="","",IFERROR(INDEX(art_des,MATCH(C1708,art_ref,0))&amp;"","Référence inconnue"))</f>
        <v/>
      </c>
      <c r="E1708" s="37" t="n"/>
      <c r="F1708" s="39" t="str">
        <f>IF(C1708="","",IFERROR(INDEX(art_unit,MATCH(C1708,art_ref,0))&amp;"",""))</f>
        <v/>
      </c>
      <c r="G1708" s="37" t="n"/>
      <c r="H1708" s="37" t="n"/>
      <c r="I1708" s="37" t="n"/>
      <c r="J1708" s="40" t="str">
        <f>IF(OR(C1708="",NOT(ISNUMBER(E1708))),"",IFERROR(E1708*N(INDEX(art_price,MATCH(C1708,art_ref,0))),""))</f>
        <v/>
      </c>
      <c r="K1708" s="39" t="str">
        <f>IF(OR(C1708="",NOT(ISNUMBER(E1708))),"",IFERROR(ROUND(N(INDEX(art_init,MATCH(C1708,art_ref,0)))+SUMIFS($E$5:E1708,$C$5:C1708,C1708,$B$5:B1708,"Entrée")-SUMIFS($E$5:E1708,$C$5:C1708,C1708,$B$5:B1708,"Sortie"),6),""))</f>
        <v/>
      </c>
      <c r="L1708" s="39" t="str">
        <f>IF(COUNTA(A1708:C1708,E1708)=0,"",IF(COUNTA(A1708:C1708,E1708)&lt;4,"Ligne incomplète",IF(NOT(ISNUMBER(A1708)),"Date invalide",IF(AND(B1708&lt;&gt;"Entrée",B1708&lt;&gt;"Sortie"),"Type inconnu",IF(ISNA(MATCH(C1708,art_ref,0)),"Référence inconnue",IF(OR(NOT(ISNUMBER(E1708)),N(E1708)&lt;=0),"Quantité invalide",IF(K1708&lt;0,"Stock négatif",IF(AND(ISNUMBER(A1707),A1708&lt;A1707),"Date hors ordre","OK"))))))))</f>
        <v/>
      </c>
      <c r="M1708" s="39" t="str">
        <f>IF(C1708="","",C1708&amp;"#"&amp;COUNTIF($C$5:C1708,C1708))</f>
        <v/>
      </c>
    </row>
    <row r="1709">
      <c r="A1709" s="41" t="n"/>
      <c r="B1709" s="37" t="n"/>
      <c r="C1709" s="37" t="n"/>
      <c r="D1709" s="39" t="str">
        <f>IF(C1709="","",IFERROR(INDEX(art_des,MATCH(C1709,art_ref,0))&amp;"","Référence inconnue"))</f>
        <v/>
      </c>
      <c r="E1709" s="37" t="n"/>
      <c r="F1709" s="39" t="str">
        <f>IF(C1709="","",IFERROR(INDEX(art_unit,MATCH(C1709,art_ref,0))&amp;"",""))</f>
        <v/>
      </c>
      <c r="G1709" s="37" t="n"/>
      <c r="H1709" s="37" t="n"/>
      <c r="I1709" s="37" t="n"/>
      <c r="J1709" s="40" t="str">
        <f>IF(OR(C1709="",NOT(ISNUMBER(E1709))),"",IFERROR(E1709*N(INDEX(art_price,MATCH(C1709,art_ref,0))),""))</f>
        <v/>
      </c>
      <c r="K1709" s="39" t="str">
        <f>IF(OR(C1709="",NOT(ISNUMBER(E1709))),"",IFERROR(ROUND(N(INDEX(art_init,MATCH(C1709,art_ref,0)))+SUMIFS($E$5:E1709,$C$5:C1709,C1709,$B$5:B1709,"Entrée")-SUMIFS($E$5:E1709,$C$5:C1709,C1709,$B$5:B1709,"Sortie"),6),""))</f>
        <v/>
      </c>
      <c r="L1709" s="39" t="str">
        <f>IF(COUNTA(A1709:C1709,E1709)=0,"",IF(COUNTA(A1709:C1709,E1709)&lt;4,"Ligne incomplète",IF(NOT(ISNUMBER(A1709)),"Date invalide",IF(AND(B1709&lt;&gt;"Entrée",B1709&lt;&gt;"Sortie"),"Type inconnu",IF(ISNA(MATCH(C1709,art_ref,0)),"Référence inconnue",IF(OR(NOT(ISNUMBER(E1709)),N(E1709)&lt;=0),"Quantité invalide",IF(K1709&lt;0,"Stock négatif",IF(AND(ISNUMBER(A1708),A1709&lt;A1708),"Date hors ordre","OK"))))))))</f>
        <v/>
      </c>
      <c r="M1709" s="39" t="str">
        <f>IF(C1709="","",C1709&amp;"#"&amp;COUNTIF($C$5:C1709,C1709))</f>
        <v/>
      </c>
    </row>
    <row r="1710">
      <c r="A1710" s="41" t="n"/>
      <c r="B1710" s="37" t="n"/>
      <c r="C1710" s="37" t="n"/>
      <c r="D1710" s="39" t="str">
        <f>IF(C1710="","",IFERROR(INDEX(art_des,MATCH(C1710,art_ref,0))&amp;"","Référence inconnue"))</f>
        <v/>
      </c>
      <c r="E1710" s="37" t="n"/>
      <c r="F1710" s="39" t="str">
        <f>IF(C1710="","",IFERROR(INDEX(art_unit,MATCH(C1710,art_ref,0))&amp;"",""))</f>
        <v/>
      </c>
      <c r="G1710" s="37" t="n"/>
      <c r="H1710" s="37" t="n"/>
      <c r="I1710" s="37" t="n"/>
      <c r="J1710" s="40" t="str">
        <f>IF(OR(C1710="",NOT(ISNUMBER(E1710))),"",IFERROR(E1710*N(INDEX(art_price,MATCH(C1710,art_ref,0))),""))</f>
        <v/>
      </c>
      <c r="K1710" s="39" t="str">
        <f>IF(OR(C1710="",NOT(ISNUMBER(E1710))),"",IFERROR(ROUND(N(INDEX(art_init,MATCH(C1710,art_ref,0)))+SUMIFS($E$5:E1710,$C$5:C1710,C1710,$B$5:B1710,"Entrée")-SUMIFS($E$5:E1710,$C$5:C1710,C1710,$B$5:B1710,"Sortie"),6),""))</f>
        <v/>
      </c>
      <c r="L1710" s="39" t="str">
        <f>IF(COUNTA(A1710:C1710,E1710)=0,"",IF(COUNTA(A1710:C1710,E1710)&lt;4,"Ligne incomplète",IF(NOT(ISNUMBER(A1710)),"Date invalide",IF(AND(B1710&lt;&gt;"Entrée",B1710&lt;&gt;"Sortie"),"Type inconnu",IF(ISNA(MATCH(C1710,art_ref,0)),"Référence inconnue",IF(OR(NOT(ISNUMBER(E1710)),N(E1710)&lt;=0),"Quantité invalide",IF(K1710&lt;0,"Stock négatif",IF(AND(ISNUMBER(A1709),A1710&lt;A1709),"Date hors ordre","OK"))))))))</f>
        <v/>
      </c>
      <c r="M1710" s="39" t="str">
        <f>IF(C1710="","",C1710&amp;"#"&amp;COUNTIF($C$5:C1710,C1710))</f>
        <v/>
      </c>
    </row>
    <row r="1711">
      <c r="A1711" s="41" t="n"/>
      <c r="B1711" s="37" t="n"/>
      <c r="C1711" s="37" t="n"/>
      <c r="D1711" s="39" t="str">
        <f>IF(C1711="","",IFERROR(INDEX(art_des,MATCH(C1711,art_ref,0))&amp;"","Référence inconnue"))</f>
        <v/>
      </c>
      <c r="E1711" s="37" t="n"/>
      <c r="F1711" s="39" t="str">
        <f>IF(C1711="","",IFERROR(INDEX(art_unit,MATCH(C1711,art_ref,0))&amp;"",""))</f>
        <v/>
      </c>
      <c r="G1711" s="37" t="n"/>
      <c r="H1711" s="37" t="n"/>
      <c r="I1711" s="37" t="n"/>
      <c r="J1711" s="40" t="str">
        <f>IF(OR(C1711="",NOT(ISNUMBER(E1711))),"",IFERROR(E1711*N(INDEX(art_price,MATCH(C1711,art_ref,0))),""))</f>
        <v/>
      </c>
      <c r="K1711" s="39" t="str">
        <f>IF(OR(C1711="",NOT(ISNUMBER(E1711))),"",IFERROR(ROUND(N(INDEX(art_init,MATCH(C1711,art_ref,0)))+SUMIFS($E$5:E1711,$C$5:C1711,C1711,$B$5:B1711,"Entrée")-SUMIFS($E$5:E1711,$C$5:C1711,C1711,$B$5:B1711,"Sortie"),6),""))</f>
        <v/>
      </c>
      <c r="L1711" s="39" t="str">
        <f>IF(COUNTA(A1711:C1711,E1711)=0,"",IF(COUNTA(A1711:C1711,E1711)&lt;4,"Ligne incomplète",IF(NOT(ISNUMBER(A1711)),"Date invalide",IF(AND(B1711&lt;&gt;"Entrée",B1711&lt;&gt;"Sortie"),"Type inconnu",IF(ISNA(MATCH(C1711,art_ref,0)),"Référence inconnue",IF(OR(NOT(ISNUMBER(E1711)),N(E1711)&lt;=0),"Quantité invalide",IF(K1711&lt;0,"Stock négatif",IF(AND(ISNUMBER(A1710),A1711&lt;A1710),"Date hors ordre","OK"))))))))</f>
        <v/>
      </c>
      <c r="M1711" s="39" t="str">
        <f>IF(C1711="","",C1711&amp;"#"&amp;COUNTIF($C$5:C1711,C1711))</f>
        <v/>
      </c>
    </row>
    <row r="1712">
      <c r="A1712" s="41" t="n"/>
      <c r="B1712" s="37" t="n"/>
      <c r="C1712" s="37" t="n"/>
      <c r="D1712" s="39" t="str">
        <f>IF(C1712="","",IFERROR(INDEX(art_des,MATCH(C1712,art_ref,0))&amp;"","Référence inconnue"))</f>
        <v/>
      </c>
      <c r="E1712" s="37" t="n"/>
      <c r="F1712" s="39" t="str">
        <f>IF(C1712="","",IFERROR(INDEX(art_unit,MATCH(C1712,art_ref,0))&amp;"",""))</f>
        <v/>
      </c>
      <c r="G1712" s="37" t="n"/>
      <c r="H1712" s="37" t="n"/>
      <c r="I1712" s="37" t="n"/>
      <c r="J1712" s="40" t="str">
        <f>IF(OR(C1712="",NOT(ISNUMBER(E1712))),"",IFERROR(E1712*N(INDEX(art_price,MATCH(C1712,art_ref,0))),""))</f>
        <v/>
      </c>
      <c r="K1712" s="39" t="str">
        <f>IF(OR(C1712="",NOT(ISNUMBER(E1712))),"",IFERROR(ROUND(N(INDEX(art_init,MATCH(C1712,art_ref,0)))+SUMIFS($E$5:E1712,$C$5:C1712,C1712,$B$5:B1712,"Entrée")-SUMIFS($E$5:E1712,$C$5:C1712,C1712,$B$5:B1712,"Sortie"),6),""))</f>
        <v/>
      </c>
      <c r="L1712" s="39" t="str">
        <f>IF(COUNTA(A1712:C1712,E1712)=0,"",IF(COUNTA(A1712:C1712,E1712)&lt;4,"Ligne incomplète",IF(NOT(ISNUMBER(A1712)),"Date invalide",IF(AND(B1712&lt;&gt;"Entrée",B1712&lt;&gt;"Sortie"),"Type inconnu",IF(ISNA(MATCH(C1712,art_ref,0)),"Référence inconnue",IF(OR(NOT(ISNUMBER(E1712)),N(E1712)&lt;=0),"Quantité invalide",IF(K1712&lt;0,"Stock négatif",IF(AND(ISNUMBER(A1711),A1712&lt;A1711),"Date hors ordre","OK"))))))))</f>
        <v/>
      </c>
      <c r="M1712" s="39" t="str">
        <f>IF(C1712="","",C1712&amp;"#"&amp;COUNTIF($C$5:C1712,C1712))</f>
        <v/>
      </c>
    </row>
    <row r="1713">
      <c r="A1713" s="41" t="n"/>
      <c r="B1713" s="37" t="n"/>
      <c r="C1713" s="37" t="n"/>
      <c r="D1713" s="39" t="str">
        <f>IF(C1713="","",IFERROR(INDEX(art_des,MATCH(C1713,art_ref,0))&amp;"","Référence inconnue"))</f>
        <v/>
      </c>
      <c r="E1713" s="37" t="n"/>
      <c r="F1713" s="39" t="str">
        <f>IF(C1713="","",IFERROR(INDEX(art_unit,MATCH(C1713,art_ref,0))&amp;"",""))</f>
        <v/>
      </c>
      <c r="G1713" s="37" t="n"/>
      <c r="H1713" s="37" t="n"/>
      <c r="I1713" s="37" t="n"/>
      <c r="J1713" s="40" t="str">
        <f>IF(OR(C1713="",NOT(ISNUMBER(E1713))),"",IFERROR(E1713*N(INDEX(art_price,MATCH(C1713,art_ref,0))),""))</f>
        <v/>
      </c>
      <c r="K1713" s="39" t="str">
        <f>IF(OR(C1713="",NOT(ISNUMBER(E1713))),"",IFERROR(ROUND(N(INDEX(art_init,MATCH(C1713,art_ref,0)))+SUMIFS($E$5:E1713,$C$5:C1713,C1713,$B$5:B1713,"Entrée")-SUMIFS($E$5:E1713,$C$5:C1713,C1713,$B$5:B1713,"Sortie"),6),""))</f>
        <v/>
      </c>
      <c r="L1713" s="39" t="str">
        <f>IF(COUNTA(A1713:C1713,E1713)=0,"",IF(COUNTA(A1713:C1713,E1713)&lt;4,"Ligne incomplète",IF(NOT(ISNUMBER(A1713)),"Date invalide",IF(AND(B1713&lt;&gt;"Entrée",B1713&lt;&gt;"Sortie"),"Type inconnu",IF(ISNA(MATCH(C1713,art_ref,0)),"Référence inconnue",IF(OR(NOT(ISNUMBER(E1713)),N(E1713)&lt;=0),"Quantité invalide",IF(K1713&lt;0,"Stock négatif",IF(AND(ISNUMBER(A1712),A1713&lt;A1712),"Date hors ordre","OK"))))))))</f>
        <v/>
      </c>
      <c r="M1713" s="39" t="str">
        <f>IF(C1713="","",C1713&amp;"#"&amp;COUNTIF($C$5:C1713,C1713))</f>
        <v/>
      </c>
    </row>
    <row r="1714">
      <c r="A1714" s="41" t="n"/>
      <c r="B1714" s="37" t="n"/>
      <c r="C1714" s="37" t="n"/>
      <c r="D1714" s="39" t="str">
        <f>IF(C1714="","",IFERROR(INDEX(art_des,MATCH(C1714,art_ref,0))&amp;"","Référence inconnue"))</f>
        <v/>
      </c>
      <c r="E1714" s="37" t="n"/>
      <c r="F1714" s="39" t="str">
        <f>IF(C1714="","",IFERROR(INDEX(art_unit,MATCH(C1714,art_ref,0))&amp;"",""))</f>
        <v/>
      </c>
      <c r="G1714" s="37" t="n"/>
      <c r="H1714" s="37" t="n"/>
      <c r="I1714" s="37" t="n"/>
      <c r="J1714" s="40" t="str">
        <f>IF(OR(C1714="",NOT(ISNUMBER(E1714))),"",IFERROR(E1714*N(INDEX(art_price,MATCH(C1714,art_ref,0))),""))</f>
        <v/>
      </c>
      <c r="K1714" s="39" t="str">
        <f>IF(OR(C1714="",NOT(ISNUMBER(E1714))),"",IFERROR(ROUND(N(INDEX(art_init,MATCH(C1714,art_ref,0)))+SUMIFS($E$5:E1714,$C$5:C1714,C1714,$B$5:B1714,"Entrée")-SUMIFS($E$5:E1714,$C$5:C1714,C1714,$B$5:B1714,"Sortie"),6),""))</f>
        <v/>
      </c>
      <c r="L1714" s="39" t="str">
        <f>IF(COUNTA(A1714:C1714,E1714)=0,"",IF(COUNTA(A1714:C1714,E1714)&lt;4,"Ligne incomplète",IF(NOT(ISNUMBER(A1714)),"Date invalide",IF(AND(B1714&lt;&gt;"Entrée",B1714&lt;&gt;"Sortie"),"Type inconnu",IF(ISNA(MATCH(C1714,art_ref,0)),"Référence inconnue",IF(OR(NOT(ISNUMBER(E1714)),N(E1714)&lt;=0),"Quantité invalide",IF(K1714&lt;0,"Stock négatif",IF(AND(ISNUMBER(A1713),A1714&lt;A1713),"Date hors ordre","OK"))))))))</f>
        <v/>
      </c>
      <c r="M1714" s="39" t="str">
        <f>IF(C1714="","",C1714&amp;"#"&amp;COUNTIF($C$5:C1714,C1714))</f>
        <v/>
      </c>
    </row>
    <row r="1715">
      <c r="A1715" s="41" t="n"/>
      <c r="B1715" s="37" t="n"/>
      <c r="C1715" s="37" t="n"/>
      <c r="D1715" s="39" t="str">
        <f>IF(C1715="","",IFERROR(INDEX(art_des,MATCH(C1715,art_ref,0))&amp;"","Référence inconnue"))</f>
        <v/>
      </c>
      <c r="E1715" s="37" t="n"/>
      <c r="F1715" s="39" t="str">
        <f>IF(C1715="","",IFERROR(INDEX(art_unit,MATCH(C1715,art_ref,0))&amp;"",""))</f>
        <v/>
      </c>
      <c r="G1715" s="37" t="n"/>
      <c r="H1715" s="37" t="n"/>
      <c r="I1715" s="37" t="n"/>
      <c r="J1715" s="40" t="str">
        <f>IF(OR(C1715="",NOT(ISNUMBER(E1715))),"",IFERROR(E1715*N(INDEX(art_price,MATCH(C1715,art_ref,0))),""))</f>
        <v/>
      </c>
      <c r="K1715" s="39" t="str">
        <f>IF(OR(C1715="",NOT(ISNUMBER(E1715))),"",IFERROR(ROUND(N(INDEX(art_init,MATCH(C1715,art_ref,0)))+SUMIFS($E$5:E1715,$C$5:C1715,C1715,$B$5:B1715,"Entrée")-SUMIFS($E$5:E1715,$C$5:C1715,C1715,$B$5:B1715,"Sortie"),6),""))</f>
        <v/>
      </c>
      <c r="L1715" s="39" t="str">
        <f>IF(COUNTA(A1715:C1715,E1715)=0,"",IF(COUNTA(A1715:C1715,E1715)&lt;4,"Ligne incomplète",IF(NOT(ISNUMBER(A1715)),"Date invalide",IF(AND(B1715&lt;&gt;"Entrée",B1715&lt;&gt;"Sortie"),"Type inconnu",IF(ISNA(MATCH(C1715,art_ref,0)),"Référence inconnue",IF(OR(NOT(ISNUMBER(E1715)),N(E1715)&lt;=0),"Quantité invalide",IF(K1715&lt;0,"Stock négatif",IF(AND(ISNUMBER(A1714),A1715&lt;A1714),"Date hors ordre","OK"))))))))</f>
        <v/>
      </c>
      <c r="M1715" s="39" t="str">
        <f>IF(C1715="","",C1715&amp;"#"&amp;COUNTIF($C$5:C1715,C1715))</f>
        <v/>
      </c>
    </row>
    <row r="1716">
      <c r="A1716" s="41" t="n"/>
      <c r="B1716" s="37" t="n"/>
      <c r="C1716" s="37" t="n"/>
      <c r="D1716" s="39" t="str">
        <f>IF(C1716="","",IFERROR(INDEX(art_des,MATCH(C1716,art_ref,0))&amp;"","Référence inconnue"))</f>
        <v/>
      </c>
      <c r="E1716" s="37" t="n"/>
      <c r="F1716" s="39" t="str">
        <f>IF(C1716="","",IFERROR(INDEX(art_unit,MATCH(C1716,art_ref,0))&amp;"",""))</f>
        <v/>
      </c>
      <c r="G1716" s="37" t="n"/>
      <c r="H1716" s="37" t="n"/>
      <c r="I1716" s="37" t="n"/>
      <c r="J1716" s="40" t="str">
        <f>IF(OR(C1716="",NOT(ISNUMBER(E1716))),"",IFERROR(E1716*N(INDEX(art_price,MATCH(C1716,art_ref,0))),""))</f>
        <v/>
      </c>
      <c r="K1716" s="39" t="str">
        <f>IF(OR(C1716="",NOT(ISNUMBER(E1716))),"",IFERROR(ROUND(N(INDEX(art_init,MATCH(C1716,art_ref,0)))+SUMIFS($E$5:E1716,$C$5:C1716,C1716,$B$5:B1716,"Entrée")-SUMIFS($E$5:E1716,$C$5:C1716,C1716,$B$5:B1716,"Sortie"),6),""))</f>
        <v/>
      </c>
      <c r="L1716" s="39" t="str">
        <f>IF(COUNTA(A1716:C1716,E1716)=0,"",IF(COUNTA(A1716:C1716,E1716)&lt;4,"Ligne incomplète",IF(NOT(ISNUMBER(A1716)),"Date invalide",IF(AND(B1716&lt;&gt;"Entrée",B1716&lt;&gt;"Sortie"),"Type inconnu",IF(ISNA(MATCH(C1716,art_ref,0)),"Référence inconnue",IF(OR(NOT(ISNUMBER(E1716)),N(E1716)&lt;=0),"Quantité invalide",IF(K1716&lt;0,"Stock négatif",IF(AND(ISNUMBER(A1715),A1716&lt;A1715),"Date hors ordre","OK"))))))))</f>
        <v/>
      </c>
      <c r="M1716" s="39" t="str">
        <f>IF(C1716="","",C1716&amp;"#"&amp;COUNTIF($C$5:C1716,C1716))</f>
        <v/>
      </c>
    </row>
    <row r="1717">
      <c r="A1717" s="41" t="n"/>
      <c r="B1717" s="37" t="n"/>
      <c r="C1717" s="37" t="n"/>
      <c r="D1717" s="39" t="str">
        <f>IF(C1717="","",IFERROR(INDEX(art_des,MATCH(C1717,art_ref,0))&amp;"","Référence inconnue"))</f>
        <v/>
      </c>
      <c r="E1717" s="37" t="n"/>
      <c r="F1717" s="39" t="str">
        <f>IF(C1717="","",IFERROR(INDEX(art_unit,MATCH(C1717,art_ref,0))&amp;"",""))</f>
        <v/>
      </c>
      <c r="G1717" s="37" t="n"/>
      <c r="H1717" s="37" t="n"/>
      <c r="I1717" s="37" t="n"/>
      <c r="J1717" s="40" t="str">
        <f>IF(OR(C1717="",NOT(ISNUMBER(E1717))),"",IFERROR(E1717*N(INDEX(art_price,MATCH(C1717,art_ref,0))),""))</f>
        <v/>
      </c>
      <c r="K1717" s="39" t="str">
        <f>IF(OR(C1717="",NOT(ISNUMBER(E1717))),"",IFERROR(ROUND(N(INDEX(art_init,MATCH(C1717,art_ref,0)))+SUMIFS($E$5:E1717,$C$5:C1717,C1717,$B$5:B1717,"Entrée")-SUMIFS($E$5:E1717,$C$5:C1717,C1717,$B$5:B1717,"Sortie"),6),""))</f>
        <v/>
      </c>
      <c r="L1717" s="39" t="str">
        <f>IF(COUNTA(A1717:C1717,E1717)=0,"",IF(COUNTA(A1717:C1717,E1717)&lt;4,"Ligne incomplète",IF(NOT(ISNUMBER(A1717)),"Date invalide",IF(AND(B1717&lt;&gt;"Entrée",B1717&lt;&gt;"Sortie"),"Type inconnu",IF(ISNA(MATCH(C1717,art_ref,0)),"Référence inconnue",IF(OR(NOT(ISNUMBER(E1717)),N(E1717)&lt;=0),"Quantité invalide",IF(K1717&lt;0,"Stock négatif",IF(AND(ISNUMBER(A1716),A1717&lt;A1716),"Date hors ordre","OK"))))))))</f>
        <v/>
      </c>
      <c r="M1717" s="39" t="str">
        <f>IF(C1717="","",C1717&amp;"#"&amp;COUNTIF($C$5:C1717,C1717))</f>
        <v/>
      </c>
    </row>
    <row r="1718">
      <c r="A1718" s="41" t="n"/>
      <c r="B1718" s="37" t="n"/>
      <c r="C1718" s="37" t="n"/>
      <c r="D1718" s="39" t="str">
        <f>IF(C1718="","",IFERROR(INDEX(art_des,MATCH(C1718,art_ref,0))&amp;"","Référence inconnue"))</f>
        <v/>
      </c>
      <c r="E1718" s="37" t="n"/>
      <c r="F1718" s="39" t="str">
        <f>IF(C1718="","",IFERROR(INDEX(art_unit,MATCH(C1718,art_ref,0))&amp;"",""))</f>
        <v/>
      </c>
      <c r="G1718" s="37" t="n"/>
      <c r="H1718" s="37" t="n"/>
      <c r="I1718" s="37" t="n"/>
      <c r="J1718" s="40" t="str">
        <f>IF(OR(C1718="",NOT(ISNUMBER(E1718))),"",IFERROR(E1718*N(INDEX(art_price,MATCH(C1718,art_ref,0))),""))</f>
        <v/>
      </c>
      <c r="K1718" s="39" t="str">
        <f>IF(OR(C1718="",NOT(ISNUMBER(E1718))),"",IFERROR(ROUND(N(INDEX(art_init,MATCH(C1718,art_ref,0)))+SUMIFS($E$5:E1718,$C$5:C1718,C1718,$B$5:B1718,"Entrée")-SUMIFS($E$5:E1718,$C$5:C1718,C1718,$B$5:B1718,"Sortie"),6),""))</f>
        <v/>
      </c>
      <c r="L1718" s="39" t="str">
        <f>IF(COUNTA(A1718:C1718,E1718)=0,"",IF(COUNTA(A1718:C1718,E1718)&lt;4,"Ligne incomplète",IF(NOT(ISNUMBER(A1718)),"Date invalide",IF(AND(B1718&lt;&gt;"Entrée",B1718&lt;&gt;"Sortie"),"Type inconnu",IF(ISNA(MATCH(C1718,art_ref,0)),"Référence inconnue",IF(OR(NOT(ISNUMBER(E1718)),N(E1718)&lt;=0),"Quantité invalide",IF(K1718&lt;0,"Stock négatif",IF(AND(ISNUMBER(A1717),A1718&lt;A1717),"Date hors ordre","OK"))))))))</f>
        <v/>
      </c>
      <c r="M1718" s="39" t="str">
        <f>IF(C1718="","",C1718&amp;"#"&amp;COUNTIF($C$5:C1718,C1718))</f>
        <v/>
      </c>
    </row>
    <row r="1719">
      <c r="A1719" s="41" t="n"/>
      <c r="B1719" s="37" t="n"/>
      <c r="C1719" s="37" t="n"/>
      <c r="D1719" s="39" t="str">
        <f>IF(C1719="","",IFERROR(INDEX(art_des,MATCH(C1719,art_ref,0))&amp;"","Référence inconnue"))</f>
        <v/>
      </c>
      <c r="E1719" s="37" t="n"/>
      <c r="F1719" s="39" t="str">
        <f>IF(C1719="","",IFERROR(INDEX(art_unit,MATCH(C1719,art_ref,0))&amp;"",""))</f>
        <v/>
      </c>
      <c r="G1719" s="37" t="n"/>
      <c r="H1719" s="37" t="n"/>
      <c r="I1719" s="37" t="n"/>
      <c r="J1719" s="40" t="str">
        <f>IF(OR(C1719="",NOT(ISNUMBER(E1719))),"",IFERROR(E1719*N(INDEX(art_price,MATCH(C1719,art_ref,0))),""))</f>
        <v/>
      </c>
      <c r="K1719" s="39" t="str">
        <f>IF(OR(C1719="",NOT(ISNUMBER(E1719))),"",IFERROR(ROUND(N(INDEX(art_init,MATCH(C1719,art_ref,0)))+SUMIFS($E$5:E1719,$C$5:C1719,C1719,$B$5:B1719,"Entrée")-SUMIFS($E$5:E1719,$C$5:C1719,C1719,$B$5:B1719,"Sortie"),6),""))</f>
        <v/>
      </c>
      <c r="L1719" s="39" t="str">
        <f>IF(COUNTA(A1719:C1719,E1719)=0,"",IF(COUNTA(A1719:C1719,E1719)&lt;4,"Ligne incomplète",IF(NOT(ISNUMBER(A1719)),"Date invalide",IF(AND(B1719&lt;&gt;"Entrée",B1719&lt;&gt;"Sortie"),"Type inconnu",IF(ISNA(MATCH(C1719,art_ref,0)),"Référence inconnue",IF(OR(NOT(ISNUMBER(E1719)),N(E1719)&lt;=0),"Quantité invalide",IF(K1719&lt;0,"Stock négatif",IF(AND(ISNUMBER(A1718),A1719&lt;A1718),"Date hors ordre","OK"))))))))</f>
        <v/>
      </c>
      <c r="M1719" s="39" t="str">
        <f>IF(C1719="","",C1719&amp;"#"&amp;COUNTIF($C$5:C1719,C1719))</f>
        <v/>
      </c>
    </row>
    <row r="1720">
      <c r="A1720" s="41" t="n"/>
      <c r="B1720" s="37" t="n"/>
      <c r="C1720" s="37" t="n"/>
      <c r="D1720" s="39" t="str">
        <f>IF(C1720="","",IFERROR(INDEX(art_des,MATCH(C1720,art_ref,0))&amp;"","Référence inconnue"))</f>
        <v/>
      </c>
      <c r="E1720" s="37" t="n"/>
      <c r="F1720" s="39" t="str">
        <f>IF(C1720="","",IFERROR(INDEX(art_unit,MATCH(C1720,art_ref,0))&amp;"",""))</f>
        <v/>
      </c>
      <c r="G1720" s="37" t="n"/>
      <c r="H1720" s="37" t="n"/>
      <c r="I1720" s="37" t="n"/>
      <c r="J1720" s="40" t="str">
        <f>IF(OR(C1720="",NOT(ISNUMBER(E1720))),"",IFERROR(E1720*N(INDEX(art_price,MATCH(C1720,art_ref,0))),""))</f>
        <v/>
      </c>
      <c r="K1720" s="39" t="str">
        <f>IF(OR(C1720="",NOT(ISNUMBER(E1720))),"",IFERROR(ROUND(N(INDEX(art_init,MATCH(C1720,art_ref,0)))+SUMIFS($E$5:E1720,$C$5:C1720,C1720,$B$5:B1720,"Entrée")-SUMIFS($E$5:E1720,$C$5:C1720,C1720,$B$5:B1720,"Sortie"),6),""))</f>
        <v/>
      </c>
      <c r="L1720" s="39" t="str">
        <f>IF(COUNTA(A1720:C1720,E1720)=0,"",IF(COUNTA(A1720:C1720,E1720)&lt;4,"Ligne incomplète",IF(NOT(ISNUMBER(A1720)),"Date invalide",IF(AND(B1720&lt;&gt;"Entrée",B1720&lt;&gt;"Sortie"),"Type inconnu",IF(ISNA(MATCH(C1720,art_ref,0)),"Référence inconnue",IF(OR(NOT(ISNUMBER(E1720)),N(E1720)&lt;=0),"Quantité invalide",IF(K1720&lt;0,"Stock négatif",IF(AND(ISNUMBER(A1719),A1720&lt;A1719),"Date hors ordre","OK"))))))))</f>
        <v/>
      </c>
      <c r="M1720" s="39" t="str">
        <f>IF(C1720="","",C1720&amp;"#"&amp;COUNTIF($C$5:C1720,C1720))</f>
        <v/>
      </c>
    </row>
    <row r="1721">
      <c r="A1721" s="41" t="n"/>
      <c r="B1721" s="37" t="n"/>
      <c r="C1721" s="37" t="n"/>
      <c r="D1721" s="39" t="str">
        <f>IF(C1721="","",IFERROR(INDEX(art_des,MATCH(C1721,art_ref,0))&amp;"","Référence inconnue"))</f>
        <v/>
      </c>
      <c r="E1721" s="37" t="n"/>
      <c r="F1721" s="39" t="str">
        <f>IF(C1721="","",IFERROR(INDEX(art_unit,MATCH(C1721,art_ref,0))&amp;"",""))</f>
        <v/>
      </c>
      <c r="G1721" s="37" t="n"/>
      <c r="H1721" s="37" t="n"/>
      <c r="I1721" s="37" t="n"/>
      <c r="J1721" s="40" t="str">
        <f>IF(OR(C1721="",NOT(ISNUMBER(E1721))),"",IFERROR(E1721*N(INDEX(art_price,MATCH(C1721,art_ref,0))),""))</f>
        <v/>
      </c>
      <c r="K1721" s="39" t="str">
        <f>IF(OR(C1721="",NOT(ISNUMBER(E1721))),"",IFERROR(ROUND(N(INDEX(art_init,MATCH(C1721,art_ref,0)))+SUMIFS($E$5:E1721,$C$5:C1721,C1721,$B$5:B1721,"Entrée")-SUMIFS($E$5:E1721,$C$5:C1721,C1721,$B$5:B1721,"Sortie"),6),""))</f>
        <v/>
      </c>
      <c r="L1721" s="39" t="str">
        <f>IF(COUNTA(A1721:C1721,E1721)=0,"",IF(COUNTA(A1721:C1721,E1721)&lt;4,"Ligne incomplète",IF(NOT(ISNUMBER(A1721)),"Date invalide",IF(AND(B1721&lt;&gt;"Entrée",B1721&lt;&gt;"Sortie"),"Type inconnu",IF(ISNA(MATCH(C1721,art_ref,0)),"Référence inconnue",IF(OR(NOT(ISNUMBER(E1721)),N(E1721)&lt;=0),"Quantité invalide",IF(K1721&lt;0,"Stock négatif",IF(AND(ISNUMBER(A1720),A1721&lt;A1720),"Date hors ordre","OK"))))))))</f>
        <v/>
      </c>
      <c r="M1721" s="39" t="str">
        <f>IF(C1721="","",C1721&amp;"#"&amp;COUNTIF($C$5:C1721,C1721))</f>
        <v/>
      </c>
    </row>
    <row r="1722">
      <c r="A1722" s="41" t="n"/>
      <c r="B1722" s="37" t="n"/>
      <c r="C1722" s="37" t="n"/>
      <c r="D1722" s="39" t="str">
        <f>IF(C1722="","",IFERROR(INDEX(art_des,MATCH(C1722,art_ref,0))&amp;"","Référence inconnue"))</f>
        <v/>
      </c>
      <c r="E1722" s="37" t="n"/>
      <c r="F1722" s="39" t="str">
        <f>IF(C1722="","",IFERROR(INDEX(art_unit,MATCH(C1722,art_ref,0))&amp;"",""))</f>
        <v/>
      </c>
      <c r="G1722" s="37" t="n"/>
      <c r="H1722" s="37" t="n"/>
      <c r="I1722" s="37" t="n"/>
      <c r="J1722" s="40" t="str">
        <f>IF(OR(C1722="",NOT(ISNUMBER(E1722))),"",IFERROR(E1722*N(INDEX(art_price,MATCH(C1722,art_ref,0))),""))</f>
        <v/>
      </c>
      <c r="K1722" s="39" t="str">
        <f>IF(OR(C1722="",NOT(ISNUMBER(E1722))),"",IFERROR(ROUND(N(INDEX(art_init,MATCH(C1722,art_ref,0)))+SUMIFS($E$5:E1722,$C$5:C1722,C1722,$B$5:B1722,"Entrée")-SUMIFS($E$5:E1722,$C$5:C1722,C1722,$B$5:B1722,"Sortie"),6),""))</f>
        <v/>
      </c>
      <c r="L1722" s="39" t="str">
        <f>IF(COUNTA(A1722:C1722,E1722)=0,"",IF(COUNTA(A1722:C1722,E1722)&lt;4,"Ligne incomplète",IF(NOT(ISNUMBER(A1722)),"Date invalide",IF(AND(B1722&lt;&gt;"Entrée",B1722&lt;&gt;"Sortie"),"Type inconnu",IF(ISNA(MATCH(C1722,art_ref,0)),"Référence inconnue",IF(OR(NOT(ISNUMBER(E1722)),N(E1722)&lt;=0),"Quantité invalide",IF(K1722&lt;0,"Stock négatif",IF(AND(ISNUMBER(A1721),A1722&lt;A1721),"Date hors ordre","OK"))))))))</f>
        <v/>
      </c>
      <c r="M1722" s="39" t="str">
        <f>IF(C1722="","",C1722&amp;"#"&amp;COUNTIF($C$5:C1722,C1722))</f>
        <v/>
      </c>
    </row>
    <row r="1723">
      <c r="A1723" s="41" t="n"/>
      <c r="B1723" s="37" t="n"/>
      <c r="C1723" s="37" t="n"/>
      <c r="D1723" s="39" t="str">
        <f>IF(C1723="","",IFERROR(INDEX(art_des,MATCH(C1723,art_ref,0))&amp;"","Référence inconnue"))</f>
        <v/>
      </c>
      <c r="E1723" s="37" t="n"/>
      <c r="F1723" s="39" t="str">
        <f>IF(C1723="","",IFERROR(INDEX(art_unit,MATCH(C1723,art_ref,0))&amp;"",""))</f>
        <v/>
      </c>
      <c r="G1723" s="37" t="n"/>
      <c r="H1723" s="37" t="n"/>
      <c r="I1723" s="37" t="n"/>
      <c r="J1723" s="40" t="str">
        <f>IF(OR(C1723="",NOT(ISNUMBER(E1723))),"",IFERROR(E1723*N(INDEX(art_price,MATCH(C1723,art_ref,0))),""))</f>
        <v/>
      </c>
      <c r="K1723" s="39" t="str">
        <f>IF(OR(C1723="",NOT(ISNUMBER(E1723))),"",IFERROR(ROUND(N(INDEX(art_init,MATCH(C1723,art_ref,0)))+SUMIFS($E$5:E1723,$C$5:C1723,C1723,$B$5:B1723,"Entrée")-SUMIFS($E$5:E1723,$C$5:C1723,C1723,$B$5:B1723,"Sortie"),6),""))</f>
        <v/>
      </c>
      <c r="L1723" s="39" t="str">
        <f>IF(COUNTA(A1723:C1723,E1723)=0,"",IF(COUNTA(A1723:C1723,E1723)&lt;4,"Ligne incomplète",IF(NOT(ISNUMBER(A1723)),"Date invalide",IF(AND(B1723&lt;&gt;"Entrée",B1723&lt;&gt;"Sortie"),"Type inconnu",IF(ISNA(MATCH(C1723,art_ref,0)),"Référence inconnue",IF(OR(NOT(ISNUMBER(E1723)),N(E1723)&lt;=0),"Quantité invalide",IF(K1723&lt;0,"Stock négatif",IF(AND(ISNUMBER(A1722),A1723&lt;A1722),"Date hors ordre","OK"))))))))</f>
        <v/>
      </c>
      <c r="M1723" s="39" t="str">
        <f>IF(C1723="","",C1723&amp;"#"&amp;COUNTIF($C$5:C1723,C1723))</f>
        <v/>
      </c>
    </row>
    <row r="1724">
      <c r="A1724" s="41" t="n"/>
      <c r="B1724" s="37" t="n"/>
      <c r="C1724" s="37" t="n"/>
      <c r="D1724" s="39" t="str">
        <f>IF(C1724="","",IFERROR(INDEX(art_des,MATCH(C1724,art_ref,0))&amp;"","Référence inconnue"))</f>
        <v/>
      </c>
      <c r="E1724" s="37" t="n"/>
      <c r="F1724" s="39" t="str">
        <f>IF(C1724="","",IFERROR(INDEX(art_unit,MATCH(C1724,art_ref,0))&amp;"",""))</f>
        <v/>
      </c>
      <c r="G1724" s="37" t="n"/>
      <c r="H1724" s="37" t="n"/>
      <c r="I1724" s="37" t="n"/>
      <c r="J1724" s="40" t="str">
        <f>IF(OR(C1724="",NOT(ISNUMBER(E1724))),"",IFERROR(E1724*N(INDEX(art_price,MATCH(C1724,art_ref,0))),""))</f>
        <v/>
      </c>
      <c r="K1724" s="39" t="str">
        <f>IF(OR(C1724="",NOT(ISNUMBER(E1724))),"",IFERROR(ROUND(N(INDEX(art_init,MATCH(C1724,art_ref,0)))+SUMIFS($E$5:E1724,$C$5:C1724,C1724,$B$5:B1724,"Entrée")-SUMIFS($E$5:E1724,$C$5:C1724,C1724,$B$5:B1724,"Sortie"),6),""))</f>
        <v/>
      </c>
      <c r="L1724" s="39" t="str">
        <f>IF(COUNTA(A1724:C1724,E1724)=0,"",IF(COUNTA(A1724:C1724,E1724)&lt;4,"Ligne incomplète",IF(NOT(ISNUMBER(A1724)),"Date invalide",IF(AND(B1724&lt;&gt;"Entrée",B1724&lt;&gt;"Sortie"),"Type inconnu",IF(ISNA(MATCH(C1724,art_ref,0)),"Référence inconnue",IF(OR(NOT(ISNUMBER(E1724)),N(E1724)&lt;=0),"Quantité invalide",IF(K1724&lt;0,"Stock négatif",IF(AND(ISNUMBER(A1723),A1724&lt;A1723),"Date hors ordre","OK"))))))))</f>
        <v/>
      </c>
      <c r="M1724" s="39" t="str">
        <f>IF(C1724="","",C1724&amp;"#"&amp;COUNTIF($C$5:C1724,C1724))</f>
        <v/>
      </c>
    </row>
    <row r="1725">
      <c r="A1725" s="41" t="n"/>
      <c r="B1725" s="37" t="n"/>
      <c r="C1725" s="37" t="n"/>
      <c r="D1725" s="39" t="str">
        <f>IF(C1725="","",IFERROR(INDEX(art_des,MATCH(C1725,art_ref,0))&amp;"","Référence inconnue"))</f>
        <v/>
      </c>
      <c r="E1725" s="37" t="n"/>
      <c r="F1725" s="39" t="str">
        <f>IF(C1725="","",IFERROR(INDEX(art_unit,MATCH(C1725,art_ref,0))&amp;"",""))</f>
        <v/>
      </c>
      <c r="G1725" s="37" t="n"/>
      <c r="H1725" s="37" t="n"/>
      <c r="I1725" s="37" t="n"/>
      <c r="J1725" s="40" t="str">
        <f>IF(OR(C1725="",NOT(ISNUMBER(E1725))),"",IFERROR(E1725*N(INDEX(art_price,MATCH(C1725,art_ref,0))),""))</f>
        <v/>
      </c>
      <c r="K1725" s="39" t="str">
        <f>IF(OR(C1725="",NOT(ISNUMBER(E1725))),"",IFERROR(ROUND(N(INDEX(art_init,MATCH(C1725,art_ref,0)))+SUMIFS($E$5:E1725,$C$5:C1725,C1725,$B$5:B1725,"Entrée")-SUMIFS($E$5:E1725,$C$5:C1725,C1725,$B$5:B1725,"Sortie"),6),""))</f>
        <v/>
      </c>
      <c r="L1725" s="39" t="str">
        <f>IF(COUNTA(A1725:C1725,E1725)=0,"",IF(COUNTA(A1725:C1725,E1725)&lt;4,"Ligne incomplète",IF(NOT(ISNUMBER(A1725)),"Date invalide",IF(AND(B1725&lt;&gt;"Entrée",B1725&lt;&gt;"Sortie"),"Type inconnu",IF(ISNA(MATCH(C1725,art_ref,0)),"Référence inconnue",IF(OR(NOT(ISNUMBER(E1725)),N(E1725)&lt;=0),"Quantité invalide",IF(K1725&lt;0,"Stock négatif",IF(AND(ISNUMBER(A1724),A1725&lt;A1724),"Date hors ordre","OK"))))))))</f>
        <v/>
      </c>
      <c r="M1725" s="39" t="str">
        <f>IF(C1725="","",C1725&amp;"#"&amp;COUNTIF($C$5:C1725,C1725))</f>
        <v/>
      </c>
    </row>
    <row r="1726">
      <c r="A1726" s="41" t="n"/>
      <c r="B1726" s="37" t="n"/>
      <c r="C1726" s="37" t="n"/>
      <c r="D1726" s="39" t="str">
        <f>IF(C1726="","",IFERROR(INDEX(art_des,MATCH(C1726,art_ref,0))&amp;"","Référence inconnue"))</f>
        <v/>
      </c>
      <c r="E1726" s="37" t="n"/>
      <c r="F1726" s="39" t="str">
        <f>IF(C1726="","",IFERROR(INDEX(art_unit,MATCH(C1726,art_ref,0))&amp;"",""))</f>
        <v/>
      </c>
      <c r="G1726" s="37" t="n"/>
      <c r="H1726" s="37" t="n"/>
      <c r="I1726" s="37" t="n"/>
      <c r="J1726" s="40" t="str">
        <f>IF(OR(C1726="",NOT(ISNUMBER(E1726))),"",IFERROR(E1726*N(INDEX(art_price,MATCH(C1726,art_ref,0))),""))</f>
        <v/>
      </c>
      <c r="K1726" s="39" t="str">
        <f>IF(OR(C1726="",NOT(ISNUMBER(E1726))),"",IFERROR(ROUND(N(INDEX(art_init,MATCH(C1726,art_ref,0)))+SUMIFS($E$5:E1726,$C$5:C1726,C1726,$B$5:B1726,"Entrée")-SUMIFS($E$5:E1726,$C$5:C1726,C1726,$B$5:B1726,"Sortie"),6),""))</f>
        <v/>
      </c>
      <c r="L1726" s="39" t="str">
        <f>IF(COUNTA(A1726:C1726,E1726)=0,"",IF(COUNTA(A1726:C1726,E1726)&lt;4,"Ligne incomplète",IF(NOT(ISNUMBER(A1726)),"Date invalide",IF(AND(B1726&lt;&gt;"Entrée",B1726&lt;&gt;"Sortie"),"Type inconnu",IF(ISNA(MATCH(C1726,art_ref,0)),"Référence inconnue",IF(OR(NOT(ISNUMBER(E1726)),N(E1726)&lt;=0),"Quantité invalide",IF(K1726&lt;0,"Stock négatif",IF(AND(ISNUMBER(A1725),A1726&lt;A1725),"Date hors ordre","OK"))))))))</f>
        <v/>
      </c>
      <c r="M1726" s="39" t="str">
        <f>IF(C1726="","",C1726&amp;"#"&amp;COUNTIF($C$5:C1726,C1726))</f>
        <v/>
      </c>
    </row>
    <row r="1727">
      <c r="A1727" s="41" t="n"/>
      <c r="B1727" s="37" t="n"/>
      <c r="C1727" s="37" t="n"/>
      <c r="D1727" s="39" t="str">
        <f>IF(C1727="","",IFERROR(INDEX(art_des,MATCH(C1727,art_ref,0))&amp;"","Référence inconnue"))</f>
        <v/>
      </c>
      <c r="E1727" s="37" t="n"/>
      <c r="F1727" s="39" t="str">
        <f>IF(C1727="","",IFERROR(INDEX(art_unit,MATCH(C1727,art_ref,0))&amp;"",""))</f>
        <v/>
      </c>
      <c r="G1727" s="37" t="n"/>
      <c r="H1727" s="37" t="n"/>
      <c r="I1727" s="37" t="n"/>
      <c r="J1727" s="40" t="str">
        <f>IF(OR(C1727="",NOT(ISNUMBER(E1727))),"",IFERROR(E1727*N(INDEX(art_price,MATCH(C1727,art_ref,0))),""))</f>
        <v/>
      </c>
      <c r="K1727" s="39" t="str">
        <f>IF(OR(C1727="",NOT(ISNUMBER(E1727))),"",IFERROR(ROUND(N(INDEX(art_init,MATCH(C1727,art_ref,0)))+SUMIFS($E$5:E1727,$C$5:C1727,C1727,$B$5:B1727,"Entrée")-SUMIFS($E$5:E1727,$C$5:C1727,C1727,$B$5:B1727,"Sortie"),6),""))</f>
        <v/>
      </c>
      <c r="L1727" s="39" t="str">
        <f>IF(COUNTA(A1727:C1727,E1727)=0,"",IF(COUNTA(A1727:C1727,E1727)&lt;4,"Ligne incomplète",IF(NOT(ISNUMBER(A1727)),"Date invalide",IF(AND(B1727&lt;&gt;"Entrée",B1727&lt;&gt;"Sortie"),"Type inconnu",IF(ISNA(MATCH(C1727,art_ref,0)),"Référence inconnue",IF(OR(NOT(ISNUMBER(E1727)),N(E1727)&lt;=0),"Quantité invalide",IF(K1727&lt;0,"Stock négatif",IF(AND(ISNUMBER(A1726),A1727&lt;A1726),"Date hors ordre","OK"))))))))</f>
        <v/>
      </c>
      <c r="M1727" s="39" t="str">
        <f>IF(C1727="","",C1727&amp;"#"&amp;COUNTIF($C$5:C1727,C1727))</f>
        <v/>
      </c>
    </row>
    <row r="1728">
      <c r="A1728" s="41" t="n"/>
      <c r="B1728" s="37" t="n"/>
      <c r="C1728" s="37" t="n"/>
      <c r="D1728" s="39" t="str">
        <f>IF(C1728="","",IFERROR(INDEX(art_des,MATCH(C1728,art_ref,0))&amp;"","Référence inconnue"))</f>
        <v/>
      </c>
      <c r="E1728" s="37" t="n"/>
      <c r="F1728" s="39" t="str">
        <f>IF(C1728="","",IFERROR(INDEX(art_unit,MATCH(C1728,art_ref,0))&amp;"",""))</f>
        <v/>
      </c>
      <c r="G1728" s="37" t="n"/>
      <c r="H1728" s="37" t="n"/>
      <c r="I1728" s="37" t="n"/>
      <c r="J1728" s="40" t="str">
        <f>IF(OR(C1728="",NOT(ISNUMBER(E1728))),"",IFERROR(E1728*N(INDEX(art_price,MATCH(C1728,art_ref,0))),""))</f>
        <v/>
      </c>
      <c r="K1728" s="39" t="str">
        <f>IF(OR(C1728="",NOT(ISNUMBER(E1728))),"",IFERROR(ROUND(N(INDEX(art_init,MATCH(C1728,art_ref,0)))+SUMIFS($E$5:E1728,$C$5:C1728,C1728,$B$5:B1728,"Entrée")-SUMIFS($E$5:E1728,$C$5:C1728,C1728,$B$5:B1728,"Sortie"),6),""))</f>
        <v/>
      </c>
      <c r="L1728" s="39" t="str">
        <f>IF(COUNTA(A1728:C1728,E1728)=0,"",IF(COUNTA(A1728:C1728,E1728)&lt;4,"Ligne incomplète",IF(NOT(ISNUMBER(A1728)),"Date invalide",IF(AND(B1728&lt;&gt;"Entrée",B1728&lt;&gt;"Sortie"),"Type inconnu",IF(ISNA(MATCH(C1728,art_ref,0)),"Référence inconnue",IF(OR(NOT(ISNUMBER(E1728)),N(E1728)&lt;=0),"Quantité invalide",IF(K1728&lt;0,"Stock négatif",IF(AND(ISNUMBER(A1727),A1728&lt;A1727),"Date hors ordre","OK"))))))))</f>
        <v/>
      </c>
      <c r="M1728" s="39" t="str">
        <f>IF(C1728="","",C1728&amp;"#"&amp;COUNTIF($C$5:C1728,C1728))</f>
        <v/>
      </c>
    </row>
    <row r="1729">
      <c r="A1729" s="41" t="n"/>
      <c r="B1729" s="37" t="n"/>
      <c r="C1729" s="37" t="n"/>
      <c r="D1729" s="39" t="str">
        <f>IF(C1729="","",IFERROR(INDEX(art_des,MATCH(C1729,art_ref,0))&amp;"","Référence inconnue"))</f>
        <v/>
      </c>
      <c r="E1729" s="37" t="n"/>
      <c r="F1729" s="39" t="str">
        <f>IF(C1729="","",IFERROR(INDEX(art_unit,MATCH(C1729,art_ref,0))&amp;"",""))</f>
        <v/>
      </c>
      <c r="G1729" s="37" t="n"/>
      <c r="H1729" s="37" t="n"/>
      <c r="I1729" s="37" t="n"/>
      <c r="J1729" s="40" t="str">
        <f>IF(OR(C1729="",NOT(ISNUMBER(E1729))),"",IFERROR(E1729*N(INDEX(art_price,MATCH(C1729,art_ref,0))),""))</f>
        <v/>
      </c>
      <c r="K1729" s="39" t="str">
        <f>IF(OR(C1729="",NOT(ISNUMBER(E1729))),"",IFERROR(ROUND(N(INDEX(art_init,MATCH(C1729,art_ref,0)))+SUMIFS($E$5:E1729,$C$5:C1729,C1729,$B$5:B1729,"Entrée")-SUMIFS($E$5:E1729,$C$5:C1729,C1729,$B$5:B1729,"Sortie"),6),""))</f>
        <v/>
      </c>
      <c r="L1729" s="39" t="str">
        <f>IF(COUNTA(A1729:C1729,E1729)=0,"",IF(COUNTA(A1729:C1729,E1729)&lt;4,"Ligne incomplète",IF(NOT(ISNUMBER(A1729)),"Date invalide",IF(AND(B1729&lt;&gt;"Entrée",B1729&lt;&gt;"Sortie"),"Type inconnu",IF(ISNA(MATCH(C1729,art_ref,0)),"Référence inconnue",IF(OR(NOT(ISNUMBER(E1729)),N(E1729)&lt;=0),"Quantité invalide",IF(K1729&lt;0,"Stock négatif",IF(AND(ISNUMBER(A1728),A1729&lt;A1728),"Date hors ordre","OK"))))))))</f>
        <v/>
      </c>
      <c r="M1729" s="39" t="str">
        <f>IF(C1729="","",C1729&amp;"#"&amp;COUNTIF($C$5:C1729,C1729))</f>
        <v/>
      </c>
    </row>
    <row r="1730">
      <c r="A1730" s="41" t="n"/>
      <c r="B1730" s="37" t="n"/>
      <c r="C1730" s="37" t="n"/>
      <c r="D1730" s="39" t="str">
        <f>IF(C1730="","",IFERROR(INDEX(art_des,MATCH(C1730,art_ref,0))&amp;"","Référence inconnue"))</f>
        <v/>
      </c>
      <c r="E1730" s="37" t="n"/>
      <c r="F1730" s="39" t="str">
        <f>IF(C1730="","",IFERROR(INDEX(art_unit,MATCH(C1730,art_ref,0))&amp;"",""))</f>
        <v/>
      </c>
      <c r="G1730" s="37" t="n"/>
      <c r="H1730" s="37" t="n"/>
      <c r="I1730" s="37" t="n"/>
      <c r="J1730" s="40" t="str">
        <f>IF(OR(C1730="",NOT(ISNUMBER(E1730))),"",IFERROR(E1730*N(INDEX(art_price,MATCH(C1730,art_ref,0))),""))</f>
        <v/>
      </c>
      <c r="K1730" s="39" t="str">
        <f>IF(OR(C1730="",NOT(ISNUMBER(E1730))),"",IFERROR(ROUND(N(INDEX(art_init,MATCH(C1730,art_ref,0)))+SUMIFS($E$5:E1730,$C$5:C1730,C1730,$B$5:B1730,"Entrée")-SUMIFS($E$5:E1730,$C$5:C1730,C1730,$B$5:B1730,"Sortie"),6),""))</f>
        <v/>
      </c>
      <c r="L1730" s="39" t="str">
        <f>IF(COUNTA(A1730:C1730,E1730)=0,"",IF(COUNTA(A1730:C1730,E1730)&lt;4,"Ligne incomplète",IF(NOT(ISNUMBER(A1730)),"Date invalide",IF(AND(B1730&lt;&gt;"Entrée",B1730&lt;&gt;"Sortie"),"Type inconnu",IF(ISNA(MATCH(C1730,art_ref,0)),"Référence inconnue",IF(OR(NOT(ISNUMBER(E1730)),N(E1730)&lt;=0),"Quantité invalide",IF(K1730&lt;0,"Stock négatif",IF(AND(ISNUMBER(A1729),A1730&lt;A1729),"Date hors ordre","OK"))))))))</f>
        <v/>
      </c>
      <c r="M1730" s="39" t="str">
        <f>IF(C1730="","",C1730&amp;"#"&amp;COUNTIF($C$5:C1730,C1730))</f>
        <v/>
      </c>
    </row>
    <row r="1731">
      <c r="A1731" s="41" t="n"/>
      <c r="B1731" s="37" t="n"/>
      <c r="C1731" s="37" t="n"/>
      <c r="D1731" s="39" t="str">
        <f>IF(C1731="","",IFERROR(INDEX(art_des,MATCH(C1731,art_ref,0))&amp;"","Référence inconnue"))</f>
        <v/>
      </c>
      <c r="E1731" s="37" t="n"/>
      <c r="F1731" s="39" t="str">
        <f>IF(C1731="","",IFERROR(INDEX(art_unit,MATCH(C1731,art_ref,0))&amp;"",""))</f>
        <v/>
      </c>
      <c r="G1731" s="37" t="n"/>
      <c r="H1731" s="37" t="n"/>
      <c r="I1731" s="37" t="n"/>
      <c r="J1731" s="40" t="str">
        <f>IF(OR(C1731="",NOT(ISNUMBER(E1731))),"",IFERROR(E1731*N(INDEX(art_price,MATCH(C1731,art_ref,0))),""))</f>
        <v/>
      </c>
      <c r="K1731" s="39" t="str">
        <f>IF(OR(C1731="",NOT(ISNUMBER(E1731))),"",IFERROR(ROUND(N(INDEX(art_init,MATCH(C1731,art_ref,0)))+SUMIFS($E$5:E1731,$C$5:C1731,C1731,$B$5:B1731,"Entrée")-SUMIFS($E$5:E1731,$C$5:C1731,C1731,$B$5:B1731,"Sortie"),6),""))</f>
        <v/>
      </c>
      <c r="L1731" s="39" t="str">
        <f>IF(COUNTA(A1731:C1731,E1731)=0,"",IF(COUNTA(A1731:C1731,E1731)&lt;4,"Ligne incomplète",IF(NOT(ISNUMBER(A1731)),"Date invalide",IF(AND(B1731&lt;&gt;"Entrée",B1731&lt;&gt;"Sortie"),"Type inconnu",IF(ISNA(MATCH(C1731,art_ref,0)),"Référence inconnue",IF(OR(NOT(ISNUMBER(E1731)),N(E1731)&lt;=0),"Quantité invalide",IF(K1731&lt;0,"Stock négatif",IF(AND(ISNUMBER(A1730),A1731&lt;A1730),"Date hors ordre","OK"))))))))</f>
        <v/>
      </c>
      <c r="M1731" s="39" t="str">
        <f>IF(C1731="","",C1731&amp;"#"&amp;COUNTIF($C$5:C1731,C1731))</f>
        <v/>
      </c>
    </row>
    <row r="1732">
      <c r="A1732" s="41" t="n"/>
      <c r="B1732" s="37" t="n"/>
      <c r="C1732" s="37" t="n"/>
      <c r="D1732" s="39" t="str">
        <f>IF(C1732="","",IFERROR(INDEX(art_des,MATCH(C1732,art_ref,0))&amp;"","Référence inconnue"))</f>
        <v/>
      </c>
      <c r="E1732" s="37" t="n"/>
      <c r="F1732" s="39" t="str">
        <f>IF(C1732="","",IFERROR(INDEX(art_unit,MATCH(C1732,art_ref,0))&amp;"",""))</f>
        <v/>
      </c>
      <c r="G1732" s="37" t="n"/>
      <c r="H1732" s="37" t="n"/>
      <c r="I1732" s="37" t="n"/>
      <c r="J1732" s="40" t="str">
        <f>IF(OR(C1732="",NOT(ISNUMBER(E1732))),"",IFERROR(E1732*N(INDEX(art_price,MATCH(C1732,art_ref,0))),""))</f>
        <v/>
      </c>
      <c r="K1732" s="39" t="str">
        <f>IF(OR(C1732="",NOT(ISNUMBER(E1732))),"",IFERROR(ROUND(N(INDEX(art_init,MATCH(C1732,art_ref,0)))+SUMIFS($E$5:E1732,$C$5:C1732,C1732,$B$5:B1732,"Entrée")-SUMIFS($E$5:E1732,$C$5:C1732,C1732,$B$5:B1732,"Sortie"),6),""))</f>
        <v/>
      </c>
      <c r="L1732" s="39" t="str">
        <f>IF(COUNTA(A1732:C1732,E1732)=0,"",IF(COUNTA(A1732:C1732,E1732)&lt;4,"Ligne incomplète",IF(NOT(ISNUMBER(A1732)),"Date invalide",IF(AND(B1732&lt;&gt;"Entrée",B1732&lt;&gt;"Sortie"),"Type inconnu",IF(ISNA(MATCH(C1732,art_ref,0)),"Référence inconnue",IF(OR(NOT(ISNUMBER(E1732)),N(E1732)&lt;=0),"Quantité invalide",IF(K1732&lt;0,"Stock négatif",IF(AND(ISNUMBER(A1731),A1732&lt;A1731),"Date hors ordre","OK"))))))))</f>
        <v/>
      </c>
      <c r="M1732" s="39" t="str">
        <f>IF(C1732="","",C1732&amp;"#"&amp;COUNTIF($C$5:C1732,C1732))</f>
        <v/>
      </c>
    </row>
    <row r="1733">
      <c r="A1733" s="41" t="n"/>
      <c r="B1733" s="37" t="n"/>
      <c r="C1733" s="37" t="n"/>
      <c r="D1733" s="39" t="str">
        <f>IF(C1733="","",IFERROR(INDEX(art_des,MATCH(C1733,art_ref,0))&amp;"","Référence inconnue"))</f>
        <v/>
      </c>
      <c r="E1733" s="37" t="n"/>
      <c r="F1733" s="39" t="str">
        <f>IF(C1733="","",IFERROR(INDEX(art_unit,MATCH(C1733,art_ref,0))&amp;"",""))</f>
        <v/>
      </c>
      <c r="G1733" s="37" t="n"/>
      <c r="H1733" s="37" t="n"/>
      <c r="I1733" s="37" t="n"/>
      <c r="J1733" s="40" t="str">
        <f>IF(OR(C1733="",NOT(ISNUMBER(E1733))),"",IFERROR(E1733*N(INDEX(art_price,MATCH(C1733,art_ref,0))),""))</f>
        <v/>
      </c>
      <c r="K1733" s="39" t="str">
        <f>IF(OR(C1733="",NOT(ISNUMBER(E1733))),"",IFERROR(ROUND(N(INDEX(art_init,MATCH(C1733,art_ref,0)))+SUMIFS($E$5:E1733,$C$5:C1733,C1733,$B$5:B1733,"Entrée")-SUMIFS($E$5:E1733,$C$5:C1733,C1733,$B$5:B1733,"Sortie"),6),""))</f>
        <v/>
      </c>
      <c r="L1733" s="39" t="str">
        <f>IF(COUNTA(A1733:C1733,E1733)=0,"",IF(COUNTA(A1733:C1733,E1733)&lt;4,"Ligne incomplète",IF(NOT(ISNUMBER(A1733)),"Date invalide",IF(AND(B1733&lt;&gt;"Entrée",B1733&lt;&gt;"Sortie"),"Type inconnu",IF(ISNA(MATCH(C1733,art_ref,0)),"Référence inconnue",IF(OR(NOT(ISNUMBER(E1733)),N(E1733)&lt;=0),"Quantité invalide",IF(K1733&lt;0,"Stock négatif",IF(AND(ISNUMBER(A1732),A1733&lt;A1732),"Date hors ordre","OK"))))))))</f>
        <v/>
      </c>
      <c r="M1733" s="39" t="str">
        <f>IF(C1733="","",C1733&amp;"#"&amp;COUNTIF($C$5:C1733,C1733))</f>
        <v/>
      </c>
    </row>
    <row r="1734">
      <c r="A1734" s="41" t="n"/>
      <c r="B1734" s="37" t="n"/>
      <c r="C1734" s="37" t="n"/>
      <c r="D1734" s="39" t="str">
        <f>IF(C1734="","",IFERROR(INDEX(art_des,MATCH(C1734,art_ref,0))&amp;"","Référence inconnue"))</f>
        <v/>
      </c>
      <c r="E1734" s="37" t="n"/>
      <c r="F1734" s="39" t="str">
        <f>IF(C1734="","",IFERROR(INDEX(art_unit,MATCH(C1734,art_ref,0))&amp;"",""))</f>
        <v/>
      </c>
      <c r="G1734" s="37" t="n"/>
      <c r="H1734" s="37" t="n"/>
      <c r="I1734" s="37" t="n"/>
      <c r="J1734" s="40" t="str">
        <f>IF(OR(C1734="",NOT(ISNUMBER(E1734))),"",IFERROR(E1734*N(INDEX(art_price,MATCH(C1734,art_ref,0))),""))</f>
        <v/>
      </c>
      <c r="K1734" s="39" t="str">
        <f>IF(OR(C1734="",NOT(ISNUMBER(E1734))),"",IFERROR(ROUND(N(INDEX(art_init,MATCH(C1734,art_ref,0)))+SUMIFS($E$5:E1734,$C$5:C1734,C1734,$B$5:B1734,"Entrée")-SUMIFS($E$5:E1734,$C$5:C1734,C1734,$B$5:B1734,"Sortie"),6),""))</f>
        <v/>
      </c>
      <c r="L1734" s="39" t="str">
        <f>IF(COUNTA(A1734:C1734,E1734)=0,"",IF(COUNTA(A1734:C1734,E1734)&lt;4,"Ligne incomplète",IF(NOT(ISNUMBER(A1734)),"Date invalide",IF(AND(B1734&lt;&gt;"Entrée",B1734&lt;&gt;"Sortie"),"Type inconnu",IF(ISNA(MATCH(C1734,art_ref,0)),"Référence inconnue",IF(OR(NOT(ISNUMBER(E1734)),N(E1734)&lt;=0),"Quantité invalide",IF(K1734&lt;0,"Stock négatif",IF(AND(ISNUMBER(A1733),A1734&lt;A1733),"Date hors ordre","OK"))))))))</f>
        <v/>
      </c>
      <c r="M1734" s="39" t="str">
        <f>IF(C1734="","",C1734&amp;"#"&amp;COUNTIF($C$5:C1734,C1734))</f>
        <v/>
      </c>
    </row>
    <row r="1735">
      <c r="A1735" s="41" t="n"/>
      <c r="B1735" s="37" t="n"/>
      <c r="C1735" s="37" t="n"/>
      <c r="D1735" s="39" t="str">
        <f>IF(C1735="","",IFERROR(INDEX(art_des,MATCH(C1735,art_ref,0))&amp;"","Référence inconnue"))</f>
        <v/>
      </c>
      <c r="E1735" s="37" t="n"/>
      <c r="F1735" s="39" t="str">
        <f>IF(C1735="","",IFERROR(INDEX(art_unit,MATCH(C1735,art_ref,0))&amp;"",""))</f>
        <v/>
      </c>
      <c r="G1735" s="37" t="n"/>
      <c r="H1735" s="37" t="n"/>
      <c r="I1735" s="37" t="n"/>
      <c r="J1735" s="40" t="str">
        <f>IF(OR(C1735="",NOT(ISNUMBER(E1735))),"",IFERROR(E1735*N(INDEX(art_price,MATCH(C1735,art_ref,0))),""))</f>
        <v/>
      </c>
      <c r="K1735" s="39" t="str">
        <f>IF(OR(C1735="",NOT(ISNUMBER(E1735))),"",IFERROR(ROUND(N(INDEX(art_init,MATCH(C1735,art_ref,0)))+SUMIFS($E$5:E1735,$C$5:C1735,C1735,$B$5:B1735,"Entrée")-SUMIFS($E$5:E1735,$C$5:C1735,C1735,$B$5:B1735,"Sortie"),6),""))</f>
        <v/>
      </c>
      <c r="L1735" s="39" t="str">
        <f>IF(COUNTA(A1735:C1735,E1735)=0,"",IF(COUNTA(A1735:C1735,E1735)&lt;4,"Ligne incomplète",IF(NOT(ISNUMBER(A1735)),"Date invalide",IF(AND(B1735&lt;&gt;"Entrée",B1735&lt;&gt;"Sortie"),"Type inconnu",IF(ISNA(MATCH(C1735,art_ref,0)),"Référence inconnue",IF(OR(NOT(ISNUMBER(E1735)),N(E1735)&lt;=0),"Quantité invalide",IF(K1735&lt;0,"Stock négatif",IF(AND(ISNUMBER(A1734),A1735&lt;A1734),"Date hors ordre","OK"))))))))</f>
        <v/>
      </c>
      <c r="M1735" s="39" t="str">
        <f>IF(C1735="","",C1735&amp;"#"&amp;COUNTIF($C$5:C1735,C1735))</f>
        <v/>
      </c>
    </row>
    <row r="1736">
      <c r="A1736" s="41" t="n"/>
      <c r="B1736" s="37" t="n"/>
      <c r="C1736" s="37" t="n"/>
      <c r="D1736" s="39" t="str">
        <f>IF(C1736="","",IFERROR(INDEX(art_des,MATCH(C1736,art_ref,0))&amp;"","Référence inconnue"))</f>
        <v/>
      </c>
      <c r="E1736" s="37" t="n"/>
      <c r="F1736" s="39" t="str">
        <f>IF(C1736="","",IFERROR(INDEX(art_unit,MATCH(C1736,art_ref,0))&amp;"",""))</f>
        <v/>
      </c>
      <c r="G1736" s="37" t="n"/>
      <c r="H1736" s="37" t="n"/>
      <c r="I1736" s="37" t="n"/>
      <c r="J1736" s="40" t="str">
        <f>IF(OR(C1736="",NOT(ISNUMBER(E1736))),"",IFERROR(E1736*N(INDEX(art_price,MATCH(C1736,art_ref,0))),""))</f>
        <v/>
      </c>
      <c r="K1736" s="39" t="str">
        <f>IF(OR(C1736="",NOT(ISNUMBER(E1736))),"",IFERROR(ROUND(N(INDEX(art_init,MATCH(C1736,art_ref,0)))+SUMIFS($E$5:E1736,$C$5:C1736,C1736,$B$5:B1736,"Entrée")-SUMIFS($E$5:E1736,$C$5:C1736,C1736,$B$5:B1736,"Sortie"),6),""))</f>
        <v/>
      </c>
      <c r="L1736" s="39" t="str">
        <f>IF(COUNTA(A1736:C1736,E1736)=0,"",IF(COUNTA(A1736:C1736,E1736)&lt;4,"Ligne incomplète",IF(NOT(ISNUMBER(A1736)),"Date invalide",IF(AND(B1736&lt;&gt;"Entrée",B1736&lt;&gt;"Sortie"),"Type inconnu",IF(ISNA(MATCH(C1736,art_ref,0)),"Référence inconnue",IF(OR(NOT(ISNUMBER(E1736)),N(E1736)&lt;=0),"Quantité invalide",IF(K1736&lt;0,"Stock négatif",IF(AND(ISNUMBER(A1735),A1736&lt;A1735),"Date hors ordre","OK"))))))))</f>
        <v/>
      </c>
      <c r="M1736" s="39" t="str">
        <f>IF(C1736="","",C1736&amp;"#"&amp;COUNTIF($C$5:C1736,C1736))</f>
        <v/>
      </c>
    </row>
    <row r="1737">
      <c r="A1737" s="41" t="n"/>
      <c r="B1737" s="37" t="n"/>
      <c r="C1737" s="37" t="n"/>
      <c r="D1737" s="39" t="str">
        <f>IF(C1737="","",IFERROR(INDEX(art_des,MATCH(C1737,art_ref,0))&amp;"","Référence inconnue"))</f>
        <v/>
      </c>
      <c r="E1737" s="37" t="n"/>
      <c r="F1737" s="39" t="str">
        <f>IF(C1737="","",IFERROR(INDEX(art_unit,MATCH(C1737,art_ref,0))&amp;"",""))</f>
        <v/>
      </c>
      <c r="G1737" s="37" t="n"/>
      <c r="H1737" s="37" t="n"/>
      <c r="I1737" s="37" t="n"/>
      <c r="J1737" s="40" t="str">
        <f>IF(OR(C1737="",NOT(ISNUMBER(E1737))),"",IFERROR(E1737*N(INDEX(art_price,MATCH(C1737,art_ref,0))),""))</f>
        <v/>
      </c>
      <c r="K1737" s="39" t="str">
        <f>IF(OR(C1737="",NOT(ISNUMBER(E1737))),"",IFERROR(ROUND(N(INDEX(art_init,MATCH(C1737,art_ref,0)))+SUMIFS($E$5:E1737,$C$5:C1737,C1737,$B$5:B1737,"Entrée")-SUMIFS($E$5:E1737,$C$5:C1737,C1737,$B$5:B1737,"Sortie"),6),""))</f>
        <v/>
      </c>
      <c r="L1737" s="39" t="str">
        <f>IF(COUNTA(A1737:C1737,E1737)=0,"",IF(COUNTA(A1737:C1737,E1737)&lt;4,"Ligne incomplète",IF(NOT(ISNUMBER(A1737)),"Date invalide",IF(AND(B1737&lt;&gt;"Entrée",B1737&lt;&gt;"Sortie"),"Type inconnu",IF(ISNA(MATCH(C1737,art_ref,0)),"Référence inconnue",IF(OR(NOT(ISNUMBER(E1737)),N(E1737)&lt;=0),"Quantité invalide",IF(K1737&lt;0,"Stock négatif",IF(AND(ISNUMBER(A1736),A1737&lt;A1736),"Date hors ordre","OK"))))))))</f>
        <v/>
      </c>
      <c r="M1737" s="39" t="str">
        <f>IF(C1737="","",C1737&amp;"#"&amp;COUNTIF($C$5:C1737,C1737))</f>
        <v/>
      </c>
    </row>
    <row r="1738">
      <c r="A1738" s="41" t="n"/>
      <c r="B1738" s="37" t="n"/>
      <c r="C1738" s="37" t="n"/>
      <c r="D1738" s="39" t="str">
        <f>IF(C1738="","",IFERROR(INDEX(art_des,MATCH(C1738,art_ref,0))&amp;"","Référence inconnue"))</f>
        <v/>
      </c>
      <c r="E1738" s="37" t="n"/>
      <c r="F1738" s="39" t="str">
        <f>IF(C1738="","",IFERROR(INDEX(art_unit,MATCH(C1738,art_ref,0))&amp;"",""))</f>
        <v/>
      </c>
      <c r="G1738" s="37" t="n"/>
      <c r="H1738" s="37" t="n"/>
      <c r="I1738" s="37" t="n"/>
      <c r="J1738" s="40" t="str">
        <f>IF(OR(C1738="",NOT(ISNUMBER(E1738))),"",IFERROR(E1738*N(INDEX(art_price,MATCH(C1738,art_ref,0))),""))</f>
        <v/>
      </c>
      <c r="K1738" s="39" t="str">
        <f>IF(OR(C1738="",NOT(ISNUMBER(E1738))),"",IFERROR(ROUND(N(INDEX(art_init,MATCH(C1738,art_ref,0)))+SUMIFS($E$5:E1738,$C$5:C1738,C1738,$B$5:B1738,"Entrée")-SUMIFS($E$5:E1738,$C$5:C1738,C1738,$B$5:B1738,"Sortie"),6),""))</f>
        <v/>
      </c>
      <c r="L1738" s="39" t="str">
        <f>IF(COUNTA(A1738:C1738,E1738)=0,"",IF(COUNTA(A1738:C1738,E1738)&lt;4,"Ligne incomplète",IF(NOT(ISNUMBER(A1738)),"Date invalide",IF(AND(B1738&lt;&gt;"Entrée",B1738&lt;&gt;"Sortie"),"Type inconnu",IF(ISNA(MATCH(C1738,art_ref,0)),"Référence inconnue",IF(OR(NOT(ISNUMBER(E1738)),N(E1738)&lt;=0),"Quantité invalide",IF(K1738&lt;0,"Stock négatif",IF(AND(ISNUMBER(A1737),A1738&lt;A1737),"Date hors ordre","OK"))))))))</f>
        <v/>
      </c>
      <c r="M1738" s="39" t="str">
        <f>IF(C1738="","",C1738&amp;"#"&amp;COUNTIF($C$5:C1738,C1738))</f>
        <v/>
      </c>
    </row>
    <row r="1739">
      <c r="A1739" s="41" t="n"/>
      <c r="B1739" s="37" t="n"/>
      <c r="C1739" s="37" t="n"/>
      <c r="D1739" s="39" t="str">
        <f>IF(C1739="","",IFERROR(INDEX(art_des,MATCH(C1739,art_ref,0))&amp;"","Référence inconnue"))</f>
        <v/>
      </c>
      <c r="E1739" s="37" t="n"/>
      <c r="F1739" s="39" t="str">
        <f>IF(C1739="","",IFERROR(INDEX(art_unit,MATCH(C1739,art_ref,0))&amp;"",""))</f>
        <v/>
      </c>
      <c r="G1739" s="37" t="n"/>
      <c r="H1739" s="37" t="n"/>
      <c r="I1739" s="37" t="n"/>
      <c r="J1739" s="40" t="str">
        <f>IF(OR(C1739="",NOT(ISNUMBER(E1739))),"",IFERROR(E1739*N(INDEX(art_price,MATCH(C1739,art_ref,0))),""))</f>
        <v/>
      </c>
      <c r="K1739" s="39" t="str">
        <f>IF(OR(C1739="",NOT(ISNUMBER(E1739))),"",IFERROR(ROUND(N(INDEX(art_init,MATCH(C1739,art_ref,0)))+SUMIFS($E$5:E1739,$C$5:C1739,C1739,$B$5:B1739,"Entrée")-SUMIFS($E$5:E1739,$C$5:C1739,C1739,$B$5:B1739,"Sortie"),6),""))</f>
        <v/>
      </c>
      <c r="L1739" s="39" t="str">
        <f>IF(COUNTA(A1739:C1739,E1739)=0,"",IF(COUNTA(A1739:C1739,E1739)&lt;4,"Ligne incomplète",IF(NOT(ISNUMBER(A1739)),"Date invalide",IF(AND(B1739&lt;&gt;"Entrée",B1739&lt;&gt;"Sortie"),"Type inconnu",IF(ISNA(MATCH(C1739,art_ref,0)),"Référence inconnue",IF(OR(NOT(ISNUMBER(E1739)),N(E1739)&lt;=0),"Quantité invalide",IF(K1739&lt;0,"Stock négatif",IF(AND(ISNUMBER(A1738),A1739&lt;A1738),"Date hors ordre","OK"))))))))</f>
        <v/>
      </c>
      <c r="M1739" s="39" t="str">
        <f>IF(C1739="","",C1739&amp;"#"&amp;COUNTIF($C$5:C1739,C1739))</f>
        <v/>
      </c>
    </row>
    <row r="1740">
      <c r="A1740" s="41" t="n"/>
      <c r="B1740" s="37" t="n"/>
      <c r="C1740" s="37" t="n"/>
      <c r="D1740" s="39" t="str">
        <f>IF(C1740="","",IFERROR(INDEX(art_des,MATCH(C1740,art_ref,0))&amp;"","Référence inconnue"))</f>
        <v/>
      </c>
      <c r="E1740" s="37" t="n"/>
      <c r="F1740" s="39" t="str">
        <f>IF(C1740="","",IFERROR(INDEX(art_unit,MATCH(C1740,art_ref,0))&amp;"",""))</f>
        <v/>
      </c>
      <c r="G1740" s="37" t="n"/>
      <c r="H1740" s="37" t="n"/>
      <c r="I1740" s="37" t="n"/>
      <c r="J1740" s="40" t="str">
        <f>IF(OR(C1740="",NOT(ISNUMBER(E1740))),"",IFERROR(E1740*N(INDEX(art_price,MATCH(C1740,art_ref,0))),""))</f>
        <v/>
      </c>
      <c r="K1740" s="39" t="str">
        <f>IF(OR(C1740="",NOT(ISNUMBER(E1740))),"",IFERROR(ROUND(N(INDEX(art_init,MATCH(C1740,art_ref,0)))+SUMIFS($E$5:E1740,$C$5:C1740,C1740,$B$5:B1740,"Entrée")-SUMIFS($E$5:E1740,$C$5:C1740,C1740,$B$5:B1740,"Sortie"),6),""))</f>
        <v/>
      </c>
      <c r="L1740" s="39" t="str">
        <f>IF(COUNTA(A1740:C1740,E1740)=0,"",IF(COUNTA(A1740:C1740,E1740)&lt;4,"Ligne incomplète",IF(NOT(ISNUMBER(A1740)),"Date invalide",IF(AND(B1740&lt;&gt;"Entrée",B1740&lt;&gt;"Sortie"),"Type inconnu",IF(ISNA(MATCH(C1740,art_ref,0)),"Référence inconnue",IF(OR(NOT(ISNUMBER(E1740)),N(E1740)&lt;=0),"Quantité invalide",IF(K1740&lt;0,"Stock négatif",IF(AND(ISNUMBER(A1739),A1740&lt;A1739),"Date hors ordre","OK"))))))))</f>
        <v/>
      </c>
      <c r="M1740" s="39" t="str">
        <f>IF(C1740="","",C1740&amp;"#"&amp;COUNTIF($C$5:C1740,C1740))</f>
        <v/>
      </c>
    </row>
    <row r="1741">
      <c r="A1741" s="41" t="n"/>
      <c r="B1741" s="37" t="n"/>
      <c r="C1741" s="37" t="n"/>
      <c r="D1741" s="39" t="str">
        <f>IF(C1741="","",IFERROR(INDEX(art_des,MATCH(C1741,art_ref,0))&amp;"","Référence inconnue"))</f>
        <v/>
      </c>
      <c r="E1741" s="37" t="n"/>
      <c r="F1741" s="39" t="str">
        <f>IF(C1741="","",IFERROR(INDEX(art_unit,MATCH(C1741,art_ref,0))&amp;"",""))</f>
        <v/>
      </c>
      <c r="G1741" s="37" t="n"/>
      <c r="H1741" s="37" t="n"/>
      <c r="I1741" s="37" t="n"/>
      <c r="J1741" s="40" t="str">
        <f>IF(OR(C1741="",NOT(ISNUMBER(E1741))),"",IFERROR(E1741*N(INDEX(art_price,MATCH(C1741,art_ref,0))),""))</f>
        <v/>
      </c>
      <c r="K1741" s="39" t="str">
        <f>IF(OR(C1741="",NOT(ISNUMBER(E1741))),"",IFERROR(ROUND(N(INDEX(art_init,MATCH(C1741,art_ref,0)))+SUMIFS($E$5:E1741,$C$5:C1741,C1741,$B$5:B1741,"Entrée")-SUMIFS($E$5:E1741,$C$5:C1741,C1741,$B$5:B1741,"Sortie"),6),""))</f>
        <v/>
      </c>
      <c r="L1741" s="39" t="str">
        <f>IF(COUNTA(A1741:C1741,E1741)=0,"",IF(COUNTA(A1741:C1741,E1741)&lt;4,"Ligne incomplète",IF(NOT(ISNUMBER(A1741)),"Date invalide",IF(AND(B1741&lt;&gt;"Entrée",B1741&lt;&gt;"Sortie"),"Type inconnu",IF(ISNA(MATCH(C1741,art_ref,0)),"Référence inconnue",IF(OR(NOT(ISNUMBER(E1741)),N(E1741)&lt;=0),"Quantité invalide",IF(K1741&lt;0,"Stock négatif",IF(AND(ISNUMBER(A1740),A1741&lt;A1740),"Date hors ordre","OK"))))))))</f>
        <v/>
      </c>
      <c r="M1741" s="39" t="str">
        <f>IF(C1741="","",C1741&amp;"#"&amp;COUNTIF($C$5:C1741,C1741))</f>
        <v/>
      </c>
    </row>
    <row r="1742">
      <c r="A1742" s="41" t="n"/>
      <c r="B1742" s="37" t="n"/>
      <c r="C1742" s="37" t="n"/>
      <c r="D1742" s="39" t="str">
        <f>IF(C1742="","",IFERROR(INDEX(art_des,MATCH(C1742,art_ref,0))&amp;"","Référence inconnue"))</f>
        <v/>
      </c>
      <c r="E1742" s="37" t="n"/>
      <c r="F1742" s="39" t="str">
        <f>IF(C1742="","",IFERROR(INDEX(art_unit,MATCH(C1742,art_ref,0))&amp;"",""))</f>
        <v/>
      </c>
      <c r="G1742" s="37" t="n"/>
      <c r="H1742" s="37" t="n"/>
      <c r="I1742" s="37" t="n"/>
      <c r="J1742" s="40" t="str">
        <f>IF(OR(C1742="",NOT(ISNUMBER(E1742))),"",IFERROR(E1742*N(INDEX(art_price,MATCH(C1742,art_ref,0))),""))</f>
        <v/>
      </c>
      <c r="K1742" s="39" t="str">
        <f>IF(OR(C1742="",NOT(ISNUMBER(E1742))),"",IFERROR(ROUND(N(INDEX(art_init,MATCH(C1742,art_ref,0)))+SUMIFS($E$5:E1742,$C$5:C1742,C1742,$B$5:B1742,"Entrée")-SUMIFS($E$5:E1742,$C$5:C1742,C1742,$B$5:B1742,"Sortie"),6),""))</f>
        <v/>
      </c>
      <c r="L1742" s="39" t="str">
        <f>IF(COUNTA(A1742:C1742,E1742)=0,"",IF(COUNTA(A1742:C1742,E1742)&lt;4,"Ligne incomplète",IF(NOT(ISNUMBER(A1742)),"Date invalide",IF(AND(B1742&lt;&gt;"Entrée",B1742&lt;&gt;"Sortie"),"Type inconnu",IF(ISNA(MATCH(C1742,art_ref,0)),"Référence inconnue",IF(OR(NOT(ISNUMBER(E1742)),N(E1742)&lt;=0),"Quantité invalide",IF(K1742&lt;0,"Stock négatif",IF(AND(ISNUMBER(A1741),A1742&lt;A1741),"Date hors ordre","OK"))))))))</f>
        <v/>
      </c>
      <c r="M1742" s="39" t="str">
        <f>IF(C1742="","",C1742&amp;"#"&amp;COUNTIF($C$5:C1742,C1742))</f>
        <v/>
      </c>
    </row>
    <row r="1743">
      <c r="A1743" s="41" t="n"/>
      <c r="B1743" s="37" t="n"/>
      <c r="C1743" s="37" t="n"/>
      <c r="D1743" s="39" t="str">
        <f>IF(C1743="","",IFERROR(INDEX(art_des,MATCH(C1743,art_ref,0))&amp;"","Référence inconnue"))</f>
        <v/>
      </c>
      <c r="E1743" s="37" t="n"/>
      <c r="F1743" s="39" t="str">
        <f>IF(C1743="","",IFERROR(INDEX(art_unit,MATCH(C1743,art_ref,0))&amp;"",""))</f>
        <v/>
      </c>
      <c r="G1743" s="37" t="n"/>
      <c r="H1743" s="37" t="n"/>
      <c r="I1743" s="37" t="n"/>
      <c r="J1743" s="40" t="str">
        <f>IF(OR(C1743="",NOT(ISNUMBER(E1743))),"",IFERROR(E1743*N(INDEX(art_price,MATCH(C1743,art_ref,0))),""))</f>
        <v/>
      </c>
      <c r="K1743" s="39" t="str">
        <f>IF(OR(C1743="",NOT(ISNUMBER(E1743))),"",IFERROR(ROUND(N(INDEX(art_init,MATCH(C1743,art_ref,0)))+SUMIFS($E$5:E1743,$C$5:C1743,C1743,$B$5:B1743,"Entrée")-SUMIFS($E$5:E1743,$C$5:C1743,C1743,$B$5:B1743,"Sortie"),6),""))</f>
        <v/>
      </c>
      <c r="L1743" s="39" t="str">
        <f>IF(COUNTA(A1743:C1743,E1743)=0,"",IF(COUNTA(A1743:C1743,E1743)&lt;4,"Ligne incomplète",IF(NOT(ISNUMBER(A1743)),"Date invalide",IF(AND(B1743&lt;&gt;"Entrée",B1743&lt;&gt;"Sortie"),"Type inconnu",IF(ISNA(MATCH(C1743,art_ref,0)),"Référence inconnue",IF(OR(NOT(ISNUMBER(E1743)),N(E1743)&lt;=0),"Quantité invalide",IF(K1743&lt;0,"Stock négatif",IF(AND(ISNUMBER(A1742),A1743&lt;A1742),"Date hors ordre","OK"))))))))</f>
        <v/>
      </c>
      <c r="M1743" s="39" t="str">
        <f>IF(C1743="","",C1743&amp;"#"&amp;COUNTIF($C$5:C1743,C1743))</f>
        <v/>
      </c>
    </row>
    <row r="1744">
      <c r="A1744" s="41" t="n"/>
      <c r="B1744" s="37" t="n"/>
      <c r="C1744" s="37" t="n"/>
      <c r="D1744" s="39" t="str">
        <f>IF(C1744="","",IFERROR(INDEX(art_des,MATCH(C1744,art_ref,0))&amp;"","Référence inconnue"))</f>
        <v/>
      </c>
      <c r="E1744" s="37" t="n"/>
      <c r="F1744" s="39" t="str">
        <f>IF(C1744="","",IFERROR(INDEX(art_unit,MATCH(C1744,art_ref,0))&amp;"",""))</f>
        <v/>
      </c>
      <c r="G1744" s="37" t="n"/>
      <c r="H1744" s="37" t="n"/>
      <c r="I1744" s="37" t="n"/>
      <c r="J1744" s="40" t="str">
        <f>IF(OR(C1744="",NOT(ISNUMBER(E1744))),"",IFERROR(E1744*N(INDEX(art_price,MATCH(C1744,art_ref,0))),""))</f>
        <v/>
      </c>
      <c r="K1744" s="39" t="str">
        <f>IF(OR(C1744="",NOT(ISNUMBER(E1744))),"",IFERROR(ROUND(N(INDEX(art_init,MATCH(C1744,art_ref,0)))+SUMIFS($E$5:E1744,$C$5:C1744,C1744,$B$5:B1744,"Entrée")-SUMIFS($E$5:E1744,$C$5:C1744,C1744,$B$5:B1744,"Sortie"),6),""))</f>
        <v/>
      </c>
      <c r="L1744" s="39" t="str">
        <f>IF(COUNTA(A1744:C1744,E1744)=0,"",IF(COUNTA(A1744:C1744,E1744)&lt;4,"Ligne incomplète",IF(NOT(ISNUMBER(A1744)),"Date invalide",IF(AND(B1744&lt;&gt;"Entrée",B1744&lt;&gt;"Sortie"),"Type inconnu",IF(ISNA(MATCH(C1744,art_ref,0)),"Référence inconnue",IF(OR(NOT(ISNUMBER(E1744)),N(E1744)&lt;=0),"Quantité invalide",IF(K1744&lt;0,"Stock négatif",IF(AND(ISNUMBER(A1743),A1744&lt;A1743),"Date hors ordre","OK"))))))))</f>
        <v/>
      </c>
      <c r="M1744" s="39" t="str">
        <f>IF(C1744="","",C1744&amp;"#"&amp;COUNTIF($C$5:C1744,C1744))</f>
        <v/>
      </c>
    </row>
    <row r="1745">
      <c r="A1745" s="41" t="n"/>
      <c r="B1745" s="37" t="n"/>
      <c r="C1745" s="37" t="n"/>
      <c r="D1745" s="39" t="str">
        <f>IF(C1745="","",IFERROR(INDEX(art_des,MATCH(C1745,art_ref,0))&amp;"","Référence inconnue"))</f>
        <v/>
      </c>
      <c r="E1745" s="37" t="n"/>
      <c r="F1745" s="39" t="str">
        <f>IF(C1745="","",IFERROR(INDEX(art_unit,MATCH(C1745,art_ref,0))&amp;"",""))</f>
        <v/>
      </c>
      <c r="G1745" s="37" t="n"/>
      <c r="H1745" s="37" t="n"/>
      <c r="I1745" s="37" t="n"/>
      <c r="J1745" s="40" t="str">
        <f>IF(OR(C1745="",NOT(ISNUMBER(E1745))),"",IFERROR(E1745*N(INDEX(art_price,MATCH(C1745,art_ref,0))),""))</f>
        <v/>
      </c>
      <c r="K1745" s="39" t="str">
        <f>IF(OR(C1745="",NOT(ISNUMBER(E1745))),"",IFERROR(ROUND(N(INDEX(art_init,MATCH(C1745,art_ref,0)))+SUMIFS($E$5:E1745,$C$5:C1745,C1745,$B$5:B1745,"Entrée")-SUMIFS($E$5:E1745,$C$5:C1745,C1745,$B$5:B1745,"Sortie"),6),""))</f>
        <v/>
      </c>
      <c r="L1745" s="39" t="str">
        <f>IF(COUNTA(A1745:C1745,E1745)=0,"",IF(COUNTA(A1745:C1745,E1745)&lt;4,"Ligne incomplète",IF(NOT(ISNUMBER(A1745)),"Date invalide",IF(AND(B1745&lt;&gt;"Entrée",B1745&lt;&gt;"Sortie"),"Type inconnu",IF(ISNA(MATCH(C1745,art_ref,0)),"Référence inconnue",IF(OR(NOT(ISNUMBER(E1745)),N(E1745)&lt;=0),"Quantité invalide",IF(K1745&lt;0,"Stock négatif",IF(AND(ISNUMBER(A1744),A1745&lt;A1744),"Date hors ordre","OK"))))))))</f>
        <v/>
      </c>
      <c r="M1745" s="39" t="str">
        <f>IF(C1745="","",C1745&amp;"#"&amp;COUNTIF($C$5:C1745,C1745))</f>
        <v/>
      </c>
    </row>
    <row r="1746">
      <c r="A1746" s="41" t="n"/>
      <c r="B1746" s="37" t="n"/>
      <c r="C1746" s="37" t="n"/>
      <c r="D1746" s="39" t="str">
        <f>IF(C1746="","",IFERROR(INDEX(art_des,MATCH(C1746,art_ref,0))&amp;"","Référence inconnue"))</f>
        <v/>
      </c>
      <c r="E1746" s="37" t="n"/>
      <c r="F1746" s="39" t="str">
        <f>IF(C1746="","",IFERROR(INDEX(art_unit,MATCH(C1746,art_ref,0))&amp;"",""))</f>
        <v/>
      </c>
      <c r="G1746" s="37" t="n"/>
      <c r="H1746" s="37" t="n"/>
      <c r="I1746" s="37" t="n"/>
      <c r="J1746" s="40" t="str">
        <f>IF(OR(C1746="",NOT(ISNUMBER(E1746))),"",IFERROR(E1746*N(INDEX(art_price,MATCH(C1746,art_ref,0))),""))</f>
        <v/>
      </c>
      <c r="K1746" s="39" t="str">
        <f>IF(OR(C1746="",NOT(ISNUMBER(E1746))),"",IFERROR(ROUND(N(INDEX(art_init,MATCH(C1746,art_ref,0)))+SUMIFS($E$5:E1746,$C$5:C1746,C1746,$B$5:B1746,"Entrée")-SUMIFS($E$5:E1746,$C$5:C1746,C1746,$B$5:B1746,"Sortie"),6),""))</f>
        <v/>
      </c>
      <c r="L1746" s="39" t="str">
        <f>IF(COUNTA(A1746:C1746,E1746)=0,"",IF(COUNTA(A1746:C1746,E1746)&lt;4,"Ligne incomplète",IF(NOT(ISNUMBER(A1746)),"Date invalide",IF(AND(B1746&lt;&gt;"Entrée",B1746&lt;&gt;"Sortie"),"Type inconnu",IF(ISNA(MATCH(C1746,art_ref,0)),"Référence inconnue",IF(OR(NOT(ISNUMBER(E1746)),N(E1746)&lt;=0),"Quantité invalide",IF(K1746&lt;0,"Stock négatif",IF(AND(ISNUMBER(A1745),A1746&lt;A1745),"Date hors ordre","OK"))))))))</f>
        <v/>
      </c>
      <c r="M1746" s="39" t="str">
        <f>IF(C1746="","",C1746&amp;"#"&amp;COUNTIF($C$5:C1746,C1746))</f>
        <v/>
      </c>
    </row>
    <row r="1747">
      <c r="A1747" s="41" t="n"/>
      <c r="B1747" s="37" t="n"/>
      <c r="C1747" s="37" t="n"/>
      <c r="D1747" s="39" t="str">
        <f>IF(C1747="","",IFERROR(INDEX(art_des,MATCH(C1747,art_ref,0))&amp;"","Référence inconnue"))</f>
        <v/>
      </c>
      <c r="E1747" s="37" t="n"/>
      <c r="F1747" s="39" t="str">
        <f>IF(C1747="","",IFERROR(INDEX(art_unit,MATCH(C1747,art_ref,0))&amp;"",""))</f>
        <v/>
      </c>
      <c r="G1747" s="37" t="n"/>
      <c r="H1747" s="37" t="n"/>
      <c r="I1747" s="37" t="n"/>
      <c r="J1747" s="40" t="str">
        <f>IF(OR(C1747="",NOT(ISNUMBER(E1747))),"",IFERROR(E1747*N(INDEX(art_price,MATCH(C1747,art_ref,0))),""))</f>
        <v/>
      </c>
      <c r="K1747" s="39" t="str">
        <f>IF(OR(C1747="",NOT(ISNUMBER(E1747))),"",IFERROR(ROUND(N(INDEX(art_init,MATCH(C1747,art_ref,0)))+SUMIFS($E$5:E1747,$C$5:C1747,C1747,$B$5:B1747,"Entrée")-SUMIFS($E$5:E1747,$C$5:C1747,C1747,$B$5:B1747,"Sortie"),6),""))</f>
        <v/>
      </c>
      <c r="L1747" s="39" t="str">
        <f>IF(COUNTA(A1747:C1747,E1747)=0,"",IF(COUNTA(A1747:C1747,E1747)&lt;4,"Ligne incomplète",IF(NOT(ISNUMBER(A1747)),"Date invalide",IF(AND(B1747&lt;&gt;"Entrée",B1747&lt;&gt;"Sortie"),"Type inconnu",IF(ISNA(MATCH(C1747,art_ref,0)),"Référence inconnue",IF(OR(NOT(ISNUMBER(E1747)),N(E1747)&lt;=0),"Quantité invalide",IF(K1747&lt;0,"Stock négatif",IF(AND(ISNUMBER(A1746),A1747&lt;A1746),"Date hors ordre","OK"))))))))</f>
        <v/>
      </c>
      <c r="M1747" s="39" t="str">
        <f>IF(C1747="","",C1747&amp;"#"&amp;COUNTIF($C$5:C1747,C1747))</f>
        <v/>
      </c>
    </row>
    <row r="1748">
      <c r="A1748" s="41" t="n"/>
      <c r="B1748" s="37" t="n"/>
      <c r="C1748" s="37" t="n"/>
      <c r="D1748" s="39" t="str">
        <f>IF(C1748="","",IFERROR(INDEX(art_des,MATCH(C1748,art_ref,0))&amp;"","Référence inconnue"))</f>
        <v/>
      </c>
      <c r="E1748" s="37" t="n"/>
      <c r="F1748" s="39" t="str">
        <f>IF(C1748="","",IFERROR(INDEX(art_unit,MATCH(C1748,art_ref,0))&amp;"",""))</f>
        <v/>
      </c>
      <c r="G1748" s="37" t="n"/>
      <c r="H1748" s="37" t="n"/>
      <c r="I1748" s="37" t="n"/>
      <c r="J1748" s="40" t="str">
        <f>IF(OR(C1748="",NOT(ISNUMBER(E1748))),"",IFERROR(E1748*N(INDEX(art_price,MATCH(C1748,art_ref,0))),""))</f>
        <v/>
      </c>
      <c r="K1748" s="39" t="str">
        <f>IF(OR(C1748="",NOT(ISNUMBER(E1748))),"",IFERROR(ROUND(N(INDEX(art_init,MATCH(C1748,art_ref,0)))+SUMIFS($E$5:E1748,$C$5:C1748,C1748,$B$5:B1748,"Entrée")-SUMIFS($E$5:E1748,$C$5:C1748,C1748,$B$5:B1748,"Sortie"),6),""))</f>
        <v/>
      </c>
      <c r="L1748" s="39" t="str">
        <f>IF(COUNTA(A1748:C1748,E1748)=0,"",IF(COUNTA(A1748:C1748,E1748)&lt;4,"Ligne incomplète",IF(NOT(ISNUMBER(A1748)),"Date invalide",IF(AND(B1748&lt;&gt;"Entrée",B1748&lt;&gt;"Sortie"),"Type inconnu",IF(ISNA(MATCH(C1748,art_ref,0)),"Référence inconnue",IF(OR(NOT(ISNUMBER(E1748)),N(E1748)&lt;=0),"Quantité invalide",IF(K1748&lt;0,"Stock négatif",IF(AND(ISNUMBER(A1747),A1748&lt;A1747),"Date hors ordre","OK"))))))))</f>
        <v/>
      </c>
      <c r="M1748" s="39" t="str">
        <f>IF(C1748="","",C1748&amp;"#"&amp;COUNTIF($C$5:C1748,C1748))</f>
        <v/>
      </c>
    </row>
    <row r="1749">
      <c r="A1749" s="41" t="n"/>
      <c r="B1749" s="37" t="n"/>
      <c r="C1749" s="37" t="n"/>
      <c r="D1749" s="39" t="str">
        <f>IF(C1749="","",IFERROR(INDEX(art_des,MATCH(C1749,art_ref,0))&amp;"","Référence inconnue"))</f>
        <v/>
      </c>
      <c r="E1749" s="37" t="n"/>
      <c r="F1749" s="39" t="str">
        <f>IF(C1749="","",IFERROR(INDEX(art_unit,MATCH(C1749,art_ref,0))&amp;"",""))</f>
        <v/>
      </c>
      <c r="G1749" s="37" t="n"/>
      <c r="H1749" s="37" t="n"/>
      <c r="I1749" s="37" t="n"/>
      <c r="J1749" s="40" t="str">
        <f>IF(OR(C1749="",NOT(ISNUMBER(E1749))),"",IFERROR(E1749*N(INDEX(art_price,MATCH(C1749,art_ref,0))),""))</f>
        <v/>
      </c>
      <c r="K1749" s="39" t="str">
        <f>IF(OR(C1749="",NOT(ISNUMBER(E1749))),"",IFERROR(ROUND(N(INDEX(art_init,MATCH(C1749,art_ref,0)))+SUMIFS($E$5:E1749,$C$5:C1749,C1749,$B$5:B1749,"Entrée")-SUMIFS($E$5:E1749,$C$5:C1749,C1749,$B$5:B1749,"Sortie"),6),""))</f>
        <v/>
      </c>
      <c r="L1749" s="39" t="str">
        <f>IF(COUNTA(A1749:C1749,E1749)=0,"",IF(COUNTA(A1749:C1749,E1749)&lt;4,"Ligne incomplète",IF(NOT(ISNUMBER(A1749)),"Date invalide",IF(AND(B1749&lt;&gt;"Entrée",B1749&lt;&gt;"Sortie"),"Type inconnu",IF(ISNA(MATCH(C1749,art_ref,0)),"Référence inconnue",IF(OR(NOT(ISNUMBER(E1749)),N(E1749)&lt;=0),"Quantité invalide",IF(K1749&lt;0,"Stock négatif",IF(AND(ISNUMBER(A1748),A1749&lt;A1748),"Date hors ordre","OK"))))))))</f>
        <v/>
      </c>
      <c r="M1749" s="39" t="str">
        <f>IF(C1749="","",C1749&amp;"#"&amp;COUNTIF($C$5:C1749,C1749))</f>
        <v/>
      </c>
    </row>
    <row r="1750">
      <c r="A1750" s="41" t="n"/>
      <c r="B1750" s="37" t="n"/>
      <c r="C1750" s="37" t="n"/>
      <c r="D1750" s="39" t="str">
        <f>IF(C1750="","",IFERROR(INDEX(art_des,MATCH(C1750,art_ref,0))&amp;"","Référence inconnue"))</f>
        <v/>
      </c>
      <c r="E1750" s="37" t="n"/>
      <c r="F1750" s="39" t="str">
        <f>IF(C1750="","",IFERROR(INDEX(art_unit,MATCH(C1750,art_ref,0))&amp;"",""))</f>
        <v/>
      </c>
      <c r="G1750" s="37" t="n"/>
      <c r="H1750" s="37" t="n"/>
      <c r="I1750" s="37" t="n"/>
      <c r="J1750" s="40" t="str">
        <f>IF(OR(C1750="",NOT(ISNUMBER(E1750))),"",IFERROR(E1750*N(INDEX(art_price,MATCH(C1750,art_ref,0))),""))</f>
        <v/>
      </c>
      <c r="K1750" s="39" t="str">
        <f>IF(OR(C1750="",NOT(ISNUMBER(E1750))),"",IFERROR(ROUND(N(INDEX(art_init,MATCH(C1750,art_ref,0)))+SUMIFS($E$5:E1750,$C$5:C1750,C1750,$B$5:B1750,"Entrée")-SUMIFS($E$5:E1750,$C$5:C1750,C1750,$B$5:B1750,"Sortie"),6),""))</f>
        <v/>
      </c>
      <c r="L1750" s="39" t="str">
        <f>IF(COUNTA(A1750:C1750,E1750)=0,"",IF(COUNTA(A1750:C1750,E1750)&lt;4,"Ligne incomplète",IF(NOT(ISNUMBER(A1750)),"Date invalide",IF(AND(B1750&lt;&gt;"Entrée",B1750&lt;&gt;"Sortie"),"Type inconnu",IF(ISNA(MATCH(C1750,art_ref,0)),"Référence inconnue",IF(OR(NOT(ISNUMBER(E1750)),N(E1750)&lt;=0),"Quantité invalide",IF(K1750&lt;0,"Stock négatif",IF(AND(ISNUMBER(A1749),A1750&lt;A1749),"Date hors ordre","OK"))))))))</f>
        <v/>
      </c>
      <c r="M1750" s="39" t="str">
        <f>IF(C1750="","",C1750&amp;"#"&amp;COUNTIF($C$5:C1750,C1750))</f>
        <v/>
      </c>
    </row>
    <row r="1751">
      <c r="A1751" s="41" t="n"/>
      <c r="B1751" s="37" t="n"/>
      <c r="C1751" s="37" t="n"/>
      <c r="D1751" s="39" t="str">
        <f>IF(C1751="","",IFERROR(INDEX(art_des,MATCH(C1751,art_ref,0))&amp;"","Référence inconnue"))</f>
        <v/>
      </c>
      <c r="E1751" s="37" t="n"/>
      <c r="F1751" s="39" t="str">
        <f>IF(C1751="","",IFERROR(INDEX(art_unit,MATCH(C1751,art_ref,0))&amp;"",""))</f>
        <v/>
      </c>
      <c r="G1751" s="37" t="n"/>
      <c r="H1751" s="37" t="n"/>
      <c r="I1751" s="37" t="n"/>
      <c r="J1751" s="40" t="str">
        <f>IF(OR(C1751="",NOT(ISNUMBER(E1751))),"",IFERROR(E1751*N(INDEX(art_price,MATCH(C1751,art_ref,0))),""))</f>
        <v/>
      </c>
      <c r="K1751" s="39" t="str">
        <f>IF(OR(C1751="",NOT(ISNUMBER(E1751))),"",IFERROR(ROUND(N(INDEX(art_init,MATCH(C1751,art_ref,0)))+SUMIFS($E$5:E1751,$C$5:C1751,C1751,$B$5:B1751,"Entrée")-SUMIFS($E$5:E1751,$C$5:C1751,C1751,$B$5:B1751,"Sortie"),6),""))</f>
        <v/>
      </c>
      <c r="L1751" s="39" t="str">
        <f>IF(COUNTA(A1751:C1751,E1751)=0,"",IF(COUNTA(A1751:C1751,E1751)&lt;4,"Ligne incomplète",IF(NOT(ISNUMBER(A1751)),"Date invalide",IF(AND(B1751&lt;&gt;"Entrée",B1751&lt;&gt;"Sortie"),"Type inconnu",IF(ISNA(MATCH(C1751,art_ref,0)),"Référence inconnue",IF(OR(NOT(ISNUMBER(E1751)),N(E1751)&lt;=0),"Quantité invalide",IF(K1751&lt;0,"Stock négatif",IF(AND(ISNUMBER(A1750),A1751&lt;A1750),"Date hors ordre","OK"))))))))</f>
        <v/>
      </c>
      <c r="M1751" s="39" t="str">
        <f>IF(C1751="","",C1751&amp;"#"&amp;COUNTIF($C$5:C1751,C1751))</f>
        <v/>
      </c>
    </row>
    <row r="1752">
      <c r="A1752" s="41" t="n"/>
      <c r="B1752" s="37" t="n"/>
      <c r="C1752" s="37" t="n"/>
      <c r="D1752" s="39" t="str">
        <f>IF(C1752="","",IFERROR(INDEX(art_des,MATCH(C1752,art_ref,0))&amp;"","Référence inconnue"))</f>
        <v/>
      </c>
      <c r="E1752" s="37" t="n"/>
      <c r="F1752" s="39" t="str">
        <f>IF(C1752="","",IFERROR(INDEX(art_unit,MATCH(C1752,art_ref,0))&amp;"",""))</f>
        <v/>
      </c>
      <c r="G1752" s="37" t="n"/>
      <c r="H1752" s="37" t="n"/>
      <c r="I1752" s="37" t="n"/>
      <c r="J1752" s="40" t="str">
        <f>IF(OR(C1752="",NOT(ISNUMBER(E1752))),"",IFERROR(E1752*N(INDEX(art_price,MATCH(C1752,art_ref,0))),""))</f>
        <v/>
      </c>
      <c r="K1752" s="39" t="str">
        <f>IF(OR(C1752="",NOT(ISNUMBER(E1752))),"",IFERROR(ROUND(N(INDEX(art_init,MATCH(C1752,art_ref,0)))+SUMIFS($E$5:E1752,$C$5:C1752,C1752,$B$5:B1752,"Entrée")-SUMIFS($E$5:E1752,$C$5:C1752,C1752,$B$5:B1752,"Sortie"),6),""))</f>
        <v/>
      </c>
      <c r="L1752" s="39" t="str">
        <f>IF(COUNTA(A1752:C1752,E1752)=0,"",IF(COUNTA(A1752:C1752,E1752)&lt;4,"Ligne incomplète",IF(NOT(ISNUMBER(A1752)),"Date invalide",IF(AND(B1752&lt;&gt;"Entrée",B1752&lt;&gt;"Sortie"),"Type inconnu",IF(ISNA(MATCH(C1752,art_ref,0)),"Référence inconnue",IF(OR(NOT(ISNUMBER(E1752)),N(E1752)&lt;=0),"Quantité invalide",IF(K1752&lt;0,"Stock négatif",IF(AND(ISNUMBER(A1751),A1752&lt;A1751),"Date hors ordre","OK"))))))))</f>
        <v/>
      </c>
      <c r="M1752" s="39" t="str">
        <f>IF(C1752="","",C1752&amp;"#"&amp;COUNTIF($C$5:C1752,C1752))</f>
        <v/>
      </c>
    </row>
    <row r="1753">
      <c r="A1753" s="41" t="n"/>
      <c r="B1753" s="37" t="n"/>
      <c r="C1753" s="37" t="n"/>
      <c r="D1753" s="39" t="str">
        <f>IF(C1753="","",IFERROR(INDEX(art_des,MATCH(C1753,art_ref,0))&amp;"","Référence inconnue"))</f>
        <v/>
      </c>
      <c r="E1753" s="37" t="n"/>
      <c r="F1753" s="39" t="str">
        <f>IF(C1753="","",IFERROR(INDEX(art_unit,MATCH(C1753,art_ref,0))&amp;"",""))</f>
        <v/>
      </c>
      <c r="G1753" s="37" t="n"/>
      <c r="H1753" s="37" t="n"/>
      <c r="I1753" s="37" t="n"/>
      <c r="J1753" s="40" t="str">
        <f>IF(OR(C1753="",NOT(ISNUMBER(E1753))),"",IFERROR(E1753*N(INDEX(art_price,MATCH(C1753,art_ref,0))),""))</f>
        <v/>
      </c>
      <c r="K1753" s="39" t="str">
        <f>IF(OR(C1753="",NOT(ISNUMBER(E1753))),"",IFERROR(ROUND(N(INDEX(art_init,MATCH(C1753,art_ref,0)))+SUMIFS($E$5:E1753,$C$5:C1753,C1753,$B$5:B1753,"Entrée")-SUMIFS($E$5:E1753,$C$5:C1753,C1753,$B$5:B1753,"Sortie"),6),""))</f>
        <v/>
      </c>
      <c r="L1753" s="39" t="str">
        <f>IF(COUNTA(A1753:C1753,E1753)=0,"",IF(COUNTA(A1753:C1753,E1753)&lt;4,"Ligne incomplète",IF(NOT(ISNUMBER(A1753)),"Date invalide",IF(AND(B1753&lt;&gt;"Entrée",B1753&lt;&gt;"Sortie"),"Type inconnu",IF(ISNA(MATCH(C1753,art_ref,0)),"Référence inconnue",IF(OR(NOT(ISNUMBER(E1753)),N(E1753)&lt;=0),"Quantité invalide",IF(K1753&lt;0,"Stock négatif",IF(AND(ISNUMBER(A1752),A1753&lt;A1752),"Date hors ordre","OK"))))))))</f>
        <v/>
      </c>
      <c r="M1753" s="39" t="str">
        <f>IF(C1753="","",C1753&amp;"#"&amp;COUNTIF($C$5:C1753,C1753))</f>
        <v/>
      </c>
    </row>
    <row r="1754">
      <c r="A1754" s="41" t="n"/>
      <c r="B1754" s="37" t="n"/>
      <c r="C1754" s="37" t="n"/>
      <c r="D1754" s="39" t="str">
        <f>IF(C1754="","",IFERROR(INDEX(art_des,MATCH(C1754,art_ref,0))&amp;"","Référence inconnue"))</f>
        <v/>
      </c>
      <c r="E1754" s="37" t="n"/>
      <c r="F1754" s="39" t="str">
        <f>IF(C1754="","",IFERROR(INDEX(art_unit,MATCH(C1754,art_ref,0))&amp;"",""))</f>
        <v/>
      </c>
      <c r="G1754" s="37" t="n"/>
      <c r="H1754" s="37" t="n"/>
      <c r="I1754" s="37" t="n"/>
      <c r="J1754" s="40" t="str">
        <f>IF(OR(C1754="",NOT(ISNUMBER(E1754))),"",IFERROR(E1754*N(INDEX(art_price,MATCH(C1754,art_ref,0))),""))</f>
        <v/>
      </c>
      <c r="K1754" s="39" t="str">
        <f>IF(OR(C1754="",NOT(ISNUMBER(E1754))),"",IFERROR(ROUND(N(INDEX(art_init,MATCH(C1754,art_ref,0)))+SUMIFS($E$5:E1754,$C$5:C1754,C1754,$B$5:B1754,"Entrée")-SUMIFS($E$5:E1754,$C$5:C1754,C1754,$B$5:B1754,"Sortie"),6),""))</f>
        <v/>
      </c>
      <c r="L1754" s="39" t="str">
        <f>IF(COUNTA(A1754:C1754,E1754)=0,"",IF(COUNTA(A1754:C1754,E1754)&lt;4,"Ligne incomplète",IF(NOT(ISNUMBER(A1754)),"Date invalide",IF(AND(B1754&lt;&gt;"Entrée",B1754&lt;&gt;"Sortie"),"Type inconnu",IF(ISNA(MATCH(C1754,art_ref,0)),"Référence inconnue",IF(OR(NOT(ISNUMBER(E1754)),N(E1754)&lt;=0),"Quantité invalide",IF(K1754&lt;0,"Stock négatif",IF(AND(ISNUMBER(A1753),A1754&lt;A1753),"Date hors ordre","OK"))))))))</f>
        <v/>
      </c>
      <c r="M1754" s="39" t="str">
        <f>IF(C1754="","",C1754&amp;"#"&amp;COUNTIF($C$5:C1754,C1754))</f>
        <v/>
      </c>
    </row>
    <row r="1755">
      <c r="A1755" s="41" t="n"/>
      <c r="B1755" s="37" t="n"/>
      <c r="C1755" s="37" t="n"/>
      <c r="D1755" s="39" t="str">
        <f>IF(C1755="","",IFERROR(INDEX(art_des,MATCH(C1755,art_ref,0))&amp;"","Référence inconnue"))</f>
        <v/>
      </c>
      <c r="E1755" s="37" t="n"/>
      <c r="F1755" s="39" t="str">
        <f>IF(C1755="","",IFERROR(INDEX(art_unit,MATCH(C1755,art_ref,0))&amp;"",""))</f>
        <v/>
      </c>
      <c r="G1755" s="37" t="n"/>
      <c r="H1755" s="37" t="n"/>
      <c r="I1755" s="37" t="n"/>
      <c r="J1755" s="40" t="str">
        <f>IF(OR(C1755="",NOT(ISNUMBER(E1755))),"",IFERROR(E1755*N(INDEX(art_price,MATCH(C1755,art_ref,0))),""))</f>
        <v/>
      </c>
      <c r="K1755" s="39" t="str">
        <f>IF(OR(C1755="",NOT(ISNUMBER(E1755))),"",IFERROR(ROUND(N(INDEX(art_init,MATCH(C1755,art_ref,0)))+SUMIFS($E$5:E1755,$C$5:C1755,C1755,$B$5:B1755,"Entrée")-SUMIFS($E$5:E1755,$C$5:C1755,C1755,$B$5:B1755,"Sortie"),6),""))</f>
        <v/>
      </c>
      <c r="L1755" s="39" t="str">
        <f>IF(COUNTA(A1755:C1755,E1755)=0,"",IF(COUNTA(A1755:C1755,E1755)&lt;4,"Ligne incomplète",IF(NOT(ISNUMBER(A1755)),"Date invalide",IF(AND(B1755&lt;&gt;"Entrée",B1755&lt;&gt;"Sortie"),"Type inconnu",IF(ISNA(MATCH(C1755,art_ref,0)),"Référence inconnue",IF(OR(NOT(ISNUMBER(E1755)),N(E1755)&lt;=0),"Quantité invalide",IF(K1755&lt;0,"Stock négatif",IF(AND(ISNUMBER(A1754),A1755&lt;A1754),"Date hors ordre","OK"))))))))</f>
        <v/>
      </c>
      <c r="M1755" s="39" t="str">
        <f>IF(C1755="","",C1755&amp;"#"&amp;COUNTIF($C$5:C1755,C1755))</f>
        <v/>
      </c>
    </row>
    <row r="1756">
      <c r="A1756" s="41" t="n"/>
      <c r="B1756" s="37" t="n"/>
      <c r="C1756" s="37" t="n"/>
      <c r="D1756" s="39" t="str">
        <f>IF(C1756="","",IFERROR(INDEX(art_des,MATCH(C1756,art_ref,0))&amp;"","Référence inconnue"))</f>
        <v/>
      </c>
      <c r="E1756" s="37" t="n"/>
      <c r="F1756" s="39" t="str">
        <f>IF(C1756="","",IFERROR(INDEX(art_unit,MATCH(C1756,art_ref,0))&amp;"",""))</f>
        <v/>
      </c>
      <c r="G1756" s="37" t="n"/>
      <c r="H1756" s="37" t="n"/>
      <c r="I1756" s="37" t="n"/>
      <c r="J1756" s="40" t="str">
        <f>IF(OR(C1756="",NOT(ISNUMBER(E1756))),"",IFERROR(E1756*N(INDEX(art_price,MATCH(C1756,art_ref,0))),""))</f>
        <v/>
      </c>
      <c r="K1756" s="39" t="str">
        <f>IF(OR(C1756="",NOT(ISNUMBER(E1756))),"",IFERROR(ROUND(N(INDEX(art_init,MATCH(C1756,art_ref,0)))+SUMIFS($E$5:E1756,$C$5:C1756,C1756,$B$5:B1756,"Entrée")-SUMIFS($E$5:E1756,$C$5:C1756,C1756,$B$5:B1756,"Sortie"),6),""))</f>
        <v/>
      </c>
      <c r="L1756" s="39" t="str">
        <f>IF(COUNTA(A1756:C1756,E1756)=0,"",IF(COUNTA(A1756:C1756,E1756)&lt;4,"Ligne incomplète",IF(NOT(ISNUMBER(A1756)),"Date invalide",IF(AND(B1756&lt;&gt;"Entrée",B1756&lt;&gt;"Sortie"),"Type inconnu",IF(ISNA(MATCH(C1756,art_ref,0)),"Référence inconnue",IF(OR(NOT(ISNUMBER(E1756)),N(E1756)&lt;=0),"Quantité invalide",IF(K1756&lt;0,"Stock négatif",IF(AND(ISNUMBER(A1755),A1756&lt;A1755),"Date hors ordre","OK"))))))))</f>
        <v/>
      </c>
      <c r="M1756" s="39" t="str">
        <f>IF(C1756="","",C1756&amp;"#"&amp;COUNTIF($C$5:C1756,C1756))</f>
        <v/>
      </c>
    </row>
    <row r="1757">
      <c r="A1757" s="41" t="n"/>
      <c r="B1757" s="37" t="n"/>
      <c r="C1757" s="37" t="n"/>
      <c r="D1757" s="39" t="str">
        <f>IF(C1757="","",IFERROR(INDEX(art_des,MATCH(C1757,art_ref,0))&amp;"","Référence inconnue"))</f>
        <v/>
      </c>
      <c r="E1757" s="37" t="n"/>
      <c r="F1757" s="39" t="str">
        <f>IF(C1757="","",IFERROR(INDEX(art_unit,MATCH(C1757,art_ref,0))&amp;"",""))</f>
        <v/>
      </c>
      <c r="G1757" s="37" t="n"/>
      <c r="H1757" s="37" t="n"/>
      <c r="I1757" s="37" t="n"/>
      <c r="J1757" s="40" t="str">
        <f>IF(OR(C1757="",NOT(ISNUMBER(E1757))),"",IFERROR(E1757*N(INDEX(art_price,MATCH(C1757,art_ref,0))),""))</f>
        <v/>
      </c>
      <c r="K1757" s="39" t="str">
        <f>IF(OR(C1757="",NOT(ISNUMBER(E1757))),"",IFERROR(ROUND(N(INDEX(art_init,MATCH(C1757,art_ref,0)))+SUMIFS($E$5:E1757,$C$5:C1757,C1757,$B$5:B1757,"Entrée")-SUMIFS($E$5:E1757,$C$5:C1757,C1757,$B$5:B1757,"Sortie"),6),""))</f>
        <v/>
      </c>
      <c r="L1757" s="39" t="str">
        <f>IF(COUNTA(A1757:C1757,E1757)=0,"",IF(COUNTA(A1757:C1757,E1757)&lt;4,"Ligne incomplète",IF(NOT(ISNUMBER(A1757)),"Date invalide",IF(AND(B1757&lt;&gt;"Entrée",B1757&lt;&gt;"Sortie"),"Type inconnu",IF(ISNA(MATCH(C1757,art_ref,0)),"Référence inconnue",IF(OR(NOT(ISNUMBER(E1757)),N(E1757)&lt;=0),"Quantité invalide",IF(K1757&lt;0,"Stock négatif",IF(AND(ISNUMBER(A1756),A1757&lt;A1756),"Date hors ordre","OK"))))))))</f>
        <v/>
      </c>
      <c r="M1757" s="39" t="str">
        <f>IF(C1757="","",C1757&amp;"#"&amp;COUNTIF($C$5:C1757,C1757))</f>
        <v/>
      </c>
    </row>
    <row r="1758">
      <c r="A1758" s="41" t="n"/>
      <c r="B1758" s="37" t="n"/>
      <c r="C1758" s="37" t="n"/>
      <c r="D1758" s="39" t="str">
        <f>IF(C1758="","",IFERROR(INDEX(art_des,MATCH(C1758,art_ref,0))&amp;"","Référence inconnue"))</f>
        <v/>
      </c>
      <c r="E1758" s="37" t="n"/>
      <c r="F1758" s="39" t="str">
        <f>IF(C1758="","",IFERROR(INDEX(art_unit,MATCH(C1758,art_ref,0))&amp;"",""))</f>
        <v/>
      </c>
      <c r="G1758" s="37" t="n"/>
      <c r="H1758" s="37" t="n"/>
      <c r="I1758" s="37" t="n"/>
      <c r="J1758" s="40" t="str">
        <f>IF(OR(C1758="",NOT(ISNUMBER(E1758))),"",IFERROR(E1758*N(INDEX(art_price,MATCH(C1758,art_ref,0))),""))</f>
        <v/>
      </c>
      <c r="K1758" s="39" t="str">
        <f>IF(OR(C1758="",NOT(ISNUMBER(E1758))),"",IFERROR(ROUND(N(INDEX(art_init,MATCH(C1758,art_ref,0)))+SUMIFS($E$5:E1758,$C$5:C1758,C1758,$B$5:B1758,"Entrée")-SUMIFS($E$5:E1758,$C$5:C1758,C1758,$B$5:B1758,"Sortie"),6),""))</f>
        <v/>
      </c>
      <c r="L1758" s="39" t="str">
        <f>IF(COUNTA(A1758:C1758,E1758)=0,"",IF(COUNTA(A1758:C1758,E1758)&lt;4,"Ligne incomplète",IF(NOT(ISNUMBER(A1758)),"Date invalide",IF(AND(B1758&lt;&gt;"Entrée",B1758&lt;&gt;"Sortie"),"Type inconnu",IF(ISNA(MATCH(C1758,art_ref,0)),"Référence inconnue",IF(OR(NOT(ISNUMBER(E1758)),N(E1758)&lt;=0),"Quantité invalide",IF(K1758&lt;0,"Stock négatif",IF(AND(ISNUMBER(A1757),A1758&lt;A1757),"Date hors ordre","OK"))))))))</f>
        <v/>
      </c>
      <c r="M1758" s="39" t="str">
        <f>IF(C1758="","",C1758&amp;"#"&amp;COUNTIF($C$5:C1758,C1758))</f>
        <v/>
      </c>
    </row>
    <row r="1759">
      <c r="A1759" s="41" t="n"/>
      <c r="B1759" s="37" t="n"/>
      <c r="C1759" s="37" t="n"/>
      <c r="D1759" s="39" t="str">
        <f>IF(C1759="","",IFERROR(INDEX(art_des,MATCH(C1759,art_ref,0))&amp;"","Référence inconnue"))</f>
        <v/>
      </c>
      <c r="E1759" s="37" t="n"/>
      <c r="F1759" s="39" t="str">
        <f>IF(C1759="","",IFERROR(INDEX(art_unit,MATCH(C1759,art_ref,0))&amp;"",""))</f>
        <v/>
      </c>
      <c r="G1759" s="37" t="n"/>
      <c r="H1759" s="37" t="n"/>
      <c r="I1759" s="37" t="n"/>
      <c r="J1759" s="40" t="str">
        <f>IF(OR(C1759="",NOT(ISNUMBER(E1759))),"",IFERROR(E1759*N(INDEX(art_price,MATCH(C1759,art_ref,0))),""))</f>
        <v/>
      </c>
      <c r="K1759" s="39" t="str">
        <f>IF(OR(C1759="",NOT(ISNUMBER(E1759))),"",IFERROR(ROUND(N(INDEX(art_init,MATCH(C1759,art_ref,0)))+SUMIFS($E$5:E1759,$C$5:C1759,C1759,$B$5:B1759,"Entrée")-SUMIFS($E$5:E1759,$C$5:C1759,C1759,$B$5:B1759,"Sortie"),6),""))</f>
        <v/>
      </c>
      <c r="L1759" s="39" t="str">
        <f>IF(COUNTA(A1759:C1759,E1759)=0,"",IF(COUNTA(A1759:C1759,E1759)&lt;4,"Ligne incomplète",IF(NOT(ISNUMBER(A1759)),"Date invalide",IF(AND(B1759&lt;&gt;"Entrée",B1759&lt;&gt;"Sortie"),"Type inconnu",IF(ISNA(MATCH(C1759,art_ref,0)),"Référence inconnue",IF(OR(NOT(ISNUMBER(E1759)),N(E1759)&lt;=0),"Quantité invalide",IF(K1759&lt;0,"Stock négatif",IF(AND(ISNUMBER(A1758),A1759&lt;A1758),"Date hors ordre","OK"))))))))</f>
        <v/>
      </c>
      <c r="M1759" s="39" t="str">
        <f>IF(C1759="","",C1759&amp;"#"&amp;COUNTIF($C$5:C1759,C1759))</f>
        <v/>
      </c>
    </row>
    <row r="1760">
      <c r="A1760" s="41" t="n"/>
      <c r="B1760" s="37" t="n"/>
      <c r="C1760" s="37" t="n"/>
      <c r="D1760" s="39" t="str">
        <f>IF(C1760="","",IFERROR(INDEX(art_des,MATCH(C1760,art_ref,0))&amp;"","Référence inconnue"))</f>
        <v/>
      </c>
      <c r="E1760" s="37" t="n"/>
      <c r="F1760" s="39" t="str">
        <f>IF(C1760="","",IFERROR(INDEX(art_unit,MATCH(C1760,art_ref,0))&amp;"",""))</f>
        <v/>
      </c>
      <c r="G1760" s="37" t="n"/>
      <c r="H1760" s="37" t="n"/>
      <c r="I1760" s="37" t="n"/>
      <c r="J1760" s="40" t="str">
        <f>IF(OR(C1760="",NOT(ISNUMBER(E1760))),"",IFERROR(E1760*N(INDEX(art_price,MATCH(C1760,art_ref,0))),""))</f>
        <v/>
      </c>
      <c r="K1760" s="39" t="str">
        <f>IF(OR(C1760="",NOT(ISNUMBER(E1760))),"",IFERROR(ROUND(N(INDEX(art_init,MATCH(C1760,art_ref,0)))+SUMIFS($E$5:E1760,$C$5:C1760,C1760,$B$5:B1760,"Entrée")-SUMIFS($E$5:E1760,$C$5:C1760,C1760,$B$5:B1760,"Sortie"),6),""))</f>
        <v/>
      </c>
      <c r="L1760" s="39" t="str">
        <f>IF(COUNTA(A1760:C1760,E1760)=0,"",IF(COUNTA(A1760:C1760,E1760)&lt;4,"Ligne incomplète",IF(NOT(ISNUMBER(A1760)),"Date invalide",IF(AND(B1760&lt;&gt;"Entrée",B1760&lt;&gt;"Sortie"),"Type inconnu",IF(ISNA(MATCH(C1760,art_ref,0)),"Référence inconnue",IF(OR(NOT(ISNUMBER(E1760)),N(E1760)&lt;=0),"Quantité invalide",IF(K1760&lt;0,"Stock négatif",IF(AND(ISNUMBER(A1759),A1760&lt;A1759),"Date hors ordre","OK"))))))))</f>
        <v/>
      </c>
      <c r="M1760" s="39" t="str">
        <f>IF(C1760="","",C1760&amp;"#"&amp;COUNTIF($C$5:C1760,C1760))</f>
        <v/>
      </c>
    </row>
    <row r="1761">
      <c r="A1761" s="41" t="n"/>
      <c r="B1761" s="37" t="n"/>
      <c r="C1761" s="37" t="n"/>
      <c r="D1761" s="39" t="str">
        <f>IF(C1761="","",IFERROR(INDEX(art_des,MATCH(C1761,art_ref,0))&amp;"","Référence inconnue"))</f>
        <v/>
      </c>
      <c r="E1761" s="37" t="n"/>
      <c r="F1761" s="39" t="str">
        <f>IF(C1761="","",IFERROR(INDEX(art_unit,MATCH(C1761,art_ref,0))&amp;"",""))</f>
        <v/>
      </c>
      <c r="G1761" s="37" t="n"/>
      <c r="H1761" s="37" t="n"/>
      <c r="I1761" s="37" t="n"/>
      <c r="J1761" s="40" t="str">
        <f>IF(OR(C1761="",NOT(ISNUMBER(E1761))),"",IFERROR(E1761*N(INDEX(art_price,MATCH(C1761,art_ref,0))),""))</f>
        <v/>
      </c>
      <c r="K1761" s="39" t="str">
        <f>IF(OR(C1761="",NOT(ISNUMBER(E1761))),"",IFERROR(ROUND(N(INDEX(art_init,MATCH(C1761,art_ref,0)))+SUMIFS($E$5:E1761,$C$5:C1761,C1761,$B$5:B1761,"Entrée")-SUMIFS($E$5:E1761,$C$5:C1761,C1761,$B$5:B1761,"Sortie"),6),""))</f>
        <v/>
      </c>
      <c r="L1761" s="39" t="str">
        <f>IF(COUNTA(A1761:C1761,E1761)=0,"",IF(COUNTA(A1761:C1761,E1761)&lt;4,"Ligne incomplète",IF(NOT(ISNUMBER(A1761)),"Date invalide",IF(AND(B1761&lt;&gt;"Entrée",B1761&lt;&gt;"Sortie"),"Type inconnu",IF(ISNA(MATCH(C1761,art_ref,0)),"Référence inconnue",IF(OR(NOT(ISNUMBER(E1761)),N(E1761)&lt;=0),"Quantité invalide",IF(K1761&lt;0,"Stock négatif",IF(AND(ISNUMBER(A1760),A1761&lt;A1760),"Date hors ordre","OK"))))))))</f>
        <v/>
      </c>
      <c r="M1761" s="39" t="str">
        <f>IF(C1761="","",C1761&amp;"#"&amp;COUNTIF($C$5:C1761,C1761))</f>
        <v/>
      </c>
    </row>
    <row r="1762">
      <c r="A1762" s="41" t="n"/>
      <c r="B1762" s="37" t="n"/>
      <c r="C1762" s="37" t="n"/>
      <c r="D1762" s="39" t="str">
        <f>IF(C1762="","",IFERROR(INDEX(art_des,MATCH(C1762,art_ref,0))&amp;"","Référence inconnue"))</f>
        <v/>
      </c>
      <c r="E1762" s="37" t="n"/>
      <c r="F1762" s="39" t="str">
        <f>IF(C1762="","",IFERROR(INDEX(art_unit,MATCH(C1762,art_ref,0))&amp;"",""))</f>
        <v/>
      </c>
      <c r="G1762" s="37" t="n"/>
      <c r="H1762" s="37" t="n"/>
      <c r="I1762" s="37" t="n"/>
      <c r="J1762" s="40" t="str">
        <f>IF(OR(C1762="",NOT(ISNUMBER(E1762))),"",IFERROR(E1762*N(INDEX(art_price,MATCH(C1762,art_ref,0))),""))</f>
        <v/>
      </c>
      <c r="K1762" s="39" t="str">
        <f>IF(OR(C1762="",NOT(ISNUMBER(E1762))),"",IFERROR(ROUND(N(INDEX(art_init,MATCH(C1762,art_ref,0)))+SUMIFS($E$5:E1762,$C$5:C1762,C1762,$B$5:B1762,"Entrée")-SUMIFS($E$5:E1762,$C$5:C1762,C1762,$B$5:B1762,"Sortie"),6),""))</f>
        <v/>
      </c>
      <c r="L1762" s="39" t="str">
        <f>IF(COUNTA(A1762:C1762,E1762)=0,"",IF(COUNTA(A1762:C1762,E1762)&lt;4,"Ligne incomplète",IF(NOT(ISNUMBER(A1762)),"Date invalide",IF(AND(B1762&lt;&gt;"Entrée",B1762&lt;&gt;"Sortie"),"Type inconnu",IF(ISNA(MATCH(C1762,art_ref,0)),"Référence inconnue",IF(OR(NOT(ISNUMBER(E1762)),N(E1762)&lt;=0),"Quantité invalide",IF(K1762&lt;0,"Stock négatif",IF(AND(ISNUMBER(A1761),A1762&lt;A1761),"Date hors ordre","OK"))))))))</f>
        <v/>
      </c>
      <c r="M1762" s="39" t="str">
        <f>IF(C1762="","",C1762&amp;"#"&amp;COUNTIF($C$5:C1762,C1762))</f>
        <v/>
      </c>
    </row>
    <row r="1763">
      <c r="A1763" s="41" t="n"/>
      <c r="B1763" s="37" t="n"/>
      <c r="C1763" s="37" t="n"/>
      <c r="D1763" s="39" t="str">
        <f>IF(C1763="","",IFERROR(INDEX(art_des,MATCH(C1763,art_ref,0))&amp;"","Référence inconnue"))</f>
        <v/>
      </c>
      <c r="E1763" s="37" t="n"/>
      <c r="F1763" s="39" t="str">
        <f>IF(C1763="","",IFERROR(INDEX(art_unit,MATCH(C1763,art_ref,0))&amp;"",""))</f>
        <v/>
      </c>
      <c r="G1763" s="37" t="n"/>
      <c r="H1763" s="37" t="n"/>
      <c r="I1763" s="37" t="n"/>
      <c r="J1763" s="40" t="str">
        <f>IF(OR(C1763="",NOT(ISNUMBER(E1763))),"",IFERROR(E1763*N(INDEX(art_price,MATCH(C1763,art_ref,0))),""))</f>
        <v/>
      </c>
      <c r="K1763" s="39" t="str">
        <f>IF(OR(C1763="",NOT(ISNUMBER(E1763))),"",IFERROR(ROUND(N(INDEX(art_init,MATCH(C1763,art_ref,0)))+SUMIFS($E$5:E1763,$C$5:C1763,C1763,$B$5:B1763,"Entrée")-SUMIFS($E$5:E1763,$C$5:C1763,C1763,$B$5:B1763,"Sortie"),6),""))</f>
        <v/>
      </c>
      <c r="L1763" s="39" t="str">
        <f>IF(COUNTA(A1763:C1763,E1763)=0,"",IF(COUNTA(A1763:C1763,E1763)&lt;4,"Ligne incomplète",IF(NOT(ISNUMBER(A1763)),"Date invalide",IF(AND(B1763&lt;&gt;"Entrée",B1763&lt;&gt;"Sortie"),"Type inconnu",IF(ISNA(MATCH(C1763,art_ref,0)),"Référence inconnue",IF(OR(NOT(ISNUMBER(E1763)),N(E1763)&lt;=0),"Quantité invalide",IF(K1763&lt;0,"Stock négatif",IF(AND(ISNUMBER(A1762),A1763&lt;A1762),"Date hors ordre","OK"))))))))</f>
        <v/>
      </c>
      <c r="M1763" s="39" t="str">
        <f>IF(C1763="","",C1763&amp;"#"&amp;COUNTIF($C$5:C1763,C1763))</f>
        <v/>
      </c>
    </row>
    <row r="1764">
      <c r="A1764" s="41" t="n"/>
      <c r="B1764" s="37" t="n"/>
      <c r="C1764" s="37" t="n"/>
      <c r="D1764" s="39" t="str">
        <f>IF(C1764="","",IFERROR(INDEX(art_des,MATCH(C1764,art_ref,0))&amp;"","Référence inconnue"))</f>
        <v/>
      </c>
      <c r="E1764" s="37" t="n"/>
      <c r="F1764" s="39" t="str">
        <f>IF(C1764="","",IFERROR(INDEX(art_unit,MATCH(C1764,art_ref,0))&amp;"",""))</f>
        <v/>
      </c>
      <c r="G1764" s="37" t="n"/>
      <c r="H1764" s="37" t="n"/>
      <c r="I1764" s="37" t="n"/>
      <c r="J1764" s="40" t="str">
        <f>IF(OR(C1764="",NOT(ISNUMBER(E1764))),"",IFERROR(E1764*N(INDEX(art_price,MATCH(C1764,art_ref,0))),""))</f>
        <v/>
      </c>
      <c r="K1764" s="39" t="str">
        <f>IF(OR(C1764="",NOT(ISNUMBER(E1764))),"",IFERROR(ROUND(N(INDEX(art_init,MATCH(C1764,art_ref,0)))+SUMIFS($E$5:E1764,$C$5:C1764,C1764,$B$5:B1764,"Entrée")-SUMIFS($E$5:E1764,$C$5:C1764,C1764,$B$5:B1764,"Sortie"),6),""))</f>
        <v/>
      </c>
      <c r="L1764" s="39" t="str">
        <f>IF(COUNTA(A1764:C1764,E1764)=0,"",IF(COUNTA(A1764:C1764,E1764)&lt;4,"Ligne incomplète",IF(NOT(ISNUMBER(A1764)),"Date invalide",IF(AND(B1764&lt;&gt;"Entrée",B1764&lt;&gt;"Sortie"),"Type inconnu",IF(ISNA(MATCH(C1764,art_ref,0)),"Référence inconnue",IF(OR(NOT(ISNUMBER(E1764)),N(E1764)&lt;=0),"Quantité invalide",IF(K1764&lt;0,"Stock négatif",IF(AND(ISNUMBER(A1763),A1764&lt;A1763),"Date hors ordre","OK"))))))))</f>
        <v/>
      </c>
      <c r="M1764" s="39" t="str">
        <f>IF(C1764="","",C1764&amp;"#"&amp;COUNTIF($C$5:C1764,C1764))</f>
        <v/>
      </c>
    </row>
    <row r="1765">
      <c r="A1765" s="41" t="n"/>
      <c r="B1765" s="37" t="n"/>
      <c r="C1765" s="37" t="n"/>
      <c r="D1765" s="39" t="str">
        <f>IF(C1765="","",IFERROR(INDEX(art_des,MATCH(C1765,art_ref,0))&amp;"","Référence inconnue"))</f>
        <v/>
      </c>
      <c r="E1765" s="37" t="n"/>
      <c r="F1765" s="39" t="str">
        <f>IF(C1765="","",IFERROR(INDEX(art_unit,MATCH(C1765,art_ref,0))&amp;"",""))</f>
        <v/>
      </c>
      <c r="G1765" s="37" t="n"/>
      <c r="H1765" s="37" t="n"/>
      <c r="I1765" s="37" t="n"/>
      <c r="J1765" s="40" t="str">
        <f>IF(OR(C1765="",NOT(ISNUMBER(E1765))),"",IFERROR(E1765*N(INDEX(art_price,MATCH(C1765,art_ref,0))),""))</f>
        <v/>
      </c>
      <c r="K1765" s="39" t="str">
        <f>IF(OR(C1765="",NOT(ISNUMBER(E1765))),"",IFERROR(ROUND(N(INDEX(art_init,MATCH(C1765,art_ref,0)))+SUMIFS($E$5:E1765,$C$5:C1765,C1765,$B$5:B1765,"Entrée")-SUMIFS($E$5:E1765,$C$5:C1765,C1765,$B$5:B1765,"Sortie"),6),""))</f>
        <v/>
      </c>
      <c r="L1765" s="39" t="str">
        <f>IF(COUNTA(A1765:C1765,E1765)=0,"",IF(COUNTA(A1765:C1765,E1765)&lt;4,"Ligne incomplète",IF(NOT(ISNUMBER(A1765)),"Date invalide",IF(AND(B1765&lt;&gt;"Entrée",B1765&lt;&gt;"Sortie"),"Type inconnu",IF(ISNA(MATCH(C1765,art_ref,0)),"Référence inconnue",IF(OR(NOT(ISNUMBER(E1765)),N(E1765)&lt;=0),"Quantité invalide",IF(K1765&lt;0,"Stock négatif",IF(AND(ISNUMBER(A1764),A1765&lt;A1764),"Date hors ordre","OK"))))))))</f>
        <v/>
      </c>
      <c r="M1765" s="39" t="str">
        <f>IF(C1765="","",C1765&amp;"#"&amp;COUNTIF($C$5:C1765,C1765))</f>
        <v/>
      </c>
    </row>
    <row r="1766">
      <c r="A1766" s="41" t="n"/>
      <c r="B1766" s="37" t="n"/>
      <c r="C1766" s="37" t="n"/>
      <c r="D1766" s="39" t="str">
        <f>IF(C1766="","",IFERROR(INDEX(art_des,MATCH(C1766,art_ref,0))&amp;"","Référence inconnue"))</f>
        <v/>
      </c>
      <c r="E1766" s="37" t="n"/>
      <c r="F1766" s="39" t="str">
        <f>IF(C1766="","",IFERROR(INDEX(art_unit,MATCH(C1766,art_ref,0))&amp;"",""))</f>
        <v/>
      </c>
      <c r="G1766" s="37" t="n"/>
      <c r="H1766" s="37" t="n"/>
      <c r="I1766" s="37" t="n"/>
      <c r="J1766" s="40" t="str">
        <f>IF(OR(C1766="",NOT(ISNUMBER(E1766))),"",IFERROR(E1766*N(INDEX(art_price,MATCH(C1766,art_ref,0))),""))</f>
        <v/>
      </c>
      <c r="K1766" s="39" t="str">
        <f>IF(OR(C1766="",NOT(ISNUMBER(E1766))),"",IFERROR(ROUND(N(INDEX(art_init,MATCH(C1766,art_ref,0)))+SUMIFS($E$5:E1766,$C$5:C1766,C1766,$B$5:B1766,"Entrée")-SUMIFS($E$5:E1766,$C$5:C1766,C1766,$B$5:B1766,"Sortie"),6),""))</f>
        <v/>
      </c>
      <c r="L1766" s="39" t="str">
        <f>IF(COUNTA(A1766:C1766,E1766)=0,"",IF(COUNTA(A1766:C1766,E1766)&lt;4,"Ligne incomplète",IF(NOT(ISNUMBER(A1766)),"Date invalide",IF(AND(B1766&lt;&gt;"Entrée",B1766&lt;&gt;"Sortie"),"Type inconnu",IF(ISNA(MATCH(C1766,art_ref,0)),"Référence inconnue",IF(OR(NOT(ISNUMBER(E1766)),N(E1766)&lt;=0),"Quantité invalide",IF(K1766&lt;0,"Stock négatif",IF(AND(ISNUMBER(A1765),A1766&lt;A1765),"Date hors ordre","OK"))))))))</f>
        <v/>
      </c>
      <c r="M1766" s="39" t="str">
        <f>IF(C1766="","",C1766&amp;"#"&amp;COUNTIF($C$5:C1766,C1766))</f>
        <v/>
      </c>
    </row>
    <row r="1767">
      <c r="A1767" s="41" t="n"/>
      <c r="B1767" s="37" t="n"/>
      <c r="C1767" s="37" t="n"/>
      <c r="D1767" s="39" t="str">
        <f>IF(C1767="","",IFERROR(INDEX(art_des,MATCH(C1767,art_ref,0))&amp;"","Référence inconnue"))</f>
        <v/>
      </c>
      <c r="E1767" s="37" t="n"/>
      <c r="F1767" s="39" t="str">
        <f>IF(C1767="","",IFERROR(INDEX(art_unit,MATCH(C1767,art_ref,0))&amp;"",""))</f>
        <v/>
      </c>
      <c r="G1767" s="37" t="n"/>
      <c r="H1767" s="37" t="n"/>
      <c r="I1767" s="37" t="n"/>
      <c r="J1767" s="40" t="str">
        <f>IF(OR(C1767="",NOT(ISNUMBER(E1767))),"",IFERROR(E1767*N(INDEX(art_price,MATCH(C1767,art_ref,0))),""))</f>
        <v/>
      </c>
      <c r="K1767" s="39" t="str">
        <f>IF(OR(C1767="",NOT(ISNUMBER(E1767))),"",IFERROR(ROUND(N(INDEX(art_init,MATCH(C1767,art_ref,0)))+SUMIFS($E$5:E1767,$C$5:C1767,C1767,$B$5:B1767,"Entrée")-SUMIFS($E$5:E1767,$C$5:C1767,C1767,$B$5:B1767,"Sortie"),6),""))</f>
        <v/>
      </c>
      <c r="L1767" s="39" t="str">
        <f>IF(COUNTA(A1767:C1767,E1767)=0,"",IF(COUNTA(A1767:C1767,E1767)&lt;4,"Ligne incomplète",IF(NOT(ISNUMBER(A1767)),"Date invalide",IF(AND(B1767&lt;&gt;"Entrée",B1767&lt;&gt;"Sortie"),"Type inconnu",IF(ISNA(MATCH(C1767,art_ref,0)),"Référence inconnue",IF(OR(NOT(ISNUMBER(E1767)),N(E1767)&lt;=0),"Quantité invalide",IF(K1767&lt;0,"Stock négatif",IF(AND(ISNUMBER(A1766),A1767&lt;A1766),"Date hors ordre","OK"))))))))</f>
        <v/>
      </c>
      <c r="M1767" s="39" t="str">
        <f>IF(C1767="","",C1767&amp;"#"&amp;COUNTIF($C$5:C1767,C1767))</f>
        <v/>
      </c>
    </row>
    <row r="1768">
      <c r="A1768" s="41" t="n"/>
      <c r="B1768" s="37" t="n"/>
      <c r="C1768" s="37" t="n"/>
      <c r="D1768" s="39" t="str">
        <f>IF(C1768="","",IFERROR(INDEX(art_des,MATCH(C1768,art_ref,0))&amp;"","Référence inconnue"))</f>
        <v/>
      </c>
      <c r="E1768" s="37" t="n"/>
      <c r="F1768" s="39" t="str">
        <f>IF(C1768="","",IFERROR(INDEX(art_unit,MATCH(C1768,art_ref,0))&amp;"",""))</f>
        <v/>
      </c>
      <c r="G1768" s="37" t="n"/>
      <c r="H1768" s="37" t="n"/>
      <c r="I1768" s="37" t="n"/>
      <c r="J1768" s="40" t="str">
        <f>IF(OR(C1768="",NOT(ISNUMBER(E1768))),"",IFERROR(E1768*N(INDEX(art_price,MATCH(C1768,art_ref,0))),""))</f>
        <v/>
      </c>
      <c r="K1768" s="39" t="str">
        <f>IF(OR(C1768="",NOT(ISNUMBER(E1768))),"",IFERROR(ROUND(N(INDEX(art_init,MATCH(C1768,art_ref,0)))+SUMIFS($E$5:E1768,$C$5:C1768,C1768,$B$5:B1768,"Entrée")-SUMIFS($E$5:E1768,$C$5:C1768,C1768,$B$5:B1768,"Sortie"),6),""))</f>
        <v/>
      </c>
      <c r="L1768" s="39" t="str">
        <f>IF(COUNTA(A1768:C1768,E1768)=0,"",IF(COUNTA(A1768:C1768,E1768)&lt;4,"Ligne incomplète",IF(NOT(ISNUMBER(A1768)),"Date invalide",IF(AND(B1768&lt;&gt;"Entrée",B1768&lt;&gt;"Sortie"),"Type inconnu",IF(ISNA(MATCH(C1768,art_ref,0)),"Référence inconnue",IF(OR(NOT(ISNUMBER(E1768)),N(E1768)&lt;=0),"Quantité invalide",IF(K1768&lt;0,"Stock négatif",IF(AND(ISNUMBER(A1767),A1768&lt;A1767),"Date hors ordre","OK"))))))))</f>
        <v/>
      </c>
      <c r="M1768" s="39" t="str">
        <f>IF(C1768="","",C1768&amp;"#"&amp;COUNTIF($C$5:C1768,C1768))</f>
        <v/>
      </c>
    </row>
    <row r="1769">
      <c r="A1769" s="41" t="n"/>
      <c r="B1769" s="37" t="n"/>
      <c r="C1769" s="37" t="n"/>
      <c r="D1769" s="39" t="str">
        <f>IF(C1769="","",IFERROR(INDEX(art_des,MATCH(C1769,art_ref,0))&amp;"","Référence inconnue"))</f>
        <v/>
      </c>
      <c r="E1769" s="37" t="n"/>
      <c r="F1769" s="39" t="str">
        <f>IF(C1769="","",IFERROR(INDEX(art_unit,MATCH(C1769,art_ref,0))&amp;"",""))</f>
        <v/>
      </c>
      <c r="G1769" s="37" t="n"/>
      <c r="H1769" s="37" t="n"/>
      <c r="I1769" s="37" t="n"/>
      <c r="J1769" s="40" t="str">
        <f>IF(OR(C1769="",NOT(ISNUMBER(E1769))),"",IFERROR(E1769*N(INDEX(art_price,MATCH(C1769,art_ref,0))),""))</f>
        <v/>
      </c>
      <c r="K1769" s="39" t="str">
        <f>IF(OR(C1769="",NOT(ISNUMBER(E1769))),"",IFERROR(ROUND(N(INDEX(art_init,MATCH(C1769,art_ref,0)))+SUMIFS($E$5:E1769,$C$5:C1769,C1769,$B$5:B1769,"Entrée")-SUMIFS($E$5:E1769,$C$5:C1769,C1769,$B$5:B1769,"Sortie"),6),""))</f>
        <v/>
      </c>
      <c r="L1769" s="39" t="str">
        <f>IF(COUNTA(A1769:C1769,E1769)=0,"",IF(COUNTA(A1769:C1769,E1769)&lt;4,"Ligne incomplète",IF(NOT(ISNUMBER(A1769)),"Date invalide",IF(AND(B1769&lt;&gt;"Entrée",B1769&lt;&gt;"Sortie"),"Type inconnu",IF(ISNA(MATCH(C1769,art_ref,0)),"Référence inconnue",IF(OR(NOT(ISNUMBER(E1769)),N(E1769)&lt;=0),"Quantité invalide",IF(K1769&lt;0,"Stock négatif",IF(AND(ISNUMBER(A1768),A1769&lt;A1768),"Date hors ordre","OK"))))))))</f>
        <v/>
      </c>
      <c r="M1769" s="39" t="str">
        <f>IF(C1769="","",C1769&amp;"#"&amp;COUNTIF($C$5:C1769,C1769))</f>
        <v/>
      </c>
    </row>
    <row r="1770">
      <c r="A1770" s="41" t="n"/>
      <c r="B1770" s="37" t="n"/>
      <c r="C1770" s="37" t="n"/>
      <c r="D1770" s="39" t="str">
        <f>IF(C1770="","",IFERROR(INDEX(art_des,MATCH(C1770,art_ref,0))&amp;"","Référence inconnue"))</f>
        <v/>
      </c>
      <c r="E1770" s="37" t="n"/>
      <c r="F1770" s="39" t="str">
        <f>IF(C1770="","",IFERROR(INDEX(art_unit,MATCH(C1770,art_ref,0))&amp;"",""))</f>
        <v/>
      </c>
      <c r="G1770" s="37" t="n"/>
      <c r="H1770" s="37" t="n"/>
      <c r="I1770" s="37" t="n"/>
      <c r="J1770" s="40" t="str">
        <f>IF(OR(C1770="",NOT(ISNUMBER(E1770))),"",IFERROR(E1770*N(INDEX(art_price,MATCH(C1770,art_ref,0))),""))</f>
        <v/>
      </c>
      <c r="K1770" s="39" t="str">
        <f>IF(OR(C1770="",NOT(ISNUMBER(E1770))),"",IFERROR(ROUND(N(INDEX(art_init,MATCH(C1770,art_ref,0)))+SUMIFS($E$5:E1770,$C$5:C1770,C1770,$B$5:B1770,"Entrée")-SUMIFS($E$5:E1770,$C$5:C1770,C1770,$B$5:B1770,"Sortie"),6),""))</f>
        <v/>
      </c>
      <c r="L1770" s="39" t="str">
        <f>IF(COUNTA(A1770:C1770,E1770)=0,"",IF(COUNTA(A1770:C1770,E1770)&lt;4,"Ligne incomplète",IF(NOT(ISNUMBER(A1770)),"Date invalide",IF(AND(B1770&lt;&gt;"Entrée",B1770&lt;&gt;"Sortie"),"Type inconnu",IF(ISNA(MATCH(C1770,art_ref,0)),"Référence inconnue",IF(OR(NOT(ISNUMBER(E1770)),N(E1770)&lt;=0),"Quantité invalide",IF(K1770&lt;0,"Stock négatif",IF(AND(ISNUMBER(A1769),A1770&lt;A1769),"Date hors ordre","OK"))))))))</f>
        <v/>
      </c>
      <c r="M1770" s="39" t="str">
        <f>IF(C1770="","",C1770&amp;"#"&amp;COUNTIF($C$5:C1770,C1770))</f>
        <v/>
      </c>
    </row>
    <row r="1771">
      <c r="A1771" s="41" t="n"/>
      <c r="B1771" s="37" t="n"/>
      <c r="C1771" s="37" t="n"/>
      <c r="D1771" s="39" t="str">
        <f>IF(C1771="","",IFERROR(INDEX(art_des,MATCH(C1771,art_ref,0))&amp;"","Référence inconnue"))</f>
        <v/>
      </c>
      <c r="E1771" s="37" t="n"/>
      <c r="F1771" s="39" t="str">
        <f>IF(C1771="","",IFERROR(INDEX(art_unit,MATCH(C1771,art_ref,0))&amp;"",""))</f>
        <v/>
      </c>
      <c r="G1771" s="37" t="n"/>
      <c r="H1771" s="37" t="n"/>
      <c r="I1771" s="37" t="n"/>
      <c r="J1771" s="40" t="str">
        <f>IF(OR(C1771="",NOT(ISNUMBER(E1771))),"",IFERROR(E1771*N(INDEX(art_price,MATCH(C1771,art_ref,0))),""))</f>
        <v/>
      </c>
      <c r="K1771" s="39" t="str">
        <f>IF(OR(C1771="",NOT(ISNUMBER(E1771))),"",IFERROR(ROUND(N(INDEX(art_init,MATCH(C1771,art_ref,0)))+SUMIFS($E$5:E1771,$C$5:C1771,C1771,$B$5:B1771,"Entrée")-SUMIFS($E$5:E1771,$C$5:C1771,C1771,$B$5:B1771,"Sortie"),6),""))</f>
        <v/>
      </c>
      <c r="L1771" s="39" t="str">
        <f>IF(COUNTA(A1771:C1771,E1771)=0,"",IF(COUNTA(A1771:C1771,E1771)&lt;4,"Ligne incomplète",IF(NOT(ISNUMBER(A1771)),"Date invalide",IF(AND(B1771&lt;&gt;"Entrée",B1771&lt;&gt;"Sortie"),"Type inconnu",IF(ISNA(MATCH(C1771,art_ref,0)),"Référence inconnue",IF(OR(NOT(ISNUMBER(E1771)),N(E1771)&lt;=0),"Quantité invalide",IF(K1771&lt;0,"Stock négatif",IF(AND(ISNUMBER(A1770),A1771&lt;A1770),"Date hors ordre","OK"))))))))</f>
        <v/>
      </c>
      <c r="M1771" s="39" t="str">
        <f>IF(C1771="","",C1771&amp;"#"&amp;COUNTIF($C$5:C1771,C1771))</f>
        <v/>
      </c>
    </row>
    <row r="1772">
      <c r="A1772" s="41" t="n"/>
      <c r="B1772" s="37" t="n"/>
      <c r="C1772" s="37" t="n"/>
      <c r="D1772" s="39" t="str">
        <f>IF(C1772="","",IFERROR(INDEX(art_des,MATCH(C1772,art_ref,0))&amp;"","Référence inconnue"))</f>
        <v/>
      </c>
      <c r="E1772" s="37" t="n"/>
      <c r="F1772" s="39" t="str">
        <f>IF(C1772="","",IFERROR(INDEX(art_unit,MATCH(C1772,art_ref,0))&amp;"",""))</f>
        <v/>
      </c>
      <c r="G1772" s="37" t="n"/>
      <c r="H1772" s="37" t="n"/>
      <c r="I1772" s="37" t="n"/>
      <c r="J1772" s="40" t="str">
        <f>IF(OR(C1772="",NOT(ISNUMBER(E1772))),"",IFERROR(E1772*N(INDEX(art_price,MATCH(C1772,art_ref,0))),""))</f>
        <v/>
      </c>
      <c r="K1772" s="39" t="str">
        <f>IF(OR(C1772="",NOT(ISNUMBER(E1772))),"",IFERROR(ROUND(N(INDEX(art_init,MATCH(C1772,art_ref,0)))+SUMIFS($E$5:E1772,$C$5:C1772,C1772,$B$5:B1772,"Entrée")-SUMIFS($E$5:E1772,$C$5:C1772,C1772,$B$5:B1772,"Sortie"),6),""))</f>
        <v/>
      </c>
      <c r="L1772" s="39" t="str">
        <f>IF(COUNTA(A1772:C1772,E1772)=0,"",IF(COUNTA(A1772:C1772,E1772)&lt;4,"Ligne incomplète",IF(NOT(ISNUMBER(A1772)),"Date invalide",IF(AND(B1772&lt;&gt;"Entrée",B1772&lt;&gt;"Sortie"),"Type inconnu",IF(ISNA(MATCH(C1772,art_ref,0)),"Référence inconnue",IF(OR(NOT(ISNUMBER(E1772)),N(E1772)&lt;=0),"Quantité invalide",IF(K1772&lt;0,"Stock négatif",IF(AND(ISNUMBER(A1771),A1772&lt;A1771),"Date hors ordre","OK"))))))))</f>
        <v/>
      </c>
      <c r="M1772" s="39" t="str">
        <f>IF(C1772="","",C1772&amp;"#"&amp;COUNTIF($C$5:C1772,C1772))</f>
        <v/>
      </c>
    </row>
    <row r="1773">
      <c r="A1773" s="41" t="n"/>
      <c r="B1773" s="37" t="n"/>
      <c r="C1773" s="37" t="n"/>
      <c r="D1773" s="39" t="str">
        <f>IF(C1773="","",IFERROR(INDEX(art_des,MATCH(C1773,art_ref,0))&amp;"","Référence inconnue"))</f>
        <v/>
      </c>
      <c r="E1773" s="37" t="n"/>
      <c r="F1773" s="39" t="str">
        <f>IF(C1773="","",IFERROR(INDEX(art_unit,MATCH(C1773,art_ref,0))&amp;"",""))</f>
        <v/>
      </c>
      <c r="G1773" s="37" t="n"/>
      <c r="H1773" s="37" t="n"/>
      <c r="I1773" s="37" t="n"/>
      <c r="J1773" s="40" t="str">
        <f>IF(OR(C1773="",NOT(ISNUMBER(E1773))),"",IFERROR(E1773*N(INDEX(art_price,MATCH(C1773,art_ref,0))),""))</f>
        <v/>
      </c>
      <c r="K1773" s="39" t="str">
        <f>IF(OR(C1773="",NOT(ISNUMBER(E1773))),"",IFERROR(ROUND(N(INDEX(art_init,MATCH(C1773,art_ref,0)))+SUMIFS($E$5:E1773,$C$5:C1773,C1773,$B$5:B1773,"Entrée")-SUMIFS($E$5:E1773,$C$5:C1773,C1773,$B$5:B1773,"Sortie"),6),""))</f>
        <v/>
      </c>
      <c r="L1773" s="39" t="str">
        <f>IF(COUNTA(A1773:C1773,E1773)=0,"",IF(COUNTA(A1773:C1773,E1773)&lt;4,"Ligne incomplète",IF(NOT(ISNUMBER(A1773)),"Date invalide",IF(AND(B1773&lt;&gt;"Entrée",B1773&lt;&gt;"Sortie"),"Type inconnu",IF(ISNA(MATCH(C1773,art_ref,0)),"Référence inconnue",IF(OR(NOT(ISNUMBER(E1773)),N(E1773)&lt;=0),"Quantité invalide",IF(K1773&lt;0,"Stock négatif",IF(AND(ISNUMBER(A1772),A1773&lt;A1772),"Date hors ordre","OK"))))))))</f>
        <v/>
      </c>
      <c r="M1773" s="39" t="str">
        <f>IF(C1773="","",C1773&amp;"#"&amp;COUNTIF($C$5:C1773,C1773))</f>
        <v/>
      </c>
    </row>
    <row r="1774">
      <c r="A1774" s="41" t="n"/>
      <c r="B1774" s="37" t="n"/>
      <c r="C1774" s="37" t="n"/>
      <c r="D1774" s="39" t="str">
        <f>IF(C1774="","",IFERROR(INDEX(art_des,MATCH(C1774,art_ref,0))&amp;"","Référence inconnue"))</f>
        <v/>
      </c>
      <c r="E1774" s="37" t="n"/>
      <c r="F1774" s="39" t="str">
        <f>IF(C1774="","",IFERROR(INDEX(art_unit,MATCH(C1774,art_ref,0))&amp;"",""))</f>
        <v/>
      </c>
      <c r="G1774" s="37" t="n"/>
      <c r="H1774" s="37" t="n"/>
      <c r="I1774" s="37" t="n"/>
      <c r="J1774" s="40" t="str">
        <f>IF(OR(C1774="",NOT(ISNUMBER(E1774))),"",IFERROR(E1774*N(INDEX(art_price,MATCH(C1774,art_ref,0))),""))</f>
        <v/>
      </c>
      <c r="K1774" s="39" t="str">
        <f>IF(OR(C1774="",NOT(ISNUMBER(E1774))),"",IFERROR(ROUND(N(INDEX(art_init,MATCH(C1774,art_ref,0)))+SUMIFS($E$5:E1774,$C$5:C1774,C1774,$B$5:B1774,"Entrée")-SUMIFS($E$5:E1774,$C$5:C1774,C1774,$B$5:B1774,"Sortie"),6),""))</f>
        <v/>
      </c>
      <c r="L1774" s="39" t="str">
        <f>IF(COUNTA(A1774:C1774,E1774)=0,"",IF(COUNTA(A1774:C1774,E1774)&lt;4,"Ligne incomplète",IF(NOT(ISNUMBER(A1774)),"Date invalide",IF(AND(B1774&lt;&gt;"Entrée",B1774&lt;&gt;"Sortie"),"Type inconnu",IF(ISNA(MATCH(C1774,art_ref,0)),"Référence inconnue",IF(OR(NOT(ISNUMBER(E1774)),N(E1774)&lt;=0),"Quantité invalide",IF(K1774&lt;0,"Stock négatif",IF(AND(ISNUMBER(A1773),A1774&lt;A1773),"Date hors ordre","OK"))))))))</f>
        <v/>
      </c>
      <c r="M1774" s="39" t="str">
        <f>IF(C1774="","",C1774&amp;"#"&amp;COUNTIF($C$5:C1774,C1774))</f>
        <v/>
      </c>
    </row>
    <row r="1775">
      <c r="A1775" s="41" t="n"/>
      <c r="B1775" s="37" t="n"/>
      <c r="C1775" s="37" t="n"/>
      <c r="D1775" s="39" t="str">
        <f>IF(C1775="","",IFERROR(INDEX(art_des,MATCH(C1775,art_ref,0))&amp;"","Référence inconnue"))</f>
        <v/>
      </c>
      <c r="E1775" s="37" t="n"/>
      <c r="F1775" s="39" t="str">
        <f>IF(C1775="","",IFERROR(INDEX(art_unit,MATCH(C1775,art_ref,0))&amp;"",""))</f>
        <v/>
      </c>
      <c r="G1775" s="37" t="n"/>
      <c r="H1775" s="37" t="n"/>
      <c r="I1775" s="37" t="n"/>
      <c r="J1775" s="40" t="str">
        <f>IF(OR(C1775="",NOT(ISNUMBER(E1775))),"",IFERROR(E1775*N(INDEX(art_price,MATCH(C1775,art_ref,0))),""))</f>
        <v/>
      </c>
      <c r="K1775" s="39" t="str">
        <f>IF(OR(C1775="",NOT(ISNUMBER(E1775))),"",IFERROR(ROUND(N(INDEX(art_init,MATCH(C1775,art_ref,0)))+SUMIFS($E$5:E1775,$C$5:C1775,C1775,$B$5:B1775,"Entrée")-SUMIFS($E$5:E1775,$C$5:C1775,C1775,$B$5:B1775,"Sortie"),6),""))</f>
        <v/>
      </c>
      <c r="L1775" s="39" t="str">
        <f>IF(COUNTA(A1775:C1775,E1775)=0,"",IF(COUNTA(A1775:C1775,E1775)&lt;4,"Ligne incomplète",IF(NOT(ISNUMBER(A1775)),"Date invalide",IF(AND(B1775&lt;&gt;"Entrée",B1775&lt;&gt;"Sortie"),"Type inconnu",IF(ISNA(MATCH(C1775,art_ref,0)),"Référence inconnue",IF(OR(NOT(ISNUMBER(E1775)),N(E1775)&lt;=0),"Quantité invalide",IF(K1775&lt;0,"Stock négatif",IF(AND(ISNUMBER(A1774),A1775&lt;A1774),"Date hors ordre","OK"))))))))</f>
        <v/>
      </c>
      <c r="M1775" s="39" t="str">
        <f>IF(C1775="","",C1775&amp;"#"&amp;COUNTIF($C$5:C1775,C1775))</f>
        <v/>
      </c>
    </row>
    <row r="1776">
      <c r="A1776" s="41" t="n"/>
      <c r="B1776" s="37" t="n"/>
      <c r="C1776" s="37" t="n"/>
      <c r="D1776" s="39" t="str">
        <f>IF(C1776="","",IFERROR(INDEX(art_des,MATCH(C1776,art_ref,0))&amp;"","Référence inconnue"))</f>
        <v/>
      </c>
      <c r="E1776" s="37" t="n"/>
      <c r="F1776" s="39" t="str">
        <f>IF(C1776="","",IFERROR(INDEX(art_unit,MATCH(C1776,art_ref,0))&amp;"",""))</f>
        <v/>
      </c>
      <c r="G1776" s="37" t="n"/>
      <c r="H1776" s="37" t="n"/>
      <c r="I1776" s="37" t="n"/>
      <c r="J1776" s="40" t="str">
        <f>IF(OR(C1776="",NOT(ISNUMBER(E1776))),"",IFERROR(E1776*N(INDEX(art_price,MATCH(C1776,art_ref,0))),""))</f>
        <v/>
      </c>
      <c r="K1776" s="39" t="str">
        <f>IF(OR(C1776="",NOT(ISNUMBER(E1776))),"",IFERROR(ROUND(N(INDEX(art_init,MATCH(C1776,art_ref,0)))+SUMIFS($E$5:E1776,$C$5:C1776,C1776,$B$5:B1776,"Entrée")-SUMIFS($E$5:E1776,$C$5:C1776,C1776,$B$5:B1776,"Sortie"),6),""))</f>
        <v/>
      </c>
      <c r="L1776" s="39" t="str">
        <f>IF(COUNTA(A1776:C1776,E1776)=0,"",IF(COUNTA(A1776:C1776,E1776)&lt;4,"Ligne incomplète",IF(NOT(ISNUMBER(A1776)),"Date invalide",IF(AND(B1776&lt;&gt;"Entrée",B1776&lt;&gt;"Sortie"),"Type inconnu",IF(ISNA(MATCH(C1776,art_ref,0)),"Référence inconnue",IF(OR(NOT(ISNUMBER(E1776)),N(E1776)&lt;=0),"Quantité invalide",IF(K1776&lt;0,"Stock négatif",IF(AND(ISNUMBER(A1775),A1776&lt;A1775),"Date hors ordre","OK"))))))))</f>
        <v/>
      </c>
      <c r="M1776" s="39" t="str">
        <f>IF(C1776="","",C1776&amp;"#"&amp;COUNTIF($C$5:C1776,C1776))</f>
        <v/>
      </c>
    </row>
    <row r="1777">
      <c r="A1777" s="41" t="n"/>
      <c r="B1777" s="37" t="n"/>
      <c r="C1777" s="37" t="n"/>
      <c r="D1777" s="39" t="str">
        <f>IF(C1777="","",IFERROR(INDEX(art_des,MATCH(C1777,art_ref,0))&amp;"","Référence inconnue"))</f>
        <v/>
      </c>
      <c r="E1777" s="37" t="n"/>
      <c r="F1777" s="39" t="str">
        <f>IF(C1777="","",IFERROR(INDEX(art_unit,MATCH(C1777,art_ref,0))&amp;"",""))</f>
        <v/>
      </c>
      <c r="G1777" s="37" t="n"/>
      <c r="H1777" s="37" t="n"/>
      <c r="I1777" s="37" t="n"/>
      <c r="J1777" s="40" t="str">
        <f>IF(OR(C1777="",NOT(ISNUMBER(E1777))),"",IFERROR(E1777*N(INDEX(art_price,MATCH(C1777,art_ref,0))),""))</f>
        <v/>
      </c>
      <c r="K1777" s="39" t="str">
        <f>IF(OR(C1777="",NOT(ISNUMBER(E1777))),"",IFERROR(ROUND(N(INDEX(art_init,MATCH(C1777,art_ref,0)))+SUMIFS($E$5:E1777,$C$5:C1777,C1777,$B$5:B1777,"Entrée")-SUMIFS($E$5:E1777,$C$5:C1777,C1777,$B$5:B1777,"Sortie"),6),""))</f>
        <v/>
      </c>
      <c r="L1777" s="39" t="str">
        <f>IF(COUNTA(A1777:C1777,E1777)=0,"",IF(COUNTA(A1777:C1777,E1777)&lt;4,"Ligne incomplète",IF(NOT(ISNUMBER(A1777)),"Date invalide",IF(AND(B1777&lt;&gt;"Entrée",B1777&lt;&gt;"Sortie"),"Type inconnu",IF(ISNA(MATCH(C1777,art_ref,0)),"Référence inconnue",IF(OR(NOT(ISNUMBER(E1777)),N(E1777)&lt;=0),"Quantité invalide",IF(K1777&lt;0,"Stock négatif",IF(AND(ISNUMBER(A1776),A1777&lt;A1776),"Date hors ordre","OK"))))))))</f>
        <v/>
      </c>
      <c r="M1777" s="39" t="str">
        <f>IF(C1777="","",C1777&amp;"#"&amp;COUNTIF($C$5:C1777,C1777))</f>
        <v/>
      </c>
    </row>
    <row r="1778">
      <c r="A1778" s="41" t="n"/>
      <c r="B1778" s="37" t="n"/>
      <c r="C1778" s="37" t="n"/>
      <c r="D1778" s="39" t="str">
        <f>IF(C1778="","",IFERROR(INDEX(art_des,MATCH(C1778,art_ref,0))&amp;"","Référence inconnue"))</f>
        <v/>
      </c>
      <c r="E1778" s="37" t="n"/>
      <c r="F1778" s="39" t="str">
        <f>IF(C1778="","",IFERROR(INDEX(art_unit,MATCH(C1778,art_ref,0))&amp;"",""))</f>
        <v/>
      </c>
      <c r="G1778" s="37" t="n"/>
      <c r="H1778" s="37" t="n"/>
      <c r="I1778" s="37" t="n"/>
      <c r="J1778" s="40" t="str">
        <f>IF(OR(C1778="",NOT(ISNUMBER(E1778))),"",IFERROR(E1778*N(INDEX(art_price,MATCH(C1778,art_ref,0))),""))</f>
        <v/>
      </c>
      <c r="K1778" s="39" t="str">
        <f>IF(OR(C1778="",NOT(ISNUMBER(E1778))),"",IFERROR(ROUND(N(INDEX(art_init,MATCH(C1778,art_ref,0)))+SUMIFS($E$5:E1778,$C$5:C1778,C1778,$B$5:B1778,"Entrée")-SUMIFS($E$5:E1778,$C$5:C1778,C1778,$B$5:B1778,"Sortie"),6),""))</f>
        <v/>
      </c>
      <c r="L1778" s="39" t="str">
        <f>IF(COUNTA(A1778:C1778,E1778)=0,"",IF(COUNTA(A1778:C1778,E1778)&lt;4,"Ligne incomplète",IF(NOT(ISNUMBER(A1778)),"Date invalide",IF(AND(B1778&lt;&gt;"Entrée",B1778&lt;&gt;"Sortie"),"Type inconnu",IF(ISNA(MATCH(C1778,art_ref,0)),"Référence inconnue",IF(OR(NOT(ISNUMBER(E1778)),N(E1778)&lt;=0),"Quantité invalide",IF(K1778&lt;0,"Stock négatif",IF(AND(ISNUMBER(A1777),A1778&lt;A1777),"Date hors ordre","OK"))))))))</f>
        <v/>
      </c>
      <c r="M1778" s="39" t="str">
        <f>IF(C1778="","",C1778&amp;"#"&amp;COUNTIF($C$5:C1778,C1778))</f>
        <v/>
      </c>
    </row>
    <row r="1779">
      <c r="A1779" s="41" t="n"/>
      <c r="B1779" s="37" t="n"/>
      <c r="C1779" s="37" t="n"/>
      <c r="D1779" s="39" t="str">
        <f>IF(C1779="","",IFERROR(INDEX(art_des,MATCH(C1779,art_ref,0))&amp;"","Référence inconnue"))</f>
        <v/>
      </c>
      <c r="E1779" s="37" t="n"/>
      <c r="F1779" s="39" t="str">
        <f>IF(C1779="","",IFERROR(INDEX(art_unit,MATCH(C1779,art_ref,0))&amp;"",""))</f>
        <v/>
      </c>
      <c r="G1779" s="37" t="n"/>
      <c r="H1779" s="37" t="n"/>
      <c r="I1779" s="37" t="n"/>
      <c r="J1779" s="40" t="str">
        <f>IF(OR(C1779="",NOT(ISNUMBER(E1779))),"",IFERROR(E1779*N(INDEX(art_price,MATCH(C1779,art_ref,0))),""))</f>
        <v/>
      </c>
      <c r="K1779" s="39" t="str">
        <f>IF(OR(C1779="",NOT(ISNUMBER(E1779))),"",IFERROR(ROUND(N(INDEX(art_init,MATCH(C1779,art_ref,0)))+SUMIFS($E$5:E1779,$C$5:C1779,C1779,$B$5:B1779,"Entrée")-SUMIFS($E$5:E1779,$C$5:C1779,C1779,$B$5:B1779,"Sortie"),6),""))</f>
        <v/>
      </c>
      <c r="L1779" s="39" t="str">
        <f>IF(COUNTA(A1779:C1779,E1779)=0,"",IF(COUNTA(A1779:C1779,E1779)&lt;4,"Ligne incomplète",IF(NOT(ISNUMBER(A1779)),"Date invalide",IF(AND(B1779&lt;&gt;"Entrée",B1779&lt;&gt;"Sortie"),"Type inconnu",IF(ISNA(MATCH(C1779,art_ref,0)),"Référence inconnue",IF(OR(NOT(ISNUMBER(E1779)),N(E1779)&lt;=0),"Quantité invalide",IF(K1779&lt;0,"Stock négatif",IF(AND(ISNUMBER(A1778),A1779&lt;A1778),"Date hors ordre","OK"))))))))</f>
        <v/>
      </c>
      <c r="M1779" s="39" t="str">
        <f>IF(C1779="","",C1779&amp;"#"&amp;COUNTIF($C$5:C1779,C1779))</f>
        <v/>
      </c>
    </row>
    <row r="1780">
      <c r="A1780" s="41" t="n"/>
      <c r="B1780" s="37" t="n"/>
      <c r="C1780" s="37" t="n"/>
      <c r="D1780" s="39" t="str">
        <f>IF(C1780="","",IFERROR(INDEX(art_des,MATCH(C1780,art_ref,0))&amp;"","Référence inconnue"))</f>
        <v/>
      </c>
      <c r="E1780" s="37" t="n"/>
      <c r="F1780" s="39" t="str">
        <f>IF(C1780="","",IFERROR(INDEX(art_unit,MATCH(C1780,art_ref,0))&amp;"",""))</f>
        <v/>
      </c>
      <c r="G1780" s="37" t="n"/>
      <c r="H1780" s="37" t="n"/>
      <c r="I1780" s="37" t="n"/>
      <c r="J1780" s="40" t="str">
        <f>IF(OR(C1780="",NOT(ISNUMBER(E1780))),"",IFERROR(E1780*N(INDEX(art_price,MATCH(C1780,art_ref,0))),""))</f>
        <v/>
      </c>
      <c r="K1780" s="39" t="str">
        <f>IF(OR(C1780="",NOT(ISNUMBER(E1780))),"",IFERROR(ROUND(N(INDEX(art_init,MATCH(C1780,art_ref,0)))+SUMIFS($E$5:E1780,$C$5:C1780,C1780,$B$5:B1780,"Entrée")-SUMIFS($E$5:E1780,$C$5:C1780,C1780,$B$5:B1780,"Sortie"),6),""))</f>
        <v/>
      </c>
      <c r="L1780" s="39" t="str">
        <f>IF(COUNTA(A1780:C1780,E1780)=0,"",IF(COUNTA(A1780:C1780,E1780)&lt;4,"Ligne incomplète",IF(NOT(ISNUMBER(A1780)),"Date invalide",IF(AND(B1780&lt;&gt;"Entrée",B1780&lt;&gt;"Sortie"),"Type inconnu",IF(ISNA(MATCH(C1780,art_ref,0)),"Référence inconnue",IF(OR(NOT(ISNUMBER(E1780)),N(E1780)&lt;=0),"Quantité invalide",IF(K1780&lt;0,"Stock négatif",IF(AND(ISNUMBER(A1779),A1780&lt;A1779),"Date hors ordre","OK"))))))))</f>
        <v/>
      </c>
      <c r="M1780" s="39" t="str">
        <f>IF(C1780="","",C1780&amp;"#"&amp;COUNTIF($C$5:C1780,C1780))</f>
        <v/>
      </c>
    </row>
    <row r="1781">
      <c r="A1781" s="41" t="n"/>
      <c r="B1781" s="37" t="n"/>
      <c r="C1781" s="37" t="n"/>
      <c r="D1781" s="39" t="str">
        <f>IF(C1781="","",IFERROR(INDEX(art_des,MATCH(C1781,art_ref,0))&amp;"","Référence inconnue"))</f>
        <v/>
      </c>
      <c r="E1781" s="37" t="n"/>
      <c r="F1781" s="39" t="str">
        <f>IF(C1781="","",IFERROR(INDEX(art_unit,MATCH(C1781,art_ref,0))&amp;"",""))</f>
        <v/>
      </c>
      <c r="G1781" s="37" t="n"/>
      <c r="H1781" s="37" t="n"/>
      <c r="I1781" s="37" t="n"/>
      <c r="J1781" s="40" t="str">
        <f>IF(OR(C1781="",NOT(ISNUMBER(E1781))),"",IFERROR(E1781*N(INDEX(art_price,MATCH(C1781,art_ref,0))),""))</f>
        <v/>
      </c>
      <c r="K1781" s="39" t="str">
        <f>IF(OR(C1781="",NOT(ISNUMBER(E1781))),"",IFERROR(ROUND(N(INDEX(art_init,MATCH(C1781,art_ref,0)))+SUMIFS($E$5:E1781,$C$5:C1781,C1781,$B$5:B1781,"Entrée")-SUMIFS($E$5:E1781,$C$5:C1781,C1781,$B$5:B1781,"Sortie"),6),""))</f>
        <v/>
      </c>
      <c r="L1781" s="39" t="str">
        <f>IF(COUNTA(A1781:C1781,E1781)=0,"",IF(COUNTA(A1781:C1781,E1781)&lt;4,"Ligne incomplète",IF(NOT(ISNUMBER(A1781)),"Date invalide",IF(AND(B1781&lt;&gt;"Entrée",B1781&lt;&gt;"Sortie"),"Type inconnu",IF(ISNA(MATCH(C1781,art_ref,0)),"Référence inconnue",IF(OR(NOT(ISNUMBER(E1781)),N(E1781)&lt;=0),"Quantité invalide",IF(K1781&lt;0,"Stock négatif",IF(AND(ISNUMBER(A1780),A1781&lt;A1780),"Date hors ordre","OK"))))))))</f>
        <v/>
      </c>
      <c r="M1781" s="39" t="str">
        <f>IF(C1781="","",C1781&amp;"#"&amp;COUNTIF($C$5:C1781,C1781))</f>
        <v/>
      </c>
    </row>
    <row r="1782">
      <c r="A1782" s="41" t="n"/>
      <c r="B1782" s="37" t="n"/>
      <c r="C1782" s="37" t="n"/>
      <c r="D1782" s="39" t="str">
        <f>IF(C1782="","",IFERROR(INDEX(art_des,MATCH(C1782,art_ref,0))&amp;"","Référence inconnue"))</f>
        <v/>
      </c>
      <c r="E1782" s="37" t="n"/>
      <c r="F1782" s="39" t="str">
        <f>IF(C1782="","",IFERROR(INDEX(art_unit,MATCH(C1782,art_ref,0))&amp;"",""))</f>
        <v/>
      </c>
      <c r="G1782" s="37" t="n"/>
      <c r="H1782" s="37" t="n"/>
      <c r="I1782" s="37" t="n"/>
      <c r="J1782" s="40" t="str">
        <f>IF(OR(C1782="",NOT(ISNUMBER(E1782))),"",IFERROR(E1782*N(INDEX(art_price,MATCH(C1782,art_ref,0))),""))</f>
        <v/>
      </c>
      <c r="K1782" s="39" t="str">
        <f>IF(OR(C1782="",NOT(ISNUMBER(E1782))),"",IFERROR(ROUND(N(INDEX(art_init,MATCH(C1782,art_ref,0)))+SUMIFS($E$5:E1782,$C$5:C1782,C1782,$B$5:B1782,"Entrée")-SUMIFS($E$5:E1782,$C$5:C1782,C1782,$B$5:B1782,"Sortie"),6),""))</f>
        <v/>
      </c>
      <c r="L1782" s="39" t="str">
        <f>IF(COUNTA(A1782:C1782,E1782)=0,"",IF(COUNTA(A1782:C1782,E1782)&lt;4,"Ligne incomplète",IF(NOT(ISNUMBER(A1782)),"Date invalide",IF(AND(B1782&lt;&gt;"Entrée",B1782&lt;&gt;"Sortie"),"Type inconnu",IF(ISNA(MATCH(C1782,art_ref,0)),"Référence inconnue",IF(OR(NOT(ISNUMBER(E1782)),N(E1782)&lt;=0),"Quantité invalide",IF(K1782&lt;0,"Stock négatif",IF(AND(ISNUMBER(A1781),A1782&lt;A1781),"Date hors ordre","OK"))))))))</f>
        <v/>
      </c>
      <c r="M1782" s="39" t="str">
        <f>IF(C1782="","",C1782&amp;"#"&amp;COUNTIF($C$5:C1782,C1782))</f>
        <v/>
      </c>
    </row>
    <row r="1783">
      <c r="A1783" s="41" t="n"/>
      <c r="B1783" s="37" t="n"/>
      <c r="C1783" s="37" t="n"/>
      <c r="D1783" s="39" t="str">
        <f>IF(C1783="","",IFERROR(INDEX(art_des,MATCH(C1783,art_ref,0))&amp;"","Référence inconnue"))</f>
        <v/>
      </c>
      <c r="E1783" s="37" t="n"/>
      <c r="F1783" s="39" t="str">
        <f>IF(C1783="","",IFERROR(INDEX(art_unit,MATCH(C1783,art_ref,0))&amp;"",""))</f>
        <v/>
      </c>
      <c r="G1783" s="37" t="n"/>
      <c r="H1783" s="37" t="n"/>
      <c r="I1783" s="37" t="n"/>
      <c r="J1783" s="40" t="str">
        <f>IF(OR(C1783="",NOT(ISNUMBER(E1783))),"",IFERROR(E1783*N(INDEX(art_price,MATCH(C1783,art_ref,0))),""))</f>
        <v/>
      </c>
      <c r="K1783" s="39" t="str">
        <f>IF(OR(C1783="",NOT(ISNUMBER(E1783))),"",IFERROR(ROUND(N(INDEX(art_init,MATCH(C1783,art_ref,0)))+SUMIFS($E$5:E1783,$C$5:C1783,C1783,$B$5:B1783,"Entrée")-SUMIFS($E$5:E1783,$C$5:C1783,C1783,$B$5:B1783,"Sortie"),6),""))</f>
        <v/>
      </c>
      <c r="L1783" s="39" t="str">
        <f>IF(COUNTA(A1783:C1783,E1783)=0,"",IF(COUNTA(A1783:C1783,E1783)&lt;4,"Ligne incomplète",IF(NOT(ISNUMBER(A1783)),"Date invalide",IF(AND(B1783&lt;&gt;"Entrée",B1783&lt;&gt;"Sortie"),"Type inconnu",IF(ISNA(MATCH(C1783,art_ref,0)),"Référence inconnue",IF(OR(NOT(ISNUMBER(E1783)),N(E1783)&lt;=0),"Quantité invalide",IF(K1783&lt;0,"Stock négatif",IF(AND(ISNUMBER(A1782),A1783&lt;A1782),"Date hors ordre","OK"))))))))</f>
        <v/>
      </c>
      <c r="M1783" s="39" t="str">
        <f>IF(C1783="","",C1783&amp;"#"&amp;COUNTIF($C$5:C1783,C1783))</f>
        <v/>
      </c>
    </row>
    <row r="1784">
      <c r="A1784" s="41" t="n"/>
      <c r="B1784" s="37" t="n"/>
      <c r="C1784" s="37" t="n"/>
      <c r="D1784" s="39" t="str">
        <f>IF(C1784="","",IFERROR(INDEX(art_des,MATCH(C1784,art_ref,0))&amp;"","Référence inconnue"))</f>
        <v/>
      </c>
      <c r="E1784" s="37" t="n"/>
      <c r="F1784" s="39" t="str">
        <f>IF(C1784="","",IFERROR(INDEX(art_unit,MATCH(C1784,art_ref,0))&amp;"",""))</f>
        <v/>
      </c>
      <c r="G1784" s="37" t="n"/>
      <c r="H1784" s="37" t="n"/>
      <c r="I1784" s="37" t="n"/>
      <c r="J1784" s="40" t="str">
        <f>IF(OR(C1784="",NOT(ISNUMBER(E1784))),"",IFERROR(E1784*N(INDEX(art_price,MATCH(C1784,art_ref,0))),""))</f>
        <v/>
      </c>
      <c r="K1784" s="39" t="str">
        <f>IF(OR(C1784="",NOT(ISNUMBER(E1784))),"",IFERROR(ROUND(N(INDEX(art_init,MATCH(C1784,art_ref,0)))+SUMIFS($E$5:E1784,$C$5:C1784,C1784,$B$5:B1784,"Entrée")-SUMIFS($E$5:E1784,$C$5:C1784,C1784,$B$5:B1784,"Sortie"),6),""))</f>
        <v/>
      </c>
      <c r="L1784" s="39" t="str">
        <f>IF(COUNTA(A1784:C1784,E1784)=0,"",IF(COUNTA(A1784:C1784,E1784)&lt;4,"Ligne incomplète",IF(NOT(ISNUMBER(A1784)),"Date invalide",IF(AND(B1784&lt;&gt;"Entrée",B1784&lt;&gt;"Sortie"),"Type inconnu",IF(ISNA(MATCH(C1784,art_ref,0)),"Référence inconnue",IF(OR(NOT(ISNUMBER(E1784)),N(E1784)&lt;=0),"Quantité invalide",IF(K1784&lt;0,"Stock négatif",IF(AND(ISNUMBER(A1783),A1784&lt;A1783),"Date hors ordre","OK"))))))))</f>
        <v/>
      </c>
      <c r="M1784" s="39" t="str">
        <f>IF(C1784="","",C1784&amp;"#"&amp;COUNTIF($C$5:C1784,C1784))</f>
        <v/>
      </c>
    </row>
    <row r="1785">
      <c r="A1785" s="41" t="n"/>
      <c r="B1785" s="37" t="n"/>
      <c r="C1785" s="37" t="n"/>
      <c r="D1785" s="39" t="str">
        <f>IF(C1785="","",IFERROR(INDEX(art_des,MATCH(C1785,art_ref,0))&amp;"","Référence inconnue"))</f>
        <v/>
      </c>
      <c r="E1785" s="37" t="n"/>
      <c r="F1785" s="39" t="str">
        <f>IF(C1785="","",IFERROR(INDEX(art_unit,MATCH(C1785,art_ref,0))&amp;"",""))</f>
        <v/>
      </c>
      <c r="G1785" s="37" t="n"/>
      <c r="H1785" s="37" t="n"/>
      <c r="I1785" s="37" t="n"/>
      <c r="J1785" s="40" t="str">
        <f>IF(OR(C1785="",NOT(ISNUMBER(E1785))),"",IFERROR(E1785*N(INDEX(art_price,MATCH(C1785,art_ref,0))),""))</f>
        <v/>
      </c>
      <c r="K1785" s="39" t="str">
        <f>IF(OR(C1785="",NOT(ISNUMBER(E1785))),"",IFERROR(ROUND(N(INDEX(art_init,MATCH(C1785,art_ref,0)))+SUMIFS($E$5:E1785,$C$5:C1785,C1785,$B$5:B1785,"Entrée")-SUMIFS($E$5:E1785,$C$5:C1785,C1785,$B$5:B1785,"Sortie"),6),""))</f>
        <v/>
      </c>
      <c r="L1785" s="39" t="str">
        <f>IF(COUNTA(A1785:C1785,E1785)=0,"",IF(COUNTA(A1785:C1785,E1785)&lt;4,"Ligne incomplète",IF(NOT(ISNUMBER(A1785)),"Date invalide",IF(AND(B1785&lt;&gt;"Entrée",B1785&lt;&gt;"Sortie"),"Type inconnu",IF(ISNA(MATCH(C1785,art_ref,0)),"Référence inconnue",IF(OR(NOT(ISNUMBER(E1785)),N(E1785)&lt;=0),"Quantité invalide",IF(K1785&lt;0,"Stock négatif",IF(AND(ISNUMBER(A1784),A1785&lt;A1784),"Date hors ordre","OK"))))))))</f>
        <v/>
      </c>
      <c r="M1785" s="39" t="str">
        <f>IF(C1785="","",C1785&amp;"#"&amp;COUNTIF($C$5:C1785,C1785))</f>
        <v/>
      </c>
    </row>
    <row r="1786">
      <c r="A1786" s="41" t="n"/>
      <c r="B1786" s="37" t="n"/>
      <c r="C1786" s="37" t="n"/>
      <c r="D1786" s="39" t="str">
        <f>IF(C1786="","",IFERROR(INDEX(art_des,MATCH(C1786,art_ref,0))&amp;"","Référence inconnue"))</f>
        <v/>
      </c>
      <c r="E1786" s="37" t="n"/>
      <c r="F1786" s="39" t="str">
        <f>IF(C1786="","",IFERROR(INDEX(art_unit,MATCH(C1786,art_ref,0))&amp;"",""))</f>
        <v/>
      </c>
      <c r="G1786" s="37" t="n"/>
      <c r="H1786" s="37" t="n"/>
      <c r="I1786" s="37" t="n"/>
      <c r="J1786" s="40" t="str">
        <f>IF(OR(C1786="",NOT(ISNUMBER(E1786))),"",IFERROR(E1786*N(INDEX(art_price,MATCH(C1786,art_ref,0))),""))</f>
        <v/>
      </c>
      <c r="K1786" s="39" t="str">
        <f>IF(OR(C1786="",NOT(ISNUMBER(E1786))),"",IFERROR(ROUND(N(INDEX(art_init,MATCH(C1786,art_ref,0)))+SUMIFS($E$5:E1786,$C$5:C1786,C1786,$B$5:B1786,"Entrée")-SUMIFS($E$5:E1786,$C$5:C1786,C1786,$B$5:B1786,"Sortie"),6),""))</f>
        <v/>
      </c>
      <c r="L1786" s="39" t="str">
        <f>IF(COUNTA(A1786:C1786,E1786)=0,"",IF(COUNTA(A1786:C1786,E1786)&lt;4,"Ligne incomplète",IF(NOT(ISNUMBER(A1786)),"Date invalide",IF(AND(B1786&lt;&gt;"Entrée",B1786&lt;&gt;"Sortie"),"Type inconnu",IF(ISNA(MATCH(C1786,art_ref,0)),"Référence inconnue",IF(OR(NOT(ISNUMBER(E1786)),N(E1786)&lt;=0),"Quantité invalide",IF(K1786&lt;0,"Stock négatif",IF(AND(ISNUMBER(A1785),A1786&lt;A1785),"Date hors ordre","OK"))))))))</f>
        <v/>
      </c>
      <c r="M1786" s="39" t="str">
        <f>IF(C1786="","",C1786&amp;"#"&amp;COUNTIF($C$5:C1786,C1786))</f>
        <v/>
      </c>
    </row>
    <row r="1787">
      <c r="A1787" s="41" t="n"/>
      <c r="B1787" s="37" t="n"/>
      <c r="C1787" s="37" t="n"/>
      <c r="D1787" s="39" t="str">
        <f>IF(C1787="","",IFERROR(INDEX(art_des,MATCH(C1787,art_ref,0))&amp;"","Référence inconnue"))</f>
        <v/>
      </c>
      <c r="E1787" s="37" t="n"/>
      <c r="F1787" s="39" t="str">
        <f>IF(C1787="","",IFERROR(INDEX(art_unit,MATCH(C1787,art_ref,0))&amp;"",""))</f>
        <v/>
      </c>
      <c r="G1787" s="37" t="n"/>
      <c r="H1787" s="37" t="n"/>
      <c r="I1787" s="37" t="n"/>
      <c r="J1787" s="40" t="str">
        <f>IF(OR(C1787="",NOT(ISNUMBER(E1787))),"",IFERROR(E1787*N(INDEX(art_price,MATCH(C1787,art_ref,0))),""))</f>
        <v/>
      </c>
      <c r="K1787" s="39" t="str">
        <f>IF(OR(C1787="",NOT(ISNUMBER(E1787))),"",IFERROR(ROUND(N(INDEX(art_init,MATCH(C1787,art_ref,0)))+SUMIFS($E$5:E1787,$C$5:C1787,C1787,$B$5:B1787,"Entrée")-SUMIFS($E$5:E1787,$C$5:C1787,C1787,$B$5:B1787,"Sortie"),6),""))</f>
        <v/>
      </c>
      <c r="L1787" s="39" t="str">
        <f>IF(COUNTA(A1787:C1787,E1787)=0,"",IF(COUNTA(A1787:C1787,E1787)&lt;4,"Ligne incomplète",IF(NOT(ISNUMBER(A1787)),"Date invalide",IF(AND(B1787&lt;&gt;"Entrée",B1787&lt;&gt;"Sortie"),"Type inconnu",IF(ISNA(MATCH(C1787,art_ref,0)),"Référence inconnue",IF(OR(NOT(ISNUMBER(E1787)),N(E1787)&lt;=0),"Quantité invalide",IF(K1787&lt;0,"Stock négatif",IF(AND(ISNUMBER(A1786),A1787&lt;A1786),"Date hors ordre","OK"))))))))</f>
        <v/>
      </c>
      <c r="M1787" s="39" t="str">
        <f>IF(C1787="","",C1787&amp;"#"&amp;COUNTIF($C$5:C1787,C1787))</f>
        <v/>
      </c>
    </row>
    <row r="1788">
      <c r="A1788" s="41" t="n"/>
      <c r="B1788" s="37" t="n"/>
      <c r="C1788" s="37" t="n"/>
      <c r="D1788" s="39" t="str">
        <f>IF(C1788="","",IFERROR(INDEX(art_des,MATCH(C1788,art_ref,0))&amp;"","Référence inconnue"))</f>
        <v/>
      </c>
      <c r="E1788" s="37" t="n"/>
      <c r="F1788" s="39" t="str">
        <f>IF(C1788="","",IFERROR(INDEX(art_unit,MATCH(C1788,art_ref,0))&amp;"",""))</f>
        <v/>
      </c>
      <c r="G1788" s="37" t="n"/>
      <c r="H1788" s="37" t="n"/>
      <c r="I1788" s="37" t="n"/>
      <c r="J1788" s="40" t="str">
        <f>IF(OR(C1788="",NOT(ISNUMBER(E1788))),"",IFERROR(E1788*N(INDEX(art_price,MATCH(C1788,art_ref,0))),""))</f>
        <v/>
      </c>
      <c r="K1788" s="39" t="str">
        <f>IF(OR(C1788="",NOT(ISNUMBER(E1788))),"",IFERROR(ROUND(N(INDEX(art_init,MATCH(C1788,art_ref,0)))+SUMIFS($E$5:E1788,$C$5:C1788,C1788,$B$5:B1788,"Entrée")-SUMIFS($E$5:E1788,$C$5:C1788,C1788,$B$5:B1788,"Sortie"),6),""))</f>
        <v/>
      </c>
      <c r="L1788" s="39" t="str">
        <f>IF(COUNTA(A1788:C1788,E1788)=0,"",IF(COUNTA(A1788:C1788,E1788)&lt;4,"Ligne incomplète",IF(NOT(ISNUMBER(A1788)),"Date invalide",IF(AND(B1788&lt;&gt;"Entrée",B1788&lt;&gt;"Sortie"),"Type inconnu",IF(ISNA(MATCH(C1788,art_ref,0)),"Référence inconnue",IF(OR(NOT(ISNUMBER(E1788)),N(E1788)&lt;=0),"Quantité invalide",IF(K1788&lt;0,"Stock négatif",IF(AND(ISNUMBER(A1787),A1788&lt;A1787),"Date hors ordre","OK"))))))))</f>
        <v/>
      </c>
      <c r="M1788" s="39" t="str">
        <f>IF(C1788="","",C1788&amp;"#"&amp;COUNTIF($C$5:C1788,C1788))</f>
        <v/>
      </c>
    </row>
    <row r="1789">
      <c r="A1789" s="41" t="n"/>
      <c r="B1789" s="37" t="n"/>
      <c r="C1789" s="37" t="n"/>
      <c r="D1789" s="39" t="str">
        <f>IF(C1789="","",IFERROR(INDEX(art_des,MATCH(C1789,art_ref,0))&amp;"","Référence inconnue"))</f>
        <v/>
      </c>
      <c r="E1789" s="37" t="n"/>
      <c r="F1789" s="39" t="str">
        <f>IF(C1789="","",IFERROR(INDEX(art_unit,MATCH(C1789,art_ref,0))&amp;"",""))</f>
        <v/>
      </c>
      <c r="G1789" s="37" t="n"/>
      <c r="H1789" s="37" t="n"/>
      <c r="I1789" s="37" t="n"/>
      <c r="J1789" s="40" t="str">
        <f>IF(OR(C1789="",NOT(ISNUMBER(E1789))),"",IFERROR(E1789*N(INDEX(art_price,MATCH(C1789,art_ref,0))),""))</f>
        <v/>
      </c>
      <c r="K1789" s="39" t="str">
        <f>IF(OR(C1789="",NOT(ISNUMBER(E1789))),"",IFERROR(ROUND(N(INDEX(art_init,MATCH(C1789,art_ref,0)))+SUMIFS($E$5:E1789,$C$5:C1789,C1789,$B$5:B1789,"Entrée")-SUMIFS($E$5:E1789,$C$5:C1789,C1789,$B$5:B1789,"Sortie"),6),""))</f>
        <v/>
      </c>
      <c r="L1789" s="39" t="str">
        <f>IF(COUNTA(A1789:C1789,E1789)=0,"",IF(COUNTA(A1789:C1789,E1789)&lt;4,"Ligne incomplète",IF(NOT(ISNUMBER(A1789)),"Date invalide",IF(AND(B1789&lt;&gt;"Entrée",B1789&lt;&gt;"Sortie"),"Type inconnu",IF(ISNA(MATCH(C1789,art_ref,0)),"Référence inconnue",IF(OR(NOT(ISNUMBER(E1789)),N(E1789)&lt;=0),"Quantité invalide",IF(K1789&lt;0,"Stock négatif",IF(AND(ISNUMBER(A1788),A1789&lt;A1788),"Date hors ordre","OK"))))))))</f>
        <v/>
      </c>
      <c r="M1789" s="39" t="str">
        <f>IF(C1789="","",C1789&amp;"#"&amp;COUNTIF($C$5:C1789,C1789))</f>
        <v/>
      </c>
    </row>
    <row r="1790">
      <c r="A1790" s="41" t="n"/>
      <c r="B1790" s="37" t="n"/>
      <c r="C1790" s="37" t="n"/>
      <c r="D1790" s="39" t="str">
        <f>IF(C1790="","",IFERROR(INDEX(art_des,MATCH(C1790,art_ref,0))&amp;"","Référence inconnue"))</f>
        <v/>
      </c>
      <c r="E1790" s="37" t="n"/>
      <c r="F1790" s="39" t="str">
        <f>IF(C1790="","",IFERROR(INDEX(art_unit,MATCH(C1790,art_ref,0))&amp;"",""))</f>
        <v/>
      </c>
      <c r="G1790" s="37" t="n"/>
      <c r="H1790" s="37" t="n"/>
      <c r="I1790" s="37" t="n"/>
      <c r="J1790" s="40" t="str">
        <f>IF(OR(C1790="",NOT(ISNUMBER(E1790))),"",IFERROR(E1790*N(INDEX(art_price,MATCH(C1790,art_ref,0))),""))</f>
        <v/>
      </c>
      <c r="K1790" s="39" t="str">
        <f>IF(OR(C1790="",NOT(ISNUMBER(E1790))),"",IFERROR(ROUND(N(INDEX(art_init,MATCH(C1790,art_ref,0)))+SUMIFS($E$5:E1790,$C$5:C1790,C1790,$B$5:B1790,"Entrée")-SUMIFS($E$5:E1790,$C$5:C1790,C1790,$B$5:B1790,"Sortie"),6),""))</f>
        <v/>
      </c>
      <c r="L1790" s="39" t="str">
        <f>IF(COUNTA(A1790:C1790,E1790)=0,"",IF(COUNTA(A1790:C1790,E1790)&lt;4,"Ligne incomplète",IF(NOT(ISNUMBER(A1790)),"Date invalide",IF(AND(B1790&lt;&gt;"Entrée",B1790&lt;&gt;"Sortie"),"Type inconnu",IF(ISNA(MATCH(C1790,art_ref,0)),"Référence inconnue",IF(OR(NOT(ISNUMBER(E1790)),N(E1790)&lt;=0),"Quantité invalide",IF(K1790&lt;0,"Stock négatif",IF(AND(ISNUMBER(A1789),A1790&lt;A1789),"Date hors ordre","OK"))))))))</f>
        <v/>
      </c>
      <c r="M1790" s="39" t="str">
        <f>IF(C1790="","",C1790&amp;"#"&amp;COUNTIF($C$5:C1790,C1790))</f>
        <v/>
      </c>
    </row>
    <row r="1791">
      <c r="A1791" s="41" t="n"/>
      <c r="B1791" s="37" t="n"/>
      <c r="C1791" s="37" t="n"/>
      <c r="D1791" s="39" t="str">
        <f>IF(C1791="","",IFERROR(INDEX(art_des,MATCH(C1791,art_ref,0))&amp;"","Référence inconnue"))</f>
        <v/>
      </c>
      <c r="E1791" s="37" t="n"/>
      <c r="F1791" s="39" t="str">
        <f>IF(C1791="","",IFERROR(INDEX(art_unit,MATCH(C1791,art_ref,0))&amp;"",""))</f>
        <v/>
      </c>
      <c r="G1791" s="37" t="n"/>
      <c r="H1791" s="37" t="n"/>
      <c r="I1791" s="37" t="n"/>
      <c r="J1791" s="40" t="str">
        <f>IF(OR(C1791="",NOT(ISNUMBER(E1791))),"",IFERROR(E1791*N(INDEX(art_price,MATCH(C1791,art_ref,0))),""))</f>
        <v/>
      </c>
      <c r="K1791" s="39" t="str">
        <f>IF(OR(C1791="",NOT(ISNUMBER(E1791))),"",IFERROR(ROUND(N(INDEX(art_init,MATCH(C1791,art_ref,0)))+SUMIFS($E$5:E1791,$C$5:C1791,C1791,$B$5:B1791,"Entrée")-SUMIFS($E$5:E1791,$C$5:C1791,C1791,$B$5:B1791,"Sortie"),6),""))</f>
        <v/>
      </c>
      <c r="L1791" s="39" t="str">
        <f>IF(COUNTA(A1791:C1791,E1791)=0,"",IF(COUNTA(A1791:C1791,E1791)&lt;4,"Ligne incomplète",IF(NOT(ISNUMBER(A1791)),"Date invalide",IF(AND(B1791&lt;&gt;"Entrée",B1791&lt;&gt;"Sortie"),"Type inconnu",IF(ISNA(MATCH(C1791,art_ref,0)),"Référence inconnue",IF(OR(NOT(ISNUMBER(E1791)),N(E1791)&lt;=0),"Quantité invalide",IF(K1791&lt;0,"Stock négatif",IF(AND(ISNUMBER(A1790),A1791&lt;A1790),"Date hors ordre","OK"))))))))</f>
        <v/>
      </c>
      <c r="M1791" s="39" t="str">
        <f>IF(C1791="","",C1791&amp;"#"&amp;COUNTIF($C$5:C1791,C1791))</f>
        <v/>
      </c>
    </row>
    <row r="1792">
      <c r="A1792" s="41" t="n"/>
      <c r="B1792" s="37" t="n"/>
      <c r="C1792" s="37" t="n"/>
      <c r="D1792" s="39" t="str">
        <f>IF(C1792="","",IFERROR(INDEX(art_des,MATCH(C1792,art_ref,0))&amp;"","Référence inconnue"))</f>
        <v/>
      </c>
      <c r="E1792" s="37" t="n"/>
      <c r="F1792" s="39" t="str">
        <f>IF(C1792="","",IFERROR(INDEX(art_unit,MATCH(C1792,art_ref,0))&amp;"",""))</f>
        <v/>
      </c>
      <c r="G1792" s="37" t="n"/>
      <c r="H1792" s="37" t="n"/>
      <c r="I1792" s="37" t="n"/>
      <c r="J1792" s="40" t="str">
        <f>IF(OR(C1792="",NOT(ISNUMBER(E1792))),"",IFERROR(E1792*N(INDEX(art_price,MATCH(C1792,art_ref,0))),""))</f>
        <v/>
      </c>
      <c r="K1792" s="39" t="str">
        <f>IF(OR(C1792="",NOT(ISNUMBER(E1792))),"",IFERROR(ROUND(N(INDEX(art_init,MATCH(C1792,art_ref,0)))+SUMIFS($E$5:E1792,$C$5:C1792,C1792,$B$5:B1792,"Entrée")-SUMIFS($E$5:E1792,$C$5:C1792,C1792,$B$5:B1792,"Sortie"),6),""))</f>
        <v/>
      </c>
      <c r="L1792" s="39" t="str">
        <f>IF(COUNTA(A1792:C1792,E1792)=0,"",IF(COUNTA(A1792:C1792,E1792)&lt;4,"Ligne incomplète",IF(NOT(ISNUMBER(A1792)),"Date invalide",IF(AND(B1792&lt;&gt;"Entrée",B1792&lt;&gt;"Sortie"),"Type inconnu",IF(ISNA(MATCH(C1792,art_ref,0)),"Référence inconnue",IF(OR(NOT(ISNUMBER(E1792)),N(E1792)&lt;=0),"Quantité invalide",IF(K1792&lt;0,"Stock négatif",IF(AND(ISNUMBER(A1791),A1792&lt;A1791),"Date hors ordre","OK"))))))))</f>
        <v/>
      </c>
      <c r="M1792" s="39" t="str">
        <f>IF(C1792="","",C1792&amp;"#"&amp;COUNTIF($C$5:C1792,C1792))</f>
        <v/>
      </c>
    </row>
    <row r="1793">
      <c r="A1793" s="41" t="n"/>
      <c r="B1793" s="37" t="n"/>
      <c r="C1793" s="37" t="n"/>
      <c r="D1793" s="39" t="str">
        <f>IF(C1793="","",IFERROR(INDEX(art_des,MATCH(C1793,art_ref,0))&amp;"","Référence inconnue"))</f>
        <v/>
      </c>
      <c r="E1793" s="37" t="n"/>
      <c r="F1793" s="39" t="str">
        <f>IF(C1793="","",IFERROR(INDEX(art_unit,MATCH(C1793,art_ref,0))&amp;"",""))</f>
        <v/>
      </c>
      <c r="G1793" s="37" t="n"/>
      <c r="H1793" s="37" t="n"/>
      <c r="I1793" s="37" t="n"/>
      <c r="J1793" s="40" t="str">
        <f>IF(OR(C1793="",NOT(ISNUMBER(E1793))),"",IFERROR(E1793*N(INDEX(art_price,MATCH(C1793,art_ref,0))),""))</f>
        <v/>
      </c>
      <c r="K1793" s="39" t="str">
        <f>IF(OR(C1793="",NOT(ISNUMBER(E1793))),"",IFERROR(ROUND(N(INDEX(art_init,MATCH(C1793,art_ref,0)))+SUMIFS($E$5:E1793,$C$5:C1793,C1793,$B$5:B1793,"Entrée")-SUMIFS($E$5:E1793,$C$5:C1793,C1793,$B$5:B1793,"Sortie"),6),""))</f>
        <v/>
      </c>
      <c r="L1793" s="39" t="str">
        <f>IF(COUNTA(A1793:C1793,E1793)=0,"",IF(COUNTA(A1793:C1793,E1793)&lt;4,"Ligne incomplète",IF(NOT(ISNUMBER(A1793)),"Date invalide",IF(AND(B1793&lt;&gt;"Entrée",B1793&lt;&gt;"Sortie"),"Type inconnu",IF(ISNA(MATCH(C1793,art_ref,0)),"Référence inconnue",IF(OR(NOT(ISNUMBER(E1793)),N(E1793)&lt;=0),"Quantité invalide",IF(K1793&lt;0,"Stock négatif",IF(AND(ISNUMBER(A1792),A1793&lt;A1792),"Date hors ordre","OK"))))))))</f>
        <v/>
      </c>
      <c r="M1793" s="39" t="str">
        <f>IF(C1793="","",C1793&amp;"#"&amp;COUNTIF($C$5:C1793,C1793))</f>
        <v/>
      </c>
    </row>
    <row r="1794">
      <c r="A1794" s="41" t="n"/>
      <c r="B1794" s="37" t="n"/>
      <c r="C1794" s="37" t="n"/>
      <c r="D1794" s="39" t="str">
        <f>IF(C1794="","",IFERROR(INDEX(art_des,MATCH(C1794,art_ref,0))&amp;"","Référence inconnue"))</f>
        <v/>
      </c>
      <c r="E1794" s="37" t="n"/>
      <c r="F1794" s="39" t="str">
        <f>IF(C1794="","",IFERROR(INDEX(art_unit,MATCH(C1794,art_ref,0))&amp;"",""))</f>
        <v/>
      </c>
      <c r="G1794" s="37" t="n"/>
      <c r="H1794" s="37" t="n"/>
      <c r="I1794" s="37" t="n"/>
      <c r="J1794" s="40" t="str">
        <f>IF(OR(C1794="",NOT(ISNUMBER(E1794))),"",IFERROR(E1794*N(INDEX(art_price,MATCH(C1794,art_ref,0))),""))</f>
        <v/>
      </c>
      <c r="K1794" s="39" t="str">
        <f>IF(OR(C1794="",NOT(ISNUMBER(E1794))),"",IFERROR(ROUND(N(INDEX(art_init,MATCH(C1794,art_ref,0)))+SUMIFS($E$5:E1794,$C$5:C1794,C1794,$B$5:B1794,"Entrée")-SUMIFS($E$5:E1794,$C$5:C1794,C1794,$B$5:B1794,"Sortie"),6),""))</f>
        <v/>
      </c>
      <c r="L1794" s="39" t="str">
        <f>IF(COUNTA(A1794:C1794,E1794)=0,"",IF(COUNTA(A1794:C1794,E1794)&lt;4,"Ligne incomplète",IF(NOT(ISNUMBER(A1794)),"Date invalide",IF(AND(B1794&lt;&gt;"Entrée",B1794&lt;&gt;"Sortie"),"Type inconnu",IF(ISNA(MATCH(C1794,art_ref,0)),"Référence inconnue",IF(OR(NOT(ISNUMBER(E1794)),N(E1794)&lt;=0),"Quantité invalide",IF(K1794&lt;0,"Stock négatif",IF(AND(ISNUMBER(A1793),A1794&lt;A1793),"Date hors ordre","OK"))))))))</f>
        <v/>
      </c>
      <c r="M1794" s="39" t="str">
        <f>IF(C1794="","",C1794&amp;"#"&amp;COUNTIF($C$5:C1794,C1794))</f>
        <v/>
      </c>
    </row>
    <row r="1795">
      <c r="A1795" s="41" t="n"/>
      <c r="B1795" s="37" t="n"/>
      <c r="C1795" s="37" t="n"/>
      <c r="D1795" s="39" t="str">
        <f>IF(C1795="","",IFERROR(INDEX(art_des,MATCH(C1795,art_ref,0))&amp;"","Référence inconnue"))</f>
        <v/>
      </c>
      <c r="E1795" s="37" t="n"/>
      <c r="F1795" s="39" t="str">
        <f>IF(C1795="","",IFERROR(INDEX(art_unit,MATCH(C1795,art_ref,0))&amp;"",""))</f>
        <v/>
      </c>
      <c r="G1795" s="37" t="n"/>
      <c r="H1795" s="37" t="n"/>
      <c r="I1795" s="37" t="n"/>
      <c r="J1795" s="40" t="str">
        <f>IF(OR(C1795="",NOT(ISNUMBER(E1795))),"",IFERROR(E1795*N(INDEX(art_price,MATCH(C1795,art_ref,0))),""))</f>
        <v/>
      </c>
      <c r="K1795" s="39" t="str">
        <f>IF(OR(C1795="",NOT(ISNUMBER(E1795))),"",IFERROR(ROUND(N(INDEX(art_init,MATCH(C1795,art_ref,0)))+SUMIFS($E$5:E1795,$C$5:C1795,C1795,$B$5:B1795,"Entrée")-SUMIFS($E$5:E1795,$C$5:C1795,C1795,$B$5:B1795,"Sortie"),6),""))</f>
        <v/>
      </c>
      <c r="L1795" s="39" t="str">
        <f>IF(COUNTA(A1795:C1795,E1795)=0,"",IF(COUNTA(A1795:C1795,E1795)&lt;4,"Ligne incomplète",IF(NOT(ISNUMBER(A1795)),"Date invalide",IF(AND(B1795&lt;&gt;"Entrée",B1795&lt;&gt;"Sortie"),"Type inconnu",IF(ISNA(MATCH(C1795,art_ref,0)),"Référence inconnue",IF(OR(NOT(ISNUMBER(E1795)),N(E1795)&lt;=0),"Quantité invalide",IF(K1795&lt;0,"Stock négatif",IF(AND(ISNUMBER(A1794),A1795&lt;A1794),"Date hors ordre","OK"))))))))</f>
        <v/>
      </c>
      <c r="M1795" s="39" t="str">
        <f>IF(C1795="","",C1795&amp;"#"&amp;COUNTIF($C$5:C1795,C1795))</f>
        <v/>
      </c>
    </row>
    <row r="1796">
      <c r="A1796" s="41" t="n"/>
      <c r="B1796" s="37" t="n"/>
      <c r="C1796" s="37" t="n"/>
      <c r="D1796" s="39" t="str">
        <f>IF(C1796="","",IFERROR(INDEX(art_des,MATCH(C1796,art_ref,0))&amp;"","Référence inconnue"))</f>
        <v/>
      </c>
      <c r="E1796" s="37" t="n"/>
      <c r="F1796" s="39" t="str">
        <f>IF(C1796="","",IFERROR(INDEX(art_unit,MATCH(C1796,art_ref,0))&amp;"",""))</f>
        <v/>
      </c>
      <c r="G1796" s="37" t="n"/>
      <c r="H1796" s="37" t="n"/>
      <c r="I1796" s="37" t="n"/>
      <c r="J1796" s="40" t="str">
        <f>IF(OR(C1796="",NOT(ISNUMBER(E1796))),"",IFERROR(E1796*N(INDEX(art_price,MATCH(C1796,art_ref,0))),""))</f>
        <v/>
      </c>
      <c r="K1796" s="39" t="str">
        <f>IF(OR(C1796="",NOT(ISNUMBER(E1796))),"",IFERROR(ROUND(N(INDEX(art_init,MATCH(C1796,art_ref,0)))+SUMIFS($E$5:E1796,$C$5:C1796,C1796,$B$5:B1796,"Entrée")-SUMIFS($E$5:E1796,$C$5:C1796,C1796,$B$5:B1796,"Sortie"),6),""))</f>
        <v/>
      </c>
      <c r="L1796" s="39" t="str">
        <f>IF(COUNTA(A1796:C1796,E1796)=0,"",IF(COUNTA(A1796:C1796,E1796)&lt;4,"Ligne incomplète",IF(NOT(ISNUMBER(A1796)),"Date invalide",IF(AND(B1796&lt;&gt;"Entrée",B1796&lt;&gt;"Sortie"),"Type inconnu",IF(ISNA(MATCH(C1796,art_ref,0)),"Référence inconnue",IF(OR(NOT(ISNUMBER(E1796)),N(E1796)&lt;=0),"Quantité invalide",IF(K1796&lt;0,"Stock négatif",IF(AND(ISNUMBER(A1795),A1796&lt;A1795),"Date hors ordre","OK"))))))))</f>
        <v/>
      </c>
      <c r="M1796" s="39" t="str">
        <f>IF(C1796="","",C1796&amp;"#"&amp;COUNTIF($C$5:C1796,C1796))</f>
        <v/>
      </c>
    </row>
    <row r="1797">
      <c r="A1797" s="41" t="n"/>
      <c r="B1797" s="37" t="n"/>
      <c r="C1797" s="37" t="n"/>
      <c r="D1797" s="39" t="str">
        <f>IF(C1797="","",IFERROR(INDEX(art_des,MATCH(C1797,art_ref,0))&amp;"","Référence inconnue"))</f>
        <v/>
      </c>
      <c r="E1797" s="37" t="n"/>
      <c r="F1797" s="39" t="str">
        <f>IF(C1797="","",IFERROR(INDEX(art_unit,MATCH(C1797,art_ref,0))&amp;"",""))</f>
        <v/>
      </c>
      <c r="G1797" s="37" t="n"/>
      <c r="H1797" s="37" t="n"/>
      <c r="I1797" s="37" t="n"/>
      <c r="J1797" s="40" t="str">
        <f>IF(OR(C1797="",NOT(ISNUMBER(E1797))),"",IFERROR(E1797*N(INDEX(art_price,MATCH(C1797,art_ref,0))),""))</f>
        <v/>
      </c>
      <c r="K1797" s="39" t="str">
        <f>IF(OR(C1797="",NOT(ISNUMBER(E1797))),"",IFERROR(ROUND(N(INDEX(art_init,MATCH(C1797,art_ref,0)))+SUMIFS($E$5:E1797,$C$5:C1797,C1797,$B$5:B1797,"Entrée")-SUMIFS($E$5:E1797,$C$5:C1797,C1797,$B$5:B1797,"Sortie"),6),""))</f>
        <v/>
      </c>
      <c r="L1797" s="39" t="str">
        <f>IF(COUNTA(A1797:C1797,E1797)=0,"",IF(COUNTA(A1797:C1797,E1797)&lt;4,"Ligne incomplète",IF(NOT(ISNUMBER(A1797)),"Date invalide",IF(AND(B1797&lt;&gt;"Entrée",B1797&lt;&gt;"Sortie"),"Type inconnu",IF(ISNA(MATCH(C1797,art_ref,0)),"Référence inconnue",IF(OR(NOT(ISNUMBER(E1797)),N(E1797)&lt;=0),"Quantité invalide",IF(K1797&lt;0,"Stock négatif",IF(AND(ISNUMBER(A1796),A1797&lt;A1796),"Date hors ordre","OK"))))))))</f>
        <v/>
      </c>
      <c r="M1797" s="39" t="str">
        <f>IF(C1797="","",C1797&amp;"#"&amp;COUNTIF($C$5:C1797,C1797))</f>
        <v/>
      </c>
    </row>
    <row r="1798">
      <c r="A1798" s="41" t="n"/>
      <c r="B1798" s="37" t="n"/>
      <c r="C1798" s="37" t="n"/>
      <c r="D1798" s="39" t="str">
        <f>IF(C1798="","",IFERROR(INDEX(art_des,MATCH(C1798,art_ref,0))&amp;"","Référence inconnue"))</f>
        <v/>
      </c>
      <c r="E1798" s="37" t="n"/>
      <c r="F1798" s="39" t="str">
        <f>IF(C1798="","",IFERROR(INDEX(art_unit,MATCH(C1798,art_ref,0))&amp;"",""))</f>
        <v/>
      </c>
      <c r="G1798" s="37" t="n"/>
      <c r="H1798" s="37" t="n"/>
      <c r="I1798" s="37" t="n"/>
      <c r="J1798" s="40" t="str">
        <f>IF(OR(C1798="",NOT(ISNUMBER(E1798))),"",IFERROR(E1798*N(INDEX(art_price,MATCH(C1798,art_ref,0))),""))</f>
        <v/>
      </c>
      <c r="K1798" s="39" t="str">
        <f>IF(OR(C1798="",NOT(ISNUMBER(E1798))),"",IFERROR(ROUND(N(INDEX(art_init,MATCH(C1798,art_ref,0)))+SUMIFS($E$5:E1798,$C$5:C1798,C1798,$B$5:B1798,"Entrée")-SUMIFS($E$5:E1798,$C$5:C1798,C1798,$B$5:B1798,"Sortie"),6),""))</f>
        <v/>
      </c>
      <c r="L1798" s="39" t="str">
        <f>IF(COUNTA(A1798:C1798,E1798)=0,"",IF(COUNTA(A1798:C1798,E1798)&lt;4,"Ligne incomplète",IF(NOT(ISNUMBER(A1798)),"Date invalide",IF(AND(B1798&lt;&gt;"Entrée",B1798&lt;&gt;"Sortie"),"Type inconnu",IF(ISNA(MATCH(C1798,art_ref,0)),"Référence inconnue",IF(OR(NOT(ISNUMBER(E1798)),N(E1798)&lt;=0),"Quantité invalide",IF(K1798&lt;0,"Stock négatif",IF(AND(ISNUMBER(A1797),A1798&lt;A1797),"Date hors ordre","OK"))))))))</f>
        <v/>
      </c>
      <c r="M1798" s="39" t="str">
        <f>IF(C1798="","",C1798&amp;"#"&amp;COUNTIF($C$5:C1798,C1798))</f>
        <v/>
      </c>
    </row>
    <row r="1799">
      <c r="A1799" s="41" t="n"/>
      <c r="B1799" s="37" t="n"/>
      <c r="C1799" s="37" t="n"/>
      <c r="D1799" s="39" t="str">
        <f>IF(C1799="","",IFERROR(INDEX(art_des,MATCH(C1799,art_ref,0))&amp;"","Référence inconnue"))</f>
        <v/>
      </c>
      <c r="E1799" s="37" t="n"/>
      <c r="F1799" s="39" t="str">
        <f>IF(C1799="","",IFERROR(INDEX(art_unit,MATCH(C1799,art_ref,0))&amp;"",""))</f>
        <v/>
      </c>
      <c r="G1799" s="37" t="n"/>
      <c r="H1799" s="37" t="n"/>
      <c r="I1799" s="37" t="n"/>
      <c r="J1799" s="40" t="str">
        <f>IF(OR(C1799="",NOT(ISNUMBER(E1799))),"",IFERROR(E1799*N(INDEX(art_price,MATCH(C1799,art_ref,0))),""))</f>
        <v/>
      </c>
      <c r="K1799" s="39" t="str">
        <f>IF(OR(C1799="",NOT(ISNUMBER(E1799))),"",IFERROR(ROUND(N(INDEX(art_init,MATCH(C1799,art_ref,0)))+SUMIFS($E$5:E1799,$C$5:C1799,C1799,$B$5:B1799,"Entrée")-SUMIFS($E$5:E1799,$C$5:C1799,C1799,$B$5:B1799,"Sortie"),6),""))</f>
        <v/>
      </c>
      <c r="L1799" s="39" t="str">
        <f>IF(COUNTA(A1799:C1799,E1799)=0,"",IF(COUNTA(A1799:C1799,E1799)&lt;4,"Ligne incomplète",IF(NOT(ISNUMBER(A1799)),"Date invalide",IF(AND(B1799&lt;&gt;"Entrée",B1799&lt;&gt;"Sortie"),"Type inconnu",IF(ISNA(MATCH(C1799,art_ref,0)),"Référence inconnue",IF(OR(NOT(ISNUMBER(E1799)),N(E1799)&lt;=0),"Quantité invalide",IF(K1799&lt;0,"Stock négatif",IF(AND(ISNUMBER(A1798),A1799&lt;A1798),"Date hors ordre","OK"))))))))</f>
        <v/>
      </c>
      <c r="M1799" s="39" t="str">
        <f>IF(C1799="","",C1799&amp;"#"&amp;COUNTIF($C$5:C1799,C1799))</f>
        <v/>
      </c>
    </row>
    <row r="1800">
      <c r="A1800" s="41" t="n"/>
      <c r="B1800" s="37" t="n"/>
      <c r="C1800" s="37" t="n"/>
      <c r="D1800" s="39" t="str">
        <f>IF(C1800="","",IFERROR(INDEX(art_des,MATCH(C1800,art_ref,0))&amp;"","Référence inconnue"))</f>
        <v/>
      </c>
      <c r="E1800" s="37" t="n"/>
      <c r="F1800" s="39" t="str">
        <f>IF(C1800="","",IFERROR(INDEX(art_unit,MATCH(C1800,art_ref,0))&amp;"",""))</f>
        <v/>
      </c>
      <c r="G1800" s="37" t="n"/>
      <c r="H1800" s="37" t="n"/>
      <c r="I1800" s="37" t="n"/>
      <c r="J1800" s="40" t="str">
        <f>IF(OR(C1800="",NOT(ISNUMBER(E1800))),"",IFERROR(E1800*N(INDEX(art_price,MATCH(C1800,art_ref,0))),""))</f>
        <v/>
      </c>
      <c r="K1800" s="39" t="str">
        <f>IF(OR(C1800="",NOT(ISNUMBER(E1800))),"",IFERROR(ROUND(N(INDEX(art_init,MATCH(C1800,art_ref,0)))+SUMIFS($E$5:E1800,$C$5:C1800,C1800,$B$5:B1800,"Entrée")-SUMIFS($E$5:E1800,$C$5:C1800,C1800,$B$5:B1800,"Sortie"),6),""))</f>
        <v/>
      </c>
      <c r="L1800" s="39" t="str">
        <f>IF(COUNTA(A1800:C1800,E1800)=0,"",IF(COUNTA(A1800:C1800,E1800)&lt;4,"Ligne incomplète",IF(NOT(ISNUMBER(A1800)),"Date invalide",IF(AND(B1800&lt;&gt;"Entrée",B1800&lt;&gt;"Sortie"),"Type inconnu",IF(ISNA(MATCH(C1800,art_ref,0)),"Référence inconnue",IF(OR(NOT(ISNUMBER(E1800)),N(E1800)&lt;=0),"Quantité invalide",IF(K1800&lt;0,"Stock négatif",IF(AND(ISNUMBER(A1799),A1800&lt;A1799),"Date hors ordre","OK"))))))))</f>
        <v/>
      </c>
      <c r="M1800" s="39" t="str">
        <f>IF(C1800="","",C1800&amp;"#"&amp;COUNTIF($C$5:C1800,C1800))</f>
        <v/>
      </c>
    </row>
    <row r="1801">
      <c r="A1801" s="41" t="n"/>
      <c r="B1801" s="37" t="n"/>
      <c r="C1801" s="37" t="n"/>
      <c r="D1801" s="39" t="str">
        <f>IF(C1801="","",IFERROR(INDEX(art_des,MATCH(C1801,art_ref,0))&amp;"","Référence inconnue"))</f>
        <v/>
      </c>
      <c r="E1801" s="37" t="n"/>
      <c r="F1801" s="39" t="str">
        <f>IF(C1801="","",IFERROR(INDEX(art_unit,MATCH(C1801,art_ref,0))&amp;"",""))</f>
        <v/>
      </c>
      <c r="G1801" s="37" t="n"/>
      <c r="H1801" s="37" t="n"/>
      <c r="I1801" s="37" t="n"/>
      <c r="J1801" s="40" t="str">
        <f>IF(OR(C1801="",NOT(ISNUMBER(E1801))),"",IFERROR(E1801*N(INDEX(art_price,MATCH(C1801,art_ref,0))),""))</f>
        <v/>
      </c>
      <c r="K1801" s="39" t="str">
        <f>IF(OR(C1801="",NOT(ISNUMBER(E1801))),"",IFERROR(ROUND(N(INDEX(art_init,MATCH(C1801,art_ref,0)))+SUMIFS($E$5:E1801,$C$5:C1801,C1801,$B$5:B1801,"Entrée")-SUMIFS($E$5:E1801,$C$5:C1801,C1801,$B$5:B1801,"Sortie"),6),""))</f>
        <v/>
      </c>
      <c r="L1801" s="39" t="str">
        <f>IF(COUNTA(A1801:C1801,E1801)=0,"",IF(COUNTA(A1801:C1801,E1801)&lt;4,"Ligne incomplète",IF(NOT(ISNUMBER(A1801)),"Date invalide",IF(AND(B1801&lt;&gt;"Entrée",B1801&lt;&gt;"Sortie"),"Type inconnu",IF(ISNA(MATCH(C1801,art_ref,0)),"Référence inconnue",IF(OR(NOT(ISNUMBER(E1801)),N(E1801)&lt;=0),"Quantité invalide",IF(K1801&lt;0,"Stock négatif",IF(AND(ISNUMBER(A1800),A1801&lt;A1800),"Date hors ordre","OK"))))))))</f>
        <v/>
      </c>
      <c r="M1801" s="39" t="str">
        <f>IF(C1801="","",C1801&amp;"#"&amp;COUNTIF($C$5:C1801,C1801))</f>
        <v/>
      </c>
    </row>
    <row r="1802">
      <c r="A1802" s="41" t="n"/>
      <c r="B1802" s="37" t="n"/>
      <c r="C1802" s="37" t="n"/>
      <c r="D1802" s="39" t="str">
        <f>IF(C1802="","",IFERROR(INDEX(art_des,MATCH(C1802,art_ref,0))&amp;"","Référence inconnue"))</f>
        <v/>
      </c>
      <c r="E1802" s="37" t="n"/>
      <c r="F1802" s="39" t="str">
        <f>IF(C1802="","",IFERROR(INDEX(art_unit,MATCH(C1802,art_ref,0))&amp;"",""))</f>
        <v/>
      </c>
      <c r="G1802" s="37" t="n"/>
      <c r="H1802" s="37" t="n"/>
      <c r="I1802" s="37" t="n"/>
      <c r="J1802" s="40" t="str">
        <f>IF(OR(C1802="",NOT(ISNUMBER(E1802))),"",IFERROR(E1802*N(INDEX(art_price,MATCH(C1802,art_ref,0))),""))</f>
        <v/>
      </c>
      <c r="K1802" s="39" t="str">
        <f>IF(OR(C1802="",NOT(ISNUMBER(E1802))),"",IFERROR(ROUND(N(INDEX(art_init,MATCH(C1802,art_ref,0)))+SUMIFS($E$5:E1802,$C$5:C1802,C1802,$B$5:B1802,"Entrée")-SUMIFS($E$5:E1802,$C$5:C1802,C1802,$B$5:B1802,"Sortie"),6),""))</f>
        <v/>
      </c>
      <c r="L1802" s="39" t="str">
        <f>IF(COUNTA(A1802:C1802,E1802)=0,"",IF(COUNTA(A1802:C1802,E1802)&lt;4,"Ligne incomplète",IF(NOT(ISNUMBER(A1802)),"Date invalide",IF(AND(B1802&lt;&gt;"Entrée",B1802&lt;&gt;"Sortie"),"Type inconnu",IF(ISNA(MATCH(C1802,art_ref,0)),"Référence inconnue",IF(OR(NOT(ISNUMBER(E1802)),N(E1802)&lt;=0),"Quantité invalide",IF(K1802&lt;0,"Stock négatif",IF(AND(ISNUMBER(A1801),A1802&lt;A1801),"Date hors ordre","OK"))))))))</f>
        <v/>
      </c>
      <c r="M1802" s="39" t="str">
        <f>IF(C1802="","",C1802&amp;"#"&amp;COUNTIF($C$5:C1802,C1802))</f>
        <v/>
      </c>
    </row>
    <row r="1803">
      <c r="A1803" s="41" t="n"/>
      <c r="B1803" s="37" t="n"/>
      <c r="C1803" s="37" t="n"/>
      <c r="D1803" s="39" t="str">
        <f>IF(C1803="","",IFERROR(INDEX(art_des,MATCH(C1803,art_ref,0))&amp;"","Référence inconnue"))</f>
        <v/>
      </c>
      <c r="E1803" s="37" t="n"/>
      <c r="F1803" s="39" t="str">
        <f>IF(C1803="","",IFERROR(INDEX(art_unit,MATCH(C1803,art_ref,0))&amp;"",""))</f>
        <v/>
      </c>
      <c r="G1803" s="37" t="n"/>
      <c r="H1803" s="37" t="n"/>
      <c r="I1803" s="37" t="n"/>
      <c r="J1803" s="40" t="str">
        <f>IF(OR(C1803="",NOT(ISNUMBER(E1803))),"",IFERROR(E1803*N(INDEX(art_price,MATCH(C1803,art_ref,0))),""))</f>
        <v/>
      </c>
      <c r="K1803" s="39" t="str">
        <f>IF(OR(C1803="",NOT(ISNUMBER(E1803))),"",IFERROR(ROUND(N(INDEX(art_init,MATCH(C1803,art_ref,0)))+SUMIFS($E$5:E1803,$C$5:C1803,C1803,$B$5:B1803,"Entrée")-SUMIFS($E$5:E1803,$C$5:C1803,C1803,$B$5:B1803,"Sortie"),6),""))</f>
        <v/>
      </c>
      <c r="L1803" s="39" t="str">
        <f>IF(COUNTA(A1803:C1803,E1803)=0,"",IF(COUNTA(A1803:C1803,E1803)&lt;4,"Ligne incomplète",IF(NOT(ISNUMBER(A1803)),"Date invalide",IF(AND(B1803&lt;&gt;"Entrée",B1803&lt;&gt;"Sortie"),"Type inconnu",IF(ISNA(MATCH(C1803,art_ref,0)),"Référence inconnue",IF(OR(NOT(ISNUMBER(E1803)),N(E1803)&lt;=0),"Quantité invalide",IF(K1803&lt;0,"Stock négatif",IF(AND(ISNUMBER(A1802),A1803&lt;A1802),"Date hors ordre","OK"))))))))</f>
        <v/>
      </c>
      <c r="M1803" s="39" t="str">
        <f>IF(C1803="","",C1803&amp;"#"&amp;COUNTIF($C$5:C1803,C1803))</f>
        <v/>
      </c>
    </row>
    <row r="1804">
      <c r="A1804" s="41" t="n"/>
      <c r="B1804" s="37" t="n"/>
      <c r="C1804" s="37" t="n"/>
      <c r="D1804" s="39" t="str">
        <f>IF(C1804="","",IFERROR(INDEX(art_des,MATCH(C1804,art_ref,0))&amp;"","Référence inconnue"))</f>
        <v/>
      </c>
      <c r="E1804" s="37" t="n"/>
      <c r="F1804" s="39" t="str">
        <f>IF(C1804="","",IFERROR(INDEX(art_unit,MATCH(C1804,art_ref,0))&amp;"",""))</f>
        <v/>
      </c>
      <c r="G1804" s="37" t="n"/>
      <c r="H1804" s="37" t="n"/>
      <c r="I1804" s="37" t="n"/>
      <c r="J1804" s="40" t="str">
        <f>IF(OR(C1804="",NOT(ISNUMBER(E1804))),"",IFERROR(E1804*N(INDEX(art_price,MATCH(C1804,art_ref,0))),""))</f>
        <v/>
      </c>
      <c r="K1804" s="39" t="str">
        <f>IF(OR(C1804="",NOT(ISNUMBER(E1804))),"",IFERROR(ROUND(N(INDEX(art_init,MATCH(C1804,art_ref,0)))+SUMIFS($E$5:E1804,$C$5:C1804,C1804,$B$5:B1804,"Entrée")-SUMIFS($E$5:E1804,$C$5:C1804,C1804,$B$5:B1804,"Sortie"),6),""))</f>
        <v/>
      </c>
      <c r="L1804" s="39" t="str">
        <f>IF(COUNTA(A1804:C1804,E1804)=0,"",IF(COUNTA(A1804:C1804,E1804)&lt;4,"Ligne incomplète",IF(NOT(ISNUMBER(A1804)),"Date invalide",IF(AND(B1804&lt;&gt;"Entrée",B1804&lt;&gt;"Sortie"),"Type inconnu",IF(ISNA(MATCH(C1804,art_ref,0)),"Référence inconnue",IF(OR(NOT(ISNUMBER(E1804)),N(E1804)&lt;=0),"Quantité invalide",IF(K1804&lt;0,"Stock négatif",IF(AND(ISNUMBER(A1803),A1804&lt;A1803),"Date hors ordre","OK"))))))))</f>
        <v/>
      </c>
      <c r="M1804" s="39" t="str">
        <f>IF(C1804="","",C1804&amp;"#"&amp;COUNTIF($C$5:C1804,C1804))</f>
        <v/>
      </c>
    </row>
    <row r="1805">
      <c r="A1805" s="41" t="n"/>
      <c r="B1805" s="37" t="n"/>
      <c r="C1805" s="37" t="n"/>
      <c r="D1805" s="39" t="str">
        <f>IF(C1805="","",IFERROR(INDEX(art_des,MATCH(C1805,art_ref,0))&amp;"","Référence inconnue"))</f>
        <v/>
      </c>
      <c r="E1805" s="37" t="n"/>
      <c r="F1805" s="39" t="str">
        <f>IF(C1805="","",IFERROR(INDEX(art_unit,MATCH(C1805,art_ref,0))&amp;"",""))</f>
        <v/>
      </c>
      <c r="G1805" s="37" t="n"/>
      <c r="H1805" s="37" t="n"/>
      <c r="I1805" s="37" t="n"/>
      <c r="J1805" s="40" t="str">
        <f>IF(OR(C1805="",NOT(ISNUMBER(E1805))),"",IFERROR(E1805*N(INDEX(art_price,MATCH(C1805,art_ref,0))),""))</f>
        <v/>
      </c>
      <c r="K1805" s="39" t="str">
        <f>IF(OR(C1805="",NOT(ISNUMBER(E1805))),"",IFERROR(ROUND(N(INDEX(art_init,MATCH(C1805,art_ref,0)))+SUMIFS($E$5:E1805,$C$5:C1805,C1805,$B$5:B1805,"Entrée")-SUMIFS($E$5:E1805,$C$5:C1805,C1805,$B$5:B1805,"Sortie"),6),""))</f>
        <v/>
      </c>
      <c r="L1805" s="39" t="str">
        <f>IF(COUNTA(A1805:C1805,E1805)=0,"",IF(COUNTA(A1805:C1805,E1805)&lt;4,"Ligne incomplète",IF(NOT(ISNUMBER(A1805)),"Date invalide",IF(AND(B1805&lt;&gt;"Entrée",B1805&lt;&gt;"Sortie"),"Type inconnu",IF(ISNA(MATCH(C1805,art_ref,0)),"Référence inconnue",IF(OR(NOT(ISNUMBER(E1805)),N(E1805)&lt;=0),"Quantité invalide",IF(K1805&lt;0,"Stock négatif",IF(AND(ISNUMBER(A1804),A1805&lt;A1804),"Date hors ordre","OK"))))))))</f>
        <v/>
      </c>
      <c r="M1805" s="39" t="str">
        <f>IF(C1805="","",C1805&amp;"#"&amp;COUNTIF($C$5:C1805,C1805))</f>
        <v/>
      </c>
    </row>
    <row r="1806">
      <c r="A1806" s="41" t="n"/>
      <c r="B1806" s="37" t="n"/>
      <c r="C1806" s="37" t="n"/>
      <c r="D1806" s="39" t="str">
        <f>IF(C1806="","",IFERROR(INDEX(art_des,MATCH(C1806,art_ref,0))&amp;"","Référence inconnue"))</f>
        <v/>
      </c>
      <c r="E1806" s="37" t="n"/>
      <c r="F1806" s="39" t="str">
        <f>IF(C1806="","",IFERROR(INDEX(art_unit,MATCH(C1806,art_ref,0))&amp;"",""))</f>
        <v/>
      </c>
      <c r="G1806" s="37" t="n"/>
      <c r="H1806" s="37" t="n"/>
      <c r="I1806" s="37" t="n"/>
      <c r="J1806" s="40" t="str">
        <f>IF(OR(C1806="",NOT(ISNUMBER(E1806))),"",IFERROR(E1806*N(INDEX(art_price,MATCH(C1806,art_ref,0))),""))</f>
        <v/>
      </c>
      <c r="K1806" s="39" t="str">
        <f>IF(OR(C1806="",NOT(ISNUMBER(E1806))),"",IFERROR(ROUND(N(INDEX(art_init,MATCH(C1806,art_ref,0)))+SUMIFS($E$5:E1806,$C$5:C1806,C1806,$B$5:B1806,"Entrée")-SUMIFS($E$5:E1806,$C$5:C1806,C1806,$B$5:B1806,"Sortie"),6),""))</f>
        <v/>
      </c>
      <c r="L1806" s="39" t="str">
        <f>IF(COUNTA(A1806:C1806,E1806)=0,"",IF(COUNTA(A1806:C1806,E1806)&lt;4,"Ligne incomplète",IF(NOT(ISNUMBER(A1806)),"Date invalide",IF(AND(B1806&lt;&gt;"Entrée",B1806&lt;&gt;"Sortie"),"Type inconnu",IF(ISNA(MATCH(C1806,art_ref,0)),"Référence inconnue",IF(OR(NOT(ISNUMBER(E1806)),N(E1806)&lt;=0),"Quantité invalide",IF(K1806&lt;0,"Stock négatif",IF(AND(ISNUMBER(A1805),A1806&lt;A1805),"Date hors ordre","OK"))))))))</f>
        <v/>
      </c>
      <c r="M1806" s="39" t="str">
        <f>IF(C1806="","",C1806&amp;"#"&amp;COUNTIF($C$5:C1806,C1806))</f>
        <v/>
      </c>
    </row>
    <row r="1807">
      <c r="A1807" s="41" t="n"/>
      <c r="B1807" s="37" t="n"/>
      <c r="C1807" s="37" t="n"/>
      <c r="D1807" s="39" t="str">
        <f>IF(C1807="","",IFERROR(INDEX(art_des,MATCH(C1807,art_ref,0))&amp;"","Référence inconnue"))</f>
        <v/>
      </c>
      <c r="E1807" s="37" t="n"/>
      <c r="F1807" s="39" t="str">
        <f>IF(C1807="","",IFERROR(INDEX(art_unit,MATCH(C1807,art_ref,0))&amp;"",""))</f>
        <v/>
      </c>
      <c r="G1807" s="37" t="n"/>
      <c r="H1807" s="37" t="n"/>
      <c r="I1807" s="37" t="n"/>
      <c r="J1807" s="40" t="str">
        <f>IF(OR(C1807="",NOT(ISNUMBER(E1807))),"",IFERROR(E1807*N(INDEX(art_price,MATCH(C1807,art_ref,0))),""))</f>
        <v/>
      </c>
      <c r="K1807" s="39" t="str">
        <f>IF(OR(C1807="",NOT(ISNUMBER(E1807))),"",IFERROR(ROUND(N(INDEX(art_init,MATCH(C1807,art_ref,0)))+SUMIFS($E$5:E1807,$C$5:C1807,C1807,$B$5:B1807,"Entrée")-SUMIFS($E$5:E1807,$C$5:C1807,C1807,$B$5:B1807,"Sortie"),6),""))</f>
        <v/>
      </c>
      <c r="L1807" s="39" t="str">
        <f>IF(COUNTA(A1807:C1807,E1807)=0,"",IF(COUNTA(A1807:C1807,E1807)&lt;4,"Ligne incomplète",IF(NOT(ISNUMBER(A1807)),"Date invalide",IF(AND(B1807&lt;&gt;"Entrée",B1807&lt;&gt;"Sortie"),"Type inconnu",IF(ISNA(MATCH(C1807,art_ref,0)),"Référence inconnue",IF(OR(NOT(ISNUMBER(E1807)),N(E1807)&lt;=0),"Quantité invalide",IF(K1807&lt;0,"Stock négatif",IF(AND(ISNUMBER(A1806),A1807&lt;A1806),"Date hors ordre","OK"))))))))</f>
        <v/>
      </c>
      <c r="M1807" s="39" t="str">
        <f>IF(C1807="","",C1807&amp;"#"&amp;COUNTIF($C$5:C1807,C1807))</f>
        <v/>
      </c>
    </row>
    <row r="1808">
      <c r="A1808" s="41" t="n"/>
      <c r="B1808" s="37" t="n"/>
      <c r="C1808" s="37" t="n"/>
      <c r="D1808" s="39" t="str">
        <f>IF(C1808="","",IFERROR(INDEX(art_des,MATCH(C1808,art_ref,0))&amp;"","Référence inconnue"))</f>
        <v/>
      </c>
      <c r="E1808" s="37" t="n"/>
      <c r="F1808" s="39" t="str">
        <f>IF(C1808="","",IFERROR(INDEX(art_unit,MATCH(C1808,art_ref,0))&amp;"",""))</f>
        <v/>
      </c>
      <c r="G1808" s="37" t="n"/>
      <c r="H1808" s="37" t="n"/>
      <c r="I1808" s="37" t="n"/>
      <c r="J1808" s="40" t="str">
        <f>IF(OR(C1808="",NOT(ISNUMBER(E1808))),"",IFERROR(E1808*N(INDEX(art_price,MATCH(C1808,art_ref,0))),""))</f>
        <v/>
      </c>
      <c r="K1808" s="39" t="str">
        <f>IF(OR(C1808="",NOT(ISNUMBER(E1808))),"",IFERROR(ROUND(N(INDEX(art_init,MATCH(C1808,art_ref,0)))+SUMIFS($E$5:E1808,$C$5:C1808,C1808,$B$5:B1808,"Entrée")-SUMIFS($E$5:E1808,$C$5:C1808,C1808,$B$5:B1808,"Sortie"),6),""))</f>
        <v/>
      </c>
      <c r="L1808" s="39" t="str">
        <f>IF(COUNTA(A1808:C1808,E1808)=0,"",IF(COUNTA(A1808:C1808,E1808)&lt;4,"Ligne incomplète",IF(NOT(ISNUMBER(A1808)),"Date invalide",IF(AND(B1808&lt;&gt;"Entrée",B1808&lt;&gt;"Sortie"),"Type inconnu",IF(ISNA(MATCH(C1808,art_ref,0)),"Référence inconnue",IF(OR(NOT(ISNUMBER(E1808)),N(E1808)&lt;=0),"Quantité invalide",IF(K1808&lt;0,"Stock négatif",IF(AND(ISNUMBER(A1807),A1808&lt;A1807),"Date hors ordre","OK"))))))))</f>
        <v/>
      </c>
      <c r="M1808" s="39" t="str">
        <f>IF(C1808="","",C1808&amp;"#"&amp;COUNTIF($C$5:C1808,C1808))</f>
        <v/>
      </c>
    </row>
    <row r="1809">
      <c r="A1809" s="41" t="n"/>
      <c r="B1809" s="37" t="n"/>
      <c r="C1809" s="37" t="n"/>
      <c r="D1809" s="39" t="str">
        <f>IF(C1809="","",IFERROR(INDEX(art_des,MATCH(C1809,art_ref,0))&amp;"","Référence inconnue"))</f>
        <v/>
      </c>
      <c r="E1809" s="37" t="n"/>
      <c r="F1809" s="39" t="str">
        <f>IF(C1809="","",IFERROR(INDEX(art_unit,MATCH(C1809,art_ref,0))&amp;"",""))</f>
        <v/>
      </c>
      <c r="G1809" s="37" t="n"/>
      <c r="H1809" s="37" t="n"/>
      <c r="I1809" s="37" t="n"/>
      <c r="J1809" s="40" t="str">
        <f>IF(OR(C1809="",NOT(ISNUMBER(E1809))),"",IFERROR(E1809*N(INDEX(art_price,MATCH(C1809,art_ref,0))),""))</f>
        <v/>
      </c>
      <c r="K1809" s="39" t="str">
        <f>IF(OR(C1809="",NOT(ISNUMBER(E1809))),"",IFERROR(ROUND(N(INDEX(art_init,MATCH(C1809,art_ref,0)))+SUMIFS($E$5:E1809,$C$5:C1809,C1809,$B$5:B1809,"Entrée")-SUMIFS($E$5:E1809,$C$5:C1809,C1809,$B$5:B1809,"Sortie"),6),""))</f>
        <v/>
      </c>
      <c r="L1809" s="39" t="str">
        <f>IF(COUNTA(A1809:C1809,E1809)=0,"",IF(COUNTA(A1809:C1809,E1809)&lt;4,"Ligne incomplète",IF(NOT(ISNUMBER(A1809)),"Date invalide",IF(AND(B1809&lt;&gt;"Entrée",B1809&lt;&gt;"Sortie"),"Type inconnu",IF(ISNA(MATCH(C1809,art_ref,0)),"Référence inconnue",IF(OR(NOT(ISNUMBER(E1809)),N(E1809)&lt;=0),"Quantité invalide",IF(K1809&lt;0,"Stock négatif",IF(AND(ISNUMBER(A1808),A1809&lt;A1808),"Date hors ordre","OK"))))))))</f>
        <v/>
      </c>
      <c r="M1809" s="39" t="str">
        <f>IF(C1809="","",C1809&amp;"#"&amp;COUNTIF($C$5:C1809,C1809))</f>
        <v/>
      </c>
    </row>
    <row r="1810">
      <c r="A1810" s="41" t="n"/>
      <c r="B1810" s="37" t="n"/>
      <c r="C1810" s="37" t="n"/>
      <c r="D1810" s="39" t="str">
        <f>IF(C1810="","",IFERROR(INDEX(art_des,MATCH(C1810,art_ref,0))&amp;"","Référence inconnue"))</f>
        <v/>
      </c>
      <c r="E1810" s="37" t="n"/>
      <c r="F1810" s="39" t="str">
        <f>IF(C1810="","",IFERROR(INDEX(art_unit,MATCH(C1810,art_ref,0))&amp;"",""))</f>
        <v/>
      </c>
      <c r="G1810" s="37" t="n"/>
      <c r="H1810" s="37" t="n"/>
      <c r="I1810" s="37" t="n"/>
      <c r="J1810" s="40" t="str">
        <f>IF(OR(C1810="",NOT(ISNUMBER(E1810))),"",IFERROR(E1810*N(INDEX(art_price,MATCH(C1810,art_ref,0))),""))</f>
        <v/>
      </c>
      <c r="K1810" s="39" t="str">
        <f>IF(OR(C1810="",NOT(ISNUMBER(E1810))),"",IFERROR(ROUND(N(INDEX(art_init,MATCH(C1810,art_ref,0)))+SUMIFS($E$5:E1810,$C$5:C1810,C1810,$B$5:B1810,"Entrée")-SUMIFS($E$5:E1810,$C$5:C1810,C1810,$B$5:B1810,"Sortie"),6),""))</f>
        <v/>
      </c>
      <c r="L1810" s="39" t="str">
        <f>IF(COUNTA(A1810:C1810,E1810)=0,"",IF(COUNTA(A1810:C1810,E1810)&lt;4,"Ligne incomplète",IF(NOT(ISNUMBER(A1810)),"Date invalide",IF(AND(B1810&lt;&gt;"Entrée",B1810&lt;&gt;"Sortie"),"Type inconnu",IF(ISNA(MATCH(C1810,art_ref,0)),"Référence inconnue",IF(OR(NOT(ISNUMBER(E1810)),N(E1810)&lt;=0),"Quantité invalide",IF(K1810&lt;0,"Stock négatif",IF(AND(ISNUMBER(A1809),A1810&lt;A1809),"Date hors ordre","OK"))))))))</f>
        <v/>
      </c>
      <c r="M1810" s="39" t="str">
        <f>IF(C1810="","",C1810&amp;"#"&amp;COUNTIF($C$5:C1810,C1810))</f>
        <v/>
      </c>
    </row>
    <row r="1811">
      <c r="A1811" s="41" t="n"/>
      <c r="B1811" s="37" t="n"/>
      <c r="C1811" s="37" t="n"/>
      <c r="D1811" s="39" t="str">
        <f>IF(C1811="","",IFERROR(INDEX(art_des,MATCH(C1811,art_ref,0))&amp;"","Référence inconnue"))</f>
        <v/>
      </c>
      <c r="E1811" s="37" t="n"/>
      <c r="F1811" s="39" t="str">
        <f>IF(C1811="","",IFERROR(INDEX(art_unit,MATCH(C1811,art_ref,0))&amp;"",""))</f>
        <v/>
      </c>
      <c r="G1811" s="37" t="n"/>
      <c r="H1811" s="37" t="n"/>
      <c r="I1811" s="37" t="n"/>
      <c r="J1811" s="40" t="str">
        <f>IF(OR(C1811="",NOT(ISNUMBER(E1811))),"",IFERROR(E1811*N(INDEX(art_price,MATCH(C1811,art_ref,0))),""))</f>
        <v/>
      </c>
      <c r="K1811" s="39" t="str">
        <f>IF(OR(C1811="",NOT(ISNUMBER(E1811))),"",IFERROR(ROUND(N(INDEX(art_init,MATCH(C1811,art_ref,0)))+SUMIFS($E$5:E1811,$C$5:C1811,C1811,$B$5:B1811,"Entrée")-SUMIFS($E$5:E1811,$C$5:C1811,C1811,$B$5:B1811,"Sortie"),6),""))</f>
        <v/>
      </c>
      <c r="L1811" s="39" t="str">
        <f>IF(COUNTA(A1811:C1811,E1811)=0,"",IF(COUNTA(A1811:C1811,E1811)&lt;4,"Ligne incomplète",IF(NOT(ISNUMBER(A1811)),"Date invalide",IF(AND(B1811&lt;&gt;"Entrée",B1811&lt;&gt;"Sortie"),"Type inconnu",IF(ISNA(MATCH(C1811,art_ref,0)),"Référence inconnue",IF(OR(NOT(ISNUMBER(E1811)),N(E1811)&lt;=0),"Quantité invalide",IF(K1811&lt;0,"Stock négatif",IF(AND(ISNUMBER(A1810),A1811&lt;A1810),"Date hors ordre","OK"))))))))</f>
        <v/>
      </c>
      <c r="M1811" s="39" t="str">
        <f>IF(C1811="","",C1811&amp;"#"&amp;COUNTIF($C$5:C1811,C1811))</f>
        <v/>
      </c>
    </row>
    <row r="1812">
      <c r="A1812" s="41" t="n"/>
      <c r="B1812" s="37" t="n"/>
      <c r="C1812" s="37" t="n"/>
      <c r="D1812" s="39" t="str">
        <f>IF(C1812="","",IFERROR(INDEX(art_des,MATCH(C1812,art_ref,0))&amp;"","Référence inconnue"))</f>
        <v/>
      </c>
      <c r="E1812" s="37" t="n"/>
      <c r="F1812" s="39" t="str">
        <f>IF(C1812="","",IFERROR(INDEX(art_unit,MATCH(C1812,art_ref,0))&amp;"",""))</f>
        <v/>
      </c>
      <c r="G1812" s="37" t="n"/>
      <c r="H1812" s="37" t="n"/>
      <c r="I1812" s="37" t="n"/>
      <c r="J1812" s="40" t="str">
        <f>IF(OR(C1812="",NOT(ISNUMBER(E1812))),"",IFERROR(E1812*N(INDEX(art_price,MATCH(C1812,art_ref,0))),""))</f>
        <v/>
      </c>
      <c r="K1812" s="39" t="str">
        <f>IF(OR(C1812="",NOT(ISNUMBER(E1812))),"",IFERROR(ROUND(N(INDEX(art_init,MATCH(C1812,art_ref,0)))+SUMIFS($E$5:E1812,$C$5:C1812,C1812,$B$5:B1812,"Entrée")-SUMIFS($E$5:E1812,$C$5:C1812,C1812,$B$5:B1812,"Sortie"),6),""))</f>
        <v/>
      </c>
      <c r="L1812" s="39" t="str">
        <f>IF(COUNTA(A1812:C1812,E1812)=0,"",IF(COUNTA(A1812:C1812,E1812)&lt;4,"Ligne incomplète",IF(NOT(ISNUMBER(A1812)),"Date invalide",IF(AND(B1812&lt;&gt;"Entrée",B1812&lt;&gt;"Sortie"),"Type inconnu",IF(ISNA(MATCH(C1812,art_ref,0)),"Référence inconnue",IF(OR(NOT(ISNUMBER(E1812)),N(E1812)&lt;=0),"Quantité invalide",IF(K1812&lt;0,"Stock négatif",IF(AND(ISNUMBER(A1811),A1812&lt;A1811),"Date hors ordre","OK"))))))))</f>
        <v/>
      </c>
      <c r="M1812" s="39" t="str">
        <f>IF(C1812="","",C1812&amp;"#"&amp;COUNTIF($C$5:C1812,C1812))</f>
        <v/>
      </c>
    </row>
    <row r="1813">
      <c r="A1813" s="41" t="n"/>
      <c r="B1813" s="37" t="n"/>
      <c r="C1813" s="37" t="n"/>
      <c r="D1813" s="39" t="str">
        <f>IF(C1813="","",IFERROR(INDEX(art_des,MATCH(C1813,art_ref,0))&amp;"","Référence inconnue"))</f>
        <v/>
      </c>
      <c r="E1813" s="37" t="n"/>
      <c r="F1813" s="39" t="str">
        <f>IF(C1813="","",IFERROR(INDEX(art_unit,MATCH(C1813,art_ref,0))&amp;"",""))</f>
        <v/>
      </c>
      <c r="G1813" s="37" t="n"/>
      <c r="H1813" s="37" t="n"/>
      <c r="I1813" s="37" t="n"/>
      <c r="J1813" s="40" t="str">
        <f>IF(OR(C1813="",NOT(ISNUMBER(E1813))),"",IFERROR(E1813*N(INDEX(art_price,MATCH(C1813,art_ref,0))),""))</f>
        <v/>
      </c>
      <c r="K1813" s="39" t="str">
        <f>IF(OR(C1813="",NOT(ISNUMBER(E1813))),"",IFERROR(ROUND(N(INDEX(art_init,MATCH(C1813,art_ref,0)))+SUMIFS($E$5:E1813,$C$5:C1813,C1813,$B$5:B1813,"Entrée")-SUMIFS($E$5:E1813,$C$5:C1813,C1813,$B$5:B1813,"Sortie"),6),""))</f>
        <v/>
      </c>
      <c r="L1813" s="39" t="str">
        <f>IF(COUNTA(A1813:C1813,E1813)=0,"",IF(COUNTA(A1813:C1813,E1813)&lt;4,"Ligne incomplète",IF(NOT(ISNUMBER(A1813)),"Date invalide",IF(AND(B1813&lt;&gt;"Entrée",B1813&lt;&gt;"Sortie"),"Type inconnu",IF(ISNA(MATCH(C1813,art_ref,0)),"Référence inconnue",IF(OR(NOT(ISNUMBER(E1813)),N(E1813)&lt;=0),"Quantité invalide",IF(K1813&lt;0,"Stock négatif",IF(AND(ISNUMBER(A1812),A1813&lt;A1812),"Date hors ordre","OK"))))))))</f>
        <v/>
      </c>
      <c r="M1813" s="39" t="str">
        <f>IF(C1813="","",C1813&amp;"#"&amp;COUNTIF($C$5:C1813,C1813))</f>
        <v/>
      </c>
    </row>
    <row r="1814">
      <c r="A1814" s="41" t="n"/>
      <c r="B1814" s="37" t="n"/>
      <c r="C1814" s="37" t="n"/>
      <c r="D1814" s="39" t="str">
        <f>IF(C1814="","",IFERROR(INDEX(art_des,MATCH(C1814,art_ref,0))&amp;"","Référence inconnue"))</f>
        <v/>
      </c>
      <c r="E1814" s="37" t="n"/>
      <c r="F1814" s="39" t="str">
        <f>IF(C1814="","",IFERROR(INDEX(art_unit,MATCH(C1814,art_ref,0))&amp;"",""))</f>
        <v/>
      </c>
      <c r="G1814" s="37" t="n"/>
      <c r="H1814" s="37" t="n"/>
      <c r="I1814" s="37" t="n"/>
      <c r="J1814" s="40" t="str">
        <f>IF(OR(C1814="",NOT(ISNUMBER(E1814))),"",IFERROR(E1814*N(INDEX(art_price,MATCH(C1814,art_ref,0))),""))</f>
        <v/>
      </c>
      <c r="K1814" s="39" t="str">
        <f>IF(OR(C1814="",NOT(ISNUMBER(E1814))),"",IFERROR(ROUND(N(INDEX(art_init,MATCH(C1814,art_ref,0)))+SUMIFS($E$5:E1814,$C$5:C1814,C1814,$B$5:B1814,"Entrée")-SUMIFS($E$5:E1814,$C$5:C1814,C1814,$B$5:B1814,"Sortie"),6),""))</f>
        <v/>
      </c>
      <c r="L1814" s="39" t="str">
        <f>IF(COUNTA(A1814:C1814,E1814)=0,"",IF(COUNTA(A1814:C1814,E1814)&lt;4,"Ligne incomplète",IF(NOT(ISNUMBER(A1814)),"Date invalide",IF(AND(B1814&lt;&gt;"Entrée",B1814&lt;&gt;"Sortie"),"Type inconnu",IF(ISNA(MATCH(C1814,art_ref,0)),"Référence inconnue",IF(OR(NOT(ISNUMBER(E1814)),N(E1814)&lt;=0),"Quantité invalide",IF(K1814&lt;0,"Stock négatif",IF(AND(ISNUMBER(A1813),A1814&lt;A1813),"Date hors ordre","OK"))))))))</f>
        <v/>
      </c>
      <c r="M1814" s="39" t="str">
        <f>IF(C1814="","",C1814&amp;"#"&amp;COUNTIF($C$5:C1814,C1814))</f>
        <v/>
      </c>
    </row>
    <row r="1815">
      <c r="A1815" s="41" t="n"/>
      <c r="B1815" s="37" t="n"/>
      <c r="C1815" s="37" t="n"/>
      <c r="D1815" s="39" t="str">
        <f>IF(C1815="","",IFERROR(INDEX(art_des,MATCH(C1815,art_ref,0))&amp;"","Référence inconnue"))</f>
        <v/>
      </c>
      <c r="E1815" s="37" t="n"/>
      <c r="F1815" s="39" t="str">
        <f>IF(C1815="","",IFERROR(INDEX(art_unit,MATCH(C1815,art_ref,0))&amp;"",""))</f>
        <v/>
      </c>
      <c r="G1815" s="37" t="n"/>
      <c r="H1815" s="37" t="n"/>
      <c r="I1815" s="37" t="n"/>
      <c r="J1815" s="40" t="str">
        <f>IF(OR(C1815="",NOT(ISNUMBER(E1815))),"",IFERROR(E1815*N(INDEX(art_price,MATCH(C1815,art_ref,0))),""))</f>
        <v/>
      </c>
      <c r="K1815" s="39" t="str">
        <f>IF(OR(C1815="",NOT(ISNUMBER(E1815))),"",IFERROR(ROUND(N(INDEX(art_init,MATCH(C1815,art_ref,0)))+SUMIFS($E$5:E1815,$C$5:C1815,C1815,$B$5:B1815,"Entrée")-SUMIFS($E$5:E1815,$C$5:C1815,C1815,$B$5:B1815,"Sortie"),6),""))</f>
        <v/>
      </c>
      <c r="L1815" s="39" t="str">
        <f>IF(COUNTA(A1815:C1815,E1815)=0,"",IF(COUNTA(A1815:C1815,E1815)&lt;4,"Ligne incomplète",IF(NOT(ISNUMBER(A1815)),"Date invalide",IF(AND(B1815&lt;&gt;"Entrée",B1815&lt;&gt;"Sortie"),"Type inconnu",IF(ISNA(MATCH(C1815,art_ref,0)),"Référence inconnue",IF(OR(NOT(ISNUMBER(E1815)),N(E1815)&lt;=0),"Quantité invalide",IF(K1815&lt;0,"Stock négatif",IF(AND(ISNUMBER(A1814),A1815&lt;A1814),"Date hors ordre","OK"))))))))</f>
        <v/>
      </c>
      <c r="M1815" s="39" t="str">
        <f>IF(C1815="","",C1815&amp;"#"&amp;COUNTIF($C$5:C1815,C1815))</f>
        <v/>
      </c>
    </row>
    <row r="1816">
      <c r="A1816" s="41" t="n"/>
      <c r="B1816" s="37" t="n"/>
      <c r="C1816" s="37" t="n"/>
      <c r="D1816" s="39" t="str">
        <f>IF(C1816="","",IFERROR(INDEX(art_des,MATCH(C1816,art_ref,0))&amp;"","Référence inconnue"))</f>
        <v/>
      </c>
      <c r="E1816" s="37" t="n"/>
      <c r="F1816" s="39" t="str">
        <f>IF(C1816="","",IFERROR(INDEX(art_unit,MATCH(C1816,art_ref,0))&amp;"",""))</f>
        <v/>
      </c>
      <c r="G1816" s="37" t="n"/>
      <c r="H1816" s="37" t="n"/>
      <c r="I1816" s="37" t="n"/>
      <c r="J1816" s="40" t="str">
        <f>IF(OR(C1816="",NOT(ISNUMBER(E1816))),"",IFERROR(E1816*N(INDEX(art_price,MATCH(C1816,art_ref,0))),""))</f>
        <v/>
      </c>
      <c r="K1816" s="39" t="str">
        <f>IF(OR(C1816="",NOT(ISNUMBER(E1816))),"",IFERROR(ROUND(N(INDEX(art_init,MATCH(C1816,art_ref,0)))+SUMIFS($E$5:E1816,$C$5:C1816,C1816,$B$5:B1816,"Entrée")-SUMIFS($E$5:E1816,$C$5:C1816,C1816,$B$5:B1816,"Sortie"),6),""))</f>
        <v/>
      </c>
      <c r="L1816" s="39" t="str">
        <f>IF(COUNTA(A1816:C1816,E1816)=0,"",IF(COUNTA(A1816:C1816,E1816)&lt;4,"Ligne incomplète",IF(NOT(ISNUMBER(A1816)),"Date invalide",IF(AND(B1816&lt;&gt;"Entrée",B1816&lt;&gt;"Sortie"),"Type inconnu",IF(ISNA(MATCH(C1816,art_ref,0)),"Référence inconnue",IF(OR(NOT(ISNUMBER(E1816)),N(E1816)&lt;=0),"Quantité invalide",IF(K1816&lt;0,"Stock négatif",IF(AND(ISNUMBER(A1815),A1816&lt;A1815),"Date hors ordre","OK"))))))))</f>
        <v/>
      </c>
      <c r="M1816" s="39" t="str">
        <f>IF(C1816="","",C1816&amp;"#"&amp;COUNTIF($C$5:C1816,C1816))</f>
        <v/>
      </c>
    </row>
    <row r="1817">
      <c r="A1817" s="41" t="n"/>
      <c r="B1817" s="37" t="n"/>
      <c r="C1817" s="37" t="n"/>
      <c r="D1817" s="39" t="str">
        <f>IF(C1817="","",IFERROR(INDEX(art_des,MATCH(C1817,art_ref,0))&amp;"","Référence inconnue"))</f>
        <v/>
      </c>
      <c r="E1817" s="37" t="n"/>
      <c r="F1817" s="39" t="str">
        <f>IF(C1817="","",IFERROR(INDEX(art_unit,MATCH(C1817,art_ref,0))&amp;"",""))</f>
        <v/>
      </c>
      <c r="G1817" s="37" t="n"/>
      <c r="H1817" s="37" t="n"/>
      <c r="I1817" s="37" t="n"/>
      <c r="J1817" s="40" t="str">
        <f>IF(OR(C1817="",NOT(ISNUMBER(E1817))),"",IFERROR(E1817*N(INDEX(art_price,MATCH(C1817,art_ref,0))),""))</f>
        <v/>
      </c>
      <c r="K1817" s="39" t="str">
        <f>IF(OR(C1817="",NOT(ISNUMBER(E1817))),"",IFERROR(ROUND(N(INDEX(art_init,MATCH(C1817,art_ref,0)))+SUMIFS($E$5:E1817,$C$5:C1817,C1817,$B$5:B1817,"Entrée")-SUMIFS($E$5:E1817,$C$5:C1817,C1817,$B$5:B1817,"Sortie"),6),""))</f>
        <v/>
      </c>
      <c r="L1817" s="39" t="str">
        <f>IF(COUNTA(A1817:C1817,E1817)=0,"",IF(COUNTA(A1817:C1817,E1817)&lt;4,"Ligne incomplète",IF(NOT(ISNUMBER(A1817)),"Date invalide",IF(AND(B1817&lt;&gt;"Entrée",B1817&lt;&gt;"Sortie"),"Type inconnu",IF(ISNA(MATCH(C1817,art_ref,0)),"Référence inconnue",IF(OR(NOT(ISNUMBER(E1817)),N(E1817)&lt;=0),"Quantité invalide",IF(K1817&lt;0,"Stock négatif",IF(AND(ISNUMBER(A1816),A1817&lt;A1816),"Date hors ordre","OK"))))))))</f>
        <v/>
      </c>
      <c r="M1817" s="39" t="str">
        <f>IF(C1817="","",C1817&amp;"#"&amp;COUNTIF($C$5:C1817,C1817))</f>
        <v/>
      </c>
    </row>
    <row r="1818">
      <c r="A1818" s="41" t="n"/>
      <c r="B1818" s="37" t="n"/>
      <c r="C1818" s="37" t="n"/>
      <c r="D1818" s="39" t="str">
        <f>IF(C1818="","",IFERROR(INDEX(art_des,MATCH(C1818,art_ref,0))&amp;"","Référence inconnue"))</f>
        <v/>
      </c>
      <c r="E1818" s="37" t="n"/>
      <c r="F1818" s="39" t="str">
        <f>IF(C1818="","",IFERROR(INDEX(art_unit,MATCH(C1818,art_ref,0))&amp;"",""))</f>
        <v/>
      </c>
      <c r="G1818" s="37" t="n"/>
      <c r="H1818" s="37" t="n"/>
      <c r="I1818" s="37" t="n"/>
      <c r="J1818" s="40" t="str">
        <f>IF(OR(C1818="",NOT(ISNUMBER(E1818))),"",IFERROR(E1818*N(INDEX(art_price,MATCH(C1818,art_ref,0))),""))</f>
        <v/>
      </c>
      <c r="K1818" s="39" t="str">
        <f>IF(OR(C1818="",NOT(ISNUMBER(E1818))),"",IFERROR(ROUND(N(INDEX(art_init,MATCH(C1818,art_ref,0)))+SUMIFS($E$5:E1818,$C$5:C1818,C1818,$B$5:B1818,"Entrée")-SUMIFS($E$5:E1818,$C$5:C1818,C1818,$B$5:B1818,"Sortie"),6),""))</f>
        <v/>
      </c>
      <c r="L1818" s="39" t="str">
        <f>IF(COUNTA(A1818:C1818,E1818)=0,"",IF(COUNTA(A1818:C1818,E1818)&lt;4,"Ligne incomplète",IF(NOT(ISNUMBER(A1818)),"Date invalide",IF(AND(B1818&lt;&gt;"Entrée",B1818&lt;&gt;"Sortie"),"Type inconnu",IF(ISNA(MATCH(C1818,art_ref,0)),"Référence inconnue",IF(OR(NOT(ISNUMBER(E1818)),N(E1818)&lt;=0),"Quantité invalide",IF(K1818&lt;0,"Stock négatif",IF(AND(ISNUMBER(A1817),A1818&lt;A1817),"Date hors ordre","OK"))))))))</f>
        <v/>
      </c>
      <c r="M1818" s="39" t="str">
        <f>IF(C1818="","",C1818&amp;"#"&amp;COUNTIF($C$5:C1818,C1818))</f>
        <v/>
      </c>
    </row>
    <row r="1819">
      <c r="A1819" s="41" t="n"/>
      <c r="B1819" s="37" t="n"/>
      <c r="C1819" s="37" t="n"/>
      <c r="D1819" s="39" t="str">
        <f>IF(C1819="","",IFERROR(INDEX(art_des,MATCH(C1819,art_ref,0))&amp;"","Référence inconnue"))</f>
        <v/>
      </c>
      <c r="E1819" s="37" t="n"/>
      <c r="F1819" s="39" t="str">
        <f>IF(C1819="","",IFERROR(INDEX(art_unit,MATCH(C1819,art_ref,0))&amp;"",""))</f>
        <v/>
      </c>
      <c r="G1819" s="37" t="n"/>
      <c r="H1819" s="37" t="n"/>
      <c r="I1819" s="37" t="n"/>
      <c r="J1819" s="40" t="str">
        <f>IF(OR(C1819="",NOT(ISNUMBER(E1819))),"",IFERROR(E1819*N(INDEX(art_price,MATCH(C1819,art_ref,0))),""))</f>
        <v/>
      </c>
      <c r="K1819" s="39" t="str">
        <f>IF(OR(C1819="",NOT(ISNUMBER(E1819))),"",IFERROR(ROUND(N(INDEX(art_init,MATCH(C1819,art_ref,0)))+SUMIFS($E$5:E1819,$C$5:C1819,C1819,$B$5:B1819,"Entrée")-SUMIFS($E$5:E1819,$C$5:C1819,C1819,$B$5:B1819,"Sortie"),6),""))</f>
        <v/>
      </c>
      <c r="L1819" s="39" t="str">
        <f>IF(COUNTA(A1819:C1819,E1819)=0,"",IF(COUNTA(A1819:C1819,E1819)&lt;4,"Ligne incomplète",IF(NOT(ISNUMBER(A1819)),"Date invalide",IF(AND(B1819&lt;&gt;"Entrée",B1819&lt;&gt;"Sortie"),"Type inconnu",IF(ISNA(MATCH(C1819,art_ref,0)),"Référence inconnue",IF(OR(NOT(ISNUMBER(E1819)),N(E1819)&lt;=0),"Quantité invalide",IF(K1819&lt;0,"Stock négatif",IF(AND(ISNUMBER(A1818),A1819&lt;A1818),"Date hors ordre","OK"))))))))</f>
        <v/>
      </c>
      <c r="M1819" s="39" t="str">
        <f>IF(C1819="","",C1819&amp;"#"&amp;COUNTIF($C$5:C1819,C1819))</f>
        <v/>
      </c>
    </row>
    <row r="1820">
      <c r="A1820" s="41" t="n"/>
      <c r="B1820" s="37" t="n"/>
      <c r="C1820" s="37" t="n"/>
      <c r="D1820" s="39" t="str">
        <f>IF(C1820="","",IFERROR(INDEX(art_des,MATCH(C1820,art_ref,0))&amp;"","Référence inconnue"))</f>
        <v/>
      </c>
      <c r="E1820" s="37" t="n"/>
      <c r="F1820" s="39" t="str">
        <f>IF(C1820="","",IFERROR(INDEX(art_unit,MATCH(C1820,art_ref,0))&amp;"",""))</f>
        <v/>
      </c>
      <c r="G1820" s="37" t="n"/>
      <c r="H1820" s="37" t="n"/>
      <c r="I1820" s="37" t="n"/>
      <c r="J1820" s="40" t="str">
        <f>IF(OR(C1820="",NOT(ISNUMBER(E1820))),"",IFERROR(E1820*N(INDEX(art_price,MATCH(C1820,art_ref,0))),""))</f>
        <v/>
      </c>
      <c r="K1820" s="39" t="str">
        <f>IF(OR(C1820="",NOT(ISNUMBER(E1820))),"",IFERROR(ROUND(N(INDEX(art_init,MATCH(C1820,art_ref,0)))+SUMIFS($E$5:E1820,$C$5:C1820,C1820,$B$5:B1820,"Entrée")-SUMIFS($E$5:E1820,$C$5:C1820,C1820,$B$5:B1820,"Sortie"),6),""))</f>
        <v/>
      </c>
      <c r="L1820" s="39" t="str">
        <f>IF(COUNTA(A1820:C1820,E1820)=0,"",IF(COUNTA(A1820:C1820,E1820)&lt;4,"Ligne incomplète",IF(NOT(ISNUMBER(A1820)),"Date invalide",IF(AND(B1820&lt;&gt;"Entrée",B1820&lt;&gt;"Sortie"),"Type inconnu",IF(ISNA(MATCH(C1820,art_ref,0)),"Référence inconnue",IF(OR(NOT(ISNUMBER(E1820)),N(E1820)&lt;=0),"Quantité invalide",IF(K1820&lt;0,"Stock négatif",IF(AND(ISNUMBER(A1819),A1820&lt;A1819),"Date hors ordre","OK"))))))))</f>
        <v/>
      </c>
      <c r="M1820" s="39" t="str">
        <f>IF(C1820="","",C1820&amp;"#"&amp;COUNTIF($C$5:C1820,C1820))</f>
        <v/>
      </c>
    </row>
    <row r="1821">
      <c r="A1821" s="41" t="n"/>
      <c r="B1821" s="37" t="n"/>
      <c r="C1821" s="37" t="n"/>
      <c r="D1821" s="39" t="str">
        <f>IF(C1821="","",IFERROR(INDEX(art_des,MATCH(C1821,art_ref,0))&amp;"","Référence inconnue"))</f>
        <v/>
      </c>
      <c r="E1821" s="37" t="n"/>
      <c r="F1821" s="39" t="str">
        <f>IF(C1821="","",IFERROR(INDEX(art_unit,MATCH(C1821,art_ref,0))&amp;"",""))</f>
        <v/>
      </c>
      <c r="G1821" s="37" t="n"/>
      <c r="H1821" s="37" t="n"/>
      <c r="I1821" s="37" t="n"/>
      <c r="J1821" s="40" t="str">
        <f>IF(OR(C1821="",NOT(ISNUMBER(E1821))),"",IFERROR(E1821*N(INDEX(art_price,MATCH(C1821,art_ref,0))),""))</f>
        <v/>
      </c>
      <c r="K1821" s="39" t="str">
        <f>IF(OR(C1821="",NOT(ISNUMBER(E1821))),"",IFERROR(ROUND(N(INDEX(art_init,MATCH(C1821,art_ref,0)))+SUMIFS($E$5:E1821,$C$5:C1821,C1821,$B$5:B1821,"Entrée")-SUMIFS($E$5:E1821,$C$5:C1821,C1821,$B$5:B1821,"Sortie"),6),""))</f>
        <v/>
      </c>
      <c r="L1821" s="39" t="str">
        <f>IF(COUNTA(A1821:C1821,E1821)=0,"",IF(COUNTA(A1821:C1821,E1821)&lt;4,"Ligne incomplète",IF(NOT(ISNUMBER(A1821)),"Date invalide",IF(AND(B1821&lt;&gt;"Entrée",B1821&lt;&gt;"Sortie"),"Type inconnu",IF(ISNA(MATCH(C1821,art_ref,0)),"Référence inconnue",IF(OR(NOT(ISNUMBER(E1821)),N(E1821)&lt;=0),"Quantité invalide",IF(K1821&lt;0,"Stock négatif",IF(AND(ISNUMBER(A1820),A1821&lt;A1820),"Date hors ordre","OK"))))))))</f>
        <v/>
      </c>
      <c r="M1821" s="39" t="str">
        <f>IF(C1821="","",C1821&amp;"#"&amp;COUNTIF($C$5:C1821,C1821))</f>
        <v/>
      </c>
    </row>
    <row r="1822">
      <c r="A1822" s="41" t="n"/>
      <c r="B1822" s="37" t="n"/>
      <c r="C1822" s="37" t="n"/>
      <c r="D1822" s="39" t="str">
        <f>IF(C1822="","",IFERROR(INDEX(art_des,MATCH(C1822,art_ref,0))&amp;"","Référence inconnue"))</f>
        <v/>
      </c>
      <c r="E1822" s="37" t="n"/>
      <c r="F1822" s="39" t="str">
        <f>IF(C1822="","",IFERROR(INDEX(art_unit,MATCH(C1822,art_ref,0))&amp;"",""))</f>
        <v/>
      </c>
      <c r="G1822" s="37" t="n"/>
      <c r="H1822" s="37" t="n"/>
      <c r="I1822" s="37" t="n"/>
      <c r="J1822" s="40" t="str">
        <f>IF(OR(C1822="",NOT(ISNUMBER(E1822))),"",IFERROR(E1822*N(INDEX(art_price,MATCH(C1822,art_ref,0))),""))</f>
        <v/>
      </c>
      <c r="K1822" s="39" t="str">
        <f>IF(OR(C1822="",NOT(ISNUMBER(E1822))),"",IFERROR(ROUND(N(INDEX(art_init,MATCH(C1822,art_ref,0)))+SUMIFS($E$5:E1822,$C$5:C1822,C1822,$B$5:B1822,"Entrée")-SUMIFS($E$5:E1822,$C$5:C1822,C1822,$B$5:B1822,"Sortie"),6),""))</f>
        <v/>
      </c>
      <c r="L1822" s="39" t="str">
        <f>IF(COUNTA(A1822:C1822,E1822)=0,"",IF(COUNTA(A1822:C1822,E1822)&lt;4,"Ligne incomplète",IF(NOT(ISNUMBER(A1822)),"Date invalide",IF(AND(B1822&lt;&gt;"Entrée",B1822&lt;&gt;"Sortie"),"Type inconnu",IF(ISNA(MATCH(C1822,art_ref,0)),"Référence inconnue",IF(OR(NOT(ISNUMBER(E1822)),N(E1822)&lt;=0),"Quantité invalide",IF(K1822&lt;0,"Stock négatif",IF(AND(ISNUMBER(A1821),A1822&lt;A1821),"Date hors ordre","OK"))))))))</f>
        <v/>
      </c>
      <c r="M1822" s="39" t="str">
        <f>IF(C1822="","",C1822&amp;"#"&amp;COUNTIF($C$5:C1822,C1822))</f>
        <v/>
      </c>
    </row>
    <row r="1823">
      <c r="A1823" s="41" t="n"/>
      <c r="B1823" s="37" t="n"/>
      <c r="C1823" s="37" t="n"/>
      <c r="D1823" s="39" t="str">
        <f>IF(C1823="","",IFERROR(INDEX(art_des,MATCH(C1823,art_ref,0))&amp;"","Référence inconnue"))</f>
        <v/>
      </c>
      <c r="E1823" s="37" t="n"/>
      <c r="F1823" s="39" t="str">
        <f>IF(C1823="","",IFERROR(INDEX(art_unit,MATCH(C1823,art_ref,0))&amp;"",""))</f>
        <v/>
      </c>
      <c r="G1823" s="37" t="n"/>
      <c r="H1823" s="37" t="n"/>
      <c r="I1823" s="37" t="n"/>
      <c r="J1823" s="40" t="str">
        <f>IF(OR(C1823="",NOT(ISNUMBER(E1823))),"",IFERROR(E1823*N(INDEX(art_price,MATCH(C1823,art_ref,0))),""))</f>
        <v/>
      </c>
      <c r="K1823" s="39" t="str">
        <f>IF(OR(C1823="",NOT(ISNUMBER(E1823))),"",IFERROR(ROUND(N(INDEX(art_init,MATCH(C1823,art_ref,0)))+SUMIFS($E$5:E1823,$C$5:C1823,C1823,$B$5:B1823,"Entrée")-SUMIFS($E$5:E1823,$C$5:C1823,C1823,$B$5:B1823,"Sortie"),6),""))</f>
        <v/>
      </c>
      <c r="L1823" s="39" t="str">
        <f>IF(COUNTA(A1823:C1823,E1823)=0,"",IF(COUNTA(A1823:C1823,E1823)&lt;4,"Ligne incomplète",IF(NOT(ISNUMBER(A1823)),"Date invalide",IF(AND(B1823&lt;&gt;"Entrée",B1823&lt;&gt;"Sortie"),"Type inconnu",IF(ISNA(MATCH(C1823,art_ref,0)),"Référence inconnue",IF(OR(NOT(ISNUMBER(E1823)),N(E1823)&lt;=0),"Quantité invalide",IF(K1823&lt;0,"Stock négatif",IF(AND(ISNUMBER(A1822),A1823&lt;A1822),"Date hors ordre","OK"))))))))</f>
        <v/>
      </c>
      <c r="M1823" s="39" t="str">
        <f>IF(C1823="","",C1823&amp;"#"&amp;COUNTIF($C$5:C1823,C1823))</f>
        <v/>
      </c>
    </row>
    <row r="1824">
      <c r="A1824" s="41" t="n"/>
      <c r="B1824" s="37" t="n"/>
      <c r="C1824" s="37" t="n"/>
      <c r="D1824" s="39" t="str">
        <f>IF(C1824="","",IFERROR(INDEX(art_des,MATCH(C1824,art_ref,0))&amp;"","Référence inconnue"))</f>
        <v/>
      </c>
      <c r="E1824" s="37" t="n"/>
      <c r="F1824" s="39" t="str">
        <f>IF(C1824="","",IFERROR(INDEX(art_unit,MATCH(C1824,art_ref,0))&amp;"",""))</f>
        <v/>
      </c>
      <c r="G1824" s="37" t="n"/>
      <c r="H1824" s="37" t="n"/>
      <c r="I1824" s="37" t="n"/>
      <c r="J1824" s="40" t="str">
        <f>IF(OR(C1824="",NOT(ISNUMBER(E1824))),"",IFERROR(E1824*N(INDEX(art_price,MATCH(C1824,art_ref,0))),""))</f>
        <v/>
      </c>
      <c r="K1824" s="39" t="str">
        <f>IF(OR(C1824="",NOT(ISNUMBER(E1824))),"",IFERROR(ROUND(N(INDEX(art_init,MATCH(C1824,art_ref,0)))+SUMIFS($E$5:E1824,$C$5:C1824,C1824,$B$5:B1824,"Entrée")-SUMIFS($E$5:E1824,$C$5:C1824,C1824,$B$5:B1824,"Sortie"),6),""))</f>
        <v/>
      </c>
      <c r="L1824" s="39" t="str">
        <f>IF(COUNTA(A1824:C1824,E1824)=0,"",IF(COUNTA(A1824:C1824,E1824)&lt;4,"Ligne incomplète",IF(NOT(ISNUMBER(A1824)),"Date invalide",IF(AND(B1824&lt;&gt;"Entrée",B1824&lt;&gt;"Sortie"),"Type inconnu",IF(ISNA(MATCH(C1824,art_ref,0)),"Référence inconnue",IF(OR(NOT(ISNUMBER(E1824)),N(E1824)&lt;=0),"Quantité invalide",IF(K1824&lt;0,"Stock négatif",IF(AND(ISNUMBER(A1823),A1824&lt;A1823),"Date hors ordre","OK"))))))))</f>
        <v/>
      </c>
      <c r="M1824" s="39" t="str">
        <f>IF(C1824="","",C1824&amp;"#"&amp;COUNTIF($C$5:C1824,C1824))</f>
        <v/>
      </c>
    </row>
    <row r="1825">
      <c r="A1825" s="41" t="n"/>
      <c r="B1825" s="37" t="n"/>
      <c r="C1825" s="37" t="n"/>
      <c r="D1825" s="39" t="str">
        <f>IF(C1825="","",IFERROR(INDEX(art_des,MATCH(C1825,art_ref,0))&amp;"","Référence inconnue"))</f>
        <v/>
      </c>
      <c r="E1825" s="37" t="n"/>
      <c r="F1825" s="39" t="str">
        <f>IF(C1825="","",IFERROR(INDEX(art_unit,MATCH(C1825,art_ref,0))&amp;"",""))</f>
        <v/>
      </c>
      <c r="G1825" s="37" t="n"/>
      <c r="H1825" s="37" t="n"/>
      <c r="I1825" s="37" t="n"/>
      <c r="J1825" s="40" t="str">
        <f>IF(OR(C1825="",NOT(ISNUMBER(E1825))),"",IFERROR(E1825*N(INDEX(art_price,MATCH(C1825,art_ref,0))),""))</f>
        <v/>
      </c>
      <c r="K1825" s="39" t="str">
        <f>IF(OR(C1825="",NOT(ISNUMBER(E1825))),"",IFERROR(ROUND(N(INDEX(art_init,MATCH(C1825,art_ref,0)))+SUMIFS($E$5:E1825,$C$5:C1825,C1825,$B$5:B1825,"Entrée")-SUMIFS($E$5:E1825,$C$5:C1825,C1825,$B$5:B1825,"Sortie"),6),""))</f>
        <v/>
      </c>
      <c r="L1825" s="39" t="str">
        <f>IF(COUNTA(A1825:C1825,E1825)=0,"",IF(COUNTA(A1825:C1825,E1825)&lt;4,"Ligne incomplète",IF(NOT(ISNUMBER(A1825)),"Date invalide",IF(AND(B1825&lt;&gt;"Entrée",B1825&lt;&gt;"Sortie"),"Type inconnu",IF(ISNA(MATCH(C1825,art_ref,0)),"Référence inconnue",IF(OR(NOT(ISNUMBER(E1825)),N(E1825)&lt;=0),"Quantité invalide",IF(K1825&lt;0,"Stock négatif",IF(AND(ISNUMBER(A1824),A1825&lt;A1824),"Date hors ordre","OK"))))))))</f>
        <v/>
      </c>
      <c r="M1825" s="39" t="str">
        <f>IF(C1825="","",C1825&amp;"#"&amp;COUNTIF($C$5:C1825,C1825))</f>
        <v/>
      </c>
    </row>
    <row r="1826">
      <c r="A1826" s="41" t="n"/>
      <c r="B1826" s="37" t="n"/>
      <c r="C1826" s="37" t="n"/>
      <c r="D1826" s="39" t="str">
        <f>IF(C1826="","",IFERROR(INDEX(art_des,MATCH(C1826,art_ref,0))&amp;"","Référence inconnue"))</f>
        <v/>
      </c>
      <c r="E1826" s="37" t="n"/>
      <c r="F1826" s="39" t="str">
        <f>IF(C1826="","",IFERROR(INDEX(art_unit,MATCH(C1826,art_ref,0))&amp;"",""))</f>
        <v/>
      </c>
      <c r="G1826" s="37" t="n"/>
      <c r="H1826" s="37" t="n"/>
      <c r="I1826" s="37" t="n"/>
      <c r="J1826" s="40" t="str">
        <f>IF(OR(C1826="",NOT(ISNUMBER(E1826))),"",IFERROR(E1826*N(INDEX(art_price,MATCH(C1826,art_ref,0))),""))</f>
        <v/>
      </c>
      <c r="K1826" s="39" t="str">
        <f>IF(OR(C1826="",NOT(ISNUMBER(E1826))),"",IFERROR(ROUND(N(INDEX(art_init,MATCH(C1826,art_ref,0)))+SUMIFS($E$5:E1826,$C$5:C1826,C1826,$B$5:B1826,"Entrée")-SUMIFS($E$5:E1826,$C$5:C1826,C1826,$B$5:B1826,"Sortie"),6),""))</f>
        <v/>
      </c>
      <c r="L1826" s="39" t="str">
        <f>IF(COUNTA(A1826:C1826,E1826)=0,"",IF(COUNTA(A1826:C1826,E1826)&lt;4,"Ligne incomplète",IF(NOT(ISNUMBER(A1826)),"Date invalide",IF(AND(B1826&lt;&gt;"Entrée",B1826&lt;&gt;"Sortie"),"Type inconnu",IF(ISNA(MATCH(C1826,art_ref,0)),"Référence inconnue",IF(OR(NOT(ISNUMBER(E1826)),N(E1826)&lt;=0),"Quantité invalide",IF(K1826&lt;0,"Stock négatif",IF(AND(ISNUMBER(A1825),A1826&lt;A1825),"Date hors ordre","OK"))))))))</f>
        <v/>
      </c>
      <c r="M1826" s="39" t="str">
        <f>IF(C1826="","",C1826&amp;"#"&amp;COUNTIF($C$5:C1826,C1826))</f>
        <v/>
      </c>
    </row>
    <row r="1827">
      <c r="A1827" s="41" t="n"/>
      <c r="B1827" s="37" t="n"/>
      <c r="C1827" s="37" t="n"/>
      <c r="D1827" s="39" t="str">
        <f>IF(C1827="","",IFERROR(INDEX(art_des,MATCH(C1827,art_ref,0))&amp;"","Référence inconnue"))</f>
        <v/>
      </c>
      <c r="E1827" s="37" t="n"/>
      <c r="F1827" s="39" t="str">
        <f>IF(C1827="","",IFERROR(INDEX(art_unit,MATCH(C1827,art_ref,0))&amp;"",""))</f>
        <v/>
      </c>
      <c r="G1827" s="37" t="n"/>
      <c r="H1827" s="37" t="n"/>
      <c r="I1827" s="37" t="n"/>
      <c r="J1827" s="40" t="str">
        <f>IF(OR(C1827="",NOT(ISNUMBER(E1827))),"",IFERROR(E1827*N(INDEX(art_price,MATCH(C1827,art_ref,0))),""))</f>
        <v/>
      </c>
      <c r="K1827" s="39" t="str">
        <f>IF(OR(C1827="",NOT(ISNUMBER(E1827))),"",IFERROR(ROUND(N(INDEX(art_init,MATCH(C1827,art_ref,0)))+SUMIFS($E$5:E1827,$C$5:C1827,C1827,$B$5:B1827,"Entrée")-SUMIFS($E$5:E1827,$C$5:C1827,C1827,$B$5:B1827,"Sortie"),6),""))</f>
        <v/>
      </c>
      <c r="L1827" s="39" t="str">
        <f>IF(COUNTA(A1827:C1827,E1827)=0,"",IF(COUNTA(A1827:C1827,E1827)&lt;4,"Ligne incomplète",IF(NOT(ISNUMBER(A1827)),"Date invalide",IF(AND(B1827&lt;&gt;"Entrée",B1827&lt;&gt;"Sortie"),"Type inconnu",IF(ISNA(MATCH(C1827,art_ref,0)),"Référence inconnue",IF(OR(NOT(ISNUMBER(E1827)),N(E1827)&lt;=0),"Quantité invalide",IF(K1827&lt;0,"Stock négatif",IF(AND(ISNUMBER(A1826),A1827&lt;A1826),"Date hors ordre","OK"))))))))</f>
        <v/>
      </c>
      <c r="M1827" s="39" t="str">
        <f>IF(C1827="","",C1827&amp;"#"&amp;COUNTIF($C$5:C1827,C1827))</f>
        <v/>
      </c>
    </row>
    <row r="1828">
      <c r="A1828" s="41" t="n"/>
      <c r="B1828" s="37" t="n"/>
      <c r="C1828" s="37" t="n"/>
      <c r="D1828" s="39" t="str">
        <f>IF(C1828="","",IFERROR(INDEX(art_des,MATCH(C1828,art_ref,0))&amp;"","Référence inconnue"))</f>
        <v/>
      </c>
      <c r="E1828" s="37" t="n"/>
      <c r="F1828" s="39" t="str">
        <f>IF(C1828="","",IFERROR(INDEX(art_unit,MATCH(C1828,art_ref,0))&amp;"",""))</f>
        <v/>
      </c>
      <c r="G1828" s="37" t="n"/>
      <c r="H1828" s="37" t="n"/>
      <c r="I1828" s="37" t="n"/>
      <c r="J1828" s="40" t="str">
        <f>IF(OR(C1828="",NOT(ISNUMBER(E1828))),"",IFERROR(E1828*N(INDEX(art_price,MATCH(C1828,art_ref,0))),""))</f>
        <v/>
      </c>
      <c r="K1828" s="39" t="str">
        <f>IF(OR(C1828="",NOT(ISNUMBER(E1828))),"",IFERROR(ROUND(N(INDEX(art_init,MATCH(C1828,art_ref,0)))+SUMIFS($E$5:E1828,$C$5:C1828,C1828,$B$5:B1828,"Entrée")-SUMIFS($E$5:E1828,$C$5:C1828,C1828,$B$5:B1828,"Sortie"),6),""))</f>
        <v/>
      </c>
      <c r="L1828" s="39" t="str">
        <f>IF(COUNTA(A1828:C1828,E1828)=0,"",IF(COUNTA(A1828:C1828,E1828)&lt;4,"Ligne incomplète",IF(NOT(ISNUMBER(A1828)),"Date invalide",IF(AND(B1828&lt;&gt;"Entrée",B1828&lt;&gt;"Sortie"),"Type inconnu",IF(ISNA(MATCH(C1828,art_ref,0)),"Référence inconnue",IF(OR(NOT(ISNUMBER(E1828)),N(E1828)&lt;=0),"Quantité invalide",IF(K1828&lt;0,"Stock négatif",IF(AND(ISNUMBER(A1827),A1828&lt;A1827),"Date hors ordre","OK"))))))))</f>
        <v/>
      </c>
      <c r="M1828" s="39" t="str">
        <f>IF(C1828="","",C1828&amp;"#"&amp;COUNTIF($C$5:C1828,C1828))</f>
        <v/>
      </c>
    </row>
    <row r="1829">
      <c r="A1829" s="41" t="n"/>
      <c r="B1829" s="37" t="n"/>
      <c r="C1829" s="37" t="n"/>
      <c r="D1829" s="39" t="str">
        <f>IF(C1829="","",IFERROR(INDEX(art_des,MATCH(C1829,art_ref,0))&amp;"","Référence inconnue"))</f>
        <v/>
      </c>
      <c r="E1829" s="37" t="n"/>
      <c r="F1829" s="39" t="str">
        <f>IF(C1829="","",IFERROR(INDEX(art_unit,MATCH(C1829,art_ref,0))&amp;"",""))</f>
        <v/>
      </c>
      <c r="G1829" s="37" t="n"/>
      <c r="H1829" s="37" t="n"/>
      <c r="I1829" s="37" t="n"/>
      <c r="J1829" s="40" t="str">
        <f>IF(OR(C1829="",NOT(ISNUMBER(E1829))),"",IFERROR(E1829*N(INDEX(art_price,MATCH(C1829,art_ref,0))),""))</f>
        <v/>
      </c>
      <c r="K1829" s="39" t="str">
        <f>IF(OR(C1829="",NOT(ISNUMBER(E1829))),"",IFERROR(ROUND(N(INDEX(art_init,MATCH(C1829,art_ref,0)))+SUMIFS($E$5:E1829,$C$5:C1829,C1829,$B$5:B1829,"Entrée")-SUMIFS($E$5:E1829,$C$5:C1829,C1829,$B$5:B1829,"Sortie"),6),""))</f>
        <v/>
      </c>
      <c r="L1829" s="39" t="str">
        <f>IF(COUNTA(A1829:C1829,E1829)=0,"",IF(COUNTA(A1829:C1829,E1829)&lt;4,"Ligne incomplète",IF(NOT(ISNUMBER(A1829)),"Date invalide",IF(AND(B1829&lt;&gt;"Entrée",B1829&lt;&gt;"Sortie"),"Type inconnu",IF(ISNA(MATCH(C1829,art_ref,0)),"Référence inconnue",IF(OR(NOT(ISNUMBER(E1829)),N(E1829)&lt;=0),"Quantité invalide",IF(K1829&lt;0,"Stock négatif",IF(AND(ISNUMBER(A1828),A1829&lt;A1828),"Date hors ordre","OK"))))))))</f>
        <v/>
      </c>
      <c r="M1829" s="39" t="str">
        <f>IF(C1829="","",C1829&amp;"#"&amp;COUNTIF($C$5:C1829,C1829))</f>
        <v/>
      </c>
    </row>
    <row r="1830">
      <c r="A1830" s="41" t="n"/>
      <c r="B1830" s="37" t="n"/>
      <c r="C1830" s="37" t="n"/>
      <c r="D1830" s="39" t="str">
        <f>IF(C1830="","",IFERROR(INDEX(art_des,MATCH(C1830,art_ref,0))&amp;"","Référence inconnue"))</f>
        <v/>
      </c>
      <c r="E1830" s="37" t="n"/>
      <c r="F1830" s="39" t="str">
        <f>IF(C1830="","",IFERROR(INDEX(art_unit,MATCH(C1830,art_ref,0))&amp;"",""))</f>
        <v/>
      </c>
      <c r="G1830" s="37" t="n"/>
      <c r="H1830" s="37" t="n"/>
      <c r="I1830" s="37" t="n"/>
      <c r="J1830" s="40" t="str">
        <f>IF(OR(C1830="",NOT(ISNUMBER(E1830))),"",IFERROR(E1830*N(INDEX(art_price,MATCH(C1830,art_ref,0))),""))</f>
        <v/>
      </c>
      <c r="K1830" s="39" t="str">
        <f>IF(OR(C1830="",NOT(ISNUMBER(E1830))),"",IFERROR(ROUND(N(INDEX(art_init,MATCH(C1830,art_ref,0)))+SUMIFS($E$5:E1830,$C$5:C1830,C1830,$B$5:B1830,"Entrée")-SUMIFS($E$5:E1830,$C$5:C1830,C1830,$B$5:B1830,"Sortie"),6),""))</f>
        <v/>
      </c>
      <c r="L1830" s="39" t="str">
        <f>IF(COUNTA(A1830:C1830,E1830)=0,"",IF(COUNTA(A1830:C1830,E1830)&lt;4,"Ligne incomplète",IF(NOT(ISNUMBER(A1830)),"Date invalide",IF(AND(B1830&lt;&gt;"Entrée",B1830&lt;&gt;"Sortie"),"Type inconnu",IF(ISNA(MATCH(C1830,art_ref,0)),"Référence inconnue",IF(OR(NOT(ISNUMBER(E1830)),N(E1830)&lt;=0),"Quantité invalide",IF(K1830&lt;0,"Stock négatif",IF(AND(ISNUMBER(A1829),A1830&lt;A1829),"Date hors ordre","OK"))))))))</f>
        <v/>
      </c>
      <c r="M1830" s="39" t="str">
        <f>IF(C1830="","",C1830&amp;"#"&amp;COUNTIF($C$5:C1830,C1830))</f>
        <v/>
      </c>
    </row>
    <row r="1831">
      <c r="A1831" s="41" t="n"/>
      <c r="B1831" s="37" t="n"/>
      <c r="C1831" s="37" t="n"/>
      <c r="D1831" s="39" t="str">
        <f>IF(C1831="","",IFERROR(INDEX(art_des,MATCH(C1831,art_ref,0))&amp;"","Référence inconnue"))</f>
        <v/>
      </c>
      <c r="E1831" s="37" t="n"/>
      <c r="F1831" s="39" t="str">
        <f>IF(C1831="","",IFERROR(INDEX(art_unit,MATCH(C1831,art_ref,0))&amp;"",""))</f>
        <v/>
      </c>
      <c r="G1831" s="37" t="n"/>
      <c r="H1831" s="37" t="n"/>
      <c r="I1831" s="37" t="n"/>
      <c r="J1831" s="40" t="str">
        <f>IF(OR(C1831="",NOT(ISNUMBER(E1831))),"",IFERROR(E1831*N(INDEX(art_price,MATCH(C1831,art_ref,0))),""))</f>
        <v/>
      </c>
      <c r="K1831" s="39" t="str">
        <f>IF(OR(C1831="",NOT(ISNUMBER(E1831))),"",IFERROR(ROUND(N(INDEX(art_init,MATCH(C1831,art_ref,0)))+SUMIFS($E$5:E1831,$C$5:C1831,C1831,$B$5:B1831,"Entrée")-SUMIFS($E$5:E1831,$C$5:C1831,C1831,$B$5:B1831,"Sortie"),6),""))</f>
        <v/>
      </c>
      <c r="L1831" s="39" t="str">
        <f>IF(COUNTA(A1831:C1831,E1831)=0,"",IF(COUNTA(A1831:C1831,E1831)&lt;4,"Ligne incomplète",IF(NOT(ISNUMBER(A1831)),"Date invalide",IF(AND(B1831&lt;&gt;"Entrée",B1831&lt;&gt;"Sortie"),"Type inconnu",IF(ISNA(MATCH(C1831,art_ref,0)),"Référence inconnue",IF(OR(NOT(ISNUMBER(E1831)),N(E1831)&lt;=0),"Quantité invalide",IF(K1831&lt;0,"Stock négatif",IF(AND(ISNUMBER(A1830),A1831&lt;A1830),"Date hors ordre","OK"))))))))</f>
        <v/>
      </c>
      <c r="M1831" s="39" t="str">
        <f>IF(C1831="","",C1831&amp;"#"&amp;COUNTIF($C$5:C1831,C1831))</f>
        <v/>
      </c>
    </row>
    <row r="1832">
      <c r="A1832" s="41" t="n"/>
      <c r="B1832" s="37" t="n"/>
      <c r="C1832" s="37" t="n"/>
      <c r="D1832" s="39" t="str">
        <f>IF(C1832="","",IFERROR(INDEX(art_des,MATCH(C1832,art_ref,0))&amp;"","Référence inconnue"))</f>
        <v/>
      </c>
      <c r="E1832" s="37" t="n"/>
      <c r="F1832" s="39" t="str">
        <f>IF(C1832="","",IFERROR(INDEX(art_unit,MATCH(C1832,art_ref,0))&amp;"",""))</f>
        <v/>
      </c>
      <c r="G1832" s="37" t="n"/>
      <c r="H1832" s="37" t="n"/>
      <c r="I1832" s="37" t="n"/>
      <c r="J1832" s="40" t="str">
        <f>IF(OR(C1832="",NOT(ISNUMBER(E1832))),"",IFERROR(E1832*N(INDEX(art_price,MATCH(C1832,art_ref,0))),""))</f>
        <v/>
      </c>
      <c r="K1832" s="39" t="str">
        <f>IF(OR(C1832="",NOT(ISNUMBER(E1832))),"",IFERROR(ROUND(N(INDEX(art_init,MATCH(C1832,art_ref,0)))+SUMIFS($E$5:E1832,$C$5:C1832,C1832,$B$5:B1832,"Entrée")-SUMIFS($E$5:E1832,$C$5:C1832,C1832,$B$5:B1832,"Sortie"),6),""))</f>
        <v/>
      </c>
      <c r="L1832" s="39" t="str">
        <f>IF(COUNTA(A1832:C1832,E1832)=0,"",IF(COUNTA(A1832:C1832,E1832)&lt;4,"Ligne incomplète",IF(NOT(ISNUMBER(A1832)),"Date invalide",IF(AND(B1832&lt;&gt;"Entrée",B1832&lt;&gt;"Sortie"),"Type inconnu",IF(ISNA(MATCH(C1832,art_ref,0)),"Référence inconnue",IF(OR(NOT(ISNUMBER(E1832)),N(E1832)&lt;=0),"Quantité invalide",IF(K1832&lt;0,"Stock négatif",IF(AND(ISNUMBER(A1831),A1832&lt;A1831),"Date hors ordre","OK"))))))))</f>
        <v/>
      </c>
      <c r="M1832" s="39" t="str">
        <f>IF(C1832="","",C1832&amp;"#"&amp;COUNTIF($C$5:C1832,C1832))</f>
        <v/>
      </c>
    </row>
    <row r="1833">
      <c r="A1833" s="41" t="n"/>
      <c r="B1833" s="37" t="n"/>
      <c r="C1833" s="37" t="n"/>
      <c r="D1833" s="39" t="str">
        <f>IF(C1833="","",IFERROR(INDEX(art_des,MATCH(C1833,art_ref,0))&amp;"","Référence inconnue"))</f>
        <v/>
      </c>
      <c r="E1833" s="37" t="n"/>
      <c r="F1833" s="39" t="str">
        <f>IF(C1833="","",IFERROR(INDEX(art_unit,MATCH(C1833,art_ref,0))&amp;"",""))</f>
        <v/>
      </c>
      <c r="G1833" s="37" t="n"/>
      <c r="H1833" s="37" t="n"/>
      <c r="I1833" s="37" t="n"/>
      <c r="J1833" s="40" t="str">
        <f>IF(OR(C1833="",NOT(ISNUMBER(E1833))),"",IFERROR(E1833*N(INDEX(art_price,MATCH(C1833,art_ref,0))),""))</f>
        <v/>
      </c>
      <c r="K1833" s="39" t="str">
        <f>IF(OR(C1833="",NOT(ISNUMBER(E1833))),"",IFERROR(ROUND(N(INDEX(art_init,MATCH(C1833,art_ref,0)))+SUMIFS($E$5:E1833,$C$5:C1833,C1833,$B$5:B1833,"Entrée")-SUMIFS($E$5:E1833,$C$5:C1833,C1833,$B$5:B1833,"Sortie"),6),""))</f>
        <v/>
      </c>
      <c r="L1833" s="39" t="str">
        <f>IF(COUNTA(A1833:C1833,E1833)=0,"",IF(COUNTA(A1833:C1833,E1833)&lt;4,"Ligne incomplète",IF(NOT(ISNUMBER(A1833)),"Date invalide",IF(AND(B1833&lt;&gt;"Entrée",B1833&lt;&gt;"Sortie"),"Type inconnu",IF(ISNA(MATCH(C1833,art_ref,0)),"Référence inconnue",IF(OR(NOT(ISNUMBER(E1833)),N(E1833)&lt;=0),"Quantité invalide",IF(K1833&lt;0,"Stock négatif",IF(AND(ISNUMBER(A1832),A1833&lt;A1832),"Date hors ordre","OK"))))))))</f>
        <v/>
      </c>
      <c r="M1833" s="39" t="str">
        <f>IF(C1833="","",C1833&amp;"#"&amp;COUNTIF($C$5:C1833,C1833))</f>
        <v/>
      </c>
    </row>
    <row r="1834">
      <c r="A1834" s="41" t="n"/>
      <c r="B1834" s="37" t="n"/>
      <c r="C1834" s="37" t="n"/>
      <c r="D1834" s="39" t="str">
        <f>IF(C1834="","",IFERROR(INDEX(art_des,MATCH(C1834,art_ref,0))&amp;"","Référence inconnue"))</f>
        <v/>
      </c>
      <c r="E1834" s="37" t="n"/>
      <c r="F1834" s="39" t="str">
        <f>IF(C1834="","",IFERROR(INDEX(art_unit,MATCH(C1834,art_ref,0))&amp;"",""))</f>
        <v/>
      </c>
      <c r="G1834" s="37" t="n"/>
      <c r="H1834" s="37" t="n"/>
      <c r="I1834" s="37" t="n"/>
      <c r="J1834" s="40" t="str">
        <f>IF(OR(C1834="",NOT(ISNUMBER(E1834))),"",IFERROR(E1834*N(INDEX(art_price,MATCH(C1834,art_ref,0))),""))</f>
        <v/>
      </c>
      <c r="K1834" s="39" t="str">
        <f>IF(OR(C1834="",NOT(ISNUMBER(E1834))),"",IFERROR(ROUND(N(INDEX(art_init,MATCH(C1834,art_ref,0)))+SUMIFS($E$5:E1834,$C$5:C1834,C1834,$B$5:B1834,"Entrée")-SUMIFS($E$5:E1834,$C$5:C1834,C1834,$B$5:B1834,"Sortie"),6),""))</f>
        <v/>
      </c>
      <c r="L1834" s="39" t="str">
        <f>IF(COUNTA(A1834:C1834,E1834)=0,"",IF(COUNTA(A1834:C1834,E1834)&lt;4,"Ligne incomplète",IF(NOT(ISNUMBER(A1834)),"Date invalide",IF(AND(B1834&lt;&gt;"Entrée",B1834&lt;&gt;"Sortie"),"Type inconnu",IF(ISNA(MATCH(C1834,art_ref,0)),"Référence inconnue",IF(OR(NOT(ISNUMBER(E1834)),N(E1834)&lt;=0),"Quantité invalide",IF(K1834&lt;0,"Stock négatif",IF(AND(ISNUMBER(A1833),A1834&lt;A1833),"Date hors ordre","OK"))))))))</f>
        <v/>
      </c>
      <c r="M1834" s="39" t="str">
        <f>IF(C1834="","",C1834&amp;"#"&amp;COUNTIF($C$5:C1834,C1834))</f>
        <v/>
      </c>
    </row>
    <row r="1835">
      <c r="A1835" s="41" t="n"/>
      <c r="B1835" s="37" t="n"/>
      <c r="C1835" s="37" t="n"/>
      <c r="D1835" s="39" t="str">
        <f>IF(C1835="","",IFERROR(INDEX(art_des,MATCH(C1835,art_ref,0))&amp;"","Référence inconnue"))</f>
        <v/>
      </c>
      <c r="E1835" s="37" t="n"/>
      <c r="F1835" s="39" t="str">
        <f>IF(C1835="","",IFERROR(INDEX(art_unit,MATCH(C1835,art_ref,0))&amp;"",""))</f>
        <v/>
      </c>
      <c r="G1835" s="37" t="n"/>
      <c r="H1835" s="37" t="n"/>
      <c r="I1835" s="37" t="n"/>
      <c r="J1835" s="40" t="str">
        <f>IF(OR(C1835="",NOT(ISNUMBER(E1835))),"",IFERROR(E1835*N(INDEX(art_price,MATCH(C1835,art_ref,0))),""))</f>
        <v/>
      </c>
      <c r="K1835" s="39" t="str">
        <f>IF(OR(C1835="",NOT(ISNUMBER(E1835))),"",IFERROR(ROUND(N(INDEX(art_init,MATCH(C1835,art_ref,0)))+SUMIFS($E$5:E1835,$C$5:C1835,C1835,$B$5:B1835,"Entrée")-SUMIFS($E$5:E1835,$C$5:C1835,C1835,$B$5:B1835,"Sortie"),6),""))</f>
        <v/>
      </c>
      <c r="L1835" s="39" t="str">
        <f>IF(COUNTA(A1835:C1835,E1835)=0,"",IF(COUNTA(A1835:C1835,E1835)&lt;4,"Ligne incomplète",IF(NOT(ISNUMBER(A1835)),"Date invalide",IF(AND(B1835&lt;&gt;"Entrée",B1835&lt;&gt;"Sortie"),"Type inconnu",IF(ISNA(MATCH(C1835,art_ref,0)),"Référence inconnue",IF(OR(NOT(ISNUMBER(E1835)),N(E1835)&lt;=0),"Quantité invalide",IF(K1835&lt;0,"Stock négatif",IF(AND(ISNUMBER(A1834),A1835&lt;A1834),"Date hors ordre","OK"))))))))</f>
        <v/>
      </c>
      <c r="M1835" s="39" t="str">
        <f>IF(C1835="","",C1835&amp;"#"&amp;COUNTIF($C$5:C1835,C1835))</f>
        <v/>
      </c>
    </row>
    <row r="1836">
      <c r="A1836" s="41" t="n"/>
      <c r="B1836" s="37" t="n"/>
      <c r="C1836" s="37" t="n"/>
      <c r="D1836" s="39" t="str">
        <f>IF(C1836="","",IFERROR(INDEX(art_des,MATCH(C1836,art_ref,0))&amp;"","Référence inconnue"))</f>
        <v/>
      </c>
      <c r="E1836" s="37" t="n"/>
      <c r="F1836" s="39" t="str">
        <f>IF(C1836="","",IFERROR(INDEX(art_unit,MATCH(C1836,art_ref,0))&amp;"",""))</f>
        <v/>
      </c>
      <c r="G1836" s="37" t="n"/>
      <c r="H1836" s="37" t="n"/>
      <c r="I1836" s="37" t="n"/>
      <c r="J1836" s="40" t="str">
        <f>IF(OR(C1836="",NOT(ISNUMBER(E1836))),"",IFERROR(E1836*N(INDEX(art_price,MATCH(C1836,art_ref,0))),""))</f>
        <v/>
      </c>
      <c r="K1836" s="39" t="str">
        <f>IF(OR(C1836="",NOT(ISNUMBER(E1836))),"",IFERROR(ROUND(N(INDEX(art_init,MATCH(C1836,art_ref,0)))+SUMIFS($E$5:E1836,$C$5:C1836,C1836,$B$5:B1836,"Entrée")-SUMIFS($E$5:E1836,$C$5:C1836,C1836,$B$5:B1836,"Sortie"),6),""))</f>
        <v/>
      </c>
      <c r="L1836" s="39" t="str">
        <f>IF(COUNTA(A1836:C1836,E1836)=0,"",IF(COUNTA(A1836:C1836,E1836)&lt;4,"Ligne incomplète",IF(NOT(ISNUMBER(A1836)),"Date invalide",IF(AND(B1836&lt;&gt;"Entrée",B1836&lt;&gt;"Sortie"),"Type inconnu",IF(ISNA(MATCH(C1836,art_ref,0)),"Référence inconnue",IF(OR(NOT(ISNUMBER(E1836)),N(E1836)&lt;=0),"Quantité invalide",IF(K1836&lt;0,"Stock négatif",IF(AND(ISNUMBER(A1835),A1836&lt;A1835),"Date hors ordre","OK"))))))))</f>
        <v/>
      </c>
      <c r="M1836" s="39" t="str">
        <f>IF(C1836="","",C1836&amp;"#"&amp;COUNTIF($C$5:C1836,C1836))</f>
        <v/>
      </c>
    </row>
    <row r="1837">
      <c r="A1837" s="41" t="n"/>
      <c r="B1837" s="37" t="n"/>
      <c r="C1837" s="37" t="n"/>
      <c r="D1837" s="39" t="str">
        <f>IF(C1837="","",IFERROR(INDEX(art_des,MATCH(C1837,art_ref,0))&amp;"","Référence inconnue"))</f>
        <v/>
      </c>
      <c r="E1837" s="37" t="n"/>
      <c r="F1837" s="39" t="str">
        <f>IF(C1837="","",IFERROR(INDEX(art_unit,MATCH(C1837,art_ref,0))&amp;"",""))</f>
        <v/>
      </c>
      <c r="G1837" s="37" t="n"/>
      <c r="H1837" s="37" t="n"/>
      <c r="I1837" s="37" t="n"/>
      <c r="J1837" s="40" t="str">
        <f>IF(OR(C1837="",NOT(ISNUMBER(E1837))),"",IFERROR(E1837*N(INDEX(art_price,MATCH(C1837,art_ref,0))),""))</f>
        <v/>
      </c>
      <c r="K1837" s="39" t="str">
        <f>IF(OR(C1837="",NOT(ISNUMBER(E1837))),"",IFERROR(ROUND(N(INDEX(art_init,MATCH(C1837,art_ref,0)))+SUMIFS($E$5:E1837,$C$5:C1837,C1837,$B$5:B1837,"Entrée")-SUMIFS($E$5:E1837,$C$5:C1837,C1837,$B$5:B1837,"Sortie"),6),""))</f>
        <v/>
      </c>
      <c r="L1837" s="39" t="str">
        <f>IF(COUNTA(A1837:C1837,E1837)=0,"",IF(COUNTA(A1837:C1837,E1837)&lt;4,"Ligne incomplète",IF(NOT(ISNUMBER(A1837)),"Date invalide",IF(AND(B1837&lt;&gt;"Entrée",B1837&lt;&gt;"Sortie"),"Type inconnu",IF(ISNA(MATCH(C1837,art_ref,0)),"Référence inconnue",IF(OR(NOT(ISNUMBER(E1837)),N(E1837)&lt;=0),"Quantité invalide",IF(K1837&lt;0,"Stock négatif",IF(AND(ISNUMBER(A1836),A1837&lt;A1836),"Date hors ordre","OK"))))))))</f>
        <v/>
      </c>
      <c r="M1837" s="39" t="str">
        <f>IF(C1837="","",C1837&amp;"#"&amp;COUNTIF($C$5:C1837,C1837))</f>
        <v/>
      </c>
    </row>
    <row r="1838">
      <c r="A1838" s="41" t="n"/>
      <c r="B1838" s="37" t="n"/>
      <c r="C1838" s="37" t="n"/>
      <c r="D1838" s="39" t="str">
        <f>IF(C1838="","",IFERROR(INDEX(art_des,MATCH(C1838,art_ref,0))&amp;"","Référence inconnue"))</f>
        <v/>
      </c>
      <c r="E1838" s="37" t="n"/>
      <c r="F1838" s="39" t="str">
        <f>IF(C1838="","",IFERROR(INDEX(art_unit,MATCH(C1838,art_ref,0))&amp;"",""))</f>
        <v/>
      </c>
      <c r="G1838" s="37" t="n"/>
      <c r="H1838" s="37" t="n"/>
      <c r="I1838" s="37" t="n"/>
      <c r="J1838" s="40" t="str">
        <f>IF(OR(C1838="",NOT(ISNUMBER(E1838))),"",IFERROR(E1838*N(INDEX(art_price,MATCH(C1838,art_ref,0))),""))</f>
        <v/>
      </c>
      <c r="K1838" s="39" t="str">
        <f>IF(OR(C1838="",NOT(ISNUMBER(E1838))),"",IFERROR(ROUND(N(INDEX(art_init,MATCH(C1838,art_ref,0)))+SUMIFS($E$5:E1838,$C$5:C1838,C1838,$B$5:B1838,"Entrée")-SUMIFS($E$5:E1838,$C$5:C1838,C1838,$B$5:B1838,"Sortie"),6),""))</f>
        <v/>
      </c>
      <c r="L1838" s="39" t="str">
        <f>IF(COUNTA(A1838:C1838,E1838)=0,"",IF(COUNTA(A1838:C1838,E1838)&lt;4,"Ligne incomplète",IF(NOT(ISNUMBER(A1838)),"Date invalide",IF(AND(B1838&lt;&gt;"Entrée",B1838&lt;&gt;"Sortie"),"Type inconnu",IF(ISNA(MATCH(C1838,art_ref,0)),"Référence inconnue",IF(OR(NOT(ISNUMBER(E1838)),N(E1838)&lt;=0),"Quantité invalide",IF(K1838&lt;0,"Stock négatif",IF(AND(ISNUMBER(A1837),A1838&lt;A1837),"Date hors ordre","OK"))))))))</f>
        <v/>
      </c>
      <c r="M1838" s="39" t="str">
        <f>IF(C1838="","",C1838&amp;"#"&amp;COUNTIF($C$5:C1838,C1838))</f>
        <v/>
      </c>
    </row>
    <row r="1839">
      <c r="A1839" s="41" t="n"/>
      <c r="B1839" s="37" t="n"/>
      <c r="C1839" s="37" t="n"/>
      <c r="D1839" s="39" t="str">
        <f>IF(C1839="","",IFERROR(INDEX(art_des,MATCH(C1839,art_ref,0))&amp;"","Référence inconnue"))</f>
        <v/>
      </c>
      <c r="E1839" s="37" t="n"/>
      <c r="F1839" s="39" t="str">
        <f>IF(C1839="","",IFERROR(INDEX(art_unit,MATCH(C1839,art_ref,0))&amp;"",""))</f>
        <v/>
      </c>
      <c r="G1839" s="37" t="n"/>
      <c r="H1839" s="37" t="n"/>
      <c r="I1839" s="37" t="n"/>
      <c r="J1839" s="40" t="str">
        <f>IF(OR(C1839="",NOT(ISNUMBER(E1839))),"",IFERROR(E1839*N(INDEX(art_price,MATCH(C1839,art_ref,0))),""))</f>
        <v/>
      </c>
      <c r="K1839" s="39" t="str">
        <f>IF(OR(C1839="",NOT(ISNUMBER(E1839))),"",IFERROR(ROUND(N(INDEX(art_init,MATCH(C1839,art_ref,0)))+SUMIFS($E$5:E1839,$C$5:C1839,C1839,$B$5:B1839,"Entrée")-SUMIFS($E$5:E1839,$C$5:C1839,C1839,$B$5:B1839,"Sortie"),6),""))</f>
        <v/>
      </c>
      <c r="L1839" s="39" t="str">
        <f>IF(COUNTA(A1839:C1839,E1839)=0,"",IF(COUNTA(A1839:C1839,E1839)&lt;4,"Ligne incomplète",IF(NOT(ISNUMBER(A1839)),"Date invalide",IF(AND(B1839&lt;&gt;"Entrée",B1839&lt;&gt;"Sortie"),"Type inconnu",IF(ISNA(MATCH(C1839,art_ref,0)),"Référence inconnue",IF(OR(NOT(ISNUMBER(E1839)),N(E1839)&lt;=0),"Quantité invalide",IF(K1839&lt;0,"Stock négatif",IF(AND(ISNUMBER(A1838),A1839&lt;A1838),"Date hors ordre","OK"))))))))</f>
        <v/>
      </c>
      <c r="M1839" s="39" t="str">
        <f>IF(C1839="","",C1839&amp;"#"&amp;COUNTIF($C$5:C1839,C1839))</f>
        <v/>
      </c>
    </row>
    <row r="1840">
      <c r="A1840" s="41" t="n"/>
      <c r="B1840" s="37" t="n"/>
      <c r="C1840" s="37" t="n"/>
      <c r="D1840" s="39" t="str">
        <f>IF(C1840="","",IFERROR(INDEX(art_des,MATCH(C1840,art_ref,0))&amp;"","Référence inconnue"))</f>
        <v/>
      </c>
      <c r="E1840" s="37" t="n"/>
      <c r="F1840" s="39" t="str">
        <f>IF(C1840="","",IFERROR(INDEX(art_unit,MATCH(C1840,art_ref,0))&amp;"",""))</f>
        <v/>
      </c>
      <c r="G1840" s="37" t="n"/>
      <c r="H1840" s="37" t="n"/>
      <c r="I1840" s="37" t="n"/>
      <c r="J1840" s="40" t="str">
        <f>IF(OR(C1840="",NOT(ISNUMBER(E1840))),"",IFERROR(E1840*N(INDEX(art_price,MATCH(C1840,art_ref,0))),""))</f>
        <v/>
      </c>
      <c r="K1840" s="39" t="str">
        <f>IF(OR(C1840="",NOT(ISNUMBER(E1840))),"",IFERROR(ROUND(N(INDEX(art_init,MATCH(C1840,art_ref,0)))+SUMIFS($E$5:E1840,$C$5:C1840,C1840,$B$5:B1840,"Entrée")-SUMIFS($E$5:E1840,$C$5:C1840,C1840,$B$5:B1840,"Sortie"),6),""))</f>
        <v/>
      </c>
      <c r="L1840" s="39" t="str">
        <f>IF(COUNTA(A1840:C1840,E1840)=0,"",IF(COUNTA(A1840:C1840,E1840)&lt;4,"Ligne incomplète",IF(NOT(ISNUMBER(A1840)),"Date invalide",IF(AND(B1840&lt;&gt;"Entrée",B1840&lt;&gt;"Sortie"),"Type inconnu",IF(ISNA(MATCH(C1840,art_ref,0)),"Référence inconnue",IF(OR(NOT(ISNUMBER(E1840)),N(E1840)&lt;=0),"Quantité invalide",IF(K1840&lt;0,"Stock négatif",IF(AND(ISNUMBER(A1839),A1840&lt;A1839),"Date hors ordre","OK"))))))))</f>
        <v/>
      </c>
      <c r="M1840" s="39" t="str">
        <f>IF(C1840="","",C1840&amp;"#"&amp;COUNTIF($C$5:C1840,C1840))</f>
        <v/>
      </c>
    </row>
    <row r="1841">
      <c r="A1841" s="41" t="n"/>
      <c r="B1841" s="37" t="n"/>
      <c r="C1841" s="37" t="n"/>
      <c r="D1841" s="39" t="str">
        <f>IF(C1841="","",IFERROR(INDEX(art_des,MATCH(C1841,art_ref,0))&amp;"","Référence inconnue"))</f>
        <v/>
      </c>
      <c r="E1841" s="37" t="n"/>
      <c r="F1841" s="39" t="str">
        <f>IF(C1841="","",IFERROR(INDEX(art_unit,MATCH(C1841,art_ref,0))&amp;"",""))</f>
        <v/>
      </c>
      <c r="G1841" s="37" t="n"/>
      <c r="H1841" s="37" t="n"/>
      <c r="I1841" s="37" t="n"/>
      <c r="J1841" s="40" t="str">
        <f>IF(OR(C1841="",NOT(ISNUMBER(E1841))),"",IFERROR(E1841*N(INDEX(art_price,MATCH(C1841,art_ref,0))),""))</f>
        <v/>
      </c>
      <c r="K1841" s="39" t="str">
        <f>IF(OR(C1841="",NOT(ISNUMBER(E1841))),"",IFERROR(ROUND(N(INDEX(art_init,MATCH(C1841,art_ref,0)))+SUMIFS($E$5:E1841,$C$5:C1841,C1841,$B$5:B1841,"Entrée")-SUMIFS($E$5:E1841,$C$5:C1841,C1841,$B$5:B1841,"Sortie"),6),""))</f>
        <v/>
      </c>
      <c r="L1841" s="39" t="str">
        <f>IF(COUNTA(A1841:C1841,E1841)=0,"",IF(COUNTA(A1841:C1841,E1841)&lt;4,"Ligne incomplète",IF(NOT(ISNUMBER(A1841)),"Date invalide",IF(AND(B1841&lt;&gt;"Entrée",B1841&lt;&gt;"Sortie"),"Type inconnu",IF(ISNA(MATCH(C1841,art_ref,0)),"Référence inconnue",IF(OR(NOT(ISNUMBER(E1841)),N(E1841)&lt;=0),"Quantité invalide",IF(K1841&lt;0,"Stock négatif",IF(AND(ISNUMBER(A1840),A1841&lt;A1840),"Date hors ordre","OK"))))))))</f>
        <v/>
      </c>
      <c r="M1841" s="39" t="str">
        <f>IF(C1841="","",C1841&amp;"#"&amp;COUNTIF($C$5:C1841,C1841))</f>
        <v/>
      </c>
    </row>
    <row r="1842">
      <c r="A1842" s="41" t="n"/>
      <c r="B1842" s="37" t="n"/>
      <c r="C1842" s="37" t="n"/>
      <c r="D1842" s="39" t="str">
        <f>IF(C1842="","",IFERROR(INDEX(art_des,MATCH(C1842,art_ref,0))&amp;"","Référence inconnue"))</f>
        <v/>
      </c>
      <c r="E1842" s="37" t="n"/>
      <c r="F1842" s="39" t="str">
        <f>IF(C1842="","",IFERROR(INDEX(art_unit,MATCH(C1842,art_ref,0))&amp;"",""))</f>
        <v/>
      </c>
      <c r="G1842" s="37" t="n"/>
      <c r="H1842" s="37" t="n"/>
      <c r="I1842" s="37" t="n"/>
      <c r="J1842" s="40" t="str">
        <f>IF(OR(C1842="",NOT(ISNUMBER(E1842))),"",IFERROR(E1842*N(INDEX(art_price,MATCH(C1842,art_ref,0))),""))</f>
        <v/>
      </c>
      <c r="K1842" s="39" t="str">
        <f>IF(OR(C1842="",NOT(ISNUMBER(E1842))),"",IFERROR(ROUND(N(INDEX(art_init,MATCH(C1842,art_ref,0)))+SUMIFS($E$5:E1842,$C$5:C1842,C1842,$B$5:B1842,"Entrée")-SUMIFS($E$5:E1842,$C$5:C1842,C1842,$B$5:B1842,"Sortie"),6),""))</f>
        <v/>
      </c>
      <c r="L1842" s="39" t="str">
        <f>IF(COUNTA(A1842:C1842,E1842)=0,"",IF(COUNTA(A1842:C1842,E1842)&lt;4,"Ligne incomplète",IF(NOT(ISNUMBER(A1842)),"Date invalide",IF(AND(B1842&lt;&gt;"Entrée",B1842&lt;&gt;"Sortie"),"Type inconnu",IF(ISNA(MATCH(C1842,art_ref,0)),"Référence inconnue",IF(OR(NOT(ISNUMBER(E1842)),N(E1842)&lt;=0),"Quantité invalide",IF(K1842&lt;0,"Stock négatif",IF(AND(ISNUMBER(A1841),A1842&lt;A1841),"Date hors ordre","OK"))))))))</f>
        <v/>
      </c>
      <c r="M1842" s="39" t="str">
        <f>IF(C1842="","",C1842&amp;"#"&amp;COUNTIF($C$5:C1842,C1842))</f>
        <v/>
      </c>
    </row>
    <row r="1843">
      <c r="A1843" s="41" t="n"/>
      <c r="B1843" s="37" t="n"/>
      <c r="C1843" s="37" t="n"/>
      <c r="D1843" s="39" t="str">
        <f>IF(C1843="","",IFERROR(INDEX(art_des,MATCH(C1843,art_ref,0))&amp;"","Référence inconnue"))</f>
        <v/>
      </c>
      <c r="E1843" s="37" t="n"/>
      <c r="F1843" s="39" t="str">
        <f>IF(C1843="","",IFERROR(INDEX(art_unit,MATCH(C1843,art_ref,0))&amp;"",""))</f>
        <v/>
      </c>
      <c r="G1843" s="37" t="n"/>
      <c r="H1843" s="37" t="n"/>
      <c r="I1843" s="37" t="n"/>
      <c r="J1843" s="40" t="str">
        <f>IF(OR(C1843="",NOT(ISNUMBER(E1843))),"",IFERROR(E1843*N(INDEX(art_price,MATCH(C1843,art_ref,0))),""))</f>
        <v/>
      </c>
      <c r="K1843" s="39" t="str">
        <f>IF(OR(C1843="",NOT(ISNUMBER(E1843))),"",IFERROR(ROUND(N(INDEX(art_init,MATCH(C1843,art_ref,0)))+SUMIFS($E$5:E1843,$C$5:C1843,C1843,$B$5:B1843,"Entrée")-SUMIFS($E$5:E1843,$C$5:C1843,C1843,$B$5:B1843,"Sortie"),6),""))</f>
        <v/>
      </c>
      <c r="L1843" s="39" t="str">
        <f>IF(COUNTA(A1843:C1843,E1843)=0,"",IF(COUNTA(A1843:C1843,E1843)&lt;4,"Ligne incomplète",IF(NOT(ISNUMBER(A1843)),"Date invalide",IF(AND(B1843&lt;&gt;"Entrée",B1843&lt;&gt;"Sortie"),"Type inconnu",IF(ISNA(MATCH(C1843,art_ref,0)),"Référence inconnue",IF(OR(NOT(ISNUMBER(E1843)),N(E1843)&lt;=0),"Quantité invalide",IF(K1843&lt;0,"Stock négatif",IF(AND(ISNUMBER(A1842),A1843&lt;A1842),"Date hors ordre","OK"))))))))</f>
        <v/>
      </c>
      <c r="M1843" s="39" t="str">
        <f>IF(C1843="","",C1843&amp;"#"&amp;COUNTIF($C$5:C1843,C1843))</f>
        <v/>
      </c>
    </row>
    <row r="1844">
      <c r="A1844" s="41" t="n"/>
      <c r="B1844" s="37" t="n"/>
      <c r="C1844" s="37" t="n"/>
      <c r="D1844" s="39" t="str">
        <f>IF(C1844="","",IFERROR(INDEX(art_des,MATCH(C1844,art_ref,0))&amp;"","Référence inconnue"))</f>
        <v/>
      </c>
      <c r="E1844" s="37" t="n"/>
      <c r="F1844" s="39" t="str">
        <f>IF(C1844="","",IFERROR(INDEX(art_unit,MATCH(C1844,art_ref,0))&amp;"",""))</f>
        <v/>
      </c>
      <c r="G1844" s="37" t="n"/>
      <c r="H1844" s="37" t="n"/>
      <c r="I1844" s="37" t="n"/>
      <c r="J1844" s="40" t="str">
        <f>IF(OR(C1844="",NOT(ISNUMBER(E1844))),"",IFERROR(E1844*N(INDEX(art_price,MATCH(C1844,art_ref,0))),""))</f>
        <v/>
      </c>
      <c r="K1844" s="39" t="str">
        <f>IF(OR(C1844="",NOT(ISNUMBER(E1844))),"",IFERROR(ROUND(N(INDEX(art_init,MATCH(C1844,art_ref,0)))+SUMIFS($E$5:E1844,$C$5:C1844,C1844,$B$5:B1844,"Entrée")-SUMIFS($E$5:E1844,$C$5:C1844,C1844,$B$5:B1844,"Sortie"),6),""))</f>
        <v/>
      </c>
      <c r="L1844" s="39" t="str">
        <f>IF(COUNTA(A1844:C1844,E1844)=0,"",IF(COUNTA(A1844:C1844,E1844)&lt;4,"Ligne incomplète",IF(NOT(ISNUMBER(A1844)),"Date invalide",IF(AND(B1844&lt;&gt;"Entrée",B1844&lt;&gt;"Sortie"),"Type inconnu",IF(ISNA(MATCH(C1844,art_ref,0)),"Référence inconnue",IF(OR(NOT(ISNUMBER(E1844)),N(E1844)&lt;=0),"Quantité invalide",IF(K1844&lt;0,"Stock négatif",IF(AND(ISNUMBER(A1843),A1844&lt;A1843),"Date hors ordre","OK"))))))))</f>
        <v/>
      </c>
      <c r="M1844" s="39" t="str">
        <f>IF(C1844="","",C1844&amp;"#"&amp;COUNTIF($C$5:C1844,C1844))</f>
        <v/>
      </c>
    </row>
    <row r="1845">
      <c r="A1845" s="41" t="n"/>
      <c r="B1845" s="37" t="n"/>
      <c r="C1845" s="37" t="n"/>
      <c r="D1845" s="39" t="str">
        <f>IF(C1845="","",IFERROR(INDEX(art_des,MATCH(C1845,art_ref,0))&amp;"","Référence inconnue"))</f>
        <v/>
      </c>
      <c r="E1845" s="37" t="n"/>
      <c r="F1845" s="39" t="str">
        <f>IF(C1845="","",IFERROR(INDEX(art_unit,MATCH(C1845,art_ref,0))&amp;"",""))</f>
        <v/>
      </c>
      <c r="G1845" s="37" t="n"/>
      <c r="H1845" s="37" t="n"/>
      <c r="I1845" s="37" t="n"/>
      <c r="J1845" s="40" t="str">
        <f>IF(OR(C1845="",NOT(ISNUMBER(E1845))),"",IFERROR(E1845*N(INDEX(art_price,MATCH(C1845,art_ref,0))),""))</f>
        <v/>
      </c>
      <c r="K1845" s="39" t="str">
        <f>IF(OR(C1845="",NOT(ISNUMBER(E1845))),"",IFERROR(ROUND(N(INDEX(art_init,MATCH(C1845,art_ref,0)))+SUMIFS($E$5:E1845,$C$5:C1845,C1845,$B$5:B1845,"Entrée")-SUMIFS($E$5:E1845,$C$5:C1845,C1845,$B$5:B1845,"Sortie"),6),""))</f>
        <v/>
      </c>
      <c r="L1845" s="39" t="str">
        <f>IF(COUNTA(A1845:C1845,E1845)=0,"",IF(COUNTA(A1845:C1845,E1845)&lt;4,"Ligne incomplète",IF(NOT(ISNUMBER(A1845)),"Date invalide",IF(AND(B1845&lt;&gt;"Entrée",B1845&lt;&gt;"Sortie"),"Type inconnu",IF(ISNA(MATCH(C1845,art_ref,0)),"Référence inconnue",IF(OR(NOT(ISNUMBER(E1845)),N(E1845)&lt;=0),"Quantité invalide",IF(K1845&lt;0,"Stock négatif",IF(AND(ISNUMBER(A1844),A1845&lt;A1844),"Date hors ordre","OK"))))))))</f>
        <v/>
      </c>
      <c r="M1845" s="39" t="str">
        <f>IF(C1845="","",C1845&amp;"#"&amp;COUNTIF($C$5:C1845,C1845))</f>
        <v/>
      </c>
    </row>
    <row r="1846">
      <c r="A1846" s="41" t="n"/>
      <c r="B1846" s="37" t="n"/>
      <c r="C1846" s="37" t="n"/>
      <c r="D1846" s="39" t="str">
        <f>IF(C1846="","",IFERROR(INDEX(art_des,MATCH(C1846,art_ref,0))&amp;"","Référence inconnue"))</f>
        <v/>
      </c>
      <c r="E1846" s="37" t="n"/>
      <c r="F1846" s="39" t="str">
        <f>IF(C1846="","",IFERROR(INDEX(art_unit,MATCH(C1846,art_ref,0))&amp;"",""))</f>
        <v/>
      </c>
      <c r="G1846" s="37" t="n"/>
      <c r="H1846" s="37" t="n"/>
      <c r="I1846" s="37" t="n"/>
      <c r="J1846" s="40" t="str">
        <f>IF(OR(C1846="",NOT(ISNUMBER(E1846))),"",IFERROR(E1846*N(INDEX(art_price,MATCH(C1846,art_ref,0))),""))</f>
        <v/>
      </c>
      <c r="K1846" s="39" t="str">
        <f>IF(OR(C1846="",NOT(ISNUMBER(E1846))),"",IFERROR(ROUND(N(INDEX(art_init,MATCH(C1846,art_ref,0)))+SUMIFS($E$5:E1846,$C$5:C1846,C1846,$B$5:B1846,"Entrée")-SUMIFS($E$5:E1846,$C$5:C1846,C1846,$B$5:B1846,"Sortie"),6),""))</f>
        <v/>
      </c>
      <c r="L1846" s="39" t="str">
        <f>IF(COUNTA(A1846:C1846,E1846)=0,"",IF(COUNTA(A1846:C1846,E1846)&lt;4,"Ligne incomplète",IF(NOT(ISNUMBER(A1846)),"Date invalide",IF(AND(B1846&lt;&gt;"Entrée",B1846&lt;&gt;"Sortie"),"Type inconnu",IF(ISNA(MATCH(C1846,art_ref,0)),"Référence inconnue",IF(OR(NOT(ISNUMBER(E1846)),N(E1846)&lt;=0),"Quantité invalide",IF(K1846&lt;0,"Stock négatif",IF(AND(ISNUMBER(A1845),A1846&lt;A1845),"Date hors ordre","OK"))))))))</f>
        <v/>
      </c>
      <c r="M1846" s="39" t="str">
        <f>IF(C1846="","",C1846&amp;"#"&amp;COUNTIF($C$5:C1846,C1846))</f>
        <v/>
      </c>
    </row>
    <row r="1847">
      <c r="A1847" s="41" t="n"/>
      <c r="B1847" s="37" t="n"/>
      <c r="C1847" s="37" t="n"/>
      <c r="D1847" s="39" t="str">
        <f>IF(C1847="","",IFERROR(INDEX(art_des,MATCH(C1847,art_ref,0))&amp;"","Référence inconnue"))</f>
        <v/>
      </c>
      <c r="E1847" s="37" t="n"/>
      <c r="F1847" s="39" t="str">
        <f>IF(C1847="","",IFERROR(INDEX(art_unit,MATCH(C1847,art_ref,0))&amp;"",""))</f>
        <v/>
      </c>
      <c r="G1847" s="37" t="n"/>
      <c r="H1847" s="37" t="n"/>
      <c r="I1847" s="37" t="n"/>
      <c r="J1847" s="40" t="str">
        <f>IF(OR(C1847="",NOT(ISNUMBER(E1847))),"",IFERROR(E1847*N(INDEX(art_price,MATCH(C1847,art_ref,0))),""))</f>
        <v/>
      </c>
      <c r="K1847" s="39" t="str">
        <f>IF(OR(C1847="",NOT(ISNUMBER(E1847))),"",IFERROR(ROUND(N(INDEX(art_init,MATCH(C1847,art_ref,0)))+SUMIFS($E$5:E1847,$C$5:C1847,C1847,$B$5:B1847,"Entrée")-SUMIFS($E$5:E1847,$C$5:C1847,C1847,$B$5:B1847,"Sortie"),6),""))</f>
        <v/>
      </c>
      <c r="L1847" s="39" t="str">
        <f>IF(COUNTA(A1847:C1847,E1847)=0,"",IF(COUNTA(A1847:C1847,E1847)&lt;4,"Ligne incomplète",IF(NOT(ISNUMBER(A1847)),"Date invalide",IF(AND(B1847&lt;&gt;"Entrée",B1847&lt;&gt;"Sortie"),"Type inconnu",IF(ISNA(MATCH(C1847,art_ref,0)),"Référence inconnue",IF(OR(NOT(ISNUMBER(E1847)),N(E1847)&lt;=0),"Quantité invalide",IF(K1847&lt;0,"Stock négatif",IF(AND(ISNUMBER(A1846),A1847&lt;A1846),"Date hors ordre","OK"))))))))</f>
        <v/>
      </c>
      <c r="M1847" s="39" t="str">
        <f>IF(C1847="","",C1847&amp;"#"&amp;COUNTIF($C$5:C1847,C1847))</f>
        <v/>
      </c>
    </row>
    <row r="1848">
      <c r="A1848" s="41" t="n"/>
      <c r="B1848" s="37" t="n"/>
      <c r="C1848" s="37" t="n"/>
      <c r="D1848" s="39" t="str">
        <f>IF(C1848="","",IFERROR(INDEX(art_des,MATCH(C1848,art_ref,0))&amp;"","Référence inconnue"))</f>
        <v/>
      </c>
      <c r="E1848" s="37" t="n"/>
      <c r="F1848" s="39" t="str">
        <f>IF(C1848="","",IFERROR(INDEX(art_unit,MATCH(C1848,art_ref,0))&amp;"",""))</f>
        <v/>
      </c>
      <c r="G1848" s="37" t="n"/>
      <c r="H1848" s="37" t="n"/>
      <c r="I1848" s="37" t="n"/>
      <c r="J1848" s="40" t="str">
        <f>IF(OR(C1848="",NOT(ISNUMBER(E1848))),"",IFERROR(E1848*N(INDEX(art_price,MATCH(C1848,art_ref,0))),""))</f>
        <v/>
      </c>
      <c r="K1848" s="39" t="str">
        <f>IF(OR(C1848="",NOT(ISNUMBER(E1848))),"",IFERROR(ROUND(N(INDEX(art_init,MATCH(C1848,art_ref,0)))+SUMIFS($E$5:E1848,$C$5:C1848,C1848,$B$5:B1848,"Entrée")-SUMIFS($E$5:E1848,$C$5:C1848,C1848,$B$5:B1848,"Sortie"),6),""))</f>
        <v/>
      </c>
      <c r="L1848" s="39" t="str">
        <f>IF(COUNTA(A1848:C1848,E1848)=0,"",IF(COUNTA(A1848:C1848,E1848)&lt;4,"Ligne incomplète",IF(NOT(ISNUMBER(A1848)),"Date invalide",IF(AND(B1848&lt;&gt;"Entrée",B1848&lt;&gt;"Sortie"),"Type inconnu",IF(ISNA(MATCH(C1848,art_ref,0)),"Référence inconnue",IF(OR(NOT(ISNUMBER(E1848)),N(E1848)&lt;=0),"Quantité invalide",IF(K1848&lt;0,"Stock négatif",IF(AND(ISNUMBER(A1847),A1848&lt;A1847),"Date hors ordre","OK"))))))))</f>
        <v/>
      </c>
      <c r="M1848" s="39" t="str">
        <f>IF(C1848="","",C1848&amp;"#"&amp;COUNTIF($C$5:C1848,C1848))</f>
        <v/>
      </c>
    </row>
    <row r="1849">
      <c r="A1849" s="41" t="n"/>
      <c r="B1849" s="37" t="n"/>
      <c r="C1849" s="37" t="n"/>
      <c r="D1849" s="39" t="str">
        <f>IF(C1849="","",IFERROR(INDEX(art_des,MATCH(C1849,art_ref,0))&amp;"","Référence inconnue"))</f>
        <v/>
      </c>
      <c r="E1849" s="37" t="n"/>
      <c r="F1849" s="39" t="str">
        <f>IF(C1849="","",IFERROR(INDEX(art_unit,MATCH(C1849,art_ref,0))&amp;"",""))</f>
        <v/>
      </c>
      <c r="G1849" s="37" t="n"/>
      <c r="H1849" s="37" t="n"/>
      <c r="I1849" s="37" t="n"/>
      <c r="J1849" s="40" t="str">
        <f>IF(OR(C1849="",NOT(ISNUMBER(E1849))),"",IFERROR(E1849*N(INDEX(art_price,MATCH(C1849,art_ref,0))),""))</f>
        <v/>
      </c>
      <c r="K1849" s="39" t="str">
        <f>IF(OR(C1849="",NOT(ISNUMBER(E1849))),"",IFERROR(ROUND(N(INDEX(art_init,MATCH(C1849,art_ref,0)))+SUMIFS($E$5:E1849,$C$5:C1849,C1849,$B$5:B1849,"Entrée")-SUMIFS($E$5:E1849,$C$5:C1849,C1849,$B$5:B1849,"Sortie"),6),""))</f>
        <v/>
      </c>
      <c r="L1849" s="39" t="str">
        <f>IF(COUNTA(A1849:C1849,E1849)=0,"",IF(COUNTA(A1849:C1849,E1849)&lt;4,"Ligne incomplète",IF(NOT(ISNUMBER(A1849)),"Date invalide",IF(AND(B1849&lt;&gt;"Entrée",B1849&lt;&gt;"Sortie"),"Type inconnu",IF(ISNA(MATCH(C1849,art_ref,0)),"Référence inconnue",IF(OR(NOT(ISNUMBER(E1849)),N(E1849)&lt;=0),"Quantité invalide",IF(K1849&lt;0,"Stock négatif",IF(AND(ISNUMBER(A1848),A1849&lt;A1848),"Date hors ordre","OK"))))))))</f>
        <v/>
      </c>
      <c r="M1849" s="39" t="str">
        <f>IF(C1849="","",C1849&amp;"#"&amp;COUNTIF($C$5:C1849,C1849))</f>
        <v/>
      </c>
    </row>
    <row r="1850">
      <c r="A1850" s="41" t="n"/>
      <c r="B1850" s="37" t="n"/>
      <c r="C1850" s="37" t="n"/>
      <c r="D1850" s="39" t="str">
        <f>IF(C1850="","",IFERROR(INDEX(art_des,MATCH(C1850,art_ref,0))&amp;"","Référence inconnue"))</f>
        <v/>
      </c>
      <c r="E1850" s="37" t="n"/>
      <c r="F1850" s="39" t="str">
        <f>IF(C1850="","",IFERROR(INDEX(art_unit,MATCH(C1850,art_ref,0))&amp;"",""))</f>
        <v/>
      </c>
      <c r="G1850" s="37" t="n"/>
      <c r="H1850" s="37" t="n"/>
      <c r="I1850" s="37" t="n"/>
      <c r="J1850" s="40" t="str">
        <f>IF(OR(C1850="",NOT(ISNUMBER(E1850))),"",IFERROR(E1850*N(INDEX(art_price,MATCH(C1850,art_ref,0))),""))</f>
        <v/>
      </c>
      <c r="K1850" s="39" t="str">
        <f>IF(OR(C1850="",NOT(ISNUMBER(E1850))),"",IFERROR(ROUND(N(INDEX(art_init,MATCH(C1850,art_ref,0)))+SUMIFS($E$5:E1850,$C$5:C1850,C1850,$B$5:B1850,"Entrée")-SUMIFS($E$5:E1850,$C$5:C1850,C1850,$B$5:B1850,"Sortie"),6),""))</f>
        <v/>
      </c>
      <c r="L1850" s="39" t="str">
        <f>IF(COUNTA(A1850:C1850,E1850)=0,"",IF(COUNTA(A1850:C1850,E1850)&lt;4,"Ligne incomplète",IF(NOT(ISNUMBER(A1850)),"Date invalide",IF(AND(B1850&lt;&gt;"Entrée",B1850&lt;&gt;"Sortie"),"Type inconnu",IF(ISNA(MATCH(C1850,art_ref,0)),"Référence inconnue",IF(OR(NOT(ISNUMBER(E1850)),N(E1850)&lt;=0),"Quantité invalide",IF(K1850&lt;0,"Stock négatif",IF(AND(ISNUMBER(A1849),A1850&lt;A1849),"Date hors ordre","OK"))))))))</f>
        <v/>
      </c>
      <c r="M1850" s="39" t="str">
        <f>IF(C1850="","",C1850&amp;"#"&amp;COUNTIF($C$5:C1850,C1850))</f>
        <v/>
      </c>
    </row>
    <row r="1851">
      <c r="A1851" s="41" t="n"/>
      <c r="B1851" s="37" t="n"/>
      <c r="C1851" s="37" t="n"/>
      <c r="D1851" s="39" t="str">
        <f>IF(C1851="","",IFERROR(INDEX(art_des,MATCH(C1851,art_ref,0))&amp;"","Référence inconnue"))</f>
        <v/>
      </c>
      <c r="E1851" s="37" t="n"/>
      <c r="F1851" s="39" t="str">
        <f>IF(C1851="","",IFERROR(INDEX(art_unit,MATCH(C1851,art_ref,0))&amp;"",""))</f>
        <v/>
      </c>
      <c r="G1851" s="37" t="n"/>
      <c r="H1851" s="37" t="n"/>
      <c r="I1851" s="37" t="n"/>
      <c r="J1851" s="40" t="str">
        <f>IF(OR(C1851="",NOT(ISNUMBER(E1851))),"",IFERROR(E1851*N(INDEX(art_price,MATCH(C1851,art_ref,0))),""))</f>
        <v/>
      </c>
      <c r="K1851" s="39" t="str">
        <f>IF(OR(C1851="",NOT(ISNUMBER(E1851))),"",IFERROR(ROUND(N(INDEX(art_init,MATCH(C1851,art_ref,0)))+SUMIFS($E$5:E1851,$C$5:C1851,C1851,$B$5:B1851,"Entrée")-SUMIFS($E$5:E1851,$C$5:C1851,C1851,$B$5:B1851,"Sortie"),6),""))</f>
        <v/>
      </c>
      <c r="L1851" s="39" t="str">
        <f>IF(COUNTA(A1851:C1851,E1851)=0,"",IF(COUNTA(A1851:C1851,E1851)&lt;4,"Ligne incomplète",IF(NOT(ISNUMBER(A1851)),"Date invalide",IF(AND(B1851&lt;&gt;"Entrée",B1851&lt;&gt;"Sortie"),"Type inconnu",IF(ISNA(MATCH(C1851,art_ref,0)),"Référence inconnue",IF(OR(NOT(ISNUMBER(E1851)),N(E1851)&lt;=0),"Quantité invalide",IF(K1851&lt;0,"Stock négatif",IF(AND(ISNUMBER(A1850),A1851&lt;A1850),"Date hors ordre","OK"))))))))</f>
        <v/>
      </c>
      <c r="M1851" s="39" t="str">
        <f>IF(C1851="","",C1851&amp;"#"&amp;COUNTIF($C$5:C1851,C1851))</f>
        <v/>
      </c>
    </row>
    <row r="1852">
      <c r="A1852" s="41" t="n"/>
      <c r="B1852" s="37" t="n"/>
      <c r="C1852" s="37" t="n"/>
      <c r="D1852" s="39" t="str">
        <f>IF(C1852="","",IFERROR(INDEX(art_des,MATCH(C1852,art_ref,0))&amp;"","Référence inconnue"))</f>
        <v/>
      </c>
      <c r="E1852" s="37" t="n"/>
      <c r="F1852" s="39" t="str">
        <f>IF(C1852="","",IFERROR(INDEX(art_unit,MATCH(C1852,art_ref,0))&amp;"",""))</f>
        <v/>
      </c>
      <c r="G1852" s="37" t="n"/>
      <c r="H1852" s="37" t="n"/>
      <c r="I1852" s="37" t="n"/>
      <c r="J1852" s="40" t="str">
        <f>IF(OR(C1852="",NOT(ISNUMBER(E1852))),"",IFERROR(E1852*N(INDEX(art_price,MATCH(C1852,art_ref,0))),""))</f>
        <v/>
      </c>
      <c r="K1852" s="39" t="str">
        <f>IF(OR(C1852="",NOT(ISNUMBER(E1852))),"",IFERROR(ROUND(N(INDEX(art_init,MATCH(C1852,art_ref,0)))+SUMIFS($E$5:E1852,$C$5:C1852,C1852,$B$5:B1852,"Entrée")-SUMIFS($E$5:E1852,$C$5:C1852,C1852,$B$5:B1852,"Sortie"),6),""))</f>
        <v/>
      </c>
      <c r="L1852" s="39" t="str">
        <f>IF(COUNTA(A1852:C1852,E1852)=0,"",IF(COUNTA(A1852:C1852,E1852)&lt;4,"Ligne incomplète",IF(NOT(ISNUMBER(A1852)),"Date invalide",IF(AND(B1852&lt;&gt;"Entrée",B1852&lt;&gt;"Sortie"),"Type inconnu",IF(ISNA(MATCH(C1852,art_ref,0)),"Référence inconnue",IF(OR(NOT(ISNUMBER(E1852)),N(E1852)&lt;=0),"Quantité invalide",IF(K1852&lt;0,"Stock négatif",IF(AND(ISNUMBER(A1851),A1852&lt;A1851),"Date hors ordre","OK"))))))))</f>
        <v/>
      </c>
      <c r="M1852" s="39" t="str">
        <f>IF(C1852="","",C1852&amp;"#"&amp;COUNTIF($C$5:C1852,C1852))</f>
        <v/>
      </c>
    </row>
    <row r="1853">
      <c r="A1853" s="41" t="n"/>
      <c r="B1853" s="37" t="n"/>
      <c r="C1853" s="37" t="n"/>
      <c r="D1853" s="39" t="str">
        <f>IF(C1853="","",IFERROR(INDEX(art_des,MATCH(C1853,art_ref,0))&amp;"","Référence inconnue"))</f>
        <v/>
      </c>
      <c r="E1853" s="37" t="n"/>
      <c r="F1853" s="39" t="str">
        <f>IF(C1853="","",IFERROR(INDEX(art_unit,MATCH(C1853,art_ref,0))&amp;"",""))</f>
        <v/>
      </c>
      <c r="G1853" s="37" t="n"/>
      <c r="H1853" s="37" t="n"/>
      <c r="I1853" s="37" t="n"/>
      <c r="J1853" s="40" t="str">
        <f>IF(OR(C1853="",NOT(ISNUMBER(E1853))),"",IFERROR(E1853*N(INDEX(art_price,MATCH(C1853,art_ref,0))),""))</f>
        <v/>
      </c>
      <c r="K1853" s="39" t="str">
        <f>IF(OR(C1853="",NOT(ISNUMBER(E1853))),"",IFERROR(ROUND(N(INDEX(art_init,MATCH(C1853,art_ref,0)))+SUMIFS($E$5:E1853,$C$5:C1853,C1853,$B$5:B1853,"Entrée")-SUMIFS($E$5:E1853,$C$5:C1853,C1853,$B$5:B1853,"Sortie"),6),""))</f>
        <v/>
      </c>
      <c r="L1853" s="39" t="str">
        <f>IF(COUNTA(A1853:C1853,E1853)=0,"",IF(COUNTA(A1853:C1853,E1853)&lt;4,"Ligne incomplète",IF(NOT(ISNUMBER(A1853)),"Date invalide",IF(AND(B1853&lt;&gt;"Entrée",B1853&lt;&gt;"Sortie"),"Type inconnu",IF(ISNA(MATCH(C1853,art_ref,0)),"Référence inconnue",IF(OR(NOT(ISNUMBER(E1853)),N(E1853)&lt;=0),"Quantité invalide",IF(K1853&lt;0,"Stock négatif",IF(AND(ISNUMBER(A1852),A1853&lt;A1852),"Date hors ordre","OK"))))))))</f>
        <v/>
      </c>
      <c r="M1853" s="39" t="str">
        <f>IF(C1853="","",C1853&amp;"#"&amp;COUNTIF($C$5:C1853,C1853))</f>
        <v/>
      </c>
    </row>
    <row r="1854">
      <c r="A1854" s="41" t="n"/>
      <c r="B1854" s="37" t="n"/>
      <c r="C1854" s="37" t="n"/>
      <c r="D1854" s="39" t="str">
        <f>IF(C1854="","",IFERROR(INDEX(art_des,MATCH(C1854,art_ref,0))&amp;"","Référence inconnue"))</f>
        <v/>
      </c>
      <c r="E1854" s="37" t="n"/>
      <c r="F1854" s="39" t="str">
        <f>IF(C1854="","",IFERROR(INDEX(art_unit,MATCH(C1854,art_ref,0))&amp;"",""))</f>
        <v/>
      </c>
      <c r="G1854" s="37" t="n"/>
      <c r="H1854" s="37" t="n"/>
      <c r="I1854" s="37" t="n"/>
      <c r="J1854" s="40" t="str">
        <f>IF(OR(C1854="",NOT(ISNUMBER(E1854))),"",IFERROR(E1854*N(INDEX(art_price,MATCH(C1854,art_ref,0))),""))</f>
        <v/>
      </c>
      <c r="K1854" s="39" t="str">
        <f>IF(OR(C1854="",NOT(ISNUMBER(E1854))),"",IFERROR(ROUND(N(INDEX(art_init,MATCH(C1854,art_ref,0)))+SUMIFS($E$5:E1854,$C$5:C1854,C1854,$B$5:B1854,"Entrée")-SUMIFS($E$5:E1854,$C$5:C1854,C1854,$B$5:B1854,"Sortie"),6),""))</f>
        <v/>
      </c>
      <c r="L1854" s="39" t="str">
        <f>IF(COUNTA(A1854:C1854,E1854)=0,"",IF(COUNTA(A1854:C1854,E1854)&lt;4,"Ligne incomplète",IF(NOT(ISNUMBER(A1854)),"Date invalide",IF(AND(B1854&lt;&gt;"Entrée",B1854&lt;&gt;"Sortie"),"Type inconnu",IF(ISNA(MATCH(C1854,art_ref,0)),"Référence inconnue",IF(OR(NOT(ISNUMBER(E1854)),N(E1854)&lt;=0),"Quantité invalide",IF(K1854&lt;0,"Stock négatif",IF(AND(ISNUMBER(A1853),A1854&lt;A1853),"Date hors ordre","OK"))))))))</f>
        <v/>
      </c>
      <c r="M1854" s="39" t="str">
        <f>IF(C1854="","",C1854&amp;"#"&amp;COUNTIF($C$5:C1854,C1854))</f>
        <v/>
      </c>
    </row>
    <row r="1855">
      <c r="A1855" s="41" t="n"/>
      <c r="B1855" s="37" t="n"/>
      <c r="C1855" s="37" t="n"/>
      <c r="D1855" s="39" t="str">
        <f>IF(C1855="","",IFERROR(INDEX(art_des,MATCH(C1855,art_ref,0))&amp;"","Référence inconnue"))</f>
        <v/>
      </c>
      <c r="E1855" s="37" t="n"/>
      <c r="F1855" s="39" t="str">
        <f>IF(C1855="","",IFERROR(INDEX(art_unit,MATCH(C1855,art_ref,0))&amp;"",""))</f>
        <v/>
      </c>
      <c r="G1855" s="37" t="n"/>
      <c r="H1855" s="37" t="n"/>
      <c r="I1855" s="37" t="n"/>
      <c r="J1855" s="40" t="str">
        <f>IF(OR(C1855="",NOT(ISNUMBER(E1855))),"",IFERROR(E1855*N(INDEX(art_price,MATCH(C1855,art_ref,0))),""))</f>
        <v/>
      </c>
      <c r="K1855" s="39" t="str">
        <f>IF(OR(C1855="",NOT(ISNUMBER(E1855))),"",IFERROR(ROUND(N(INDEX(art_init,MATCH(C1855,art_ref,0)))+SUMIFS($E$5:E1855,$C$5:C1855,C1855,$B$5:B1855,"Entrée")-SUMIFS($E$5:E1855,$C$5:C1855,C1855,$B$5:B1855,"Sortie"),6),""))</f>
        <v/>
      </c>
      <c r="L1855" s="39" t="str">
        <f>IF(COUNTA(A1855:C1855,E1855)=0,"",IF(COUNTA(A1855:C1855,E1855)&lt;4,"Ligne incomplète",IF(NOT(ISNUMBER(A1855)),"Date invalide",IF(AND(B1855&lt;&gt;"Entrée",B1855&lt;&gt;"Sortie"),"Type inconnu",IF(ISNA(MATCH(C1855,art_ref,0)),"Référence inconnue",IF(OR(NOT(ISNUMBER(E1855)),N(E1855)&lt;=0),"Quantité invalide",IF(K1855&lt;0,"Stock négatif",IF(AND(ISNUMBER(A1854),A1855&lt;A1854),"Date hors ordre","OK"))))))))</f>
        <v/>
      </c>
      <c r="M1855" s="39" t="str">
        <f>IF(C1855="","",C1855&amp;"#"&amp;COUNTIF($C$5:C1855,C1855))</f>
        <v/>
      </c>
    </row>
    <row r="1856">
      <c r="A1856" s="41" t="n"/>
      <c r="B1856" s="37" t="n"/>
      <c r="C1856" s="37" t="n"/>
      <c r="D1856" s="39" t="str">
        <f>IF(C1856="","",IFERROR(INDEX(art_des,MATCH(C1856,art_ref,0))&amp;"","Référence inconnue"))</f>
        <v/>
      </c>
      <c r="E1856" s="37" t="n"/>
      <c r="F1856" s="39" t="str">
        <f>IF(C1856="","",IFERROR(INDEX(art_unit,MATCH(C1856,art_ref,0))&amp;"",""))</f>
        <v/>
      </c>
      <c r="G1856" s="37" t="n"/>
      <c r="H1856" s="37" t="n"/>
      <c r="I1856" s="37" t="n"/>
      <c r="J1856" s="40" t="str">
        <f>IF(OR(C1856="",NOT(ISNUMBER(E1856))),"",IFERROR(E1856*N(INDEX(art_price,MATCH(C1856,art_ref,0))),""))</f>
        <v/>
      </c>
      <c r="K1856" s="39" t="str">
        <f>IF(OR(C1856="",NOT(ISNUMBER(E1856))),"",IFERROR(ROUND(N(INDEX(art_init,MATCH(C1856,art_ref,0)))+SUMIFS($E$5:E1856,$C$5:C1856,C1856,$B$5:B1856,"Entrée")-SUMIFS($E$5:E1856,$C$5:C1856,C1856,$B$5:B1856,"Sortie"),6),""))</f>
        <v/>
      </c>
      <c r="L1856" s="39" t="str">
        <f>IF(COUNTA(A1856:C1856,E1856)=0,"",IF(COUNTA(A1856:C1856,E1856)&lt;4,"Ligne incomplète",IF(NOT(ISNUMBER(A1856)),"Date invalide",IF(AND(B1856&lt;&gt;"Entrée",B1856&lt;&gt;"Sortie"),"Type inconnu",IF(ISNA(MATCH(C1856,art_ref,0)),"Référence inconnue",IF(OR(NOT(ISNUMBER(E1856)),N(E1856)&lt;=0),"Quantité invalide",IF(K1856&lt;0,"Stock négatif",IF(AND(ISNUMBER(A1855),A1856&lt;A1855),"Date hors ordre","OK"))))))))</f>
        <v/>
      </c>
      <c r="M1856" s="39" t="str">
        <f>IF(C1856="","",C1856&amp;"#"&amp;COUNTIF($C$5:C1856,C1856))</f>
        <v/>
      </c>
    </row>
    <row r="1857">
      <c r="A1857" s="41" t="n"/>
      <c r="B1857" s="37" t="n"/>
      <c r="C1857" s="37" t="n"/>
      <c r="D1857" s="39" t="str">
        <f>IF(C1857="","",IFERROR(INDEX(art_des,MATCH(C1857,art_ref,0))&amp;"","Référence inconnue"))</f>
        <v/>
      </c>
      <c r="E1857" s="37" t="n"/>
      <c r="F1857" s="39" t="str">
        <f>IF(C1857="","",IFERROR(INDEX(art_unit,MATCH(C1857,art_ref,0))&amp;"",""))</f>
        <v/>
      </c>
      <c r="G1857" s="37" t="n"/>
      <c r="H1857" s="37" t="n"/>
      <c r="I1857" s="37" t="n"/>
      <c r="J1857" s="40" t="str">
        <f>IF(OR(C1857="",NOT(ISNUMBER(E1857))),"",IFERROR(E1857*N(INDEX(art_price,MATCH(C1857,art_ref,0))),""))</f>
        <v/>
      </c>
      <c r="K1857" s="39" t="str">
        <f>IF(OR(C1857="",NOT(ISNUMBER(E1857))),"",IFERROR(ROUND(N(INDEX(art_init,MATCH(C1857,art_ref,0)))+SUMIFS($E$5:E1857,$C$5:C1857,C1857,$B$5:B1857,"Entrée")-SUMIFS($E$5:E1857,$C$5:C1857,C1857,$B$5:B1857,"Sortie"),6),""))</f>
        <v/>
      </c>
      <c r="L1857" s="39" t="str">
        <f>IF(COUNTA(A1857:C1857,E1857)=0,"",IF(COUNTA(A1857:C1857,E1857)&lt;4,"Ligne incomplète",IF(NOT(ISNUMBER(A1857)),"Date invalide",IF(AND(B1857&lt;&gt;"Entrée",B1857&lt;&gt;"Sortie"),"Type inconnu",IF(ISNA(MATCH(C1857,art_ref,0)),"Référence inconnue",IF(OR(NOT(ISNUMBER(E1857)),N(E1857)&lt;=0),"Quantité invalide",IF(K1857&lt;0,"Stock négatif",IF(AND(ISNUMBER(A1856),A1857&lt;A1856),"Date hors ordre","OK"))))))))</f>
        <v/>
      </c>
      <c r="M1857" s="39" t="str">
        <f>IF(C1857="","",C1857&amp;"#"&amp;COUNTIF($C$5:C1857,C1857))</f>
        <v/>
      </c>
    </row>
    <row r="1858">
      <c r="A1858" s="41" t="n"/>
      <c r="B1858" s="37" t="n"/>
      <c r="C1858" s="37" t="n"/>
      <c r="D1858" s="39" t="str">
        <f>IF(C1858="","",IFERROR(INDEX(art_des,MATCH(C1858,art_ref,0))&amp;"","Référence inconnue"))</f>
        <v/>
      </c>
      <c r="E1858" s="37" t="n"/>
      <c r="F1858" s="39" t="str">
        <f>IF(C1858="","",IFERROR(INDEX(art_unit,MATCH(C1858,art_ref,0))&amp;"",""))</f>
        <v/>
      </c>
      <c r="G1858" s="37" t="n"/>
      <c r="H1858" s="37" t="n"/>
      <c r="I1858" s="37" t="n"/>
      <c r="J1858" s="40" t="str">
        <f>IF(OR(C1858="",NOT(ISNUMBER(E1858))),"",IFERROR(E1858*N(INDEX(art_price,MATCH(C1858,art_ref,0))),""))</f>
        <v/>
      </c>
      <c r="K1858" s="39" t="str">
        <f>IF(OR(C1858="",NOT(ISNUMBER(E1858))),"",IFERROR(ROUND(N(INDEX(art_init,MATCH(C1858,art_ref,0)))+SUMIFS($E$5:E1858,$C$5:C1858,C1858,$B$5:B1858,"Entrée")-SUMIFS($E$5:E1858,$C$5:C1858,C1858,$B$5:B1858,"Sortie"),6),""))</f>
        <v/>
      </c>
      <c r="L1858" s="39" t="str">
        <f>IF(COUNTA(A1858:C1858,E1858)=0,"",IF(COUNTA(A1858:C1858,E1858)&lt;4,"Ligne incomplète",IF(NOT(ISNUMBER(A1858)),"Date invalide",IF(AND(B1858&lt;&gt;"Entrée",B1858&lt;&gt;"Sortie"),"Type inconnu",IF(ISNA(MATCH(C1858,art_ref,0)),"Référence inconnue",IF(OR(NOT(ISNUMBER(E1858)),N(E1858)&lt;=0),"Quantité invalide",IF(K1858&lt;0,"Stock négatif",IF(AND(ISNUMBER(A1857),A1858&lt;A1857),"Date hors ordre","OK"))))))))</f>
        <v/>
      </c>
      <c r="M1858" s="39" t="str">
        <f>IF(C1858="","",C1858&amp;"#"&amp;COUNTIF($C$5:C1858,C1858))</f>
        <v/>
      </c>
    </row>
    <row r="1859">
      <c r="A1859" s="41" t="n"/>
      <c r="B1859" s="37" t="n"/>
      <c r="C1859" s="37" t="n"/>
      <c r="D1859" s="39" t="str">
        <f>IF(C1859="","",IFERROR(INDEX(art_des,MATCH(C1859,art_ref,0))&amp;"","Référence inconnue"))</f>
        <v/>
      </c>
      <c r="E1859" s="37" t="n"/>
      <c r="F1859" s="39" t="str">
        <f>IF(C1859="","",IFERROR(INDEX(art_unit,MATCH(C1859,art_ref,0))&amp;"",""))</f>
        <v/>
      </c>
      <c r="G1859" s="37" t="n"/>
      <c r="H1859" s="37" t="n"/>
      <c r="I1859" s="37" t="n"/>
      <c r="J1859" s="40" t="str">
        <f>IF(OR(C1859="",NOT(ISNUMBER(E1859))),"",IFERROR(E1859*N(INDEX(art_price,MATCH(C1859,art_ref,0))),""))</f>
        <v/>
      </c>
      <c r="K1859" s="39" t="str">
        <f>IF(OR(C1859="",NOT(ISNUMBER(E1859))),"",IFERROR(ROUND(N(INDEX(art_init,MATCH(C1859,art_ref,0)))+SUMIFS($E$5:E1859,$C$5:C1859,C1859,$B$5:B1859,"Entrée")-SUMIFS($E$5:E1859,$C$5:C1859,C1859,$B$5:B1859,"Sortie"),6),""))</f>
        <v/>
      </c>
      <c r="L1859" s="39" t="str">
        <f>IF(COUNTA(A1859:C1859,E1859)=0,"",IF(COUNTA(A1859:C1859,E1859)&lt;4,"Ligne incomplète",IF(NOT(ISNUMBER(A1859)),"Date invalide",IF(AND(B1859&lt;&gt;"Entrée",B1859&lt;&gt;"Sortie"),"Type inconnu",IF(ISNA(MATCH(C1859,art_ref,0)),"Référence inconnue",IF(OR(NOT(ISNUMBER(E1859)),N(E1859)&lt;=0),"Quantité invalide",IF(K1859&lt;0,"Stock négatif",IF(AND(ISNUMBER(A1858),A1859&lt;A1858),"Date hors ordre","OK"))))))))</f>
        <v/>
      </c>
      <c r="M1859" s="39" t="str">
        <f>IF(C1859="","",C1859&amp;"#"&amp;COUNTIF($C$5:C1859,C1859))</f>
        <v/>
      </c>
    </row>
    <row r="1860">
      <c r="A1860" s="41" t="n"/>
      <c r="B1860" s="37" t="n"/>
      <c r="C1860" s="37" t="n"/>
      <c r="D1860" s="39" t="str">
        <f>IF(C1860="","",IFERROR(INDEX(art_des,MATCH(C1860,art_ref,0))&amp;"","Référence inconnue"))</f>
        <v/>
      </c>
      <c r="E1860" s="37" t="n"/>
      <c r="F1860" s="39" t="str">
        <f>IF(C1860="","",IFERROR(INDEX(art_unit,MATCH(C1860,art_ref,0))&amp;"",""))</f>
        <v/>
      </c>
      <c r="G1860" s="37" t="n"/>
      <c r="H1860" s="37" t="n"/>
      <c r="I1860" s="37" t="n"/>
      <c r="J1860" s="40" t="str">
        <f>IF(OR(C1860="",NOT(ISNUMBER(E1860))),"",IFERROR(E1860*N(INDEX(art_price,MATCH(C1860,art_ref,0))),""))</f>
        <v/>
      </c>
      <c r="K1860" s="39" t="str">
        <f>IF(OR(C1860="",NOT(ISNUMBER(E1860))),"",IFERROR(ROUND(N(INDEX(art_init,MATCH(C1860,art_ref,0)))+SUMIFS($E$5:E1860,$C$5:C1860,C1860,$B$5:B1860,"Entrée")-SUMIFS($E$5:E1860,$C$5:C1860,C1860,$B$5:B1860,"Sortie"),6),""))</f>
        <v/>
      </c>
      <c r="L1860" s="39" t="str">
        <f>IF(COUNTA(A1860:C1860,E1860)=0,"",IF(COUNTA(A1860:C1860,E1860)&lt;4,"Ligne incomplète",IF(NOT(ISNUMBER(A1860)),"Date invalide",IF(AND(B1860&lt;&gt;"Entrée",B1860&lt;&gt;"Sortie"),"Type inconnu",IF(ISNA(MATCH(C1860,art_ref,0)),"Référence inconnue",IF(OR(NOT(ISNUMBER(E1860)),N(E1860)&lt;=0),"Quantité invalide",IF(K1860&lt;0,"Stock négatif",IF(AND(ISNUMBER(A1859),A1860&lt;A1859),"Date hors ordre","OK"))))))))</f>
        <v/>
      </c>
      <c r="M1860" s="39" t="str">
        <f>IF(C1860="","",C1860&amp;"#"&amp;COUNTIF($C$5:C1860,C1860))</f>
        <v/>
      </c>
    </row>
    <row r="1861">
      <c r="A1861" s="41" t="n"/>
      <c r="B1861" s="37" t="n"/>
      <c r="C1861" s="37" t="n"/>
      <c r="D1861" s="39" t="str">
        <f>IF(C1861="","",IFERROR(INDEX(art_des,MATCH(C1861,art_ref,0))&amp;"","Référence inconnue"))</f>
        <v/>
      </c>
      <c r="E1861" s="37" t="n"/>
      <c r="F1861" s="39" t="str">
        <f>IF(C1861="","",IFERROR(INDEX(art_unit,MATCH(C1861,art_ref,0))&amp;"",""))</f>
        <v/>
      </c>
      <c r="G1861" s="37" t="n"/>
      <c r="H1861" s="37" t="n"/>
      <c r="I1861" s="37" t="n"/>
      <c r="J1861" s="40" t="str">
        <f>IF(OR(C1861="",NOT(ISNUMBER(E1861))),"",IFERROR(E1861*N(INDEX(art_price,MATCH(C1861,art_ref,0))),""))</f>
        <v/>
      </c>
      <c r="K1861" s="39" t="str">
        <f>IF(OR(C1861="",NOT(ISNUMBER(E1861))),"",IFERROR(ROUND(N(INDEX(art_init,MATCH(C1861,art_ref,0)))+SUMIFS($E$5:E1861,$C$5:C1861,C1861,$B$5:B1861,"Entrée")-SUMIFS($E$5:E1861,$C$5:C1861,C1861,$B$5:B1861,"Sortie"),6),""))</f>
        <v/>
      </c>
      <c r="L1861" s="39" t="str">
        <f>IF(COUNTA(A1861:C1861,E1861)=0,"",IF(COUNTA(A1861:C1861,E1861)&lt;4,"Ligne incomplète",IF(NOT(ISNUMBER(A1861)),"Date invalide",IF(AND(B1861&lt;&gt;"Entrée",B1861&lt;&gt;"Sortie"),"Type inconnu",IF(ISNA(MATCH(C1861,art_ref,0)),"Référence inconnue",IF(OR(NOT(ISNUMBER(E1861)),N(E1861)&lt;=0),"Quantité invalide",IF(K1861&lt;0,"Stock négatif",IF(AND(ISNUMBER(A1860),A1861&lt;A1860),"Date hors ordre","OK"))))))))</f>
        <v/>
      </c>
      <c r="M1861" s="39" t="str">
        <f>IF(C1861="","",C1861&amp;"#"&amp;COUNTIF($C$5:C1861,C1861))</f>
        <v/>
      </c>
    </row>
    <row r="1862">
      <c r="A1862" s="41" t="n"/>
      <c r="B1862" s="37" t="n"/>
      <c r="C1862" s="37" t="n"/>
      <c r="D1862" s="39" t="str">
        <f>IF(C1862="","",IFERROR(INDEX(art_des,MATCH(C1862,art_ref,0))&amp;"","Référence inconnue"))</f>
        <v/>
      </c>
      <c r="E1862" s="37" t="n"/>
      <c r="F1862" s="39" t="str">
        <f>IF(C1862="","",IFERROR(INDEX(art_unit,MATCH(C1862,art_ref,0))&amp;"",""))</f>
        <v/>
      </c>
      <c r="G1862" s="37" t="n"/>
      <c r="H1862" s="37" t="n"/>
      <c r="I1862" s="37" t="n"/>
      <c r="J1862" s="40" t="str">
        <f>IF(OR(C1862="",NOT(ISNUMBER(E1862))),"",IFERROR(E1862*N(INDEX(art_price,MATCH(C1862,art_ref,0))),""))</f>
        <v/>
      </c>
      <c r="K1862" s="39" t="str">
        <f>IF(OR(C1862="",NOT(ISNUMBER(E1862))),"",IFERROR(ROUND(N(INDEX(art_init,MATCH(C1862,art_ref,0)))+SUMIFS($E$5:E1862,$C$5:C1862,C1862,$B$5:B1862,"Entrée")-SUMIFS($E$5:E1862,$C$5:C1862,C1862,$B$5:B1862,"Sortie"),6),""))</f>
        <v/>
      </c>
      <c r="L1862" s="39" t="str">
        <f>IF(COUNTA(A1862:C1862,E1862)=0,"",IF(COUNTA(A1862:C1862,E1862)&lt;4,"Ligne incomplète",IF(NOT(ISNUMBER(A1862)),"Date invalide",IF(AND(B1862&lt;&gt;"Entrée",B1862&lt;&gt;"Sortie"),"Type inconnu",IF(ISNA(MATCH(C1862,art_ref,0)),"Référence inconnue",IF(OR(NOT(ISNUMBER(E1862)),N(E1862)&lt;=0),"Quantité invalide",IF(K1862&lt;0,"Stock négatif",IF(AND(ISNUMBER(A1861),A1862&lt;A1861),"Date hors ordre","OK"))))))))</f>
        <v/>
      </c>
      <c r="M1862" s="39" t="str">
        <f>IF(C1862="","",C1862&amp;"#"&amp;COUNTIF($C$5:C1862,C1862))</f>
        <v/>
      </c>
    </row>
    <row r="1863">
      <c r="A1863" s="41" t="n"/>
      <c r="B1863" s="37" t="n"/>
      <c r="C1863" s="37" t="n"/>
      <c r="D1863" s="39" t="str">
        <f>IF(C1863="","",IFERROR(INDEX(art_des,MATCH(C1863,art_ref,0))&amp;"","Référence inconnue"))</f>
        <v/>
      </c>
      <c r="E1863" s="37" t="n"/>
      <c r="F1863" s="39" t="str">
        <f>IF(C1863="","",IFERROR(INDEX(art_unit,MATCH(C1863,art_ref,0))&amp;"",""))</f>
        <v/>
      </c>
      <c r="G1863" s="37" t="n"/>
      <c r="H1863" s="37" t="n"/>
      <c r="I1863" s="37" t="n"/>
      <c r="J1863" s="40" t="str">
        <f>IF(OR(C1863="",NOT(ISNUMBER(E1863))),"",IFERROR(E1863*N(INDEX(art_price,MATCH(C1863,art_ref,0))),""))</f>
        <v/>
      </c>
      <c r="K1863" s="39" t="str">
        <f>IF(OR(C1863="",NOT(ISNUMBER(E1863))),"",IFERROR(ROUND(N(INDEX(art_init,MATCH(C1863,art_ref,0)))+SUMIFS($E$5:E1863,$C$5:C1863,C1863,$B$5:B1863,"Entrée")-SUMIFS($E$5:E1863,$C$5:C1863,C1863,$B$5:B1863,"Sortie"),6),""))</f>
        <v/>
      </c>
      <c r="L1863" s="39" t="str">
        <f>IF(COUNTA(A1863:C1863,E1863)=0,"",IF(COUNTA(A1863:C1863,E1863)&lt;4,"Ligne incomplète",IF(NOT(ISNUMBER(A1863)),"Date invalide",IF(AND(B1863&lt;&gt;"Entrée",B1863&lt;&gt;"Sortie"),"Type inconnu",IF(ISNA(MATCH(C1863,art_ref,0)),"Référence inconnue",IF(OR(NOT(ISNUMBER(E1863)),N(E1863)&lt;=0),"Quantité invalide",IF(K1863&lt;0,"Stock négatif",IF(AND(ISNUMBER(A1862),A1863&lt;A1862),"Date hors ordre","OK"))))))))</f>
        <v/>
      </c>
      <c r="M1863" s="39" t="str">
        <f>IF(C1863="","",C1863&amp;"#"&amp;COUNTIF($C$5:C1863,C1863))</f>
        <v/>
      </c>
    </row>
    <row r="1864">
      <c r="A1864" s="41" t="n"/>
      <c r="B1864" s="37" t="n"/>
      <c r="C1864" s="37" t="n"/>
      <c r="D1864" s="39" t="str">
        <f>IF(C1864="","",IFERROR(INDEX(art_des,MATCH(C1864,art_ref,0))&amp;"","Référence inconnue"))</f>
        <v/>
      </c>
      <c r="E1864" s="37" t="n"/>
      <c r="F1864" s="39" t="str">
        <f>IF(C1864="","",IFERROR(INDEX(art_unit,MATCH(C1864,art_ref,0))&amp;"",""))</f>
        <v/>
      </c>
      <c r="G1864" s="37" t="n"/>
      <c r="H1864" s="37" t="n"/>
      <c r="I1864" s="37" t="n"/>
      <c r="J1864" s="40" t="str">
        <f>IF(OR(C1864="",NOT(ISNUMBER(E1864))),"",IFERROR(E1864*N(INDEX(art_price,MATCH(C1864,art_ref,0))),""))</f>
        <v/>
      </c>
      <c r="K1864" s="39" t="str">
        <f>IF(OR(C1864="",NOT(ISNUMBER(E1864))),"",IFERROR(ROUND(N(INDEX(art_init,MATCH(C1864,art_ref,0)))+SUMIFS($E$5:E1864,$C$5:C1864,C1864,$B$5:B1864,"Entrée")-SUMIFS($E$5:E1864,$C$5:C1864,C1864,$B$5:B1864,"Sortie"),6),""))</f>
        <v/>
      </c>
      <c r="L1864" s="39" t="str">
        <f>IF(COUNTA(A1864:C1864,E1864)=0,"",IF(COUNTA(A1864:C1864,E1864)&lt;4,"Ligne incomplète",IF(NOT(ISNUMBER(A1864)),"Date invalide",IF(AND(B1864&lt;&gt;"Entrée",B1864&lt;&gt;"Sortie"),"Type inconnu",IF(ISNA(MATCH(C1864,art_ref,0)),"Référence inconnue",IF(OR(NOT(ISNUMBER(E1864)),N(E1864)&lt;=0),"Quantité invalide",IF(K1864&lt;0,"Stock négatif",IF(AND(ISNUMBER(A1863),A1864&lt;A1863),"Date hors ordre","OK"))))))))</f>
        <v/>
      </c>
      <c r="M1864" s="39" t="str">
        <f>IF(C1864="","",C1864&amp;"#"&amp;COUNTIF($C$5:C1864,C1864))</f>
        <v/>
      </c>
    </row>
    <row r="1865">
      <c r="A1865" s="41" t="n"/>
      <c r="B1865" s="37" t="n"/>
      <c r="C1865" s="37" t="n"/>
      <c r="D1865" s="39" t="str">
        <f>IF(C1865="","",IFERROR(INDEX(art_des,MATCH(C1865,art_ref,0))&amp;"","Référence inconnue"))</f>
        <v/>
      </c>
      <c r="E1865" s="37" t="n"/>
      <c r="F1865" s="39" t="str">
        <f>IF(C1865="","",IFERROR(INDEX(art_unit,MATCH(C1865,art_ref,0))&amp;"",""))</f>
        <v/>
      </c>
      <c r="G1865" s="37" t="n"/>
      <c r="H1865" s="37" t="n"/>
      <c r="I1865" s="37" t="n"/>
      <c r="J1865" s="40" t="str">
        <f>IF(OR(C1865="",NOT(ISNUMBER(E1865))),"",IFERROR(E1865*N(INDEX(art_price,MATCH(C1865,art_ref,0))),""))</f>
        <v/>
      </c>
      <c r="K1865" s="39" t="str">
        <f>IF(OR(C1865="",NOT(ISNUMBER(E1865))),"",IFERROR(ROUND(N(INDEX(art_init,MATCH(C1865,art_ref,0)))+SUMIFS($E$5:E1865,$C$5:C1865,C1865,$B$5:B1865,"Entrée")-SUMIFS($E$5:E1865,$C$5:C1865,C1865,$B$5:B1865,"Sortie"),6),""))</f>
        <v/>
      </c>
      <c r="L1865" s="39" t="str">
        <f>IF(COUNTA(A1865:C1865,E1865)=0,"",IF(COUNTA(A1865:C1865,E1865)&lt;4,"Ligne incomplète",IF(NOT(ISNUMBER(A1865)),"Date invalide",IF(AND(B1865&lt;&gt;"Entrée",B1865&lt;&gt;"Sortie"),"Type inconnu",IF(ISNA(MATCH(C1865,art_ref,0)),"Référence inconnue",IF(OR(NOT(ISNUMBER(E1865)),N(E1865)&lt;=0),"Quantité invalide",IF(K1865&lt;0,"Stock négatif",IF(AND(ISNUMBER(A1864),A1865&lt;A1864),"Date hors ordre","OK"))))))))</f>
        <v/>
      </c>
      <c r="M1865" s="39" t="str">
        <f>IF(C1865="","",C1865&amp;"#"&amp;COUNTIF($C$5:C1865,C1865))</f>
        <v/>
      </c>
    </row>
    <row r="1866">
      <c r="A1866" s="41" t="n"/>
      <c r="B1866" s="37" t="n"/>
      <c r="C1866" s="37" t="n"/>
      <c r="D1866" s="39" t="str">
        <f>IF(C1866="","",IFERROR(INDEX(art_des,MATCH(C1866,art_ref,0))&amp;"","Référence inconnue"))</f>
        <v/>
      </c>
      <c r="E1866" s="37" t="n"/>
      <c r="F1866" s="39" t="str">
        <f>IF(C1866="","",IFERROR(INDEX(art_unit,MATCH(C1866,art_ref,0))&amp;"",""))</f>
        <v/>
      </c>
      <c r="G1866" s="37" t="n"/>
      <c r="H1866" s="37" t="n"/>
      <c r="I1866" s="37" t="n"/>
      <c r="J1866" s="40" t="str">
        <f>IF(OR(C1866="",NOT(ISNUMBER(E1866))),"",IFERROR(E1866*N(INDEX(art_price,MATCH(C1866,art_ref,0))),""))</f>
        <v/>
      </c>
      <c r="K1866" s="39" t="str">
        <f>IF(OR(C1866="",NOT(ISNUMBER(E1866))),"",IFERROR(ROUND(N(INDEX(art_init,MATCH(C1866,art_ref,0)))+SUMIFS($E$5:E1866,$C$5:C1866,C1866,$B$5:B1866,"Entrée")-SUMIFS($E$5:E1866,$C$5:C1866,C1866,$B$5:B1866,"Sortie"),6),""))</f>
        <v/>
      </c>
      <c r="L1866" s="39" t="str">
        <f>IF(COUNTA(A1866:C1866,E1866)=0,"",IF(COUNTA(A1866:C1866,E1866)&lt;4,"Ligne incomplète",IF(NOT(ISNUMBER(A1866)),"Date invalide",IF(AND(B1866&lt;&gt;"Entrée",B1866&lt;&gt;"Sortie"),"Type inconnu",IF(ISNA(MATCH(C1866,art_ref,0)),"Référence inconnue",IF(OR(NOT(ISNUMBER(E1866)),N(E1866)&lt;=0),"Quantité invalide",IF(K1866&lt;0,"Stock négatif",IF(AND(ISNUMBER(A1865),A1866&lt;A1865),"Date hors ordre","OK"))))))))</f>
        <v/>
      </c>
      <c r="M1866" s="39" t="str">
        <f>IF(C1866="","",C1866&amp;"#"&amp;COUNTIF($C$5:C1866,C1866))</f>
        <v/>
      </c>
    </row>
    <row r="1867">
      <c r="A1867" s="41" t="n"/>
      <c r="B1867" s="37" t="n"/>
      <c r="C1867" s="37" t="n"/>
      <c r="D1867" s="39" t="str">
        <f>IF(C1867="","",IFERROR(INDEX(art_des,MATCH(C1867,art_ref,0))&amp;"","Référence inconnue"))</f>
        <v/>
      </c>
      <c r="E1867" s="37" t="n"/>
      <c r="F1867" s="39" t="str">
        <f>IF(C1867="","",IFERROR(INDEX(art_unit,MATCH(C1867,art_ref,0))&amp;"",""))</f>
        <v/>
      </c>
      <c r="G1867" s="37" t="n"/>
      <c r="H1867" s="37" t="n"/>
      <c r="I1867" s="37" t="n"/>
      <c r="J1867" s="40" t="str">
        <f>IF(OR(C1867="",NOT(ISNUMBER(E1867))),"",IFERROR(E1867*N(INDEX(art_price,MATCH(C1867,art_ref,0))),""))</f>
        <v/>
      </c>
      <c r="K1867" s="39" t="str">
        <f>IF(OR(C1867="",NOT(ISNUMBER(E1867))),"",IFERROR(ROUND(N(INDEX(art_init,MATCH(C1867,art_ref,0)))+SUMIFS($E$5:E1867,$C$5:C1867,C1867,$B$5:B1867,"Entrée")-SUMIFS($E$5:E1867,$C$5:C1867,C1867,$B$5:B1867,"Sortie"),6),""))</f>
        <v/>
      </c>
      <c r="L1867" s="39" t="str">
        <f>IF(COUNTA(A1867:C1867,E1867)=0,"",IF(COUNTA(A1867:C1867,E1867)&lt;4,"Ligne incomplète",IF(NOT(ISNUMBER(A1867)),"Date invalide",IF(AND(B1867&lt;&gt;"Entrée",B1867&lt;&gt;"Sortie"),"Type inconnu",IF(ISNA(MATCH(C1867,art_ref,0)),"Référence inconnue",IF(OR(NOT(ISNUMBER(E1867)),N(E1867)&lt;=0),"Quantité invalide",IF(K1867&lt;0,"Stock négatif",IF(AND(ISNUMBER(A1866),A1867&lt;A1866),"Date hors ordre","OK"))))))))</f>
        <v/>
      </c>
      <c r="M1867" s="39" t="str">
        <f>IF(C1867="","",C1867&amp;"#"&amp;COUNTIF($C$5:C1867,C1867))</f>
        <v/>
      </c>
    </row>
    <row r="1868">
      <c r="A1868" s="41" t="n"/>
      <c r="B1868" s="37" t="n"/>
      <c r="C1868" s="37" t="n"/>
      <c r="D1868" s="39" t="str">
        <f>IF(C1868="","",IFERROR(INDEX(art_des,MATCH(C1868,art_ref,0))&amp;"","Référence inconnue"))</f>
        <v/>
      </c>
      <c r="E1868" s="37" t="n"/>
      <c r="F1868" s="39" t="str">
        <f>IF(C1868="","",IFERROR(INDEX(art_unit,MATCH(C1868,art_ref,0))&amp;"",""))</f>
        <v/>
      </c>
      <c r="G1868" s="37" t="n"/>
      <c r="H1868" s="37" t="n"/>
      <c r="I1868" s="37" t="n"/>
      <c r="J1868" s="40" t="str">
        <f>IF(OR(C1868="",NOT(ISNUMBER(E1868))),"",IFERROR(E1868*N(INDEX(art_price,MATCH(C1868,art_ref,0))),""))</f>
        <v/>
      </c>
      <c r="K1868" s="39" t="str">
        <f>IF(OR(C1868="",NOT(ISNUMBER(E1868))),"",IFERROR(ROUND(N(INDEX(art_init,MATCH(C1868,art_ref,0)))+SUMIFS($E$5:E1868,$C$5:C1868,C1868,$B$5:B1868,"Entrée")-SUMIFS($E$5:E1868,$C$5:C1868,C1868,$B$5:B1868,"Sortie"),6),""))</f>
        <v/>
      </c>
      <c r="L1868" s="39" t="str">
        <f>IF(COUNTA(A1868:C1868,E1868)=0,"",IF(COUNTA(A1868:C1868,E1868)&lt;4,"Ligne incomplète",IF(NOT(ISNUMBER(A1868)),"Date invalide",IF(AND(B1868&lt;&gt;"Entrée",B1868&lt;&gt;"Sortie"),"Type inconnu",IF(ISNA(MATCH(C1868,art_ref,0)),"Référence inconnue",IF(OR(NOT(ISNUMBER(E1868)),N(E1868)&lt;=0),"Quantité invalide",IF(K1868&lt;0,"Stock négatif",IF(AND(ISNUMBER(A1867),A1868&lt;A1867),"Date hors ordre","OK"))))))))</f>
        <v/>
      </c>
      <c r="M1868" s="39" t="str">
        <f>IF(C1868="","",C1868&amp;"#"&amp;COUNTIF($C$5:C1868,C1868))</f>
        <v/>
      </c>
    </row>
    <row r="1869">
      <c r="A1869" s="41" t="n"/>
      <c r="B1869" s="37" t="n"/>
      <c r="C1869" s="37" t="n"/>
      <c r="D1869" s="39" t="str">
        <f>IF(C1869="","",IFERROR(INDEX(art_des,MATCH(C1869,art_ref,0))&amp;"","Référence inconnue"))</f>
        <v/>
      </c>
      <c r="E1869" s="37" t="n"/>
      <c r="F1869" s="39" t="str">
        <f>IF(C1869="","",IFERROR(INDEX(art_unit,MATCH(C1869,art_ref,0))&amp;"",""))</f>
        <v/>
      </c>
      <c r="G1869" s="37" t="n"/>
      <c r="H1869" s="37" t="n"/>
      <c r="I1869" s="37" t="n"/>
      <c r="J1869" s="40" t="str">
        <f>IF(OR(C1869="",NOT(ISNUMBER(E1869))),"",IFERROR(E1869*N(INDEX(art_price,MATCH(C1869,art_ref,0))),""))</f>
        <v/>
      </c>
      <c r="K1869" s="39" t="str">
        <f>IF(OR(C1869="",NOT(ISNUMBER(E1869))),"",IFERROR(ROUND(N(INDEX(art_init,MATCH(C1869,art_ref,0)))+SUMIFS($E$5:E1869,$C$5:C1869,C1869,$B$5:B1869,"Entrée")-SUMIFS($E$5:E1869,$C$5:C1869,C1869,$B$5:B1869,"Sortie"),6),""))</f>
        <v/>
      </c>
      <c r="L1869" s="39" t="str">
        <f>IF(COUNTA(A1869:C1869,E1869)=0,"",IF(COUNTA(A1869:C1869,E1869)&lt;4,"Ligne incomplète",IF(NOT(ISNUMBER(A1869)),"Date invalide",IF(AND(B1869&lt;&gt;"Entrée",B1869&lt;&gt;"Sortie"),"Type inconnu",IF(ISNA(MATCH(C1869,art_ref,0)),"Référence inconnue",IF(OR(NOT(ISNUMBER(E1869)),N(E1869)&lt;=0),"Quantité invalide",IF(K1869&lt;0,"Stock négatif",IF(AND(ISNUMBER(A1868),A1869&lt;A1868),"Date hors ordre","OK"))))))))</f>
        <v/>
      </c>
      <c r="M1869" s="39" t="str">
        <f>IF(C1869="","",C1869&amp;"#"&amp;COUNTIF($C$5:C1869,C1869))</f>
        <v/>
      </c>
    </row>
    <row r="1870">
      <c r="A1870" s="41" t="n"/>
      <c r="B1870" s="37" t="n"/>
      <c r="C1870" s="37" t="n"/>
      <c r="D1870" s="39" t="str">
        <f>IF(C1870="","",IFERROR(INDEX(art_des,MATCH(C1870,art_ref,0))&amp;"","Référence inconnue"))</f>
        <v/>
      </c>
      <c r="E1870" s="37" t="n"/>
      <c r="F1870" s="39" t="str">
        <f>IF(C1870="","",IFERROR(INDEX(art_unit,MATCH(C1870,art_ref,0))&amp;"",""))</f>
        <v/>
      </c>
      <c r="G1870" s="37" t="n"/>
      <c r="H1870" s="37" t="n"/>
      <c r="I1870" s="37" t="n"/>
      <c r="J1870" s="40" t="str">
        <f>IF(OR(C1870="",NOT(ISNUMBER(E1870))),"",IFERROR(E1870*N(INDEX(art_price,MATCH(C1870,art_ref,0))),""))</f>
        <v/>
      </c>
      <c r="K1870" s="39" t="str">
        <f>IF(OR(C1870="",NOT(ISNUMBER(E1870))),"",IFERROR(ROUND(N(INDEX(art_init,MATCH(C1870,art_ref,0)))+SUMIFS($E$5:E1870,$C$5:C1870,C1870,$B$5:B1870,"Entrée")-SUMIFS($E$5:E1870,$C$5:C1870,C1870,$B$5:B1870,"Sortie"),6),""))</f>
        <v/>
      </c>
      <c r="L1870" s="39" t="str">
        <f>IF(COUNTA(A1870:C1870,E1870)=0,"",IF(COUNTA(A1870:C1870,E1870)&lt;4,"Ligne incomplète",IF(NOT(ISNUMBER(A1870)),"Date invalide",IF(AND(B1870&lt;&gt;"Entrée",B1870&lt;&gt;"Sortie"),"Type inconnu",IF(ISNA(MATCH(C1870,art_ref,0)),"Référence inconnue",IF(OR(NOT(ISNUMBER(E1870)),N(E1870)&lt;=0),"Quantité invalide",IF(K1870&lt;0,"Stock négatif",IF(AND(ISNUMBER(A1869),A1870&lt;A1869),"Date hors ordre","OK"))))))))</f>
        <v/>
      </c>
      <c r="M1870" s="39" t="str">
        <f>IF(C1870="","",C1870&amp;"#"&amp;COUNTIF($C$5:C1870,C1870))</f>
        <v/>
      </c>
    </row>
    <row r="1871">
      <c r="A1871" s="41" t="n"/>
      <c r="B1871" s="37" t="n"/>
      <c r="C1871" s="37" t="n"/>
      <c r="D1871" s="39" t="str">
        <f>IF(C1871="","",IFERROR(INDEX(art_des,MATCH(C1871,art_ref,0))&amp;"","Référence inconnue"))</f>
        <v/>
      </c>
      <c r="E1871" s="37" t="n"/>
      <c r="F1871" s="39" t="str">
        <f>IF(C1871="","",IFERROR(INDEX(art_unit,MATCH(C1871,art_ref,0))&amp;"",""))</f>
        <v/>
      </c>
      <c r="G1871" s="37" t="n"/>
      <c r="H1871" s="37" t="n"/>
      <c r="I1871" s="37" t="n"/>
      <c r="J1871" s="40" t="str">
        <f>IF(OR(C1871="",NOT(ISNUMBER(E1871))),"",IFERROR(E1871*N(INDEX(art_price,MATCH(C1871,art_ref,0))),""))</f>
        <v/>
      </c>
      <c r="K1871" s="39" t="str">
        <f>IF(OR(C1871="",NOT(ISNUMBER(E1871))),"",IFERROR(ROUND(N(INDEX(art_init,MATCH(C1871,art_ref,0)))+SUMIFS($E$5:E1871,$C$5:C1871,C1871,$B$5:B1871,"Entrée")-SUMIFS($E$5:E1871,$C$5:C1871,C1871,$B$5:B1871,"Sortie"),6),""))</f>
        <v/>
      </c>
      <c r="L1871" s="39" t="str">
        <f>IF(COUNTA(A1871:C1871,E1871)=0,"",IF(COUNTA(A1871:C1871,E1871)&lt;4,"Ligne incomplète",IF(NOT(ISNUMBER(A1871)),"Date invalide",IF(AND(B1871&lt;&gt;"Entrée",B1871&lt;&gt;"Sortie"),"Type inconnu",IF(ISNA(MATCH(C1871,art_ref,0)),"Référence inconnue",IF(OR(NOT(ISNUMBER(E1871)),N(E1871)&lt;=0),"Quantité invalide",IF(K1871&lt;0,"Stock négatif",IF(AND(ISNUMBER(A1870),A1871&lt;A1870),"Date hors ordre","OK"))))))))</f>
        <v/>
      </c>
      <c r="M1871" s="39" t="str">
        <f>IF(C1871="","",C1871&amp;"#"&amp;COUNTIF($C$5:C1871,C1871))</f>
        <v/>
      </c>
    </row>
    <row r="1872">
      <c r="A1872" s="41" t="n"/>
      <c r="B1872" s="37" t="n"/>
      <c r="C1872" s="37" t="n"/>
      <c r="D1872" s="39" t="str">
        <f>IF(C1872="","",IFERROR(INDEX(art_des,MATCH(C1872,art_ref,0))&amp;"","Référence inconnue"))</f>
        <v/>
      </c>
      <c r="E1872" s="37" t="n"/>
      <c r="F1872" s="39" t="str">
        <f>IF(C1872="","",IFERROR(INDEX(art_unit,MATCH(C1872,art_ref,0))&amp;"",""))</f>
        <v/>
      </c>
      <c r="G1872" s="37" t="n"/>
      <c r="H1872" s="37" t="n"/>
      <c r="I1872" s="37" t="n"/>
      <c r="J1872" s="40" t="str">
        <f>IF(OR(C1872="",NOT(ISNUMBER(E1872))),"",IFERROR(E1872*N(INDEX(art_price,MATCH(C1872,art_ref,0))),""))</f>
        <v/>
      </c>
      <c r="K1872" s="39" t="str">
        <f>IF(OR(C1872="",NOT(ISNUMBER(E1872))),"",IFERROR(ROUND(N(INDEX(art_init,MATCH(C1872,art_ref,0)))+SUMIFS($E$5:E1872,$C$5:C1872,C1872,$B$5:B1872,"Entrée")-SUMIFS($E$5:E1872,$C$5:C1872,C1872,$B$5:B1872,"Sortie"),6),""))</f>
        <v/>
      </c>
      <c r="L1872" s="39" t="str">
        <f>IF(COUNTA(A1872:C1872,E1872)=0,"",IF(COUNTA(A1872:C1872,E1872)&lt;4,"Ligne incomplète",IF(NOT(ISNUMBER(A1872)),"Date invalide",IF(AND(B1872&lt;&gt;"Entrée",B1872&lt;&gt;"Sortie"),"Type inconnu",IF(ISNA(MATCH(C1872,art_ref,0)),"Référence inconnue",IF(OR(NOT(ISNUMBER(E1872)),N(E1872)&lt;=0),"Quantité invalide",IF(K1872&lt;0,"Stock négatif",IF(AND(ISNUMBER(A1871),A1872&lt;A1871),"Date hors ordre","OK"))))))))</f>
        <v/>
      </c>
      <c r="M1872" s="39" t="str">
        <f>IF(C1872="","",C1872&amp;"#"&amp;COUNTIF($C$5:C1872,C1872))</f>
        <v/>
      </c>
    </row>
    <row r="1873">
      <c r="A1873" s="41" t="n"/>
      <c r="B1873" s="37" t="n"/>
      <c r="C1873" s="37" t="n"/>
      <c r="D1873" s="39" t="str">
        <f>IF(C1873="","",IFERROR(INDEX(art_des,MATCH(C1873,art_ref,0))&amp;"","Référence inconnue"))</f>
        <v/>
      </c>
      <c r="E1873" s="37" t="n"/>
      <c r="F1873" s="39" t="str">
        <f>IF(C1873="","",IFERROR(INDEX(art_unit,MATCH(C1873,art_ref,0))&amp;"",""))</f>
        <v/>
      </c>
      <c r="G1873" s="37" t="n"/>
      <c r="H1873" s="37" t="n"/>
      <c r="I1873" s="37" t="n"/>
      <c r="J1873" s="40" t="str">
        <f>IF(OR(C1873="",NOT(ISNUMBER(E1873))),"",IFERROR(E1873*N(INDEX(art_price,MATCH(C1873,art_ref,0))),""))</f>
        <v/>
      </c>
      <c r="K1873" s="39" t="str">
        <f>IF(OR(C1873="",NOT(ISNUMBER(E1873))),"",IFERROR(ROUND(N(INDEX(art_init,MATCH(C1873,art_ref,0)))+SUMIFS($E$5:E1873,$C$5:C1873,C1873,$B$5:B1873,"Entrée")-SUMIFS($E$5:E1873,$C$5:C1873,C1873,$B$5:B1873,"Sortie"),6),""))</f>
        <v/>
      </c>
      <c r="L1873" s="39" t="str">
        <f>IF(COUNTA(A1873:C1873,E1873)=0,"",IF(COUNTA(A1873:C1873,E1873)&lt;4,"Ligne incomplète",IF(NOT(ISNUMBER(A1873)),"Date invalide",IF(AND(B1873&lt;&gt;"Entrée",B1873&lt;&gt;"Sortie"),"Type inconnu",IF(ISNA(MATCH(C1873,art_ref,0)),"Référence inconnue",IF(OR(NOT(ISNUMBER(E1873)),N(E1873)&lt;=0),"Quantité invalide",IF(K1873&lt;0,"Stock négatif",IF(AND(ISNUMBER(A1872),A1873&lt;A1872),"Date hors ordre","OK"))))))))</f>
        <v/>
      </c>
      <c r="M1873" s="39" t="str">
        <f>IF(C1873="","",C1873&amp;"#"&amp;COUNTIF($C$5:C1873,C1873))</f>
        <v/>
      </c>
    </row>
    <row r="1874">
      <c r="A1874" s="41" t="n"/>
      <c r="B1874" s="37" t="n"/>
      <c r="C1874" s="37" t="n"/>
      <c r="D1874" s="39" t="str">
        <f>IF(C1874="","",IFERROR(INDEX(art_des,MATCH(C1874,art_ref,0))&amp;"","Référence inconnue"))</f>
        <v/>
      </c>
      <c r="E1874" s="37" t="n"/>
      <c r="F1874" s="39" t="str">
        <f>IF(C1874="","",IFERROR(INDEX(art_unit,MATCH(C1874,art_ref,0))&amp;"",""))</f>
        <v/>
      </c>
      <c r="G1874" s="37" t="n"/>
      <c r="H1874" s="37" t="n"/>
      <c r="I1874" s="37" t="n"/>
      <c r="J1874" s="40" t="str">
        <f>IF(OR(C1874="",NOT(ISNUMBER(E1874))),"",IFERROR(E1874*N(INDEX(art_price,MATCH(C1874,art_ref,0))),""))</f>
        <v/>
      </c>
      <c r="K1874" s="39" t="str">
        <f>IF(OR(C1874="",NOT(ISNUMBER(E1874))),"",IFERROR(ROUND(N(INDEX(art_init,MATCH(C1874,art_ref,0)))+SUMIFS($E$5:E1874,$C$5:C1874,C1874,$B$5:B1874,"Entrée")-SUMIFS($E$5:E1874,$C$5:C1874,C1874,$B$5:B1874,"Sortie"),6),""))</f>
        <v/>
      </c>
      <c r="L1874" s="39" t="str">
        <f>IF(COUNTA(A1874:C1874,E1874)=0,"",IF(COUNTA(A1874:C1874,E1874)&lt;4,"Ligne incomplète",IF(NOT(ISNUMBER(A1874)),"Date invalide",IF(AND(B1874&lt;&gt;"Entrée",B1874&lt;&gt;"Sortie"),"Type inconnu",IF(ISNA(MATCH(C1874,art_ref,0)),"Référence inconnue",IF(OR(NOT(ISNUMBER(E1874)),N(E1874)&lt;=0),"Quantité invalide",IF(K1874&lt;0,"Stock négatif",IF(AND(ISNUMBER(A1873),A1874&lt;A1873),"Date hors ordre","OK"))))))))</f>
        <v/>
      </c>
      <c r="M1874" s="39" t="str">
        <f>IF(C1874="","",C1874&amp;"#"&amp;COUNTIF($C$5:C1874,C1874))</f>
        <v/>
      </c>
    </row>
    <row r="1875">
      <c r="A1875" s="41" t="n"/>
      <c r="B1875" s="37" t="n"/>
      <c r="C1875" s="37" t="n"/>
      <c r="D1875" s="39" t="str">
        <f>IF(C1875="","",IFERROR(INDEX(art_des,MATCH(C1875,art_ref,0))&amp;"","Référence inconnue"))</f>
        <v/>
      </c>
      <c r="E1875" s="37" t="n"/>
      <c r="F1875" s="39" t="str">
        <f>IF(C1875="","",IFERROR(INDEX(art_unit,MATCH(C1875,art_ref,0))&amp;"",""))</f>
        <v/>
      </c>
      <c r="G1875" s="37" t="n"/>
      <c r="H1875" s="37" t="n"/>
      <c r="I1875" s="37" t="n"/>
      <c r="J1875" s="40" t="str">
        <f>IF(OR(C1875="",NOT(ISNUMBER(E1875))),"",IFERROR(E1875*N(INDEX(art_price,MATCH(C1875,art_ref,0))),""))</f>
        <v/>
      </c>
      <c r="K1875" s="39" t="str">
        <f>IF(OR(C1875="",NOT(ISNUMBER(E1875))),"",IFERROR(ROUND(N(INDEX(art_init,MATCH(C1875,art_ref,0)))+SUMIFS($E$5:E1875,$C$5:C1875,C1875,$B$5:B1875,"Entrée")-SUMIFS($E$5:E1875,$C$5:C1875,C1875,$B$5:B1875,"Sortie"),6),""))</f>
        <v/>
      </c>
      <c r="L1875" s="39" t="str">
        <f>IF(COUNTA(A1875:C1875,E1875)=0,"",IF(COUNTA(A1875:C1875,E1875)&lt;4,"Ligne incomplète",IF(NOT(ISNUMBER(A1875)),"Date invalide",IF(AND(B1875&lt;&gt;"Entrée",B1875&lt;&gt;"Sortie"),"Type inconnu",IF(ISNA(MATCH(C1875,art_ref,0)),"Référence inconnue",IF(OR(NOT(ISNUMBER(E1875)),N(E1875)&lt;=0),"Quantité invalide",IF(K1875&lt;0,"Stock négatif",IF(AND(ISNUMBER(A1874),A1875&lt;A1874),"Date hors ordre","OK"))))))))</f>
        <v/>
      </c>
      <c r="M1875" s="39" t="str">
        <f>IF(C1875="","",C1875&amp;"#"&amp;COUNTIF($C$5:C1875,C1875))</f>
        <v/>
      </c>
    </row>
    <row r="1876">
      <c r="A1876" s="41" t="n"/>
      <c r="B1876" s="37" t="n"/>
      <c r="C1876" s="37" t="n"/>
      <c r="D1876" s="39" t="str">
        <f>IF(C1876="","",IFERROR(INDEX(art_des,MATCH(C1876,art_ref,0))&amp;"","Référence inconnue"))</f>
        <v/>
      </c>
      <c r="E1876" s="37" t="n"/>
      <c r="F1876" s="39" t="str">
        <f>IF(C1876="","",IFERROR(INDEX(art_unit,MATCH(C1876,art_ref,0))&amp;"",""))</f>
        <v/>
      </c>
      <c r="G1876" s="37" t="n"/>
      <c r="H1876" s="37" t="n"/>
      <c r="I1876" s="37" t="n"/>
      <c r="J1876" s="40" t="str">
        <f>IF(OR(C1876="",NOT(ISNUMBER(E1876))),"",IFERROR(E1876*N(INDEX(art_price,MATCH(C1876,art_ref,0))),""))</f>
        <v/>
      </c>
      <c r="K1876" s="39" t="str">
        <f>IF(OR(C1876="",NOT(ISNUMBER(E1876))),"",IFERROR(ROUND(N(INDEX(art_init,MATCH(C1876,art_ref,0)))+SUMIFS($E$5:E1876,$C$5:C1876,C1876,$B$5:B1876,"Entrée")-SUMIFS($E$5:E1876,$C$5:C1876,C1876,$B$5:B1876,"Sortie"),6),""))</f>
        <v/>
      </c>
      <c r="L1876" s="39" t="str">
        <f>IF(COUNTA(A1876:C1876,E1876)=0,"",IF(COUNTA(A1876:C1876,E1876)&lt;4,"Ligne incomplète",IF(NOT(ISNUMBER(A1876)),"Date invalide",IF(AND(B1876&lt;&gt;"Entrée",B1876&lt;&gt;"Sortie"),"Type inconnu",IF(ISNA(MATCH(C1876,art_ref,0)),"Référence inconnue",IF(OR(NOT(ISNUMBER(E1876)),N(E1876)&lt;=0),"Quantité invalide",IF(K1876&lt;0,"Stock négatif",IF(AND(ISNUMBER(A1875),A1876&lt;A1875),"Date hors ordre","OK"))))))))</f>
        <v/>
      </c>
      <c r="M1876" s="39" t="str">
        <f>IF(C1876="","",C1876&amp;"#"&amp;COUNTIF($C$5:C1876,C1876))</f>
        <v/>
      </c>
    </row>
    <row r="1877">
      <c r="A1877" s="41" t="n"/>
      <c r="B1877" s="37" t="n"/>
      <c r="C1877" s="37" t="n"/>
      <c r="D1877" s="39" t="str">
        <f>IF(C1877="","",IFERROR(INDEX(art_des,MATCH(C1877,art_ref,0))&amp;"","Référence inconnue"))</f>
        <v/>
      </c>
      <c r="E1877" s="37" t="n"/>
      <c r="F1877" s="39" t="str">
        <f>IF(C1877="","",IFERROR(INDEX(art_unit,MATCH(C1877,art_ref,0))&amp;"",""))</f>
        <v/>
      </c>
      <c r="G1877" s="37" t="n"/>
      <c r="H1877" s="37" t="n"/>
      <c r="I1877" s="37" t="n"/>
      <c r="J1877" s="40" t="str">
        <f>IF(OR(C1877="",NOT(ISNUMBER(E1877))),"",IFERROR(E1877*N(INDEX(art_price,MATCH(C1877,art_ref,0))),""))</f>
        <v/>
      </c>
      <c r="K1877" s="39" t="str">
        <f>IF(OR(C1877="",NOT(ISNUMBER(E1877))),"",IFERROR(ROUND(N(INDEX(art_init,MATCH(C1877,art_ref,0)))+SUMIFS($E$5:E1877,$C$5:C1877,C1877,$B$5:B1877,"Entrée")-SUMIFS($E$5:E1877,$C$5:C1877,C1877,$B$5:B1877,"Sortie"),6),""))</f>
        <v/>
      </c>
      <c r="L1877" s="39" t="str">
        <f>IF(COUNTA(A1877:C1877,E1877)=0,"",IF(COUNTA(A1877:C1877,E1877)&lt;4,"Ligne incomplète",IF(NOT(ISNUMBER(A1877)),"Date invalide",IF(AND(B1877&lt;&gt;"Entrée",B1877&lt;&gt;"Sortie"),"Type inconnu",IF(ISNA(MATCH(C1877,art_ref,0)),"Référence inconnue",IF(OR(NOT(ISNUMBER(E1877)),N(E1877)&lt;=0),"Quantité invalide",IF(K1877&lt;0,"Stock négatif",IF(AND(ISNUMBER(A1876),A1877&lt;A1876),"Date hors ordre","OK"))))))))</f>
        <v/>
      </c>
      <c r="M1877" s="39" t="str">
        <f>IF(C1877="","",C1877&amp;"#"&amp;COUNTIF($C$5:C1877,C1877))</f>
        <v/>
      </c>
    </row>
    <row r="1878">
      <c r="A1878" s="41" t="n"/>
      <c r="B1878" s="37" t="n"/>
      <c r="C1878" s="37" t="n"/>
      <c r="D1878" s="39" t="str">
        <f>IF(C1878="","",IFERROR(INDEX(art_des,MATCH(C1878,art_ref,0))&amp;"","Référence inconnue"))</f>
        <v/>
      </c>
      <c r="E1878" s="37" t="n"/>
      <c r="F1878" s="39" t="str">
        <f>IF(C1878="","",IFERROR(INDEX(art_unit,MATCH(C1878,art_ref,0))&amp;"",""))</f>
        <v/>
      </c>
      <c r="G1878" s="37" t="n"/>
      <c r="H1878" s="37" t="n"/>
      <c r="I1878" s="37" t="n"/>
      <c r="J1878" s="40" t="str">
        <f>IF(OR(C1878="",NOT(ISNUMBER(E1878))),"",IFERROR(E1878*N(INDEX(art_price,MATCH(C1878,art_ref,0))),""))</f>
        <v/>
      </c>
      <c r="K1878" s="39" t="str">
        <f>IF(OR(C1878="",NOT(ISNUMBER(E1878))),"",IFERROR(ROUND(N(INDEX(art_init,MATCH(C1878,art_ref,0)))+SUMIFS($E$5:E1878,$C$5:C1878,C1878,$B$5:B1878,"Entrée")-SUMIFS($E$5:E1878,$C$5:C1878,C1878,$B$5:B1878,"Sortie"),6),""))</f>
        <v/>
      </c>
      <c r="L1878" s="39" t="str">
        <f>IF(COUNTA(A1878:C1878,E1878)=0,"",IF(COUNTA(A1878:C1878,E1878)&lt;4,"Ligne incomplète",IF(NOT(ISNUMBER(A1878)),"Date invalide",IF(AND(B1878&lt;&gt;"Entrée",B1878&lt;&gt;"Sortie"),"Type inconnu",IF(ISNA(MATCH(C1878,art_ref,0)),"Référence inconnue",IF(OR(NOT(ISNUMBER(E1878)),N(E1878)&lt;=0),"Quantité invalide",IF(K1878&lt;0,"Stock négatif",IF(AND(ISNUMBER(A1877),A1878&lt;A1877),"Date hors ordre","OK"))))))))</f>
        <v/>
      </c>
      <c r="M1878" s="39" t="str">
        <f>IF(C1878="","",C1878&amp;"#"&amp;COUNTIF($C$5:C1878,C1878))</f>
        <v/>
      </c>
    </row>
    <row r="1879">
      <c r="A1879" s="41" t="n"/>
      <c r="B1879" s="37" t="n"/>
      <c r="C1879" s="37" t="n"/>
      <c r="D1879" s="39" t="str">
        <f>IF(C1879="","",IFERROR(INDEX(art_des,MATCH(C1879,art_ref,0))&amp;"","Référence inconnue"))</f>
        <v/>
      </c>
      <c r="E1879" s="37" t="n"/>
      <c r="F1879" s="39" t="str">
        <f>IF(C1879="","",IFERROR(INDEX(art_unit,MATCH(C1879,art_ref,0))&amp;"",""))</f>
        <v/>
      </c>
      <c r="G1879" s="37" t="n"/>
      <c r="H1879" s="37" t="n"/>
      <c r="I1879" s="37" t="n"/>
      <c r="J1879" s="40" t="str">
        <f>IF(OR(C1879="",NOT(ISNUMBER(E1879))),"",IFERROR(E1879*N(INDEX(art_price,MATCH(C1879,art_ref,0))),""))</f>
        <v/>
      </c>
      <c r="K1879" s="39" t="str">
        <f>IF(OR(C1879="",NOT(ISNUMBER(E1879))),"",IFERROR(ROUND(N(INDEX(art_init,MATCH(C1879,art_ref,0)))+SUMIFS($E$5:E1879,$C$5:C1879,C1879,$B$5:B1879,"Entrée")-SUMIFS($E$5:E1879,$C$5:C1879,C1879,$B$5:B1879,"Sortie"),6),""))</f>
        <v/>
      </c>
      <c r="L1879" s="39" t="str">
        <f>IF(COUNTA(A1879:C1879,E1879)=0,"",IF(COUNTA(A1879:C1879,E1879)&lt;4,"Ligne incomplète",IF(NOT(ISNUMBER(A1879)),"Date invalide",IF(AND(B1879&lt;&gt;"Entrée",B1879&lt;&gt;"Sortie"),"Type inconnu",IF(ISNA(MATCH(C1879,art_ref,0)),"Référence inconnue",IF(OR(NOT(ISNUMBER(E1879)),N(E1879)&lt;=0),"Quantité invalide",IF(K1879&lt;0,"Stock négatif",IF(AND(ISNUMBER(A1878),A1879&lt;A1878),"Date hors ordre","OK"))))))))</f>
        <v/>
      </c>
      <c r="M1879" s="39" t="str">
        <f>IF(C1879="","",C1879&amp;"#"&amp;COUNTIF($C$5:C1879,C1879))</f>
        <v/>
      </c>
    </row>
    <row r="1880">
      <c r="A1880" s="41" t="n"/>
      <c r="B1880" s="37" t="n"/>
      <c r="C1880" s="37" t="n"/>
      <c r="D1880" s="39" t="str">
        <f>IF(C1880="","",IFERROR(INDEX(art_des,MATCH(C1880,art_ref,0))&amp;"","Référence inconnue"))</f>
        <v/>
      </c>
      <c r="E1880" s="37" t="n"/>
      <c r="F1880" s="39" t="str">
        <f>IF(C1880="","",IFERROR(INDEX(art_unit,MATCH(C1880,art_ref,0))&amp;"",""))</f>
        <v/>
      </c>
      <c r="G1880" s="37" t="n"/>
      <c r="H1880" s="37" t="n"/>
      <c r="I1880" s="37" t="n"/>
      <c r="J1880" s="40" t="str">
        <f>IF(OR(C1880="",NOT(ISNUMBER(E1880))),"",IFERROR(E1880*N(INDEX(art_price,MATCH(C1880,art_ref,0))),""))</f>
        <v/>
      </c>
      <c r="K1880" s="39" t="str">
        <f>IF(OR(C1880="",NOT(ISNUMBER(E1880))),"",IFERROR(ROUND(N(INDEX(art_init,MATCH(C1880,art_ref,0)))+SUMIFS($E$5:E1880,$C$5:C1880,C1880,$B$5:B1880,"Entrée")-SUMIFS($E$5:E1880,$C$5:C1880,C1880,$B$5:B1880,"Sortie"),6),""))</f>
        <v/>
      </c>
      <c r="L1880" s="39" t="str">
        <f>IF(COUNTA(A1880:C1880,E1880)=0,"",IF(COUNTA(A1880:C1880,E1880)&lt;4,"Ligne incomplète",IF(NOT(ISNUMBER(A1880)),"Date invalide",IF(AND(B1880&lt;&gt;"Entrée",B1880&lt;&gt;"Sortie"),"Type inconnu",IF(ISNA(MATCH(C1880,art_ref,0)),"Référence inconnue",IF(OR(NOT(ISNUMBER(E1880)),N(E1880)&lt;=0),"Quantité invalide",IF(K1880&lt;0,"Stock négatif",IF(AND(ISNUMBER(A1879),A1880&lt;A1879),"Date hors ordre","OK"))))))))</f>
        <v/>
      </c>
      <c r="M1880" s="39" t="str">
        <f>IF(C1880="","",C1880&amp;"#"&amp;COUNTIF($C$5:C1880,C1880))</f>
        <v/>
      </c>
    </row>
    <row r="1881">
      <c r="A1881" s="41" t="n"/>
      <c r="B1881" s="37" t="n"/>
      <c r="C1881" s="37" t="n"/>
      <c r="D1881" s="39" t="str">
        <f>IF(C1881="","",IFERROR(INDEX(art_des,MATCH(C1881,art_ref,0))&amp;"","Référence inconnue"))</f>
        <v/>
      </c>
      <c r="E1881" s="37" t="n"/>
      <c r="F1881" s="39" t="str">
        <f>IF(C1881="","",IFERROR(INDEX(art_unit,MATCH(C1881,art_ref,0))&amp;"",""))</f>
        <v/>
      </c>
      <c r="G1881" s="37" t="n"/>
      <c r="H1881" s="37" t="n"/>
      <c r="I1881" s="37" t="n"/>
      <c r="J1881" s="40" t="str">
        <f>IF(OR(C1881="",NOT(ISNUMBER(E1881))),"",IFERROR(E1881*N(INDEX(art_price,MATCH(C1881,art_ref,0))),""))</f>
        <v/>
      </c>
      <c r="K1881" s="39" t="str">
        <f>IF(OR(C1881="",NOT(ISNUMBER(E1881))),"",IFERROR(ROUND(N(INDEX(art_init,MATCH(C1881,art_ref,0)))+SUMIFS($E$5:E1881,$C$5:C1881,C1881,$B$5:B1881,"Entrée")-SUMIFS($E$5:E1881,$C$5:C1881,C1881,$B$5:B1881,"Sortie"),6),""))</f>
        <v/>
      </c>
      <c r="L1881" s="39" t="str">
        <f>IF(COUNTA(A1881:C1881,E1881)=0,"",IF(COUNTA(A1881:C1881,E1881)&lt;4,"Ligne incomplète",IF(NOT(ISNUMBER(A1881)),"Date invalide",IF(AND(B1881&lt;&gt;"Entrée",B1881&lt;&gt;"Sortie"),"Type inconnu",IF(ISNA(MATCH(C1881,art_ref,0)),"Référence inconnue",IF(OR(NOT(ISNUMBER(E1881)),N(E1881)&lt;=0),"Quantité invalide",IF(K1881&lt;0,"Stock négatif",IF(AND(ISNUMBER(A1880),A1881&lt;A1880),"Date hors ordre","OK"))))))))</f>
        <v/>
      </c>
      <c r="M1881" s="39" t="str">
        <f>IF(C1881="","",C1881&amp;"#"&amp;COUNTIF($C$5:C1881,C1881))</f>
        <v/>
      </c>
    </row>
    <row r="1882">
      <c r="A1882" s="41" t="n"/>
      <c r="B1882" s="37" t="n"/>
      <c r="C1882" s="37" t="n"/>
      <c r="D1882" s="39" t="str">
        <f>IF(C1882="","",IFERROR(INDEX(art_des,MATCH(C1882,art_ref,0))&amp;"","Référence inconnue"))</f>
        <v/>
      </c>
      <c r="E1882" s="37" t="n"/>
      <c r="F1882" s="39" t="str">
        <f>IF(C1882="","",IFERROR(INDEX(art_unit,MATCH(C1882,art_ref,0))&amp;"",""))</f>
        <v/>
      </c>
      <c r="G1882" s="37" t="n"/>
      <c r="H1882" s="37" t="n"/>
      <c r="I1882" s="37" t="n"/>
      <c r="J1882" s="40" t="str">
        <f>IF(OR(C1882="",NOT(ISNUMBER(E1882))),"",IFERROR(E1882*N(INDEX(art_price,MATCH(C1882,art_ref,0))),""))</f>
        <v/>
      </c>
      <c r="K1882" s="39" t="str">
        <f>IF(OR(C1882="",NOT(ISNUMBER(E1882))),"",IFERROR(ROUND(N(INDEX(art_init,MATCH(C1882,art_ref,0)))+SUMIFS($E$5:E1882,$C$5:C1882,C1882,$B$5:B1882,"Entrée")-SUMIFS($E$5:E1882,$C$5:C1882,C1882,$B$5:B1882,"Sortie"),6),""))</f>
        <v/>
      </c>
      <c r="L1882" s="39" t="str">
        <f>IF(COUNTA(A1882:C1882,E1882)=0,"",IF(COUNTA(A1882:C1882,E1882)&lt;4,"Ligne incomplète",IF(NOT(ISNUMBER(A1882)),"Date invalide",IF(AND(B1882&lt;&gt;"Entrée",B1882&lt;&gt;"Sortie"),"Type inconnu",IF(ISNA(MATCH(C1882,art_ref,0)),"Référence inconnue",IF(OR(NOT(ISNUMBER(E1882)),N(E1882)&lt;=0),"Quantité invalide",IF(K1882&lt;0,"Stock négatif",IF(AND(ISNUMBER(A1881),A1882&lt;A1881),"Date hors ordre","OK"))))))))</f>
        <v/>
      </c>
      <c r="M1882" s="39" t="str">
        <f>IF(C1882="","",C1882&amp;"#"&amp;COUNTIF($C$5:C1882,C1882))</f>
        <v/>
      </c>
    </row>
    <row r="1883">
      <c r="A1883" s="41" t="n"/>
      <c r="B1883" s="37" t="n"/>
      <c r="C1883" s="37" t="n"/>
      <c r="D1883" s="39" t="str">
        <f>IF(C1883="","",IFERROR(INDEX(art_des,MATCH(C1883,art_ref,0))&amp;"","Référence inconnue"))</f>
        <v/>
      </c>
      <c r="E1883" s="37" t="n"/>
      <c r="F1883" s="39" t="str">
        <f>IF(C1883="","",IFERROR(INDEX(art_unit,MATCH(C1883,art_ref,0))&amp;"",""))</f>
        <v/>
      </c>
      <c r="G1883" s="37" t="n"/>
      <c r="H1883" s="37" t="n"/>
      <c r="I1883" s="37" t="n"/>
      <c r="J1883" s="40" t="str">
        <f>IF(OR(C1883="",NOT(ISNUMBER(E1883))),"",IFERROR(E1883*N(INDEX(art_price,MATCH(C1883,art_ref,0))),""))</f>
        <v/>
      </c>
      <c r="K1883" s="39" t="str">
        <f>IF(OR(C1883="",NOT(ISNUMBER(E1883))),"",IFERROR(ROUND(N(INDEX(art_init,MATCH(C1883,art_ref,0)))+SUMIFS($E$5:E1883,$C$5:C1883,C1883,$B$5:B1883,"Entrée")-SUMIFS($E$5:E1883,$C$5:C1883,C1883,$B$5:B1883,"Sortie"),6),""))</f>
        <v/>
      </c>
      <c r="L1883" s="39" t="str">
        <f>IF(COUNTA(A1883:C1883,E1883)=0,"",IF(COUNTA(A1883:C1883,E1883)&lt;4,"Ligne incomplète",IF(NOT(ISNUMBER(A1883)),"Date invalide",IF(AND(B1883&lt;&gt;"Entrée",B1883&lt;&gt;"Sortie"),"Type inconnu",IF(ISNA(MATCH(C1883,art_ref,0)),"Référence inconnue",IF(OR(NOT(ISNUMBER(E1883)),N(E1883)&lt;=0),"Quantité invalide",IF(K1883&lt;0,"Stock négatif",IF(AND(ISNUMBER(A1882),A1883&lt;A1882),"Date hors ordre","OK"))))))))</f>
        <v/>
      </c>
      <c r="M1883" s="39" t="str">
        <f>IF(C1883="","",C1883&amp;"#"&amp;COUNTIF($C$5:C1883,C1883))</f>
        <v/>
      </c>
    </row>
    <row r="1884">
      <c r="A1884" s="41" t="n"/>
      <c r="B1884" s="37" t="n"/>
      <c r="C1884" s="37" t="n"/>
      <c r="D1884" s="39" t="str">
        <f>IF(C1884="","",IFERROR(INDEX(art_des,MATCH(C1884,art_ref,0))&amp;"","Référence inconnue"))</f>
        <v/>
      </c>
      <c r="E1884" s="37" t="n"/>
      <c r="F1884" s="39" t="str">
        <f>IF(C1884="","",IFERROR(INDEX(art_unit,MATCH(C1884,art_ref,0))&amp;"",""))</f>
        <v/>
      </c>
      <c r="G1884" s="37" t="n"/>
      <c r="H1884" s="37" t="n"/>
      <c r="I1884" s="37" t="n"/>
      <c r="J1884" s="40" t="str">
        <f>IF(OR(C1884="",NOT(ISNUMBER(E1884))),"",IFERROR(E1884*N(INDEX(art_price,MATCH(C1884,art_ref,0))),""))</f>
        <v/>
      </c>
      <c r="K1884" s="39" t="str">
        <f>IF(OR(C1884="",NOT(ISNUMBER(E1884))),"",IFERROR(ROUND(N(INDEX(art_init,MATCH(C1884,art_ref,0)))+SUMIFS($E$5:E1884,$C$5:C1884,C1884,$B$5:B1884,"Entrée")-SUMIFS($E$5:E1884,$C$5:C1884,C1884,$B$5:B1884,"Sortie"),6),""))</f>
        <v/>
      </c>
      <c r="L1884" s="39" t="str">
        <f>IF(COUNTA(A1884:C1884,E1884)=0,"",IF(COUNTA(A1884:C1884,E1884)&lt;4,"Ligne incomplète",IF(NOT(ISNUMBER(A1884)),"Date invalide",IF(AND(B1884&lt;&gt;"Entrée",B1884&lt;&gt;"Sortie"),"Type inconnu",IF(ISNA(MATCH(C1884,art_ref,0)),"Référence inconnue",IF(OR(NOT(ISNUMBER(E1884)),N(E1884)&lt;=0),"Quantité invalide",IF(K1884&lt;0,"Stock négatif",IF(AND(ISNUMBER(A1883),A1884&lt;A1883),"Date hors ordre","OK"))))))))</f>
        <v/>
      </c>
      <c r="M1884" s="39" t="str">
        <f>IF(C1884="","",C1884&amp;"#"&amp;COUNTIF($C$5:C1884,C1884))</f>
        <v/>
      </c>
    </row>
    <row r="1885">
      <c r="A1885" s="41" t="n"/>
      <c r="B1885" s="37" t="n"/>
      <c r="C1885" s="37" t="n"/>
      <c r="D1885" s="39" t="str">
        <f>IF(C1885="","",IFERROR(INDEX(art_des,MATCH(C1885,art_ref,0))&amp;"","Référence inconnue"))</f>
        <v/>
      </c>
      <c r="E1885" s="37" t="n"/>
      <c r="F1885" s="39" t="str">
        <f>IF(C1885="","",IFERROR(INDEX(art_unit,MATCH(C1885,art_ref,0))&amp;"",""))</f>
        <v/>
      </c>
      <c r="G1885" s="37" t="n"/>
      <c r="H1885" s="37" t="n"/>
      <c r="I1885" s="37" t="n"/>
      <c r="J1885" s="40" t="str">
        <f>IF(OR(C1885="",NOT(ISNUMBER(E1885))),"",IFERROR(E1885*N(INDEX(art_price,MATCH(C1885,art_ref,0))),""))</f>
        <v/>
      </c>
      <c r="K1885" s="39" t="str">
        <f>IF(OR(C1885="",NOT(ISNUMBER(E1885))),"",IFERROR(ROUND(N(INDEX(art_init,MATCH(C1885,art_ref,0)))+SUMIFS($E$5:E1885,$C$5:C1885,C1885,$B$5:B1885,"Entrée")-SUMIFS($E$5:E1885,$C$5:C1885,C1885,$B$5:B1885,"Sortie"),6),""))</f>
        <v/>
      </c>
      <c r="L1885" s="39" t="str">
        <f>IF(COUNTA(A1885:C1885,E1885)=0,"",IF(COUNTA(A1885:C1885,E1885)&lt;4,"Ligne incomplète",IF(NOT(ISNUMBER(A1885)),"Date invalide",IF(AND(B1885&lt;&gt;"Entrée",B1885&lt;&gt;"Sortie"),"Type inconnu",IF(ISNA(MATCH(C1885,art_ref,0)),"Référence inconnue",IF(OR(NOT(ISNUMBER(E1885)),N(E1885)&lt;=0),"Quantité invalide",IF(K1885&lt;0,"Stock négatif",IF(AND(ISNUMBER(A1884),A1885&lt;A1884),"Date hors ordre","OK"))))))))</f>
        <v/>
      </c>
      <c r="M1885" s="39" t="str">
        <f>IF(C1885="","",C1885&amp;"#"&amp;COUNTIF($C$5:C1885,C1885))</f>
        <v/>
      </c>
    </row>
    <row r="1886">
      <c r="A1886" s="41" t="n"/>
      <c r="B1886" s="37" t="n"/>
      <c r="C1886" s="37" t="n"/>
      <c r="D1886" s="39" t="str">
        <f>IF(C1886="","",IFERROR(INDEX(art_des,MATCH(C1886,art_ref,0))&amp;"","Référence inconnue"))</f>
        <v/>
      </c>
      <c r="E1886" s="37" t="n"/>
      <c r="F1886" s="39" t="str">
        <f>IF(C1886="","",IFERROR(INDEX(art_unit,MATCH(C1886,art_ref,0))&amp;"",""))</f>
        <v/>
      </c>
      <c r="G1886" s="37" t="n"/>
      <c r="H1886" s="37" t="n"/>
      <c r="I1886" s="37" t="n"/>
      <c r="J1886" s="40" t="str">
        <f>IF(OR(C1886="",NOT(ISNUMBER(E1886))),"",IFERROR(E1886*N(INDEX(art_price,MATCH(C1886,art_ref,0))),""))</f>
        <v/>
      </c>
      <c r="K1886" s="39" t="str">
        <f>IF(OR(C1886="",NOT(ISNUMBER(E1886))),"",IFERROR(ROUND(N(INDEX(art_init,MATCH(C1886,art_ref,0)))+SUMIFS($E$5:E1886,$C$5:C1886,C1886,$B$5:B1886,"Entrée")-SUMIFS($E$5:E1886,$C$5:C1886,C1886,$B$5:B1886,"Sortie"),6),""))</f>
        <v/>
      </c>
      <c r="L1886" s="39" t="str">
        <f>IF(COUNTA(A1886:C1886,E1886)=0,"",IF(COUNTA(A1886:C1886,E1886)&lt;4,"Ligne incomplète",IF(NOT(ISNUMBER(A1886)),"Date invalide",IF(AND(B1886&lt;&gt;"Entrée",B1886&lt;&gt;"Sortie"),"Type inconnu",IF(ISNA(MATCH(C1886,art_ref,0)),"Référence inconnue",IF(OR(NOT(ISNUMBER(E1886)),N(E1886)&lt;=0),"Quantité invalide",IF(K1886&lt;0,"Stock négatif",IF(AND(ISNUMBER(A1885),A1886&lt;A1885),"Date hors ordre","OK"))))))))</f>
        <v/>
      </c>
      <c r="M1886" s="39" t="str">
        <f>IF(C1886="","",C1886&amp;"#"&amp;COUNTIF($C$5:C1886,C1886))</f>
        <v/>
      </c>
    </row>
    <row r="1887">
      <c r="A1887" s="41" t="n"/>
      <c r="B1887" s="37" t="n"/>
      <c r="C1887" s="37" t="n"/>
      <c r="D1887" s="39" t="str">
        <f>IF(C1887="","",IFERROR(INDEX(art_des,MATCH(C1887,art_ref,0))&amp;"","Référence inconnue"))</f>
        <v/>
      </c>
      <c r="E1887" s="37" t="n"/>
      <c r="F1887" s="39" t="str">
        <f>IF(C1887="","",IFERROR(INDEX(art_unit,MATCH(C1887,art_ref,0))&amp;"",""))</f>
        <v/>
      </c>
      <c r="G1887" s="37" t="n"/>
      <c r="H1887" s="37" t="n"/>
      <c r="I1887" s="37" t="n"/>
      <c r="J1887" s="40" t="str">
        <f>IF(OR(C1887="",NOT(ISNUMBER(E1887))),"",IFERROR(E1887*N(INDEX(art_price,MATCH(C1887,art_ref,0))),""))</f>
        <v/>
      </c>
      <c r="K1887" s="39" t="str">
        <f>IF(OR(C1887="",NOT(ISNUMBER(E1887))),"",IFERROR(ROUND(N(INDEX(art_init,MATCH(C1887,art_ref,0)))+SUMIFS($E$5:E1887,$C$5:C1887,C1887,$B$5:B1887,"Entrée")-SUMIFS($E$5:E1887,$C$5:C1887,C1887,$B$5:B1887,"Sortie"),6),""))</f>
        <v/>
      </c>
      <c r="L1887" s="39" t="str">
        <f>IF(COUNTA(A1887:C1887,E1887)=0,"",IF(COUNTA(A1887:C1887,E1887)&lt;4,"Ligne incomplète",IF(NOT(ISNUMBER(A1887)),"Date invalide",IF(AND(B1887&lt;&gt;"Entrée",B1887&lt;&gt;"Sortie"),"Type inconnu",IF(ISNA(MATCH(C1887,art_ref,0)),"Référence inconnue",IF(OR(NOT(ISNUMBER(E1887)),N(E1887)&lt;=0),"Quantité invalide",IF(K1887&lt;0,"Stock négatif",IF(AND(ISNUMBER(A1886),A1887&lt;A1886),"Date hors ordre","OK"))))))))</f>
        <v/>
      </c>
      <c r="M1887" s="39" t="str">
        <f>IF(C1887="","",C1887&amp;"#"&amp;COUNTIF($C$5:C1887,C1887))</f>
        <v/>
      </c>
    </row>
    <row r="1888">
      <c r="A1888" s="41" t="n"/>
      <c r="B1888" s="37" t="n"/>
      <c r="C1888" s="37" t="n"/>
      <c r="D1888" s="39" t="str">
        <f>IF(C1888="","",IFERROR(INDEX(art_des,MATCH(C1888,art_ref,0))&amp;"","Référence inconnue"))</f>
        <v/>
      </c>
      <c r="E1888" s="37" t="n"/>
      <c r="F1888" s="39" t="str">
        <f>IF(C1888="","",IFERROR(INDEX(art_unit,MATCH(C1888,art_ref,0))&amp;"",""))</f>
        <v/>
      </c>
      <c r="G1888" s="37" t="n"/>
      <c r="H1888" s="37" t="n"/>
      <c r="I1888" s="37" t="n"/>
      <c r="J1888" s="40" t="str">
        <f>IF(OR(C1888="",NOT(ISNUMBER(E1888))),"",IFERROR(E1888*N(INDEX(art_price,MATCH(C1888,art_ref,0))),""))</f>
        <v/>
      </c>
      <c r="K1888" s="39" t="str">
        <f>IF(OR(C1888="",NOT(ISNUMBER(E1888))),"",IFERROR(ROUND(N(INDEX(art_init,MATCH(C1888,art_ref,0)))+SUMIFS($E$5:E1888,$C$5:C1888,C1888,$B$5:B1888,"Entrée")-SUMIFS($E$5:E1888,$C$5:C1888,C1888,$B$5:B1888,"Sortie"),6),""))</f>
        <v/>
      </c>
      <c r="L1888" s="39" t="str">
        <f>IF(COUNTA(A1888:C1888,E1888)=0,"",IF(COUNTA(A1888:C1888,E1888)&lt;4,"Ligne incomplète",IF(NOT(ISNUMBER(A1888)),"Date invalide",IF(AND(B1888&lt;&gt;"Entrée",B1888&lt;&gt;"Sortie"),"Type inconnu",IF(ISNA(MATCH(C1888,art_ref,0)),"Référence inconnue",IF(OR(NOT(ISNUMBER(E1888)),N(E1888)&lt;=0),"Quantité invalide",IF(K1888&lt;0,"Stock négatif",IF(AND(ISNUMBER(A1887),A1888&lt;A1887),"Date hors ordre","OK"))))))))</f>
        <v/>
      </c>
      <c r="M1888" s="39" t="str">
        <f>IF(C1888="","",C1888&amp;"#"&amp;COUNTIF($C$5:C1888,C1888))</f>
        <v/>
      </c>
    </row>
    <row r="1889">
      <c r="A1889" s="41" t="n"/>
      <c r="B1889" s="37" t="n"/>
      <c r="C1889" s="37" t="n"/>
      <c r="D1889" s="39" t="str">
        <f>IF(C1889="","",IFERROR(INDEX(art_des,MATCH(C1889,art_ref,0))&amp;"","Référence inconnue"))</f>
        <v/>
      </c>
      <c r="E1889" s="37" t="n"/>
      <c r="F1889" s="39" t="str">
        <f>IF(C1889="","",IFERROR(INDEX(art_unit,MATCH(C1889,art_ref,0))&amp;"",""))</f>
        <v/>
      </c>
      <c r="G1889" s="37" t="n"/>
      <c r="H1889" s="37" t="n"/>
      <c r="I1889" s="37" t="n"/>
      <c r="J1889" s="40" t="str">
        <f>IF(OR(C1889="",NOT(ISNUMBER(E1889))),"",IFERROR(E1889*N(INDEX(art_price,MATCH(C1889,art_ref,0))),""))</f>
        <v/>
      </c>
      <c r="K1889" s="39" t="str">
        <f>IF(OR(C1889="",NOT(ISNUMBER(E1889))),"",IFERROR(ROUND(N(INDEX(art_init,MATCH(C1889,art_ref,0)))+SUMIFS($E$5:E1889,$C$5:C1889,C1889,$B$5:B1889,"Entrée")-SUMIFS($E$5:E1889,$C$5:C1889,C1889,$B$5:B1889,"Sortie"),6),""))</f>
        <v/>
      </c>
      <c r="L1889" s="39" t="str">
        <f>IF(COUNTA(A1889:C1889,E1889)=0,"",IF(COUNTA(A1889:C1889,E1889)&lt;4,"Ligne incomplète",IF(NOT(ISNUMBER(A1889)),"Date invalide",IF(AND(B1889&lt;&gt;"Entrée",B1889&lt;&gt;"Sortie"),"Type inconnu",IF(ISNA(MATCH(C1889,art_ref,0)),"Référence inconnue",IF(OR(NOT(ISNUMBER(E1889)),N(E1889)&lt;=0),"Quantité invalide",IF(K1889&lt;0,"Stock négatif",IF(AND(ISNUMBER(A1888),A1889&lt;A1888),"Date hors ordre","OK"))))))))</f>
        <v/>
      </c>
      <c r="M1889" s="39" t="str">
        <f>IF(C1889="","",C1889&amp;"#"&amp;COUNTIF($C$5:C1889,C1889))</f>
        <v/>
      </c>
    </row>
    <row r="1890">
      <c r="A1890" s="41" t="n"/>
      <c r="B1890" s="37" t="n"/>
      <c r="C1890" s="37" t="n"/>
      <c r="D1890" s="39" t="str">
        <f>IF(C1890="","",IFERROR(INDEX(art_des,MATCH(C1890,art_ref,0))&amp;"","Référence inconnue"))</f>
        <v/>
      </c>
      <c r="E1890" s="37" t="n"/>
      <c r="F1890" s="39" t="str">
        <f>IF(C1890="","",IFERROR(INDEX(art_unit,MATCH(C1890,art_ref,0))&amp;"",""))</f>
        <v/>
      </c>
      <c r="G1890" s="37" t="n"/>
      <c r="H1890" s="37" t="n"/>
      <c r="I1890" s="37" t="n"/>
      <c r="J1890" s="40" t="str">
        <f>IF(OR(C1890="",NOT(ISNUMBER(E1890))),"",IFERROR(E1890*N(INDEX(art_price,MATCH(C1890,art_ref,0))),""))</f>
        <v/>
      </c>
      <c r="K1890" s="39" t="str">
        <f>IF(OR(C1890="",NOT(ISNUMBER(E1890))),"",IFERROR(ROUND(N(INDEX(art_init,MATCH(C1890,art_ref,0)))+SUMIFS($E$5:E1890,$C$5:C1890,C1890,$B$5:B1890,"Entrée")-SUMIFS($E$5:E1890,$C$5:C1890,C1890,$B$5:B1890,"Sortie"),6),""))</f>
        <v/>
      </c>
      <c r="L1890" s="39" t="str">
        <f>IF(COUNTA(A1890:C1890,E1890)=0,"",IF(COUNTA(A1890:C1890,E1890)&lt;4,"Ligne incomplète",IF(NOT(ISNUMBER(A1890)),"Date invalide",IF(AND(B1890&lt;&gt;"Entrée",B1890&lt;&gt;"Sortie"),"Type inconnu",IF(ISNA(MATCH(C1890,art_ref,0)),"Référence inconnue",IF(OR(NOT(ISNUMBER(E1890)),N(E1890)&lt;=0),"Quantité invalide",IF(K1890&lt;0,"Stock négatif",IF(AND(ISNUMBER(A1889),A1890&lt;A1889),"Date hors ordre","OK"))))))))</f>
        <v/>
      </c>
      <c r="M1890" s="39" t="str">
        <f>IF(C1890="","",C1890&amp;"#"&amp;COUNTIF($C$5:C1890,C1890))</f>
        <v/>
      </c>
    </row>
    <row r="1891">
      <c r="A1891" s="41" t="n"/>
      <c r="B1891" s="37" t="n"/>
      <c r="C1891" s="37" t="n"/>
      <c r="D1891" s="39" t="str">
        <f>IF(C1891="","",IFERROR(INDEX(art_des,MATCH(C1891,art_ref,0))&amp;"","Référence inconnue"))</f>
        <v/>
      </c>
      <c r="E1891" s="37" t="n"/>
      <c r="F1891" s="39" t="str">
        <f>IF(C1891="","",IFERROR(INDEX(art_unit,MATCH(C1891,art_ref,0))&amp;"",""))</f>
        <v/>
      </c>
      <c r="G1891" s="37" t="n"/>
      <c r="H1891" s="37" t="n"/>
      <c r="I1891" s="37" t="n"/>
      <c r="J1891" s="40" t="str">
        <f>IF(OR(C1891="",NOT(ISNUMBER(E1891))),"",IFERROR(E1891*N(INDEX(art_price,MATCH(C1891,art_ref,0))),""))</f>
        <v/>
      </c>
      <c r="K1891" s="39" t="str">
        <f>IF(OR(C1891="",NOT(ISNUMBER(E1891))),"",IFERROR(ROUND(N(INDEX(art_init,MATCH(C1891,art_ref,0)))+SUMIFS($E$5:E1891,$C$5:C1891,C1891,$B$5:B1891,"Entrée")-SUMIFS($E$5:E1891,$C$5:C1891,C1891,$B$5:B1891,"Sortie"),6),""))</f>
        <v/>
      </c>
      <c r="L1891" s="39" t="str">
        <f>IF(COUNTA(A1891:C1891,E1891)=0,"",IF(COUNTA(A1891:C1891,E1891)&lt;4,"Ligne incomplète",IF(NOT(ISNUMBER(A1891)),"Date invalide",IF(AND(B1891&lt;&gt;"Entrée",B1891&lt;&gt;"Sortie"),"Type inconnu",IF(ISNA(MATCH(C1891,art_ref,0)),"Référence inconnue",IF(OR(NOT(ISNUMBER(E1891)),N(E1891)&lt;=0),"Quantité invalide",IF(K1891&lt;0,"Stock négatif",IF(AND(ISNUMBER(A1890),A1891&lt;A1890),"Date hors ordre","OK"))))))))</f>
        <v/>
      </c>
      <c r="M1891" s="39" t="str">
        <f>IF(C1891="","",C1891&amp;"#"&amp;COUNTIF($C$5:C1891,C1891))</f>
        <v/>
      </c>
    </row>
    <row r="1892">
      <c r="A1892" s="41" t="n"/>
      <c r="B1892" s="37" t="n"/>
      <c r="C1892" s="37" t="n"/>
      <c r="D1892" s="39" t="str">
        <f>IF(C1892="","",IFERROR(INDEX(art_des,MATCH(C1892,art_ref,0))&amp;"","Référence inconnue"))</f>
        <v/>
      </c>
      <c r="E1892" s="37" t="n"/>
      <c r="F1892" s="39" t="str">
        <f>IF(C1892="","",IFERROR(INDEX(art_unit,MATCH(C1892,art_ref,0))&amp;"",""))</f>
        <v/>
      </c>
      <c r="G1892" s="37" t="n"/>
      <c r="H1892" s="37" t="n"/>
      <c r="I1892" s="37" t="n"/>
      <c r="J1892" s="40" t="str">
        <f>IF(OR(C1892="",NOT(ISNUMBER(E1892))),"",IFERROR(E1892*N(INDEX(art_price,MATCH(C1892,art_ref,0))),""))</f>
        <v/>
      </c>
      <c r="K1892" s="39" t="str">
        <f>IF(OR(C1892="",NOT(ISNUMBER(E1892))),"",IFERROR(ROUND(N(INDEX(art_init,MATCH(C1892,art_ref,0)))+SUMIFS($E$5:E1892,$C$5:C1892,C1892,$B$5:B1892,"Entrée")-SUMIFS($E$5:E1892,$C$5:C1892,C1892,$B$5:B1892,"Sortie"),6),""))</f>
        <v/>
      </c>
      <c r="L1892" s="39" t="str">
        <f>IF(COUNTA(A1892:C1892,E1892)=0,"",IF(COUNTA(A1892:C1892,E1892)&lt;4,"Ligne incomplète",IF(NOT(ISNUMBER(A1892)),"Date invalide",IF(AND(B1892&lt;&gt;"Entrée",B1892&lt;&gt;"Sortie"),"Type inconnu",IF(ISNA(MATCH(C1892,art_ref,0)),"Référence inconnue",IF(OR(NOT(ISNUMBER(E1892)),N(E1892)&lt;=0),"Quantité invalide",IF(K1892&lt;0,"Stock négatif",IF(AND(ISNUMBER(A1891),A1892&lt;A1891),"Date hors ordre","OK"))))))))</f>
        <v/>
      </c>
      <c r="M1892" s="39" t="str">
        <f>IF(C1892="","",C1892&amp;"#"&amp;COUNTIF($C$5:C1892,C1892))</f>
        <v/>
      </c>
    </row>
    <row r="1893">
      <c r="A1893" s="41" t="n"/>
      <c r="B1893" s="37" t="n"/>
      <c r="C1893" s="37" t="n"/>
      <c r="D1893" s="39" t="str">
        <f>IF(C1893="","",IFERROR(INDEX(art_des,MATCH(C1893,art_ref,0))&amp;"","Référence inconnue"))</f>
        <v/>
      </c>
      <c r="E1893" s="37" t="n"/>
      <c r="F1893" s="39" t="str">
        <f>IF(C1893="","",IFERROR(INDEX(art_unit,MATCH(C1893,art_ref,0))&amp;"",""))</f>
        <v/>
      </c>
      <c r="G1893" s="37" t="n"/>
      <c r="H1893" s="37" t="n"/>
      <c r="I1893" s="37" t="n"/>
      <c r="J1893" s="40" t="str">
        <f>IF(OR(C1893="",NOT(ISNUMBER(E1893))),"",IFERROR(E1893*N(INDEX(art_price,MATCH(C1893,art_ref,0))),""))</f>
        <v/>
      </c>
      <c r="K1893" s="39" t="str">
        <f>IF(OR(C1893="",NOT(ISNUMBER(E1893))),"",IFERROR(ROUND(N(INDEX(art_init,MATCH(C1893,art_ref,0)))+SUMIFS($E$5:E1893,$C$5:C1893,C1893,$B$5:B1893,"Entrée")-SUMIFS($E$5:E1893,$C$5:C1893,C1893,$B$5:B1893,"Sortie"),6),""))</f>
        <v/>
      </c>
      <c r="L1893" s="39" t="str">
        <f>IF(COUNTA(A1893:C1893,E1893)=0,"",IF(COUNTA(A1893:C1893,E1893)&lt;4,"Ligne incomplète",IF(NOT(ISNUMBER(A1893)),"Date invalide",IF(AND(B1893&lt;&gt;"Entrée",B1893&lt;&gt;"Sortie"),"Type inconnu",IF(ISNA(MATCH(C1893,art_ref,0)),"Référence inconnue",IF(OR(NOT(ISNUMBER(E1893)),N(E1893)&lt;=0),"Quantité invalide",IF(K1893&lt;0,"Stock négatif",IF(AND(ISNUMBER(A1892),A1893&lt;A1892),"Date hors ordre","OK"))))))))</f>
        <v/>
      </c>
      <c r="M1893" s="39" t="str">
        <f>IF(C1893="","",C1893&amp;"#"&amp;COUNTIF($C$5:C1893,C1893))</f>
        <v/>
      </c>
    </row>
    <row r="1894">
      <c r="A1894" s="41" t="n"/>
      <c r="B1894" s="37" t="n"/>
      <c r="C1894" s="37" t="n"/>
      <c r="D1894" s="39" t="str">
        <f>IF(C1894="","",IFERROR(INDEX(art_des,MATCH(C1894,art_ref,0))&amp;"","Référence inconnue"))</f>
        <v/>
      </c>
      <c r="E1894" s="37" t="n"/>
      <c r="F1894" s="39" t="str">
        <f>IF(C1894="","",IFERROR(INDEX(art_unit,MATCH(C1894,art_ref,0))&amp;"",""))</f>
        <v/>
      </c>
      <c r="G1894" s="37" t="n"/>
      <c r="H1894" s="37" t="n"/>
      <c r="I1894" s="37" t="n"/>
      <c r="J1894" s="40" t="str">
        <f>IF(OR(C1894="",NOT(ISNUMBER(E1894))),"",IFERROR(E1894*N(INDEX(art_price,MATCH(C1894,art_ref,0))),""))</f>
        <v/>
      </c>
      <c r="K1894" s="39" t="str">
        <f>IF(OR(C1894="",NOT(ISNUMBER(E1894))),"",IFERROR(ROUND(N(INDEX(art_init,MATCH(C1894,art_ref,0)))+SUMIFS($E$5:E1894,$C$5:C1894,C1894,$B$5:B1894,"Entrée")-SUMIFS($E$5:E1894,$C$5:C1894,C1894,$B$5:B1894,"Sortie"),6),""))</f>
        <v/>
      </c>
      <c r="L1894" s="39" t="str">
        <f>IF(COUNTA(A1894:C1894,E1894)=0,"",IF(COUNTA(A1894:C1894,E1894)&lt;4,"Ligne incomplète",IF(NOT(ISNUMBER(A1894)),"Date invalide",IF(AND(B1894&lt;&gt;"Entrée",B1894&lt;&gt;"Sortie"),"Type inconnu",IF(ISNA(MATCH(C1894,art_ref,0)),"Référence inconnue",IF(OR(NOT(ISNUMBER(E1894)),N(E1894)&lt;=0),"Quantité invalide",IF(K1894&lt;0,"Stock négatif",IF(AND(ISNUMBER(A1893),A1894&lt;A1893),"Date hors ordre","OK"))))))))</f>
        <v/>
      </c>
      <c r="M1894" s="39" t="str">
        <f>IF(C1894="","",C1894&amp;"#"&amp;COUNTIF($C$5:C1894,C1894))</f>
        <v/>
      </c>
    </row>
    <row r="1895">
      <c r="A1895" s="41" t="n"/>
      <c r="B1895" s="37" t="n"/>
      <c r="C1895" s="37" t="n"/>
      <c r="D1895" s="39" t="str">
        <f>IF(C1895="","",IFERROR(INDEX(art_des,MATCH(C1895,art_ref,0))&amp;"","Référence inconnue"))</f>
        <v/>
      </c>
      <c r="E1895" s="37" t="n"/>
      <c r="F1895" s="39" t="str">
        <f>IF(C1895="","",IFERROR(INDEX(art_unit,MATCH(C1895,art_ref,0))&amp;"",""))</f>
        <v/>
      </c>
      <c r="G1895" s="37" t="n"/>
      <c r="H1895" s="37" t="n"/>
      <c r="I1895" s="37" t="n"/>
      <c r="J1895" s="40" t="str">
        <f>IF(OR(C1895="",NOT(ISNUMBER(E1895))),"",IFERROR(E1895*N(INDEX(art_price,MATCH(C1895,art_ref,0))),""))</f>
        <v/>
      </c>
      <c r="K1895" s="39" t="str">
        <f>IF(OR(C1895="",NOT(ISNUMBER(E1895))),"",IFERROR(ROUND(N(INDEX(art_init,MATCH(C1895,art_ref,0)))+SUMIFS($E$5:E1895,$C$5:C1895,C1895,$B$5:B1895,"Entrée")-SUMIFS($E$5:E1895,$C$5:C1895,C1895,$B$5:B1895,"Sortie"),6),""))</f>
        <v/>
      </c>
      <c r="L1895" s="39" t="str">
        <f>IF(COUNTA(A1895:C1895,E1895)=0,"",IF(COUNTA(A1895:C1895,E1895)&lt;4,"Ligne incomplète",IF(NOT(ISNUMBER(A1895)),"Date invalide",IF(AND(B1895&lt;&gt;"Entrée",B1895&lt;&gt;"Sortie"),"Type inconnu",IF(ISNA(MATCH(C1895,art_ref,0)),"Référence inconnue",IF(OR(NOT(ISNUMBER(E1895)),N(E1895)&lt;=0),"Quantité invalide",IF(K1895&lt;0,"Stock négatif",IF(AND(ISNUMBER(A1894),A1895&lt;A1894),"Date hors ordre","OK"))))))))</f>
        <v/>
      </c>
      <c r="M1895" s="39" t="str">
        <f>IF(C1895="","",C1895&amp;"#"&amp;COUNTIF($C$5:C1895,C1895))</f>
        <v/>
      </c>
    </row>
    <row r="1896">
      <c r="A1896" s="41" t="n"/>
      <c r="B1896" s="37" t="n"/>
      <c r="C1896" s="37" t="n"/>
      <c r="D1896" s="39" t="str">
        <f>IF(C1896="","",IFERROR(INDEX(art_des,MATCH(C1896,art_ref,0))&amp;"","Référence inconnue"))</f>
        <v/>
      </c>
      <c r="E1896" s="37" t="n"/>
      <c r="F1896" s="39" t="str">
        <f>IF(C1896="","",IFERROR(INDEX(art_unit,MATCH(C1896,art_ref,0))&amp;"",""))</f>
        <v/>
      </c>
      <c r="G1896" s="37" t="n"/>
      <c r="H1896" s="37" t="n"/>
      <c r="I1896" s="37" t="n"/>
      <c r="J1896" s="40" t="str">
        <f>IF(OR(C1896="",NOT(ISNUMBER(E1896))),"",IFERROR(E1896*N(INDEX(art_price,MATCH(C1896,art_ref,0))),""))</f>
        <v/>
      </c>
      <c r="K1896" s="39" t="str">
        <f>IF(OR(C1896="",NOT(ISNUMBER(E1896))),"",IFERROR(ROUND(N(INDEX(art_init,MATCH(C1896,art_ref,0)))+SUMIFS($E$5:E1896,$C$5:C1896,C1896,$B$5:B1896,"Entrée")-SUMIFS($E$5:E1896,$C$5:C1896,C1896,$B$5:B1896,"Sortie"),6),""))</f>
        <v/>
      </c>
      <c r="L1896" s="39" t="str">
        <f>IF(COUNTA(A1896:C1896,E1896)=0,"",IF(COUNTA(A1896:C1896,E1896)&lt;4,"Ligne incomplète",IF(NOT(ISNUMBER(A1896)),"Date invalide",IF(AND(B1896&lt;&gt;"Entrée",B1896&lt;&gt;"Sortie"),"Type inconnu",IF(ISNA(MATCH(C1896,art_ref,0)),"Référence inconnue",IF(OR(NOT(ISNUMBER(E1896)),N(E1896)&lt;=0),"Quantité invalide",IF(K1896&lt;0,"Stock négatif",IF(AND(ISNUMBER(A1895),A1896&lt;A1895),"Date hors ordre","OK"))))))))</f>
        <v/>
      </c>
      <c r="M1896" s="39" t="str">
        <f>IF(C1896="","",C1896&amp;"#"&amp;COUNTIF($C$5:C1896,C1896))</f>
        <v/>
      </c>
    </row>
    <row r="1897">
      <c r="A1897" s="41" t="n"/>
      <c r="B1897" s="37" t="n"/>
      <c r="C1897" s="37" t="n"/>
      <c r="D1897" s="39" t="str">
        <f>IF(C1897="","",IFERROR(INDEX(art_des,MATCH(C1897,art_ref,0))&amp;"","Référence inconnue"))</f>
        <v/>
      </c>
      <c r="E1897" s="37" t="n"/>
      <c r="F1897" s="39" t="str">
        <f>IF(C1897="","",IFERROR(INDEX(art_unit,MATCH(C1897,art_ref,0))&amp;"",""))</f>
        <v/>
      </c>
      <c r="G1897" s="37" t="n"/>
      <c r="H1897" s="37" t="n"/>
      <c r="I1897" s="37" t="n"/>
      <c r="J1897" s="40" t="str">
        <f>IF(OR(C1897="",NOT(ISNUMBER(E1897))),"",IFERROR(E1897*N(INDEX(art_price,MATCH(C1897,art_ref,0))),""))</f>
        <v/>
      </c>
      <c r="K1897" s="39" t="str">
        <f>IF(OR(C1897="",NOT(ISNUMBER(E1897))),"",IFERROR(ROUND(N(INDEX(art_init,MATCH(C1897,art_ref,0)))+SUMIFS($E$5:E1897,$C$5:C1897,C1897,$B$5:B1897,"Entrée")-SUMIFS($E$5:E1897,$C$5:C1897,C1897,$B$5:B1897,"Sortie"),6),""))</f>
        <v/>
      </c>
      <c r="L1897" s="39" t="str">
        <f>IF(COUNTA(A1897:C1897,E1897)=0,"",IF(COUNTA(A1897:C1897,E1897)&lt;4,"Ligne incomplète",IF(NOT(ISNUMBER(A1897)),"Date invalide",IF(AND(B1897&lt;&gt;"Entrée",B1897&lt;&gt;"Sortie"),"Type inconnu",IF(ISNA(MATCH(C1897,art_ref,0)),"Référence inconnue",IF(OR(NOT(ISNUMBER(E1897)),N(E1897)&lt;=0),"Quantité invalide",IF(K1897&lt;0,"Stock négatif",IF(AND(ISNUMBER(A1896),A1897&lt;A1896),"Date hors ordre","OK"))))))))</f>
        <v/>
      </c>
      <c r="M1897" s="39" t="str">
        <f>IF(C1897="","",C1897&amp;"#"&amp;COUNTIF($C$5:C1897,C1897))</f>
        <v/>
      </c>
    </row>
    <row r="1898">
      <c r="A1898" s="41" t="n"/>
      <c r="B1898" s="37" t="n"/>
      <c r="C1898" s="37" t="n"/>
      <c r="D1898" s="39" t="str">
        <f>IF(C1898="","",IFERROR(INDEX(art_des,MATCH(C1898,art_ref,0))&amp;"","Référence inconnue"))</f>
        <v/>
      </c>
      <c r="E1898" s="37" t="n"/>
      <c r="F1898" s="39" t="str">
        <f>IF(C1898="","",IFERROR(INDEX(art_unit,MATCH(C1898,art_ref,0))&amp;"",""))</f>
        <v/>
      </c>
      <c r="G1898" s="37" t="n"/>
      <c r="H1898" s="37" t="n"/>
      <c r="I1898" s="37" t="n"/>
      <c r="J1898" s="40" t="str">
        <f>IF(OR(C1898="",NOT(ISNUMBER(E1898))),"",IFERROR(E1898*N(INDEX(art_price,MATCH(C1898,art_ref,0))),""))</f>
        <v/>
      </c>
      <c r="K1898" s="39" t="str">
        <f>IF(OR(C1898="",NOT(ISNUMBER(E1898))),"",IFERROR(ROUND(N(INDEX(art_init,MATCH(C1898,art_ref,0)))+SUMIFS($E$5:E1898,$C$5:C1898,C1898,$B$5:B1898,"Entrée")-SUMIFS($E$5:E1898,$C$5:C1898,C1898,$B$5:B1898,"Sortie"),6),""))</f>
        <v/>
      </c>
      <c r="L1898" s="39" t="str">
        <f>IF(COUNTA(A1898:C1898,E1898)=0,"",IF(COUNTA(A1898:C1898,E1898)&lt;4,"Ligne incomplète",IF(NOT(ISNUMBER(A1898)),"Date invalide",IF(AND(B1898&lt;&gt;"Entrée",B1898&lt;&gt;"Sortie"),"Type inconnu",IF(ISNA(MATCH(C1898,art_ref,0)),"Référence inconnue",IF(OR(NOT(ISNUMBER(E1898)),N(E1898)&lt;=0),"Quantité invalide",IF(K1898&lt;0,"Stock négatif",IF(AND(ISNUMBER(A1897),A1898&lt;A1897),"Date hors ordre","OK"))))))))</f>
        <v/>
      </c>
      <c r="M1898" s="39" t="str">
        <f>IF(C1898="","",C1898&amp;"#"&amp;COUNTIF($C$5:C1898,C1898))</f>
        <v/>
      </c>
    </row>
    <row r="1899">
      <c r="A1899" s="41" t="n"/>
      <c r="B1899" s="37" t="n"/>
      <c r="C1899" s="37" t="n"/>
      <c r="D1899" s="39" t="str">
        <f>IF(C1899="","",IFERROR(INDEX(art_des,MATCH(C1899,art_ref,0))&amp;"","Référence inconnue"))</f>
        <v/>
      </c>
      <c r="E1899" s="37" t="n"/>
      <c r="F1899" s="39" t="str">
        <f>IF(C1899="","",IFERROR(INDEX(art_unit,MATCH(C1899,art_ref,0))&amp;"",""))</f>
        <v/>
      </c>
      <c r="G1899" s="37" t="n"/>
      <c r="H1899" s="37" t="n"/>
      <c r="I1899" s="37" t="n"/>
      <c r="J1899" s="40" t="str">
        <f>IF(OR(C1899="",NOT(ISNUMBER(E1899))),"",IFERROR(E1899*N(INDEX(art_price,MATCH(C1899,art_ref,0))),""))</f>
        <v/>
      </c>
      <c r="K1899" s="39" t="str">
        <f>IF(OR(C1899="",NOT(ISNUMBER(E1899))),"",IFERROR(ROUND(N(INDEX(art_init,MATCH(C1899,art_ref,0)))+SUMIFS($E$5:E1899,$C$5:C1899,C1899,$B$5:B1899,"Entrée")-SUMIFS($E$5:E1899,$C$5:C1899,C1899,$B$5:B1899,"Sortie"),6),""))</f>
        <v/>
      </c>
      <c r="L1899" s="39" t="str">
        <f>IF(COUNTA(A1899:C1899,E1899)=0,"",IF(COUNTA(A1899:C1899,E1899)&lt;4,"Ligne incomplète",IF(NOT(ISNUMBER(A1899)),"Date invalide",IF(AND(B1899&lt;&gt;"Entrée",B1899&lt;&gt;"Sortie"),"Type inconnu",IF(ISNA(MATCH(C1899,art_ref,0)),"Référence inconnue",IF(OR(NOT(ISNUMBER(E1899)),N(E1899)&lt;=0),"Quantité invalide",IF(K1899&lt;0,"Stock négatif",IF(AND(ISNUMBER(A1898),A1899&lt;A1898),"Date hors ordre","OK"))))))))</f>
        <v/>
      </c>
      <c r="M1899" s="39" t="str">
        <f>IF(C1899="","",C1899&amp;"#"&amp;COUNTIF($C$5:C1899,C1899))</f>
        <v/>
      </c>
    </row>
    <row r="1900">
      <c r="A1900" s="41" t="n"/>
      <c r="B1900" s="37" t="n"/>
      <c r="C1900" s="37" t="n"/>
      <c r="D1900" s="39" t="str">
        <f>IF(C1900="","",IFERROR(INDEX(art_des,MATCH(C1900,art_ref,0))&amp;"","Référence inconnue"))</f>
        <v/>
      </c>
      <c r="E1900" s="37" t="n"/>
      <c r="F1900" s="39" t="str">
        <f>IF(C1900="","",IFERROR(INDEX(art_unit,MATCH(C1900,art_ref,0))&amp;"",""))</f>
        <v/>
      </c>
      <c r="G1900" s="37" t="n"/>
      <c r="H1900" s="37" t="n"/>
      <c r="I1900" s="37" t="n"/>
      <c r="J1900" s="40" t="str">
        <f>IF(OR(C1900="",NOT(ISNUMBER(E1900))),"",IFERROR(E1900*N(INDEX(art_price,MATCH(C1900,art_ref,0))),""))</f>
        <v/>
      </c>
      <c r="K1900" s="39" t="str">
        <f>IF(OR(C1900="",NOT(ISNUMBER(E1900))),"",IFERROR(ROUND(N(INDEX(art_init,MATCH(C1900,art_ref,0)))+SUMIFS($E$5:E1900,$C$5:C1900,C1900,$B$5:B1900,"Entrée")-SUMIFS($E$5:E1900,$C$5:C1900,C1900,$B$5:B1900,"Sortie"),6),""))</f>
        <v/>
      </c>
      <c r="L1900" s="39" t="str">
        <f>IF(COUNTA(A1900:C1900,E1900)=0,"",IF(COUNTA(A1900:C1900,E1900)&lt;4,"Ligne incomplète",IF(NOT(ISNUMBER(A1900)),"Date invalide",IF(AND(B1900&lt;&gt;"Entrée",B1900&lt;&gt;"Sortie"),"Type inconnu",IF(ISNA(MATCH(C1900,art_ref,0)),"Référence inconnue",IF(OR(NOT(ISNUMBER(E1900)),N(E1900)&lt;=0),"Quantité invalide",IF(K1900&lt;0,"Stock négatif",IF(AND(ISNUMBER(A1899),A1900&lt;A1899),"Date hors ordre","OK"))))))))</f>
        <v/>
      </c>
      <c r="M1900" s="39" t="str">
        <f>IF(C1900="","",C1900&amp;"#"&amp;COUNTIF($C$5:C1900,C1900))</f>
        <v/>
      </c>
    </row>
    <row r="1901">
      <c r="A1901" s="41" t="n"/>
      <c r="B1901" s="37" t="n"/>
      <c r="C1901" s="37" t="n"/>
      <c r="D1901" s="39" t="str">
        <f>IF(C1901="","",IFERROR(INDEX(art_des,MATCH(C1901,art_ref,0))&amp;"","Référence inconnue"))</f>
        <v/>
      </c>
      <c r="E1901" s="37" t="n"/>
      <c r="F1901" s="39" t="str">
        <f>IF(C1901="","",IFERROR(INDEX(art_unit,MATCH(C1901,art_ref,0))&amp;"",""))</f>
        <v/>
      </c>
      <c r="G1901" s="37" t="n"/>
      <c r="H1901" s="37" t="n"/>
      <c r="I1901" s="37" t="n"/>
      <c r="J1901" s="40" t="str">
        <f>IF(OR(C1901="",NOT(ISNUMBER(E1901))),"",IFERROR(E1901*N(INDEX(art_price,MATCH(C1901,art_ref,0))),""))</f>
        <v/>
      </c>
      <c r="K1901" s="39" t="str">
        <f>IF(OR(C1901="",NOT(ISNUMBER(E1901))),"",IFERROR(ROUND(N(INDEX(art_init,MATCH(C1901,art_ref,0)))+SUMIFS($E$5:E1901,$C$5:C1901,C1901,$B$5:B1901,"Entrée")-SUMIFS($E$5:E1901,$C$5:C1901,C1901,$B$5:B1901,"Sortie"),6),""))</f>
        <v/>
      </c>
      <c r="L1901" s="39" t="str">
        <f>IF(COUNTA(A1901:C1901,E1901)=0,"",IF(COUNTA(A1901:C1901,E1901)&lt;4,"Ligne incomplète",IF(NOT(ISNUMBER(A1901)),"Date invalide",IF(AND(B1901&lt;&gt;"Entrée",B1901&lt;&gt;"Sortie"),"Type inconnu",IF(ISNA(MATCH(C1901,art_ref,0)),"Référence inconnue",IF(OR(NOT(ISNUMBER(E1901)),N(E1901)&lt;=0),"Quantité invalide",IF(K1901&lt;0,"Stock négatif",IF(AND(ISNUMBER(A1900),A1901&lt;A1900),"Date hors ordre","OK"))))))))</f>
        <v/>
      </c>
      <c r="M1901" s="39" t="str">
        <f>IF(C1901="","",C1901&amp;"#"&amp;COUNTIF($C$5:C1901,C1901))</f>
        <v/>
      </c>
    </row>
    <row r="1902">
      <c r="A1902" s="41" t="n"/>
      <c r="B1902" s="37" t="n"/>
      <c r="C1902" s="37" t="n"/>
      <c r="D1902" s="39" t="str">
        <f>IF(C1902="","",IFERROR(INDEX(art_des,MATCH(C1902,art_ref,0))&amp;"","Référence inconnue"))</f>
        <v/>
      </c>
      <c r="E1902" s="37" t="n"/>
      <c r="F1902" s="39" t="str">
        <f>IF(C1902="","",IFERROR(INDEX(art_unit,MATCH(C1902,art_ref,0))&amp;"",""))</f>
        <v/>
      </c>
      <c r="G1902" s="37" t="n"/>
      <c r="H1902" s="37" t="n"/>
      <c r="I1902" s="37" t="n"/>
      <c r="J1902" s="40" t="str">
        <f>IF(OR(C1902="",NOT(ISNUMBER(E1902))),"",IFERROR(E1902*N(INDEX(art_price,MATCH(C1902,art_ref,0))),""))</f>
        <v/>
      </c>
      <c r="K1902" s="39" t="str">
        <f>IF(OR(C1902="",NOT(ISNUMBER(E1902))),"",IFERROR(ROUND(N(INDEX(art_init,MATCH(C1902,art_ref,0)))+SUMIFS($E$5:E1902,$C$5:C1902,C1902,$B$5:B1902,"Entrée")-SUMIFS($E$5:E1902,$C$5:C1902,C1902,$B$5:B1902,"Sortie"),6),""))</f>
        <v/>
      </c>
      <c r="L1902" s="39" t="str">
        <f>IF(COUNTA(A1902:C1902,E1902)=0,"",IF(COUNTA(A1902:C1902,E1902)&lt;4,"Ligne incomplète",IF(NOT(ISNUMBER(A1902)),"Date invalide",IF(AND(B1902&lt;&gt;"Entrée",B1902&lt;&gt;"Sortie"),"Type inconnu",IF(ISNA(MATCH(C1902,art_ref,0)),"Référence inconnue",IF(OR(NOT(ISNUMBER(E1902)),N(E1902)&lt;=0),"Quantité invalide",IF(K1902&lt;0,"Stock négatif",IF(AND(ISNUMBER(A1901),A1902&lt;A1901),"Date hors ordre","OK"))))))))</f>
        <v/>
      </c>
      <c r="M1902" s="39" t="str">
        <f>IF(C1902="","",C1902&amp;"#"&amp;COUNTIF($C$5:C1902,C1902))</f>
        <v/>
      </c>
    </row>
    <row r="1903">
      <c r="A1903" s="41" t="n"/>
      <c r="B1903" s="37" t="n"/>
      <c r="C1903" s="37" t="n"/>
      <c r="D1903" s="39" t="str">
        <f>IF(C1903="","",IFERROR(INDEX(art_des,MATCH(C1903,art_ref,0))&amp;"","Référence inconnue"))</f>
        <v/>
      </c>
      <c r="E1903" s="37" t="n"/>
      <c r="F1903" s="39" t="str">
        <f>IF(C1903="","",IFERROR(INDEX(art_unit,MATCH(C1903,art_ref,0))&amp;"",""))</f>
        <v/>
      </c>
      <c r="G1903" s="37" t="n"/>
      <c r="H1903" s="37" t="n"/>
      <c r="I1903" s="37" t="n"/>
      <c r="J1903" s="40" t="str">
        <f>IF(OR(C1903="",NOT(ISNUMBER(E1903))),"",IFERROR(E1903*N(INDEX(art_price,MATCH(C1903,art_ref,0))),""))</f>
        <v/>
      </c>
      <c r="K1903" s="39" t="str">
        <f>IF(OR(C1903="",NOT(ISNUMBER(E1903))),"",IFERROR(ROUND(N(INDEX(art_init,MATCH(C1903,art_ref,0)))+SUMIFS($E$5:E1903,$C$5:C1903,C1903,$B$5:B1903,"Entrée")-SUMIFS($E$5:E1903,$C$5:C1903,C1903,$B$5:B1903,"Sortie"),6),""))</f>
        <v/>
      </c>
      <c r="L1903" s="39" t="str">
        <f>IF(COUNTA(A1903:C1903,E1903)=0,"",IF(COUNTA(A1903:C1903,E1903)&lt;4,"Ligne incomplète",IF(NOT(ISNUMBER(A1903)),"Date invalide",IF(AND(B1903&lt;&gt;"Entrée",B1903&lt;&gt;"Sortie"),"Type inconnu",IF(ISNA(MATCH(C1903,art_ref,0)),"Référence inconnue",IF(OR(NOT(ISNUMBER(E1903)),N(E1903)&lt;=0),"Quantité invalide",IF(K1903&lt;0,"Stock négatif",IF(AND(ISNUMBER(A1902),A1903&lt;A1902),"Date hors ordre","OK"))))))))</f>
        <v/>
      </c>
      <c r="M1903" s="39" t="str">
        <f>IF(C1903="","",C1903&amp;"#"&amp;COUNTIF($C$5:C1903,C1903))</f>
        <v/>
      </c>
    </row>
    <row r="1904">
      <c r="A1904" s="41" t="n"/>
      <c r="B1904" s="37" t="n"/>
      <c r="C1904" s="37" t="n"/>
      <c r="D1904" s="39" t="str">
        <f>IF(C1904="","",IFERROR(INDEX(art_des,MATCH(C1904,art_ref,0))&amp;"","Référence inconnue"))</f>
        <v/>
      </c>
      <c r="E1904" s="37" t="n"/>
      <c r="F1904" s="39" t="str">
        <f>IF(C1904="","",IFERROR(INDEX(art_unit,MATCH(C1904,art_ref,0))&amp;"",""))</f>
        <v/>
      </c>
      <c r="G1904" s="37" t="n"/>
      <c r="H1904" s="37" t="n"/>
      <c r="I1904" s="37" t="n"/>
      <c r="J1904" s="40" t="str">
        <f>IF(OR(C1904="",NOT(ISNUMBER(E1904))),"",IFERROR(E1904*N(INDEX(art_price,MATCH(C1904,art_ref,0))),""))</f>
        <v/>
      </c>
      <c r="K1904" s="39" t="str">
        <f>IF(OR(C1904="",NOT(ISNUMBER(E1904))),"",IFERROR(ROUND(N(INDEX(art_init,MATCH(C1904,art_ref,0)))+SUMIFS($E$5:E1904,$C$5:C1904,C1904,$B$5:B1904,"Entrée")-SUMIFS($E$5:E1904,$C$5:C1904,C1904,$B$5:B1904,"Sortie"),6),""))</f>
        <v/>
      </c>
      <c r="L1904" s="39" t="str">
        <f>IF(COUNTA(A1904:C1904,E1904)=0,"",IF(COUNTA(A1904:C1904,E1904)&lt;4,"Ligne incomplète",IF(NOT(ISNUMBER(A1904)),"Date invalide",IF(AND(B1904&lt;&gt;"Entrée",B1904&lt;&gt;"Sortie"),"Type inconnu",IF(ISNA(MATCH(C1904,art_ref,0)),"Référence inconnue",IF(OR(NOT(ISNUMBER(E1904)),N(E1904)&lt;=0),"Quantité invalide",IF(K1904&lt;0,"Stock négatif",IF(AND(ISNUMBER(A1903),A1904&lt;A1903),"Date hors ordre","OK"))))))))</f>
        <v/>
      </c>
      <c r="M1904" s="39" t="str">
        <f>IF(C1904="","",C1904&amp;"#"&amp;COUNTIF($C$5:C1904,C1904))</f>
        <v/>
      </c>
    </row>
    <row r="1905">
      <c r="A1905" s="41" t="n"/>
      <c r="B1905" s="37" t="n"/>
      <c r="C1905" s="37" t="n"/>
      <c r="D1905" s="39" t="str">
        <f>IF(C1905="","",IFERROR(INDEX(art_des,MATCH(C1905,art_ref,0))&amp;"","Référence inconnue"))</f>
        <v/>
      </c>
      <c r="E1905" s="37" t="n"/>
      <c r="F1905" s="39" t="str">
        <f>IF(C1905="","",IFERROR(INDEX(art_unit,MATCH(C1905,art_ref,0))&amp;"",""))</f>
        <v/>
      </c>
      <c r="G1905" s="37" t="n"/>
      <c r="H1905" s="37" t="n"/>
      <c r="I1905" s="37" t="n"/>
      <c r="J1905" s="40" t="str">
        <f>IF(OR(C1905="",NOT(ISNUMBER(E1905))),"",IFERROR(E1905*N(INDEX(art_price,MATCH(C1905,art_ref,0))),""))</f>
        <v/>
      </c>
      <c r="K1905" s="39" t="str">
        <f>IF(OR(C1905="",NOT(ISNUMBER(E1905))),"",IFERROR(ROUND(N(INDEX(art_init,MATCH(C1905,art_ref,0)))+SUMIFS($E$5:E1905,$C$5:C1905,C1905,$B$5:B1905,"Entrée")-SUMIFS($E$5:E1905,$C$5:C1905,C1905,$B$5:B1905,"Sortie"),6),""))</f>
        <v/>
      </c>
      <c r="L1905" s="39" t="str">
        <f>IF(COUNTA(A1905:C1905,E1905)=0,"",IF(COUNTA(A1905:C1905,E1905)&lt;4,"Ligne incomplète",IF(NOT(ISNUMBER(A1905)),"Date invalide",IF(AND(B1905&lt;&gt;"Entrée",B1905&lt;&gt;"Sortie"),"Type inconnu",IF(ISNA(MATCH(C1905,art_ref,0)),"Référence inconnue",IF(OR(NOT(ISNUMBER(E1905)),N(E1905)&lt;=0),"Quantité invalide",IF(K1905&lt;0,"Stock négatif",IF(AND(ISNUMBER(A1904),A1905&lt;A1904),"Date hors ordre","OK"))))))))</f>
        <v/>
      </c>
      <c r="M1905" s="39" t="str">
        <f>IF(C1905="","",C1905&amp;"#"&amp;COUNTIF($C$5:C1905,C1905))</f>
        <v/>
      </c>
    </row>
    <row r="1906">
      <c r="A1906" s="41" t="n"/>
      <c r="B1906" s="37" t="n"/>
      <c r="C1906" s="37" t="n"/>
      <c r="D1906" s="39" t="str">
        <f>IF(C1906="","",IFERROR(INDEX(art_des,MATCH(C1906,art_ref,0))&amp;"","Référence inconnue"))</f>
        <v/>
      </c>
      <c r="E1906" s="37" t="n"/>
      <c r="F1906" s="39" t="str">
        <f>IF(C1906="","",IFERROR(INDEX(art_unit,MATCH(C1906,art_ref,0))&amp;"",""))</f>
        <v/>
      </c>
      <c r="G1906" s="37" t="n"/>
      <c r="H1906" s="37" t="n"/>
      <c r="I1906" s="37" t="n"/>
      <c r="J1906" s="40" t="str">
        <f>IF(OR(C1906="",NOT(ISNUMBER(E1906))),"",IFERROR(E1906*N(INDEX(art_price,MATCH(C1906,art_ref,0))),""))</f>
        <v/>
      </c>
      <c r="K1906" s="39" t="str">
        <f>IF(OR(C1906="",NOT(ISNUMBER(E1906))),"",IFERROR(ROUND(N(INDEX(art_init,MATCH(C1906,art_ref,0)))+SUMIFS($E$5:E1906,$C$5:C1906,C1906,$B$5:B1906,"Entrée")-SUMIFS($E$5:E1906,$C$5:C1906,C1906,$B$5:B1906,"Sortie"),6),""))</f>
        <v/>
      </c>
      <c r="L1906" s="39" t="str">
        <f>IF(COUNTA(A1906:C1906,E1906)=0,"",IF(COUNTA(A1906:C1906,E1906)&lt;4,"Ligne incomplète",IF(NOT(ISNUMBER(A1906)),"Date invalide",IF(AND(B1906&lt;&gt;"Entrée",B1906&lt;&gt;"Sortie"),"Type inconnu",IF(ISNA(MATCH(C1906,art_ref,0)),"Référence inconnue",IF(OR(NOT(ISNUMBER(E1906)),N(E1906)&lt;=0),"Quantité invalide",IF(K1906&lt;0,"Stock négatif",IF(AND(ISNUMBER(A1905),A1906&lt;A1905),"Date hors ordre","OK"))))))))</f>
        <v/>
      </c>
      <c r="M1906" s="39" t="str">
        <f>IF(C1906="","",C1906&amp;"#"&amp;COUNTIF($C$5:C1906,C1906))</f>
        <v/>
      </c>
    </row>
    <row r="1907">
      <c r="A1907" s="41" t="n"/>
      <c r="B1907" s="37" t="n"/>
      <c r="C1907" s="37" t="n"/>
      <c r="D1907" s="39" t="str">
        <f>IF(C1907="","",IFERROR(INDEX(art_des,MATCH(C1907,art_ref,0))&amp;"","Référence inconnue"))</f>
        <v/>
      </c>
      <c r="E1907" s="37" t="n"/>
      <c r="F1907" s="39" t="str">
        <f>IF(C1907="","",IFERROR(INDEX(art_unit,MATCH(C1907,art_ref,0))&amp;"",""))</f>
        <v/>
      </c>
      <c r="G1907" s="37" t="n"/>
      <c r="H1907" s="37" t="n"/>
      <c r="I1907" s="37" t="n"/>
      <c r="J1907" s="40" t="str">
        <f>IF(OR(C1907="",NOT(ISNUMBER(E1907))),"",IFERROR(E1907*N(INDEX(art_price,MATCH(C1907,art_ref,0))),""))</f>
        <v/>
      </c>
      <c r="K1907" s="39" t="str">
        <f>IF(OR(C1907="",NOT(ISNUMBER(E1907))),"",IFERROR(ROUND(N(INDEX(art_init,MATCH(C1907,art_ref,0)))+SUMIFS($E$5:E1907,$C$5:C1907,C1907,$B$5:B1907,"Entrée")-SUMIFS($E$5:E1907,$C$5:C1907,C1907,$B$5:B1907,"Sortie"),6),""))</f>
        <v/>
      </c>
      <c r="L1907" s="39" t="str">
        <f>IF(COUNTA(A1907:C1907,E1907)=0,"",IF(COUNTA(A1907:C1907,E1907)&lt;4,"Ligne incomplète",IF(NOT(ISNUMBER(A1907)),"Date invalide",IF(AND(B1907&lt;&gt;"Entrée",B1907&lt;&gt;"Sortie"),"Type inconnu",IF(ISNA(MATCH(C1907,art_ref,0)),"Référence inconnue",IF(OR(NOT(ISNUMBER(E1907)),N(E1907)&lt;=0),"Quantité invalide",IF(K1907&lt;0,"Stock négatif",IF(AND(ISNUMBER(A1906),A1907&lt;A1906),"Date hors ordre","OK"))))))))</f>
        <v/>
      </c>
      <c r="M1907" s="39" t="str">
        <f>IF(C1907="","",C1907&amp;"#"&amp;COUNTIF($C$5:C1907,C1907))</f>
        <v/>
      </c>
    </row>
    <row r="1908">
      <c r="A1908" s="41" t="n"/>
      <c r="B1908" s="37" t="n"/>
      <c r="C1908" s="37" t="n"/>
      <c r="D1908" s="39" t="str">
        <f>IF(C1908="","",IFERROR(INDEX(art_des,MATCH(C1908,art_ref,0))&amp;"","Référence inconnue"))</f>
        <v/>
      </c>
      <c r="E1908" s="37" t="n"/>
      <c r="F1908" s="39" t="str">
        <f>IF(C1908="","",IFERROR(INDEX(art_unit,MATCH(C1908,art_ref,0))&amp;"",""))</f>
        <v/>
      </c>
      <c r="G1908" s="37" t="n"/>
      <c r="H1908" s="37" t="n"/>
      <c r="I1908" s="37" t="n"/>
      <c r="J1908" s="40" t="str">
        <f>IF(OR(C1908="",NOT(ISNUMBER(E1908))),"",IFERROR(E1908*N(INDEX(art_price,MATCH(C1908,art_ref,0))),""))</f>
        <v/>
      </c>
      <c r="K1908" s="39" t="str">
        <f>IF(OR(C1908="",NOT(ISNUMBER(E1908))),"",IFERROR(ROUND(N(INDEX(art_init,MATCH(C1908,art_ref,0)))+SUMIFS($E$5:E1908,$C$5:C1908,C1908,$B$5:B1908,"Entrée")-SUMIFS($E$5:E1908,$C$5:C1908,C1908,$B$5:B1908,"Sortie"),6),""))</f>
        <v/>
      </c>
      <c r="L1908" s="39" t="str">
        <f>IF(COUNTA(A1908:C1908,E1908)=0,"",IF(COUNTA(A1908:C1908,E1908)&lt;4,"Ligne incomplète",IF(NOT(ISNUMBER(A1908)),"Date invalide",IF(AND(B1908&lt;&gt;"Entrée",B1908&lt;&gt;"Sortie"),"Type inconnu",IF(ISNA(MATCH(C1908,art_ref,0)),"Référence inconnue",IF(OR(NOT(ISNUMBER(E1908)),N(E1908)&lt;=0),"Quantité invalide",IF(K1908&lt;0,"Stock négatif",IF(AND(ISNUMBER(A1907),A1908&lt;A1907),"Date hors ordre","OK"))))))))</f>
        <v/>
      </c>
      <c r="M1908" s="39" t="str">
        <f>IF(C1908="","",C1908&amp;"#"&amp;COUNTIF($C$5:C1908,C1908))</f>
        <v/>
      </c>
    </row>
    <row r="1909">
      <c r="A1909" s="41" t="n"/>
      <c r="B1909" s="37" t="n"/>
      <c r="C1909" s="37" t="n"/>
      <c r="D1909" s="39" t="str">
        <f>IF(C1909="","",IFERROR(INDEX(art_des,MATCH(C1909,art_ref,0))&amp;"","Référence inconnue"))</f>
        <v/>
      </c>
      <c r="E1909" s="37" t="n"/>
      <c r="F1909" s="39" t="str">
        <f>IF(C1909="","",IFERROR(INDEX(art_unit,MATCH(C1909,art_ref,0))&amp;"",""))</f>
        <v/>
      </c>
      <c r="G1909" s="37" t="n"/>
      <c r="H1909" s="37" t="n"/>
      <c r="I1909" s="37" t="n"/>
      <c r="J1909" s="40" t="str">
        <f>IF(OR(C1909="",NOT(ISNUMBER(E1909))),"",IFERROR(E1909*N(INDEX(art_price,MATCH(C1909,art_ref,0))),""))</f>
        <v/>
      </c>
      <c r="K1909" s="39" t="str">
        <f>IF(OR(C1909="",NOT(ISNUMBER(E1909))),"",IFERROR(ROUND(N(INDEX(art_init,MATCH(C1909,art_ref,0)))+SUMIFS($E$5:E1909,$C$5:C1909,C1909,$B$5:B1909,"Entrée")-SUMIFS($E$5:E1909,$C$5:C1909,C1909,$B$5:B1909,"Sortie"),6),""))</f>
        <v/>
      </c>
      <c r="L1909" s="39" t="str">
        <f>IF(COUNTA(A1909:C1909,E1909)=0,"",IF(COUNTA(A1909:C1909,E1909)&lt;4,"Ligne incomplète",IF(NOT(ISNUMBER(A1909)),"Date invalide",IF(AND(B1909&lt;&gt;"Entrée",B1909&lt;&gt;"Sortie"),"Type inconnu",IF(ISNA(MATCH(C1909,art_ref,0)),"Référence inconnue",IF(OR(NOT(ISNUMBER(E1909)),N(E1909)&lt;=0),"Quantité invalide",IF(K1909&lt;0,"Stock négatif",IF(AND(ISNUMBER(A1908),A1909&lt;A1908),"Date hors ordre","OK"))))))))</f>
        <v/>
      </c>
      <c r="M1909" s="39" t="str">
        <f>IF(C1909="","",C1909&amp;"#"&amp;COUNTIF($C$5:C1909,C1909))</f>
        <v/>
      </c>
    </row>
    <row r="1910">
      <c r="A1910" s="41" t="n"/>
      <c r="B1910" s="37" t="n"/>
      <c r="C1910" s="37" t="n"/>
      <c r="D1910" s="39" t="str">
        <f>IF(C1910="","",IFERROR(INDEX(art_des,MATCH(C1910,art_ref,0))&amp;"","Référence inconnue"))</f>
        <v/>
      </c>
      <c r="E1910" s="37" t="n"/>
      <c r="F1910" s="39" t="str">
        <f>IF(C1910="","",IFERROR(INDEX(art_unit,MATCH(C1910,art_ref,0))&amp;"",""))</f>
        <v/>
      </c>
      <c r="G1910" s="37" t="n"/>
      <c r="H1910" s="37" t="n"/>
      <c r="I1910" s="37" t="n"/>
      <c r="J1910" s="40" t="str">
        <f>IF(OR(C1910="",NOT(ISNUMBER(E1910))),"",IFERROR(E1910*N(INDEX(art_price,MATCH(C1910,art_ref,0))),""))</f>
        <v/>
      </c>
      <c r="K1910" s="39" t="str">
        <f>IF(OR(C1910="",NOT(ISNUMBER(E1910))),"",IFERROR(ROUND(N(INDEX(art_init,MATCH(C1910,art_ref,0)))+SUMIFS($E$5:E1910,$C$5:C1910,C1910,$B$5:B1910,"Entrée")-SUMIFS($E$5:E1910,$C$5:C1910,C1910,$B$5:B1910,"Sortie"),6),""))</f>
        <v/>
      </c>
      <c r="L1910" s="39" t="str">
        <f>IF(COUNTA(A1910:C1910,E1910)=0,"",IF(COUNTA(A1910:C1910,E1910)&lt;4,"Ligne incomplète",IF(NOT(ISNUMBER(A1910)),"Date invalide",IF(AND(B1910&lt;&gt;"Entrée",B1910&lt;&gt;"Sortie"),"Type inconnu",IF(ISNA(MATCH(C1910,art_ref,0)),"Référence inconnue",IF(OR(NOT(ISNUMBER(E1910)),N(E1910)&lt;=0),"Quantité invalide",IF(K1910&lt;0,"Stock négatif",IF(AND(ISNUMBER(A1909),A1910&lt;A1909),"Date hors ordre","OK"))))))))</f>
        <v/>
      </c>
      <c r="M1910" s="39" t="str">
        <f>IF(C1910="","",C1910&amp;"#"&amp;COUNTIF($C$5:C1910,C1910))</f>
        <v/>
      </c>
    </row>
    <row r="1911">
      <c r="A1911" s="41" t="n"/>
      <c r="B1911" s="37" t="n"/>
      <c r="C1911" s="37" t="n"/>
      <c r="D1911" s="39" t="str">
        <f>IF(C1911="","",IFERROR(INDEX(art_des,MATCH(C1911,art_ref,0))&amp;"","Référence inconnue"))</f>
        <v/>
      </c>
      <c r="E1911" s="37" t="n"/>
      <c r="F1911" s="39" t="str">
        <f>IF(C1911="","",IFERROR(INDEX(art_unit,MATCH(C1911,art_ref,0))&amp;"",""))</f>
        <v/>
      </c>
      <c r="G1911" s="37" t="n"/>
      <c r="H1911" s="37" t="n"/>
      <c r="I1911" s="37" t="n"/>
      <c r="J1911" s="40" t="str">
        <f>IF(OR(C1911="",NOT(ISNUMBER(E1911))),"",IFERROR(E1911*N(INDEX(art_price,MATCH(C1911,art_ref,0))),""))</f>
        <v/>
      </c>
      <c r="K1911" s="39" t="str">
        <f>IF(OR(C1911="",NOT(ISNUMBER(E1911))),"",IFERROR(ROUND(N(INDEX(art_init,MATCH(C1911,art_ref,0)))+SUMIFS($E$5:E1911,$C$5:C1911,C1911,$B$5:B1911,"Entrée")-SUMIFS($E$5:E1911,$C$5:C1911,C1911,$B$5:B1911,"Sortie"),6),""))</f>
        <v/>
      </c>
      <c r="L1911" s="39" t="str">
        <f>IF(COUNTA(A1911:C1911,E1911)=0,"",IF(COUNTA(A1911:C1911,E1911)&lt;4,"Ligne incomplète",IF(NOT(ISNUMBER(A1911)),"Date invalide",IF(AND(B1911&lt;&gt;"Entrée",B1911&lt;&gt;"Sortie"),"Type inconnu",IF(ISNA(MATCH(C1911,art_ref,0)),"Référence inconnue",IF(OR(NOT(ISNUMBER(E1911)),N(E1911)&lt;=0),"Quantité invalide",IF(K1911&lt;0,"Stock négatif",IF(AND(ISNUMBER(A1910),A1911&lt;A1910),"Date hors ordre","OK"))))))))</f>
        <v/>
      </c>
      <c r="M1911" s="39" t="str">
        <f>IF(C1911="","",C1911&amp;"#"&amp;COUNTIF($C$5:C1911,C1911))</f>
        <v/>
      </c>
    </row>
    <row r="1912">
      <c r="A1912" s="41" t="n"/>
      <c r="B1912" s="37" t="n"/>
      <c r="C1912" s="37" t="n"/>
      <c r="D1912" s="39" t="str">
        <f>IF(C1912="","",IFERROR(INDEX(art_des,MATCH(C1912,art_ref,0))&amp;"","Référence inconnue"))</f>
        <v/>
      </c>
      <c r="E1912" s="37" t="n"/>
      <c r="F1912" s="39" t="str">
        <f>IF(C1912="","",IFERROR(INDEX(art_unit,MATCH(C1912,art_ref,0))&amp;"",""))</f>
        <v/>
      </c>
      <c r="G1912" s="37" t="n"/>
      <c r="H1912" s="37" t="n"/>
      <c r="I1912" s="37" t="n"/>
      <c r="J1912" s="40" t="str">
        <f>IF(OR(C1912="",NOT(ISNUMBER(E1912))),"",IFERROR(E1912*N(INDEX(art_price,MATCH(C1912,art_ref,0))),""))</f>
        <v/>
      </c>
      <c r="K1912" s="39" t="str">
        <f>IF(OR(C1912="",NOT(ISNUMBER(E1912))),"",IFERROR(ROUND(N(INDEX(art_init,MATCH(C1912,art_ref,0)))+SUMIFS($E$5:E1912,$C$5:C1912,C1912,$B$5:B1912,"Entrée")-SUMIFS($E$5:E1912,$C$5:C1912,C1912,$B$5:B1912,"Sortie"),6),""))</f>
        <v/>
      </c>
      <c r="L1912" s="39" t="str">
        <f>IF(COUNTA(A1912:C1912,E1912)=0,"",IF(COUNTA(A1912:C1912,E1912)&lt;4,"Ligne incomplète",IF(NOT(ISNUMBER(A1912)),"Date invalide",IF(AND(B1912&lt;&gt;"Entrée",B1912&lt;&gt;"Sortie"),"Type inconnu",IF(ISNA(MATCH(C1912,art_ref,0)),"Référence inconnue",IF(OR(NOT(ISNUMBER(E1912)),N(E1912)&lt;=0),"Quantité invalide",IF(K1912&lt;0,"Stock négatif",IF(AND(ISNUMBER(A1911),A1912&lt;A1911),"Date hors ordre","OK"))))))))</f>
        <v/>
      </c>
      <c r="M1912" s="39" t="str">
        <f>IF(C1912="","",C1912&amp;"#"&amp;COUNTIF($C$5:C1912,C1912))</f>
        <v/>
      </c>
    </row>
    <row r="1913">
      <c r="A1913" s="41" t="n"/>
      <c r="B1913" s="37" t="n"/>
      <c r="C1913" s="37" t="n"/>
      <c r="D1913" s="39" t="str">
        <f>IF(C1913="","",IFERROR(INDEX(art_des,MATCH(C1913,art_ref,0))&amp;"","Référence inconnue"))</f>
        <v/>
      </c>
      <c r="E1913" s="37" t="n"/>
      <c r="F1913" s="39" t="str">
        <f>IF(C1913="","",IFERROR(INDEX(art_unit,MATCH(C1913,art_ref,0))&amp;"",""))</f>
        <v/>
      </c>
      <c r="G1913" s="37" t="n"/>
      <c r="H1913" s="37" t="n"/>
      <c r="I1913" s="37" t="n"/>
      <c r="J1913" s="40" t="str">
        <f>IF(OR(C1913="",NOT(ISNUMBER(E1913))),"",IFERROR(E1913*N(INDEX(art_price,MATCH(C1913,art_ref,0))),""))</f>
        <v/>
      </c>
      <c r="K1913" s="39" t="str">
        <f>IF(OR(C1913="",NOT(ISNUMBER(E1913))),"",IFERROR(ROUND(N(INDEX(art_init,MATCH(C1913,art_ref,0)))+SUMIFS($E$5:E1913,$C$5:C1913,C1913,$B$5:B1913,"Entrée")-SUMIFS($E$5:E1913,$C$5:C1913,C1913,$B$5:B1913,"Sortie"),6),""))</f>
        <v/>
      </c>
      <c r="L1913" s="39" t="str">
        <f>IF(COUNTA(A1913:C1913,E1913)=0,"",IF(COUNTA(A1913:C1913,E1913)&lt;4,"Ligne incomplète",IF(NOT(ISNUMBER(A1913)),"Date invalide",IF(AND(B1913&lt;&gt;"Entrée",B1913&lt;&gt;"Sortie"),"Type inconnu",IF(ISNA(MATCH(C1913,art_ref,0)),"Référence inconnue",IF(OR(NOT(ISNUMBER(E1913)),N(E1913)&lt;=0),"Quantité invalide",IF(K1913&lt;0,"Stock négatif",IF(AND(ISNUMBER(A1912),A1913&lt;A1912),"Date hors ordre","OK"))))))))</f>
        <v/>
      </c>
      <c r="M1913" s="39" t="str">
        <f>IF(C1913="","",C1913&amp;"#"&amp;COUNTIF($C$5:C1913,C1913))</f>
        <v/>
      </c>
    </row>
    <row r="1914">
      <c r="A1914" s="41" t="n"/>
      <c r="B1914" s="37" t="n"/>
      <c r="C1914" s="37" t="n"/>
      <c r="D1914" s="39" t="str">
        <f>IF(C1914="","",IFERROR(INDEX(art_des,MATCH(C1914,art_ref,0))&amp;"","Référence inconnue"))</f>
        <v/>
      </c>
      <c r="E1914" s="37" t="n"/>
      <c r="F1914" s="39" t="str">
        <f>IF(C1914="","",IFERROR(INDEX(art_unit,MATCH(C1914,art_ref,0))&amp;"",""))</f>
        <v/>
      </c>
      <c r="G1914" s="37" t="n"/>
      <c r="H1914" s="37" t="n"/>
      <c r="I1914" s="37" t="n"/>
      <c r="J1914" s="40" t="str">
        <f>IF(OR(C1914="",NOT(ISNUMBER(E1914))),"",IFERROR(E1914*N(INDEX(art_price,MATCH(C1914,art_ref,0))),""))</f>
        <v/>
      </c>
      <c r="K1914" s="39" t="str">
        <f>IF(OR(C1914="",NOT(ISNUMBER(E1914))),"",IFERROR(ROUND(N(INDEX(art_init,MATCH(C1914,art_ref,0)))+SUMIFS($E$5:E1914,$C$5:C1914,C1914,$B$5:B1914,"Entrée")-SUMIFS($E$5:E1914,$C$5:C1914,C1914,$B$5:B1914,"Sortie"),6),""))</f>
        <v/>
      </c>
      <c r="L1914" s="39" t="str">
        <f>IF(COUNTA(A1914:C1914,E1914)=0,"",IF(COUNTA(A1914:C1914,E1914)&lt;4,"Ligne incomplète",IF(NOT(ISNUMBER(A1914)),"Date invalide",IF(AND(B1914&lt;&gt;"Entrée",B1914&lt;&gt;"Sortie"),"Type inconnu",IF(ISNA(MATCH(C1914,art_ref,0)),"Référence inconnue",IF(OR(NOT(ISNUMBER(E1914)),N(E1914)&lt;=0),"Quantité invalide",IF(K1914&lt;0,"Stock négatif",IF(AND(ISNUMBER(A1913),A1914&lt;A1913),"Date hors ordre","OK"))))))))</f>
        <v/>
      </c>
      <c r="M1914" s="39" t="str">
        <f>IF(C1914="","",C1914&amp;"#"&amp;COUNTIF($C$5:C1914,C1914))</f>
        <v/>
      </c>
    </row>
    <row r="1915">
      <c r="A1915" s="41" t="n"/>
      <c r="B1915" s="37" t="n"/>
      <c r="C1915" s="37" t="n"/>
      <c r="D1915" s="39" t="str">
        <f>IF(C1915="","",IFERROR(INDEX(art_des,MATCH(C1915,art_ref,0))&amp;"","Référence inconnue"))</f>
        <v/>
      </c>
      <c r="E1915" s="37" t="n"/>
      <c r="F1915" s="39" t="str">
        <f>IF(C1915="","",IFERROR(INDEX(art_unit,MATCH(C1915,art_ref,0))&amp;"",""))</f>
        <v/>
      </c>
      <c r="G1915" s="37" t="n"/>
      <c r="H1915" s="37" t="n"/>
      <c r="I1915" s="37" t="n"/>
      <c r="J1915" s="40" t="str">
        <f>IF(OR(C1915="",NOT(ISNUMBER(E1915))),"",IFERROR(E1915*N(INDEX(art_price,MATCH(C1915,art_ref,0))),""))</f>
        <v/>
      </c>
      <c r="K1915" s="39" t="str">
        <f>IF(OR(C1915="",NOT(ISNUMBER(E1915))),"",IFERROR(ROUND(N(INDEX(art_init,MATCH(C1915,art_ref,0)))+SUMIFS($E$5:E1915,$C$5:C1915,C1915,$B$5:B1915,"Entrée")-SUMIFS($E$5:E1915,$C$5:C1915,C1915,$B$5:B1915,"Sortie"),6),""))</f>
        <v/>
      </c>
      <c r="L1915" s="39" t="str">
        <f>IF(COUNTA(A1915:C1915,E1915)=0,"",IF(COUNTA(A1915:C1915,E1915)&lt;4,"Ligne incomplète",IF(NOT(ISNUMBER(A1915)),"Date invalide",IF(AND(B1915&lt;&gt;"Entrée",B1915&lt;&gt;"Sortie"),"Type inconnu",IF(ISNA(MATCH(C1915,art_ref,0)),"Référence inconnue",IF(OR(NOT(ISNUMBER(E1915)),N(E1915)&lt;=0),"Quantité invalide",IF(K1915&lt;0,"Stock négatif",IF(AND(ISNUMBER(A1914),A1915&lt;A1914),"Date hors ordre","OK"))))))))</f>
        <v/>
      </c>
      <c r="M1915" s="39" t="str">
        <f>IF(C1915="","",C1915&amp;"#"&amp;COUNTIF($C$5:C1915,C1915))</f>
        <v/>
      </c>
    </row>
    <row r="1916">
      <c r="A1916" s="41" t="n"/>
      <c r="B1916" s="37" t="n"/>
      <c r="C1916" s="37" t="n"/>
      <c r="D1916" s="39" t="str">
        <f>IF(C1916="","",IFERROR(INDEX(art_des,MATCH(C1916,art_ref,0))&amp;"","Référence inconnue"))</f>
        <v/>
      </c>
      <c r="E1916" s="37" t="n"/>
      <c r="F1916" s="39" t="str">
        <f>IF(C1916="","",IFERROR(INDEX(art_unit,MATCH(C1916,art_ref,0))&amp;"",""))</f>
        <v/>
      </c>
      <c r="G1916" s="37" t="n"/>
      <c r="H1916" s="37" t="n"/>
      <c r="I1916" s="37" t="n"/>
      <c r="J1916" s="40" t="str">
        <f>IF(OR(C1916="",NOT(ISNUMBER(E1916))),"",IFERROR(E1916*N(INDEX(art_price,MATCH(C1916,art_ref,0))),""))</f>
        <v/>
      </c>
      <c r="K1916" s="39" t="str">
        <f>IF(OR(C1916="",NOT(ISNUMBER(E1916))),"",IFERROR(ROUND(N(INDEX(art_init,MATCH(C1916,art_ref,0)))+SUMIFS($E$5:E1916,$C$5:C1916,C1916,$B$5:B1916,"Entrée")-SUMIFS($E$5:E1916,$C$5:C1916,C1916,$B$5:B1916,"Sortie"),6),""))</f>
        <v/>
      </c>
      <c r="L1916" s="39" t="str">
        <f>IF(COUNTA(A1916:C1916,E1916)=0,"",IF(COUNTA(A1916:C1916,E1916)&lt;4,"Ligne incomplète",IF(NOT(ISNUMBER(A1916)),"Date invalide",IF(AND(B1916&lt;&gt;"Entrée",B1916&lt;&gt;"Sortie"),"Type inconnu",IF(ISNA(MATCH(C1916,art_ref,0)),"Référence inconnue",IF(OR(NOT(ISNUMBER(E1916)),N(E1916)&lt;=0),"Quantité invalide",IF(K1916&lt;0,"Stock négatif",IF(AND(ISNUMBER(A1915),A1916&lt;A1915),"Date hors ordre","OK"))))))))</f>
        <v/>
      </c>
      <c r="M1916" s="39" t="str">
        <f>IF(C1916="","",C1916&amp;"#"&amp;COUNTIF($C$5:C1916,C1916))</f>
        <v/>
      </c>
    </row>
    <row r="1917">
      <c r="A1917" s="41" t="n"/>
      <c r="B1917" s="37" t="n"/>
      <c r="C1917" s="37" t="n"/>
      <c r="D1917" s="39" t="str">
        <f>IF(C1917="","",IFERROR(INDEX(art_des,MATCH(C1917,art_ref,0))&amp;"","Référence inconnue"))</f>
        <v/>
      </c>
      <c r="E1917" s="37" t="n"/>
      <c r="F1917" s="39" t="str">
        <f>IF(C1917="","",IFERROR(INDEX(art_unit,MATCH(C1917,art_ref,0))&amp;"",""))</f>
        <v/>
      </c>
      <c r="G1917" s="37" t="n"/>
      <c r="H1917" s="37" t="n"/>
      <c r="I1917" s="37" t="n"/>
      <c r="J1917" s="40" t="str">
        <f>IF(OR(C1917="",NOT(ISNUMBER(E1917))),"",IFERROR(E1917*N(INDEX(art_price,MATCH(C1917,art_ref,0))),""))</f>
        <v/>
      </c>
      <c r="K1917" s="39" t="str">
        <f>IF(OR(C1917="",NOT(ISNUMBER(E1917))),"",IFERROR(ROUND(N(INDEX(art_init,MATCH(C1917,art_ref,0)))+SUMIFS($E$5:E1917,$C$5:C1917,C1917,$B$5:B1917,"Entrée")-SUMIFS($E$5:E1917,$C$5:C1917,C1917,$B$5:B1917,"Sortie"),6),""))</f>
        <v/>
      </c>
      <c r="L1917" s="39" t="str">
        <f>IF(COUNTA(A1917:C1917,E1917)=0,"",IF(COUNTA(A1917:C1917,E1917)&lt;4,"Ligne incomplète",IF(NOT(ISNUMBER(A1917)),"Date invalide",IF(AND(B1917&lt;&gt;"Entrée",B1917&lt;&gt;"Sortie"),"Type inconnu",IF(ISNA(MATCH(C1917,art_ref,0)),"Référence inconnue",IF(OR(NOT(ISNUMBER(E1917)),N(E1917)&lt;=0),"Quantité invalide",IF(K1917&lt;0,"Stock négatif",IF(AND(ISNUMBER(A1916),A1917&lt;A1916),"Date hors ordre","OK"))))))))</f>
        <v/>
      </c>
      <c r="M1917" s="39" t="str">
        <f>IF(C1917="","",C1917&amp;"#"&amp;COUNTIF($C$5:C1917,C1917))</f>
        <v/>
      </c>
    </row>
    <row r="1918">
      <c r="A1918" s="41" t="n"/>
      <c r="B1918" s="37" t="n"/>
      <c r="C1918" s="37" t="n"/>
      <c r="D1918" s="39" t="str">
        <f>IF(C1918="","",IFERROR(INDEX(art_des,MATCH(C1918,art_ref,0))&amp;"","Référence inconnue"))</f>
        <v/>
      </c>
      <c r="E1918" s="37" t="n"/>
      <c r="F1918" s="39" t="str">
        <f>IF(C1918="","",IFERROR(INDEX(art_unit,MATCH(C1918,art_ref,0))&amp;"",""))</f>
        <v/>
      </c>
      <c r="G1918" s="37" t="n"/>
      <c r="H1918" s="37" t="n"/>
      <c r="I1918" s="37" t="n"/>
      <c r="J1918" s="40" t="str">
        <f>IF(OR(C1918="",NOT(ISNUMBER(E1918))),"",IFERROR(E1918*N(INDEX(art_price,MATCH(C1918,art_ref,0))),""))</f>
        <v/>
      </c>
      <c r="K1918" s="39" t="str">
        <f>IF(OR(C1918="",NOT(ISNUMBER(E1918))),"",IFERROR(ROUND(N(INDEX(art_init,MATCH(C1918,art_ref,0)))+SUMIFS($E$5:E1918,$C$5:C1918,C1918,$B$5:B1918,"Entrée")-SUMIFS($E$5:E1918,$C$5:C1918,C1918,$B$5:B1918,"Sortie"),6),""))</f>
        <v/>
      </c>
      <c r="L1918" s="39" t="str">
        <f>IF(COUNTA(A1918:C1918,E1918)=0,"",IF(COUNTA(A1918:C1918,E1918)&lt;4,"Ligne incomplète",IF(NOT(ISNUMBER(A1918)),"Date invalide",IF(AND(B1918&lt;&gt;"Entrée",B1918&lt;&gt;"Sortie"),"Type inconnu",IF(ISNA(MATCH(C1918,art_ref,0)),"Référence inconnue",IF(OR(NOT(ISNUMBER(E1918)),N(E1918)&lt;=0),"Quantité invalide",IF(K1918&lt;0,"Stock négatif",IF(AND(ISNUMBER(A1917),A1918&lt;A1917),"Date hors ordre","OK"))))))))</f>
        <v/>
      </c>
      <c r="M1918" s="39" t="str">
        <f>IF(C1918="","",C1918&amp;"#"&amp;COUNTIF($C$5:C1918,C1918))</f>
        <v/>
      </c>
    </row>
    <row r="1919">
      <c r="A1919" s="41" t="n"/>
      <c r="B1919" s="37" t="n"/>
      <c r="C1919" s="37" t="n"/>
      <c r="D1919" s="39" t="str">
        <f>IF(C1919="","",IFERROR(INDEX(art_des,MATCH(C1919,art_ref,0))&amp;"","Référence inconnue"))</f>
        <v/>
      </c>
      <c r="E1919" s="37" t="n"/>
      <c r="F1919" s="39" t="str">
        <f>IF(C1919="","",IFERROR(INDEX(art_unit,MATCH(C1919,art_ref,0))&amp;"",""))</f>
        <v/>
      </c>
      <c r="G1919" s="37" t="n"/>
      <c r="H1919" s="37" t="n"/>
      <c r="I1919" s="37" t="n"/>
      <c r="J1919" s="40" t="str">
        <f>IF(OR(C1919="",NOT(ISNUMBER(E1919))),"",IFERROR(E1919*N(INDEX(art_price,MATCH(C1919,art_ref,0))),""))</f>
        <v/>
      </c>
      <c r="K1919" s="39" t="str">
        <f>IF(OR(C1919="",NOT(ISNUMBER(E1919))),"",IFERROR(ROUND(N(INDEX(art_init,MATCH(C1919,art_ref,0)))+SUMIFS($E$5:E1919,$C$5:C1919,C1919,$B$5:B1919,"Entrée")-SUMIFS($E$5:E1919,$C$5:C1919,C1919,$B$5:B1919,"Sortie"),6),""))</f>
        <v/>
      </c>
      <c r="L1919" s="39" t="str">
        <f>IF(COUNTA(A1919:C1919,E1919)=0,"",IF(COUNTA(A1919:C1919,E1919)&lt;4,"Ligne incomplète",IF(NOT(ISNUMBER(A1919)),"Date invalide",IF(AND(B1919&lt;&gt;"Entrée",B1919&lt;&gt;"Sortie"),"Type inconnu",IF(ISNA(MATCH(C1919,art_ref,0)),"Référence inconnue",IF(OR(NOT(ISNUMBER(E1919)),N(E1919)&lt;=0),"Quantité invalide",IF(K1919&lt;0,"Stock négatif",IF(AND(ISNUMBER(A1918),A1919&lt;A1918),"Date hors ordre","OK"))))))))</f>
        <v/>
      </c>
      <c r="M1919" s="39" t="str">
        <f>IF(C1919="","",C1919&amp;"#"&amp;COUNTIF($C$5:C1919,C1919))</f>
        <v/>
      </c>
    </row>
    <row r="1920">
      <c r="A1920" s="41" t="n"/>
      <c r="B1920" s="37" t="n"/>
      <c r="C1920" s="37" t="n"/>
      <c r="D1920" s="39" t="str">
        <f>IF(C1920="","",IFERROR(INDEX(art_des,MATCH(C1920,art_ref,0))&amp;"","Référence inconnue"))</f>
        <v/>
      </c>
      <c r="E1920" s="37" t="n"/>
      <c r="F1920" s="39" t="str">
        <f>IF(C1920="","",IFERROR(INDEX(art_unit,MATCH(C1920,art_ref,0))&amp;"",""))</f>
        <v/>
      </c>
      <c r="G1920" s="37" t="n"/>
      <c r="H1920" s="37" t="n"/>
      <c r="I1920" s="37" t="n"/>
      <c r="J1920" s="40" t="str">
        <f>IF(OR(C1920="",NOT(ISNUMBER(E1920))),"",IFERROR(E1920*N(INDEX(art_price,MATCH(C1920,art_ref,0))),""))</f>
        <v/>
      </c>
      <c r="K1920" s="39" t="str">
        <f>IF(OR(C1920="",NOT(ISNUMBER(E1920))),"",IFERROR(ROUND(N(INDEX(art_init,MATCH(C1920,art_ref,0)))+SUMIFS($E$5:E1920,$C$5:C1920,C1920,$B$5:B1920,"Entrée")-SUMIFS($E$5:E1920,$C$5:C1920,C1920,$B$5:B1920,"Sortie"),6),""))</f>
        <v/>
      </c>
      <c r="L1920" s="39" t="str">
        <f>IF(COUNTA(A1920:C1920,E1920)=0,"",IF(COUNTA(A1920:C1920,E1920)&lt;4,"Ligne incomplète",IF(NOT(ISNUMBER(A1920)),"Date invalide",IF(AND(B1920&lt;&gt;"Entrée",B1920&lt;&gt;"Sortie"),"Type inconnu",IF(ISNA(MATCH(C1920,art_ref,0)),"Référence inconnue",IF(OR(NOT(ISNUMBER(E1920)),N(E1920)&lt;=0),"Quantité invalide",IF(K1920&lt;0,"Stock négatif",IF(AND(ISNUMBER(A1919),A1920&lt;A1919),"Date hors ordre","OK"))))))))</f>
        <v/>
      </c>
      <c r="M1920" s="39" t="str">
        <f>IF(C1920="","",C1920&amp;"#"&amp;COUNTIF($C$5:C1920,C1920))</f>
        <v/>
      </c>
    </row>
    <row r="1921">
      <c r="A1921" s="41" t="n"/>
      <c r="B1921" s="37" t="n"/>
      <c r="C1921" s="37" t="n"/>
      <c r="D1921" s="39" t="str">
        <f>IF(C1921="","",IFERROR(INDEX(art_des,MATCH(C1921,art_ref,0))&amp;"","Référence inconnue"))</f>
        <v/>
      </c>
      <c r="E1921" s="37" t="n"/>
      <c r="F1921" s="39" t="str">
        <f>IF(C1921="","",IFERROR(INDEX(art_unit,MATCH(C1921,art_ref,0))&amp;"",""))</f>
        <v/>
      </c>
      <c r="G1921" s="37" t="n"/>
      <c r="H1921" s="37" t="n"/>
      <c r="I1921" s="37" t="n"/>
      <c r="J1921" s="40" t="str">
        <f>IF(OR(C1921="",NOT(ISNUMBER(E1921))),"",IFERROR(E1921*N(INDEX(art_price,MATCH(C1921,art_ref,0))),""))</f>
        <v/>
      </c>
      <c r="K1921" s="39" t="str">
        <f>IF(OR(C1921="",NOT(ISNUMBER(E1921))),"",IFERROR(ROUND(N(INDEX(art_init,MATCH(C1921,art_ref,0)))+SUMIFS($E$5:E1921,$C$5:C1921,C1921,$B$5:B1921,"Entrée")-SUMIFS($E$5:E1921,$C$5:C1921,C1921,$B$5:B1921,"Sortie"),6),""))</f>
        <v/>
      </c>
      <c r="L1921" s="39" t="str">
        <f>IF(COUNTA(A1921:C1921,E1921)=0,"",IF(COUNTA(A1921:C1921,E1921)&lt;4,"Ligne incomplète",IF(NOT(ISNUMBER(A1921)),"Date invalide",IF(AND(B1921&lt;&gt;"Entrée",B1921&lt;&gt;"Sortie"),"Type inconnu",IF(ISNA(MATCH(C1921,art_ref,0)),"Référence inconnue",IF(OR(NOT(ISNUMBER(E1921)),N(E1921)&lt;=0),"Quantité invalide",IF(K1921&lt;0,"Stock négatif",IF(AND(ISNUMBER(A1920),A1921&lt;A1920),"Date hors ordre","OK"))))))))</f>
        <v/>
      </c>
      <c r="M1921" s="39" t="str">
        <f>IF(C1921="","",C1921&amp;"#"&amp;COUNTIF($C$5:C1921,C1921))</f>
        <v/>
      </c>
    </row>
    <row r="1922">
      <c r="A1922" s="41" t="n"/>
      <c r="B1922" s="37" t="n"/>
      <c r="C1922" s="37" t="n"/>
      <c r="D1922" s="39" t="str">
        <f>IF(C1922="","",IFERROR(INDEX(art_des,MATCH(C1922,art_ref,0))&amp;"","Référence inconnue"))</f>
        <v/>
      </c>
      <c r="E1922" s="37" t="n"/>
      <c r="F1922" s="39" t="str">
        <f>IF(C1922="","",IFERROR(INDEX(art_unit,MATCH(C1922,art_ref,0))&amp;"",""))</f>
        <v/>
      </c>
      <c r="G1922" s="37" t="n"/>
      <c r="H1922" s="37" t="n"/>
      <c r="I1922" s="37" t="n"/>
      <c r="J1922" s="40" t="str">
        <f>IF(OR(C1922="",NOT(ISNUMBER(E1922))),"",IFERROR(E1922*N(INDEX(art_price,MATCH(C1922,art_ref,0))),""))</f>
        <v/>
      </c>
      <c r="K1922" s="39" t="str">
        <f>IF(OR(C1922="",NOT(ISNUMBER(E1922))),"",IFERROR(ROUND(N(INDEX(art_init,MATCH(C1922,art_ref,0)))+SUMIFS($E$5:E1922,$C$5:C1922,C1922,$B$5:B1922,"Entrée")-SUMIFS($E$5:E1922,$C$5:C1922,C1922,$B$5:B1922,"Sortie"),6),""))</f>
        <v/>
      </c>
      <c r="L1922" s="39" t="str">
        <f>IF(COUNTA(A1922:C1922,E1922)=0,"",IF(COUNTA(A1922:C1922,E1922)&lt;4,"Ligne incomplète",IF(NOT(ISNUMBER(A1922)),"Date invalide",IF(AND(B1922&lt;&gt;"Entrée",B1922&lt;&gt;"Sortie"),"Type inconnu",IF(ISNA(MATCH(C1922,art_ref,0)),"Référence inconnue",IF(OR(NOT(ISNUMBER(E1922)),N(E1922)&lt;=0),"Quantité invalide",IF(K1922&lt;0,"Stock négatif",IF(AND(ISNUMBER(A1921),A1922&lt;A1921),"Date hors ordre","OK"))))))))</f>
        <v/>
      </c>
      <c r="M1922" s="39" t="str">
        <f>IF(C1922="","",C1922&amp;"#"&amp;COUNTIF($C$5:C1922,C1922))</f>
        <v/>
      </c>
    </row>
    <row r="1923">
      <c r="A1923" s="41" t="n"/>
      <c r="B1923" s="37" t="n"/>
      <c r="C1923" s="37" t="n"/>
      <c r="D1923" s="39" t="str">
        <f>IF(C1923="","",IFERROR(INDEX(art_des,MATCH(C1923,art_ref,0))&amp;"","Référence inconnue"))</f>
        <v/>
      </c>
      <c r="E1923" s="37" t="n"/>
      <c r="F1923" s="39" t="str">
        <f>IF(C1923="","",IFERROR(INDEX(art_unit,MATCH(C1923,art_ref,0))&amp;"",""))</f>
        <v/>
      </c>
      <c r="G1923" s="37" t="n"/>
      <c r="H1923" s="37" t="n"/>
      <c r="I1923" s="37" t="n"/>
      <c r="J1923" s="40" t="str">
        <f>IF(OR(C1923="",NOT(ISNUMBER(E1923))),"",IFERROR(E1923*N(INDEX(art_price,MATCH(C1923,art_ref,0))),""))</f>
        <v/>
      </c>
      <c r="K1923" s="39" t="str">
        <f>IF(OR(C1923="",NOT(ISNUMBER(E1923))),"",IFERROR(ROUND(N(INDEX(art_init,MATCH(C1923,art_ref,0)))+SUMIFS($E$5:E1923,$C$5:C1923,C1923,$B$5:B1923,"Entrée")-SUMIFS($E$5:E1923,$C$5:C1923,C1923,$B$5:B1923,"Sortie"),6),""))</f>
        <v/>
      </c>
      <c r="L1923" s="39" t="str">
        <f>IF(COUNTA(A1923:C1923,E1923)=0,"",IF(COUNTA(A1923:C1923,E1923)&lt;4,"Ligne incomplète",IF(NOT(ISNUMBER(A1923)),"Date invalide",IF(AND(B1923&lt;&gt;"Entrée",B1923&lt;&gt;"Sortie"),"Type inconnu",IF(ISNA(MATCH(C1923,art_ref,0)),"Référence inconnue",IF(OR(NOT(ISNUMBER(E1923)),N(E1923)&lt;=0),"Quantité invalide",IF(K1923&lt;0,"Stock négatif",IF(AND(ISNUMBER(A1922),A1923&lt;A1922),"Date hors ordre","OK"))))))))</f>
        <v/>
      </c>
      <c r="M1923" s="39" t="str">
        <f>IF(C1923="","",C1923&amp;"#"&amp;COUNTIF($C$5:C1923,C1923))</f>
        <v/>
      </c>
    </row>
    <row r="1924">
      <c r="A1924" s="41" t="n"/>
      <c r="B1924" s="37" t="n"/>
      <c r="C1924" s="37" t="n"/>
      <c r="D1924" s="39" t="str">
        <f>IF(C1924="","",IFERROR(INDEX(art_des,MATCH(C1924,art_ref,0))&amp;"","Référence inconnue"))</f>
        <v/>
      </c>
      <c r="E1924" s="37" t="n"/>
      <c r="F1924" s="39" t="str">
        <f>IF(C1924="","",IFERROR(INDEX(art_unit,MATCH(C1924,art_ref,0))&amp;"",""))</f>
        <v/>
      </c>
      <c r="G1924" s="37" t="n"/>
      <c r="H1924" s="37" t="n"/>
      <c r="I1924" s="37" t="n"/>
      <c r="J1924" s="40" t="str">
        <f>IF(OR(C1924="",NOT(ISNUMBER(E1924))),"",IFERROR(E1924*N(INDEX(art_price,MATCH(C1924,art_ref,0))),""))</f>
        <v/>
      </c>
      <c r="K1924" s="39" t="str">
        <f>IF(OR(C1924="",NOT(ISNUMBER(E1924))),"",IFERROR(ROUND(N(INDEX(art_init,MATCH(C1924,art_ref,0)))+SUMIFS($E$5:E1924,$C$5:C1924,C1924,$B$5:B1924,"Entrée")-SUMIFS($E$5:E1924,$C$5:C1924,C1924,$B$5:B1924,"Sortie"),6),""))</f>
        <v/>
      </c>
      <c r="L1924" s="39" t="str">
        <f>IF(COUNTA(A1924:C1924,E1924)=0,"",IF(COUNTA(A1924:C1924,E1924)&lt;4,"Ligne incomplète",IF(NOT(ISNUMBER(A1924)),"Date invalide",IF(AND(B1924&lt;&gt;"Entrée",B1924&lt;&gt;"Sortie"),"Type inconnu",IF(ISNA(MATCH(C1924,art_ref,0)),"Référence inconnue",IF(OR(NOT(ISNUMBER(E1924)),N(E1924)&lt;=0),"Quantité invalide",IF(K1924&lt;0,"Stock négatif",IF(AND(ISNUMBER(A1923),A1924&lt;A1923),"Date hors ordre","OK"))))))))</f>
        <v/>
      </c>
      <c r="M1924" s="39" t="str">
        <f>IF(C1924="","",C1924&amp;"#"&amp;COUNTIF($C$5:C1924,C1924))</f>
        <v/>
      </c>
    </row>
    <row r="1925">
      <c r="A1925" s="41" t="n"/>
      <c r="B1925" s="37" t="n"/>
      <c r="C1925" s="37" t="n"/>
      <c r="D1925" s="39" t="str">
        <f>IF(C1925="","",IFERROR(INDEX(art_des,MATCH(C1925,art_ref,0))&amp;"","Référence inconnue"))</f>
        <v/>
      </c>
      <c r="E1925" s="37" t="n"/>
      <c r="F1925" s="39" t="str">
        <f>IF(C1925="","",IFERROR(INDEX(art_unit,MATCH(C1925,art_ref,0))&amp;"",""))</f>
        <v/>
      </c>
      <c r="G1925" s="37" t="n"/>
      <c r="H1925" s="37" t="n"/>
      <c r="I1925" s="37" t="n"/>
      <c r="J1925" s="40" t="str">
        <f>IF(OR(C1925="",NOT(ISNUMBER(E1925))),"",IFERROR(E1925*N(INDEX(art_price,MATCH(C1925,art_ref,0))),""))</f>
        <v/>
      </c>
      <c r="K1925" s="39" t="str">
        <f>IF(OR(C1925="",NOT(ISNUMBER(E1925))),"",IFERROR(ROUND(N(INDEX(art_init,MATCH(C1925,art_ref,0)))+SUMIFS($E$5:E1925,$C$5:C1925,C1925,$B$5:B1925,"Entrée")-SUMIFS($E$5:E1925,$C$5:C1925,C1925,$B$5:B1925,"Sortie"),6),""))</f>
        <v/>
      </c>
      <c r="L1925" s="39" t="str">
        <f>IF(COUNTA(A1925:C1925,E1925)=0,"",IF(COUNTA(A1925:C1925,E1925)&lt;4,"Ligne incomplète",IF(NOT(ISNUMBER(A1925)),"Date invalide",IF(AND(B1925&lt;&gt;"Entrée",B1925&lt;&gt;"Sortie"),"Type inconnu",IF(ISNA(MATCH(C1925,art_ref,0)),"Référence inconnue",IF(OR(NOT(ISNUMBER(E1925)),N(E1925)&lt;=0),"Quantité invalide",IF(K1925&lt;0,"Stock négatif",IF(AND(ISNUMBER(A1924),A1925&lt;A1924),"Date hors ordre","OK"))))))))</f>
        <v/>
      </c>
      <c r="M1925" s="39" t="str">
        <f>IF(C1925="","",C1925&amp;"#"&amp;COUNTIF($C$5:C1925,C1925))</f>
        <v/>
      </c>
    </row>
    <row r="1926">
      <c r="A1926" s="41" t="n"/>
      <c r="B1926" s="37" t="n"/>
      <c r="C1926" s="37" t="n"/>
      <c r="D1926" s="39" t="str">
        <f>IF(C1926="","",IFERROR(INDEX(art_des,MATCH(C1926,art_ref,0))&amp;"","Référence inconnue"))</f>
        <v/>
      </c>
      <c r="E1926" s="37" t="n"/>
      <c r="F1926" s="39" t="str">
        <f>IF(C1926="","",IFERROR(INDEX(art_unit,MATCH(C1926,art_ref,0))&amp;"",""))</f>
        <v/>
      </c>
      <c r="G1926" s="37" t="n"/>
      <c r="H1926" s="37" t="n"/>
      <c r="I1926" s="37" t="n"/>
      <c r="J1926" s="40" t="str">
        <f>IF(OR(C1926="",NOT(ISNUMBER(E1926))),"",IFERROR(E1926*N(INDEX(art_price,MATCH(C1926,art_ref,0))),""))</f>
        <v/>
      </c>
      <c r="K1926" s="39" t="str">
        <f>IF(OR(C1926="",NOT(ISNUMBER(E1926))),"",IFERROR(ROUND(N(INDEX(art_init,MATCH(C1926,art_ref,0)))+SUMIFS($E$5:E1926,$C$5:C1926,C1926,$B$5:B1926,"Entrée")-SUMIFS($E$5:E1926,$C$5:C1926,C1926,$B$5:B1926,"Sortie"),6),""))</f>
        <v/>
      </c>
      <c r="L1926" s="39" t="str">
        <f>IF(COUNTA(A1926:C1926,E1926)=0,"",IF(COUNTA(A1926:C1926,E1926)&lt;4,"Ligne incomplète",IF(NOT(ISNUMBER(A1926)),"Date invalide",IF(AND(B1926&lt;&gt;"Entrée",B1926&lt;&gt;"Sortie"),"Type inconnu",IF(ISNA(MATCH(C1926,art_ref,0)),"Référence inconnue",IF(OR(NOT(ISNUMBER(E1926)),N(E1926)&lt;=0),"Quantité invalide",IF(K1926&lt;0,"Stock négatif",IF(AND(ISNUMBER(A1925),A1926&lt;A1925),"Date hors ordre","OK"))))))))</f>
        <v/>
      </c>
      <c r="M1926" s="39" t="str">
        <f>IF(C1926="","",C1926&amp;"#"&amp;COUNTIF($C$5:C1926,C1926))</f>
        <v/>
      </c>
    </row>
    <row r="1927">
      <c r="A1927" s="41" t="n"/>
      <c r="B1927" s="37" t="n"/>
      <c r="C1927" s="37" t="n"/>
      <c r="D1927" s="39" t="str">
        <f>IF(C1927="","",IFERROR(INDEX(art_des,MATCH(C1927,art_ref,0))&amp;"","Référence inconnue"))</f>
        <v/>
      </c>
      <c r="E1927" s="37" t="n"/>
      <c r="F1927" s="39" t="str">
        <f>IF(C1927="","",IFERROR(INDEX(art_unit,MATCH(C1927,art_ref,0))&amp;"",""))</f>
        <v/>
      </c>
      <c r="G1927" s="37" t="n"/>
      <c r="H1927" s="37" t="n"/>
      <c r="I1927" s="37" t="n"/>
      <c r="J1927" s="40" t="str">
        <f>IF(OR(C1927="",NOT(ISNUMBER(E1927))),"",IFERROR(E1927*N(INDEX(art_price,MATCH(C1927,art_ref,0))),""))</f>
        <v/>
      </c>
      <c r="K1927" s="39" t="str">
        <f>IF(OR(C1927="",NOT(ISNUMBER(E1927))),"",IFERROR(ROUND(N(INDEX(art_init,MATCH(C1927,art_ref,0)))+SUMIFS($E$5:E1927,$C$5:C1927,C1927,$B$5:B1927,"Entrée")-SUMIFS($E$5:E1927,$C$5:C1927,C1927,$B$5:B1927,"Sortie"),6),""))</f>
        <v/>
      </c>
      <c r="L1927" s="39" t="str">
        <f>IF(COUNTA(A1927:C1927,E1927)=0,"",IF(COUNTA(A1927:C1927,E1927)&lt;4,"Ligne incomplète",IF(NOT(ISNUMBER(A1927)),"Date invalide",IF(AND(B1927&lt;&gt;"Entrée",B1927&lt;&gt;"Sortie"),"Type inconnu",IF(ISNA(MATCH(C1927,art_ref,0)),"Référence inconnue",IF(OR(NOT(ISNUMBER(E1927)),N(E1927)&lt;=0),"Quantité invalide",IF(K1927&lt;0,"Stock négatif",IF(AND(ISNUMBER(A1926),A1927&lt;A1926),"Date hors ordre","OK"))))))))</f>
        <v/>
      </c>
      <c r="M1927" s="39" t="str">
        <f>IF(C1927="","",C1927&amp;"#"&amp;COUNTIF($C$5:C1927,C1927))</f>
        <v/>
      </c>
    </row>
    <row r="1928">
      <c r="A1928" s="41" t="n"/>
      <c r="B1928" s="37" t="n"/>
      <c r="C1928" s="37" t="n"/>
      <c r="D1928" s="39" t="str">
        <f>IF(C1928="","",IFERROR(INDEX(art_des,MATCH(C1928,art_ref,0))&amp;"","Référence inconnue"))</f>
        <v/>
      </c>
      <c r="E1928" s="37" t="n"/>
      <c r="F1928" s="39" t="str">
        <f>IF(C1928="","",IFERROR(INDEX(art_unit,MATCH(C1928,art_ref,0))&amp;"",""))</f>
        <v/>
      </c>
      <c r="G1928" s="37" t="n"/>
      <c r="H1928" s="37" t="n"/>
      <c r="I1928" s="37" t="n"/>
      <c r="J1928" s="40" t="str">
        <f>IF(OR(C1928="",NOT(ISNUMBER(E1928))),"",IFERROR(E1928*N(INDEX(art_price,MATCH(C1928,art_ref,0))),""))</f>
        <v/>
      </c>
      <c r="K1928" s="39" t="str">
        <f>IF(OR(C1928="",NOT(ISNUMBER(E1928))),"",IFERROR(ROUND(N(INDEX(art_init,MATCH(C1928,art_ref,0)))+SUMIFS($E$5:E1928,$C$5:C1928,C1928,$B$5:B1928,"Entrée")-SUMIFS($E$5:E1928,$C$5:C1928,C1928,$B$5:B1928,"Sortie"),6),""))</f>
        <v/>
      </c>
      <c r="L1928" s="39" t="str">
        <f>IF(COUNTA(A1928:C1928,E1928)=0,"",IF(COUNTA(A1928:C1928,E1928)&lt;4,"Ligne incomplète",IF(NOT(ISNUMBER(A1928)),"Date invalide",IF(AND(B1928&lt;&gt;"Entrée",B1928&lt;&gt;"Sortie"),"Type inconnu",IF(ISNA(MATCH(C1928,art_ref,0)),"Référence inconnue",IF(OR(NOT(ISNUMBER(E1928)),N(E1928)&lt;=0),"Quantité invalide",IF(K1928&lt;0,"Stock négatif",IF(AND(ISNUMBER(A1927),A1928&lt;A1927),"Date hors ordre","OK"))))))))</f>
        <v/>
      </c>
      <c r="M1928" s="39" t="str">
        <f>IF(C1928="","",C1928&amp;"#"&amp;COUNTIF($C$5:C1928,C1928))</f>
        <v/>
      </c>
    </row>
    <row r="1929">
      <c r="A1929" s="41" t="n"/>
      <c r="B1929" s="37" t="n"/>
      <c r="C1929" s="37" t="n"/>
      <c r="D1929" s="39" t="str">
        <f>IF(C1929="","",IFERROR(INDEX(art_des,MATCH(C1929,art_ref,0))&amp;"","Référence inconnue"))</f>
        <v/>
      </c>
      <c r="E1929" s="37" t="n"/>
      <c r="F1929" s="39" t="str">
        <f>IF(C1929="","",IFERROR(INDEX(art_unit,MATCH(C1929,art_ref,0))&amp;"",""))</f>
        <v/>
      </c>
      <c r="G1929" s="37" t="n"/>
      <c r="H1929" s="37" t="n"/>
      <c r="I1929" s="37" t="n"/>
      <c r="J1929" s="40" t="str">
        <f>IF(OR(C1929="",NOT(ISNUMBER(E1929))),"",IFERROR(E1929*N(INDEX(art_price,MATCH(C1929,art_ref,0))),""))</f>
        <v/>
      </c>
      <c r="K1929" s="39" t="str">
        <f>IF(OR(C1929="",NOT(ISNUMBER(E1929))),"",IFERROR(ROUND(N(INDEX(art_init,MATCH(C1929,art_ref,0)))+SUMIFS($E$5:E1929,$C$5:C1929,C1929,$B$5:B1929,"Entrée")-SUMIFS($E$5:E1929,$C$5:C1929,C1929,$B$5:B1929,"Sortie"),6),""))</f>
        <v/>
      </c>
      <c r="L1929" s="39" t="str">
        <f>IF(COUNTA(A1929:C1929,E1929)=0,"",IF(COUNTA(A1929:C1929,E1929)&lt;4,"Ligne incomplète",IF(NOT(ISNUMBER(A1929)),"Date invalide",IF(AND(B1929&lt;&gt;"Entrée",B1929&lt;&gt;"Sortie"),"Type inconnu",IF(ISNA(MATCH(C1929,art_ref,0)),"Référence inconnue",IF(OR(NOT(ISNUMBER(E1929)),N(E1929)&lt;=0),"Quantité invalide",IF(K1929&lt;0,"Stock négatif",IF(AND(ISNUMBER(A1928),A1929&lt;A1928),"Date hors ordre","OK"))))))))</f>
        <v/>
      </c>
      <c r="M1929" s="39" t="str">
        <f>IF(C1929="","",C1929&amp;"#"&amp;COUNTIF($C$5:C1929,C1929))</f>
        <v/>
      </c>
    </row>
    <row r="1930">
      <c r="A1930" s="41" t="n"/>
      <c r="B1930" s="37" t="n"/>
      <c r="C1930" s="37" t="n"/>
      <c r="D1930" s="39" t="str">
        <f>IF(C1930="","",IFERROR(INDEX(art_des,MATCH(C1930,art_ref,0))&amp;"","Référence inconnue"))</f>
        <v/>
      </c>
      <c r="E1930" s="37" t="n"/>
      <c r="F1930" s="39" t="str">
        <f>IF(C1930="","",IFERROR(INDEX(art_unit,MATCH(C1930,art_ref,0))&amp;"",""))</f>
        <v/>
      </c>
      <c r="G1930" s="37" t="n"/>
      <c r="H1930" s="37" t="n"/>
      <c r="I1930" s="37" t="n"/>
      <c r="J1930" s="40" t="str">
        <f>IF(OR(C1930="",NOT(ISNUMBER(E1930))),"",IFERROR(E1930*N(INDEX(art_price,MATCH(C1930,art_ref,0))),""))</f>
        <v/>
      </c>
      <c r="K1930" s="39" t="str">
        <f>IF(OR(C1930="",NOT(ISNUMBER(E1930))),"",IFERROR(ROUND(N(INDEX(art_init,MATCH(C1930,art_ref,0)))+SUMIFS($E$5:E1930,$C$5:C1930,C1930,$B$5:B1930,"Entrée")-SUMIFS($E$5:E1930,$C$5:C1930,C1930,$B$5:B1930,"Sortie"),6),""))</f>
        <v/>
      </c>
      <c r="L1930" s="39" t="str">
        <f>IF(COUNTA(A1930:C1930,E1930)=0,"",IF(COUNTA(A1930:C1930,E1930)&lt;4,"Ligne incomplète",IF(NOT(ISNUMBER(A1930)),"Date invalide",IF(AND(B1930&lt;&gt;"Entrée",B1930&lt;&gt;"Sortie"),"Type inconnu",IF(ISNA(MATCH(C1930,art_ref,0)),"Référence inconnue",IF(OR(NOT(ISNUMBER(E1930)),N(E1930)&lt;=0),"Quantité invalide",IF(K1930&lt;0,"Stock négatif",IF(AND(ISNUMBER(A1929),A1930&lt;A1929),"Date hors ordre","OK"))))))))</f>
        <v/>
      </c>
      <c r="M1930" s="39" t="str">
        <f>IF(C1930="","",C1930&amp;"#"&amp;COUNTIF($C$5:C1930,C1930))</f>
        <v/>
      </c>
    </row>
    <row r="1931">
      <c r="A1931" s="41" t="n"/>
      <c r="B1931" s="37" t="n"/>
      <c r="C1931" s="37" t="n"/>
      <c r="D1931" s="39" t="str">
        <f>IF(C1931="","",IFERROR(INDEX(art_des,MATCH(C1931,art_ref,0))&amp;"","Référence inconnue"))</f>
        <v/>
      </c>
      <c r="E1931" s="37" t="n"/>
      <c r="F1931" s="39" t="str">
        <f>IF(C1931="","",IFERROR(INDEX(art_unit,MATCH(C1931,art_ref,0))&amp;"",""))</f>
        <v/>
      </c>
      <c r="G1931" s="37" t="n"/>
      <c r="H1931" s="37" t="n"/>
      <c r="I1931" s="37" t="n"/>
      <c r="J1931" s="40" t="str">
        <f>IF(OR(C1931="",NOT(ISNUMBER(E1931))),"",IFERROR(E1931*N(INDEX(art_price,MATCH(C1931,art_ref,0))),""))</f>
        <v/>
      </c>
      <c r="K1931" s="39" t="str">
        <f>IF(OR(C1931="",NOT(ISNUMBER(E1931))),"",IFERROR(ROUND(N(INDEX(art_init,MATCH(C1931,art_ref,0)))+SUMIFS($E$5:E1931,$C$5:C1931,C1931,$B$5:B1931,"Entrée")-SUMIFS($E$5:E1931,$C$5:C1931,C1931,$B$5:B1931,"Sortie"),6),""))</f>
        <v/>
      </c>
      <c r="L1931" s="39" t="str">
        <f>IF(COUNTA(A1931:C1931,E1931)=0,"",IF(COUNTA(A1931:C1931,E1931)&lt;4,"Ligne incomplète",IF(NOT(ISNUMBER(A1931)),"Date invalide",IF(AND(B1931&lt;&gt;"Entrée",B1931&lt;&gt;"Sortie"),"Type inconnu",IF(ISNA(MATCH(C1931,art_ref,0)),"Référence inconnue",IF(OR(NOT(ISNUMBER(E1931)),N(E1931)&lt;=0),"Quantité invalide",IF(K1931&lt;0,"Stock négatif",IF(AND(ISNUMBER(A1930),A1931&lt;A1930),"Date hors ordre","OK"))))))))</f>
        <v/>
      </c>
      <c r="M1931" s="39" t="str">
        <f>IF(C1931="","",C1931&amp;"#"&amp;COUNTIF($C$5:C1931,C1931))</f>
        <v/>
      </c>
    </row>
    <row r="1932">
      <c r="A1932" s="41" t="n"/>
      <c r="B1932" s="37" t="n"/>
      <c r="C1932" s="37" t="n"/>
      <c r="D1932" s="39" t="str">
        <f>IF(C1932="","",IFERROR(INDEX(art_des,MATCH(C1932,art_ref,0))&amp;"","Référence inconnue"))</f>
        <v/>
      </c>
      <c r="E1932" s="37" t="n"/>
      <c r="F1932" s="39" t="str">
        <f>IF(C1932="","",IFERROR(INDEX(art_unit,MATCH(C1932,art_ref,0))&amp;"",""))</f>
        <v/>
      </c>
      <c r="G1932" s="37" t="n"/>
      <c r="H1932" s="37" t="n"/>
      <c r="I1932" s="37" t="n"/>
      <c r="J1932" s="40" t="str">
        <f>IF(OR(C1932="",NOT(ISNUMBER(E1932))),"",IFERROR(E1932*N(INDEX(art_price,MATCH(C1932,art_ref,0))),""))</f>
        <v/>
      </c>
      <c r="K1932" s="39" t="str">
        <f>IF(OR(C1932="",NOT(ISNUMBER(E1932))),"",IFERROR(ROUND(N(INDEX(art_init,MATCH(C1932,art_ref,0)))+SUMIFS($E$5:E1932,$C$5:C1932,C1932,$B$5:B1932,"Entrée")-SUMIFS($E$5:E1932,$C$5:C1932,C1932,$B$5:B1932,"Sortie"),6),""))</f>
        <v/>
      </c>
      <c r="L1932" s="39" t="str">
        <f>IF(COUNTA(A1932:C1932,E1932)=0,"",IF(COUNTA(A1932:C1932,E1932)&lt;4,"Ligne incomplète",IF(NOT(ISNUMBER(A1932)),"Date invalide",IF(AND(B1932&lt;&gt;"Entrée",B1932&lt;&gt;"Sortie"),"Type inconnu",IF(ISNA(MATCH(C1932,art_ref,0)),"Référence inconnue",IF(OR(NOT(ISNUMBER(E1932)),N(E1932)&lt;=0),"Quantité invalide",IF(K1932&lt;0,"Stock négatif",IF(AND(ISNUMBER(A1931),A1932&lt;A1931),"Date hors ordre","OK"))))))))</f>
        <v/>
      </c>
      <c r="M1932" s="39" t="str">
        <f>IF(C1932="","",C1932&amp;"#"&amp;COUNTIF($C$5:C1932,C1932))</f>
        <v/>
      </c>
    </row>
    <row r="1933">
      <c r="A1933" s="41" t="n"/>
      <c r="B1933" s="37" t="n"/>
      <c r="C1933" s="37" t="n"/>
      <c r="D1933" s="39" t="str">
        <f>IF(C1933="","",IFERROR(INDEX(art_des,MATCH(C1933,art_ref,0))&amp;"","Référence inconnue"))</f>
        <v/>
      </c>
      <c r="E1933" s="37" t="n"/>
      <c r="F1933" s="39" t="str">
        <f>IF(C1933="","",IFERROR(INDEX(art_unit,MATCH(C1933,art_ref,0))&amp;"",""))</f>
        <v/>
      </c>
      <c r="G1933" s="37" t="n"/>
      <c r="H1933" s="37" t="n"/>
      <c r="I1933" s="37" t="n"/>
      <c r="J1933" s="40" t="str">
        <f>IF(OR(C1933="",NOT(ISNUMBER(E1933))),"",IFERROR(E1933*N(INDEX(art_price,MATCH(C1933,art_ref,0))),""))</f>
        <v/>
      </c>
      <c r="K1933" s="39" t="str">
        <f>IF(OR(C1933="",NOT(ISNUMBER(E1933))),"",IFERROR(ROUND(N(INDEX(art_init,MATCH(C1933,art_ref,0)))+SUMIFS($E$5:E1933,$C$5:C1933,C1933,$B$5:B1933,"Entrée")-SUMIFS($E$5:E1933,$C$5:C1933,C1933,$B$5:B1933,"Sortie"),6),""))</f>
        <v/>
      </c>
      <c r="L1933" s="39" t="str">
        <f>IF(COUNTA(A1933:C1933,E1933)=0,"",IF(COUNTA(A1933:C1933,E1933)&lt;4,"Ligne incomplète",IF(NOT(ISNUMBER(A1933)),"Date invalide",IF(AND(B1933&lt;&gt;"Entrée",B1933&lt;&gt;"Sortie"),"Type inconnu",IF(ISNA(MATCH(C1933,art_ref,0)),"Référence inconnue",IF(OR(NOT(ISNUMBER(E1933)),N(E1933)&lt;=0),"Quantité invalide",IF(K1933&lt;0,"Stock négatif",IF(AND(ISNUMBER(A1932),A1933&lt;A1932),"Date hors ordre","OK"))))))))</f>
        <v/>
      </c>
      <c r="M1933" s="39" t="str">
        <f>IF(C1933="","",C1933&amp;"#"&amp;COUNTIF($C$5:C1933,C1933))</f>
        <v/>
      </c>
    </row>
    <row r="1934">
      <c r="A1934" s="41" t="n"/>
      <c r="B1934" s="37" t="n"/>
      <c r="C1934" s="37" t="n"/>
      <c r="D1934" s="39" t="str">
        <f>IF(C1934="","",IFERROR(INDEX(art_des,MATCH(C1934,art_ref,0))&amp;"","Référence inconnue"))</f>
        <v/>
      </c>
      <c r="E1934" s="37" t="n"/>
      <c r="F1934" s="39" t="str">
        <f>IF(C1934="","",IFERROR(INDEX(art_unit,MATCH(C1934,art_ref,0))&amp;"",""))</f>
        <v/>
      </c>
      <c r="G1934" s="37" t="n"/>
      <c r="H1934" s="37" t="n"/>
      <c r="I1934" s="37" t="n"/>
      <c r="J1934" s="40" t="str">
        <f>IF(OR(C1934="",NOT(ISNUMBER(E1934))),"",IFERROR(E1934*N(INDEX(art_price,MATCH(C1934,art_ref,0))),""))</f>
        <v/>
      </c>
      <c r="K1934" s="39" t="str">
        <f>IF(OR(C1934="",NOT(ISNUMBER(E1934))),"",IFERROR(ROUND(N(INDEX(art_init,MATCH(C1934,art_ref,0)))+SUMIFS($E$5:E1934,$C$5:C1934,C1934,$B$5:B1934,"Entrée")-SUMIFS($E$5:E1934,$C$5:C1934,C1934,$B$5:B1934,"Sortie"),6),""))</f>
        <v/>
      </c>
      <c r="L1934" s="39" t="str">
        <f>IF(COUNTA(A1934:C1934,E1934)=0,"",IF(COUNTA(A1934:C1934,E1934)&lt;4,"Ligne incomplète",IF(NOT(ISNUMBER(A1934)),"Date invalide",IF(AND(B1934&lt;&gt;"Entrée",B1934&lt;&gt;"Sortie"),"Type inconnu",IF(ISNA(MATCH(C1934,art_ref,0)),"Référence inconnue",IF(OR(NOT(ISNUMBER(E1934)),N(E1934)&lt;=0),"Quantité invalide",IF(K1934&lt;0,"Stock négatif",IF(AND(ISNUMBER(A1933),A1934&lt;A1933),"Date hors ordre","OK"))))))))</f>
        <v/>
      </c>
      <c r="M1934" s="39" t="str">
        <f>IF(C1934="","",C1934&amp;"#"&amp;COUNTIF($C$5:C1934,C1934))</f>
        <v/>
      </c>
    </row>
    <row r="1935">
      <c r="A1935" s="41" t="n"/>
      <c r="B1935" s="37" t="n"/>
      <c r="C1935" s="37" t="n"/>
      <c r="D1935" s="39" t="str">
        <f>IF(C1935="","",IFERROR(INDEX(art_des,MATCH(C1935,art_ref,0))&amp;"","Référence inconnue"))</f>
        <v/>
      </c>
      <c r="E1935" s="37" t="n"/>
      <c r="F1935" s="39" t="str">
        <f>IF(C1935="","",IFERROR(INDEX(art_unit,MATCH(C1935,art_ref,0))&amp;"",""))</f>
        <v/>
      </c>
      <c r="G1935" s="37" t="n"/>
      <c r="H1935" s="37" t="n"/>
      <c r="I1935" s="37" t="n"/>
      <c r="J1935" s="40" t="str">
        <f>IF(OR(C1935="",NOT(ISNUMBER(E1935))),"",IFERROR(E1935*N(INDEX(art_price,MATCH(C1935,art_ref,0))),""))</f>
        <v/>
      </c>
      <c r="K1935" s="39" t="str">
        <f>IF(OR(C1935="",NOT(ISNUMBER(E1935))),"",IFERROR(ROUND(N(INDEX(art_init,MATCH(C1935,art_ref,0)))+SUMIFS($E$5:E1935,$C$5:C1935,C1935,$B$5:B1935,"Entrée")-SUMIFS($E$5:E1935,$C$5:C1935,C1935,$B$5:B1935,"Sortie"),6),""))</f>
        <v/>
      </c>
      <c r="L1935" s="39" t="str">
        <f>IF(COUNTA(A1935:C1935,E1935)=0,"",IF(COUNTA(A1935:C1935,E1935)&lt;4,"Ligne incomplète",IF(NOT(ISNUMBER(A1935)),"Date invalide",IF(AND(B1935&lt;&gt;"Entrée",B1935&lt;&gt;"Sortie"),"Type inconnu",IF(ISNA(MATCH(C1935,art_ref,0)),"Référence inconnue",IF(OR(NOT(ISNUMBER(E1935)),N(E1935)&lt;=0),"Quantité invalide",IF(K1935&lt;0,"Stock négatif",IF(AND(ISNUMBER(A1934),A1935&lt;A1934),"Date hors ordre","OK"))))))))</f>
        <v/>
      </c>
      <c r="M1935" s="39" t="str">
        <f>IF(C1935="","",C1935&amp;"#"&amp;COUNTIF($C$5:C1935,C1935))</f>
        <v/>
      </c>
    </row>
    <row r="1936">
      <c r="A1936" s="41" t="n"/>
      <c r="B1936" s="37" t="n"/>
      <c r="C1936" s="37" t="n"/>
      <c r="D1936" s="39" t="str">
        <f>IF(C1936="","",IFERROR(INDEX(art_des,MATCH(C1936,art_ref,0))&amp;"","Référence inconnue"))</f>
        <v/>
      </c>
      <c r="E1936" s="37" t="n"/>
      <c r="F1936" s="39" t="str">
        <f>IF(C1936="","",IFERROR(INDEX(art_unit,MATCH(C1936,art_ref,0))&amp;"",""))</f>
        <v/>
      </c>
      <c r="G1936" s="37" t="n"/>
      <c r="H1936" s="37" t="n"/>
      <c r="I1936" s="37" t="n"/>
      <c r="J1936" s="40" t="str">
        <f>IF(OR(C1936="",NOT(ISNUMBER(E1936))),"",IFERROR(E1936*N(INDEX(art_price,MATCH(C1936,art_ref,0))),""))</f>
        <v/>
      </c>
      <c r="K1936" s="39" t="str">
        <f>IF(OR(C1936="",NOT(ISNUMBER(E1936))),"",IFERROR(ROUND(N(INDEX(art_init,MATCH(C1936,art_ref,0)))+SUMIFS($E$5:E1936,$C$5:C1936,C1936,$B$5:B1936,"Entrée")-SUMIFS($E$5:E1936,$C$5:C1936,C1936,$B$5:B1936,"Sortie"),6),""))</f>
        <v/>
      </c>
      <c r="L1936" s="39" t="str">
        <f>IF(COUNTA(A1936:C1936,E1936)=0,"",IF(COUNTA(A1936:C1936,E1936)&lt;4,"Ligne incomplète",IF(NOT(ISNUMBER(A1936)),"Date invalide",IF(AND(B1936&lt;&gt;"Entrée",B1936&lt;&gt;"Sortie"),"Type inconnu",IF(ISNA(MATCH(C1936,art_ref,0)),"Référence inconnue",IF(OR(NOT(ISNUMBER(E1936)),N(E1936)&lt;=0),"Quantité invalide",IF(K1936&lt;0,"Stock négatif",IF(AND(ISNUMBER(A1935),A1936&lt;A1935),"Date hors ordre","OK"))))))))</f>
        <v/>
      </c>
      <c r="M1936" s="39" t="str">
        <f>IF(C1936="","",C1936&amp;"#"&amp;COUNTIF($C$5:C1936,C1936))</f>
        <v/>
      </c>
    </row>
    <row r="1937">
      <c r="A1937" s="41" t="n"/>
      <c r="B1937" s="37" t="n"/>
      <c r="C1937" s="37" t="n"/>
      <c r="D1937" s="39" t="str">
        <f>IF(C1937="","",IFERROR(INDEX(art_des,MATCH(C1937,art_ref,0))&amp;"","Référence inconnue"))</f>
        <v/>
      </c>
      <c r="E1937" s="37" t="n"/>
      <c r="F1937" s="39" t="str">
        <f>IF(C1937="","",IFERROR(INDEX(art_unit,MATCH(C1937,art_ref,0))&amp;"",""))</f>
        <v/>
      </c>
      <c r="G1937" s="37" t="n"/>
      <c r="H1937" s="37" t="n"/>
      <c r="I1937" s="37" t="n"/>
      <c r="J1937" s="40" t="str">
        <f>IF(OR(C1937="",NOT(ISNUMBER(E1937))),"",IFERROR(E1937*N(INDEX(art_price,MATCH(C1937,art_ref,0))),""))</f>
        <v/>
      </c>
      <c r="K1937" s="39" t="str">
        <f>IF(OR(C1937="",NOT(ISNUMBER(E1937))),"",IFERROR(ROUND(N(INDEX(art_init,MATCH(C1937,art_ref,0)))+SUMIFS($E$5:E1937,$C$5:C1937,C1937,$B$5:B1937,"Entrée")-SUMIFS($E$5:E1937,$C$5:C1937,C1937,$B$5:B1937,"Sortie"),6),""))</f>
        <v/>
      </c>
      <c r="L1937" s="39" t="str">
        <f>IF(COUNTA(A1937:C1937,E1937)=0,"",IF(COUNTA(A1937:C1937,E1937)&lt;4,"Ligne incomplète",IF(NOT(ISNUMBER(A1937)),"Date invalide",IF(AND(B1937&lt;&gt;"Entrée",B1937&lt;&gt;"Sortie"),"Type inconnu",IF(ISNA(MATCH(C1937,art_ref,0)),"Référence inconnue",IF(OR(NOT(ISNUMBER(E1937)),N(E1937)&lt;=0),"Quantité invalide",IF(K1937&lt;0,"Stock négatif",IF(AND(ISNUMBER(A1936),A1937&lt;A1936),"Date hors ordre","OK"))))))))</f>
        <v/>
      </c>
      <c r="M1937" s="39" t="str">
        <f>IF(C1937="","",C1937&amp;"#"&amp;COUNTIF($C$5:C1937,C1937))</f>
        <v/>
      </c>
    </row>
    <row r="1938">
      <c r="A1938" s="41" t="n"/>
      <c r="B1938" s="37" t="n"/>
      <c r="C1938" s="37" t="n"/>
      <c r="D1938" s="39" t="str">
        <f>IF(C1938="","",IFERROR(INDEX(art_des,MATCH(C1938,art_ref,0))&amp;"","Référence inconnue"))</f>
        <v/>
      </c>
      <c r="E1938" s="37" t="n"/>
      <c r="F1938" s="39" t="str">
        <f>IF(C1938="","",IFERROR(INDEX(art_unit,MATCH(C1938,art_ref,0))&amp;"",""))</f>
        <v/>
      </c>
      <c r="G1938" s="37" t="n"/>
      <c r="H1938" s="37" t="n"/>
      <c r="I1938" s="37" t="n"/>
      <c r="J1938" s="40" t="str">
        <f>IF(OR(C1938="",NOT(ISNUMBER(E1938))),"",IFERROR(E1938*N(INDEX(art_price,MATCH(C1938,art_ref,0))),""))</f>
        <v/>
      </c>
      <c r="K1938" s="39" t="str">
        <f>IF(OR(C1938="",NOT(ISNUMBER(E1938))),"",IFERROR(ROUND(N(INDEX(art_init,MATCH(C1938,art_ref,0)))+SUMIFS($E$5:E1938,$C$5:C1938,C1938,$B$5:B1938,"Entrée")-SUMIFS($E$5:E1938,$C$5:C1938,C1938,$B$5:B1938,"Sortie"),6),""))</f>
        <v/>
      </c>
      <c r="L1938" s="39" t="str">
        <f>IF(COUNTA(A1938:C1938,E1938)=0,"",IF(COUNTA(A1938:C1938,E1938)&lt;4,"Ligne incomplète",IF(NOT(ISNUMBER(A1938)),"Date invalide",IF(AND(B1938&lt;&gt;"Entrée",B1938&lt;&gt;"Sortie"),"Type inconnu",IF(ISNA(MATCH(C1938,art_ref,0)),"Référence inconnue",IF(OR(NOT(ISNUMBER(E1938)),N(E1938)&lt;=0),"Quantité invalide",IF(K1938&lt;0,"Stock négatif",IF(AND(ISNUMBER(A1937),A1938&lt;A1937),"Date hors ordre","OK"))))))))</f>
        <v/>
      </c>
      <c r="M1938" s="39" t="str">
        <f>IF(C1938="","",C1938&amp;"#"&amp;COUNTIF($C$5:C1938,C1938))</f>
        <v/>
      </c>
    </row>
    <row r="1939">
      <c r="A1939" s="41" t="n"/>
      <c r="B1939" s="37" t="n"/>
      <c r="C1939" s="37" t="n"/>
      <c r="D1939" s="39" t="str">
        <f>IF(C1939="","",IFERROR(INDEX(art_des,MATCH(C1939,art_ref,0))&amp;"","Référence inconnue"))</f>
        <v/>
      </c>
      <c r="E1939" s="37" t="n"/>
      <c r="F1939" s="39" t="str">
        <f>IF(C1939="","",IFERROR(INDEX(art_unit,MATCH(C1939,art_ref,0))&amp;"",""))</f>
        <v/>
      </c>
      <c r="G1939" s="37" t="n"/>
      <c r="H1939" s="37" t="n"/>
      <c r="I1939" s="37" t="n"/>
      <c r="J1939" s="40" t="str">
        <f>IF(OR(C1939="",NOT(ISNUMBER(E1939))),"",IFERROR(E1939*N(INDEX(art_price,MATCH(C1939,art_ref,0))),""))</f>
        <v/>
      </c>
      <c r="K1939" s="39" t="str">
        <f>IF(OR(C1939="",NOT(ISNUMBER(E1939))),"",IFERROR(ROUND(N(INDEX(art_init,MATCH(C1939,art_ref,0)))+SUMIFS($E$5:E1939,$C$5:C1939,C1939,$B$5:B1939,"Entrée")-SUMIFS($E$5:E1939,$C$5:C1939,C1939,$B$5:B1939,"Sortie"),6),""))</f>
        <v/>
      </c>
      <c r="L1939" s="39" t="str">
        <f>IF(COUNTA(A1939:C1939,E1939)=0,"",IF(COUNTA(A1939:C1939,E1939)&lt;4,"Ligne incomplète",IF(NOT(ISNUMBER(A1939)),"Date invalide",IF(AND(B1939&lt;&gt;"Entrée",B1939&lt;&gt;"Sortie"),"Type inconnu",IF(ISNA(MATCH(C1939,art_ref,0)),"Référence inconnue",IF(OR(NOT(ISNUMBER(E1939)),N(E1939)&lt;=0),"Quantité invalide",IF(K1939&lt;0,"Stock négatif",IF(AND(ISNUMBER(A1938),A1939&lt;A1938),"Date hors ordre","OK"))))))))</f>
        <v/>
      </c>
      <c r="M1939" s="39" t="str">
        <f>IF(C1939="","",C1939&amp;"#"&amp;COUNTIF($C$5:C1939,C1939))</f>
        <v/>
      </c>
    </row>
    <row r="1940">
      <c r="A1940" s="41" t="n"/>
      <c r="B1940" s="37" t="n"/>
      <c r="C1940" s="37" t="n"/>
      <c r="D1940" s="39" t="str">
        <f>IF(C1940="","",IFERROR(INDEX(art_des,MATCH(C1940,art_ref,0))&amp;"","Référence inconnue"))</f>
        <v/>
      </c>
      <c r="E1940" s="37" t="n"/>
      <c r="F1940" s="39" t="str">
        <f>IF(C1940="","",IFERROR(INDEX(art_unit,MATCH(C1940,art_ref,0))&amp;"",""))</f>
        <v/>
      </c>
      <c r="G1940" s="37" t="n"/>
      <c r="H1940" s="37" t="n"/>
      <c r="I1940" s="37" t="n"/>
      <c r="J1940" s="40" t="str">
        <f>IF(OR(C1940="",NOT(ISNUMBER(E1940))),"",IFERROR(E1940*N(INDEX(art_price,MATCH(C1940,art_ref,0))),""))</f>
        <v/>
      </c>
      <c r="K1940" s="39" t="str">
        <f>IF(OR(C1940="",NOT(ISNUMBER(E1940))),"",IFERROR(ROUND(N(INDEX(art_init,MATCH(C1940,art_ref,0)))+SUMIFS($E$5:E1940,$C$5:C1940,C1940,$B$5:B1940,"Entrée")-SUMIFS($E$5:E1940,$C$5:C1940,C1940,$B$5:B1940,"Sortie"),6),""))</f>
        <v/>
      </c>
      <c r="L1940" s="39" t="str">
        <f>IF(COUNTA(A1940:C1940,E1940)=0,"",IF(COUNTA(A1940:C1940,E1940)&lt;4,"Ligne incomplète",IF(NOT(ISNUMBER(A1940)),"Date invalide",IF(AND(B1940&lt;&gt;"Entrée",B1940&lt;&gt;"Sortie"),"Type inconnu",IF(ISNA(MATCH(C1940,art_ref,0)),"Référence inconnue",IF(OR(NOT(ISNUMBER(E1940)),N(E1940)&lt;=0),"Quantité invalide",IF(K1940&lt;0,"Stock négatif",IF(AND(ISNUMBER(A1939),A1940&lt;A1939),"Date hors ordre","OK"))))))))</f>
        <v/>
      </c>
      <c r="M1940" s="39" t="str">
        <f>IF(C1940="","",C1940&amp;"#"&amp;COUNTIF($C$5:C1940,C1940))</f>
        <v/>
      </c>
    </row>
    <row r="1941">
      <c r="A1941" s="41" t="n"/>
      <c r="B1941" s="37" t="n"/>
      <c r="C1941" s="37" t="n"/>
      <c r="D1941" s="39" t="str">
        <f>IF(C1941="","",IFERROR(INDEX(art_des,MATCH(C1941,art_ref,0))&amp;"","Référence inconnue"))</f>
        <v/>
      </c>
      <c r="E1941" s="37" t="n"/>
      <c r="F1941" s="39" t="str">
        <f>IF(C1941="","",IFERROR(INDEX(art_unit,MATCH(C1941,art_ref,0))&amp;"",""))</f>
        <v/>
      </c>
      <c r="G1941" s="37" t="n"/>
      <c r="H1941" s="37" t="n"/>
      <c r="I1941" s="37" t="n"/>
      <c r="J1941" s="40" t="str">
        <f>IF(OR(C1941="",NOT(ISNUMBER(E1941))),"",IFERROR(E1941*N(INDEX(art_price,MATCH(C1941,art_ref,0))),""))</f>
        <v/>
      </c>
      <c r="K1941" s="39" t="str">
        <f>IF(OR(C1941="",NOT(ISNUMBER(E1941))),"",IFERROR(ROUND(N(INDEX(art_init,MATCH(C1941,art_ref,0)))+SUMIFS($E$5:E1941,$C$5:C1941,C1941,$B$5:B1941,"Entrée")-SUMIFS($E$5:E1941,$C$5:C1941,C1941,$B$5:B1941,"Sortie"),6),""))</f>
        <v/>
      </c>
      <c r="L1941" s="39" t="str">
        <f>IF(COUNTA(A1941:C1941,E1941)=0,"",IF(COUNTA(A1941:C1941,E1941)&lt;4,"Ligne incomplète",IF(NOT(ISNUMBER(A1941)),"Date invalide",IF(AND(B1941&lt;&gt;"Entrée",B1941&lt;&gt;"Sortie"),"Type inconnu",IF(ISNA(MATCH(C1941,art_ref,0)),"Référence inconnue",IF(OR(NOT(ISNUMBER(E1941)),N(E1941)&lt;=0),"Quantité invalide",IF(K1941&lt;0,"Stock négatif",IF(AND(ISNUMBER(A1940),A1941&lt;A1940),"Date hors ordre","OK"))))))))</f>
        <v/>
      </c>
      <c r="M1941" s="39" t="str">
        <f>IF(C1941="","",C1941&amp;"#"&amp;COUNTIF($C$5:C1941,C1941))</f>
        <v/>
      </c>
    </row>
    <row r="1942">
      <c r="A1942" s="41" t="n"/>
      <c r="B1942" s="37" t="n"/>
      <c r="C1942" s="37" t="n"/>
      <c r="D1942" s="39" t="str">
        <f>IF(C1942="","",IFERROR(INDEX(art_des,MATCH(C1942,art_ref,0))&amp;"","Référence inconnue"))</f>
        <v/>
      </c>
      <c r="E1942" s="37" t="n"/>
      <c r="F1942" s="39" t="str">
        <f>IF(C1942="","",IFERROR(INDEX(art_unit,MATCH(C1942,art_ref,0))&amp;"",""))</f>
        <v/>
      </c>
      <c r="G1942" s="37" t="n"/>
      <c r="H1942" s="37" t="n"/>
      <c r="I1942" s="37" t="n"/>
      <c r="J1942" s="40" t="str">
        <f>IF(OR(C1942="",NOT(ISNUMBER(E1942))),"",IFERROR(E1942*N(INDEX(art_price,MATCH(C1942,art_ref,0))),""))</f>
        <v/>
      </c>
      <c r="K1942" s="39" t="str">
        <f>IF(OR(C1942="",NOT(ISNUMBER(E1942))),"",IFERROR(ROUND(N(INDEX(art_init,MATCH(C1942,art_ref,0)))+SUMIFS($E$5:E1942,$C$5:C1942,C1942,$B$5:B1942,"Entrée")-SUMIFS($E$5:E1942,$C$5:C1942,C1942,$B$5:B1942,"Sortie"),6),""))</f>
        <v/>
      </c>
      <c r="L1942" s="39" t="str">
        <f>IF(COUNTA(A1942:C1942,E1942)=0,"",IF(COUNTA(A1942:C1942,E1942)&lt;4,"Ligne incomplète",IF(NOT(ISNUMBER(A1942)),"Date invalide",IF(AND(B1942&lt;&gt;"Entrée",B1942&lt;&gt;"Sortie"),"Type inconnu",IF(ISNA(MATCH(C1942,art_ref,0)),"Référence inconnue",IF(OR(NOT(ISNUMBER(E1942)),N(E1942)&lt;=0),"Quantité invalide",IF(K1942&lt;0,"Stock négatif",IF(AND(ISNUMBER(A1941),A1942&lt;A1941),"Date hors ordre","OK"))))))))</f>
        <v/>
      </c>
      <c r="M1942" s="39" t="str">
        <f>IF(C1942="","",C1942&amp;"#"&amp;COUNTIF($C$5:C1942,C1942))</f>
        <v/>
      </c>
    </row>
    <row r="1943">
      <c r="A1943" s="41" t="n"/>
      <c r="B1943" s="37" t="n"/>
      <c r="C1943" s="37" t="n"/>
      <c r="D1943" s="39" t="str">
        <f>IF(C1943="","",IFERROR(INDEX(art_des,MATCH(C1943,art_ref,0))&amp;"","Référence inconnue"))</f>
        <v/>
      </c>
      <c r="E1943" s="37" t="n"/>
      <c r="F1943" s="39" t="str">
        <f>IF(C1943="","",IFERROR(INDEX(art_unit,MATCH(C1943,art_ref,0))&amp;"",""))</f>
        <v/>
      </c>
      <c r="G1943" s="37" t="n"/>
      <c r="H1943" s="37" t="n"/>
      <c r="I1943" s="37" t="n"/>
      <c r="J1943" s="40" t="str">
        <f>IF(OR(C1943="",NOT(ISNUMBER(E1943))),"",IFERROR(E1943*N(INDEX(art_price,MATCH(C1943,art_ref,0))),""))</f>
        <v/>
      </c>
      <c r="K1943" s="39" t="str">
        <f>IF(OR(C1943="",NOT(ISNUMBER(E1943))),"",IFERROR(ROUND(N(INDEX(art_init,MATCH(C1943,art_ref,0)))+SUMIFS($E$5:E1943,$C$5:C1943,C1943,$B$5:B1943,"Entrée")-SUMIFS($E$5:E1943,$C$5:C1943,C1943,$B$5:B1943,"Sortie"),6),""))</f>
        <v/>
      </c>
      <c r="L1943" s="39" t="str">
        <f>IF(COUNTA(A1943:C1943,E1943)=0,"",IF(COUNTA(A1943:C1943,E1943)&lt;4,"Ligne incomplète",IF(NOT(ISNUMBER(A1943)),"Date invalide",IF(AND(B1943&lt;&gt;"Entrée",B1943&lt;&gt;"Sortie"),"Type inconnu",IF(ISNA(MATCH(C1943,art_ref,0)),"Référence inconnue",IF(OR(NOT(ISNUMBER(E1943)),N(E1943)&lt;=0),"Quantité invalide",IF(K1943&lt;0,"Stock négatif",IF(AND(ISNUMBER(A1942),A1943&lt;A1942),"Date hors ordre","OK"))))))))</f>
        <v/>
      </c>
      <c r="M1943" s="39" t="str">
        <f>IF(C1943="","",C1943&amp;"#"&amp;COUNTIF($C$5:C1943,C1943))</f>
        <v/>
      </c>
    </row>
    <row r="1944">
      <c r="A1944" s="41" t="n"/>
      <c r="B1944" s="37" t="n"/>
      <c r="C1944" s="37" t="n"/>
      <c r="D1944" s="39" t="str">
        <f>IF(C1944="","",IFERROR(INDEX(art_des,MATCH(C1944,art_ref,0))&amp;"","Référence inconnue"))</f>
        <v/>
      </c>
      <c r="E1944" s="37" t="n"/>
      <c r="F1944" s="39" t="str">
        <f>IF(C1944="","",IFERROR(INDEX(art_unit,MATCH(C1944,art_ref,0))&amp;"",""))</f>
        <v/>
      </c>
      <c r="G1944" s="37" t="n"/>
      <c r="H1944" s="37" t="n"/>
      <c r="I1944" s="37" t="n"/>
      <c r="J1944" s="40" t="str">
        <f>IF(OR(C1944="",NOT(ISNUMBER(E1944))),"",IFERROR(E1944*N(INDEX(art_price,MATCH(C1944,art_ref,0))),""))</f>
        <v/>
      </c>
      <c r="K1944" s="39" t="str">
        <f>IF(OR(C1944="",NOT(ISNUMBER(E1944))),"",IFERROR(ROUND(N(INDEX(art_init,MATCH(C1944,art_ref,0)))+SUMIFS($E$5:E1944,$C$5:C1944,C1944,$B$5:B1944,"Entrée")-SUMIFS($E$5:E1944,$C$5:C1944,C1944,$B$5:B1944,"Sortie"),6),""))</f>
        <v/>
      </c>
      <c r="L1944" s="39" t="str">
        <f>IF(COUNTA(A1944:C1944,E1944)=0,"",IF(COUNTA(A1944:C1944,E1944)&lt;4,"Ligne incomplète",IF(NOT(ISNUMBER(A1944)),"Date invalide",IF(AND(B1944&lt;&gt;"Entrée",B1944&lt;&gt;"Sortie"),"Type inconnu",IF(ISNA(MATCH(C1944,art_ref,0)),"Référence inconnue",IF(OR(NOT(ISNUMBER(E1944)),N(E1944)&lt;=0),"Quantité invalide",IF(K1944&lt;0,"Stock négatif",IF(AND(ISNUMBER(A1943),A1944&lt;A1943),"Date hors ordre","OK"))))))))</f>
        <v/>
      </c>
      <c r="M1944" s="39" t="str">
        <f>IF(C1944="","",C1944&amp;"#"&amp;COUNTIF($C$5:C1944,C1944))</f>
        <v/>
      </c>
    </row>
    <row r="1945">
      <c r="A1945" s="41" t="n"/>
      <c r="B1945" s="37" t="n"/>
      <c r="C1945" s="37" t="n"/>
      <c r="D1945" s="39" t="str">
        <f>IF(C1945="","",IFERROR(INDEX(art_des,MATCH(C1945,art_ref,0))&amp;"","Référence inconnue"))</f>
        <v/>
      </c>
      <c r="E1945" s="37" t="n"/>
      <c r="F1945" s="39" t="str">
        <f>IF(C1945="","",IFERROR(INDEX(art_unit,MATCH(C1945,art_ref,0))&amp;"",""))</f>
        <v/>
      </c>
      <c r="G1945" s="37" t="n"/>
      <c r="H1945" s="37" t="n"/>
      <c r="I1945" s="37" t="n"/>
      <c r="J1945" s="40" t="str">
        <f>IF(OR(C1945="",NOT(ISNUMBER(E1945))),"",IFERROR(E1945*N(INDEX(art_price,MATCH(C1945,art_ref,0))),""))</f>
        <v/>
      </c>
      <c r="K1945" s="39" t="str">
        <f>IF(OR(C1945="",NOT(ISNUMBER(E1945))),"",IFERROR(ROUND(N(INDEX(art_init,MATCH(C1945,art_ref,0)))+SUMIFS($E$5:E1945,$C$5:C1945,C1945,$B$5:B1945,"Entrée")-SUMIFS($E$5:E1945,$C$5:C1945,C1945,$B$5:B1945,"Sortie"),6),""))</f>
        <v/>
      </c>
      <c r="L1945" s="39" t="str">
        <f>IF(COUNTA(A1945:C1945,E1945)=0,"",IF(COUNTA(A1945:C1945,E1945)&lt;4,"Ligne incomplète",IF(NOT(ISNUMBER(A1945)),"Date invalide",IF(AND(B1945&lt;&gt;"Entrée",B1945&lt;&gt;"Sortie"),"Type inconnu",IF(ISNA(MATCH(C1945,art_ref,0)),"Référence inconnue",IF(OR(NOT(ISNUMBER(E1945)),N(E1945)&lt;=0),"Quantité invalide",IF(K1945&lt;0,"Stock négatif",IF(AND(ISNUMBER(A1944),A1945&lt;A1944),"Date hors ordre","OK"))))))))</f>
        <v/>
      </c>
      <c r="M1945" s="39" t="str">
        <f>IF(C1945="","",C1945&amp;"#"&amp;COUNTIF($C$5:C1945,C1945))</f>
        <v/>
      </c>
    </row>
    <row r="1946">
      <c r="A1946" s="41" t="n"/>
      <c r="B1946" s="37" t="n"/>
      <c r="C1946" s="37" t="n"/>
      <c r="D1946" s="39" t="str">
        <f>IF(C1946="","",IFERROR(INDEX(art_des,MATCH(C1946,art_ref,0))&amp;"","Référence inconnue"))</f>
        <v/>
      </c>
      <c r="E1946" s="37" t="n"/>
      <c r="F1946" s="39" t="str">
        <f>IF(C1946="","",IFERROR(INDEX(art_unit,MATCH(C1946,art_ref,0))&amp;"",""))</f>
        <v/>
      </c>
      <c r="G1946" s="37" t="n"/>
      <c r="H1946" s="37" t="n"/>
      <c r="I1946" s="37" t="n"/>
      <c r="J1946" s="40" t="str">
        <f>IF(OR(C1946="",NOT(ISNUMBER(E1946))),"",IFERROR(E1946*N(INDEX(art_price,MATCH(C1946,art_ref,0))),""))</f>
        <v/>
      </c>
      <c r="K1946" s="39" t="str">
        <f>IF(OR(C1946="",NOT(ISNUMBER(E1946))),"",IFERROR(ROUND(N(INDEX(art_init,MATCH(C1946,art_ref,0)))+SUMIFS($E$5:E1946,$C$5:C1946,C1946,$B$5:B1946,"Entrée")-SUMIFS($E$5:E1946,$C$5:C1946,C1946,$B$5:B1946,"Sortie"),6),""))</f>
        <v/>
      </c>
      <c r="L1946" s="39" t="str">
        <f>IF(COUNTA(A1946:C1946,E1946)=0,"",IF(COUNTA(A1946:C1946,E1946)&lt;4,"Ligne incomplète",IF(NOT(ISNUMBER(A1946)),"Date invalide",IF(AND(B1946&lt;&gt;"Entrée",B1946&lt;&gt;"Sortie"),"Type inconnu",IF(ISNA(MATCH(C1946,art_ref,0)),"Référence inconnue",IF(OR(NOT(ISNUMBER(E1946)),N(E1946)&lt;=0),"Quantité invalide",IF(K1946&lt;0,"Stock négatif",IF(AND(ISNUMBER(A1945),A1946&lt;A1945),"Date hors ordre","OK"))))))))</f>
        <v/>
      </c>
      <c r="M1946" s="39" t="str">
        <f>IF(C1946="","",C1946&amp;"#"&amp;COUNTIF($C$5:C1946,C1946))</f>
        <v/>
      </c>
    </row>
    <row r="1947">
      <c r="A1947" s="41" t="n"/>
      <c r="B1947" s="37" t="n"/>
      <c r="C1947" s="37" t="n"/>
      <c r="D1947" s="39" t="str">
        <f>IF(C1947="","",IFERROR(INDEX(art_des,MATCH(C1947,art_ref,0))&amp;"","Référence inconnue"))</f>
        <v/>
      </c>
      <c r="E1947" s="37" t="n"/>
      <c r="F1947" s="39" t="str">
        <f>IF(C1947="","",IFERROR(INDEX(art_unit,MATCH(C1947,art_ref,0))&amp;"",""))</f>
        <v/>
      </c>
      <c r="G1947" s="37" t="n"/>
      <c r="H1947" s="37" t="n"/>
      <c r="I1947" s="37" t="n"/>
      <c r="J1947" s="40" t="str">
        <f>IF(OR(C1947="",NOT(ISNUMBER(E1947))),"",IFERROR(E1947*N(INDEX(art_price,MATCH(C1947,art_ref,0))),""))</f>
        <v/>
      </c>
      <c r="K1947" s="39" t="str">
        <f>IF(OR(C1947="",NOT(ISNUMBER(E1947))),"",IFERROR(ROUND(N(INDEX(art_init,MATCH(C1947,art_ref,0)))+SUMIFS($E$5:E1947,$C$5:C1947,C1947,$B$5:B1947,"Entrée")-SUMIFS($E$5:E1947,$C$5:C1947,C1947,$B$5:B1947,"Sortie"),6),""))</f>
        <v/>
      </c>
      <c r="L1947" s="39" t="str">
        <f>IF(COUNTA(A1947:C1947,E1947)=0,"",IF(COUNTA(A1947:C1947,E1947)&lt;4,"Ligne incomplète",IF(NOT(ISNUMBER(A1947)),"Date invalide",IF(AND(B1947&lt;&gt;"Entrée",B1947&lt;&gt;"Sortie"),"Type inconnu",IF(ISNA(MATCH(C1947,art_ref,0)),"Référence inconnue",IF(OR(NOT(ISNUMBER(E1947)),N(E1947)&lt;=0),"Quantité invalide",IF(K1947&lt;0,"Stock négatif",IF(AND(ISNUMBER(A1946),A1947&lt;A1946),"Date hors ordre","OK"))))))))</f>
        <v/>
      </c>
      <c r="M1947" s="39" t="str">
        <f>IF(C1947="","",C1947&amp;"#"&amp;COUNTIF($C$5:C1947,C1947))</f>
        <v/>
      </c>
    </row>
    <row r="1948">
      <c r="A1948" s="41" t="n"/>
      <c r="B1948" s="37" t="n"/>
      <c r="C1948" s="37" t="n"/>
      <c r="D1948" s="39" t="str">
        <f>IF(C1948="","",IFERROR(INDEX(art_des,MATCH(C1948,art_ref,0))&amp;"","Référence inconnue"))</f>
        <v/>
      </c>
      <c r="E1948" s="37" t="n"/>
      <c r="F1948" s="39" t="str">
        <f>IF(C1948="","",IFERROR(INDEX(art_unit,MATCH(C1948,art_ref,0))&amp;"",""))</f>
        <v/>
      </c>
      <c r="G1948" s="37" t="n"/>
      <c r="H1948" s="37" t="n"/>
      <c r="I1948" s="37" t="n"/>
      <c r="J1948" s="40" t="str">
        <f>IF(OR(C1948="",NOT(ISNUMBER(E1948))),"",IFERROR(E1948*N(INDEX(art_price,MATCH(C1948,art_ref,0))),""))</f>
        <v/>
      </c>
      <c r="K1948" s="39" t="str">
        <f>IF(OR(C1948="",NOT(ISNUMBER(E1948))),"",IFERROR(ROUND(N(INDEX(art_init,MATCH(C1948,art_ref,0)))+SUMIFS($E$5:E1948,$C$5:C1948,C1948,$B$5:B1948,"Entrée")-SUMIFS($E$5:E1948,$C$5:C1948,C1948,$B$5:B1948,"Sortie"),6),""))</f>
        <v/>
      </c>
      <c r="L1948" s="39" t="str">
        <f>IF(COUNTA(A1948:C1948,E1948)=0,"",IF(COUNTA(A1948:C1948,E1948)&lt;4,"Ligne incomplète",IF(NOT(ISNUMBER(A1948)),"Date invalide",IF(AND(B1948&lt;&gt;"Entrée",B1948&lt;&gt;"Sortie"),"Type inconnu",IF(ISNA(MATCH(C1948,art_ref,0)),"Référence inconnue",IF(OR(NOT(ISNUMBER(E1948)),N(E1948)&lt;=0),"Quantité invalide",IF(K1948&lt;0,"Stock négatif",IF(AND(ISNUMBER(A1947),A1948&lt;A1947),"Date hors ordre","OK"))))))))</f>
        <v/>
      </c>
      <c r="M1948" s="39" t="str">
        <f>IF(C1948="","",C1948&amp;"#"&amp;COUNTIF($C$5:C1948,C1948))</f>
        <v/>
      </c>
    </row>
    <row r="1949">
      <c r="A1949" s="41" t="n"/>
      <c r="B1949" s="37" t="n"/>
      <c r="C1949" s="37" t="n"/>
      <c r="D1949" s="39" t="str">
        <f>IF(C1949="","",IFERROR(INDEX(art_des,MATCH(C1949,art_ref,0))&amp;"","Référence inconnue"))</f>
        <v/>
      </c>
      <c r="E1949" s="37" t="n"/>
      <c r="F1949" s="39" t="str">
        <f>IF(C1949="","",IFERROR(INDEX(art_unit,MATCH(C1949,art_ref,0))&amp;"",""))</f>
        <v/>
      </c>
      <c r="G1949" s="37" t="n"/>
      <c r="H1949" s="37" t="n"/>
      <c r="I1949" s="37" t="n"/>
      <c r="J1949" s="40" t="str">
        <f>IF(OR(C1949="",NOT(ISNUMBER(E1949))),"",IFERROR(E1949*N(INDEX(art_price,MATCH(C1949,art_ref,0))),""))</f>
        <v/>
      </c>
      <c r="K1949" s="39" t="str">
        <f>IF(OR(C1949="",NOT(ISNUMBER(E1949))),"",IFERROR(ROUND(N(INDEX(art_init,MATCH(C1949,art_ref,0)))+SUMIFS($E$5:E1949,$C$5:C1949,C1949,$B$5:B1949,"Entrée")-SUMIFS($E$5:E1949,$C$5:C1949,C1949,$B$5:B1949,"Sortie"),6),""))</f>
        <v/>
      </c>
      <c r="L1949" s="39" t="str">
        <f>IF(COUNTA(A1949:C1949,E1949)=0,"",IF(COUNTA(A1949:C1949,E1949)&lt;4,"Ligne incomplète",IF(NOT(ISNUMBER(A1949)),"Date invalide",IF(AND(B1949&lt;&gt;"Entrée",B1949&lt;&gt;"Sortie"),"Type inconnu",IF(ISNA(MATCH(C1949,art_ref,0)),"Référence inconnue",IF(OR(NOT(ISNUMBER(E1949)),N(E1949)&lt;=0),"Quantité invalide",IF(K1949&lt;0,"Stock négatif",IF(AND(ISNUMBER(A1948),A1949&lt;A1948),"Date hors ordre","OK"))))))))</f>
        <v/>
      </c>
      <c r="M1949" s="39" t="str">
        <f>IF(C1949="","",C1949&amp;"#"&amp;COUNTIF($C$5:C1949,C1949))</f>
        <v/>
      </c>
    </row>
    <row r="1950">
      <c r="A1950" s="41" t="n"/>
      <c r="B1950" s="37" t="n"/>
      <c r="C1950" s="37" t="n"/>
      <c r="D1950" s="39" t="str">
        <f>IF(C1950="","",IFERROR(INDEX(art_des,MATCH(C1950,art_ref,0))&amp;"","Référence inconnue"))</f>
        <v/>
      </c>
      <c r="E1950" s="37" t="n"/>
      <c r="F1950" s="39" t="str">
        <f>IF(C1950="","",IFERROR(INDEX(art_unit,MATCH(C1950,art_ref,0))&amp;"",""))</f>
        <v/>
      </c>
      <c r="G1950" s="37" t="n"/>
      <c r="H1950" s="37" t="n"/>
      <c r="I1950" s="37" t="n"/>
      <c r="J1950" s="40" t="str">
        <f>IF(OR(C1950="",NOT(ISNUMBER(E1950))),"",IFERROR(E1950*N(INDEX(art_price,MATCH(C1950,art_ref,0))),""))</f>
        <v/>
      </c>
      <c r="K1950" s="39" t="str">
        <f>IF(OR(C1950="",NOT(ISNUMBER(E1950))),"",IFERROR(ROUND(N(INDEX(art_init,MATCH(C1950,art_ref,0)))+SUMIFS($E$5:E1950,$C$5:C1950,C1950,$B$5:B1950,"Entrée")-SUMIFS($E$5:E1950,$C$5:C1950,C1950,$B$5:B1950,"Sortie"),6),""))</f>
        <v/>
      </c>
      <c r="L1950" s="39" t="str">
        <f>IF(COUNTA(A1950:C1950,E1950)=0,"",IF(COUNTA(A1950:C1950,E1950)&lt;4,"Ligne incomplète",IF(NOT(ISNUMBER(A1950)),"Date invalide",IF(AND(B1950&lt;&gt;"Entrée",B1950&lt;&gt;"Sortie"),"Type inconnu",IF(ISNA(MATCH(C1950,art_ref,0)),"Référence inconnue",IF(OR(NOT(ISNUMBER(E1950)),N(E1950)&lt;=0),"Quantité invalide",IF(K1950&lt;0,"Stock négatif",IF(AND(ISNUMBER(A1949),A1950&lt;A1949),"Date hors ordre","OK"))))))))</f>
        <v/>
      </c>
      <c r="M1950" s="39" t="str">
        <f>IF(C1950="","",C1950&amp;"#"&amp;COUNTIF($C$5:C1950,C1950))</f>
        <v/>
      </c>
    </row>
    <row r="1951">
      <c r="A1951" s="41" t="n"/>
      <c r="B1951" s="37" t="n"/>
      <c r="C1951" s="37" t="n"/>
      <c r="D1951" s="39" t="str">
        <f>IF(C1951="","",IFERROR(INDEX(art_des,MATCH(C1951,art_ref,0))&amp;"","Référence inconnue"))</f>
        <v/>
      </c>
      <c r="E1951" s="37" t="n"/>
      <c r="F1951" s="39" t="str">
        <f>IF(C1951="","",IFERROR(INDEX(art_unit,MATCH(C1951,art_ref,0))&amp;"",""))</f>
        <v/>
      </c>
      <c r="G1951" s="37" t="n"/>
      <c r="H1951" s="37" t="n"/>
      <c r="I1951" s="37" t="n"/>
      <c r="J1951" s="40" t="str">
        <f>IF(OR(C1951="",NOT(ISNUMBER(E1951))),"",IFERROR(E1951*N(INDEX(art_price,MATCH(C1951,art_ref,0))),""))</f>
        <v/>
      </c>
      <c r="K1951" s="39" t="str">
        <f>IF(OR(C1951="",NOT(ISNUMBER(E1951))),"",IFERROR(ROUND(N(INDEX(art_init,MATCH(C1951,art_ref,0)))+SUMIFS($E$5:E1951,$C$5:C1951,C1951,$B$5:B1951,"Entrée")-SUMIFS($E$5:E1951,$C$5:C1951,C1951,$B$5:B1951,"Sortie"),6),""))</f>
        <v/>
      </c>
      <c r="L1951" s="39" t="str">
        <f>IF(COUNTA(A1951:C1951,E1951)=0,"",IF(COUNTA(A1951:C1951,E1951)&lt;4,"Ligne incomplète",IF(NOT(ISNUMBER(A1951)),"Date invalide",IF(AND(B1951&lt;&gt;"Entrée",B1951&lt;&gt;"Sortie"),"Type inconnu",IF(ISNA(MATCH(C1951,art_ref,0)),"Référence inconnue",IF(OR(NOT(ISNUMBER(E1951)),N(E1951)&lt;=0),"Quantité invalide",IF(K1951&lt;0,"Stock négatif",IF(AND(ISNUMBER(A1950),A1951&lt;A1950),"Date hors ordre","OK"))))))))</f>
        <v/>
      </c>
      <c r="M1951" s="39" t="str">
        <f>IF(C1951="","",C1951&amp;"#"&amp;COUNTIF($C$5:C1951,C1951))</f>
        <v/>
      </c>
    </row>
    <row r="1952">
      <c r="A1952" s="41" t="n"/>
      <c r="B1952" s="37" t="n"/>
      <c r="C1952" s="37" t="n"/>
      <c r="D1952" s="39" t="str">
        <f>IF(C1952="","",IFERROR(INDEX(art_des,MATCH(C1952,art_ref,0))&amp;"","Référence inconnue"))</f>
        <v/>
      </c>
      <c r="E1952" s="37" t="n"/>
      <c r="F1952" s="39" t="str">
        <f>IF(C1952="","",IFERROR(INDEX(art_unit,MATCH(C1952,art_ref,0))&amp;"",""))</f>
        <v/>
      </c>
      <c r="G1952" s="37" t="n"/>
      <c r="H1952" s="37" t="n"/>
      <c r="I1952" s="37" t="n"/>
      <c r="J1952" s="40" t="str">
        <f>IF(OR(C1952="",NOT(ISNUMBER(E1952))),"",IFERROR(E1952*N(INDEX(art_price,MATCH(C1952,art_ref,0))),""))</f>
        <v/>
      </c>
      <c r="K1952" s="39" t="str">
        <f>IF(OR(C1952="",NOT(ISNUMBER(E1952))),"",IFERROR(ROUND(N(INDEX(art_init,MATCH(C1952,art_ref,0)))+SUMIFS($E$5:E1952,$C$5:C1952,C1952,$B$5:B1952,"Entrée")-SUMIFS($E$5:E1952,$C$5:C1952,C1952,$B$5:B1952,"Sortie"),6),""))</f>
        <v/>
      </c>
      <c r="L1952" s="39" t="str">
        <f>IF(COUNTA(A1952:C1952,E1952)=0,"",IF(COUNTA(A1952:C1952,E1952)&lt;4,"Ligne incomplète",IF(NOT(ISNUMBER(A1952)),"Date invalide",IF(AND(B1952&lt;&gt;"Entrée",B1952&lt;&gt;"Sortie"),"Type inconnu",IF(ISNA(MATCH(C1952,art_ref,0)),"Référence inconnue",IF(OR(NOT(ISNUMBER(E1952)),N(E1952)&lt;=0),"Quantité invalide",IF(K1952&lt;0,"Stock négatif",IF(AND(ISNUMBER(A1951),A1952&lt;A1951),"Date hors ordre","OK"))))))))</f>
        <v/>
      </c>
      <c r="M1952" s="39" t="str">
        <f>IF(C1952="","",C1952&amp;"#"&amp;COUNTIF($C$5:C1952,C1952))</f>
        <v/>
      </c>
    </row>
    <row r="1953">
      <c r="A1953" s="41" t="n"/>
      <c r="B1953" s="37" t="n"/>
      <c r="C1953" s="37" t="n"/>
      <c r="D1953" s="39" t="str">
        <f>IF(C1953="","",IFERROR(INDEX(art_des,MATCH(C1953,art_ref,0))&amp;"","Référence inconnue"))</f>
        <v/>
      </c>
      <c r="E1953" s="37" t="n"/>
      <c r="F1953" s="39" t="str">
        <f>IF(C1953="","",IFERROR(INDEX(art_unit,MATCH(C1953,art_ref,0))&amp;"",""))</f>
        <v/>
      </c>
      <c r="G1953" s="37" t="n"/>
      <c r="H1953" s="37" t="n"/>
      <c r="I1953" s="37" t="n"/>
      <c r="J1953" s="40" t="str">
        <f>IF(OR(C1953="",NOT(ISNUMBER(E1953))),"",IFERROR(E1953*N(INDEX(art_price,MATCH(C1953,art_ref,0))),""))</f>
        <v/>
      </c>
      <c r="K1953" s="39" t="str">
        <f>IF(OR(C1953="",NOT(ISNUMBER(E1953))),"",IFERROR(ROUND(N(INDEX(art_init,MATCH(C1953,art_ref,0)))+SUMIFS($E$5:E1953,$C$5:C1953,C1953,$B$5:B1953,"Entrée")-SUMIFS($E$5:E1953,$C$5:C1953,C1953,$B$5:B1953,"Sortie"),6),""))</f>
        <v/>
      </c>
      <c r="L1953" s="39" t="str">
        <f>IF(COUNTA(A1953:C1953,E1953)=0,"",IF(COUNTA(A1953:C1953,E1953)&lt;4,"Ligne incomplète",IF(NOT(ISNUMBER(A1953)),"Date invalide",IF(AND(B1953&lt;&gt;"Entrée",B1953&lt;&gt;"Sortie"),"Type inconnu",IF(ISNA(MATCH(C1953,art_ref,0)),"Référence inconnue",IF(OR(NOT(ISNUMBER(E1953)),N(E1953)&lt;=0),"Quantité invalide",IF(K1953&lt;0,"Stock négatif",IF(AND(ISNUMBER(A1952),A1953&lt;A1952),"Date hors ordre","OK"))))))))</f>
        <v/>
      </c>
      <c r="M1953" s="39" t="str">
        <f>IF(C1953="","",C1953&amp;"#"&amp;COUNTIF($C$5:C1953,C1953))</f>
        <v/>
      </c>
    </row>
    <row r="1954">
      <c r="A1954" s="41" t="n"/>
      <c r="B1954" s="37" t="n"/>
      <c r="C1954" s="37" t="n"/>
      <c r="D1954" s="39" t="str">
        <f>IF(C1954="","",IFERROR(INDEX(art_des,MATCH(C1954,art_ref,0))&amp;"","Référence inconnue"))</f>
        <v/>
      </c>
      <c r="E1954" s="37" t="n"/>
      <c r="F1954" s="39" t="str">
        <f>IF(C1954="","",IFERROR(INDEX(art_unit,MATCH(C1954,art_ref,0))&amp;"",""))</f>
        <v/>
      </c>
      <c r="G1954" s="37" t="n"/>
      <c r="H1954" s="37" t="n"/>
      <c r="I1954" s="37" t="n"/>
      <c r="J1954" s="40" t="str">
        <f>IF(OR(C1954="",NOT(ISNUMBER(E1954))),"",IFERROR(E1954*N(INDEX(art_price,MATCH(C1954,art_ref,0))),""))</f>
        <v/>
      </c>
      <c r="K1954" s="39" t="str">
        <f>IF(OR(C1954="",NOT(ISNUMBER(E1954))),"",IFERROR(ROUND(N(INDEX(art_init,MATCH(C1954,art_ref,0)))+SUMIFS($E$5:E1954,$C$5:C1954,C1954,$B$5:B1954,"Entrée")-SUMIFS($E$5:E1954,$C$5:C1954,C1954,$B$5:B1954,"Sortie"),6),""))</f>
        <v/>
      </c>
      <c r="L1954" s="39" t="str">
        <f>IF(COUNTA(A1954:C1954,E1954)=0,"",IF(COUNTA(A1954:C1954,E1954)&lt;4,"Ligne incomplète",IF(NOT(ISNUMBER(A1954)),"Date invalide",IF(AND(B1954&lt;&gt;"Entrée",B1954&lt;&gt;"Sortie"),"Type inconnu",IF(ISNA(MATCH(C1954,art_ref,0)),"Référence inconnue",IF(OR(NOT(ISNUMBER(E1954)),N(E1954)&lt;=0),"Quantité invalide",IF(K1954&lt;0,"Stock négatif",IF(AND(ISNUMBER(A1953),A1954&lt;A1953),"Date hors ordre","OK"))))))))</f>
        <v/>
      </c>
      <c r="M1954" s="39" t="str">
        <f>IF(C1954="","",C1954&amp;"#"&amp;COUNTIF($C$5:C1954,C1954))</f>
        <v/>
      </c>
    </row>
    <row r="1955">
      <c r="A1955" s="41" t="n"/>
      <c r="B1955" s="37" t="n"/>
      <c r="C1955" s="37" t="n"/>
      <c r="D1955" s="39" t="str">
        <f>IF(C1955="","",IFERROR(INDEX(art_des,MATCH(C1955,art_ref,0))&amp;"","Référence inconnue"))</f>
        <v/>
      </c>
      <c r="E1955" s="37" t="n"/>
      <c r="F1955" s="39" t="str">
        <f>IF(C1955="","",IFERROR(INDEX(art_unit,MATCH(C1955,art_ref,0))&amp;"",""))</f>
        <v/>
      </c>
      <c r="G1955" s="37" t="n"/>
      <c r="H1955" s="37" t="n"/>
      <c r="I1955" s="37" t="n"/>
      <c r="J1955" s="40" t="str">
        <f>IF(OR(C1955="",NOT(ISNUMBER(E1955))),"",IFERROR(E1955*N(INDEX(art_price,MATCH(C1955,art_ref,0))),""))</f>
        <v/>
      </c>
      <c r="K1955" s="39" t="str">
        <f>IF(OR(C1955="",NOT(ISNUMBER(E1955))),"",IFERROR(ROUND(N(INDEX(art_init,MATCH(C1955,art_ref,0)))+SUMIFS($E$5:E1955,$C$5:C1955,C1955,$B$5:B1955,"Entrée")-SUMIFS($E$5:E1955,$C$5:C1955,C1955,$B$5:B1955,"Sortie"),6),""))</f>
        <v/>
      </c>
      <c r="L1955" s="39" t="str">
        <f>IF(COUNTA(A1955:C1955,E1955)=0,"",IF(COUNTA(A1955:C1955,E1955)&lt;4,"Ligne incomplète",IF(NOT(ISNUMBER(A1955)),"Date invalide",IF(AND(B1955&lt;&gt;"Entrée",B1955&lt;&gt;"Sortie"),"Type inconnu",IF(ISNA(MATCH(C1955,art_ref,0)),"Référence inconnue",IF(OR(NOT(ISNUMBER(E1955)),N(E1955)&lt;=0),"Quantité invalide",IF(K1955&lt;0,"Stock négatif",IF(AND(ISNUMBER(A1954),A1955&lt;A1954),"Date hors ordre","OK"))))))))</f>
        <v/>
      </c>
      <c r="M1955" s="39" t="str">
        <f>IF(C1955="","",C1955&amp;"#"&amp;COUNTIF($C$5:C1955,C1955))</f>
        <v/>
      </c>
    </row>
    <row r="1956">
      <c r="A1956" s="41" t="n"/>
      <c r="B1956" s="37" t="n"/>
      <c r="C1956" s="37" t="n"/>
      <c r="D1956" s="39" t="str">
        <f>IF(C1956="","",IFERROR(INDEX(art_des,MATCH(C1956,art_ref,0))&amp;"","Référence inconnue"))</f>
        <v/>
      </c>
      <c r="E1956" s="37" t="n"/>
      <c r="F1956" s="39" t="str">
        <f>IF(C1956="","",IFERROR(INDEX(art_unit,MATCH(C1956,art_ref,0))&amp;"",""))</f>
        <v/>
      </c>
      <c r="G1956" s="37" t="n"/>
      <c r="H1956" s="37" t="n"/>
      <c r="I1956" s="37" t="n"/>
      <c r="J1956" s="40" t="str">
        <f>IF(OR(C1956="",NOT(ISNUMBER(E1956))),"",IFERROR(E1956*N(INDEX(art_price,MATCH(C1956,art_ref,0))),""))</f>
        <v/>
      </c>
      <c r="K1956" s="39" t="str">
        <f>IF(OR(C1956="",NOT(ISNUMBER(E1956))),"",IFERROR(ROUND(N(INDEX(art_init,MATCH(C1956,art_ref,0)))+SUMIFS($E$5:E1956,$C$5:C1956,C1956,$B$5:B1956,"Entrée")-SUMIFS($E$5:E1956,$C$5:C1956,C1956,$B$5:B1956,"Sortie"),6),""))</f>
        <v/>
      </c>
      <c r="L1956" s="39" t="str">
        <f>IF(COUNTA(A1956:C1956,E1956)=0,"",IF(COUNTA(A1956:C1956,E1956)&lt;4,"Ligne incomplète",IF(NOT(ISNUMBER(A1956)),"Date invalide",IF(AND(B1956&lt;&gt;"Entrée",B1956&lt;&gt;"Sortie"),"Type inconnu",IF(ISNA(MATCH(C1956,art_ref,0)),"Référence inconnue",IF(OR(NOT(ISNUMBER(E1956)),N(E1956)&lt;=0),"Quantité invalide",IF(K1956&lt;0,"Stock négatif",IF(AND(ISNUMBER(A1955),A1956&lt;A1955),"Date hors ordre","OK"))))))))</f>
        <v/>
      </c>
      <c r="M1956" s="39" t="str">
        <f>IF(C1956="","",C1956&amp;"#"&amp;COUNTIF($C$5:C1956,C1956))</f>
        <v/>
      </c>
    </row>
    <row r="1957">
      <c r="A1957" s="41" t="n"/>
      <c r="B1957" s="37" t="n"/>
      <c r="C1957" s="37" t="n"/>
      <c r="D1957" s="39" t="str">
        <f>IF(C1957="","",IFERROR(INDEX(art_des,MATCH(C1957,art_ref,0))&amp;"","Référence inconnue"))</f>
        <v/>
      </c>
      <c r="E1957" s="37" t="n"/>
      <c r="F1957" s="39" t="str">
        <f>IF(C1957="","",IFERROR(INDEX(art_unit,MATCH(C1957,art_ref,0))&amp;"",""))</f>
        <v/>
      </c>
      <c r="G1957" s="37" t="n"/>
      <c r="H1957" s="37" t="n"/>
      <c r="I1957" s="37" t="n"/>
      <c r="J1957" s="40" t="str">
        <f>IF(OR(C1957="",NOT(ISNUMBER(E1957))),"",IFERROR(E1957*N(INDEX(art_price,MATCH(C1957,art_ref,0))),""))</f>
        <v/>
      </c>
      <c r="K1957" s="39" t="str">
        <f>IF(OR(C1957="",NOT(ISNUMBER(E1957))),"",IFERROR(ROUND(N(INDEX(art_init,MATCH(C1957,art_ref,0)))+SUMIFS($E$5:E1957,$C$5:C1957,C1957,$B$5:B1957,"Entrée")-SUMIFS($E$5:E1957,$C$5:C1957,C1957,$B$5:B1957,"Sortie"),6),""))</f>
        <v/>
      </c>
      <c r="L1957" s="39" t="str">
        <f>IF(COUNTA(A1957:C1957,E1957)=0,"",IF(COUNTA(A1957:C1957,E1957)&lt;4,"Ligne incomplète",IF(NOT(ISNUMBER(A1957)),"Date invalide",IF(AND(B1957&lt;&gt;"Entrée",B1957&lt;&gt;"Sortie"),"Type inconnu",IF(ISNA(MATCH(C1957,art_ref,0)),"Référence inconnue",IF(OR(NOT(ISNUMBER(E1957)),N(E1957)&lt;=0),"Quantité invalide",IF(K1957&lt;0,"Stock négatif",IF(AND(ISNUMBER(A1956),A1957&lt;A1956),"Date hors ordre","OK"))))))))</f>
        <v/>
      </c>
      <c r="M1957" s="39" t="str">
        <f>IF(C1957="","",C1957&amp;"#"&amp;COUNTIF($C$5:C1957,C1957))</f>
        <v/>
      </c>
    </row>
    <row r="1958">
      <c r="A1958" s="41" t="n"/>
      <c r="B1958" s="37" t="n"/>
      <c r="C1958" s="37" t="n"/>
      <c r="D1958" s="39" t="str">
        <f>IF(C1958="","",IFERROR(INDEX(art_des,MATCH(C1958,art_ref,0))&amp;"","Référence inconnue"))</f>
        <v/>
      </c>
      <c r="E1958" s="37" t="n"/>
      <c r="F1958" s="39" t="str">
        <f>IF(C1958="","",IFERROR(INDEX(art_unit,MATCH(C1958,art_ref,0))&amp;"",""))</f>
        <v/>
      </c>
      <c r="G1958" s="37" t="n"/>
      <c r="H1958" s="37" t="n"/>
      <c r="I1958" s="37" t="n"/>
      <c r="J1958" s="40" t="str">
        <f>IF(OR(C1958="",NOT(ISNUMBER(E1958))),"",IFERROR(E1958*N(INDEX(art_price,MATCH(C1958,art_ref,0))),""))</f>
        <v/>
      </c>
      <c r="K1958" s="39" t="str">
        <f>IF(OR(C1958="",NOT(ISNUMBER(E1958))),"",IFERROR(ROUND(N(INDEX(art_init,MATCH(C1958,art_ref,0)))+SUMIFS($E$5:E1958,$C$5:C1958,C1958,$B$5:B1958,"Entrée")-SUMIFS($E$5:E1958,$C$5:C1958,C1958,$B$5:B1958,"Sortie"),6),""))</f>
        <v/>
      </c>
      <c r="L1958" s="39" t="str">
        <f>IF(COUNTA(A1958:C1958,E1958)=0,"",IF(COUNTA(A1958:C1958,E1958)&lt;4,"Ligne incomplète",IF(NOT(ISNUMBER(A1958)),"Date invalide",IF(AND(B1958&lt;&gt;"Entrée",B1958&lt;&gt;"Sortie"),"Type inconnu",IF(ISNA(MATCH(C1958,art_ref,0)),"Référence inconnue",IF(OR(NOT(ISNUMBER(E1958)),N(E1958)&lt;=0),"Quantité invalide",IF(K1958&lt;0,"Stock négatif",IF(AND(ISNUMBER(A1957),A1958&lt;A1957),"Date hors ordre","OK"))))))))</f>
        <v/>
      </c>
      <c r="M1958" s="39" t="str">
        <f>IF(C1958="","",C1958&amp;"#"&amp;COUNTIF($C$5:C1958,C1958))</f>
        <v/>
      </c>
    </row>
    <row r="1959">
      <c r="A1959" s="41" t="n"/>
      <c r="B1959" s="37" t="n"/>
      <c r="C1959" s="37" t="n"/>
      <c r="D1959" s="39" t="str">
        <f>IF(C1959="","",IFERROR(INDEX(art_des,MATCH(C1959,art_ref,0))&amp;"","Référence inconnue"))</f>
        <v/>
      </c>
      <c r="E1959" s="37" t="n"/>
      <c r="F1959" s="39" t="str">
        <f>IF(C1959="","",IFERROR(INDEX(art_unit,MATCH(C1959,art_ref,0))&amp;"",""))</f>
        <v/>
      </c>
      <c r="G1959" s="37" t="n"/>
      <c r="H1959" s="37" t="n"/>
      <c r="I1959" s="37" t="n"/>
      <c r="J1959" s="40" t="str">
        <f>IF(OR(C1959="",NOT(ISNUMBER(E1959))),"",IFERROR(E1959*N(INDEX(art_price,MATCH(C1959,art_ref,0))),""))</f>
        <v/>
      </c>
      <c r="K1959" s="39" t="str">
        <f>IF(OR(C1959="",NOT(ISNUMBER(E1959))),"",IFERROR(ROUND(N(INDEX(art_init,MATCH(C1959,art_ref,0)))+SUMIFS($E$5:E1959,$C$5:C1959,C1959,$B$5:B1959,"Entrée")-SUMIFS($E$5:E1959,$C$5:C1959,C1959,$B$5:B1959,"Sortie"),6),""))</f>
        <v/>
      </c>
      <c r="L1959" s="39" t="str">
        <f>IF(COUNTA(A1959:C1959,E1959)=0,"",IF(COUNTA(A1959:C1959,E1959)&lt;4,"Ligne incomplète",IF(NOT(ISNUMBER(A1959)),"Date invalide",IF(AND(B1959&lt;&gt;"Entrée",B1959&lt;&gt;"Sortie"),"Type inconnu",IF(ISNA(MATCH(C1959,art_ref,0)),"Référence inconnue",IF(OR(NOT(ISNUMBER(E1959)),N(E1959)&lt;=0),"Quantité invalide",IF(K1959&lt;0,"Stock négatif",IF(AND(ISNUMBER(A1958),A1959&lt;A1958),"Date hors ordre","OK"))))))))</f>
        <v/>
      </c>
      <c r="M1959" s="39" t="str">
        <f>IF(C1959="","",C1959&amp;"#"&amp;COUNTIF($C$5:C1959,C1959))</f>
        <v/>
      </c>
    </row>
    <row r="1960">
      <c r="A1960" s="41" t="n"/>
      <c r="B1960" s="37" t="n"/>
      <c r="C1960" s="37" t="n"/>
      <c r="D1960" s="39" t="str">
        <f>IF(C1960="","",IFERROR(INDEX(art_des,MATCH(C1960,art_ref,0))&amp;"","Référence inconnue"))</f>
        <v/>
      </c>
      <c r="E1960" s="37" t="n"/>
      <c r="F1960" s="39" t="str">
        <f>IF(C1960="","",IFERROR(INDEX(art_unit,MATCH(C1960,art_ref,0))&amp;"",""))</f>
        <v/>
      </c>
      <c r="G1960" s="37" t="n"/>
      <c r="H1960" s="37" t="n"/>
      <c r="I1960" s="37" t="n"/>
      <c r="J1960" s="40" t="str">
        <f>IF(OR(C1960="",NOT(ISNUMBER(E1960))),"",IFERROR(E1960*N(INDEX(art_price,MATCH(C1960,art_ref,0))),""))</f>
        <v/>
      </c>
      <c r="K1960" s="39" t="str">
        <f>IF(OR(C1960="",NOT(ISNUMBER(E1960))),"",IFERROR(ROUND(N(INDEX(art_init,MATCH(C1960,art_ref,0)))+SUMIFS($E$5:E1960,$C$5:C1960,C1960,$B$5:B1960,"Entrée")-SUMIFS($E$5:E1960,$C$5:C1960,C1960,$B$5:B1960,"Sortie"),6),""))</f>
        <v/>
      </c>
      <c r="L1960" s="39" t="str">
        <f>IF(COUNTA(A1960:C1960,E1960)=0,"",IF(COUNTA(A1960:C1960,E1960)&lt;4,"Ligne incomplète",IF(NOT(ISNUMBER(A1960)),"Date invalide",IF(AND(B1960&lt;&gt;"Entrée",B1960&lt;&gt;"Sortie"),"Type inconnu",IF(ISNA(MATCH(C1960,art_ref,0)),"Référence inconnue",IF(OR(NOT(ISNUMBER(E1960)),N(E1960)&lt;=0),"Quantité invalide",IF(K1960&lt;0,"Stock négatif",IF(AND(ISNUMBER(A1959),A1960&lt;A1959),"Date hors ordre","OK"))))))))</f>
        <v/>
      </c>
      <c r="M1960" s="39" t="str">
        <f>IF(C1960="","",C1960&amp;"#"&amp;COUNTIF($C$5:C1960,C1960))</f>
        <v/>
      </c>
    </row>
    <row r="1961">
      <c r="A1961" s="41" t="n"/>
      <c r="B1961" s="37" t="n"/>
      <c r="C1961" s="37" t="n"/>
      <c r="D1961" s="39" t="str">
        <f>IF(C1961="","",IFERROR(INDEX(art_des,MATCH(C1961,art_ref,0))&amp;"","Référence inconnue"))</f>
        <v/>
      </c>
      <c r="E1961" s="37" t="n"/>
      <c r="F1961" s="39" t="str">
        <f>IF(C1961="","",IFERROR(INDEX(art_unit,MATCH(C1961,art_ref,0))&amp;"",""))</f>
        <v/>
      </c>
      <c r="G1961" s="37" t="n"/>
      <c r="H1961" s="37" t="n"/>
      <c r="I1961" s="37" t="n"/>
      <c r="J1961" s="40" t="str">
        <f>IF(OR(C1961="",NOT(ISNUMBER(E1961))),"",IFERROR(E1961*N(INDEX(art_price,MATCH(C1961,art_ref,0))),""))</f>
        <v/>
      </c>
      <c r="K1961" s="39" t="str">
        <f>IF(OR(C1961="",NOT(ISNUMBER(E1961))),"",IFERROR(ROUND(N(INDEX(art_init,MATCH(C1961,art_ref,0)))+SUMIFS($E$5:E1961,$C$5:C1961,C1961,$B$5:B1961,"Entrée")-SUMIFS($E$5:E1961,$C$5:C1961,C1961,$B$5:B1961,"Sortie"),6),""))</f>
        <v/>
      </c>
      <c r="L1961" s="39" t="str">
        <f>IF(COUNTA(A1961:C1961,E1961)=0,"",IF(COUNTA(A1961:C1961,E1961)&lt;4,"Ligne incomplète",IF(NOT(ISNUMBER(A1961)),"Date invalide",IF(AND(B1961&lt;&gt;"Entrée",B1961&lt;&gt;"Sortie"),"Type inconnu",IF(ISNA(MATCH(C1961,art_ref,0)),"Référence inconnue",IF(OR(NOT(ISNUMBER(E1961)),N(E1961)&lt;=0),"Quantité invalide",IF(K1961&lt;0,"Stock négatif",IF(AND(ISNUMBER(A1960),A1961&lt;A1960),"Date hors ordre","OK"))))))))</f>
        <v/>
      </c>
      <c r="M1961" s="39" t="str">
        <f>IF(C1961="","",C1961&amp;"#"&amp;COUNTIF($C$5:C1961,C1961))</f>
        <v/>
      </c>
    </row>
    <row r="1962">
      <c r="A1962" s="41" t="n"/>
      <c r="B1962" s="37" t="n"/>
      <c r="C1962" s="37" t="n"/>
      <c r="D1962" s="39" t="str">
        <f>IF(C1962="","",IFERROR(INDEX(art_des,MATCH(C1962,art_ref,0))&amp;"","Référence inconnue"))</f>
        <v/>
      </c>
      <c r="E1962" s="37" t="n"/>
      <c r="F1962" s="39" t="str">
        <f>IF(C1962="","",IFERROR(INDEX(art_unit,MATCH(C1962,art_ref,0))&amp;"",""))</f>
        <v/>
      </c>
      <c r="G1962" s="37" t="n"/>
      <c r="H1962" s="37" t="n"/>
      <c r="I1962" s="37" t="n"/>
      <c r="J1962" s="40" t="str">
        <f>IF(OR(C1962="",NOT(ISNUMBER(E1962))),"",IFERROR(E1962*N(INDEX(art_price,MATCH(C1962,art_ref,0))),""))</f>
        <v/>
      </c>
      <c r="K1962" s="39" t="str">
        <f>IF(OR(C1962="",NOT(ISNUMBER(E1962))),"",IFERROR(ROUND(N(INDEX(art_init,MATCH(C1962,art_ref,0)))+SUMIFS($E$5:E1962,$C$5:C1962,C1962,$B$5:B1962,"Entrée")-SUMIFS($E$5:E1962,$C$5:C1962,C1962,$B$5:B1962,"Sortie"),6),""))</f>
        <v/>
      </c>
      <c r="L1962" s="39" t="str">
        <f>IF(COUNTA(A1962:C1962,E1962)=0,"",IF(COUNTA(A1962:C1962,E1962)&lt;4,"Ligne incomplète",IF(NOT(ISNUMBER(A1962)),"Date invalide",IF(AND(B1962&lt;&gt;"Entrée",B1962&lt;&gt;"Sortie"),"Type inconnu",IF(ISNA(MATCH(C1962,art_ref,0)),"Référence inconnue",IF(OR(NOT(ISNUMBER(E1962)),N(E1962)&lt;=0),"Quantité invalide",IF(K1962&lt;0,"Stock négatif",IF(AND(ISNUMBER(A1961),A1962&lt;A1961),"Date hors ordre","OK"))))))))</f>
        <v/>
      </c>
      <c r="M1962" s="39" t="str">
        <f>IF(C1962="","",C1962&amp;"#"&amp;COUNTIF($C$5:C1962,C1962))</f>
        <v/>
      </c>
    </row>
    <row r="1963">
      <c r="A1963" s="41" t="n"/>
      <c r="B1963" s="37" t="n"/>
      <c r="C1963" s="37" t="n"/>
      <c r="D1963" s="39" t="str">
        <f>IF(C1963="","",IFERROR(INDEX(art_des,MATCH(C1963,art_ref,0))&amp;"","Référence inconnue"))</f>
        <v/>
      </c>
      <c r="E1963" s="37" t="n"/>
      <c r="F1963" s="39" t="str">
        <f>IF(C1963="","",IFERROR(INDEX(art_unit,MATCH(C1963,art_ref,0))&amp;"",""))</f>
        <v/>
      </c>
      <c r="G1963" s="37" t="n"/>
      <c r="H1963" s="37" t="n"/>
      <c r="I1963" s="37" t="n"/>
      <c r="J1963" s="40" t="str">
        <f>IF(OR(C1963="",NOT(ISNUMBER(E1963))),"",IFERROR(E1963*N(INDEX(art_price,MATCH(C1963,art_ref,0))),""))</f>
        <v/>
      </c>
      <c r="K1963" s="39" t="str">
        <f>IF(OR(C1963="",NOT(ISNUMBER(E1963))),"",IFERROR(ROUND(N(INDEX(art_init,MATCH(C1963,art_ref,0)))+SUMIFS($E$5:E1963,$C$5:C1963,C1963,$B$5:B1963,"Entrée")-SUMIFS($E$5:E1963,$C$5:C1963,C1963,$B$5:B1963,"Sortie"),6),""))</f>
        <v/>
      </c>
      <c r="L1963" s="39" t="str">
        <f>IF(COUNTA(A1963:C1963,E1963)=0,"",IF(COUNTA(A1963:C1963,E1963)&lt;4,"Ligne incomplète",IF(NOT(ISNUMBER(A1963)),"Date invalide",IF(AND(B1963&lt;&gt;"Entrée",B1963&lt;&gt;"Sortie"),"Type inconnu",IF(ISNA(MATCH(C1963,art_ref,0)),"Référence inconnue",IF(OR(NOT(ISNUMBER(E1963)),N(E1963)&lt;=0),"Quantité invalide",IF(K1963&lt;0,"Stock négatif",IF(AND(ISNUMBER(A1962),A1963&lt;A1962),"Date hors ordre","OK"))))))))</f>
        <v/>
      </c>
      <c r="M1963" s="39" t="str">
        <f>IF(C1963="","",C1963&amp;"#"&amp;COUNTIF($C$5:C1963,C1963))</f>
        <v/>
      </c>
    </row>
    <row r="1964">
      <c r="A1964" s="41" t="n"/>
      <c r="B1964" s="37" t="n"/>
      <c r="C1964" s="37" t="n"/>
      <c r="D1964" s="39" t="str">
        <f>IF(C1964="","",IFERROR(INDEX(art_des,MATCH(C1964,art_ref,0))&amp;"","Référence inconnue"))</f>
        <v/>
      </c>
      <c r="E1964" s="37" t="n"/>
      <c r="F1964" s="39" t="str">
        <f>IF(C1964="","",IFERROR(INDEX(art_unit,MATCH(C1964,art_ref,0))&amp;"",""))</f>
        <v/>
      </c>
      <c r="G1964" s="37" t="n"/>
      <c r="H1964" s="37" t="n"/>
      <c r="I1964" s="37" t="n"/>
      <c r="J1964" s="40" t="str">
        <f>IF(OR(C1964="",NOT(ISNUMBER(E1964))),"",IFERROR(E1964*N(INDEX(art_price,MATCH(C1964,art_ref,0))),""))</f>
        <v/>
      </c>
      <c r="K1964" s="39" t="str">
        <f>IF(OR(C1964="",NOT(ISNUMBER(E1964))),"",IFERROR(ROUND(N(INDEX(art_init,MATCH(C1964,art_ref,0)))+SUMIFS($E$5:E1964,$C$5:C1964,C1964,$B$5:B1964,"Entrée")-SUMIFS($E$5:E1964,$C$5:C1964,C1964,$B$5:B1964,"Sortie"),6),""))</f>
        <v/>
      </c>
      <c r="L1964" s="39" t="str">
        <f>IF(COUNTA(A1964:C1964,E1964)=0,"",IF(COUNTA(A1964:C1964,E1964)&lt;4,"Ligne incomplète",IF(NOT(ISNUMBER(A1964)),"Date invalide",IF(AND(B1964&lt;&gt;"Entrée",B1964&lt;&gt;"Sortie"),"Type inconnu",IF(ISNA(MATCH(C1964,art_ref,0)),"Référence inconnue",IF(OR(NOT(ISNUMBER(E1964)),N(E1964)&lt;=0),"Quantité invalide",IF(K1964&lt;0,"Stock négatif",IF(AND(ISNUMBER(A1963),A1964&lt;A1963),"Date hors ordre","OK"))))))))</f>
        <v/>
      </c>
      <c r="M1964" s="39" t="str">
        <f>IF(C1964="","",C1964&amp;"#"&amp;COUNTIF($C$5:C1964,C1964))</f>
        <v/>
      </c>
    </row>
    <row r="1965">
      <c r="A1965" s="41" t="n"/>
      <c r="B1965" s="37" t="n"/>
      <c r="C1965" s="37" t="n"/>
      <c r="D1965" s="39" t="str">
        <f>IF(C1965="","",IFERROR(INDEX(art_des,MATCH(C1965,art_ref,0))&amp;"","Référence inconnue"))</f>
        <v/>
      </c>
      <c r="E1965" s="37" t="n"/>
      <c r="F1965" s="39" t="str">
        <f>IF(C1965="","",IFERROR(INDEX(art_unit,MATCH(C1965,art_ref,0))&amp;"",""))</f>
        <v/>
      </c>
      <c r="G1965" s="37" t="n"/>
      <c r="H1965" s="37" t="n"/>
      <c r="I1965" s="37" t="n"/>
      <c r="J1965" s="40" t="str">
        <f>IF(OR(C1965="",NOT(ISNUMBER(E1965))),"",IFERROR(E1965*N(INDEX(art_price,MATCH(C1965,art_ref,0))),""))</f>
        <v/>
      </c>
      <c r="K1965" s="39" t="str">
        <f>IF(OR(C1965="",NOT(ISNUMBER(E1965))),"",IFERROR(ROUND(N(INDEX(art_init,MATCH(C1965,art_ref,0)))+SUMIFS($E$5:E1965,$C$5:C1965,C1965,$B$5:B1965,"Entrée")-SUMIFS($E$5:E1965,$C$5:C1965,C1965,$B$5:B1965,"Sortie"),6),""))</f>
        <v/>
      </c>
      <c r="L1965" s="39" t="str">
        <f>IF(COUNTA(A1965:C1965,E1965)=0,"",IF(COUNTA(A1965:C1965,E1965)&lt;4,"Ligne incomplète",IF(NOT(ISNUMBER(A1965)),"Date invalide",IF(AND(B1965&lt;&gt;"Entrée",B1965&lt;&gt;"Sortie"),"Type inconnu",IF(ISNA(MATCH(C1965,art_ref,0)),"Référence inconnue",IF(OR(NOT(ISNUMBER(E1965)),N(E1965)&lt;=0),"Quantité invalide",IF(K1965&lt;0,"Stock négatif",IF(AND(ISNUMBER(A1964),A1965&lt;A1964),"Date hors ordre","OK"))))))))</f>
        <v/>
      </c>
      <c r="M1965" s="39" t="str">
        <f>IF(C1965="","",C1965&amp;"#"&amp;COUNTIF($C$5:C1965,C1965))</f>
        <v/>
      </c>
    </row>
    <row r="1966">
      <c r="A1966" s="41" t="n"/>
      <c r="B1966" s="37" t="n"/>
      <c r="C1966" s="37" t="n"/>
      <c r="D1966" s="39" t="str">
        <f>IF(C1966="","",IFERROR(INDEX(art_des,MATCH(C1966,art_ref,0))&amp;"","Référence inconnue"))</f>
        <v/>
      </c>
      <c r="E1966" s="37" t="n"/>
      <c r="F1966" s="39" t="str">
        <f>IF(C1966="","",IFERROR(INDEX(art_unit,MATCH(C1966,art_ref,0))&amp;"",""))</f>
        <v/>
      </c>
      <c r="G1966" s="37" t="n"/>
      <c r="H1966" s="37" t="n"/>
      <c r="I1966" s="37" t="n"/>
      <c r="J1966" s="40" t="str">
        <f>IF(OR(C1966="",NOT(ISNUMBER(E1966))),"",IFERROR(E1966*N(INDEX(art_price,MATCH(C1966,art_ref,0))),""))</f>
        <v/>
      </c>
      <c r="K1966" s="39" t="str">
        <f>IF(OR(C1966="",NOT(ISNUMBER(E1966))),"",IFERROR(ROUND(N(INDEX(art_init,MATCH(C1966,art_ref,0)))+SUMIFS($E$5:E1966,$C$5:C1966,C1966,$B$5:B1966,"Entrée")-SUMIFS($E$5:E1966,$C$5:C1966,C1966,$B$5:B1966,"Sortie"),6),""))</f>
        <v/>
      </c>
      <c r="L1966" s="39" t="str">
        <f>IF(COUNTA(A1966:C1966,E1966)=0,"",IF(COUNTA(A1966:C1966,E1966)&lt;4,"Ligne incomplète",IF(NOT(ISNUMBER(A1966)),"Date invalide",IF(AND(B1966&lt;&gt;"Entrée",B1966&lt;&gt;"Sortie"),"Type inconnu",IF(ISNA(MATCH(C1966,art_ref,0)),"Référence inconnue",IF(OR(NOT(ISNUMBER(E1966)),N(E1966)&lt;=0),"Quantité invalide",IF(K1966&lt;0,"Stock négatif",IF(AND(ISNUMBER(A1965),A1966&lt;A1965),"Date hors ordre","OK"))))))))</f>
        <v/>
      </c>
      <c r="M1966" s="39" t="str">
        <f>IF(C1966="","",C1966&amp;"#"&amp;COUNTIF($C$5:C1966,C1966))</f>
        <v/>
      </c>
    </row>
    <row r="1967">
      <c r="A1967" s="41" t="n"/>
      <c r="B1967" s="37" t="n"/>
      <c r="C1967" s="37" t="n"/>
      <c r="D1967" s="39" t="str">
        <f>IF(C1967="","",IFERROR(INDEX(art_des,MATCH(C1967,art_ref,0))&amp;"","Référence inconnue"))</f>
        <v/>
      </c>
      <c r="E1967" s="37" t="n"/>
      <c r="F1967" s="39" t="str">
        <f>IF(C1967="","",IFERROR(INDEX(art_unit,MATCH(C1967,art_ref,0))&amp;"",""))</f>
        <v/>
      </c>
      <c r="G1967" s="37" t="n"/>
      <c r="H1967" s="37" t="n"/>
      <c r="I1967" s="37" t="n"/>
      <c r="J1967" s="40" t="str">
        <f>IF(OR(C1967="",NOT(ISNUMBER(E1967))),"",IFERROR(E1967*N(INDEX(art_price,MATCH(C1967,art_ref,0))),""))</f>
        <v/>
      </c>
      <c r="K1967" s="39" t="str">
        <f>IF(OR(C1967="",NOT(ISNUMBER(E1967))),"",IFERROR(ROUND(N(INDEX(art_init,MATCH(C1967,art_ref,0)))+SUMIFS($E$5:E1967,$C$5:C1967,C1967,$B$5:B1967,"Entrée")-SUMIFS($E$5:E1967,$C$5:C1967,C1967,$B$5:B1967,"Sortie"),6),""))</f>
        <v/>
      </c>
      <c r="L1967" s="39" t="str">
        <f>IF(COUNTA(A1967:C1967,E1967)=0,"",IF(COUNTA(A1967:C1967,E1967)&lt;4,"Ligne incomplète",IF(NOT(ISNUMBER(A1967)),"Date invalide",IF(AND(B1967&lt;&gt;"Entrée",B1967&lt;&gt;"Sortie"),"Type inconnu",IF(ISNA(MATCH(C1967,art_ref,0)),"Référence inconnue",IF(OR(NOT(ISNUMBER(E1967)),N(E1967)&lt;=0),"Quantité invalide",IF(K1967&lt;0,"Stock négatif",IF(AND(ISNUMBER(A1966),A1967&lt;A1966),"Date hors ordre","OK"))))))))</f>
        <v/>
      </c>
      <c r="M1967" s="39" t="str">
        <f>IF(C1967="","",C1967&amp;"#"&amp;COUNTIF($C$5:C1967,C1967))</f>
        <v/>
      </c>
    </row>
    <row r="1968">
      <c r="A1968" s="41" t="n"/>
      <c r="B1968" s="37" t="n"/>
      <c r="C1968" s="37" t="n"/>
      <c r="D1968" s="39" t="str">
        <f>IF(C1968="","",IFERROR(INDEX(art_des,MATCH(C1968,art_ref,0))&amp;"","Référence inconnue"))</f>
        <v/>
      </c>
      <c r="E1968" s="37" t="n"/>
      <c r="F1968" s="39" t="str">
        <f>IF(C1968="","",IFERROR(INDEX(art_unit,MATCH(C1968,art_ref,0))&amp;"",""))</f>
        <v/>
      </c>
      <c r="G1968" s="37" t="n"/>
      <c r="H1968" s="37" t="n"/>
      <c r="I1968" s="37" t="n"/>
      <c r="J1968" s="40" t="str">
        <f>IF(OR(C1968="",NOT(ISNUMBER(E1968))),"",IFERROR(E1968*N(INDEX(art_price,MATCH(C1968,art_ref,0))),""))</f>
        <v/>
      </c>
      <c r="K1968" s="39" t="str">
        <f>IF(OR(C1968="",NOT(ISNUMBER(E1968))),"",IFERROR(ROUND(N(INDEX(art_init,MATCH(C1968,art_ref,0)))+SUMIFS($E$5:E1968,$C$5:C1968,C1968,$B$5:B1968,"Entrée")-SUMIFS($E$5:E1968,$C$5:C1968,C1968,$B$5:B1968,"Sortie"),6),""))</f>
        <v/>
      </c>
      <c r="L1968" s="39" t="str">
        <f>IF(COUNTA(A1968:C1968,E1968)=0,"",IF(COUNTA(A1968:C1968,E1968)&lt;4,"Ligne incomplète",IF(NOT(ISNUMBER(A1968)),"Date invalide",IF(AND(B1968&lt;&gt;"Entrée",B1968&lt;&gt;"Sortie"),"Type inconnu",IF(ISNA(MATCH(C1968,art_ref,0)),"Référence inconnue",IF(OR(NOT(ISNUMBER(E1968)),N(E1968)&lt;=0),"Quantité invalide",IF(K1968&lt;0,"Stock négatif",IF(AND(ISNUMBER(A1967),A1968&lt;A1967),"Date hors ordre","OK"))))))))</f>
        <v/>
      </c>
      <c r="M1968" s="39" t="str">
        <f>IF(C1968="","",C1968&amp;"#"&amp;COUNTIF($C$5:C1968,C1968))</f>
        <v/>
      </c>
    </row>
    <row r="1969">
      <c r="A1969" s="41" t="n"/>
      <c r="B1969" s="37" t="n"/>
      <c r="C1969" s="37" t="n"/>
      <c r="D1969" s="39" t="str">
        <f>IF(C1969="","",IFERROR(INDEX(art_des,MATCH(C1969,art_ref,0))&amp;"","Référence inconnue"))</f>
        <v/>
      </c>
      <c r="E1969" s="37" t="n"/>
      <c r="F1969" s="39" t="str">
        <f>IF(C1969="","",IFERROR(INDEX(art_unit,MATCH(C1969,art_ref,0))&amp;"",""))</f>
        <v/>
      </c>
      <c r="G1969" s="37" t="n"/>
      <c r="H1969" s="37" t="n"/>
      <c r="I1969" s="37" t="n"/>
      <c r="J1969" s="40" t="str">
        <f>IF(OR(C1969="",NOT(ISNUMBER(E1969))),"",IFERROR(E1969*N(INDEX(art_price,MATCH(C1969,art_ref,0))),""))</f>
        <v/>
      </c>
      <c r="K1969" s="39" t="str">
        <f>IF(OR(C1969="",NOT(ISNUMBER(E1969))),"",IFERROR(ROUND(N(INDEX(art_init,MATCH(C1969,art_ref,0)))+SUMIFS($E$5:E1969,$C$5:C1969,C1969,$B$5:B1969,"Entrée")-SUMIFS($E$5:E1969,$C$5:C1969,C1969,$B$5:B1969,"Sortie"),6),""))</f>
        <v/>
      </c>
      <c r="L1969" s="39" t="str">
        <f>IF(COUNTA(A1969:C1969,E1969)=0,"",IF(COUNTA(A1969:C1969,E1969)&lt;4,"Ligne incomplète",IF(NOT(ISNUMBER(A1969)),"Date invalide",IF(AND(B1969&lt;&gt;"Entrée",B1969&lt;&gt;"Sortie"),"Type inconnu",IF(ISNA(MATCH(C1969,art_ref,0)),"Référence inconnue",IF(OR(NOT(ISNUMBER(E1969)),N(E1969)&lt;=0),"Quantité invalide",IF(K1969&lt;0,"Stock négatif",IF(AND(ISNUMBER(A1968),A1969&lt;A1968),"Date hors ordre","OK"))))))))</f>
        <v/>
      </c>
      <c r="M1969" s="39" t="str">
        <f>IF(C1969="","",C1969&amp;"#"&amp;COUNTIF($C$5:C1969,C1969))</f>
        <v/>
      </c>
    </row>
    <row r="1970">
      <c r="A1970" s="41" t="n"/>
      <c r="B1970" s="37" t="n"/>
      <c r="C1970" s="37" t="n"/>
      <c r="D1970" s="39" t="str">
        <f>IF(C1970="","",IFERROR(INDEX(art_des,MATCH(C1970,art_ref,0))&amp;"","Référence inconnue"))</f>
        <v/>
      </c>
      <c r="E1970" s="37" t="n"/>
      <c r="F1970" s="39" t="str">
        <f>IF(C1970="","",IFERROR(INDEX(art_unit,MATCH(C1970,art_ref,0))&amp;"",""))</f>
        <v/>
      </c>
      <c r="G1970" s="37" t="n"/>
      <c r="H1970" s="37" t="n"/>
      <c r="I1970" s="37" t="n"/>
      <c r="J1970" s="40" t="str">
        <f>IF(OR(C1970="",NOT(ISNUMBER(E1970))),"",IFERROR(E1970*N(INDEX(art_price,MATCH(C1970,art_ref,0))),""))</f>
        <v/>
      </c>
      <c r="K1970" s="39" t="str">
        <f>IF(OR(C1970="",NOT(ISNUMBER(E1970))),"",IFERROR(ROUND(N(INDEX(art_init,MATCH(C1970,art_ref,0)))+SUMIFS($E$5:E1970,$C$5:C1970,C1970,$B$5:B1970,"Entrée")-SUMIFS($E$5:E1970,$C$5:C1970,C1970,$B$5:B1970,"Sortie"),6),""))</f>
        <v/>
      </c>
      <c r="L1970" s="39" t="str">
        <f>IF(COUNTA(A1970:C1970,E1970)=0,"",IF(COUNTA(A1970:C1970,E1970)&lt;4,"Ligne incomplète",IF(NOT(ISNUMBER(A1970)),"Date invalide",IF(AND(B1970&lt;&gt;"Entrée",B1970&lt;&gt;"Sortie"),"Type inconnu",IF(ISNA(MATCH(C1970,art_ref,0)),"Référence inconnue",IF(OR(NOT(ISNUMBER(E1970)),N(E1970)&lt;=0),"Quantité invalide",IF(K1970&lt;0,"Stock négatif",IF(AND(ISNUMBER(A1969),A1970&lt;A1969),"Date hors ordre","OK"))))))))</f>
        <v/>
      </c>
      <c r="M1970" s="39" t="str">
        <f>IF(C1970="","",C1970&amp;"#"&amp;COUNTIF($C$5:C1970,C1970))</f>
        <v/>
      </c>
    </row>
    <row r="1971">
      <c r="A1971" s="41" t="n"/>
      <c r="B1971" s="37" t="n"/>
      <c r="C1971" s="37" t="n"/>
      <c r="D1971" s="39" t="str">
        <f>IF(C1971="","",IFERROR(INDEX(art_des,MATCH(C1971,art_ref,0))&amp;"","Référence inconnue"))</f>
        <v/>
      </c>
      <c r="E1971" s="37" t="n"/>
      <c r="F1971" s="39" t="str">
        <f>IF(C1971="","",IFERROR(INDEX(art_unit,MATCH(C1971,art_ref,0))&amp;"",""))</f>
        <v/>
      </c>
      <c r="G1971" s="37" t="n"/>
      <c r="H1971" s="37" t="n"/>
      <c r="I1971" s="37" t="n"/>
      <c r="J1971" s="40" t="str">
        <f>IF(OR(C1971="",NOT(ISNUMBER(E1971))),"",IFERROR(E1971*N(INDEX(art_price,MATCH(C1971,art_ref,0))),""))</f>
        <v/>
      </c>
      <c r="K1971" s="39" t="str">
        <f>IF(OR(C1971="",NOT(ISNUMBER(E1971))),"",IFERROR(ROUND(N(INDEX(art_init,MATCH(C1971,art_ref,0)))+SUMIFS($E$5:E1971,$C$5:C1971,C1971,$B$5:B1971,"Entrée")-SUMIFS($E$5:E1971,$C$5:C1971,C1971,$B$5:B1971,"Sortie"),6),""))</f>
        <v/>
      </c>
      <c r="L1971" s="39" t="str">
        <f>IF(COUNTA(A1971:C1971,E1971)=0,"",IF(COUNTA(A1971:C1971,E1971)&lt;4,"Ligne incomplète",IF(NOT(ISNUMBER(A1971)),"Date invalide",IF(AND(B1971&lt;&gt;"Entrée",B1971&lt;&gt;"Sortie"),"Type inconnu",IF(ISNA(MATCH(C1971,art_ref,0)),"Référence inconnue",IF(OR(NOT(ISNUMBER(E1971)),N(E1971)&lt;=0),"Quantité invalide",IF(K1971&lt;0,"Stock négatif",IF(AND(ISNUMBER(A1970),A1971&lt;A1970),"Date hors ordre","OK"))))))))</f>
        <v/>
      </c>
      <c r="M1971" s="39" t="str">
        <f>IF(C1971="","",C1971&amp;"#"&amp;COUNTIF($C$5:C1971,C1971))</f>
        <v/>
      </c>
    </row>
    <row r="1972">
      <c r="A1972" s="41" t="n"/>
      <c r="B1972" s="37" t="n"/>
      <c r="C1972" s="37" t="n"/>
      <c r="D1972" s="39" t="str">
        <f>IF(C1972="","",IFERROR(INDEX(art_des,MATCH(C1972,art_ref,0))&amp;"","Référence inconnue"))</f>
        <v/>
      </c>
      <c r="E1972" s="37" t="n"/>
      <c r="F1972" s="39" t="str">
        <f>IF(C1972="","",IFERROR(INDEX(art_unit,MATCH(C1972,art_ref,0))&amp;"",""))</f>
        <v/>
      </c>
      <c r="G1972" s="37" t="n"/>
      <c r="H1972" s="37" t="n"/>
      <c r="I1972" s="37" t="n"/>
      <c r="J1972" s="40" t="str">
        <f>IF(OR(C1972="",NOT(ISNUMBER(E1972))),"",IFERROR(E1972*N(INDEX(art_price,MATCH(C1972,art_ref,0))),""))</f>
        <v/>
      </c>
      <c r="K1972" s="39" t="str">
        <f>IF(OR(C1972="",NOT(ISNUMBER(E1972))),"",IFERROR(ROUND(N(INDEX(art_init,MATCH(C1972,art_ref,0)))+SUMIFS($E$5:E1972,$C$5:C1972,C1972,$B$5:B1972,"Entrée")-SUMIFS($E$5:E1972,$C$5:C1972,C1972,$B$5:B1972,"Sortie"),6),""))</f>
        <v/>
      </c>
      <c r="L1972" s="39" t="str">
        <f>IF(COUNTA(A1972:C1972,E1972)=0,"",IF(COUNTA(A1972:C1972,E1972)&lt;4,"Ligne incomplète",IF(NOT(ISNUMBER(A1972)),"Date invalide",IF(AND(B1972&lt;&gt;"Entrée",B1972&lt;&gt;"Sortie"),"Type inconnu",IF(ISNA(MATCH(C1972,art_ref,0)),"Référence inconnue",IF(OR(NOT(ISNUMBER(E1972)),N(E1972)&lt;=0),"Quantité invalide",IF(K1972&lt;0,"Stock négatif",IF(AND(ISNUMBER(A1971),A1972&lt;A1971),"Date hors ordre","OK"))))))))</f>
        <v/>
      </c>
      <c r="M1972" s="39" t="str">
        <f>IF(C1972="","",C1972&amp;"#"&amp;COUNTIF($C$5:C1972,C1972))</f>
        <v/>
      </c>
    </row>
    <row r="1973">
      <c r="A1973" s="41" t="n"/>
      <c r="B1973" s="37" t="n"/>
      <c r="C1973" s="37" t="n"/>
      <c r="D1973" s="39" t="str">
        <f>IF(C1973="","",IFERROR(INDEX(art_des,MATCH(C1973,art_ref,0))&amp;"","Référence inconnue"))</f>
        <v/>
      </c>
      <c r="E1973" s="37" t="n"/>
      <c r="F1973" s="39" t="str">
        <f>IF(C1973="","",IFERROR(INDEX(art_unit,MATCH(C1973,art_ref,0))&amp;"",""))</f>
        <v/>
      </c>
      <c r="G1973" s="37" t="n"/>
      <c r="H1973" s="37" t="n"/>
      <c r="I1973" s="37" t="n"/>
      <c r="J1973" s="40" t="str">
        <f>IF(OR(C1973="",NOT(ISNUMBER(E1973))),"",IFERROR(E1973*N(INDEX(art_price,MATCH(C1973,art_ref,0))),""))</f>
        <v/>
      </c>
      <c r="K1973" s="39" t="str">
        <f>IF(OR(C1973="",NOT(ISNUMBER(E1973))),"",IFERROR(ROUND(N(INDEX(art_init,MATCH(C1973,art_ref,0)))+SUMIFS($E$5:E1973,$C$5:C1973,C1973,$B$5:B1973,"Entrée")-SUMIFS($E$5:E1973,$C$5:C1973,C1973,$B$5:B1973,"Sortie"),6),""))</f>
        <v/>
      </c>
      <c r="L1973" s="39" t="str">
        <f>IF(COUNTA(A1973:C1973,E1973)=0,"",IF(COUNTA(A1973:C1973,E1973)&lt;4,"Ligne incomplète",IF(NOT(ISNUMBER(A1973)),"Date invalide",IF(AND(B1973&lt;&gt;"Entrée",B1973&lt;&gt;"Sortie"),"Type inconnu",IF(ISNA(MATCH(C1973,art_ref,0)),"Référence inconnue",IF(OR(NOT(ISNUMBER(E1973)),N(E1973)&lt;=0),"Quantité invalide",IF(K1973&lt;0,"Stock négatif",IF(AND(ISNUMBER(A1972),A1973&lt;A1972),"Date hors ordre","OK"))))))))</f>
        <v/>
      </c>
      <c r="M1973" s="39" t="str">
        <f>IF(C1973="","",C1973&amp;"#"&amp;COUNTIF($C$5:C1973,C1973))</f>
        <v/>
      </c>
    </row>
    <row r="1974">
      <c r="A1974" s="41" t="n"/>
      <c r="B1974" s="37" t="n"/>
      <c r="C1974" s="37" t="n"/>
      <c r="D1974" s="39" t="str">
        <f>IF(C1974="","",IFERROR(INDEX(art_des,MATCH(C1974,art_ref,0))&amp;"","Référence inconnue"))</f>
        <v/>
      </c>
      <c r="E1974" s="37" t="n"/>
      <c r="F1974" s="39" t="str">
        <f>IF(C1974="","",IFERROR(INDEX(art_unit,MATCH(C1974,art_ref,0))&amp;"",""))</f>
        <v/>
      </c>
      <c r="G1974" s="37" t="n"/>
      <c r="H1974" s="37" t="n"/>
      <c r="I1974" s="37" t="n"/>
      <c r="J1974" s="40" t="str">
        <f>IF(OR(C1974="",NOT(ISNUMBER(E1974))),"",IFERROR(E1974*N(INDEX(art_price,MATCH(C1974,art_ref,0))),""))</f>
        <v/>
      </c>
      <c r="K1974" s="39" t="str">
        <f>IF(OR(C1974="",NOT(ISNUMBER(E1974))),"",IFERROR(ROUND(N(INDEX(art_init,MATCH(C1974,art_ref,0)))+SUMIFS($E$5:E1974,$C$5:C1974,C1974,$B$5:B1974,"Entrée")-SUMIFS($E$5:E1974,$C$5:C1974,C1974,$B$5:B1974,"Sortie"),6),""))</f>
        <v/>
      </c>
      <c r="L1974" s="39" t="str">
        <f>IF(COUNTA(A1974:C1974,E1974)=0,"",IF(COUNTA(A1974:C1974,E1974)&lt;4,"Ligne incomplète",IF(NOT(ISNUMBER(A1974)),"Date invalide",IF(AND(B1974&lt;&gt;"Entrée",B1974&lt;&gt;"Sortie"),"Type inconnu",IF(ISNA(MATCH(C1974,art_ref,0)),"Référence inconnue",IF(OR(NOT(ISNUMBER(E1974)),N(E1974)&lt;=0),"Quantité invalide",IF(K1974&lt;0,"Stock négatif",IF(AND(ISNUMBER(A1973),A1974&lt;A1973),"Date hors ordre","OK"))))))))</f>
        <v/>
      </c>
      <c r="M1974" s="39" t="str">
        <f>IF(C1974="","",C1974&amp;"#"&amp;COUNTIF($C$5:C1974,C1974))</f>
        <v/>
      </c>
    </row>
    <row r="1975">
      <c r="A1975" s="41" t="n"/>
      <c r="B1975" s="37" t="n"/>
      <c r="C1975" s="37" t="n"/>
      <c r="D1975" s="39" t="str">
        <f>IF(C1975="","",IFERROR(INDEX(art_des,MATCH(C1975,art_ref,0))&amp;"","Référence inconnue"))</f>
        <v/>
      </c>
      <c r="E1975" s="37" t="n"/>
      <c r="F1975" s="39" t="str">
        <f>IF(C1975="","",IFERROR(INDEX(art_unit,MATCH(C1975,art_ref,0))&amp;"",""))</f>
        <v/>
      </c>
      <c r="G1975" s="37" t="n"/>
      <c r="H1975" s="37" t="n"/>
      <c r="I1975" s="37" t="n"/>
      <c r="J1975" s="40" t="str">
        <f>IF(OR(C1975="",NOT(ISNUMBER(E1975))),"",IFERROR(E1975*N(INDEX(art_price,MATCH(C1975,art_ref,0))),""))</f>
        <v/>
      </c>
      <c r="K1975" s="39" t="str">
        <f>IF(OR(C1975="",NOT(ISNUMBER(E1975))),"",IFERROR(ROUND(N(INDEX(art_init,MATCH(C1975,art_ref,0)))+SUMIFS($E$5:E1975,$C$5:C1975,C1975,$B$5:B1975,"Entrée")-SUMIFS($E$5:E1975,$C$5:C1975,C1975,$B$5:B1975,"Sortie"),6),""))</f>
        <v/>
      </c>
      <c r="L1975" s="39" t="str">
        <f>IF(COUNTA(A1975:C1975,E1975)=0,"",IF(COUNTA(A1975:C1975,E1975)&lt;4,"Ligne incomplète",IF(NOT(ISNUMBER(A1975)),"Date invalide",IF(AND(B1975&lt;&gt;"Entrée",B1975&lt;&gt;"Sortie"),"Type inconnu",IF(ISNA(MATCH(C1975,art_ref,0)),"Référence inconnue",IF(OR(NOT(ISNUMBER(E1975)),N(E1975)&lt;=0),"Quantité invalide",IF(K1975&lt;0,"Stock négatif",IF(AND(ISNUMBER(A1974),A1975&lt;A1974),"Date hors ordre","OK"))))))))</f>
        <v/>
      </c>
      <c r="M1975" s="39" t="str">
        <f>IF(C1975="","",C1975&amp;"#"&amp;COUNTIF($C$5:C1975,C1975))</f>
        <v/>
      </c>
    </row>
    <row r="1976">
      <c r="A1976" s="41" t="n"/>
      <c r="B1976" s="37" t="n"/>
      <c r="C1976" s="37" t="n"/>
      <c r="D1976" s="39" t="str">
        <f>IF(C1976="","",IFERROR(INDEX(art_des,MATCH(C1976,art_ref,0))&amp;"","Référence inconnue"))</f>
        <v/>
      </c>
      <c r="E1976" s="37" t="n"/>
      <c r="F1976" s="39" t="str">
        <f>IF(C1976="","",IFERROR(INDEX(art_unit,MATCH(C1976,art_ref,0))&amp;"",""))</f>
        <v/>
      </c>
      <c r="G1976" s="37" t="n"/>
      <c r="H1976" s="37" t="n"/>
      <c r="I1976" s="37" t="n"/>
      <c r="J1976" s="40" t="str">
        <f>IF(OR(C1976="",NOT(ISNUMBER(E1976))),"",IFERROR(E1976*N(INDEX(art_price,MATCH(C1976,art_ref,0))),""))</f>
        <v/>
      </c>
      <c r="K1976" s="39" t="str">
        <f>IF(OR(C1976="",NOT(ISNUMBER(E1976))),"",IFERROR(ROUND(N(INDEX(art_init,MATCH(C1976,art_ref,0)))+SUMIFS($E$5:E1976,$C$5:C1976,C1976,$B$5:B1976,"Entrée")-SUMIFS($E$5:E1976,$C$5:C1976,C1976,$B$5:B1976,"Sortie"),6),""))</f>
        <v/>
      </c>
      <c r="L1976" s="39" t="str">
        <f>IF(COUNTA(A1976:C1976,E1976)=0,"",IF(COUNTA(A1976:C1976,E1976)&lt;4,"Ligne incomplète",IF(NOT(ISNUMBER(A1976)),"Date invalide",IF(AND(B1976&lt;&gt;"Entrée",B1976&lt;&gt;"Sortie"),"Type inconnu",IF(ISNA(MATCH(C1976,art_ref,0)),"Référence inconnue",IF(OR(NOT(ISNUMBER(E1976)),N(E1976)&lt;=0),"Quantité invalide",IF(K1976&lt;0,"Stock négatif",IF(AND(ISNUMBER(A1975),A1976&lt;A1975),"Date hors ordre","OK"))))))))</f>
        <v/>
      </c>
      <c r="M1976" s="39" t="str">
        <f>IF(C1976="","",C1976&amp;"#"&amp;COUNTIF($C$5:C1976,C1976))</f>
        <v/>
      </c>
    </row>
    <row r="1977">
      <c r="A1977" s="41" t="n"/>
      <c r="B1977" s="37" t="n"/>
      <c r="C1977" s="37" t="n"/>
      <c r="D1977" s="39" t="str">
        <f>IF(C1977="","",IFERROR(INDEX(art_des,MATCH(C1977,art_ref,0))&amp;"","Référence inconnue"))</f>
        <v/>
      </c>
      <c r="E1977" s="37" t="n"/>
      <c r="F1977" s="39" t="str">
        <f>IF(C1977="","",IFERROR(INDEX(art_unit,MATCH(C1977,art_ref,0))&amp;"",""))</f>
        <v/>
      </c>
      <c r="G1977" s="37" t="n"/>
      <c r="H1977" s="37" t="n"/>
      <c r="I1977" s="37" t="n"/>
      <c r="J1977" s="40" t="str">
        <f>IF(OR(C1977="",NOT(ISNUMBER(E1977))),"",IFERROR(E1977*N(INDEX(art_price,MATCH(C1977,art_ref,0))),""))</f>
        <v/>
      </c>
      <c r="K1977" s="39" t="str">
        <f>IF(OR(C1977="",NOT(ISNUMBER(E1977))),"",IFERROR(ROUND(N(INDEX(art_init,MATCH(C1977,art_ref,0)))+SUMIFS($E$5:E1977,$C$5:C1977,C1977,$B$5:B1977,"Entrée")-SUMIFS($E$5:E1977,$C$5:C1977,C1977,$B$5:B1977,"Sortie"),6),""))</f>
        <v/>
      </c>
      <c r="L1977" s="39" t="str">
        <f>IF(COUNTA(A1977:C1977,E1977)=0,"",IF(COUNTA(A1977:C1977,E1977)&lt;4,"Ligne incomplète",IF(NOT(ISNUMBER(A1977)),"Date invalide",IF(AND(B1977&lt;&gt;"Entrée",B1977&lt;&gt;"Sortie"),"Type inconnu",IF(ISNA(MATCH(C1977,art_ref,0)),"Référence inconnue",IF(OR(NOT(ISNUMBER(E1977)),N(E1977)&lt;=0),"Quantité invalide",IF(K1977&lt;0,"Stock négatif",IF(AND(ISNUMBER(A1976),A1977&lt;A1976),"Date hors ordre","OK"))))))))</f>
        <v/>
      </c>
      <c r="M1977" s="39" t="str">
        <f>IF(C1977="","",C1977&amp;"#"&amp;COUNTIF($C$5:C1977,C1977))</f>
        <v/>
      </c>
    </row>
    <row r="1978">
      <c r="A1978" s="41" t="n"/>
      <c r="B1978" s="37" t="n"/>
      <c r="C1978" s="37" t="n"/>
      <c r="D1978" s="39" t="str">
        <f>IF(C1978="","",IFERROR(INDEX(art_des,MATCH(C1978,art_ref,0))&amp;"","Référence inconnue"))</f>
        <v/>
      </c>
      <c r="E1978" s="37" t="n"/>
      <c r="F1978" s="39" t="str">
        <f>IF(C1978="","",IFERROR(INDEX(art_unit,MATCH(C1978,art_ref,0))&amp;"",""))</f>
        <v/>
      </c>
      <c r="G1978" s="37" t="n"/>
      <c r="H1978" s="37" t="n"/>
      <c r="I1978" s="37" t="n"/>
      <c r="J1978" s="40" t="str">
        <f>IF(OR(C1978="",NOT(ISNUMBER(E1978))),"",IFERROR(E1978*N(INDEX(art_price,MATCH(C1978,art_ref,0))),""))</f>
        <v/>
      </c>
      <c r="K1978" s="39" t="str">
        <f>IF(OR(C1978="",NOT(ISNUMBER(E1978))),"",IFERROR(ROUND(N(INDEX(art_init,MATCH(C1978,art_ref,0)))+SUMIFS($E$5:E1978,$C$5:C1978,C1978,$B$5:B1978,"Entrée")-SUMIFS($E$5:E1978,$C$5:C1978,C1978,$B$5:B1978,"Sortie"),6),""))</f>
        <v/>
      </c>
      <c r="L1978" s="39" t="str">
        <f>IF(COUNTA(A1978:C1978,E1978)=0,"",IF(COUNTA(A1978:C1978,E1978)&lt;4,"Ligne incomplète",IF(NOT(ISNUMBER(A1978)),"Date invalide",IF(AND(B1978&lt;&gt;"Entrée",B1978&lt;&gt;"Sortie"),"Type inconnu",IF(ISNA(MATCH(C1978,art_ref,0)),"Référence inconnue",IF(OR(NOT(ISNUMBER(E1978)),N(E1978)&lt;=0),"Quantité invalide",IF(K1978&lt;0,"Stock négatif",IF(AND(ISNUMBER(A1977),A1978&lt;A1977),"Date hors ordre","OK"))))))))</f>
        <v/>
      </c>
      <c r="M1978" s="39" t="str">
        <f>IF(C1978="","",C1978&amp;"#"&amp;COUNTIF($C$5:C1978,C1978))</f>
        <v/>
      </c>
    </row>
    <row r="1979">
      <c r="A1979" s="41" t="n"/>
      <c r="B1979" s="37" t="n"/>
      <c r="C1979" s="37" t="n"/>
      <c r="D1979" s="39" t="str">
        <f>IF(C1979="","",IFERROR(INDEX(art_des,MATCH(C1979,art_ref,0))&amp;"","Référence inconnue"))</f>
        <v/>
      </c>
      <c r="E1979" s="37" t="n"/>
      <c r="F1979" s="39" t="str">
        <f>IF(C1979="","",IFERROR(INDEX(art_unit,MATCH(C1979,art_ref,0))&amp;"",""))</f>
        <v/>
      </c>
      <c r="G1979" s="37" t="n"/>
      <c r="H1979" s="37" t="n"/>
      <c r="I1979" s="37" t="n"/>
      <c r="J1979" s="40" t="str">
        <f>IF(OR(C1979="",NOT(ISNUMBER(E1979))),"",IFERROR(E1979*N(INDEX(art_price,MATCH(C1979,art_ref,0))),""))</f>
        <v/>
      </c>
      <c r="K1979" s="39" t="str">
        <f>IF(OR(C1979="",NOT(ISNUMBER(E1979))),"",IFERROR(ROUND(N(INDEX(art_init,MATCH(C1979,art_ref,0)))+SUMIFS($E$5:E1979,$C$5:C1979,C1979,$B$5:B1979,"Entrée")-SUMIFS($E$5:E1979,$C$5:C1979,C1979,$B$5:B1979,"Sortie"),6),""))</f>
        <v/>
      </c>
      <c r="L1979" s="39" t="str">
        <f>IF(COUNTA(A1979:C1979,E1979)=0,"",IF(COUNTA(A1979:C1979,E1979)&lt;4,"Ligne incomplète",IF(NOT(ISNUMBER(A1979)),"Date invalide",IF(AND(B1979&lt;&gt;"Entrée",B1979&lt;&gt;"Sortie"),"Type inconnu",IF(ISNA(MATCH(C1979,art_ref,0)),"Référence inconnue",IF(OR(NOT(ISNUMBER(E1979)),N(E1979)&lt;=0),"Quantité invalide",IF(K1979&lt;0,"Stock négatif",IF(AND(ISNUMBER(A1978),A1979&lt;A1978),"Date hors ordre","OK"))))))))</f>
        <v/>
      </c>
      <c r="M1979" s="39" t="str">
        <f>IF(C1979="","",C1979&amp;"#"&amp;COUNTIF($C$5:C1979,C1979))</f>
        <v/>
      </c>
    </row>
    <row r="1980">
      <c r="A1980" s="41" t="n"/>
      <c r="B1980" s="37" t="n"/>
      <c r="C1980" s="37" t="n"/>
      <c r="D1980" s="39" t="str">
        <f>IF(C1980="","",IFERROR(INDEX(art_des,MATCH(C1980,art_ref,0))&amp;"","Référence inconnue"))</f>
        <v/>
      </c>
      <c r="E1980" s="37" t="n"/>
      <c r="F1980" s="39" t="str">
        <f>IF(C1980="","",IFERROR(INDEX(art_unit,MATCH(C1980,art_ref,0))&amp;"",""))</f>
        <v/>
      </c>
      <c r="G1980" s="37" t="n"/>
      <c r="H1980" s="37" t="n"/>
      <c r="I1980" s="37" t="n"/>
      <c r="J1980" s="40" t="str">
        <f>IF(OR(C1980="",NOT(ISNUMBER(E1980))),"",IFERROR(E1980*N(INDEX(art_price,MATCH(C1980,art_ref,0))),""))</f>
        <v/>
      </c>
      <c r="K1980" s="39" t="str">
        <f>IF(OR(C1980="",NOT(ISNUMBER(E1980))),"",IFERROR(ROUND(N(INDEX(art_init,MATCH(C1980,art_ref,0)))+SUMIFS($E$5:E1980,$C$5:C1980,C1980,$B$5:B1980,"Entrée")-SUMIFS($E$5:E1980,$C$5:C1980,C1980,$B$5:B1980,"Sortie"),6),""))</f>
        <v/>
      </c>
      <c r="L1980" s="39" t="str">
        <f>IF(COUNTA(A1980:C1980,E1980)=0,"",IF(COUNTA(A1980:C1980,E1980)&lt;4,"Ligne incomplète",IF(NOT(ISNUMBER(A1980)),"Date invalide",IF(AND(B1980&lt;&gt;"Entrée",B1980&lt;&gt;"Sortie"),"Type inconnu",IF(ISNA(MATCH(C1980,art_ref,0)),"Référence inconnue",IF(OR(NOT(ISNUMBER(E1980)),N(E1980)&lt;=0),"Quantité invalide",IF(K1980&lt;0,"Stock négatif",IF(AND(ISNUMBER(A1979),A1980&lt;A1979),"Date hors ordre","OK"))))))))</f>
        <v/>
      </c>
      <c r="M1980" s="39" t="str">
        <f>IF(C1980="","",C1980&amp;"#"&amp;COUNTIF($C$5:C1980,C1980))</f>
        <v/>
      </c>
    </row>
    <row r="1981">
      <c r="A1981" s="41" t="n"/>
      <c r="B1981" s="37" t="n"/>
      <c r="C1981" s="37" t="n"/>
      <c r="D1981" s="39" t="str">
        <f>IF(C1981="","",IFERROR(INDEX(art_des,MATCH(C1981,art_ref,0))&amp;"","Référence inconnue"))</f>
        <v/>
      </c>
      <c r="E1981" s="37" t="n"/>
      <c r="F1981" s="39" t="str">
        <f>IF(C1981="","",IFERROR(INDEX(art_unit,MATCH(C1981,art_ref,0))&amp;"",""))</f>
        <v/>
      </c>
      <c r="G1981" s="37" t="n"/>
      <c r="H1981" s="37" t="n"/>
      <c r="I1981" s="37" t="n"/>
      <c r="J1981" s="40" t="str">
        <f>IF(OR(C1981="",NOT(ISNUMBER(E1981))),"",IFERROR(E1981*N(INDEX(art_price,MATCH(C1981,art_ref,0))),""))</f>
        <v/>
      </c>
      <c r="K1981" s="39" t="str">
        <f>IF(OR(C1981="",NOT(ISNUMBER(E1981))),"",IFERROR(ROUND(N(INDEX(art_init,MATCH(C1981,art_ref,0)))+SUMIFS($E$5:E1981,$C$5:C1981,C1981,$B$5:B1981,"Entrée")-SUMIFS($E$5:E1981,$C$5:C1981,C1981,$B$5:B1981,"Sortie"),6),""))</f>
        <v/>
      </c>
      <c r="L1981" s="39" t="str">
        <f>IF(COUNTA(A1981:C1981,E1981)=0,"",IF(COUNTA(A1981:C1981,E1981)&lt;4,"Ligne incomplète",IF(NOT(ISNUMBER(A1981)),"Date invalide",IF(AND(B1981&lt;&gt;"Entrée",B1981&lt;&gt;"Sortie"),"Type inconnu",IF(ISNA(MATCH(C1981,art_ref,0)),"Référence inconnue",IF(OR(NOT(ISNUMBER(E1981)),N(E1981)&lt;=0),"Quantité invalide",IF(K1981&lt;0,"Stock négatif",IF(AND(ISNUMBER(A1980),A1981&lt;A1980),"Date hors ordre","OK"))))))))</f>
        <v/>
      </c>
      <c r="M1981" s="39" t="str">
        <f>IF(C1981="","",C1981&amp;"#"&amp;COUNTIF($C$5:C1981,C1981))</f>
        <v/>
      </c>
    </row>
    <row r="1982">
      <c r="A1982" s="41" t="n"/>
      <c r="B1982" s="37" t="n"/>
      <c r="C1982" s="37" t="n"/>
      <c r="D1982" s="39" t="str">
        <f>IF(C1982="","",IFERROR(INDEX(art_des,MATCH(C1982,art_ref,0))&amp;"","Référence inconnue"))</f>
        <v/>
      </c>
      <c r="E1982" s="37" t="n"/>
      <c r="F1982" s="39" t="str">
        <f>IF(C1982="","",IFERROR(INDEX(art_unit,MATCH(C1982,art_ref,0))&amp;"",""))</f>
        <v/>
      </c>
      <c r="G1982" s="37" t="n"/>
      <c r="H1982" s="37" t="n"/>
      <c r="I1982" s="37" t="n"/>
      <c r="J1982" s="40" t="str">
        <f>IF(OR(C1982="",NOT(ISNUMBER(E1982))),"",IFERROR(E1982*N(INDEX(art_price,MATCH(C1982,art_ref,0))),""))</f>
        <v/>
      </c>
      <c r="K1982" s="39" t="str">
        <f>IF(OR(C1982="",NOT(ISNUMBER(E1982))),"",IFERROR(ROUND(N(INDEX(art_init,MATCH(C1982,art_ref,0)))+SUMIFS($E$5:E1982,$C$5:C1982,C1982,$B$5:B1982,"Entrée")-SUMIFS($E$5:E1982,$C$5:C1982,C1982,$B$5:B1982,"Sortie"),6),""))</f>
        <v/>
      </c>
      <c r="L1982" s="39" t="str">
        <f>IF(COUNTA(A1982:C1982,E1982)=0,"",IF(COUNTA(A1982:C1982,E1982)&lt;4,"Ligne incomplète",IF(NOT(ISNUMBER(A1982)),"Date invalide",IF(AND(B1982&lt;&gt;"Entrée",B1982&lt;&gt;"Sortie"),"Type inconnu",IF(ISNA(MATCH(C1982,art_ref,0)),"Référence inconnue",IF(OR(NOT(ISNUMBER(E1982)),N(E1982)&lt;=0),"Quantité invalide",IF(K1982&lt;0,"Stock négatif",IF(AND(ISNUMBER(A1981),A1982&lt;A1981),"Date hors ordre","OK"))))))))</f>
        <v/>
      </c>
      <c r="M1982" s="39" t="str">
        <f>IF(C1982="","",C1982&amp;"#"&amp;COUNTIF($C$5:C1982,C1982))</f>
        <v/>
      </c>
    </row>
    <row r="1983">
      <c r="A1983" s="41" t="n"/>
      <c r="B1983" s="37" t="n"/>
      <c r="C1983" s="37" t="n"/>
      <c r="D1983" s="39" t="str">
        <f>IF(C1983="","",IFERROR(INDEX(art_des,MATCH(C1983,art_ref,0))&amp;"","Référence inconnue"))</f>
        <v/>
      </c>
      <c r="E1983" s="37" t="n"/>
      <c r="F1983" s="39" t="str">
        <f>IF(C1983="","",IFERROR(INDEX(art_unit,MATCH(C1983,art_ref,0))&amp;"",""))</f>
        <v/>
      </c>
      <c r="G1983" s="37" t="n"/>
      <c r="H1983" s="37" t="n"/>
      <c r="I1983" s="37" t="n"/>
      <c r="J1983" s="40" t="str">
        <f>IF(OR(C1983="",NOT(ISNUMBER(E1983))),"",IFERROR(E1983*N(INDEX(art_price,MATCH(C1983,art_ref,0))),""))</f>
        <v/>
      </c>
      <c r="K1983" s="39" t="str">
        <f>IF(OR(C1983="",NOT(ISNUMBER(E1983))),"",IFERROR(ROUND(N(INDEX(art_init,MATCH(C1983,art_ref,0)))+SUMIFS($E$5:E1983,$C$5:C1983,C1983,$B$5:B1983,"Entrée")-SUMIFS($E$5:E1983,$C$5:C1983,C1983,$B$5:B1983,"Sortie"),6),""))</f>
        <v/>
      </c>
      <c r="L1983" s="39" t="str">
        <f>IF(COUNTA(A1983:C1983,E1983)=0,"",IF(COUNTA(A1983:C1983,E1983)&lt;4,"Ligne incomplète",IF(NOT(ISNUMBER(A1983)),"Date invalide",IF(AND(B1983&lt;&gt;"Entrée",B1983&lt;&gt;"Sortie"),"Type inconnu",IF(ISNA(MATCH(C1983,art_ref,0)),"Référence inconnue",IF(OR(NOT(ISNUMBER(E1983)),N(E1983)&lt;=0),"Quantité invalide",IF(K1983&lt;0,"Stock négatif",IF(AND(ISNUMBER(A1982),A1983&lt;A1982),"Date hors ordre","OK"))))))))</f>
        <v/>
      </c>
      <c r="M1983" s="39" t="str">
        <f>IF(C1983="","",C1983&amp;"#"&amp;COUNTIF($C$5:C1983,C1983))</f>
        <v/>
      </c>
    </row>
    <row r="1984">
      <c r="A1984" s="41" t="n"/>
      <c r="B1984" s="37" t="n"/>
      <c r="C1984" s="37" t="n"/>
      <c r="D1984" s="39" t="str">
        <f>IF(C1984="","",IFERROR(INDEX(art_des,MATCH(C1984,art_ref,0))&amp;"","Référence inconnue"))</f>
        <v/>
      </c>
      <c r="E1984" s="37" t="n"/>
      <c r="F1984" s="39" t="str">
        <f>IF(C1984="","",IFERROR(INDEX(art_unit,MATCH(C1984,art_ref,0))&amp;"",""))</f>
        <v/>
      </c>
      <c r="G1984" s="37" t="n"/>
      <c r="H1984" s="37" t="n"/>
      <c r="I1984" s="37" t="n"/>
      <c r="J1984" s="40" t="str">
        <f>IF(OR(C1984="",NOT(ISNUMBER(E1984))),"",IFERROR(E1984*N(INDEX(art_price,MATCH(C1984,art_ref,0))),""))</f>
        <v/>
      </c>
      <c r="K1984" s="39" t="str">
        <f>IF(OR(C1984="",NOT(ISNUMBER(E1984))),"",IFERROR(ROUND(N(INDEX(art_init,MATCH(C1984,art_ref,0)))+SUMIFS($E$5:E1984,$C$5:C1984,C1984,$B$5:B1984,"Entrée")-SUMIFS($E$5:E1984,$C$5:C1984,C1984,$B$5:B1984,"Sortie"),6),""))</f>
        <v/>
      </c>
      <c r="L1984" s="39" t="str">
        <f>IF(COUNTA(A1984:C1984,E1984)=0,"",IF(COUNTA(A1984:C1984,E1984)&lt;4,"Ligne incomplète",IF(NOT(ISNUMBER(A1984)),"Date invalide",IF(AND(B1984&lt;&gt;"Entrée",B1984&lt;&gt;"Sortie"),"Type inconnu",IF(ISNA(MATCH(C1984,art_ref,0)),"Référence inconnue",IF(OR(NOT(ISNUMBER(E1984)),N(E1984)&lt;=0),"Quantité invalide",IF(K1984&lt;0,"Stock négatif",IF(AND(ISNUMBER(A1983),A1984&lt;A1983),"Date hors ordre","OK"))))))))</f>
        <v/>
      </c>
      <c r="M1984" s="39" t="str">
        <f>IF(C1984="","",C1984&amp;"#"&amp;COUNTIF($C$5:C1984,C1984))</f>
        <v/>
      </c>
    </row>
    <row r="1985">
      <c r="A1985" s="41" t="n"/>
      <c r="B1985" s="37" t="n"/>
      <c r="C1985" s="37" t="n"/>
      <c r="D1985" s="39" t="str">
        <f>IF(C1985="","",IFERROR(INDEX(art_des,MATCH(C1985,art_ref,0))&amp;"","Référence inconnue"))</f>
        <v/>
      </c>
      <c r="E1985" s="37" t="n"/>
      <c r="F1985" s="39" t="str">
        <f>IF(C1985="","",IFERROR(INDEX(art_unit,MATCH(C1985,art_ref,0))&amp;"",""))</f>
        <v/>
      </c>
      <c r="G1985" s="37" t="n"/>
      <c r="H1985" s="37" t="n"/>
      <c r="I1985" s="37" t="n"/>
      <c r="J1985" s="40" t="str">
        <f>IF(OR(C1985="",NOT(ISNUMBER(E1985))),"",IFERROR(E1985*N(INDEX(art_price,MATCH(C1985,art_ref,0))),""))</f>
        <v/>
      </c>
      <c r="K1985" s="39" t="str">
        <f>IF(OR(C1985="",NOT(ISNUMBER(E1985))),"",IFERROR(ROUND(N(INDEX(art_init,MATCH(C1985,art_ref,0)))+SUMIFS($E$5:E1985,$C$5:C1985,C1985,$B$5:B1985,"Entrée")-SUMIFS($E$5:E1985,$C$5:C1985,C1985,$B$5:B1985,"Sortie"),6),""))</f>
        <v/>
      </c>
      <c r="L1985" s="39" t="str">
        <f>IF(COUNTA(A1985:C1985,E1985)=0,"",IF(COUNTA(A1985:C1985,E1985)&lt;4,"Ligne incomplète",IF(NOT(ISNUMBER(A1985)),"Date invalide",IF(AND(B1985&lt;&gt;"Entrée",B1985&lt;&gt;"Sortie"),"Type inconnu",IF(ISNA(MATCH(C1985,art_ref,0)),"Référence inconnue",IF(OR(NOT(ISNUMBER(E1985)),N(E1985)&lt;=0),"Quantité invalide",IF(K1985&lt;0,"Stock négatif",IF(AND(ISNUMBER(A1984),A1985&lt;A1984),"Date hors ordre","OK"))))))))</f>
        <v/>
      </c>
      <c r="M1985" s="39" t="str">
        <f>IF(C1985="","",C1985&amp;"#"&amp;COUNTIF($C$5:C1985,C1985))</f>
        <v/>
      </c>
    </row>
    <row r="1986">
      <c r="A1986" s="41" t="n"/>
      <c r="B1986" s="37" t="n"/>
      <c r="C1986" s="37" t="n"/>
      <c r="D1986" s="39" t="str">
        <f>IF(C1986="","",IFERROR(INDEX(art_des,MATCH(C1986,art_ref,0))&amp;"","Référence inconnue"))</f>
        <v/>
      </c>
      <c r="E1986" s="37" t="n"/>
      <c r="F1986" s="39" t="str">
        <f>IF(C1986="","",IFERROR(INDEX(art_unit,MATCH(C1986,art_ref,0))&amp;"",""))</f>
        <v/>
      </c>
      <c r="G1986" s="37" t="n"/>
      <c r="H1986" s="37" t="n"/>
      <c r="I1986" s="37" t="n"/>
      <c r="J1986" s="40" t="str">
        <f>IF(OR(C1986="",NOT(ISNUMBER(E1986))),"",IFERROR(E1986*N(INDEX(art_price,MATCH(C1986,art_ref,0))),""))</f>
        <v/>
      </c>
      <c r="K1986" s="39" t="str">
        <f>IF(OR(C1986="",NOT(ISNUMBER(E1986))),"",IFERROR(ROUND(N(INDEX(art_init,MATCH(C1986,art_ref,0)))+SUMIFS($E$5:E1986,$C$5:C1986,C1986,$B$5:B1986,"Entrée")-SUMIFS($E$5:E1986,$C$5:C1986,C1986,$B$5:B1986,"Sortie"),6),""))</f>
        <v/>
      </c>
      <c r="L1986" s="39" t="str">
        <f>IF(COUNTA(A1986:C1986,E1986)=0,"",IF(COUNTA(A1986:C1986,E1986)&lt;4,"Ligne incomplète",IF(NOT(ISNUMBER(A1986)),"Date invalide",IF(AND(B1986&lt;&gt;"Entrée",B1986&lt;&gt;"Sortie"),"Type inconnu",IF(ISNA(MATCH(C1986,art_ref,0)),"Référence inconnue",IF(OR(NOT(ISNUMBER(E1986)),N(E1986)&lt;=0),"Quantité invalide",IF(K1986&lt;0,"Stock négatif",IF(AND(ISNUMBER(A1985),A1986&lt;A1985),"Date hors ordre","OK"))))))))</f>
        <v/>
      </c>
      <c r="M1986" s="39" t="str">
        <f>IF(C1986="","",C1986&amp;"#"&amp;COUNTIF($C$5:C1986,C1986))</f>
        <v/>
      </c>
    </row>
    <row r="1987">
      <c r="A1987" s="41" t="n"/>
      <c r="B1987" s="37" t="n"/>
      <c r="C1987" s="37" t="n"/>
      <c r="D1987" s="39" t="str">
        <f>IF(C1987="","",IFERROR(INDEX(art_des,MATCH(C1987,art_ref,0))&amp;"","Référence inconnue"))</f>
        <v/>
      </c>
      <c r="E1987" s="37" t="n"/>
      <c r="F1987" s="39" t="str">
        <f>IF(C1987="","",IFERROR(INDEX(art_unit,MATCH(C1987,art_ref,0))&amp;"",""))</f>
        <v/>
      </c>
      <c r="G1987" s="37" t="n"/>
      <c r="H1987" s="37" t="n"/>
      <c r="I1987" s="37" t="n"/>
      <c r="J1987" s="40" t="str">
        <f>IF(OR(C1987="",NOT(ISNUMBER(E1987))),"",IFERROR(E1987*N(INDEX(art_price,MATCH(C1987,art_ref,0))),""))</f>
        <v/>
      </c>
      <c r="K1987" s="39" t="str">
        <f>IF(OR(C1987="",NOT(ISNUMBER(E1987))),"",IFERROR(ROUND(N(INDEX(art_init,MATCH(C1987,art_ref,0)))+SUMIFS($E$5:E1987,$C$5:C1987,C1987,$B$5:B1987,"Entrée")-SUMIFS($E$5:E1987,$C$5:C1987,C1987,$B$5:B1987,"Sortie"),6),""))</f>
        <v/>
      </c>
      <c r="L1987" s="39" t="str">
        <f>IF(COUNTA(A1987:C1987,E1987)=0,"",IF(COUNTA(A1987:C1987,E1987)&lt;4,"Ligne incomplète",IF(NOT(ISNUMBER(A1987)),"Date invalide",IF(AND(B1987&lt;&gt;"Entrée",B1987&lt;&gt;"Sortie"),"Type inconnu",IF(ISNA(MATCH(C1987,art_ref,0)),"Référence inconnue",IF(OR(NOT(ISNUMBER(E1987)),N(E1987)&lt;=0),"Quantité invalide",IF(K1987&lt;0,"Stock négatif",IF(AND(ISNUMBER(A1986),A1987&lt;A1986),"Date hors ordre","OK"))))))))</f>
        <v/>
      </c>
      <c r="M1987" s="39" t="str">
        <f>IF(C1987="","",C1987&amp;"#"&amp;COUNTIF($C$5:C1987,C1987))</f>
        <v/>
      </c>
    </row>
    <row r="1988">
      <c r="A1988" s="41" t="n"/>
      <c r="B1988" s="37" t="n"/>
      <c r="C1988" s="37" t="n"/>
      <c r="D1988" s="39" t="str">
        <f>IF(C1988="","",IFERROR(INDEX(art_des,MATCH(C1988,art_ref,0))&amp;"","Référence inconnue"))</f>
        <v/>
      </c>
      <c r="E1988" s="37" t="n"/>
      <c r="F1988" s="39" t="str">
        <f>IF(C1988="","",IFERROR(INDEX(art_unit,MATCH(C1988,art_ref,0))&amp;"",""))</f>
        <v/>
      </c>
      <c r="G1988" s="37" t="n"/>
      <c r="H1988" s="37" t="n"/>
      <c r="I1988" s="37" t="n"/>
      <c r="J1988" s="40" t="str">
        <f>IF(OR(C1988="",NOT(ISNUMBER(E1988))),"",IFERROR(E1988*N(INDEX(art_price,MATCH(C1988,art_ref,0))),""))</f>
        <v/>
      </c>
      <c r="K1988" s="39" t="str">
        <f>IF(OR(C1988="",NOT(ISNUMBER(E1988))),"",IFERROR(ROUND(N(INDEX(art_init,MATCH(C1988,art_ref,0)))+SUMIFS($E$5:E1988,$C$5:C1988,C1988,$B$5:B1988,"Entrée")-SUMIFS($E$5:E1988,$C$5:C1988,C1988,$B$5:B1988,"Sortie"),6),""))</f>
        <v/>
      </c>
      <c r="L1988" s="39" t="str">
        <f>IF(COUNTA(A1988:C1988,E1988)=0,"",IF(COUNTA(A1988:C1988,E1988)&lt;4,"Ligne incomplète",IF(NOT(ISNUMBER(A1988)),"Date invalide",IF(AND(B1988&lt;&gt;"Entrée",B1988&lt;&gt;"Sortie"),"Type inconnu",IF(ISNA(MATCH(C1988,art_ref,0)),"Référence inconnue",IF(OR(NOT(ISNUMBER(E1988)),N(E1988)&lt;=0),"Quantité invalide",IF(K1988&lt;0,"Stock négatif",IF(AND(ISNUMBER(A1987),A1988&lt;A1987),"Date hors ordre","OK"))))))))</f>
        <v/>
      </c>
      <c r="M1988" s="39" t="str">
        <f>IF(C1988="","",C1988&amp;"#"&amp;COUNTIF($C$5:C1988,C1988))</f>
        <v/>
      </c>
    </row>
    <row r="1989">
      <c r="A1989" s="41" t="n"/>
      <c r="B1989" s="37" t="n"/>
      <c r="C1989" s="37" t="n"/>
      <c r="D1989" s="39" t="str">
        <f>IF(C1989="","",IFERROR(INDEX(art_des,MATCH(C1989,art_ref,0))&amp;"","Référence inconnue"))</f>
        <v/>
      </c>
      <c r="E1989" s="37" t="n"/>
      <c r="F1989" s="39" t="str">
        <f>IF(C1989="","",IFERROR(INDEX(art_unit,MATCH(C1989,art_ref,0))&amp;"",""))</f>
        <v/>
      </c>
      <c r="G1989" s="37" t="n"/>
      <c r="H1989" s="37" t="n"/>
      <c r="I1989" s="37" t="n"/>
      <c r="J1989" s="40" t="str">
        <f>IF(OR(C1989="",NOT(ISNUMBER(E1989))),"",IFERROR(E1989*N(INDEX(art_price,MATCH(C1989,art_ref,0))),""))</f>
        <v/>
      </c>
      <c r="K1989" s="39" t="str">
        <f>IF(OR(C1989="",NOT(ISNUMBER(E1989))),"",IFERROR(ROUND(N(INDEX(art_init,MATCH(C1989,art_ref,0)))+SUMIFS($E$5:E1989,$C$5:C1989,C1989,$B$5:B1989,"Entrée")-SUMIFS($E$5:E1989,$C$5:C1989,C1989,$B$5:B1989,"Sortie"),6),""))</f>
        <v/>
      </c>
      <c r="L1989" s="39" t="str">
        <f>IF(COUNTA(A1989:C1989,E1989)=0,"",IF(COUNTA(A1989:C1989,E1989)&lt;4,"Ligne incomplète",IF(NOT(ISNUMBER(A1989)),"Date invalide",IF(AND(B1989&lt;&gt;"Entrée",B1989&lt;&gt;"Sortie"),"Type inconnu",IF(ISNA(MATCH(C1989,art_ref,0)),"Référence inconnue",IF(OR(NOT(ISNUMBER(E1989)),N(E1989)&lt;=0),"Quantité invalide",IF(K1989&lt;0,"Stock négatif",IF(AND(ISNUMBER(A1988),A1989&lt;A1988),"Date hors ordre","OK"))))))))</f>
        <v/>
      </c>
      <c r="M1989" s="39" t="str">
        <f>IF(C1989="","",C1989&amp;"#"&amp;COUNTIF($C$5:C1989,C1989))</f>
        <v/>
      </c>
    </row>
    <row r="1990">
      <c r="A1990" s="41" t="n"/>
      <c r="B1990" s="37" t="n"/>
      <c r="C1990" s="37" t="n"/>
      <c r="D1990" s="39" t="str">
        <f>IF(C1990="","",IFERROR(INDEX(art_des,MATCH(C1990,art_ref,0))&amp;"","Référence inconnue"))</f>
        <v/>
      </c>
      <c r="E1990" s="37" t="n"/>
      <c r="F1990" s="39" t="str">
        <f>IF(C1990="","",IFERROR(INDEX(art_unit,MATCH(C1990,art_ref,0))&amp;"",""))</f>
        <v/>
      </c>
      <c r="G1990" s="37" t="n"/>
      <c r="H1990" s="37" t="n"/>
      <c r="I1990" s="37" t="n"/>
      <c r="J1990" s="40" t="str">
        <f>IF(OR(C1990="",NOT(ISNUMBER(E1990))),"",IFERROR(E1990*N(INDEX(art_price,MATCH(C1990,art_ref,0))),""))</f>
        <v/>
      </c>
      <c r="K1990" s="39" t="str">
        <f>IF(OR(C1990="",NOT(ISNUMBER(E1990))),"",IFERROR(ROUND(N(INDEX(art_init,MATCH(C1990,art_ref,0)))+SUMIFS($E$5:E1990,$C$5:C1990,C1990,$B$5:B1990,"Entrée")-SUMIFS($E$5:E1990,$C$5:C1990,C1990,$B$5:B1990,"Sortie"),6),""))</f>
        <v/>
      </c>
      <c r="L1990" s="39" t="str">
        <f>IF(COUNTA(A1990:C1990,E1990)=0,"",IF(COUNTA(A1990:C1990,E1990)&lt;4,"Ligne incomplète",IF(NOT(ISNUMBER(A1990)),"Date invalide",IF(AND(B1990&lt;&gt;"Entrée",B1990&lt;&gt;"Sortie"),"Type inconnu",IF(ISNA(MATCH(C1990,art_ref,0)),"Référence inconnue",IF(OR(NOT(ISNUMBER(E1990)),N(E1990)&lt;=0),"Quantité invalide",IF(K1990&lt;0,"Stock négatif",IF(AND(ISNUMBER(A1989),A1990&lt;A1989),"Date hors ordre","OK"))))))))</f>
        <v/>
      </c>
      <c r="M1990" s="39" t="str">
        <f>IF(C1990="","",C1990&amp;"#"&amp;COUNTIF($C$5:C1990,C1990))</f>
        <v/>
      </c>
    </row>
    <row r="1991">
      <c r="A1991" s="41" t="n"/>
      <c r="B1991" s="37" t="n"/>
      <c r="C1991" s="37" t="n"/>
      <c r="D1991" s="39" t="str">
        <f>IF(C1991="","",IFERROR(INDEX(art_des,MATCH(C1991,art_ref,0))&amp;"","Référence inconnue"))</f>
        <v/>
      </c>
      <c r="E1991" s="37" t="n"/>
      <c r="F1991" s="39" t="str">
        <f>IF(C1991="","",IFERROR(INDEX(art_unit,MATCH(C1991,art_ref,0))&amp;"",""))</f>
        <v/>
      </c>
      <c r="G1991" s="37" t="n"/>
      <c r="H1991" s="37" t="n"/>
      <c r="I1991" s="37" t="n"/>
      <c r="J1991" s="40" t="str">
        <f>IF(OR(C1991="",NOT(ISNUMBER(E1991))),"",IFERROR(E1991*N(INDEX(art_price,MATCH(C1991,art_ref,0))),""))</f>
        <v/>
      </c>
      <c r="K1991" s="39" t="str">
        <f>IF(OR(C1991="",NOT(ISNUMBER(E1991))),"",IFERROR(ROUND(N(INDEX(art_init,MATCH(C1991,art_ref,0)))+SUMIFS($E$5:E1991,$C$5:C1991,C1991,$B$5:B1991,"Entrée")-SUMIFS($E$5:E1991,$C$5:C1991,C1991,$B$5:B1991,"Sortie"),6),""))</f>
        <v/>
      </c>
      <c r="L1991" s="39" t="str">
        <f>IF(COUNTA(A1991:C1991,E1991)=0,"",IF(COUNTA(A1991:C1991,E1991)&lt;4,"Ligne incomplète",IF(NOT(ISNUMBER(A1991)),"Date invalide",IF(AND(B1991&lt;&gt;"Entrée",B1991&lt;&gt;"Sortie"),"Type inconnu",IF(ISNA(MATCH(C1991,art_ref,0)),"Référence inconnue",IF(OR(NOT(ISNUMBER(E1991)),N(E1991)&lt;=0),"Quantité invalide",IF(K1991&lt;0,"Stock négatif",IF(AND(ISNUMBER(A1990),A1991&lt;A1990),"Date hors ordre","OK"))))))))</f>
        <v/>
      </c>
      <c r="M1991" s="39" t="str">
        <f>IF(C1991="","",C1991&amp;"#"&amp;COUNTIF($C$5:C1991,C1991))</f>
        <v/>
      </c>
    </row>
    <row r="1992">
      <c r="A1992" s="41" t="n"/>
      <c r="B1992" s="37" t="n"/>
      <c r="C1992" s="37" t="n"/>
      <c r="D1992" s="39" t="str">
        <f>IF(C1992="","",IFERROR(INDEX(art_des,MATCH(C1992,art_ref,0))&amp;"","Référence inconnue"))</f>
        <v/>
      </c>
      <c r="E1992" s="37" t="n"/>
      <c r="F1992" s="39" t="str">
        <f>IF(C1992="","",IFERROR(INDEX(art_unit,MATCH(C1992,art_ref,0))&amp;"",""))</f>
        <v/>
      </c>
      <c r="G1992" s="37" t="n"/>
      <c r="H1992" s="37" t="n"/>
      <c r="I1992" s="37" t="n"/>
      <c r="J1992" s="40" t="str">
        <f>IF(OR(C1992="",NOT(ISNUMBER(E1992))),"",IFERROR(E1992*N(INDEX(art_price,MATCH(C1992,art_ref,0))),""))</f>
        <v/>
      </c>
      <c r="K1992" s="39" t="str">
        <f>IF(OR(C1992="",NOT(ISNUMBER(E1992))),"",IFERROR(ROUND(N(INDEX(art_init,MATCH(C1992,art_ref,0)))+SUMIFS($E$5:E1992,$C$5:C1992,C1992,$B$5:B1992,"Entrée")-SUMIFS($E$5:E1992,$C$5:C1992,C1992,$B$5:B1992,"Sortie"),6),""))</f>
        <v/>
      </c>
      <c r="L1992" s="39" t="str">
        <f>IF(COUNTA(A1992:C1992,E1992)=0,"",IF(COUNTA(A1992:C1992,E1992)&lt;4,"Ligne incomplète",IF(NOT(ISNUMBER(A1992)),"Date invalide",IF(AND(B1992&lt;&gt;"Entrée",B1992&lt;&gt;"Sortie"),"Type inconnu",IF(ISNA(MATCH(C1992,art_ref,0)),"Référence inconnue",IF(OR(NOT(ISNUMBER(E1992)),N(E1992)&lt;=0),"Quantité invalide",IF(K1992&lt;0,"Stock négatif",IF(AND(ISNUMBER(A1991),A1992&lt;A1991),"Date hors ordre","OK"))))))))</f>
        <v/>
      </c>
      <c r="M1992" s="39" t="str">
        <f>IF(C1992="","",C1992&amp;"#"&amp;COUNTIF($C$5:C1992,C1992))</f>
        <v/>
      </c>
    </row>
    <row r="1993">
      <c r="A1993" s="41" t="n"/>
      <c r="B1993" s="37" t="n"/>
      <c r="C1993" s="37" t="n"/>
      <c r="D1993" s="39" t="str">
        <f>IF(C1993="","",IFERROR(INDEX(art_des,MATCH(C1993,art_ref,0))&amp;"","Référence inconnue"))</f>
        <v/>
      </c>
      <c r="E1993" s="37" t="n"/>
      <c r="F1993" s="39" t="str">
        <f>IF(C1993="","",IFERROR(INDEX(art_unit,MATCH(C1993,art_ref,0))&amp;"",""))</f>
        <v/>
      </c>
      <c r="G1993" s="37" t="n"/>
      <c r="H1993" s="37" t="n"/>
      <c r="I1993" s="37" t="n"/>
      <c r="J1993" s="40" t="str">
        <f>IF(OR(C1993="",NOT(ISNUMBER(E1993))),"",IFERROR(E1993*N(INDEX(art_price,MATCH(C1993,art_ref,0))),""))</f>
        <v/>
      </c>
      <c r="K1993" s="39" t="str">
        <f>IF(OR(C1993="",NOT(ISNUMBER(E1993))),"",IFERROR(ROUND(N(INDEX(art_init,MATCH(C1993,art_ref,0)))+SUMIFS($E$5:E1993,$C$5:C1993,C1993,$B$5:B1993,"Entrée")-SUMIFS($E$5:E1993,$C$5:C1993,C1993,$B$5:B1993,"Sortie"),6),""))</f>
        <v/>
      </c>
      <c r="L1993" s="39" t="str">
        <f>IF(COUNTA(A1993:C1993,E1993)=0,"",IF(COUNTA(A1993:C1993,E1993)&lt;4,"Ligne incomplète",IF(NOT(ISNUMBER(A1993)),"Date invalide",IF(AND(B1993&lt;&gt;"Entrée",B1993&lt;&gt;"Sortie"),"Type inconnu",IF(ISNA(MATCH(C1993,art_ref,0)),"Référence inconnue",IF(OR(NOT(ISNUMBER(E1993)),N(E1993)&lt;=0),"Quantité invalide",IF(K1993&lt;0,"Stock négatif",IF(AND(ISNUMBER(A1992),A1993&lt;A1992),"Date hors ordre","OK"))))))))</f>
        <v/>
      </c>
      <c r="M1993" s="39" t="str">
        <f>IF(C1993="","",C1993&amp;"#"&amp;COUNTIF($C$5:C1993,C1993))</f>
        <v/>
      </c>
    </row>
    <row r="1994">
      <c r="A1994" s="41" t="n"/>
      <c r="B1994" s="37" t="n"/>
      <c r="C1994" s="37" t="n"/>
      <c r="D1994" s="39" t="str">
        <f>IF(C1994="","",IFERROR(INDEX(art_des,MATCH(C1994,art_ref,0))&amp;"","Référence inconnue"))</f>
        <v/>
      </c>
      <c r="E1994" s="37" t="n"/>
      <c r="F1994" s="39" t="str">
        <f>IF(C1994="","",IFERROR(INDEX(art_unit,MATCH(C1994,art_ref,0))&amp;"",""))</f>
        <v/>
      </c>
      <c r="G1994" s="37" t="n"/>
      <c r="H1994" s="37" t="n"/>
      <c r="I1994" s="37" t="n"/>
      <c r="J1994" s="40" t="str">
        <f>IF(OR(C1994="",NOT(ISNUMBER(E1994))),"",IFERROR(E1994*N(INDEX(art_price,MATCH(C1994,art_ref,0))),""))</f>
        <v/>
      </c>
      <c r="K1994" s="39" t="str">
        <f>IF(OR(C1994="",NOT(ISNUMBER(E1994))),"",IFERROR(ROUND(N(INDEX(art_init,MATCH(C1994,art_ref,0)))+SUMIFS($E$5:E1994,$C$5:C1994,C1994,$B$5:B1994,"Entrée")-SUMIFS($E$5:E1994,$C$5:C1994,C1994,$B$5:B1994,"Sortie"),6),""))</f>
        <v/>
      </c>
      <c r="L1994" s="39" t="str">
        <f>IF(COUNTA(A1994:C1994,E1994)=0,"",IF(COUNTA(A1994:C1994,E1994)&lt;4,"Ligne incomplète",IF(NOT(ISNUMBER(A1994)),"Date invalide",IF(AND(B1994&lt;&gt;"Entrée",B1994&lt;&gt;"Sortie"),"Type inconnu",IF(ISNA(MATCH(C1994,art_ref,0)),"Référence inconnue",IF(OR(NOT(ISNUMBER(E1994)),N(E1994)&lt;=0),"Quantité invalide",IF(K1994&lt;0,"Stock négatif",IF(AND(ISNUMBER(A1993),A1994&lt;A1993),"Date hors ordre","OK"))))))))</f>
        <v/>
      </c>
      <c r="M1994" s="39" t="str">
        <f>IF(C1994="","",C1994&amp;"#"&amp;COUNTIF($C$5:C1994,C1994))</f>
        <v/>
      </c>
    </row>
    <row r="1995">
      <c r="A1995" s="41" t="n"/>
      <c r="B1995" s="37" t="n"/>
      <c r="C1995" s="37" t="n"/>
      <c r="D1995" s="39" t="str">
        <f>IF(C1995="","",IFERROR(INDEX(art_des,MATCH(C1995,art_ref,0))&amp;"","Référence inconnue"))</f>
        <v/>
      </c>
      <c r="E1995" s="37" t="n"/>
      <c r="F1995" s="39" t="str">
        <f>IF(C1995="","",IFERROR(INDEX(art_unit,MATCH(C1995,art_ref,0))&amp;"",""))</f>
        <v/>
      </c>
      <c r="G1995" s="37" t="n"/>
      <c r="H1995" s="37" t="n"/>
      <c r="I1995" s="37" t="n"/>
      <c r="J1995" s="40" t="str">
        <f>IF(OR(C1995="",NOT(ISNUMBER(E1995))),"",IFERROR(E1995*N(INDEX(art_price,MATCH(C1995,art_ref,0))),""))</f>
        <v/>
      </c>
      <c r="K1995" s="39" t="str">
        <f>IF(OR(C1995="",NOT(ISNUMBER(E1995))),"",IFERROR(ROUND(N(INDEX(art_init,MATCH(C1995,art_ref,0)))+SUMIFS($E$5:E1995,$C$5:C1995,C1995,$B$5:B1995,"Entrée")-SUMIFS($E$5:E1995,$C$5:C1995,C1995,$B$5:B1995,"Sortie"),6),""))</f>
        <v/>
      </c>
      <c r="L1995" s="39" t="str">
        <f>IF(COUNTA(A1995:C1995,E1995)=0,"",IF(COUNTA(A1995:C1995,E1995)&lt;4,"Ligne incomplète",IF(NOT(ISNUMBER(A1995)),"Date invalide",IF(AND(B1995&lt;&gt;"Entrée",B1995&lt;&gt;"Sortie"),"Type inconnu",IF(ISNA(MATCH(C1995,art_ref,0)),"Référence inconnue",IF(OR(NOT(ISNUMBER(E1995)),N(E1995)&lt;=0),"Quantité invalide",IF(K1995&lt;0,"Stock négatif",IF(AND(ISNUMBER(A1994),A1995&lt;A1994),"Date hors ordre","OK"))))))))</f>
        <v/>
      </c>
      <c r="M1995" s="39" t="str">
        <f>IF(C1995="","",C1995&amp;"#"&amp;COUNTIF($C$5:C1995,C1995))</f>
        <v/>
      </c>
    </row>
    <row r="1996">
      <c r="A1996" s="41" t="n"/>
      <c r="B1996" s="37" t="n"/>
      <c r="C1996" s="37" t="n"/>
      <c r="D1996" s="39" t="str">
        <f>IF(C1996="","",IFERROR(INDEX(art_des,MATCH(C1996,art_ref,0))&amp;"","Référence inconnue"))</f>
        <v/>
      </c>
      <c r="E1996" s="37" t="n"/>
      <c r="F1996" s="39" t="str">
        <f>IF(C1996="","",IFERROR(INDEX(art_unit,MATCH(C1996,art_ref,0))&amp;"",""))</f>
        <v/>
      </c>
      <c r="G1996" s="37" t="n"/>
      <c r="H1996" s="37" t="n"/>
      <c r="I1996" s="37" t="n"/>
      <c r="J1996" s="40" t="str">
        <f>IF(OR(C1996="",NOT(ISNUMBER(E1996))),"",IFERROR(E1996*N(INDEX(art_price,MATCH(C1996,art_ref,0))),""))</f>
        <v/>
      </c>
      <c r="K1996" s="39" t="str">
        <f>IF(OR(C1996="",NOT(ISNUMBER(E1996))),"",IFERROR(ROUND(N(INDEX(art_init,MATCH(C1996,art_ref,0)))+SUMIFS($E$5:E1996,$C$5:C1996,C1996,$B$5:B1996,"Entrée")-SUMIFS($E$5:E1996,$C$5:C1996,C1996,$B$5:B1996,"Sortie"),6),""))</f>
        <v/>
      </c>
      <c r="L1996" s="39" t="str">
        <f>IF(COUNTA(A1996:C1996,E1996)=0,"",IF(COUNTA(A1996:C1996,E1996)&lt;4,"Ligne incomplète",IF(NOT(ISNUMBER(A1996)),"Date invalide",IF(AND(B1996&lt;&gt;"Entrée",B1996&lt;&gt;"Sortie"),"Type inconnu",IF(ISNA(MATCH(C1996,art_ref,0)),"Référence inconnue",IF(OR(NOT(ISNUMBER(E1996)),N(E1996)&lt;=0),"Quantité invalide",IF(K1996&lt;0,"Stock négatif",IF(AND(ISNUMBER(A1995),A1996&lt;A1995),"Date hors ordre","OK"))))))))</f>
        <v/>
      </c>
      <c r="M1996" s="39" t="str">
        <f>IF(C1996="","",C1996&amp;"#"&amp;COUNTIF($C$5:C1996,C1996))</f>
        <v/>
      </c>
    </row>
    <row r="1997">
      <c r="A1997" s="41" t="n"/>
      <c r="B1997" s="37" t="n"/>
      <c r="C1997" s="37" t="n"/>
      <c r="D1997" s="39" t="str">
        <f>IF(C1997="","",IFERROR(INDEX(art_des,MATCH(C1997,art_ref,0))&amp;"","Référence inconnue"))</f>
        <v/>
      </c>
      <c r="E1997" s="37" t="n"/>
      <c r="F1997" s="39" t="str">
        <f>IF(C1997="","",IFERROR(INDEX(art_unit,MATCH(C1997,art_ref,0))&amp;"",""))</f>
        <v/>
      </c>
      <c r="G1997" s="37" t="n"/>
      <c r="H1997" s="37" t="n"/>
      <c r="I1997" s="37" t="n"/>
      <c r="J1997" s="40" t="str">
        <f>IF(OR(C1997="",NOT(ISNUMBER(E1997))),"",IFERROR(E1997*N(INDEX(art_price,MATCH(C1997,art_ref,0))),""))</f>
        <v/>
      </c>
      <c r="K1997" s="39" t="str">
        <f>IF(OR(C1997="",NOT(ISNUMBER(E1997))),"",IFERROR(ROUND(N(INDEX(art_init,MATCH(C1997,art_ref,0)))+SUMIFS($E$5:E1997,$C$5:C1997,C1997,$B$5:B1997,"Entrée")-SUMIFS($E$5:E1997,$C$5:C1997,C1997,$B$5:B1997,"Sortie"),6),""))</f>
        <v/>
      </c>
      <c r="L1997" s="39" t="str">
        <f>IF(COUNTA(A1997:C1997,E1997)=0,"",IF(COUNTA(A1997:C1997,E1997)&lt;4,"Ligne incomplète",IF(NOT(ISNUMBER(A1997)),"Date invalide",IF(AND(B1997&lt;&gt;"Entrée",B1997&lt;&gt;"Sortie"),"Type inconnu",IF(ISNA(MATCH(C1997,art_ref,0)),"Référence inconnue",IF(OR(NOT(ISNUMBER(E1997)),N(E1997)&lt;=0),"Quantité invalide",IF(K1997&lt;0,"Stock négatif",IF(AND(ISNUMBER(A1996),A1997&lt;A1996),"Date hors ordre","OK"))))))))</f>
        <v/>
      </c>
      <c r="M1997" s="39" t="str">
        <f>IF(C1997="","",C1997&amp;"#"&amp;COUNTIF($C$5:C1997,C1997))</f>
        <v/>
      </c>
    </row>
    <row r="1998">
      <c r="A1998" s="41" t="n"/>
      <c r="B1998" s="37" t="n"/>
      <c r="C1998" s="37" t="n"/>
      <c r="D1998" s="39" t="str">
        <f>IF(C1998="","",IFERROR(INDEX(art_des,MATCH(C1998,art_ref,0))&amp;"","Référence inconnue"))</f>
        <v/>
      </c>
      <c r="E1998" s="37" t="n"/>
      <c r="F1998" s="39" t="str">
        <f>IF(C1998="","",IFERROR(INDEX(art_unit,MATCH(C1998,art_ref,0))&amp;"",""))</f>
        <v/>
      </c>
      <c r="G1998" s="37" t="n"/>
      <c r="H1998" s="37" t="n"/>
      <c r="I1998" s="37" t="n"/>
      <c r="J1998" s="40" t="str">
        <f>IF(OR(C1998="",NOT(ISNUMBER(E1998))),"",IFERROR(E1998*N(INDEX(art_price,MATCH(C1998,art_ref,0))),""))</f>
        <v/>
      </c>
      <c r="K1998" s="39" t="str">
        <f>IF(OR(C1998="",NOT(ISNUMBER(E1998))),"",IFERROR(ROUND(N(INDEX(art_init,MATCH(C1998,art_ref,0)))+SUMIFS($E$5:E1998,$C$5:C1998,C1998,$B$5:B1998,"Entrée")-SUMIFS($E$5:E1998,$C$5:C1998,C1998,$B$5:B1998,"Sortie"),6),""))</f>
        <v/>
      </c>
      <c r="L1998" s="39" t="str">
        <f>IF(COUNTA(A1998:C1998,E1998)=0,"",IF(COUNTA(A1998:C1998,E1998)&lt;4,"Ligne incomplète",IF(NOT(ISNUMBER(A1998)),"Date invalide",IF(AND(B1998&lt;&gt;"Entrée",B1998&lt;&gt;"Sortie"),"Type inconnu",IF(ISNA(MATCH(C1998,art_ref,0)),"Référence inconnue",IF(OR(NOT(ISNUMBER(E1998)),N(E1998)&lt;=0),"Quantité invalide",IF(K1998&lt;0,"Stock négatif",IF(AND(ISNUMBER(A1997),A1998&lt;A1997),"Date hors ordre","OK"))))))))</f>
        <v/>
      </c>
      <c r="M1998" s="39" t="str">
        <f>IF(C1998="","",C1998&amp;"#"&amp;COUNTIF($C$5:C1998,C1998))</f>
        <v/>
      </c>
    </row>
    <row r="1999">
      <c r="A1999" s="41" t="n"/>
      <c r="B1999" s="37" t="n"/>
      <c r="C1999" s="37" t="n"/>
      <c r="D1999" s="39" t="str">
        <f>IF(C1999="","",IFERROR(INDEX(art_des,MATCH(C1999,art_ref,0))&amp;"","Référence inconnue"))</f>
        <v/>
      </c>
      <c r="E1999" s="37" t="n"/>
      <c r="F1999" s="39" t="str">
        <f>IF(C1999="","",IFERROR(INDEX(art_unit,MATCH(C1999,art_ref,0))&amp;"",""))</f>
        <v/>
      </c>
      <c r="G1999" s="37" t="n"/>
      <c r="H1999" s="37" t="n"/>
      <c r="I1999" s="37" t="n"/>
      <c r="J1999" s="40" t="str">
        <f>IF(OR(C1999="",NOT(ISNUMBER(E1999))),"",IFERROR(E1999*N(INDEX(art_price,MATCH(C1999,art_ref,0))),""))</f>
        <v/>
      </c>
      <c r="K1999" s="39" t="str">
        <f>IF(OR(C1999="",NOT(ISNUMBER(E1999))),"",IFERROR(ROUND(N(INDEX(art_init,MATCH(C1999,art_ref,0)))+SUMIFS($E$5:E1999,$C$5:C1999,C1999,$B$5:B1999,"Entrée")-SUMIFS($E$5:E1999,$C$5:C1999,C1999,$B$5:B1999,"Sortie"),6),""))</f>
        <v/>
      </c>
      <c r="L1999" s="39" t="str">
        <f>IF(COUNTA(A1999:C1999,E1999)=0,"",IF(COUNTA(A1999:C1999,E1999)&lt;4,"Ligne incomplète",IF(NOT(ISNUMBER(A1999)),"Date invalide",IF(AND(B1999&lt;&gt;"Entrée",B1999&lt;&gt;"Sortie"),"Type inconnu",IF(ISNA(MATCH(C1999,art_ref,0)),"Référence inconnue",IF(OR(NOT(ISNUMBER(E1999)),N(E1999)&lt;=0),"Quantité invalide",IF(K1999&lt;0,"Stock négatif",IF(AND(ISNUMBER(A1998),A1999&lt;A1998),"Date hors ordre","OK"))))))))</f>
        <v/>
      </c>
      <c r="M1999" s="39" t="str">
        <f>IF(C1999="","",C1999&amp;"#"&amp;COUNTIF($C$5:C1999,C1999))</f>
        <v/>
      </c>
    </row>
    <row r="2000">
      <c r="A2000" s="41" t="n"/>
      <c r="B2000" s="37" t="n"/>
      <c r="C2000" s="37" t="n"/>
      <c r="D2000" s="39" t="str">
        <f>IF(C2000="","",IFERROR(INDEX(art_des,MATCH(C2000,art_ref,0))&amp;"","Référence inconnue"))</f>
        <v/>
      </c>
      <c r="E2000" s="37" t="n"/>
      <c r="F2000" s="39" t="str">
        <f>IF(C2000="","",IFERROR(INDEX(art_unit,MATCH(C2000,art_ref,0))&amp;"",""))</f>
        <v/>
      </c>
      <c r="G2000" s="37" t="n"/>
      <c r="H2000" s="37" t="n"/>
      <c r="I2000" s="37" t="n"/>
      <c r="J2000" s="40" t="str">
        <f>IF(OR(C2000="",NOT(ISNUMBER(E2000))),"",IFERROR(E2000*N(INDEX(art_price,MATCH(C2000,art_ref,0))),""))</f>
        <v/>
      </c>
      <c r="K2000" s="39" t="str">
        <f>IF(OR(C2000="",NOT(ISNUMBER(E2000))),"",IFERROR(ROUND(N(INDEX(art_init,MATCH(C2000,art_ref,0)))+SUMIFS($E$5:E2000,$C$5:C2000,C2000,$B$5:B2000,"Entrée")-SUMIFS($E$5:E2000,$C$5:C2000,C2000,$B$5:B2000,"Sortie"),6),""))</f>
        <v/>
      </c>
      <c r="L2000" s="39" t="str">
        <f>IF(COUNTA(A2000:C2000,E2000)=0,"",IF(COUNTA(A2000:C2000,E2000)&lt;4,"Ligne incomplète",IF(NOT(ISNUMBER(A2000)),"Date invalide",IF(AND(B2000&lt;&gt;"Entrée",B2000&lt;&gt;"Sortie"),"Type inconnu",IF(ISNA(MATCH(C2000,art_ref,0)),"Référence inconnue",IF(OR(NOT(ISNUMBER(E2000)),N(E2000)&lt;=0),"Quantité invalide",IF(K2000&lt;0,"Stock négatif",IF(AND(ISNUMBER(A1999),A2000&lt;A1999),"Date hors ordre","OK"))))))))</f>
        <v/>
      </c>
      <c r="M2000" s="39" t="str">
        <f>IF(C2000="","",C2000&amp;"#"&amp;COUNTIF($C$5:C2000,C2000))</f>
        <v/>
      </c>
    </row>
    <row r="2001">
      <c r="A2001" s="41" t="n"/>
      <c r="B2001" s="37" t="n"/>
      <c r="C2001" s="37" t="n"/>
      <c r="D2001" s="39" t="str">
        <f>IF(C2001="","",IFERROR(INDEX(art_des,MATCH(C2001,art_ref,0))&amp;"","Référence inconnue"))</f>
        <v/>
      </c>
      <c r="E2001" s="37" t="n"/>
      <c r="F2001" s="39" t="str">
        <f>IF(C2001="","",IFERROR(INDEX(art_unit,MATCH(C2001,art_ref,0))&amp;"",""))</f>
        <v/>
      </c>
      <c r="G2001" s="37" t="n"/>
      <c r="H2001" s="37" t="n"/>
      <c r="I2001" s="37" t="n"/>
      <c r="J2001" s="40" t="str">
        <f>IF(OR(C2001="",NOT(ISNUMBER(E2001))),"",IFERROR(E2001*N(INDEX(art_price,MATCH(C2001,art_ref,0))),""))</f>
        <v/>
      </c>
      <c r="K2001" s="39" t="str">
        <f>IF(OR(C2001="",NOT(ISNUMBER(E2001))),"",IFERROR(ROUND(N(INDEX(art_init,MATCH(C2001,art_ref,0)))+SUMIFS($E$5:E2001,$C$5:C2001,C2001,$B$5:B2001,"Entrée")-SUMIFS($E$5:E2001,$C$5:C2001,C2001,$B$5:B2001,"Sortie"),6),""))</f>
        <v/>
      </c>
      <c r="L2001" s="39" t="str">
        <f>IF(COUNTA(A2001:C2001,E2001)=0,"",IF(COUNTA(A2001:C2001,E2001)&lt;4,"Ligne incomplète",IF(NOT(ISNUMBER(A2001)),"Date invalide",IF(AND(B2001&lt;&gt;"Entrée",B2001&lt;&gt;"Sortie"),"Type inconnu",IF(ISNA(MATCH(C2001,art_ref,0)),"Référence inconnue",IF(OR(NOT(ISNUMBER(E2001)),N(E2001)&lt;=0),"Quantité invalide",IF(K2001&lt;0,"Stock négatif",IF(AND(ISNUMBER(A2000),A2001&lt;A2000),"Date hors ordre","OK"))))))))</f>
        <v/>
      </c>
      <c r="M2001" s="39" t="str">
        <f>IF(C2001="","",C2001&amp;"#"&amp;COUNTIF($C$5:C2001,C2001))</f>
        <v/>
      </c>
    </row>
    <row r="2002">
      <c r="A2002" s="41" t="n"/>
      <c r="B2002" s="37" t="n"/>
      <c r="C2002" s="37" t="n"/>
      <c r="D2002" s="39" t="str">
        <f>IF(C2002="","",IFERROR(INDEX(art_des,MATCH(C2002,art_ref,0))&amp;"","Référence inconnue"))</f>
        <v/>
      </c>
      <c r="E2002" s="37" t="n"/>
      <c r="F2002" s="39" t="str">
        <f>IF(C2002="","",IFERROR(INDEX(art_unit,MATCH(C2002,art_ref,0))&amp;"",""))</f>
        <v/>
      </c>
      <c r="G2002" s="37" t="n"/>
      <c r="H2002" s="37" t="n"/>
      <c r="I2002" s="37" t="n"/>
      <c r="J2002" s="40" t="str">
        <f>IF(OR(C2002="",NOT(ISNUMBER(E2002))),"",IFERROR(E2002*N(INDEX(art_price,MATCH(C2002,art_ref,0))),""))</f>
        <v/>
      </c>
      <c r="K2002" s="39" t="str">
        <f>IF(OR(C2002="",NOT(ISNUMBER(E2002))),"",IFERROR(ROUND(N(INDEX(art_init,MATCH(C2002,art_ref,0)))+SUMIFS($E$5:E2002,$C$5:C2002,C2002,$B$5:B2002,"Entrée")-SUMIFS($E$5:E2002,$C$5:C2002,C2002,$B$5:B2002,"Sortie"),6),""))</f>
        <v/>
      </c>
      <c r="L2002" s="39" t="str">
        <f>IF(COUNTA(A2002:C2002,E2002)=0,"",IF(COUNTA(A2002:C2002,E2002)&lt;4,"Ligne incomplète",IF(NOT(ISNUMBER(A2002)),"Date invalide",IF(AND(B2002&lt;&gt;"Entrée",B2002&lt;&gt;"Sortie"),"Type inconnu",IF(ISNA(MATCH(C2002,art_ref,0)),"Référence inconnue",IF(OR(NOT(ISNUMBER(E2002)),N(E2002)&lt;=0),"Quantité invalide",IF(K2002&lt;0,"Stock négatif",IF(AND(ISNUMBER(A2001),A2002&lt;A2001),"Date hors ordre","OK"))))))))</f>
        <v/>
      </c>
      <c r="M2002" s="39" t="str">
        <f>IF(C2002="","",C2002&amp;"#"&amp;COUNTIF($C$5:C2002,C2002))</f>
        <v/>
      </c>
    </row>
    <row r="2003">
      <c r="A2003" s="41" t="n"/>
      <c r="B2003" s="37" t="n"/>
      <c r="C2003" s="37" t="n"/>
      <c r="D2003" s="39" t="str">
        <f>IF(C2003="","",IFERROR(INDEX(art_des,MATCH(C2003,art_ref,0))&amp;"","Référence inconnue"))</f>
        <v/>
      </c>
      <c r="E2003" s="37" t="n"/>
      <c r="F2003" s="39" t="str">
        <f>IF(C2003="","",IFERROR(INDEX(art_unit,MATCH(C2003,art_ref,0))&amp;"",""))</f>
        <v/>
      </c>
      <c r="G2003" s="37" t="n"/>
      <c r="H2003" s="37" t="n"/>
      <c r="I2003" s="37" t="n"/>
      <c r="J2003" s="40" t="str">
        <f>IF(OR(C2003="",NOT(ISNUMBER(E2003))),"",IFERROR(E2003*N(INDEX(art_price,MATCH(C2003,art_ref,0))),""))</f>
        <v/>
      </c>
      <c r="K2003" s="39" t="str">
        <f>IF(OR(C2003="",NOT(ISNUMBER(E2003))),"",IFERROR(ROUND(N(INDEX(art_init,MATCH(C2003,art_ref,0)))+SUMIFS($E$5:E2003,$C$5:C2003,C2003,$B$5:B2003,"Entrée")-SUMIFS($E$5:E2003,$C$5:C2003,C2003,$B$5:B2003,"Sortie"),6),""))</f>
        <v/>
      </c>
      <c r="L2003" s="39" t="str">
        <f>IF(COUNTA(A2003:C2003,E2003)=0,"",IF(COUNTA(A2003:C2003,E2003)&lt;4,"Ligne incomplète",IF(NOT(ISNUMBER(A2003)),"Date invalide",IF(AND(B2003&lt;&gt;"Entrée",B2003&lt;&gt;"Sortie"),"Type inconnu",IF(ISNA(MATCH(C2003,art_ref,0)),"Référence inconnue",IF(OR(NOT(ISNUMBER(E2003)),N(E2003)&lt;=0),"Quantité invalide",IF(K2003&lt;0,"Stock négatif",IF(AND(ISNUMBER(A2002),A2003&lt;A2002),"Date hors ordre","OK"))))))))</f>
        <v/>
      </c>
      <c r="M2003" s="39" t="str">
        <f>IF(C2003="","",C2003&amp;"#"&amp;COUNTIF($C$5:C2003,C2003))</f>
        <v/>
      </c>
    </row>
    <row r="2004">
      <c r="A2004" s="41" t="n"/>
      <c r="B2004" s="37" t="n"/>
      <c r="C2004" s="37" t="n"/>
      <c r="D2004" s="39" t="str">
        <f>IF(C2004="","",IFERROR(INDEX(art_des,MATCH(C2004,art_ref,0))&amp;"","Référence inconnue"))</f>
        <v/>
      </c>
      <c r="E2004" s="37" t="n"/>
      <c r="F2004" s="39" t="str">
        <f>IF(C2004="","",IFERROR(INDEX(art_unit,MATCH(C2004,art_ref,0))&amp;"",""))</f>
        <v/>
      </c>
      <c r="G2004" s="37" t="n"/>
      <c r="H2004" s="37" t="n"/>
      <c r="I2004" s="37" t="n"/>
      <c r="J2004" s="40" t="str">
        <f>IF(OR(C2004="",NOT(ISNUMBER(E2004))),"",IFERROR(E2004*N(INDEX(art_price,MATCH(C2004,art_ref,0))),""))</f>
        <v/>
      </c>
      <c r="K2004" s="39" t="str">
        <f>IF(OR(C2004="",NOT(ISNUMBER(E2004))),"",IFERROR(ROUND(N(INDEX(art_init,MATCH(C2004,art_ref,0)))+SUMIFS($E$5:E2004,$C$5:C2004,C2004,$B$5:B2004,"Entrée")-SUMIFS($E$5:E2004,$C$5:C2004,C2004,$B$5:B2004,"Sortie"),6),""))</f>
        <v/>
      </c>
      <c r="L2004" s="39" t="str">
        <f>IF(COUNTA(A2004:C2004,E2004)=0,"",IF(COUNTA(A2004:C2004,E2004)&lt;4,"Ligne incomplète",IF(NOT(ISNUMBER(A2004)),"Date invalide",IF(AND(B2004&lt;&gt;"Entrée",B2004&lt;&gt;"Sortie"),"Type inconnu",IF(ISNA(MATCH(C2004,art_ref,0)),"Référence inconnue",IF(OR(NOT(ISNUMBER(E2004)),N(E2004)&lt;=0),"Quantité invalide",IF(K2004&lt;0,"Stock négatif",IF(AND(ISNUMBER(A2003),A2004&lt;A2003),"Date hors ordre","OK"))))))))</f>
        <v/>
      </c>
      <c r="M2004" s="39" t="str">
        <f>IF(C2004="","",C2004&amp;"#"&amp;COUNTIF($C$5:C2004,C2004))</f>
        <v/>
      </c>
    </row>
    <row r="2005">
      <c r="A2005" s="41" t="n"/>
      <c r="B2005" s="37" t="n"/>
      <c r="C2005" s="37" t="n"/>
      <c r="D2005" s="39" t="str">
        <f>IF(C2005="","",IFERROR(INDEX(art_des,MATCH(C2005,art_ref,0))&amp;"","Référence inconnue"))</f>
        <v/>
      </c>
      <c r="E2005" s="37" t="n"/>
      <c r="F2005" s="39" t="str">
        <f>IF(C2005="","",IFERROR(INDEX(art_unit,MATCH(C2005,art_ref,0))&amp;"",""))</f>
        <v/>
      </c>
      <c r="G2005" s="37" t="n"/>
      <c r="H2005" s="37" t="n"/>
      <c r="I2005" s="37" t="n"/>
      <c r="J2005" s="40" t="str">
        <f>IF(OR(C2005="",NOT(ISNUMBER(E2005))),"",IFERROR(E2005*N(INDEX(art_price,MATCH(C2005,art_ref,0))),""))</f>
        <v/>
      </c>
      <c r="K2005" s="39" t="str">
        <f>IF(OR(C2005="",NOT(ISNUMBER(E2005))),"",IFERROR(ROUND(N(INDEX(art_init,MATCH(C2005,art_ref,0)))+SUMIFS($E$5:E2005,$C$5:C2005,C2005,$B$5:B2005,"Entrée")-SUMIFS($E$5:E2005,$C$5:C2005,C2005,$B$5:B2005,"Sortie"),6),""))</f>
        <v/>
      </c>
      <c r="L2005" s="39" t="str">
        <f>IF(COUNTA(A2005:C2005,E2005)=0,"",IF(COUNTA(A2005:C2005,E2005)&lt;4,"Ligne incomplète",IF(NOT(ISNUMBER(A2005)),"Date invalide",IF(AND(B2005&lt;&gt;"Entrée",B2005&lt;&gt;"Sortie"),"Type inconnu",IF(ISNA(MATCH(C2005,art_ref,0)),"Référence inconnue",IF(OR(NOT(ISNUMBER(E2005)),N(E2005)&lt;=0),"Quantité invalide",IF(K2005&lt;0,"Stock négatif",IF(AND(ISNUMBER(A2004),A2005&lt;A2004),"Date hors ordre","OK"))))))))</f>
        <v/>
      </c>
      <c r="M2005" s="39" t="str">
        <f>IF(C2005="","",C2005&amp;"#"&amp;COUNTIF($C$5:C2005,C2005))</f>
        <v/>
      </c>
    </row>
    <row r="2006">
      <c r="A2006" s="41" t="n"/>
      <c r="B2006" s="37" t="n"/>
      <c r="C2006" s="37" t="n"/>
      <c r="D2006" s="39" t="str">
        <f>IF(C2006="","",IFERROR(INDEX(art_des,MATCH(C2006,art_ref,0))&amp;"","Référence inconnue"))</f>
        <v/>
      </c>
      <c r="E2006" s="37" t="n"/>
      <c r="F2006" s="39" t="str">
        <f>IF(C2006="","",IFERROR(INDEX(art_unit,MATCH(C2006,art_ref,0))&amp;"",""))</f>
        <v/>
      </c>
      <c r="G2006" s="37" t="n"/>
      <c r="H2006" s="37" t="n"/>
      <c r="I2006" s="37" t="n"/>
      <c r="J2006" s="40" t="str">
        <f>IF(OR(C2006="",NOT(ISNUMBER(E2006))),"",IFERROR(E2006*N(INDEX(art_price,MATCH(C2006,art_ref,0))),""))</f>
        <v/>
      </c>
      <c r="K2006" s="39" t="str">
        <f>IF(OR(C2006="",NOT(ISNUMBER(E2006))),"",IFERROR(ROUND(N(INDEX(art_init,MATCH(C2006,art_ref,0)))+SUMIFS($E$5:E2006,$C$5:C2006,C2006,$B$5:B2006,"Entrée")-SUMIFS($E$5:E2006,$C$5:C2006,C2006,$B$5:B2006,"Sortie"),6),""))</f>
        <v/>
      </c>
      <c r="L2006" s="39" t="str">
        <f>IF(COUNTA(A2006:C2006,E2006)=0,"",IF(COUNTA(A2006:C2006,E2006)&lt;4,"Ligne incomplète",IF(NOT(ISNUMBER(A2006)),"Date invalide",IF(AND(B2006&lt;&gt;"Entrée",B2006&lt;&gt;"Sortie"),"Type inconnu",IF(ISNA(MATCH(C2006,art_ref,0)),"Référence inconnue",IF(OR(NOT(ISNUMBER(E2006)),N(E2006)&lt;=0),"Quantité invalide",IF(K2006&lt;0,"Stock négatif",IF(AND(ISNUMBER(A2005),A2006&lt;A2005),"Date hors ordre","OK"))))))))</f>
        <v/>
      </c>
      <c r="M2006" s="39" t="str">
        <f>IF(C2006="","",C2006&amp;"#"&amp;COUNTIF($C$5:C2006,C2006))</f>
        <v/>
      </c>
    </row>
    <row r="2007">
      <c r="A2007" s="41" t="n"/>
      <c r="B2007" s="37" t="n"/>
      <c r="C2007" s="37" t="n"/>
      <c r="D2007" s="39" t="str">
        <f>IF(C2007="","",IFERROR(INDEX(art_des,MATCH(C2007,art_ref,0))&amp;"","Référence inconnue"))</f>
        <v/>
      </c>
      <c r="E2007" s="37" t="n"/>
      <c r="F2007" s="39" t="str">
        <f>IF(C2007="","",IFERROR(INDEX(art_unit,MATCH(C2007,art_ref,0))&amp;"",""))</f>
        <v/>
      </c>
      <c r="G2007" s="37" t="n"/>
      <c r="H2007" s="37" t="n"/>
      <c r="I2007" s="37" t="n"/>
      <c r="J2007" s="40" t="str">
        <f>IF(OR(C2007="",NOT(ISNUMBER(E2007))),"",IFERROR(E2007*N(INDEX(art_price,MATCH(C2007,art_ref,0))),""))</f>
        <v/>
      </c>
      <c r="K2007" s="39" t="str">
        <f>IF(OR(C2007="",NOT(ISNUMBER(E2007))),"",IFERROR(ROUND(N(INDEX(art_init,MATCH(C2007,art_ref,0)))+SUMIFS($E$5:E2007,$C$5:C2007,C2007,$B$5:B2007,"Entrée")-SUMIFS($E$5:E2007,$C$5:C2007,C2007,$B$5:B2007,"Sortie"),6),""))</f>
        <v/>
      </c>
      <c r="L2007" s="39" t="str">
        <f>IF(COUNTA(A2007:C2007,E2007)=0,"",IF(COUNTA(A2007:C2007,E2007)&lt;4,"Ligne incomplète",IF(NOT(ISNUMBER(A2007)),"Date invalide",IF(AND(B2007&lt;&gt;"Entrée",B2007&lt;&gt;"Sortie"),"Type inconnu",IF(ISNA(MATCH(C2007,art_ref,0)),"Référence inconnue",IF(OR(NOT(ISNUMBER(E2007)),N(E2007)&lt;=0),"Quantité invalide",IF(K2007&lt;0,"Stock négatif",IF(AND(ISNUMBER(A2006),A2007&lt;A2006),"Date hors ordre","OK"))))))))</f>
        <v/>
      </c>
      <c r="M2007" s="39" t="str">
        <f>IF(C2007="","",C2007&amp;"#"&amp;COUNTIF($C$5:C2007,C2007))</f>
        <v/>
      </c>
    </row>
    <row r="2008">
      <c r="A2008" s="41" t="n"/>
      <c r="B2008" s="37" t="n"/>
      <c r="C2008" s="37" t="n"/>
      <c r="D2008" s="39" t="str">
        <f>IF(C2008="","",IFERROR(INDEX(art_des,MATCH(C2008,art_ref,0))&amp;"","Référence inconnue"))</f>
        <v/>
      </c>
      <c r="E2008" s="37" t="n"/>
      <c r="F2008" s="39" t="str">
        <f>IF(C2008="","",IFERROR(INDEX(art_unit,MATCH(C2008,art_ref,0))&amp;"",""))</f>
        <v/>
      </c>
      <c r="G2008" s="37" t="n"/>
      <c r="H2008" s="37" t="n"/>
      <c r="I2008" s="37" t="n"/>
      <c r="J2008" s="40" t="str">
        <f>IF(OR(C2008="",NOT(ISNUMBER(E2008))),"",IFERROR(E2008*N(INDEX(art_price,MATCH(C2008,art_ref,0))),""))</f>
        <v/>
      </c>
      <c r="K2008" s="39" t="str">
        <f>IF(OR(C2008="",NOT(ISNUMBER(E2008))),"",IFERROR(ROUND(N(INDEX(art_init,MATCH(C2008,art_ref,0)))+SUMIFS($E$5:E2008,$C$5:C2008,C2008,$B$5:B2008,"Entrée")-SUMIFS($E$5:E2008,$C$5:C2008,C2008,$B$5:B2008,"Sortie"),6),""))</f>
        <v/>
      </c>
      <c r="L2008" s="39" t="str">
        <f>IF(COUNTA(A2008:C2008,E2008)=0,"",IF(COUNTA(A2008:C2008,E2008)&lt;4,"Ligne incomplète",IF(NOT(ISNUMBER(A2008)),"Date invalide",IF(AND(B2008&lt;&gt;"Entrée",B2008&lt;&gt;"Sortie"),"Type inconnu",IF(ISNA(MATCH(C2008,art_ref,0)),"Référence inconnue",IF(OR(NOT(ISNUMBER(E2008)),N(E2008)&lt;=0),"Quantité invalide",IF(K2008&lt;0,"Stock négatif",IF(AND(ISNUMBER(A2007),A2008&lt;A2007),"Date hors ordre","OK"))))))))</f>
        <v/>
      </c>
      <c r="M2008" s="39" t="str">
        <f>IF(C2008="","",C2008&amp;"#"&amp;COUNTIF($C$5:C2008,C2008))</f>
        <v/>
      </c>
    </row>
    <row r="2009">
      <c r="A2009" s="41" t="n"/>
      <c r="B2009" s="37" t="n"/>
      <c r="C2009" s="37" t="n"/>
      <c r="D2009" s="39" t="str">
        <f>IF(C2009="","",IFERROR(INDEX(art_des,MATCH(C2009,art_ref,0))&amp;"","Référence inconnue"))</f>
        <v/>
      </c>
      <c r="E2009" s="37" t="n"/>
      <c r="F2009" s="39" t="str">
        <f>IF(C2009="","",IFERROR(INDEX(art_unit,MATCH(C2009,art_ref,0))&amp;"",""))</f>
        <v/>
      </c>
      <c r="G2009" s="37" t="n"/>
      <c r="H2009" s="37" t="n"/>
      <c r="I2009" s="37" t="n"/>
      <c r="J2009" s="40" t="str">
        <f>IF(OR(C2009="",NOT(ISNUMBER(E2009))),"",IFERROR(E2009*N(INDEX(art_price,MATCH(C2009,art_ref,0))),""))</f>
        <v/>
      </c>
      <c r="K2009" s="39" t="str">
        <f>IF(OR(C2009="",NOT(ISNUMBER(E2009))),"",IFERROR(ROUND(N(INDEX(art_init,MATCH(C2009,art_ref,0)))+SUMIFS($E$5:E2009,$C$5:C2009,C2009,$B$5:B2009,"Entrée")-SUMIFS($E$5:E2009,$C$5:C2009,C2009,$B$5:B2009,"Sortie"),6),""))</f>
        <v/>
      </c>
      <c r="L2009" s="39" t="str">
        <f>IF(COUNTA(A2009:C2009,E2009)=0,"",IF(COUNTA(A2009:C2009,E2009)&lt;4,"Ligne incomplète",IF(NOT(ISNUMBER(A2009)),"Date invalide",IF(AND(B2009&lt;&gt;"Entrée",B2009&lt;&gt;"Sortie"),"Type inconnu",IF(ISNA(MATCH(C2009,art_ref,0)),"Référence inconnue",IF(OR(NOT(ISNUMBER(E2009)),N(E2009)&lt;=0),"Quantité invalide",IF(K2009&lt;0,"Stock négatif",IF(AND(ISNUMBER(A2008),A2009&lt;A2008),"Date hors ordre","OK"))))))))</f>
        <v/>
      </c>
      <c r="M2009" s="39" t="str">
        <f>IF(C2009="","",C2009&amp;"#"&amp;COUNTIF($C$5:C2009,C2009))</f>
        <v/>
      </c>
    </row>
    <row r="2010">
      <c r="A2010" s="41" t="n"/>
      <c r="B2010" s="37" t="n"/>
      <c r="C2010" s="37" t="n"/>
      <c r="D2010" s="39" t="str">
        <f>IF(C2010="","",IFERROR(INDEX(art_des,MATCH(C2010,art_ref,0))&amp;"","Référence inconnue"))</f>
        <v/>
      </c>
      <c r="E2010" s="37" t="n"/>
      <c r="F2010" s="39" t="str">
        <f>IF(C2010="","",IFERROR(INDEX(art_unit,MATCH(C2010,art_ref,0))&amp;"",""))</f>
        <v/>
      </c>
      <c r="G2010" s="37" t="n"/>
      <c r="H2010" s="37" t="n"/>
      <c r="I2010" s="37" t="n"/>
      <c r="J2010" s="40" t="str">
        <f>IF(OR(C2010="",NOT(ISNUMBER(E2010))),"",IFERROR(E2010*N(INDEX(art_price,MATCH(C2010,art_ref,0))),""))</f>
        <v/>
      </c>
      <c r="K2010" s="39" t="str">
        <f>IF(OR(C2010="",NOT(ISNUMBER(E2010))),"",IFERROR(ROUND(N(INDEX(art_init,MATCH(C2010,art_ref,0)))+SUMIFS($E$5:E2010,$C$5:C2010,C2010,$B$5:B2010,"Entrée")-SUMIFS($E$5:E2010,$C$5:C2010,C2010,$B$5:B2010,"Sortie"),6),""))</f>
        <v/>
      </c>
      <c r="L2010" s="39" t="str">
        <f>IF(COUNTA(A2010:C2010,E2010)=0,"",IF(COUNTA(A2010:C2010,E2010)&lt;4,"Ligne incomplète",IF(NOT(ISNUMBER(A2010)),"Date invalide",IF(AND(B2010&lt;&gt;"Entrée",B2010&lt;&gt;"Sortie"),"Type inconnu",IF(ISNA(MATCH(C2010,art_ref,0)),"Référence inconnue",IF(OR(NOT(ISNUMBER(E2010)),N(E2010)&lt;=0),"Quantité invalide",IF(K2010&lt;0,"Stock négatif",IF(AND(ISNUMBER(A2009),A2010&lt;A2009),"Date hors ordre","OK"))))))))</f>
        <v/>
      </c>
      <c r="M2010" s="39" t="str">
        <f>IF(C2010="","",C2010&amp;"#"&amp;COUNTIF($C$5:C2010,C2010))</f>
        <v/>
      </c>
    </row>
    <row r="2011">
      <c r="A2011" s="41" t="n"/>
      <c r="B2011" s="37" t="n"/>
      <c r="C2011" s="37" t="n"/>
      <c r="D2011" s="39" t="str">
        <f>IF(C2011="","",IFERROR(INDEX(art_des,MATCH(C2011,art_ref,0))&amp;"","Référence inconnue"))</f>
        <v/>
      </c>
      <c r="E2011" s="37" t="n"/>
      <c r="F2011" s="39" t="str">
        <f>IF(C2011="","",IFERROR(INDEX(art_unit,MATCH(C2011,art_ref,0))&amp;"",""))</f>
        <v/>
      </c>
      <c r="G2011" s="37" t="n"/>
      <c r="H2011" s="37" t="n"/>
      <c r="I2011" s="37" t="n"/>
      <c r="J2011" s="40" t="str">
        <f>IF(OR(C2011="",NOT(ISNUMBER(E2011))),"",IFERROR(E2011*N(INDEX(art_price,MATCH(C2011,art_ref,0))),""))</f>
        <v/>
      </c>
      <c r="K2011" s="39" t="str">
        <f>IF(OR(C2011="",NOT(ISNUMBER(E2011))),"",IFERROR(ROUND(N(INDEX(art_init,MATCH(C2011,art_ref,0)))+SUMIFS($E$5:E2011,$C$5:C2011,C2011,$B$5:B2011,"Entrée")-SUMIFS($E$5:E2011,$C$5:C2011,C2011,$B$5:B2011,"Sortie"),6),""))</f>
        <v/>
      </c>
      <c r="L2011" s="39" t="str">
        <f>IF(COUNTA(A2011:C2011,E2011)=0,"",IF(COUNTA(A2011:C2011,E2011)&lt;4,"Ligne incomplète",IF(NOT(ISNUMBER(A2011)),"Date invalide",IF(AND(B2011&lt;&gt;"Entrée",B2011&lt;&gt;"Sortie"),"Type inconnu",IF(ISNA(MATCH(C2011,art_ref,0)),"Référence inconnue",IF(OR(NOT(ISNUMBER(E2011)),N(E2011)&lt;=0),"Quantité invalide",IF(K2011&lt;0,"Stock négatif",IF(AND(ISNUMBER(A2010),A2011&lt;A2010),"Date hors ordre","OK"))))))))</f>
        <v/>
      </c>
      <c r="M2011" s="39" t="str">
        <f>IF(C2011="","",C2011&amp;"#"&amp;COUNTIF($C$5:C2011,C2011))</f>
        <v/>
      </c>
    </row>
    <row r="2012">
      <c r="A2012" s="41" t="n"/>
      <c r="B2012" s="37" t="n"/>
      <c r="C2012" s="37" t="n"/>
      <c r="D2012" s="39" t="str">
        <f>IF(C2012="","",IFERROR(INDEX(art_des,MATCH(C2012,art_ref,0))&amp;"","Référence inconnue"))</f>
        <v/>
      </c>
      <c r="E2012" s="37" t="n"/>
      <c r="F2012" s="39" t="str">
        <f>IF(C2012="","",IFERROR(INDEX(art_unit,MATCH(C2012,art_ref,0))&amp;"",""))</f>
        <v/>
      </c>
      <c r="G2012" s="37" t="n"/>
      <c r="H2012" s="37" t="n"/>
      <c r="I2012" s="37" t="n"/>
      <c r="J2012" s="40" t="str">
        <f>IF(OR(C2012="",NOT(ISNUMBER(E2012))),"",IFERROR(E2012*N(INDEX(art_price,MATCH(C2012,art_ref,0))),""))</f>
        <v/>
      </c>
      <c r="K2012" s="39" t="str">
        <f>IF(OR(C2012="",NOT(ISNUMBER(E2012))),"",IFERROR(ROUND(N(INDEX(art_init,MATCH(C2012,art_ref,0)))+SUMIFS($E$5:E2012,$C$5:C2012,C2012,$B$5:B2012,"Entrée")-SUMIFS($E$5:E2012,$C$5:C2012,C2012,$B$5:B2012,"Sortie"),6),""))</f>
        <v/>
      </c>
      <c r="L2012" s="39" t="str">
        <f>IF(COUNTA(A2012:C2012,E2012)=0,"",IF(COUNTA(A2012:C2012,E2012)&lt;4,"Ligne incomplète",IF(NOT(ISNUMBER(A2012)),"Date invalide",IF(AND(B2012&lt;&gt;"Entrée",B2012&lt;&gt;"Sortie"),"Type inconnu",IF(ISNA(MATCH(C2012,art_ref,0)),"Référence inconnue",IF(OR(NOT(ISNUMBER(E2012)),N(E2012)&lt;=0),"Quantité invalide",IF(K2012&lt;0,"Stock négatif",IF(AND(ISNUMBER(A2011),A2012&lt;A2011),"Date hors ordre","OK"))))))))</f>
        <v/>
      </c>
      <c r="M2012" s="39" t="str">
        <f>IF(C2012="","",C2012&amp;"#"&amp;COUNTIF($C$5:C2012,C2012))</f>
        <v/>
      </c>
    </row>
    <row r="2013">
      <c r="A2013" s="41" t="n"/>
      <c r="B2013" s="37" t="n"/>
      <c r="C2013" s="37" t="n"/>
      <c r="D2013" s="39" t="str">
        <f>IF(C2013="","",IFERROR(INDEX(art_des,MATCH(C2013,art_ref,0))&amp;"","Référence inconnue"))</f>
        <v/>
      </c>
      <c r="E2013" s="37" t="n"/>
      <c r="F2013" s="39" t="str">
        <f>IF(C2013="","",IFERROR(INDEX(art_unit,MATCH(C2013,art_ref,0))&amp;"",""))</f>
        <v/>
      </c>
      <c r="G2013" s="37" t="n"/>
      <c r="H2013" s="37" t="n"/>
      <c r="I2013" s="37" t="n"/>
      <c r="J2013" s="40" t="str">
        <f>IF(OR(C2013="",NOT(ISNUMBER(E2013))),"",IFERROR(E2013*N(INDEX(art_price,MATCH(C2013,art_ref,0))),""))</f>
        <v/>
      </c>
      <c r="K2013" s="39" t="str">
        <f>IF(OR(C2013="",NOT(ISNUMBER(E2013))),"",IFERROR(ROUND(N(INDEX(art_init,MATCH(C2013,art_ref,0)))+SUMIFS($E$5:E2013,$C$5:C2013,C2013,$B$5:B2013,"Entrée")-SUMIFS($E$5:E2013,$C$5:C2013,C2013,$B$5:B2013,"Sortie"),6),""))</f>
        <v/>
      </c>
      <c r="L2013" s="39" t="str">
        <f>IF(COUNTA(A2013:C2013,E2013)=0,"",IF(COUNTA(A2013:C2013,E2013)&lt;4,"Ligne incomplète",IF(NOT(ISNUMBER(A2013)),"Date invalide",IF(AND(B2013&lt;&gt;"Entrée",B2013&lt;&gt;"Sortie"),"Type inconnu",IF(ISNA(MATCH(C2013,art_ref,0)),"Référence inconnue",IF(OR(NOT(ISNUMBER(E2013)),N(E2013)&lt;=0),"Quantité invalide",IF(K2013&lt;0,"Stock négatif",IF(AND(ISNUMBER(A2012),A2013&lt;A2012),"Date hors ordre","OK"))))))))</f>
        <v/>
      </c>
      <c r="M2013" s="39" t="str">
        <f>IF(C2013="","",C2013&amp;"#"&amp;COUNTIF($C$5:C2013,C2013))</f>
        <v/>
      </c>
    </row>
    <row r="2014">
      <c r="A2014" s="41" t="n"/>
      <c r="B2014" s="37" t="n"/>
      <c r="C2014" s="37" t="n"/>
      <c r="D2014" s="39" t="str">
        <f>IF(C2014="","",IFERROR(INDEX(art_des,MATCH(C2014,art_ref,0))&amp;"","Référence inconnue"))</f>
        <v/>
      </c>
      <c r="E2014" s="37" t="n"/>
      <c r="F2014" s="39" t="str">
        <f>IF(C2014="","",IFERROR(INDEX(art_unit,MATCH(C2014,art_ref,0))&amp;"",""))</f>
        <v/>
      </c>
      <c r="G2014" s="37" t="n"/>
      <c r="H2014" s="37" t="n"/>
      <c r="I2014" s="37" t="n"/>
      <c r="J2014" s="40" t="str">
        <f>IF(OR(C2014="",NOT(ISNUMBER(E2014))),"",IFERROR(E2014*N(INDEX(art_price,MATCH(C2014,art_ref,0))),""))</f>
        <v/>
      </c>
      <c r="K2014" s="39" t="str">
        <f>IF(OR(C2014="",NOT(ISNUMBER(E2014))),"",IFERROR(ROUND(N(INDEX(art_init,MATCH(C2014,art_ref,0)))+SUMIFS($E$5:E2014,$C$5:C2014,C2014,$B$5:B2014,"Entrée")-SUMIFS($E$5:E2014,$C$5:C2014,C2014,$B$5:B2014,"Sortie"),6),""))</f>
        <v/>
      </c>
      <c r="L2014" s="39" t="str">
        <f>IF(COUNTA(A2014:C2014,E2014)=0,"",IF(COUNTA(A2014:C2014,E2014)&lt;4,"Ligne incomplète",IF(NOT(ISNUMBER(A2014)),"Date invalide",IF(AND(B2014&lt;&gt;"Entrée",B2014&lt;&gt;"Sortie"),"Type inconnu",IF(ISNA(MATCH(C2014,art_ref,0)),"Référence inconnue",IF(OR(NOT(ISNUMBER(E2014)),N(E2014)&lt;=0),"Quantité invalide",IF(K2014&lt;0,"Stock négatif",IF(AND(ISNUMBER(A2013),A2014&lt;A2013),"Date hors ordre","OK"))))))))</f>
        <v/>
      </c>
      <c r="M2014" s="39" t="str">
        <f>IF(C2014="","",C2014&amp;"#"&amp;COUNTIF($C$5:C2014,C2014))</f>
        <v/>
      </c>
    </row>
    <row r="2015">
      <c r="A2015" s="41" t="n"/>
      <c r="B2015" s="37" t="n"/>
      <c r="C2015" s="37" t="n"/>
      <c r="D2015" s="39" t="str">
        <f>IF(C2015="","",IFERROR(INDEX(art_des,MATCH(C2015,art_ref,0))&amp;"","Référence inconnue"))</f>
        <v/>
      </c>
      <c r="E2015" s="37" t="n"/>
      <c r="F2015" s="39" t="str">
        <f>IF(C2015="","",IFERROR(INDEX(art_unit,MATCH(C2015,art_ref,0))&amp;"",""))</f>
        <v/>
      </c>
      <c r="G2015" s="37" t="n"/>
      <c r="H2015" s="37" t="n"/>
      <c r="I2015" s="37" t="n"/>
      <c r="J2015" s="40" t="str">
        <f>IF(OR(C2015="",NOT(ISNUMBER(E2015))),"",IFERROR(E2015*N(INDEX(art_price,MATCH(C2015,art_ref,0))),""))</f>
        <v/>
      </c>
      <c r="K2015" s="39" t="str">
        <f>IF(OR(C2015="",NOT(ISNUMBER(E2015))),"",IFERROR(ROUND(N(INDEX(art_init,MATCH(C2015,art_ref,0)))+SUMIFS($E$5:E2015,$C$5:C2015,C2015,$B$5:B2015,"Entrée")-SUMIFS($E$5:E2015,$C$5:C2015,C2015,$B$5:B2015,"Sortie"),6),""))</f>
        <v/>
      </c>
      <c r="L2015" s="39" t="str">
        <f>IF(COUNTA(A2015:C2015,E2015)=0,"",IF(COUNTA(A2015:C2015,E2015)&lt;4,"Ligne incomplète",IF(NOT(ISNUMBER(A2015)),"Date invalide",IF(AND(B2015&lt;&gt;"Entrée",B2015&lt;&gt;"Sortie"),"Type inconnu",IF(ISNA(MATCH(C2015,art_ref,0)),"Référence inconnue",IF(OR(NOT(ISNUMBER(E2015)),N(E2015)&lt;=0),"Quantité invalide",IF(K2015&lt;0,"Stock négatif",IF(AND(ISNUMBER(A2014),A2015&lt;A2014),"Date hors ordre","OK"))))))))</f>
        <v/>
      </c>
      <c r="M2015" s="39" t="str">
        <f>IF(C2015="","",C2015&amp;"#"&amp;COUNTIF($C$5:C2015,C2015))</f>
        <v/>
      </c>
    </row>
    <row r="2016">
      <c r="A2016" s="41" t="n"/>
      <c r="B2016" s="37" t="n"/>
      <c r="C2016" s="37" t="n"/>
      <c r="D2016" s="39" t="str">
        <f>IF(C2016="","",IFERROR(INDEX(art_des,MATCH(C2016,art_ref,0))&amp;"","Référence inconnue"))</f>
        <v/>
      </c>
      <c r="E2016" s="37" t="n"/>
      <c r="F2016" s="39" t="str">
        <f>IF(C2016="","",IFERROR(INDEX(art_unit,MATCH(C2016,art_ref,0))&amp;"",""))</f>
        <v/>
      </c>
      <c r="G2016" s="37" t="n"/>
      <c r="H2016" s="37" t="n"/>
      <c r="I2016" s="37" t="n"/>
      <c r="J2016" s="40" t="str">
        <f>IF(OR(C2016="",NOT(ISNUMBER(E2016))),"",IFERROR(E2016*N(INDEX(art_price,MATCH(C2016,art_ref,0))),""))</f>
        <v/>
      </c>
      <c r="K2016" s="39" t="str">
        <f>IF(OR(C2016="",NOT(ISNUMBER(E2016))),"",IFERROR(ROUND(N(INDEX(art_init,MATCH(C2016,art_ref,0)))+SUMIFS($E$5:E2016,$C$5:C2016,C2016,$B$5:B2016,"Entrée")-SUMIFS($E$5:E2016,$C$5:C2016,C2016,$B$5:B2016,"Sortie"),6),""))</f>
        <v/>
      </c>
      <c r="L2016" s="39" t="str">
        <f>IF(COUNTA(A2016:C2016,E2016)=0,"",IF(COUNTA(A2016:C2016,E2016)&lt;4,"Ligne incomplète",IF(NOT(ISNUMBER(A2016)),"Date invalide",IF(AND(B2016&lt;&gt;"Entrée",B2016&lt;&gt;"Sortie"),"Type inconnu",IF(ISNA(MATCH(C2016,art_ref,0)),"Référence inconnue",IF(OR(NOT(ISNUMBER(E2016)),N(E2016)&lt;=0),"Quantité invalide",IF(K2016&lt;0,"Stock négatif",IF(AND(ISNUMBER(A2015),A2016&lt;A2015),"Date hors ordre","OK"))))))))</f>
        <v/>
      </c>
      <c r="M2016" s="39" t="str">
        <f>IF(C2016="","",C2016&amp;"#"&amp;COUNTIF($C$5:C2016,C2016))</f>
        <v/>
      </c>
    </row>
    <row r="2017">
      <c r="A2017" s="41" t="n"/>
      <c r="B2017" s="37" t="n"/>
      <c r="C2017" s="37" t="n"/>
      <c r="D2017" s="39" t="str">
        <f>IF(C2017="","",IFERROR(INDEX(art_des,MATCH(C2017,art_ref,0))&amp;"","Référence inconnue"))</f>
        <v/>
      </c>
      <c r="E2017" s="37" t="n"/>
      <c r="F2017" s="39" t="str">
        <f>IF(C2017="","",IFERROR(INDEX(art_unit,MATCH(C2017,art_ref,0))&amp;"",""))</f>
        <v/>
      </c>
      <c r="G2017" s="37" t="n"/>
      <c r="H2017" s="37" t="n"/>
      <c r="I2017" s="37" t="n"/>
      <c r="J2017" s="40" t="str">
        <f>IF(OR(C2017="",NOT(ISNUMBER(E2017))),"",IFERROR(E2017*N(INDEX(art_price,MATCH(C2017,art_ref,0))),""))</f>
        <v/>
      </c>
      <c r="K2017" s="39" t="str">
        <f>IF(OR(C2017="",NOT(ISNUMBER(E2017))),"",IFERROR(ROUND(N(INDEX(art_init,MATCH(C2017,art_ref,0)))+SUMIFS($E$5:E2017,$C$5:C2017,C2017,$B$5:B2017,"Entrée")-SUMIFS($E$5:E2017,$C$5:C2017,C2017,$B$5:B2017,"Sortie"),6),""))</f>
        <v/>
      </c>
      <c r="L2017" s="39" t="str">
        <f>IF(COUNTA(A2017:C2017,E2017)=0,"",IF(COUNTA(A2017:C2017,E2017)&lt;4,"Ligne incomplète",IF(NOT(ISNUMBER(A2017)),"Date invalide",IF(AND(B2017&lt;&gt;"Entrée",B2017&lt;&gt;"Sortie"),"Type inconnu",IF(ISNA(MATCH(C2017,art_ref,0)),"Référence inconnue",IF(OR(NOT(ISNUMBER(E2017)),N(E2017)&lt;=0),"Quantité invalide",IF(K2017&lt;0,"Stock négatif",IF(AND(ISNUMBER(A2016),A2017&lt;A2016),"Date hors ordre","OK"))))))))</f>
        <v/>
      </c>
      <c r="M2017" s="39" t="str">
        <f>IF(C2017="","",C2017&amp;"#"&amp;COUNTIF($C$5:C2017,C2017))</f>
        <v/>
      </c>
    </row>
    <row r="2018">
      <c r="A2018" s="41" t="n"/>
      <c r="B2018" s="37" t="n"/>
      <c r="C2018" s="37" t="n"/>
      <c r="D2018" s="39" t="str">
        <f>IF(C2018="","",IFERROR(INDEX(art_des,MATCH(C2018,art_ref,0))&amp;"","Référence inconnue"))</f>
        <v/>
      </c>
      <c r="E2018" s="37" t="n"/>
      <c r="F2018" s="39" t="str">
        <f>IF(C2018="","",IFERROR(INDEX(art_unit,MATCH(C2018,art_ref,0))&amp;"",""))</f>
        <v/>
      </c>
      <c r="G2018" s="37" t="n"/>
      <c r="H2018" s="37" t="n"/>
      <c r="I2018" s="37" t="n"/>
      <c r="J2018" s="40" t="str">
        <f>IF(OR(C2018="",NOT(ISNUMBER(E2018))),"",IFERROR(E2018*N(INDEX(art_price,MATCH(C2018,art_ref,0))),""))</f>
        <v/>
      </c>
      <c r="K2018" s="39" t="str">
        <f>IF(OR(C2018="",NOT(ISNUMBER(E2018))),"",IFERROR(ROUND(N(INDEX(art_init,MATCH(C2018,art_ref,0)))+SUMIFS($E$5:E2018,$C$5:C2018,C2018,$B$5:B2018,"Entrée")-SUMIFS($E$5:E2018,$C$5:C2018,C2018,$B$5:B2018,"Sortie"),6),""))</f>
        <v/>
      </c>
      <c r="L2018" s="39" t="str">
        <f>IF(COUNTA(A2018:C2018,E2018)=0,"",IF(COUNTA(A2018:C2018,E2018)&lt;4,"Ligne incomplète",IF(NOT(ISNUMBER(A2018)),"Date invalide",IF(AND(B2018&lt;&gt;"Entrée",B2018&lt;&gt;"Sortie"),"Type inconnu",IF(ISNA(MATCH(C2018,art_ref,0)),"Référence inconnue",IF(OR(NOT(ISNUMBER(E2018)),N(E2018)&lt;=0),"Quantité invalide",IF(K2018&lt;0,"Stock négatif",IF(AND(ISNUMBER(A2017),A2018&lt;A2017),"Date hors ordre","OK"))))))))</f>
        <v/>
      </c>
      <c r="M2018" s="39" t="str">
        <f>IF(C2018="","",C2018&amp;"#"&amp;COUNTIF($C$5:C2018,C2018))</f>
        <v/>
      </c>
    </row>
    <row r="2019">
      <c r="A2019" s="41" t="n"/>
      <c r="B2019" s="37" t="n"/>
      <c r="C2019" s="37" t="n"/>
      <c r="D2019" s="39" t="str">
        <f>IF(C2019="","",IFERROR(INDEX(art_des,MATCH(C2019,art_ref,0))&amp;"","Référence inconnue"))</f>
        <v/>
      </c>
      <c r="E2019" s="37" t="n"/>
      <c r="F2019" s="39" t="str">
        <f>IF(C2019="","",IFERROR(INDEX(art_unit,MATCH(C2019,art_ref,0))&amp;"",""))</f>
        <v/>
      </c>
      <c r="G2019" s="37" t="n"/>
      <c r="H2019" s="37" t="n"/>
      <c r="I2019" s="37" t="n"/>
      <c r="J2019" s="40" t="str">
        <f>IF(OR(C2019="",NOT(ISNUMBER(E2019))),"",IFERROR(E2019*N(INDEX(art_price,MATCH(C2019,art_ref,0))),""))</f>
        <v/>
      </c>
      <c r="K2019" s="39" t="str">
        <f>IF(OR(C2019="",NOT(ISNUMBER(E2019))),"",IFERROR(ROUND(N(INDEX(art_init,MATCH(C2019,art_ref,0)))+SUMIFS($E$5:E2019,$C$5:C2019,C2019,$B$5:B2019,"Entrée")-SUMIFS($E$5:E2019,$C$5:C2019,C2019,$B$5:B2019,"Sortie"),6),""))</f>
        <v/>
      </c>
      <c r="L2019" s="39" t="str">
        <f>IF(COUNTA(A2019:C2019,E2019)=0,"",IF(COUNTA(A2019:C2019,E2019)&lt;4,"Ligne incomplète",IF(NOT(ISNUMBER(A2019)),"Date invalide",IF(AND(B2019&lt;&gt;"Entrée",B2019&lt;&gt;"Sortie"),"Type inconnu",IF(ISNA(MATCH(C2019,art_ref,0)),"Référence inconnue",IF(OR(NOT(ISNUMBER(E2019)),N(E2019)&lt;=0),"Quantité invalide",IF(K2019&lt;0,"Stock négatif",IF(AND(ISNUMBER(A2018),A2019&lt;A2018),"Date hors ordre","OK"))))))))</f>
        <v/>
      </c>
      <c r="M2019" s="39" t="str">
        <f>IF(C2019="","",C2019&amp;"#"&amp;COUNTIF($C$5:C2019,C2019))</f>
        <v/>
      </c>
    </row>
    <row r="2020">
      <c r="A2020" s="41" t="n"/>
      <c r="B2020" s="37" t="n"/>
      <c r="C2020" s="37" t="n"/>
      <c r="D2020" s="39" t="str">
        <f>IF(C2020="","",IFERROR(INDEX(art_des,MATCH(C2020,art_ref,0))&amp;"","Référence inconnue"))</f>
        <v/>
      </c>
      <c r="E2020" s="37" t="n"/>
      <c r="F2020" s="39" t="str">
        <f>IF(C2020="","",IFERROR(INDEX(art_unit,MATCH(C2020,art_ref,0))&amp;"",""))</f>
        <v/>
      </c>
      <c r="G2020" s="37" t="n"/>
      <c r="H2020" s="37" t="n"/>
      <c r="I2020" s="37" t="n"/>
      <c r="J2020" s="40" t="str">
        <f>IF(OR(C2020="",NOT(ISNUMBER(E2020))),"",IFERROR(E2020*N(INDEX(art_price,MATCH(C2020,art_ref,0))),""))</f>
        <v/>
      </c>
      <c r="K2020" s="39" t="str">
        <f>IF(OR(C2020="",NOT(ISNUMBER(E2020))),"",IFERROR(ROUND(N(INDEX(art_init,MATCH(C2020,art_ref,0)))+SUMIFS($E$5:E2020,$C$5:C2020,C2020,$B$5:B2020,"Entrée")-SUMIFS($E$5:E2020,$C$5:C2020,C2020,$B$5:B2020,"Sortie"),6),""))</f>
        <v/>
      </c>
      <c r="L2020" s="39" t="str">
        <f>IF(COUNTA(A2020:C2020,E2020)=0,"",IF(COUNTA(A2020:C2020,E2020)&lt;4,"Ligne incomplète",IF(NOT(ISNUMBER(A2020)),"Date invalide",IF(AND(B2020&lt;&gt;"Entrée",B2020&lt;&gt;"Sortie"),"Type inconnu",IF(ISNA(MATCH(C2020,art_ref,0)),"Référence inconnue",IF(OR(NOT(ISNUMBER(E2020)),N(E2020)&lt;=0),"Quantité invalide",IF(K2020&lt;0,"Stock négatif",IF(AND(ISNUMBER(A2019),A2020&lt;A2019),"Date hors ordre","OK"))))))))</f>
        <v/>
      </c>
      <c r="M2020" s="39" t="str">
        <f>IF(C2020="","",C2020&amp;"#"&amp;COUNTIF($C$5:C2020,C2020))</f>
        <v/>
      </c>
    </row>
    <row r="2021">
      <c r="A2021" s="41" t="n"/>
      <c r="B2021" s="37" t="n"/>
      <c r="C2021" s="37" t="n"/>
      <c r="D2021" s="39" t="str">
        <f>IF(C2021="","",IFERROR(INDEX(art_des,MATCH(C2021,art_ref,0))&amp;"","Référence inconnue"))</f>
        <v/>
      </c>
      <c r="E2021" s="37" t="n"/>
      <c r="F2021" s="39" t="str">
        <f>IF(C2021="","",IFERROR(INDEX(art_unit,MATCH(C2021,art_ref,0))&amp;"",""))</f>
        <v/>
      </c>
      <c r="G2021" s="37" t="n"/>
      <c r="H2021" s="37" t="n"/>
      <c r="I2021" s="37" t="n"/>
      <c r="J2021" s="40" t="str">
        <f>IF(OR(C2021="",NOT(ISNUMBER(E2021))),"",IFERROR(E2021*N(INDEX(art_price,MATCH(C2021,art_ref,0))),""))</f>
        <v/>
      </c>
      <c r="K2021" s="39" t="str">
        <f>IF(OR(C2021="",NOT(ISNUMBER(E2021))),"",IFERROR(ROUND(N(INDEX(art_init,MATCH(C2021,art_ref,0)))+SUMIFS($E$5:E2021,$C$5:C2021,C2021,$B$5:B2021,"Entrée")-SUMIFS($E$5:E2021,$C$5:C2021,C2021,$B$5:B2021,"Sortie"),6),""))</f>
        <v/>
      </c>
      <c r="L2021" s="39" t="str">
        <f>IF(COUNTA(A2021:C2021,E2021)=0,"",IF(COUNTA(A2021:C2021,E2021)&lt;4,"Ligne incomplète",IF(NOT(ISNUMBER(A2021)),"Date invalide",IF(AND(B2021&lt;&gt;"Entrée",B2021&lt;&gt;"Sortie"),"Type inconnu",IF(ISNA(MATCH(C2021,art_ref,0)),"Référence inconnue",IF(OR(NOT(ISNUMBER(E2021)),N(E2021)&lt;=0),"Quantité invalide",IF(K2021&lt;0,"Stock négatif",IF(AND(ISNUMBER(A2020),A2021&lt;A2020),"Date hors ordre","OK"))))))))</f>
        <v/>
      </c>
      <c r="M2021" s="39" t="str">
        <f>IF(C2021="","",C2021&amp;"#"&amp;COUNTIF($C$5:C2021,C2021))</f>
        <v/>
      </c>
    </row>
    <row r="2022">
      <c r="A2022" s="41" t="n"/>
      <c r="B2022" s="37" t="n"/>
      <c r="C2022" s="37" t="n"/>
      <c r="D2022" s="39" t="str">
        <f>IF(C2022="","",IFERROR(INDEX(art_des,MATCH(C2022,art_ref,0))&amp;"","Référence inconnue"))</f>
        <v/>
      </c>
      <c r="E2022" s="37" t="n"/>
      <c r="F2022" s="39" t="str">
        <f>IF(C2022="","",IFERROR(INDEX(art_unit,MATCH(C2022,art_ref,0))&amp;"",""))</f>
        <v/>
      </c>
      <c r="G2022" s="37" t="n"/>
      <c r="H2022" s="37" t="n"/>
      <c r="I2022" s="37" t="n"/>
      <c r="J2022" s="40" t="str">
        <f>IF(OR(C2022="",NOT(ISNUMBER(E2022))),"",IFERROR(E2022*N(INDEX(art_price,MATCH(C2022,art_ref,0))),""))</f>
        <v/>
      </c>
      <c r="K2022" s="39" t="str">
        <f>IF(OR(C2022="",NOT(ISNUMBER(E2022))),"",IFERROR(ROUND(N(INDEX(art_init,MATCH(C2022,art_ref,0)))+SUMIFS($E$5:E2022,$C$5:C2022,C2022,$B$5:B2022,"Entrée")-SUMIFS($E$5:E2022,$C$5:C2022,C2022,$B$5:B2022,"Sortie"),6),""))</f>
        <v/>
      </c>
      <c r="L2022" s="39" t="str">
        <f>IF(COUNTA(A2022:C2022,E2022)=0,"",IF(COUNTA(A2022:C2022,E2022)&lt;4,"Ligne incomplète",IF(NOT(ISNUMBER(A2022)),"Date invalide",IF(AND(B2022&lt;&gt;"Entrée",B2022&lt;&gt;"Sortie"),"Type inconnu",IF(ISNA(MATCH(C2022,art_ref,0)),"Référence inconnue",IF(OR(NOT(ISNUMBER(E2022)),N(E2022)&lt;=0),"Quantité invalide",IF(K2022&lt;0,"Stock négatif",IF(AND(ISNUMBER(A2021),A2022&lt;A2021),"Date hors ordre","OK"))))))))</f>
        <v/>
      </c>
      <c r="M2022" s="39" t="str">
        <f>IF(C2022="","",C2022&amp;"#"&amp;COUNTIF($C$5:C2022,C2022))</f>
        <v/>
      </c>
    </row>
    <row r="2023">
      <c r="A2023" s="41" t="n"/>
      <c r="B2023" s="37" t="n"/>
      <c r="C2023" s="37" t="n"/>
      <c r="D2023" s="39" t="str">
        <f>IF(C2023="","",IFERROR(INDEX(art_des,MATCH(C2023,art_ref,0))&amp;"","Référence inconnue"))</f>
        <v/>
      </c>
      <c r="E2023" s="37" t="n"/>
      <c r="F2023" s="39" t="str">
        <f>IF(C2023="","",IFERROR(INDEX(art_unit,MATCH(C2023,art_ref,0))&amp;"",""))</f>
        <v/>
      </c>
      <c r="G2023" s="37" t="n"/>
      <c r="H2023" s="37" t="n"/>
      <c r="I2023" s="37" t="n"/>
      <c r="J2023" s="40" t="str">
        <f>IF(OR(C2023="",NOT(ISNUMBER(E2023))),"",IFERROR(E2023*N(INDEX(art_price,MATCH(C2023,art_ref,0))),""))</f>
        <v/>
      </c>
      <c r="K2023" s="39" t="str">
        <f>IF(OR(C2023="",NOT(ISNUMBER(E2023))),"",IFERROR(ROUND(N(INDEX(art_init,MATCH(C2023,art_ref,0)))+SUMIFS($E$5:E2023,$C$5:C2023,C2023,$B$5:B2023,"Entrée")-SUMIFS($E$5:E2023,$C$5:C2023,C2023,$B$5:B2023,"Sortie"),6),""))</f>
        <v/>
      </c>
      <c r="L2023" s="39" t="str">
        <f>IF(COUNTA(A2023:C2023,E2023)=0,"",IF(COUNTA(A2023:C2023,E2023)&lt;4,"Ligne incomplète",IF(NOT(ISNUMBER(A2023)),"Date invalide",IF(AND(B2023&lt;&gt;"Entrée",B2023&lt;&gt;"Sortie"),"Type inconnu",IF(ISNA(MATCH(C2023,art_ref,0)),"Référence inconnue",IF(OR(NOT(ISNUMBER(E2023)),N(E2023)&lt;=0),"Quantité invalide",IF(K2023&lt;0,"Stock négatif",IF(AND(ISNUMBER(A2022),A2023&lt;A2022),"Date hors ordre","OK"))))))))</f>
        <v/>
      </c>
      <c r="M2023" s="39" t="str">
        <f>IF(C2023="","",C2023&amp;"#"&amp;COUNTIF($C$5:C2023,C2023))</f>
        <v/>
      </c>
    </row>
    <row r="2024">
      <c r="A2024" s="41" t="n"/>
      <c r="B2024" s="37" t="n"/>
      <c r="C2024" s="37" t="n"/>
      <c r="D2024" s="39" t="str">
        <f>IF(C2024="","",IFERROR(INDEX(art_des,MATCH(C2024,art_ref,0))&amp;"","Référence inconnue"))</f>
        <v/>
      </c>
      <c r="E2024" s="37" t="n"/>
      <c r="F2024" s="39" t="str">
        <f>IF(C2024="","",IFERROR(INDEX(art_unit,MATCH(C2024,art_ref,0))&amp;"",""))</f>
        <v/>
      </c>
      <c r="G2024" s="37" t="n"/>
      <c r="H2024" s="37" t="n"/>
      <c r="I2024" s="37" t="n"/>
      <c r="J2024" s="40" t="str">
        <f>IF(OR(C2024="",NOT(ISNUMBER(E2024))),"",IFERROR(E2024*N(INDEX(art_price,MATCH(C2024,art_ref,0))),""))</f>
        <v/>
      </c>
      <c r="K2024" s="39" t="str">
        <f>IF(OR(C2024="",NOT(ISNUMBER(E2024))),"",IFERROR(ROUND(N(INDEX(art_init,MATCH(C2024,art_ref,0)))+SUMIFS($E$5:E2024,$C$5:C2024,C2024,$B$5:B2024,"Entrée")-SUMIFS($E$5:E2024,$C$5:C2024,C2024,$B$5:B2024,"Sortie"),6),""))</f>
        <v/>
      </c>
      <c r="L2024" s="39" t="str">
        <f>IF(COUNTA(A2024:C2024,E2024)=0,"",IF(COUNTA(A2024:C2024,E2024)&lt;4,"Ligne incomplète",IF(NOT(ISNUMBER(A2024)),"Date invalide",IF(AND(B2024&lt;&gt;"Entrée",B2024&lt;&gt;"Sortie"),"Type inconnu",IF(ISNA(MATCH(C2024,art_ref,0)),"Référence inconnue",IF(OR(NOT(ISNUMBER(E2024)),N(E2024)&lt;=0),"Quantité invalide",IF(K2024&lt;0,"Stock négatif",IF(AND(ISNUMBER(A2023),A2024&lt;A2023),"Date hors ordre","OK"))))))))</f>
        <v/>
      </c>
      <c r="M2024" s="39" t="str">
        <f>IF(C2024="","",C2024&amp;"#"&amp;COUNTIF($C$5:C2024,C2024))</f>
        <v/>
      </c>
    </row>
    <row r="2025">
      <c r="A2025" s="41" t="n"/>
      <c r="B2025" s="37" t="n"/>
      <c r="C2025" s="37" t="n"/>
      <c r="D2025" s="39" t="str">
        <f>IF(C2025="","",IFERROR(INDEX(art_des,MATCH(C2025,art_ref,0))&amp;"","Référence inconnue"))</f>
        <v/>
      </c>
      <c r="E2025" s="37" t="n"/>
      <c r="F2025" s="39" t="str">
        <f>IF(C2025="","",IFERROR(INDEX(art_unit,MATCH(C2025,art_ref,0))&amp;"",""))</f>
        <v/>
      </c>
      <c r="G2025" s="37" t="n"/>
      <c r="H2025" s="37" t="n"/>
      <c r="I2025" s="37" t="n"/>
      <c r="J2025" s="40" t="str">
        <f>IF(OR(C2025="",NOT(ISNUMBER(E2025))),"",IFERROR(E2025*N(INDEX(art_price,MATCH(C2025,art_ref,0))),""))</f>
        <v/>
      </c>
      <c r="K2025" s="39" t="str">
        <f>IF(OR(C2025="",NOT(ISNUMBER(E2025))),"",IFERROR(ROUND(N(INDEX(art_init,MATCH(C2025,art_ref,0)))+SUMIFS($E$5:E2025,$C$5:C2025,C2025,$B$5:B2025,"Entrée")-SUMIFS($E$5:E2025,$C$5:C2025,C2025,$B$5:B2025,"Sortie"),6),""))</f>
        <v/>
      </c>
      <c r="L2025" s="39" t="str">
        <f>IF(COUNTA(A2025:C2025,E2025)=0,"",IF(COUNTA(A2025:C2025,E2025)&lt;4,"Ligne incomplète",IF(NOT(ISNUMBER(A2025)),"Date invalide",IF(AND(B2025&lt;&gt;"Entrée",B2025&lt;&gt;"Sortie"),"Type inconnu",IF(ISNA(MATCH(C2025,art_ref,0)),"Référence inconnue",IF(OR(NOT(ISNUMBER(E2025)),N(E2025)&lt;=0),"Quantité invalide",IF(K2025&lt;0,"Stock négatif",IF(AND(ISNUMBER(A2024),A2025&lt;A2024),"Date hors ordre","OK"))))))))</f>
        <v/>
      </c>
      <c r="M2025" s="39" t="str">
        <f>IF(C2025="","",C2025&amp;"#"&amp;COUNTIF($C$5:C2025,C2025))</f>
        <v/>
      </c>
    </row>
    <row r="2026">
      <c r="A2026" s="41" t="n"/>
      <c r="B2026" s="37" t="n"/>
      <c r="C2026" s="37" t="n"/>
      <c r="D2026" s="39" t="str">
        <f>IF(C2026="","",IFERROR(INDEX(art_des,MATCH(C2026,art_ref,0))&amp;"","Référence inconnue"))</f>
        <v/>
      </c>
      <c r="E2026" s="37" t="n"/>
      <c r="F2026" s="39" t="str">
        <f>IF(C2026="","",IFERROR(INDEX(art_unit,MATCH(C2026,art_ref,0))&amp;"",""))</f>
        <v/>
      </c>
      <c r="G2026" s="37" t="n"/>
      <c r="H2026" s="37" t="n"/>
      <c r="I2026" s="37" t="n"/>
      <c r="J2026" s="40" t="str">
        <f>IF(OR(C2026="",NOT(ISNUMBER(E2026))),"",IFERROR(E2026*N(INDEX(art_price,MATCH(C2026,art_ref,0))),""))</f>
        <v/>
      </c>
      <c r="K2026" s="39" t="str">
        <f>IF(OR(C2026="",NOT(ISNUMBER(E2026))),"",IFERROR(ROUND(N(INDEX(art_init,MATCH(C2026,art_ref,0)))+SUMIFS($E$5:E2026,$C$5:C2026,C2026,$B$5:B2026,"Entrée")-SUMIFS($E$5:E2026,$C$5:C2026,C2026,$B$5:B2026,"Sortie"),6),""))</f>
        <v/>
      </c>
      <c r="L2026" s="39" t="str">
        <f>IF(COUNTA(A2026:C2026,E2026)=0,"",IF(COUNTA(A2026:C2026,E2026)&lt;4,"Ligne incomplète",IF(NOT(ISNUMBER(A2026)),"Date invalide",IF(AND(B2026&lt;&gt;"Entrée",B2026&lt;&gt;"Sortie"),"Type inconnu",IF(ISNA(MATCH(C2026,art_ref,0)),"Référence inconnue",IF(OR(NOT(ISNUMBER(E2026)),N(E2026)&lt;=0),"Quantité invalide",IF(K2026&lt;0,"Stock négatif",IF(AND(ISNUMBER(A2025),A2026&lt;A2025),"Date hors ordre","OK"))))))))</f>
        <v/>
      </c>
      <c r="M2026" s="39" t="str">
        <f>IF(C2026="","",C2026&amp;"#"&amp;COUNTIF($C$5:C2026,C2026))</f>
        <v/>
      </c>
    </row>
    <row r="2027">
      <c r="A2027" s="41" t="n"/>
      <c r="B2027" s="37" t="n"/>
      <c r="C2027" s="37" t="n"/>
      <c r="D2027" s="39" t="str">
        <f>IF(C2027="","",IFERROR(INDEX(art_des,MATCH(C2027,art_ref,0))&amp;"","Référence inconnue"))</f>
        <v/>
      </c>
      <c r="E2027" s="37" t="n"/>
      <c r="F2027" s="39" t="str">
        <f>IF(C2027="","",IFERROR(INDEX(art_unit,MATCH(C2027,art_ref,0))&amp;"",""))</f>
        <v/>
      </c>
      <c r="G2027" s="37" t="n"/>
      <c r="H2027" s="37" t="n"/>
      <c r="I2027" s="37" t="n"/>
      <c r="J2027" s="40" t="str">
        <f>IF(OR(C2027="",NOT(ISNUMBER(E2027))),"",IFERROR(E2027*N(INDEX(art_price,MATCH(C2027,art_ref,0))),""))</f>
        <v/>
      </c>
      <c r="K2027" s="39" t="str">
        <f>IF(OR(C2027="",NOT(ISNUMBER(E2027))),"",IFERROR(ROUND(N(INDEX(art_init,MATCH(C2027,art_ref,0)))+SUMIFS($E$5:E2027,$C$5:C2027,C2027,$B$5:B2027,"Entrée")-SUMIFS($E$5:E2027,$C$5:C2027,C2027,$B$5:B2027,"Sortie"),6),""))</f>
        <v/>
      </c>
      <c r="L2027" s="39" t="str">
        <f>IF(COUNTA(A2027:C2027,E2027)=0,"",IF(COUNTA(A2027:C2027,E2027)&lt;4,"Ligne incomplète",IF(NOT(ISNUMBER(A2027)),"Date invalide",IF(AND(B2027&lt;&gt;"Entrée",B2027&lt;&gt;"Sortie"),"Type inconnu",IF(ISNA(MATCH(C2027,art_ref,0)),"Référence inconnue",IF(OR(NOT(ISNUMBER(E2027)),N(E2027)&lt;=0),"Quantité invalide",IF(K2027&lt;0,"Stock négatif",IF(AND(ISNUMBER(A2026),A2027&lt;A2026),"Date hors ordre","OK"))))))))</f>
        <v/>
      </c>
      <c r="M2027" s="39" t="str">
        <f>IF(C2027="","",C2027&amp;"#"&amp;COUNTIF($C$5:C2027,C2027))</f>
        <v/>
      </c>
    </row>
    <row r="2028">
      <c r="A2028" s="41" t="n"/>
      <c r="B2028" s="37" t="n"/>
      <c r="C2028" s="37" t="n"/>
      <c r="D2028" s="39" t="str">
        <f>IF(C2028="","",IFERROR(INDEX(art_des,MATCH(C2028,art_ref,0))&amp;"","Référence inconnue"))</f>
        <v/>
      </c>
      <c r="E2028" s="37" t="n"/>
      <c r="F2028" s="39" t="str">
        <f>IF(C2028="","",IFERROR(INDEX(art_unit,MATCH(C2028,art_ref,0))&amp;"",""))</f>
        <v/>
      </c>
      <c r="G2028" s="37" t="n"/>
      <c r="H2028" s="37" t="n"/>
      <c r="I2028" s="37" t="n"/>
      <c r="J2028" s="40" t="str">
        <f>IF(OR(C2028="",NOT(ISNUMBER(E2028))),"",IFERROR(E2028*N(INDEX(art_price,MATCH(C2028,art_ref,0))),""))</f>
        <v/>
      </c>
      <c r="K2028" s="39" t="str">
        <f>IF(OR(C2028="",NOT(ISNUMBER(E2028))),"",IFERROR(ROUND(N(INDEX(art_init,MATCH(C2028,art_ref,0)))+SUMIFS($E$5:E2028,$C$5:C2028,C2028,$B$5:B2028,"Entrée")-SUMIFS($E$5:E2028,$C$5:C2028,C2028,$B$5:B2028,"Sortie"),6),""))</f>
        <v/>
      </c>
      <c r="L2028" s="39" t="str">
        <f>IF(COUNTA(A2028:C2028,E2028)=0,"",IF(COUNTA(A2028:C2028,E2028)&lt;4,"Ligne incomplète",IF(NOT(ISNUMBER(A2028)),"Date invalide",IF(AND(B2028&lt;&gt;"Entrée",B2028&lt;&gt;"Sortie"),"Type inconnu",IF(ISNA(MATCH(C2028,art_ref,0)),"Référence inconnue",IF(OR(NOT(ISNUMBER(E2028)),N(E2028)&lt;=0),"Quantité invalide",IF(K2028&lt;0,"Stock négatif",IF(AND(ISNUMBER(A2027),A2028&lt;A2027),"Date hors ordre","OK"))))))))</f>
        <v/>
      </c>
      <c r="M2028" s="39" t="str">
        <f>IF(C2028="","",C2028&amp;"#"&amp;COUNTIF($C$5:C2028,C2028))</f>
        <v/>
      </c>
    </row>
    <row r="2029">
      <c r="A2029" s="41" t="n"/>
      <c r="B2029" s="37" t="n"/>
      <c r="C2029" s="37" t="n"/>
      <c r="D2029" s="39" t="str">
        <f>IF(C2029="","",IFERROR(INDEX(art_des,MATCH(C2029,art_ref,0))&amp;"","Référence inconnue"))</f>
        <v/>
      </c>
      <c r="E2029" s="37" t="n"/>
      <c r="F2029" s="39" t="str">
        <f>IF(C2029="","",IFERROR(INDEX(art_unit,MATCH(C2029,art_ref,0))&amp;"",""))</f>
        <v/>
      </c>
      <c r="G2029" s="37" t="n"/>
      <c r="H2029" s="37" t="n"/>
      <c r="I2029" s="37" t="n"/>
      <c r="J2029" s="40" t="str">
        <f>IF(OR(C2029="",NOT(ISNUMBER(E2029))),"",IFERROR(E2029*N(INDEX(art_price,MATCH(C2029,art_ref,0))),""))</f>
        <v/>
      </c>
      <c r="K2029" s="39" t="str">
        <f>IF(OR(C2029="",NOT(ISNUMBER(E2029))),"",IFERROR(ROUND(N(INDEX(art_init,MATCH(C2029,art_ref,0)))+SUMIFS($E$5:E2029,$C$5:C2029,C2029,$B$5:B2029,"Entrée")-SUMIFS($E$5:E2029,$C$5:C2029,C2029,$B$5:B2029,"Sortie"),6),""))</f>
        <v/>
      </c>
      <c r="L2029" s="39" t="str">
        <f>IF(COUNTA(A2029:C2029,E2029)=0,"",IF(COUNTA(A2029:C2029,E2029)&lt;4,"Ligne incomplète",IF(NOT(ISNUMBER(A2029)),"Date invalide",IF(AND(B2029&lt;&gt;"Entrée",B2029&lt;&gt;"Sortie"),"Type inconnu",IF(ISNA(MATCH(C2029,art_ref,0)),"Référence inconnue",IF(OR(NOT(ISNUMBER(E2029)),N(E2029)&lt;=0),"Quantité invalide",IF(K2029&lt;0,"Stock négatif",IF(AND(ISNUMBER(A2028),A2029&lt;A2028),"Date hors ordre","OK"))))))))</f>
        <v/>
      </c>
      <c r="M2029" s="39" t="str">
        <f>IF(C2029="","",C2029&amp;"#"&amp;COUNTIF($C$5:C2029,C2029))</f>
        <v/>
      </c>
    </row>
    <row r="2030">
      <c r="A2030" s="41" t="n"/>
      <c r="B2030" s="37" t="n"/>
      <c r="C2030" s="37" t="n"/>
      <c r="D2030" s="39" t="str">
        <f>IF(C2030="","",IFERROR(INDEX(art_des,MATCH(C2030,art_ref,0))&amp;"","Référence inconnue"))</f>
        <v/>
      </c>
      <c r="E2030" s="37" t="n"/>
      <c r="F2030" s="39" t="str">
        <f>IF(C2030="","",IFERROR(INDEX(art_unit,MATCH(C2030,art_ref,0))&amp;"",""))</f>
        <v/>
      </c>
      <c r="G2030" s="37" t="n"/>
      <c r="H2030" s="37" t="n"/>
      <c r="I2030" s="37" t="n"/>
      <c r="J2030" s="40" t="str">
        <f>IF(OR(C2030="",NOT(ISNUMBER(E2030))),"",IFERROR(E2030*N(INDEX(art_price,MATCH(C2030,art_ref,0))),""))</f>
        <v/>
      </c>
      <c r="K2030" s="39" t="str">
        <f>IF(OR(C2030="",NOT(ISNUMBER(E2030))),"",IFERROR(ROUND(N(INDEX(art_init,MATCH(C2030,art_ref,0)))+SUMIFS($E$5:E2030,$C$5:C2030,C2030,$B$5:B2030,"Entrée")-SUMIFS($E$5:E2030,$C$5:C2030,C2030,$B$5:B2030,"Sortie"),6),""))</f>
        <v/>
      </c>
      <c r="L2030" s="39" t="str">
        <f>IF(COUNTA(A2030:C2030,E2030)=0,"",IF(COUNTA(A2030:C2030,E2030)&lt;4,"Ligne incomplète",IF(NOT(ISNUMBER(A2030)),"Date invalide",IF(AND(B2030&lt;&gt;"Entrée",B2030&lt;&gt;"Sortie"),"Type inconnu",IF(ISNA(MATCH(C2030,art_ref,0)),"Référence inconnue",IF(OR(NOT(ISNUMBER(E2030)),N(E2030)&lt;=0),"Quantité invalide",IF(K2030&lt;0,"Stock négatif",IF(AND(ISNUMBER(A2029),A2030&lt;A2029),"Date hors ordre","OK"))))))))</f>
        <v/>
      </c>
      <c r="M2030" s="39" t="str">
        <f>IF(C2030="","",C2030&amp;"#"&amp;COUNTIF($C$5:C2030,C2030))</f>
        <v/>
      </c>
    </row>
    <row r="2031">
      <c r="A2031" s="41" t="n"/>
      <c r="B2031" s="37" t="n"/>
      <c r="C2031" s="37" t="n"/>
      <c r="D2031" s="39" t="str">
        <f>IF(C2031="","",IFERROR(INDEX(art_des,MATCH(C2031,art_ref,0))&amp;"","Référence inconnue"))</f>
        <v/>
      </c>
      <c r="E2031" s="37" t="n"/>
      <c r="F2031" s="39" t="str">
        <f>IF(C2031="","",IFERROR(INDEX(art_unit,MATCH(C2031,art_ref,0))&amp;"",""))</f>
        <v/>
      </c>
      <c r="G2031" s="37" t="n"/>
      <c r="H2031" s="37" t="n"/>
      <c r="I2031" s="37" t="n"/>
      <c r="J2031" s="40" t="str">
        <f>IF(OR(C2031="",NOT(ISNUMBER(E2031))),"",IFERROR(E2031*N(INDEX(art_price,MATCH(C2031,art_ref,0))),""))</f>
        <v/>
      </c>
      <c r="K2031" s="39" t="str">
        <f>IF(OR(C2031="",NOT(ISNUMBER(E2031))),"",IFERROR(ROUND(N(INDEX(art_init,MATCH(C2031,art_ref,0)))+SUMIFS($E$5:E2031,$C$5:C2031,C2031,$B$5:B2031,"Entrée")-SUMIFS($E$5:E2031,$C$5:C2031,C2031,$B$5:B2031,"Sortie"),6),""))</f>
        <v/>
      </c>
      <c r="L2031" s="39" t="str">
        <f>IF(COUNTA(A2031:C2031,E2031)=0,"",IF(COUNTA(A2031:C2031,E2031)&lt;4,"Ligne incomplète",IF(NOT(ISNUMBER(A2031)),"Date invalide",IF(AND(B2031&lt;&gt;"Entrée",B2031&lt;&gt;"Sortie"),"Type inconnu",IF(ISNA(MATCH(C2031,art_ref,0)),"Référence inconnue",IF(OR(NOT(ISNUMBER(E2031)),N(E2031)&lt;=0),"Quantité invalide",IF(K2031&lt;0,"Stock négatif",IF(AND(ISNUMBER(A2030),A2031&lt;A2030),"Date hors ordre","OK"))))))))</f>
        <v/>
      </c>
      <c r="M2031" s="39" t="str">
        <f>IF(C2031="","",C2031&amp;"#"&amp;COUNTIF($C$5:C2031,C2031))</f>
        <v/>
      </c>
    </row>
    <row r="2032">
      <c r="A2032" s="41" t="n"/>
      <c r="B2032" s="37" t="n"/>
      <c r="C2032" s="37" t="n"/>
      <c r="D2032" s="39" t="str">
        <f>IF(C2032="","",IFERROR(INDEX(art_des,MATCH(C2032,art_ref,0))&amp;"","Référence inconnue"))</f>
        <v/>
      </c>
      <c r="E2032" s="37" t="n"/>
      <c r="F2032" s="39" t="str">
        <f>IF(C2032="","",IFERROR(INDEX(art_unit,MATCH(C2032,art_ref,0))&amp;"",""))</f>
        <v/>
      </c>
      <c r="G2032" s="37" t="n"/>
      <c r="H2032" s="37" t="n"/>
      <c r="I2032" s="37" t="n"/>
      <c r="J2032" s="40" t="str">
        <f>IF(OR(C2032="",NOT(ISNUMBER(E2032))),"",IFERROR(E2032*N(INDEX(art_price,MATCH(C2032,art_ref,0))),""))</f>
        <v/>
      </c>
      <c r="K2032" s="39" t="str">
        <f>IF(OR(C2032="",NOT(ISNUMBER(E2032))),"",IFERROR(ROUND(N(INDEX(art_init,MATCH(C2032,art_ref,0)))+SUMIFS($E$5:E2032,$C$5:C2032,C2032,$B$5:B2032,"Entrée")-SUMIFS($E$5:E2032,$C$5:C2032,C2032,$B$5:B2032,"Sortie"),6),""))</f>
        <v/>
      </c>
      <c r="L2032" s="39" t="str">
        <f>IF(COUNTA(A2032:C2032,E2032)=0,"",IF(COUNTA(A2032:C2032,E2032)&lt;4,"Ligne incomplète",IF(NOT(ISNUMBER(A2032)),"Date invalide",IF(AND(B2032&lt;&gt;"Entrée",B2032&lt;&gt;"Sortie"),"Type inconnu",IF(ISNA(MATCH(C2032,art_ref,0)),"Référence inconnue",IF(OR(NOT(ISNUMBER(E2032)),N(E2032)&lt;=0),"Quantité invalide",IF(K2032&lt;0,"Stock négatif",IF(AND(ISNUMBER(A2031),A2032&lt;A2031),"Date hors ordre","OK"))))))))</f>
        <v/>
      </c>
      <c r="M2032" s="39" t="str">
        <f>IF(C2032="","",C2032&amp;"#"&amp;COUNTIF($C$5:C2032,C2032))</f>
        <v/>
      </c>
    </row>
    <row r="2033">
      <c r="A2033" s="41" t="n"/>
      <c r="B2033" s="37" t="n"/>
      <c r="C2033" s="37" t="n"/>
      <c r="D2033" s="39" t="str">
        <f>IF(C2033="","",IFERROR(INDEX(art_des,MATCH(C2033,art_ref,0))&amp;"","Référence inconnue"))</f>
        <v/>
      </c>
      <c r="E2033" s="37" t="n"/>
      <c r="F2033" s="39" t="str">
        <f>IF(C2033="","",IFERROR(INDEX(art_unit,MATCH(C2033,art_ref,0))&amp;"",""))</f>
        <v/>
      </c>
      <c r="G2033" s="37" t="n"/>
      <c r="H2033" s="37" t="n"/>
      <c r="I2033" s="37" t="n"/>
      <c r="J2033" s="40" t="str">
        <f>IF(OR(C2033="",NOT(ISNUMBER(E2033))),"",IFERROR(E2033*N(INDEX(art_price,MATCH(C2033,art_ref,0))),""))</f>
        <v/>
      </c>
      <c r="K2033" s="39" t="str">
        <f>IF(OR(C2033="",NOT(ISNUMBER(E2033))),"",IFERROR(ROUND(N(INDEX(art_init,MATCH(C2033,art_ref,0)))+SUMIFS($E$5:E2033,$C$5:C2033,C2033,$B$5:B2033,"Entrée")-SUMIFS($E$5:E2033,$C$5:C2033,C2033,$B$5:B2033,"Sortie"),6),""))</f>
        <v/>
      </c>
      <c r="L2033" s="39" t="str">
        <f>IF(COUNTA(A2033:C2033,E2033)=0,"",IF(COUNTA(A2033:C2033,E2033)&lt;4,"Ligne incomplète",IF(NOT(ISNUMBER(A2033)),"Date invalide",IF(AND(B2033&lt;&gt;"Entrée",B2033&lt;&gt;"Sortie"),"Type inconnu",IF(ISNA(MATCH(C2033,art_ref,0)),"Référence inconnue",IF(OR(NOT(ISNUMBER(E2033)),N(E2033)&lt;=0),"Quantité invalide",IF(K2033&lt;0,"Stock négatif",IF(AND(ISNUMBER(A2032),A2033&lt;A2032),"Date hors ordre","OK"))))))))</f>
        <v/>
      </c>
      <c r="M2033" s="39" t="str">
        <f>IF(C2033="","",C2033&amp;"#"&amp;COUNTIF($C$5:C2033,C2033))</f>
        <v/>
      </c>
    </row>
    <row r="2034">
      <c r="A2034" s="41" t="n"/>
      <c r="B2034" s="37" t="n"/>
      <c r="C2034" s="37" t="n"/>
      <c r="D2034" s="39" t="str">
        <f>IF(C2034="","",IFERROR(INDEX(art_des,MATCH(C2034,art_ref,0))&amp;"","Référence inconnue"))</f>
        <v/>
      </c>
      <c r="E2034" s="37" t="n"/>
      <c r="F2034" s="39" t="str">
        <f>IF(C2034="","",IFERROR(INDEX(art_unit,MATCH(C2034,art_ref,0))&amp;"",""))</f>
        <v/>
      </c>
      <c r="G2034" s="37" t="n"/>
      <c r="H2034" s="37" t="n"/>
      <c r="I2034" s="37" t="n"/>
      <c r="J2034" s="40" t="str">
        <f>IF(OR(C2034="",NOT(ISNUMBER(E2034))),"",IFERROR(E2034*N(INDEX(art_price,MATCH(C2034,art_ref,0))),""))</f>
        <v/>
      </c>
      <c r="K2034" s="39" t="str">
        <f>IF(OR(C2034="",NOT(ISNUMBER(E2034))),"",IFERROR(ROUND(N(INDEX(art_init,MATCH(C2034,art_ref,0)))+SUMIFS($E$5:E2034,$C$5:C2034,C2034,$B$5:B2034,"Entrée")-SUMIFS($E$5:E2034,$C$5:C2034,C2034,$B$5:B2034,"Sortie"),6),""))</f>
        <v/>
      </c>
      <c r="L2034" s="39" t="str">
        <f>IF(COUNTA(A2034:C2034,E2034)=0,"",IF(COUNTA(A2034:C2034,E2034)&lt;4,"Ligne incomplète",IF(NOT(ISNUMBER(A2034)),"Date invalide",IF(AND(B2034&lt;&gt;"Entrée",B2034&lt;&gt;"Sortie"),"Type inconnu",IF(ISNA(MATCH(C2034,art_ref,0)),"Référence inconnue",IF(OR(NOT(ISNUMBER(E2034)),N(E2034)&lt;=0),"Quantité invalide",IF(K2034&lt;0,"Stock négatif",IF(AND(ISNUMBER(A2033),A2034&lt;A2033),"Date hors ordre","OK"))))))))</f>
        <v/>
      </c>
      <c r="M2034" s="39" t="str">
        <f>IF(C2034="","",C2034&amp;"#"&amp;COUNTIF($C$5:C2034,C2034))</f>
        <v/>
      </c>
    </row>
    <row r="2035">
      <c r="A2035" s="41" t="n"/>
      <c r="B2035" s="37" t="n"/>
      <c r="C2035" s="37" t="n"/>
      <c r="D2035" s="39" t="str">
        <f>IF(C2035="","",IFERROR(INDEX(art_des,MATCH(C2035,art_ref,0))&amp;"","Référence inconnue"))</f>
        <v/>
      </c>
      <c r="E2035" s="37" t="n"/>
      <c r="F2035" s="39" t="str">
        <f>IF(C2035="","",IFERROR(INDEX(art_unit,MATCH(C2035,art_ref,0))&amp;"",""))</f>
        <v/>
      </c>
      <c r="G2035" s="37" t="n"/>
      <c r="H2035" s="37" t="n"/>
      <c r="I2035" s="37" t="n"/>
      <c r="J2035" s="40" t="str">
        <f>IF(OR(C2035="",NOT(ISNUMBER(E2035))),"",IFERROR(E2035*N(INDEX(art_price,MATCH(C2035,art_ref,0))),""))</f>
        <v/>
      </c>
      <c r="K2035" s="39" t="str">
        <f>IF(OR(C2035="",NOT(ISNUMBER(E2035))),"",IFERROR(ROUND(N(INDEX(art_init,MATCH(C2035,art_ref,0)))+SUMIFS($E$5:E2035,$C$5:C2035,C2035,$B$5:B2035,"Entrée")-SUMIFS($E$5:E2035,$C$5:C2035,C2035,$B$5:B2035,"Sortie"),6),""))</f>
        <v/>
      </c>
      <c r="L2035" s="39" t="str">
        <f>IF(COUNTA(A2035:C2035,E2035)=0,"",IF(COUNTA(A2035:C2035,E2035)&lt;4,"Ligne incomplète",IF(NOT(ISNUMBER(A2035)),"Date invalide",IF(AND(B2035&lt;&gt;"Entrée",B2035&lt;&gt;"Sortie"),"Type inconnu",IF(ISNA(MATCH(C2035,art_ref,0)),"Référence inconnue",IF(OR(NOT(ISNUMBER(E2035)),N(E2035)&lt;=0),"Quantité invalide",IF(K2035&lt;0,"Stock négatif",IF(AND(ISNUMBER(A2034),A2035&lt;A2034),"Date hors ordre","OK"))))))))</f>
        <v/>
      </c>
      <c r="M2035" s="39" t="str">
        <f>IF(C2035="","",C2035&amp;"#"&amp;COUNTIF($C$5:C2035,C2035))</f>
        <v/>
      </c>
    </row>
    <row r="2036">
      <c r="A2036" s="41" t="n"/>
      <c r="B2036" s="37" t="n"/>
      <c r="C2036" s="37" t="n"/>
      <c r="D2036" s="39" t="str">
        <f>IF(C2036="","",IFERROR(INDEX(art_des,MATCH(C2036,art_ref,0))&amp;"","Référence inconnue"))</f>
        <v/>
      </c>
      <c r="E2036" s="37" t="n"/>
      <c r="F2036" s="39" t="str">
        <f>IF(C2036="","",IFERROR(INDEX(art_unit,MATCH(C2036,art_ref,0))&amp;"",""))</f>
        <v/>
      </c>
      <c r="G2036" s="37" t="n"/>
      <c r="H2036" s="37" t="n"/>
      <c r="I2036" s="37" t="n"/>
      <c r="J2036" s="40" t="str">
        <f>IF(OR(C2036="",NOT(ISNUMBER(E2036))),"",IFERROR(E2036*N(INDEX(art_price,MATCH(C2036,art_ref,0))),""))</f>
        <v/>
      </c>
      <c r="K2036" s="39" t="str">
        <f>IF(OR(C2036="",NOT(ISNUMBER(E2036))),"",IFERROR(ROUND(N(INDEX(art_init,MATCH(C2036,art_ref,0)))+SUMIFS($E$5:E2036,$C$5:C2036,C2036,$B$5:B2036,"Entrée")-SUMIFS($E$5:E2036,$C$5:C2036,C2036,$B$5:B2036,"Sortie"),6),""))</f>
        <v/>
      </c>
      <c r="L2036" s="39" t="str">
        <f>IF(COUNTA(A2036:C2036,E2036)=0,"",IF(COUNTA(A2036:C2036,E2036)&lt;4,"Ligne incomplète",IF(NOT(ISNUMBER(A2036)),"Date invalide",IF(AND(B2036&lt;&gt;"Entrée",B2036&lt;&gt;"Sortie"),"Type inconnu",IF(ISNA(MATCH(C2036,art_ref,0)),"Référence inconnue",IF(OR(NOT(ISNUMBER(E2036)),N(E2036)&lt;=0),"Quantité invalide",IF(K2036&lt;0,"Stock négatif",IF(AND(ISNUMBER(A2035),A2036&lt;A2035),"Date hors ordre","OK"))))))))</f>
        <v/>
      </c>
      <c r="M2036" s="39" t="str">
        <f>IF(C2036="","",C2036&amp;"#"&amp;COUNTIF($C$5:C2036,C2036))</f>
        <v/>
      </c>
    </row>
    <row r="2037">
      <c r="A2037" s="41" t="n"/>
      <c r="B2037" s="37" t="n"/>
      <c r="C2037" s="37" t="n"/>
      <c r="D2037" s="39" t="str">
        <f>IF(C2037="","",IFERROR(INDEX(art_des,MATCH(C2037,art_ref,0))&amp;"","Référence inconnue"))</f>
        <v/>
      </c>
      <c r="E2037" s="37" t="n"/>
      <c r="F2037" s="39" t="str">
        <f>IF(C2037="","",IFERROR(INDEX(art_unit,MATCH(C2037,art_ref,0))&amp;"",""))</f>
        <v/>
      </c>
      <c r="G2037" s="37" t="n"/>
      <c r="H2037" s="37" t="n"/>
      <c r="I2037" s="37" t="n"/>
      <c r="J2037" s="40" t="str">
        <f>IF(OR(C2037="",NOT(ISNUMBER(E2037))),"",IFERROR(E2037*N(INDEX(art_price,MATCH(C2037,art_ref,0))),""))</f>
        <v/>
      </c>
      <c r="K2037" s="39" t="str">
        <f>IF(OR(C2037="",NOT(ISNUMBER(E2037))),"",IFERROR(ROUND(N(INDEX(art_init,MATCH(C2037,art_ref,0)))+SUMIFS($E$5:E2037,$C$5:C2037,C2037,$B$5:B2037,"Entrée")-SUMIFS($E$5:E2037,$C$5:C2037,C2037,$B$5:B2037,"Sortie"),6),""))</f>
        <v/>
      </c>
      <c r="L2037" s="39" t="str">
        <f>IF(COUNTA(A2037:C2037,E2037)=0,"",IF(COUNTA(A2037:C2037,E2037)&lt;4,"Ligne incomplète",IF(NOT(ISNUMBER(A2037)),"Date invalide",IF(AND(B2037&lt;&gt;"Entrée",B2037&lt;&gt;"Sortie"),"Type inconnu",IF(ISNA(MATCH(C2037,art_ref,0)),"Référence inconnue",IF(OR(NOT(ISNUMBER(E2037)),N(E2037)&lt;=0),"Quantité invalide",IF(K2037&lt;0,"Stock négatif",IF(AND(ISNUMBER(A2036),A2037&lt;A2036),"Date hors ordre","OK"))))))))</f>
        <v/>
      </c>
      <c r="M2037" s="39" t="str">
        <f>IF(C2037="","",C2037&amp;"#"&amp;COUNTIF($C$5:C2037,C2037))</f>
        <v/>
      </c>
    </row>
    <row r="2038">
      <c r="A2038" s="41" t="n"/>
      <c r="B2038" s="37" t="n"/>
      <c r="C2038" s="37" t="n"/>
      <c r="D2038" s="39" t="str">
        <f>IF(C2038="","",IFERROR(INDEX(art_des,MATCH(C2038,art_ref,0))&amp;"","Référence inconnue"))</f>
        <v/>
      </c>
      <c r="E2038" s="37" t="n"/>
      <c r="F2038" s="39" t="str">
        <f>IF(C2038="","",IFERROR(INDEX(art_unit,MATCH(C2038,art_ref,0))&amp;"",""))</f>
        <v/>
      </c>
      <c r="G2038" s="37" t="n"/>
      <c r="H2038" s="37" t="n"/>
      <c r="I2038" s="37" t="n"/>
      <c r="J2038" s="40" t="str">
        <f>IF(OR(C2038="",NOT(ISNUMBER(E2038))),"",IFERROR(E2038*N(INDEX(art_price,MATCH(C2038,art_ref,0))),""))</f>
        <v/>
      </c>
      <c r="K2038" s="39" t="str">
        <f>IF(OR(C2038="",NOT(ISNUMBER(E2038))),"",IFERROR(ROUND(N(INDEX(art_init,MATCH(C2038,art_ref,0)))+SUMIFS($E$5:E2038,$C$5:C2038,C2038,$B$5:B2038,"Entrée")-SUMIFS($E$5:E2038,$C$5:C2038,C2038,$B$5:B2038,"Sortie"),6),""))</f>
        <v/>
      </c>
      <c r="L2038" s="39" t="str">
        <f>IF(COUNTA(A2038:C2038,E2038)=0,"",IF(COUNTA(A2038:C2038,E2038)&lt;4,"Ligne incomplète",IF(NOT(ISNUMBER(A2038)),"Date invalide",IF(AND(B2038&lt;&gt;"Entrée",B2038&lt;&gt;"Sortie"),"Type inconnu",IF(ISNA(MATCH(C2038,art_ref,0)),"Référence inconnue",IF(OR(NOT(ISNUMBER(E2038)),N(E2038)&lt;=0),"Quantité invalide",IF(K2038&lt;0,"Stock négatif",IF(AND(ISNUMBER(A2037),A2038&lt;A2037),"Date hors ordre","OK"))))))))</f>
        <v/>
      </c>
      <c r="M2038" s="39" t="str">
        <f>IF(C2038="","",C2038&amp;"#"&amp;COUNTIF($C$5:C2038,C2038))</f>
        <v/>
      </c>
    </row>
    <row r="2039">
      <c r="A2039" s="41" t="n"/>
      <c r="B2039" s="37" t="n"/>
      <c r="C2039" s="37" t="n"/>
      <c r="D2039" s="39" t="str">
        <f>IF(C2039="","",IFERROR(INDEX(art_des,MATCH(C2039,art_ref,0))&amp;"","Référence inconnue"))</f>
        <v/>
      </c>
      <c r="E2039" s="37" t="n"/>
      <c r="F2039" s="39" t="str">
        <f>IF(C2039="","",IFERROR(INDEX(art_unit,MATCH(C2039,art_ref,0))&amp;"",""))</f>
        <v/>
      </c>
      <c r="G2039" s="37" t="n"/>
      <c r="H2039" s="37" t="n"/>
      <c r="I2039" s="37" t="n"/>
      <c r="J2039" s="40" t="str">
        <f>IF(OR(C2039="",NOT(ISNUMBER(E2039))),"",IFERROR(E2039*N(INDEX(art_price,MATCH(C2039,art_ref,0))),""))</f>
        <v/>
      </c>
      <c r="K2039" s="39" t="str">
        <f>IF(OR(C2039="",NOT(ISNUMBER(E2039))),"",IFERROR(ROUND(N(INDEX(art_init,MATCH(C2039,art_ref,0)))+SUMIFS($E$5:E2039,$C$5:C2039,C2039,$B$5:B2039,"Entrée")-SUMIFS($E$5:E2039,$C$5:C2039,C2039,$B$5:B2039,"Sortie"),6),""))</f>
        <v/>
      </c>
      <c r="L2039" s="39" t="str">
        <f>IF(COUNTA(A2039:C2039,E2039)=0,"",IF(COUNTA(A2039:C2039,E2039)&lt;4,"Ligne incomplète",IF(NOT(ISNUMBER(A2039)),"Date invalide",IF(AND(B2039&lt;&gt;"Entrée",B2039&lt;&gt;"Sortie"),"Type inconnu",IF(ISNA(MATCH(C2039,art_ref,0)),"Référence inconnue",IF(OR(NOT(ISNUMBER(E2039)),N(E2039)&lt;=0),"Quantité invalide",IF(K2039&lt;0,"Stock négatif",IF(AND(ISNUMBER(A2038),A2039&lt;A2038),"Date hors ordre","OK"))))))))</f>
        <v/>
      </c>
      <c r="M2039" s="39" t="str">
        <f>IF(C2039="","",C2039&amp;"#"&amp;COUNTIF($C$5:C2039,C2039))</f>
        <v/>
      </c>
    </row>
    <row r="2040">
      <c r="A2040" s="41" t="n"/>
      <c r="B2040" s="37" t="n"/>
      <c r="C2040" s="37" t="n"/>
      <c r="D2040" s="39" t="str">
        <f>IF(C2040="","",IFERROR(INDEX(art_des,MATCH(C2040,art_ref,0))&amp;"","Référence inconnue"))</f>
        <v/>
      </c>
      <c r="E2040" s="37" t="n"/>
      <c r="F2040" s="39" t="str">
        <f>IF(C2040="","",IFERROR(INDEX(art_unit,MATCH(C2040,art_ref,0))&amp;"",""))</f>
        <v/>
      </c>
      <c r="G2040" s="37" t="n"/>
      <c r="H2040" s="37" t="n"/>
      <c r="I2040" s="37" t="n"/>
      <c r="J2040" s="40" t="str">
        <f>IF(OR(C2040="",NOT(ISNUMBER(E2040))),"",IFERROR(E2040*N(INDEX(art_price,MATCH(C2040,art_ref,0))),""))</f>
        <v/>
      </c>
      <c r="K2040" s="39" t="str">
        <f>IF(OR(C2040="",NOT(ISNUMBER(E2040))),"",IFERROR(ROUND(N(INDEX(art_init,MATCH(C2040,art_ref,0)))+SUMIFS($E$5:E2040,$C$5:C2040,C2040,$B$5:B2040,"Entrée")-SUMIFS($E$5:E2040,$C$5:C2040,C2040,$B$5:B2040,"Sortie"),6),""))</f>
        <v/>
      </c>
      <c r="L2040" s="39" t="str">
        <f>IF(COUNTA(A2040:C2040,E2040)=0,"",IF(COUNTA(A2040:C2040,E2040)&lt;4,"Ligne incomplète",IF(NOT(ISNUMBER(A2040)),"Date invalide",IF(AND(B2040&lt;&gt;"Entrée",B2040&lt;&gt;"Sortie"),"Type inconnu",IF(ISNA(MATCH(C2040,art_ref,0)),"Référence inconnue",IF(OR(NOT(ISNUMBER(E2040)),N(E2040)&lt;=0),"Quantité invalide",IF(K2040&lt;0,"Stock négatif",IF(AND(ISNUMBER(A2039),A2040&lt;A2039),"Date hors ordre","OK"))))))))</f>
        <v/>
      </c>
      <c r="M2040" s="39" t="str">
        <f>IF(C2040="","",C2040&amp;"#"&amp;COUNTIF($C$5:C2040,C2040))</f>
        <v/>
      </c>
    </row>
    <row r="2041">
      <c r="A2041" s="41" t="n"/>
      <c r="B2041" s="37" t="n"/>
      <c r="C2041" s="37" t="n"/>
      <c r="D2041" s="39" t="str">
        <f>IF(C2041="","",IFERROR(INDEX(art_des,MATCH(C2041,art_ref,0))&amp;"","Référence inconnue"))</f>
        <v/>
      </c>
      <c r="E2041" s="37" t="n"/>
      <c r="F2041" s="39" t="str">
        <f>IF(C2041="","",IFERROR(INDEX(art_unit,MATCH(C2041,art_ref,0))&amp;"",""))</f>
        <v/>
      </c>
      <c r="G2041" s="37" t="n"/>
      <c r="H2041" s="37" t="n"/>
      <c r="I2041" s="37" t="n"/>
      <c r="J2041" s="40" t="str">
        <f>IF(OR(C2041="",NOT(ISNUMBER(E2041))),"",IFERROR(E2041*N(INDEX(art_price,MATCH(C2041,art_ref,0))),""))</f>
        <v/>
      </c>
      <c r="K2041" s="39" t="str">
        <f>IF(OR(C2041="",NOT(ISNUMBER(E2041))),"",IFERROR(ROUND(N(INDEX(art_init,MATCH(C2041,art_ref,0)))+SUMIFS($E$5:E2041,$C$5:C2041,C2041,$B$5:B2041,"Entrée")-SUMIFS($E$5:E2041,$C$5:C2041,C2041,$B$5:B2041,"Sortie"),6),""))</f>
        <v/>
      </c>
      <c r="L2041" s="39" t="str">
        <f>IF(COUNTA(A2041:C2041,E2041)=0,"",IF(COUNTA(A2041:C2041,E2041)&lt;4,"Ligne incomplète",IF(NOT(ISNUMBER(A2041)),"Date invalide",IF(AND(B2041&lt;&gt;"Entrée",B2041&lt;&gt;"Sortie"),"Type inconnu",IF(ISNA(MATCH(C2041,art_ref,0)),"Référence inconnue",IF(OR(NOT(ISNUMBER(E2041)),N(E2041)&lt;=0),"Quantité invalide",IF(K2041&lt;0,"Stock négatif",IF(AND(ISNUMBER(A2040),A2041&lt;A2040),"Date hors ordre","OK"))))))))</f>
        <v/>
      </c>
      <c r="M2041" s="39" t="str">
        <f>IF(C2041="","",C2041&amp;"#"&amp;COUNTIF($C$5:C2041,C2041))</f>
        <v/>
      </c>
    </row>
    <row r="2042">
      <c r="A2042" s="41" t="n"/>
      <c r="B2042" s="37" t="n"/>
      <c r="C2042" s="37" t="n"/>
      <c r="D2042" s="39" t="str">
        <f>IF(C2042="","",IFERROR(INDEX(art_des,MATCH(C2042,art_ref,0))&amp;"","Référence inconnue"))</f>
        <v/>
      </c>
      <c r="E2042" s="37" t="n"/>
      <c r="F2042" s="39" t="str">
        <f>IF(C2042="","",IFERROR(INDEX(art_unit,MATCH(C2042,art_ref,0))&amp;"",""))</f>
        <v/>
      </c>
      <c r="G2042" s="37" t="n"/>
      <c r="H2042" s="37" t="n"/>
      <c r="I2042" s="37" t="n"/>
      <c r="J2042" s="40" t="str">
        <f>IF(OR(C2042="",NOT(ISNUMBER(E2042))),"",IFERROR(E2042*N(INDEX(art_price,MATCH(C2042,art_ref,0))),""))</f>
        <v/>
      </c>
      <c r="K2042" s="39" t="str">
        <f>IF(OR(C2042="",NOT(ISNUMBER(E2042))),"",IFERROR(ROUND(N(INDEX(art_init,MATCH(C2042,art_ref,0)))+SUMIFS($E$5:E2042,$C$5:C2042,C2042,$B$5:B2042,"Entrée")-SUMIFS($E$5:E2042,$C$5:C2042,C2042,$B$5:B2042,"Sortie"),6),""))</f>
        <v/>
      </c>
      <c r="L2042" s="39" t="str">
        <f>IF(COUNTA(A2042:C2042,E2042)=0,"",IF(COUNTA(A2042:C2042,E2042)&lt;4,"Ligne incomplète",IF(NOT(ISNUMBER(A2042)),"Date invalide",IF(AND(B2042&lt;&gt;"Entrée",B2042&lt;&gt;"Sortie"),"Type inconnu",IF(ISNA(MATCH(C2042,art_ref,0)),"Référence inconnue",IF(OR(NOT(ISNUMBER(E2042)),N(E2042)&lt;=0),"Quantité invalide",IF(K2042&lt;0,"Stock négatif",IF(AND(ISNUMBER(A2041),A2042&lt;A2041),"Date hors ordre","OK"))))))))</f>
        <v/>
      </c>
      <c r="M2042" s="39" t="str">
        <f>IF(C2042="","",C2042&amp;"#"&amp;COUNTIF($C$5:C2042,C2042))</f>
        <v/>
      </c>
    </row>
    <row r="2043">
      <c r="A2043" s="41" t="n"/>
      <c r="B2043" s="37" t="n"/>
      <c r="C2043" s="37" t="n"/>
      <c r="D2043" s="39" t="str">
        <f>IF(C2043="","",IFERROR(INDEX(art_des,MATCH(C2043,art_ref,0))&amp;"","Référence inconnue"))</f>
        <v/>
      </c>
      <c r="E2043" s="37" t="n"/>
      <c r="F2043" s="39" t="str">
        <f>IF(C2043="","",IFERROR(INDEX(art_unit,MATCH(C2043,art_ref,0))&amp;"",""))</f>
        <v/>
      </c>
      <c r="G2043" s="37" t="n"/>
      <c r="H2043" s="37" t="n"/>
      <c r="I2043" s="37" t="n"/>
      <c r="J2043" s="40" t="str">
        <f>IF(OR(C2043="",NOT(ISNUMBER(E2043))),"",IFERROR(E2043*N(INDEX(art_price,MATCH(C2043,art_ref,0))),""))</f>
        <v/>
      </c>
      <c r="K2043" s="39" t="str">
        <f>IF(OR(C2043="",NOT(ISNUMBER(E2043))),"",IFERROR(ROUND(N(INDEX(art_init,MATCH(C2043,art_ref,0)))+SUMIFS($E$5:E2043,$C$5:C2043,C2043,$B$5:B2043,"Entrée")-SUMIFS($E$5:E2043,$C$5:C2043,C2043,$B$5:B2043,"Sortie"),6),""))</f>
        <v/>
      </c>
      <c r="L2043" s="39" t="str">
        <f>IF(COUNTA(A2043:C2043,E2043)=0,"",IF(COUNTA(A2043:C2043,E2043)&lt;4,"Ligne incomplète",IF(NOT(ISNUMBER(A2043)),"Date invalide",IF(AND(B2043&lt;&gt;"Entrée",B2043&lt;&gt;"Sortie"),"Type inconnu",IF(ISNA(MATCH(C2043,art_ref,0)),"Référence inconnue",IF(OR(NOT(ISNUMBER(E2043)),N(E2043)&lt;=0),"Quantité invalide",IF(K2043&lt;0,"Stock négatif",IF(AND(ISNUMBER(A2042),A2043&lt;A2042),"Date hors ordre","OK"))))))))</f>
        <v/>
      </c>
      <c r="M2043" s="39" t="str">
        <f>IF(C2043="","",C2043&amp;"#"&amp;COUNTIF($C$5:C2043,C2043))</f>
        <v/>
      </c>
    </row>
    <row r="2044">
      <c r="A2044" s="41" t="n"/>
      <c r="B2044" s="37" t="n"/>
      <c r="C2044" s="37" t="n"/>
      <c r="D2044" s="39" t="str">
        <f>IF(C2044="","",IFERROR(INDEX(art_des,MATCH(C2044,art_ref,0))&amp;"","Référence inconnue"))</f>
        <v/>
      </c>
      <c r="E2044" s="37" t="n"/>
      <c r="F2044" s="39" t="str">
        <f>IF(C2044="","",IFERROR(INDEX(art_unit,MATCH(C2044,art_ref,0))&amp;"",""))</f>
        <v/>
      </c>
      <c r="G2044" s="37" t="n"/>
      <c r="H2044" s="37" t="n"/>
      <c r="I2044" s="37" t="n"/>
      <c r="J2044" s="40" t="str">
        <f>IF(OR(C2044="",NOT(ISNUMBER(E2044))),"",IFERROR(E2044*N(INDEX(art_price,MATCH(C2044,art_ref,0))),""))</f>
        <v/>
      </c>
      <c r="K2044" s="39" t="str">
        <f>IF(OR(C2044="",NOT(ISNUMBER(E2044))),"",IFERROR(ROUND(N(INDEX(art_init,MATCH(C2044,art_ref,0)))+SUMIFS($E$5:E2044,$C$5:C2044,C2044,$B$5:B2044,"Entrée")-SUMIFS($E$5:E2044,$C$5:C2044,C2044,$B$5:B2044,"Sortie"),6),""))</f>
        <v/>
      </c>
      <c r="L2044" s="39" t="str">
        <f>IF(COUNTA(A2044:C2044,E2044)=0,"",IF(COUNTA(A2044:C2044,E2044)&lt;4,"Ligne incomplète",IF(NOT(ISNUMBER(A2044)),"Date invalide",IF(AND(B2044&lt;&gt;"Entrée",B2044&lt;&gt;"Sortie"),"Type inconnu",IF(ISNA(MATCH(C2044,art_ref,0)),"Référence inconnue",IF(OR(NOT(ISNUMBER(E2044)),N(E2044)&lt;=0),"Quantité invalide",IF(K2044&lt;0,"Stock négatif",IF(AND(ISNUMBER(A2043),A2044&lt;A2043),"Date hors ordre","OK"))))))))</f>
        <v/>
      </c>
      <c r="M2044" s="39" t="str">
        <f>IF(C2044="","",C2044&amp;"#"&amp;COUNTIF($C$5:C2044,C2044))</f>
        <v/>
      </c>
    </row>
    <row r="2045">
      <c r="A2045" s="41" t="n"/>
      <c r="B2045" s="37" t="n"/>
      <c r="C2045" s="37" t="n"/>
      <c r="D2045" s="39" t="str">
        <f>IF(C2045="","",IFERROR(INDEX(art_des,MATCH(C2045,art_ref,0))&amp;"","Référence inconnue"))</f>
        <v/>
      </c>
      <c r="E2045" s="37" t="n"/>
      <c r="F2045" s="39" t="str">
        <f>IF(C2045="","",IFERROR(INDEX(art_unit,MATCH(C2045,art_ref,0))&amp;"",""))</f>
        <v/>
      </c>
      <c r="G2045" s="37" t="n"/>
      <c r="H2045" s="37" t="n"/>
      <c r="I2045" s="37" t="n"/>
      <c r="J2045" s="40" t="str">
        <f>IF(OR(C2045="",NOT(ISNUMBER(E2045))),"",IFERROR(E2045*N(INDEX(art_price,MATCH(C2045,art_ref,0))),""))</f>
        <v/>
      </c>
      <c r="K2045" s="39" t="str">
        <f>IF(OR(C2045="",NOT(ISNUMBER(E2045))),"",IFERROR(ROUND(N(INDEX(art_init,MATCH(C2045,art_ref,0)))+SUMIFS($E$5:E2045,$C$5:C2045,C2045,$B$5:B2045,"Entrée")-SUMIFS($E$5:E2045,$C$5:C2045,C2045,$B$5:B2045,"Sortie"),6),""))</f>
        <v/>
      </c>
      <c r="L2045" s="39" t="str">
        <f>IF(COUNTA(A2045:C2045,E2045)=0,"",IF(COUNTA(A2045:C2045,E2045)&lt;4,"Ligne incomplète",IF(NOT(ISNUMBER(A2045)),"Date invalide",IF(AND(B2045&lt;&gt;"Entrée",B2045&lt;&gt;"Sortie"),"Type inconnu",IF(ISNA(MATCH(C2045,art_ref,0)),"Référence inconnue",IF(OR(NOT(ISNUMBER(E2045)),N(E2045)&lt;=0),"Quantité invalide",IF(K2045&lt;0,"Stock négatif",IF(AND(ISNUMBER(A2044),A2045&lt;A2044),"Date hors ordre","OK"))))))))</f>
        <v/>
      </c>
      <c r="M2045" s="39" t="str">
        <f>IF(C2045="","",C2045&amp;"#"&amp;COUNTIF($C$5:C2045,C2045))</f>
        <v/>
      </c>
    </row>
    <row r="2046">
      <c r="A2046" s="41" t="n"/>
      <c r="B2046" s="37" t="n"/>
      <c r="C2046" s="37" t="n"/>
      <c r="D2046" s="39" t="str">
        <f>IF(C2046="","",IFERROR(INDEX(art_des,MATCH(C2046,art_ref,0))&amp;"","Référence inconnue"))</f>
        <v/>
      </c>
      <c r="E2046" s="37" t="n"/>
      <c r="F2046" s="39" t="str">
        <f>IF(C2046="","",IFERROR(INDEX(art_unit,MATCH(C2046,art_ref,0))&amp;"",""))</f>
        <v/>
      </c>
      <c r="G2046" s="37" t="n"/>
      <c r="H2046" s="37" t="n"/>
      <c r="I2046" s="37" t="n"/>
      <c r="J2046" s="40" t="str">
        <f>IF(OR(C2046="",NOT(ISNUMBER(E2046))),"",IFERROR(E2046*N(INDEX(art_price,MATCH(C2046,art_ref,0))),""))</f>
        <v/>
      </c>
      <c r="K2046" s="39" t="str">
        <f>IF(OR(C2046="",NOT(ISNUMBER(E2046))),"",IFERROR(ROUND(N(INDEX(art_init,MATCH(C2046,art_ref,0)))+SUMIFS($E$5:E2046,$C$5:C2046,C2046,$B$5:B2046,"Entrée")-SUMIFS($E$5:E2046,$C$5:C2046,C2046,$B$5:B2046,"Sortie"),6),""))</f>
        <v/>
      </c>
      <c r="L2046" s="39" t="str">
        <f>IF(COUNTA(A2046:C2046,E2046)=0,"",IF(COUNTA(A2046:C2046,E2046)&lt;4,"Ligne incomplète",IF(NOT(ISNUMBER(A2046)),"Date invalide",IF(AND(B2046&lt;&gt;"Entrée",B2046&lt;&gt;"Sortie"),"Type inconnu",IF(ISNA(MATCH(C2046,art_ref,0)),"Référence inconnue",IF(OR(NOT(ISNUMBER(E2046)),N(E2046)&lt;=0),"Quantité invalide",IF(K2046&lt;0,"Stock négatif",IF(AND(ISNUMBER(A2045),A2046&lt;A2045),"Date hors ordre","OK"))))))))</f>
        <v/>
      </c>
      <c r="M2046" s="39" t="str">
        <f>IF(C2046="","",C2046&amp;"#"&amp;COUNTIF($C$5:C2046,C2046))</f>
        <v/>
      </c>
    </row>
    <row r="2047">
      <c r="A2047" s="41" t="n"/>
      <c r="B2047" s="37" t="n"/>
      <c r="C2047" s="37" t="n"/>
      <c r="D2047" s="39" t="str">
        <f>IF(C2047="","",IFERROR(INDEX(art_des,MATCH(C2047,art_ref,0))&amp;"","Référence inconnue"))</f>
        <v/>
      </c>
      <c r="E2047" s="37" t="n"/>
      <c r="F2047" s="39" t="str">
        <f>IF(C2047="","",IFERROR(INDEX(art_unit,MATCH(C2047,art_ref,0))&amp;"",""))</f>
        <v/>
      </c>
      <c r="G2047" s="37" t="n"/>
      <c r="H2047" s="37" t="n"/>
      <c r="I2047" s="37" t="n"/>
      <c r="J2047" s="40" t="str">
        <f>IF(OR(C2047="",NOT(ISNUMBER(E2047))),"",IFERROR(E2047*N(INDEX(art_price,MATCH(C2047,art_ref,0))),""))</f>
        <v/>
      </c>
      <c r="K2047" s="39" t="str">
        <f>IF(OR(C2047="",NOT(ISNUMBER(E2047))),"",IFERROR(ROUND(N(INDEX(art_init,MATCH(C2047,art_ref,0)))+SUMIFS($E$5:E2047,$C$5:C2047,C2047,$B$5:B2047,"Entrée")-SUMIFS($E$5:E2047,$C$5:C2047,C2047,$B$5:B2047,"Sortie"),6),""))</f>
        <v/>
      </c>
      <c r="L2047" s="39" t="str">
        <f>IF(COUNTA(A2047:C2047,E2047)=0,"",IF(COUNTA(A2047:C2047,E2047)&lt;4,"Ligne incomplète",IF(NOT(ISNUMBER(A2047)),"Date invalide",IF(AND(B2047&lt;&gt;"Entrée",B2047&lt;&gt;"Sortie"),"Type inconnu",IF(ISNA(MATCH(C2047,art_ref,0)),"Référence inconnue",IF(OR(NOT(ISNUMBER(E2047)),N(E2047)&lt;=0),"Quantité invalide",IF(K2047&lt;0,"Stock négatif",IF(AND(ISNUMBER(A2046),A2047&lt;A2046),"Date hors ordre","OK"))))))))</f>
        <v/>
      </c>
      <c r="M2047" s="39" t="str">
        <f>IF(C2047="","",C2047&amp;"#"&amp;COUNTIF($C$5:C2047,C2047))</f>
        <v/>
      </c>
    </row>
    <row r="2048">
      <c r="A2048" s="41" t="n"/>
      <c r="B2048" s="37" t="n"/>
      <c r="C2048" s="37" t="n"/>
      <c r="D2048" s="39" t="str">
        <f>IF(C2048="","",IFERROR(INDEX(art_des,MATCH(C2048,art_ref,0))&amp;"","Référence inconnue"))</f>
        <v/>
      </c>
      <c r="E2048" s="37" t="n"/>
      <c r="F2048" s="39" t="str">
        <f>IF(C2048="","",IFERROR(INDEX(art_unit,MATCH(C2048,art_ref,0))&amp;"",""))</f>
        <v/>
      </c>
      <c r="G2048" s="37" t="n"/>
      <c r="H2048" s="37" t="n"/>
      <c r="I2048" s="37" t="n"/>
      <c r="J2048" s="40" t="str">
        <f>IF(OR(C2048="",NOT(ISNUMBER(E2048))),"",IFERROR(E2048*N(INDEX(art_price,MATCH(C2048,art_ref,0))),""))</f>
        <v/>
      </c>
      <c r="K2048" s="39" t="str">
        <f>IF(OR(C2048="",NOT(ISNUMBER(E2048))),"",IFERROR(ROUND(N(INDEX(art_init,MATCH(C2048,art_ref,0)))+SUMIFS($E$5:E2048,$C$5:C2048,C2048,$B$5:B2048,"Entrée")-SUMIFS($E$5:E2048,$C$5:C2048,C2048,$B$5:B2048,"Sortie"),6),""))</f>
        <v/>
      </c>
      <c r="L2048" s="39" t="str">
        <f>IF(COUNTA(A2048:C2048,E2048)=0,"",IF(COUNTA(A2048:C2048,E2048)&lt;4,"Ligne incomplète",IF(NOT(ISNUMBER(A2048)),"Date invalide",IF(AND(B2048&lt;&gt;"Entrée",B2048&lt;&gt;"Sortie"),"Type inconnu",IF(ISNA(MATCH(C2048,art_ref,0)),"Référence inconnue",IF(OR(NOT(ISNUMBER(E2048)),N(E2048)&lt;=0),"Quantité invalide",IF(K2048&lt;0,"Stock négatif",IF(AND(ISNUMBER(A2047),A2048&lt;A2047),"Date hors ordre","OK"))))))))</f>
        <v/>
      </c>
      <c r="M2048" s="39" t="str">
        <f>IF(C2048="","",C2048&amp;"#"&amp;COUNTIF($C$5:C2048,C2048))</f>
        <v/>
      </c>
    </row>
    <row r="2049">
      <c r="A2049" s="41" t="n"/>
      <c r="B2049" s="37" t="n"/>
      <c r="C2049" s="37" t="n"/>
      <c r="D2049" s="39" t="str">
        <f>IF(C2049="","",IFERROR(INDEX(art_des,MATCH(C2049,art_ref,0))&amp;"","Référence inconnue"))</f>
        <v/>
      </c>
      <c r="E2049" s="37" t="n"/>
      <c r="F2049" s="39" t="str">
        <f>IF(C2049="","",IFERROR(INDEX(art_unit,MATCH(C2049,art_ref,0))&amp;"",""))</f>
        <v/>
      </c>
      <c r="G2049" s="37" t="n"/>
      <c r="H2049" s="37" t="n"/>
      <c r="I2049" s="37" t="n"/>
      <c r="J2049" s="40" t="str">
        <f>IF(OR(C2049="",NOT(ISNUMBER(E2049))),"",IFERROR(E2049*N(INDEX(art_price,MATCH(C2049,art_ref,0))),""))</f>
        <v/>
      </c>
      <c r="K2049" s="39" t="str">
        <f>IF(OR(C2049="",NOT(ISNUMBER(E2049))),"",IFERROR(ROUND(N(INDEX(art_init,MATCH(C2049,art_ref,0)))+SUMIFS($E$5:E2049,$C$5:C2049,C2049,$B$5:B2049,"Entrée")-SUMIFS($E$5:E2049,$C$5:C2049,C2049,$B$5:B2049,"Sortie"),6),""))</f>
        <v/>
      </c>
      <c r="L2049" s="39" t="str">
        <f>IF(COUNTA(A2049:C2049,E2049)=0,"",IF(COUNTA(A2049:C2049,E2049)&lt;4,"Ligne incomplète",IF(NOT(ISNUMBER(A2049)),"Date invalide",IF(AND(B2049&lt;&gt;"Entrée",B2049&lt;&gt;"Sortie"),"Type inconnu",IF(ISNA(MATCH(C2049,art_ref,0)),"Référence inconnue",IF(OR(NOT(ISNUMBER(E2049)),N(E2049)&lt;=0),"Quantité invalide",IF(K2049&lt;0,"Stock négatif",IF(AND(ISNUMBER(A2048),A2049&lt;A2048),"Date hors ordre","OK"))))))))</f>
        <v/>
      </c>
      <c r="M2049" s="39" t="str">
        <f>IF(C2049="","",C2049&amp;"#"&amp;COUNTIF($C$5:C2049,C2049))</f>
        <v/>
      </c>
    </row>
    <row r="2050">
      <c r="A2050" s="41" t="n"/>
      <c r="B2050" s="37" t="n"/>
      <c r="C2050" s="37" t="n"/>
      <c r="D2050" s="39" t="str">
        <f>IF(C2050="","",IFERROR(INDEX(art_des,MATCH(C2050,art_ref,0))&amp;"","Référence inconnue"))</f>
        <v/>
      </c>
      <c r="E2050" s="37" t="n"/>
      <c r="F2050" s="39" t="str">
        <f>IF(C2050="","",IFERROR(INDEX(art_unit,MATCH(C2050,art_ref,0))&amp;"",""))</f>
        <v/>
      </c>
      <c r="G2050" s="37" t="n"/>
      <c r="H2050" s="37" t="n"/>
      <c r="I2050" s="37" t="n"/>
      <c r="J2050" s="40" t="str">
        <f>IF(OR(C2050="",NOT(ISNUMBER(E2050))),"",IFERROR(E2050*N(INDEX(art_price,MATCH(C2050,art_ref,0))),""))</f>
        <v/>
      </c>
      <c r="K2050" s="39" t="str">
        <f>IF(OR(C2050="",NOT(ISNUMBER(E2050))),"",IFERROR(ROUND(N(INDEX(art_init,MATCH(C2050,art_ref,0)))+SUMIFS($E$5:E2050,$C$5:C2050,C2050,$B$5:B2050,"Entrée")-SUMIFS($E$5:E2050,$C$5:C2050,C2050,$B$5:B2050,"Sortie"),6),""))</f>
        <v/>
      </c>
      <c r="L2050" s="39" t="str">
        <f>IF(COUNTA(A2050:C2050,E2050)=0,"",IF(COUNTA(A2050:C2050,E2050)&lt;4,"Ligne incomplète",IF(NOT(ISNUMBER(A2050)),"Date invalide",IF(AND(B2050&lt;&gt;"Entrée",B2050&lt;&gt;"Sortie"),"Type inconnu",IF(ISNA(MATCH(C2050,art_ref,0)),"Référence inconnue",IF(OR(NOT(ISNUMBER(E2050)),N(E2050)&lt;=0),"Quantité invalide",IF(K2050&lt;0,"Stock négatif",IF(AND(ISNUMBER(A2049),A2050&lt;A2049),"Date hors ordre","OK"))))))))</f>
        <v/>
      </c>
      <c r="M2050" s="39" t="str">
        <f>IF(C2050="","",C2050&amp;"#"&amp;COUNTIF($C$5:C2050,C2050))</f>
        <v/>
      </c>
    </row>
    <row r="2051">
      <c r="A2051" s="41" t="n"/>
      <c r="B2051" s="37" t="n"/>
      <c r="C2051" s="37" t="n"/>
      <c r="D2051" s="39" t="str">
        <f>IF(C2051="","",IFERROR(INDEX(art_des,MATCH(C2051,art_ref,0))&amp;"","Référence inconnue"))</f>
        <v/>
      </c>
      <c r="E2051" s="37" t="n"/>
      <c r="F2051" s="39" t="str">
        <f>IF(C2051="","",IFERROR(INDEX(art_unit,MATCH(C2051,art_ref,0))&amp;"",""))</f>
        <v/>
      </c>
      <c r="G2051" s="37" t="n"/>
      <c r="H2051" s="37" t="n"/>
      <c r="I2051" s="37" t="n"/>
      <c r="J2051" s="40" t="str">
        <f>IF(OR(C2051="",NOT(ISNUMBER(E2051))),"",IFERROR(E2051*N(INDEX(art_price,MATCH(C2051,art_ref,0))),""))</f>
        <v/>
      </c>
      <c r="K2051" s="39" t="str">
        <f>IF(OR(C2051="",NOT(ISNUMBER(E2051))),"",IFERROR(ROUND(N(INDEX(art_init,MATCH(C2051,art_ref,0)))+SUMIFS($E$5:E2051,$C$5:C2051,C2051,$B$5:B2051,"Entrée")-SUMIFS($E$5:E2051,$C$5:C2051,C2051,$B$5:B2051,"Sortie"),6),""))</f>
        <v/>
      </c>
      <c r="L2051" s="39" t="str">
        <f>IF(COUNTA(A2051:C2051,E2051)=0,"",IF(COUNTA(A2051:C2051,E2051)&lt;4,"Ligne incomplète",IF(NOT(ISNUMBER(A2051)),"Date invalide",IF(AND(B2051&lt;&gt;"Entrée",B2051&lt;&gt;"Sortie"),"Type inconnu",IF(ISNA(MATCH(C2051,art_ref,0)),"Référence inconnue",IF(OR(NOT(ISNUMBER(E2051)),N(E2051)&lt;=0),"Quantité invalide",IF(K2051&lt;0,"Stock négatif",IF(AND(ISNUMBER(A2050),A2051&lt;A2050),"Date hors ordre","OK"))))))))</f>
        <v/>
      </c>
      <c r="M2051" s="39" t="str">
        <f>IF(C2051="","",C2051&amp;"#"&amp;COUNTIF($C$5:C2051,C2051))</f>
        <v/>
      </c>
    </row>
    <row r="2052">
      <c r="A2052" s="41" t="n"/>
      <c r="B2052" s="37" t="n"/>
      <c r="C2052" s="37" t="n"/>
      <c r="D2052" s="39" t="str">
        <f>IF(C2052="","",IFERROR(INDEX(art_des,MATCH(C2052,art_ref,0))&amp;"","Référence inconnue"))</f>
        <v/>
      </c>
      <c r="E2052" s="37" t="n"/>
      <c r="F2052" s="39" t="str">
        <f>IF(C2052="","",IFERROR(INDEX(art_unit,MATCH(C2052,art_ref,0))&amp;"",""))</f>
        <v/>
      </c>
      <c r="G2052" s="37" t="n"/>
      <c r="H2052" s="37" t="n"/>
      <c r="I2052" s="37" t="n"/>
      <c r="J2052" s="40" t="str">
        <f>IF(OR(C2052="",NOT(ISNUMBER(E2052))),"",IFERROR(E2052*N(INDEX(art_price,MATCH(C2052,art_ref,0))),""))</f>
        <v/>
      </c>
      <c r="K2052" s="39" t="str">
        <f>IF(OR(C2052="",NOT(ISNUMBER(E2052))),"",IFERROR(ROUND(N(INDEX(art_init,MATCH(C2052,art_ref,0)))+SUMIFS($E$5:E2052,$C$5:C2052,C2052,$B$5:B2052,"Entrée")-SUMIFS($E$5:E2052,$C$5:C2052,C2052,$B$5:B2052,"Sortie"),6),""))</f>
        <v/>
      </c>
      <c r="L2052" s="39" t="str">
        <f>IF(COUNTA(A2052:C2052,E2052)=0,"",IF(COUNTA(A2052:C2052,E2052)&lt;4,"Ligne incomplète",IF(NOT(ISNUMBER(A2052)),"Date invalide",IF(AND(B2052&lt;&gt;"Entrée",B2052&lt;&gt;"Sortie"),"Type inconnu",IF(ISNA(MATCH(C2052,art_ref,0)),"Référence inconnue",IF(OR(NOT(ISNUMBER(E2052)),N(E2052)&lt;=0),"Quantité invalide",IF(K2052&lt;0,"Stock négatif",IF(AND(ISNUMBER(A2051),A2052&lt;A2051),"Date hors ordre","OK"))))))))</f>
        <v/>
      </c>
      <c r="M2052" s="39" t="str">
        <f>IF(C2052="","",C2052&amp;"#"&amp;COUNTIF($C$5:C2052,C2052))</f>
        <v/>
      </c>
    </row>
    <row r="2053">
      <c r="A2053" s="41" t="n"/>
      <c r="B2053" s="37" t="n"/>
      <c r="C2053" s="37" t="n"/>
      <c r="D2053" s="39" t="str">
        <f>IF(C2053="","",IFERROR(INDEX(art_des,MATCH(C2053,art_ref,0))&amp;"","Référence inconnue"))</f>
        <v/>
      </c>
      <c r="E2053" s="37" t="n"/>
      <c r="F2053" s="39" t="str">
        <f>IF(C2053="","",IFERROR(INDEX(art_unit,MATCH(C2053,art_ref,0))&amp;"",""))</f>
        <v/>
      </c>
      <c r="G2053" s="37" t="n"/>
      <c r="H2053" s="37" t="n"/>
      <c r="I2053" s="37" t="n"/>
      <c r="J2053" s="40" t="str">
        <f>IF(OR(C2053="",NOT(ISNUMBER(E2053))),"",IFERROR(E2053*N(INDEX(art_price,MATCH(C2053,art_ref,0))),""))</f>
        <v/>
      </c>
      <c r="K2053" s="39" t="str">
        <f>IF(OR(C2053="",NOT(ISNUMBER(E2053))),"",IFERROR(ROUND(N(INDEX(art_init,MATCH(C2053,art_ref,0)))+SUMIFS($E$5:E2053,$C$5:C2053,C2053,$B$5:B2053,"Entrée")-SUMIFS($E$5:E2053,$C$5:C2053,C2053,$B$5:B2053,"Sortie"),6),""))</f>
        <v/>
      </c>
      <c r="L2053" s="39" t="str">
        <f>IF(COUNTA(A2053:C2053,E2053)=0,"",IF(COUNTA(A2053:C2053,E2053)&lt;4,"Ligne incomplète",IF(NOT(ISNUMBER(A2053)),"Date invalide",IF(AND(B2053&lt;&gt;"Entrée",B2053&lt;&gt;"Sortie"),"Type inconnu",IF(ISNA(MATCH(C2053,art_ref,0)),"Référence inconnue",IF(OR(NOT(ISNUMBER(E2053)),N(E2053)&lt;=0),"Quantité invalide",IF(K2053&lt;0,"Stock négatif",IF(AND(ISNUMBER(A2052),A2053&lt;A2052),"Date hors ordre","OK"))))))))</f>
        <v/>
      </c>
      <c r="M2053" s="39" t="str">
        <f>IF(C2053="","",C2053&amp;"#"&amp;COUNTIF($C$5:C2053,C2053))</f>
        <v/>
      </c>
    </row>
    <row r="2054">
      <c r="A2054" s="41" t="n"/>
      <c r="B2054" s="37" t="n"/>
      <c r="C2054" s="37" t="n"/>
      <c r="D2054" s="39" t="str">
        <f>IF(C2054="","",IFERROR(INDEX(art_des,MATCH(C2054,art_ref,0))&amp;"","Référence inconnue"))</f>
        <v/>
      </c>
      <c r="E2054" s="37" t="n"/>
      <c r="F2054" s="39" t="str">
        <f>IF(C2054="","",IFERROR(INDEX(art_unit,MATCH(C2054,art_ref,0))&amp;"",""))</f>
        <v/>
      </c>
      <c r="G2054" s="37" t="n"/>
      <c r="H2054" s="37" t="n"/>
      <c r="I2054" s="37" t="n"/>
      <c r="J2054" s="40" t="str">
        <f>IF(OR(C2054="",NOT(ISNUMBER(E2054))),"",IFERROR(E2054*N(INDEX(art_price,MATCH(C2054,art_ref,0))),""))</f>
        <v/>
      </c>
      <c r="K2054" s="39" t="str">
        <f>IF(OR(C2054="",NOT(ISNUMBER(E2054))),"",IFERROR(ROUND(N(INDEX(art_init,MATCH(C2054,art_ref,0)))+SUMIFS($E$5:E2054,$C$5:C2054,C2054,$B$5:B2054,"Entrée")-SUMIFS($E$5:E2054,$C$5:C2054,C2054,$B$5:B2054,"Sortie"),6),""))</f>
        <v/>
      </c>
      <c r="L2054" s="39" t="str">
        <f>IF(COUNTA(A2054:C2054,E2054)=0,"",IF(COUNTA(A2054:C2054,E2054)&lt;4,"Ligne incomplète",IF(NOT(ISNUMBER(A2054)),"Date invalide",IF(AND(B2054&lt;&gt;"Entrée",B2054&lt;&gt;"Sortie"),"Type inconnu",IF(ISNA(MATCH(C2054,art_ref,0)),"Référence inconnue",IF(OR(NOT(ISNUMBER(E2054)),N(E2054)&lt;=0),"Quantité invalide",IF(K2054&lt;0,"Stock négatif",IF(AND(ISNUMBER(A2053),A2054&lt;A2053),"Date hors ordre","OK"))))))))</f>
        <v/>
      </c>
      <c r="M2054" s="39" t="str">
        <f>IF(C2054="","",C2054&amp;"#"&amp;COUNTIF($C$5:C2054,C2054))</f>
        <v/>
      </c>
    </row>
    <row r="2055">
      <c r="A2055" s="41" t="n"/>
      <c r="B2055" s="37" t="n"/>
      <c r="C2055" s="37" t="n"/>
      <c r="D2055" s="39" t="str">
        <f>IF(C2055="","",IFERROR(INDEX(art_des,MATCH(C2055,art_ref,0))&amp;"","Référence inconnue"))</f>
        <v/>
      </c>
      <c r="E2055" s="37" t="n"/>
      <c r="F2055" s="39" t="str">
        <f>IF(C2055="","",IFERROR(INDEX(art_unit,MATCH(C2055,art_ref,0))&amp;"",""))</f>
        <v/>
      </c>
      <c r="G2055" s="37" t="n"/>
      <c r="H2055" s="37" t="n"/>
      <c r="I2055" s="37" t="n"/>
      <c r="J2055" s="40" t="str">
        <f>IF(OR(C2055="",NOT(ISNUMBER(E2055))),"",IFERROR(E2055*N(INDEX(art_price,MATCH(C2055,art_ref,0))),""))</f>
        <v/>
      </c>
      <c r="K2055" s="39" t="str">
        <f>IF(OR(C2055="",NOT(ISNUMBER(E2055))),"",IFERROR(ROUND(N(INDEX(art_init,MATCH(C2055,art_ref,0)))+SUMIFS($E$5:E2055,$C$5:C2055,C2055,$B$5:B2055,"Entrée")-SUMIFS($E$5:E2055,$C$5:C2055,C2055,$B$5:B2055,"Sortie"),6),""))</f>
        <v/>
      </c>
      <c r="L2055" s="39" t="str">
        <f>IF(COUNTA(A2055:C2055,E2055)=0,"",IF(COUNTA(A2055:C2055,E2055)&lt;4,"Ligne incomplète",IF(NOT(ISNUMBER(A2055)),"Date invalide",IF(AND(B2055&lt;&gt;"Entrée",B2055&lt;&gt;"Sortie"),"Type inconnu",IF(ISNA(MATCH(C2055,art_ref,0)),"Référence inconnue",IF(OR(NOT(ISNUMBER(E2055)),N(E2055)&lt;=0),"Quantité invalide",IF(K2055&lt;0,"Stock négatif",IF(AND(ISNUMBER(A2054),A2055&lt;A2054),"Date hors ordre","OK"))))))))</f>
        <v/>
      </c>
      <c r="M2055" s="39" t="str">
        <f>IF(C2055="","",C2055&amp;"#"&amp;COUNTIF($C$5:C2055,C2055))</f>
        <v/>
      </c>
    </row>
    <row r="2056">
      <c r="A2056" s="41" t="n"/>
      <c r="B2056" s="37" t="n"/>
      <c r="C2056" s="37" t="n"/>
      <c r="D2056" s="39" t="str">
        <f>IF(C2056="","",IFERROR(INDEX(art_des,MATCH(C2056,art_ref,0))&amp;"","Référence inconnue"))</f>
        <v/>
      </c>
      <c r="E2056" s="37" t="n"/>
      <c r="F2056" s="39" t="str">
        <f>IF(C2056="","",IFERROR(INDEX(art_unit,MATCH(C2056,art_ref,0))&amp;"",""))</f>
        <v/>
      </c>
      <c r="G2056" s="37" t="n"/>
      <c r="H2056" s="37" t="n"/>
      <c r="I2056" s="37" t="n"/>
      <c r="J2056" s="40" t="str">
        <f>IF(OR(C2056="",NOT(ISNUMBER(E2056))),"",IFERROR(E2056*N(INDEX(art_price,MATCH(C2056,art_ref,0))),""))</f>
        <v/>
      </c>
      <c r="K2056" s="39" t="str">
        <f>IF(OR(C2056="",NOT(ISNUMBER(E2056))),"",IFERROR(ROUND(N(INDEX(art_init,MATCH(C2056,art_ref,0)))+SUMIFS($E$5:E2056,$C$5:C2056,C2056,$B$5:B2056,"Entrée")-SUMIFS($E$5:E2056,$C$5:C2056,C2056,$B$5:B2056,"Sortie"),6),""))</f>
        <v/>
      </c>
      <c r="L2056" s="39" t="str">
        <f>IF(COUNTA(A2056:C2056,E2056)=0,"",IF(COUNTA(A2056:C2056,E2056)&lt;4,"Ligne incomplète",IF(NOT(ISNUMBER(A2056)),"Date invalide",IF(AND(B2056&lt;&gt;"Entrée",B2056&lt;&gt;"Sortie"),"Type inconnu",IF(ISNA(MATCH(C2056,art_ref,0)),"Référence inconnue",IF(OR(NOT(ISNUMBER(E2056)),N(E2056)&lt;=0),"Quantité invalide",IF(K2056&lt;0,"Stock négatif",IF(AND(ISNUMBER(A2055),A2056&lt;A2055),"Date hors ordre","OK"))))))))</f>
        <v/>
      </c>
      <c r="M2056" s="39" t="str">
        <f>IF(C2056="","",C2056&amp;"#"&amp;COUNTIF($C$5:C2056,C2056))</f>
        <v/>
      </c>
    </row>
    <row r="2057">
      <c r="A2057" s="41" t="n"/>
      <c r="B2057" s="37" t="n"/>
      <c r="C2057" s="37" t="n"/>
      <c r="D2057" s="39" t="str">
        <f>IF(C2057="","",IFERROR(INDEX(art_des,MATCH(C2057,art_ref,0))&amp;"","Référence inconnue"))</f>
        <v/>
      </c>
      <c r="E2057" s="37" t="n"/>
      <c r="F2057" s="39" t="str">
        <f>IF(C2057="","",IFERROR(INDEX(art_unit,MATCH(C2057,art_ref,0))&amp;"",""))</f>
        <v/>
      </c>
      <c r="G2057" s="37" t="n"/>
      <c r="H2057" s="37" t="n"/>
      <c r="I2057" s="37" t="n"/>
      <c r="J2057" s="40" t="str">
        <f>IF(OR(C2057="",NOT(ISNUMBER(E2057))),"",IFERROR(E2057*N(INDEX(art_price,MATCH(C2057,art_ref,0))),""))</f>
        <v/>
      </c>
      <c r="K2057" s="39" t="str">
        <f>IF(OR(C2057="",NOT(ISNUMBER(E2057))),"",IFERROR(ROUND(N(INDEX(art_init,MATCH(C2057,art_ref,0)))+SUMIFS($E$5:E2057,$C$5:C2057,C2057,$B$5:B2057,"Entrée")-SUMIFS($E$5:E2057,$C$5:C2057,C2057,$B$5:B2057,"Sortie"),6),""))</f>
        <v/>
      </c>
      <c r="L2057" s="39" t="str">
        <f>IF(COUNTA(A2057:C2057,E2057)=0,"",IF(COUNTA(A2057:C2057,E2057)&lt;4,"Ligne incomplète",IF(NOT(ISNUMBER(A2057)),"Date invalide",IF(AND(B2057&lt;&gt;"Entrée",B2057&lt;&gt;"Sortie"),"Type inconnu",IF(ISNA(MATCH(C2057,art_ref,0)),"Référence inconnue",IF(OR(NOT(ISNUMBER(E2057)),N(E2057)&lt;=0),"Quantité invalide",IF(K2057&lt;0,"Stock négatif",IF(AND(ISNUMBER(A2056),A2057&lt;A2056),"Date hors ordre","OK"))))))))</f>
        <v/>
      </c>
      <c r="M2057" s="39" t="str">
        <f>IF(C2057="","",C2057&amp;"#"&amp;COUNTIF($C$5:C2057,C2057))</f>
        <v/>
      </c>
    </row>
    <row r="2058">
      <c r="A2058" s="41" t="n"/>
      <c r="B2058" s="37" t="n"/>
      <c r="C2058" s="37" t="n"/>
      <c r="D2058" s="39" t="str">
        <f>IF(C2058="","",IFERROR(INDEX(art_des,MATCH(C2058,art_ref,0))&amp;"","Référence inconnue"))</f>
        <v/>
      </c>
      <c r="E2058" s="37" t="n"/>
      <c r="F2058" s="39" t="str">
        <f>IF(C2058="","",IFERROR(INDEX(art_unit,MATCH(C2058,art_ref,0))&amp;"",""))</f>
        <v/>
      </c>
      <c r="G2058" s="37" t="n"/>
      <c r="H2058" s="37" t="n"/>
      <c r="I2058" s="37" t="n"/>
      <c r="J2058" s="40" t="str">
        <f>IF(OR(C2058="",NOT(ISNUMBER(E2058))),"",IFERROR(E2058*N(INDEX(art_price,MATCH(C2058,art_ref,0))),""))</f>
        <v/>
      </c>
      <c r="K2058" s="39" t="str">
        <f>IF(OR(C2058="",NOT(ISNUMBER(E2058))),"",IFERROR(ROUND(N(INDEX(art_init,MATCH(C2058,art_ref,0)))+SUMIFS($E$5:E2058,$C$5:C2058,C2058,$B$5:B2058,"Entrée")-SUMIFS($E$5:E2058,$C$5:C2058,C2058,$B$5:B2058,"Sortie"),6),""))</f>
        <v/>
      </c>
      <c r="L2058" s="39" t="str">
        <f>IF(COUNTA(A2058:C2058,E2058)=0,"",IF(COUNTA(A2058:C2058,E2058)&lt;4,"Ligne incomplète",IF(NOT(ISNUMBER(A2058)),"Date invalide",IF(AND(B2058&lt;&gt;"Entrée",B2058&lt;&gt;"Sortie"),"Type inconnu",IF(ISNA(MATCH(C2058,art_ref,0)),"Référence inconnue",IF(OR(NOT(ISNUMBER(E2058)),N(E2058)&lt;=0),"Quantité invalide",IF(K2058&lt;0,"Stock négatif",IF(AND(ISNUMBER(A2057),A2058&lt;A2057),"Date hors ordre","OK"))))))))</f>
        <v/>
      </c>
      <c r="M2058" s="39" t="str">
        <f>IF(C2058="","",C2058&amp;"#"&amp;COUNTIF($C$5:C2058,C2058))</f>
        <v/>
      </c>
    </row>
    <row r="2059">
      <c r="A2059" s="41" t="n"/>
      <c r="B2059" s="37" t="n"/>
      <c r="C2059" s="37" t="n"/>
      <c r="D2059" s="39" t="str">
        <f>IF(C2059="","",IFERROR(INDEX(art_des,MATCH(C2059,art_ref,0))&amp;"","Référence inconnue"))</f>
        <v/>
      </c>
      <c r="E2059" s="37" t="n"/>
      <c r="F2059" s="39" t="str">
        <f>IF(C2059="","",IFERROR(INDEX(art_unit,MATCH(C2059,art_ref,0))&amp;"",""))</f>
        <v/>
      </c>
      <c r="G2059" s="37" t="n"/>
      <c r="H2059" s="37" t="n"/>
      <c r="I2059" s="37" t="n"/>
      <c r="J2059" s="40" t="str">
        <f>IF(OR(C2059="",NOT(ISNUMBER(E2059))),"",IFERROR(E2059*N(INDEX(art_price,MATCH(C2059,art_ref,0))),""))</f>
        <v/>
      </c>
      <c r="K2059" s="39" t="str">
        <f>IF(OR(C2059="",NOT(ISNUMBER(E2059))),"",IFERROR(ROUND(N(INDEX(art_init,MATCH(C2059,art_ref,0)))+SUMIFS($E$5:E2059,$C$5:C2059,C2059,$B$5:B2059,"Entrée")-SUMIFS($E$5:E2059,$C$5:C2059,C2059,$B$5:B2059,"Sortie"),6),""))</f>
        <v/>
      </c>
      <c r="L2059" s="39" t="str">
        <f>IF(COUNTA(A2059:C2059,E2059)=0,"",IF(COUNTA(A2059:C2059,E2059)&lt;4,"Ligne incomplète",IF(NOT(ISNUMBER(A2059)),"Date invalide",IF(AND(B2059&lt;&gt;"Entrée",B2059&lt;&gt;"Sortie"),"Type inconnu",IF(ISNA(MATCH(C2059,art_ref,0)),"Référence inconnue",IF(OR(NOT(ISNUMBER(E2059)),N(E2059)&lt;=0),"Quantité invalide",IF(K2059&lt;0,"Stock négatif",IF(AND(ISNUMBER(A2058),A2059&lt;A2058),"Date hors ordre","OK"))))))))</f>
        <v/>
      </c>
      <c r="M2059" s="39" t="str">
        <f>IF(C2059="","",C2059&amp;"#"&amp;COUNTIF($C$5:C2059,C2059))</f>
        <v/>
      </c>
    </row>
    <row r="2060">
      <c r="A2060" s="41" t="n"/>
      <c r="B2060" s="37" t="n"/>
      <c r="C2060" s="37" t="n"/>
      <c r="D2060" s="39" t="str">
        <f>IF(C2060="","",IFERROR(INDEX(art_des,MATCH(C2060,art_ref,0))&amp;"","Référence inconnue"))</f>
        <v/>
      </c>
      <c r="E2060" s="37" t="n"/>
      <c r="F2060" s="39" t="str">
        <f>IF(C2060="","",IFERROR(INDEX(art_unit,MATCH(C2060,art_ref,0))&amp;"",""))</f>
        <v/>
      </c>
      <c r="G2060" s="37" t="n"/>
      <c r="H2060" s="37" t="n"/>
      <c r="I2060" s="37" t="n"/>
      <c r="J2060" s="40" t="str">
        <f>IF(OR(C2060="",NOT(ISNUMBER(E2060))),"",IFERROR(E2060*N(INDEX(art_price,MATCH(C2060,art_ref,0))),""))</f>
        <v/>
      </c>
      <c r="K2060" s="39" t="str">
        <f>IF(OR(C2060="",NOT(ISNUMBER(E2060))),"",IFERROR(ROUND(N(INDEX(art_init,MATCH(C2060,art_ref,0)))+SUMIFS($E$5:E2060,$C$5:C2060,C2060,$B$5:B2060,"Entrée")-SUMIFS($E$5:E2060,$C$5:C2060,C2060,$B$5:B2060,"Sortie"),6),""))</f>
        <v/>
      </c>
      <c r="L2060" s="39" t="str">
        <f>IF(COUNTA(A2060:C2060,E2060)=0,"",IF(COUNTA(A2060:C2060,E2060)&lt;4,"Ligne incomplète",IF(NOT(ISNUMBER(A2060)),"Date invalide",IF(AND(B2060&lt;&gt;"Entrée",B2060&lt;&gt;"Sortie"),"Type inconnu",IF(ISNA(MATCH(C2060,art_ref,0)),"Référence inconnue",IF(OR(NOT(ISNUMBER(E2060)),N(E2060)&lt;=0),"Quantité invalide",IF(K2060&lt;0,"Stock négatif",IF(AND(ISNUMBER(A2059),A2060&lt;A2059),"Date hors ordre","OK"))))))))</f>
        <v/>
      </c>
      <c r="M2060" s="39" t="str">
        <f>IF(C2060="","",C2060&amp;"#"&amp;COUNTIF($C$5:C2060,C2060))</f>
        <v/>
      </c>
    </row>
    <row r="2061">
      <c r="A2061" s="41" t="n"/>
      <c r="B2061" s="37" t="n"/>
      <c r="C2061" s="37" t="n"/>
      <c r="D2061" s="39" t="str">
        <f>IF(C2061="","",IFERROR(INDEX(art_des,MATCH(C2061,art_ref,0))&amp;"","Référence inconnue"))</f>
        <v/>
      </c>
      <c r="E2061" s="37" t="n"/>
      <c r="F2061" s="39" t="str">
        <f>IF(C2061="","",IFERROR(INDEX(art_unit,MATCH(C2061,art_ref,0))&amp;"",""))</f>
        <v/>
      </c>
      <c r="G2061" s="37" t="n"/>
      <c r="H2061" s="37" t="n"/>
      <c r="I2061" s="37" t="n"/>
      <c r="J2061" s="40" t="str">
        <f>IF(OR(C2061="",NOT(ISNUMBER(E2061))),"",IFERROR(E2061*N(INDEX(art_price,MATCH(C2061,art_ref,0))),""))</f>
        <v/>
      </c>
      <c r="K2061" s="39" t="str">
        <f>IF(OR(C2061="",NOT(ISNUMBER(E2061))),"",IFERROR(ROUND(N(INDEX(art_init,MATCH(C2061,art_ref,0)))+SUMIFS($E$5:E2061,$C$5:C2061,C2061,$B$5:B2061,"Entrée")-SUMIFS($E$5:E2061,$C$5:C2061,C2061,$B$5:B2061,"Sortie"),6),""))</f>
        <v/>
      </c>
      <c r="L2061" s="39" t="str">
        <f>IF(COUNTA(A2061:C2061,E2061)=0,"",IF(COUNTA(A2061:C2061,E2061)&lt;4,"Ligne incomplète",IF(NOT(ISNUMBER(A2061)),"Date invalide",IF(AND(B2061&lt;&gt;"Entrée",B2061&lt;&gt;"Sortie"),"Type inconnu",IF(ISNA(MATCH(C2061,art_ref,0)),"Référence inconnue",IF(OR(NOT(ISNUMBER(E2061)),N(E2061)&lt;=0),"Quantité invalide",IF(K2061&lt;0,"Stock négatif",IF(AND(ISNUMBER(A2060),A2061&lt;A2060),"Date hors ordre","OK"))))))))</f>
        <v/>
      </c>
      <c r="M2061" s="39" t="str">
        <f>IF(C2061="","",C2061&amp;"#"&amp;COUNTIF($C$5:C2061,C2061))</f>
        <v/>
      </c>
    </row>
    <row r="2062">
      <c r="A2062" s="41" t="n"/>
      <c r="B2062" s="37" t="n"/>
      <c r="C2062" s="37" t="n"/>
      <c r="D2062" s="39" t="str">
        <f>IF(C2062="","",IFERROR(INDEX(art_des,MATCH(C2062,art_ref,0))&amp;"","Référence inconnue"))</f>
        <v/>
      </c>
      <c r="E2062" s="37" t="n"/>
      <c r="F2062" s="39" t="str">
        <f>IF(C2062="","",IFERROR(INDEX(art_unit,MATCH(C2062,art_ref,0))&amp;"",""))</f>
        <v/>
      </c>
      <c r="G2062" s="37" t="n"/>
      <c r="H2062" s="37" t="n"/>
      <c r="I2062" s="37" t="n"/>
      <c r="J2062" s="40" t="str">
        <f>IF(OR(C2062="",NOT(ISNUMBER(E2062))),"",IFERROR(E2062*N(INDEX(art_price,MATCH(C2062,art_ref,0))),""))</f>
        <v/>
      </c>
      <c r="K2062" s="39" t="str">
        <f>IF(OR(C2062="",NOT(ISNUMBER(E2062))),"",IFERROR(ROUND(N(INDEX(art_init,MATCH(C2062,art_ref,0)))+SUMIFS($E$5:E2062,$C$5:C2062,C2062,$B$5:B2062,"Entrée")-SUMIFS($E$5:E2062,$C$5:C2062,C2062,$B$5:B2062,"Sortie"),6),""))</f>
        <v/>
      </c>
      <c r="L2062" s="39" t="str">
        <f>IF(COUNTA(A2062:C2062,E2062)=0,"",IF(COUNTA(A2062:C2062,E2062)&lt;4,"Ligne incomplète",IF(NOT(ISNUMBER(A2062)),"Date invalide",IF(AND(B2062&lt;&gt;"Entrée",B2062&lt;&gt;"Sortie"),"Type inconnu",IF(ISNA(MATCH(C2062,art_ref,0)),"Référence inconnue",IF(OR(NOT(ISNUMBER(E2062)),N(E2062)&lt;=0),"Quantité invalide",IF(K2062&lt;0,"Stock négatif",IF(AND(ISNUMBER(A2061),A2062&lt;A2061),"Date hors ordre","OK"))))))))</f>
        <v/>
      </c>
      <c r="M2062" s="39" t="str">
        <f>IF(C2062="","",C2062&amp;"#"&amp;COUNTIF($C$5:C2062,C2062))</f>
        <v/>
      </c>
    </row>
    <row r="2063">
      <c r="A2063" s="41" t="n"/>
      <c r="B2063" s="37" t="n"/>
      <c r="C2063" s="37" t="n"/>
      <c r="D2063" s="39" t="str">
        <f>IF(C2063="","",IFERROR(INDEX(art_des,MATCH(C2063,art_ref,0))&amp;"","Référence inconnue"))</f>
        <v/>
      </c>
      <c r="E2063" s="37" t="n"/>
      <c r="F2063" s="39" t="str">
        <f>IF(C2063="","",IFERROR(INDEX(art_unit,MATCH(C2063,art_ref,0))&amp;"",""))</f>
        <v/>
      </c>
      <c r="G2063" s="37" t="n"/>
      <c r="H2063" s="37" t="n"/>
      <c r="I2063" s="37" t="n"/>
      <c r="J2063" s="40" t="str">
        <f>IF(OR(C2063="",NOT(ISNUMBER(E2063))),"",IFERROR(E2063*N(INDEX(art_price,MATCH(C2063,art_ref,0))),""))</f>
        <v/>
      </c>
      <c r="K2063" s="39" t="str">
        <f>IF(OR(C2063="",NOT(ISNUMBER(E2063))),"",IFERROR(ROUND(N(INDEX(art_init,MATCH(C2063,art_ref,0)))+SUMIFS($E$5:E2063,$C$5:C2063,C2063,$B$5:B2063,"Entrée")-SUMIFS($E$5:E2063,$C$5:C2063,C2063,$B$5:B2063,"Sortie"),6),""))</f>
        <v/>
      </c>
      <c r="L2063" s="39" t="str">
        <f>IF(COUNTA(A2063:C2063,E2063)=0,"",IF(COUNTA(A2063:C2063,E2063)&lt;4,"Ligne incomplète",IF(NOT(ISNUMBER(A2063)),"Date invalide",IF(AND(B2063&lt;&gt;"Entrée",B2063&lt;&gt;"Sortie"),"Type inconnu",IF(ISNA(MATCH(C2063,art_ref,0)),"Référence inconnue",IF(OR(NOT(ISNUMBER(E2063)),N(E2063)&lt;=0),"Quantité invalide",IF(K2063&lt;0,"Stock négatif",IF(AND(ISNUMBER(A2062),A2063&lt;A2062),"Date hors ordre","OK"))))))))</f>
        <v/>
      </c>
      <c r="M2063" s="39" t="str">
        <f>IF(C2063="","",C2063&amp;"#"&amp;COUNTIF($C$5:C2063,C2063))</f>
        <v/>
      </c>
    </row>
    <row r="2064">
      <c r="A2064" s="41" t="n"/>
      <c r="B2064" s="37" t="n"/>
      <c r="C2064" s="37" t="n"/>
      <c r="D2064" s="39" t="str">
        <f>IF(C2064="","",IFERROR(INDEX(art_des,MATCH(C2064,art_ref,0))&amp;"","Référence inconnue"))</f>
        <v/>
      </c>
      <c r="E2064" s="37" t="n"/>
      <c r="F2064" s="39" t="str">
        <f>IF(C2064="","",IFERROR(INDEX(art_unit,MATCH(C2064,art_ref,0))&amp;"",""))</f>
        <v/>
      </c>
      <c r="G2064" s="37" t="n"/>
      <c r="H2064" s="37" t="n"/>
      <c r="I2064" s="37" t="n"/>
      <c r="J2064" s="40" t="str">
        <f>IF(OR(C2064="",NOT(ISNUMBER(E2064))),"",IFERROR(E2064*N(INDEX(art_price,MATCH(C2064,art_ref,0))),""))</f>
        <v/>
      </c>
      <c r="K2064" s="39" t="str">
        <f>IF(OR(C2064="",NOT(ISNUMBER(E2064))),"",IFERROR(ROUND(N(INDEX(art_init,MATCH(C2064,art_ref,0)))+SUMIFS($E$5:E2064,$C$5:C2064,C2064,$B$5:B2064,"Entrée")-SUMIFS($E$5:E2064,$C$5:C2064,C2064,$B$5:B2064,"Sortie"),6),""))</f>
        <v/>
      </c>
      <c r="L2064" s="39" t="str">
        <f>IF(COUNTA(A2064:C2064,E2064)=0,"",IF(COUNTA(A2064:C2064,E2064)&lt;4,"Ligne incomplète",IF(NOT(ISNUMBER(A2064)),"Date invalide",IF(AND(B2064&lt;&gt;"Entrée",B2064&lt;&gt;"Sortie"),"Type inconnu",IF(ISNA(MATCH(C2064,art_ref,0)),"Référence inconnue",IF(OR(NOT(ISNUMBER(E2064)),N(E2064)&lt;=0),"Quantité invalide",IF(K2064&lt;0,"Stock négatif",IF(AND(ISNUMBER(A2063),A2064&lt;A2063),"Date hors ordre","OK"))))))))</f>
        <v/>
      </c>
      <c r="M2064" s="39" t="str">
        <f>IF(C2064="","",C2064&amp;"#"&amp;COUNTIF($C$5:C2064,C2064))</f>
        <v/>
      </c>
    </row>
    <row r="2065">
      <c r="A2065" s="41" t="n"/>
      <c r="B2065" s="37" t="n"/>
      <c r="C2065" s="37" t="n"/>
      <c r="D2065" s="39" t="str">
        <f>IF(C2065="","",IFERROR(INDEX(art_des,MATCH(C2065,art_ref,0))&amp;"","Référence inconnue"))</f>
        <v/>
      </c>
      <c r="E2065" s="37" t="n"/>
      <c r="F2065" s="39" t="str">
        <f>IF(C2065="","",IFERROR(INDEX(art_unit,MATCH(C2065,art_ref,0))&amp;"",""))</f>
        <v/>
      </c>
      <c r="G2065" s="37" t="n"/>
      <c r="H2065" s="37" t="n"/>
      <c r="I2065" s="37" t="n"/>
      <c r="J2065" s="40" t="str">
        <f>IF(OR(C2065="",NOT(ISNUMBER(E2065))),"",IFERROR(E2065*N(INDEX(art_price,MATCH(C2065,art_ref,0))),""))</f>
        <v/>
      </c>
      <c r="K2065" s="39" t="str">
        <f>IF(OR(C2065="",NOT(ISNUMBER(E2065))),"",IFERROR(ROUND(N(INDEX(art_init,MATCH(C2065,art_ref,0)))+SUMIFS($E$5:E2065,$C$5:C2065,C2065,$B$5:B2065,"Entrée")-SUMIFS($E$5:E2065,$C$5:C2065,C2065,$B$5:B2065,"Sortie"),6),""))</f>
        <v/>
      </c>
      <c r="L2065" s="39" t="str">
        <f>IF(COUNTA(A2065:C2065,E2065)=0,"",IF(COUNTA(A2065:C2065,E2065)&lt;4,"Ligne incomplète",IF(NOT(ISNUMBER(A2065)),"Date invalide",IF(AND(B2065&lt;&gt;"Entrée",B2065&lt;&gt;"Sortie"),"Type inconnu",IF(ISNA(MATCH(C2065,art_ref,0)),"Référence inconnue",IF(OR(NOT(ISNUMBER(E2065)),N(E2065)&lt;=0),"Quantité invalide",IF(K2065&lt;0,"Stock négatif",IF(AND(ISNUMBER(A2064),A2065&lt;A2064),"Date hors ordre","OK"))))))))</f>
        <v/>
      </c>
      <c r="M2065" s="39" t="str">
        <f>IF(C2065="","",C2065&amp;"#"&amp;COUNTIF($C$5:C2065,C2065))</f>
        <v/>
      </c>
    </row>
    <row r="2066">
      <c r="A2066" s="41" t="n"/>
      <c r="B2066" s="37" t="n"/>
      <c r="C2066" s="37" t="n"/>
      <c r="D2066" s="39" t="str">
        <f>IF(C2066="","",IFERROR(INDEX(art_des,MATCH(C2066,art_ref,0))&amp;"","Référence inconnue"))</f>
        <v/>
      </c>
      <c r="E2066" s="37" t="n"/>
      <c r="F2066" s="39" t="str">
        <f>IF(C2066="","",IFERROR(INDEX(art_unit,MATCH(C2066,art_ref,0))&amp;"",""))</f>
        <v/>
      </c>
      <c r="G2066" s="37" t="n"/>
      <c r="H2066" s="37" t="n"/>
      <c r="I2066" s="37" t="n"/>
      <c r="J2066" s="40" t="str">
        <f>IF(OR(C2066="",NOT(ISNUMBER(E2066))),"",IFERROR(E2066*N(INDEX(art_price,MATCH(C2066,art_ref,0))),""))</f>
        <v/>
      </c>
      <c r="K2066" s="39" t="str">
        <f>IF(OR(C2066="",NOT(ISNUMBER(E2066))),"",IFERROR(ROUND(N(INDEX(art_init,MATCH(C2066,art_ref,0)))+SUMIFS($E$5:E2066,$C$5:C2066,C2066,$B$5:B2066,"Entrée")-SUMIFS($E$5:E2066,$C$5:C2066,C2066,$B$5:B2066,"Sortie"),6),""))</f>
        <v/>
      </c>
      <c r="L2066" s="39" t="str">
        <f>IF(COUNTA(A2066:C2066,E2066)=0,"",IF(COUNTA(A2066:C2066,E2066)&lt;4,"Ligne incomplète",IF(NOT(ISNUMBER(A2066)),"Date invalide",IF(AND(B2066&lt;&gt;"Entrée",B2066&lt;&gt;"Sortie"),"Type inconnu",IF(ISNA(MATCH(C2066,art_ref,0)),"Référence inconnue",IF(OR(NOT(ISNUMBER(E2066)),N(E2066)&lt;=0),"Quantité invalide",IF(K2066&lt;0,"Stock négatif",IF(AND(ISNUMBER(A2065),A2066&lt;A2065),"Date hors ordre","OK"))))))))</f>
        <v/>
      </c>
      <c r="M2066" s="39" t="str">
        <f>IF(C2066="","",C2066&amp;"#"&amp;COUNTIF($C$5:C2066,C2066))</f>
        <v/>
      </c>
    </row>
    <row r="2067">
      <c r="A2067" s="41" t="n"/>
      <c r="B2067" s="37" t="n"/>
      <c r="C2067" s="37" t="n"/>
      <c r="D2067" s="39" t="str">
        <f>IF(C2067="","",IFERROR(INDEX(art_des,MATCH(C2067,art_ref,0))&amp;"","Référence inconnue"))</f>
        <v/>
      </c>
      <c r="E2067" s="37" t="n"/>
      <c r="F2067" s="39" t="str">
        <f>IF(C2067="","",IFERROR(INDEX(art_unit,MATCH(C2067,art_ref,0))&amp;"",""))</f>
        <v/>
      </c>
      <c r="G2067" s="37" t="n"/>
      <c r="H2067" s="37" t="n"/>
      <c r="I2067" s="37" t="n"/>
      <c r="J2067" s="40" t="str">
        <f>IF(OR(C2067="",NOT(ISNUMBER(E2067))),"",IFERROR(E2067*N(INDEX(art_price,MATCH(C2067,art_ref,0))),""))</f>
        <v/>
      </c>
      <c r="K2067" s="39" t="str">
        <f>IF(OR(C2067="",NOT(ISNUMBER(E2067))),"",IFERROR(ROUND(N(INDEX(art_init,MATCH(C2067,art_ref,0)))+SUMIFS($E$5:E2067,$C$5:C2067,C2067,$B$5:B2067,"Entrée")-SUMIFS($E$5:E2067,$C$5:C2067,C2067,$B$5:B2067,"Sortie"),6),""))</f>
        <v/>
      </c>
      <c r="L2067" s="39" t="str">
        <f>IF(COUNTA(A2067:C2067,E2067)=0,"",IF(COUNTA(A2067:C2067,E2067)&lt;4,"Ligne incomplète",IF(NOT(ISNUMBER(A2067)),"Date invalide",IF(AND(B2067&lt;&gt;"Entrée",B2067&lt;&gt;"Sortie"),"Type inconnu",IF(ISNA(MATCH(C2067,art_ref,0)),"Référence inconnue",IF(OR(NOT(ISNUMBER(E2067)),N(E2067)&lt;=0),"Quantité invalide",IF(K2067&lt;0,"Stock négatif",IF(AND(ISNUMBER(A2066),A2067&lt;A2066),"Date hors ordre","OK"))))))))</f>
        <v/>
      </c>
      <c r="M2067" s="39" t="str">
        <f>IF(C2067="","",C2067&amp;"#"&amp;COUNTIF($C$5:C2067,C2067))</f>
        <v/>
      </c>
    </row>
    <row r="2068">
      <c r="A2068" s="41" t="n"/>
      <c r="B2068" s="37" t="n"/>
      <c r="C2068" s="37" t="n"/>
      <c r="D2068" s="39" t="str">
        <f>IF(C2068="","",IFERROR(INDEX(art_des,MATCH(C2068,art_ref,0))&amp;"","Référence inconnue"))</f>
        <v/>
      </c>
      <c r="E2068" s="37" t="n"/>
      <c r="F2068" s="39" t="str">
        <f>IF(C2068="","",IFERROR(INDEX(art_unit,MATCH(C2068,art_ref,0))&amp;"",""))</f>
        <v/>
      </c>
      <c r="G2068" s="37" t="n"/>
      <c r="H2068" s="37" t="n"/>
      <c r="I2068" s="37" t="n"/>
      <c r="J2068" s="40" t="str">
        <f>IF(OR(C2068="",NOT(ISNUMBER(E2068))),"",IFERROR(E2068*N(INDEX(art_price,MATCH(C2068,art_ref,0))),""))</f>
        <v/>
      </c>
      <c r="K2068" s="39" t="str">
        <f>IF(OR(C2068="",NOT(ISNUMBER(E2068))),"",IFERROR(ROUND(N(INDEX(art_init,MATCH(C2068,art_ref,0)))+SUMIFS($E$5:E2068,$C$5:C2068,C2068,$B$5:B2068,"Entrée")-SUMIFS($E$5:E2068,$C$5:C2068,C2068,$B$5:B2068,"Sortie"),6),""))</f>
        <v/>
      </c>
      <c r="L2068" s="39" t="str">
        <f>IF(COUNTA(A2068:C2068,E2068)=0,"",IF(COUNTA(A2068:C2068,E2068)&lt;4,"Ligne incomplète",IF(NOT(ISNUMBER(A2068)),"Date invalide",IF(AND(B2068&lt;&gt;"Entrée",B2068&lt;&gt;"Sortie"),"Type inconnu",IF(ISNA(MATCH(C2068,art_ref,0)),"Référence inconnue",IF(OR(NOT(ISNUMBER(E2068)),N(E2068)&lt;=0),"Quantité invalide",IF(K2068&lt;0,"Stock négatif",IF(AND(ISNUMBER(A2067),A2068&lt;A2067),"Date hors ordre","OK"))))))))</f>
        <v/>
      </c>
      <c r="M2068" s="39" t="str">
        <f>IF(C2068="","",C2068&amp;"#"&amp;COUNTIF($C$5:C2068,C2068))</f>
        <v/>
      </c>
    </row>
    <row r="2069">
      <c r="A2069" s="41" t="n"/>
      <c r="B2069" s="37" t="n"/>
      <c r="C2069" s="37" t="n"/>
      <c r="D2069" s="39" t="str">
        <f>IF(C2069="","",IFERROR(INDEX(art_des,MATCH(C2069,art_ref,0))&amp;"","Référence inconnue"))</f>
        <v/>
      </c>
      <c r="E2069" s="37" t="n"/>
      <c r="F2069" s="39" t="str">
        <f>IF(C2069="","",IFERROR(INDEX(art_unit,MATCH(C2069,art_ref,0))&amp;"",""))</f>
        <v/>
      </c>
      <c r="G2069" s="37" t="n"/>
      <c r="H2069" s="37" t="n"/>
      <c r="I2069" s="37" t="n"/>
      <c r="J2069" s="40" t="str">
        <f>IF(OR(C2069="",NOT(ISNUMBER(E2069))),"",IFERROR(E2069*N(INDEX(art_price,MATCH(C2069,art_ref,0))),""))</f>
        <v/>
      </c>
      <c r="K2069" s="39" t="str">
        <f>IF(OR(C2069="",NOT(ISNUMBER(E2069))),"",IFERROR(ROUND(N(INDEX(art_init,MATCH(C2069,art_ref,0)))+SUMIFS($E$5:E2069,$C$5:C2069,C2069,$B$5:B2069,"Entrée")-SUMIFS($E$5:E2069,$C$5:C2069,C2069,$B$5:B2069,"Sortie"),6),""))</f>
        <v/>
      </c>
      <c r="L2069" s="39" t="str">
        <f>IF(COUNTA(A2069:C2069,E2069)=0,"",IF(COUNTA(A2069:C2069,E2069)&lt;4,"Ligne incomplète",IF(NOT(ISNUMBER(A2069)),"Date invalide",IF(AND(B2069&lt;&gt;"Entrée",B2069&lt;&gt;"Sortie"),"Type inconnu",IF(ISNA(MATCH(C2069,art_ref,0)),"Référence inconnue",IF(OR(NOT(ISNUMBER(E2069)),N(E2069)&lt;=0),"Quantité invalide",IF(K2069&lt;0,"Stock négatif",IF(AND(ISNUMBER(A2068),A2069&lt;A2068),"Date hors ordre","OK"))))))))</f>
        <v/>
      </c>
      <c r="M2069" s="39" t="str">
        <f>IF(C2069="","",C2069&amp;"#"&amp;COUNTIF($C$5:C2069,C2069))</f>
        <v/>
      </c>
    </row>
    <row r="2070">
      <c r="A2070" s="41" t="n"/>
      <c r="B2070" s="37" t="n"/>
      <c r="C2070" s="37" t="n"/>
      <c r="D2070" s="39" t="str">
        <f>IF(C2070="","",IFERROR(INDEX(art_des,MATCH(C2070,art_ref,0))&amp;"","Référence inconnue"))</f>
        <v/>
      </c>
      <c r="E2070" s="37" t="n"/>
      <c r="F2070" s="39" t="str">
        <f>IF(C2070="","",IFERROR(INDEX(art_unit,MATCH(C2070,art_ref,0))&amp;"",""))</f>
        <v/>
      </c>
      <c r="G2070" s="37" t="n"/>
      <c r="H2070" s="37" t="n"/>
      <c r="I2070" s="37" t="n"/>
      <c r="J2070" s="40" t="str">
        <f>IF(OR(C2070="",NOT(ISNUMBER(E2070))),"",IFERROR(E2070*N(INDEX(art_price,MATCH(C2070,art_ref,0))),""))</f>
        <v/>
      </c>
      <c r="K2070" s="39" t="str">
        <f>IF(OR(C2070="",NOT(ISNUMBER(E2070))),"",IFERROR(ROUND(N(INDEX(art_init,MATCH(C2070,art_ref,0)))+SUMIFS($E$5:E2070,$C$5:C2070,C2070,$B$5:B2070,"Entrée")-SUMIFS($E$5:E2070,$C$5:C2070,C2070,$B$5:B2070,"Sortie"),6),""))</f>
        <v/>
      </c>
      <c r="L2070" s="39" t="str">
        <f>IF(COUNTA(A2070:C2070,E2070)=0,"",IF(COUNTA(A2070:C2070,E2070)&lt;4,"Ligne incomplète",IF(NOT(ISNUMBER(A2070)),"Date invalide",IF(AND(B2070&lt;&gt;"Entrée",B2070&lt;&gt;"Sortie"),"Type inconnu",IF(ISNA(MATCH(C2070,art_ref,0)),"Référence inconnue",IF(OR(NOT(ISNUMBER(E2070)),N(E2070)&lt;=0),"Quantité invalide",IF(K2070&lt;0,"Stock négatif",IF(AND(ISNUMBER(A2069),A2070&lt;A2069),"Date hors ordre","OK"))))))))</f>
        <v/>
      </c>
      <c r="M2070" s="39" t="str">
        <f>IF(C2070="","",C2070&amp;"#"&amp;COUNTIF($C$5:C2070,C2070))</f>
        <v/>
      </c>
    </row>
    <row r="2071">
      <c r="A2071" s="41" t="n"/>
      <c r="B2071" s="37" t="n"/>
      <c r="C2071" s="37" t="n"/>
      <c r="D2071" s="39" t="str">
        <f>IF(C2071="","",IFERROR(INDEX(art_des,MATCH(C2071,art_ref,0))&amp;"","Référence inconnue"))</f>
        <v/>
      </c>
      <c r="E2071" s="37" t="n"/>
      <c r="F2071" s="39" t="str">
        <f>IF(C2071="","",IFERROR(INDEX(art_unit,MATCH(C2071,art_ref,0))&amp;"",""))</f>
        <v/>
      </c>
      <c r="G2071" s="37" t="n"/>
      <c r="H2071" s="37" t="n"/>
      <c r="I2071" s="37" t="n"/>
      <c r="J2071" s="40" t="str">
        <f>IF(OR(C2071="",NOT(ISNUMBER(E2071))),"",IFERROR(E2071*N(INDEX(art_price,MATCH(C2071,art_ref,0))),""))</f>
        <v/>
      </c>
      <c r="K2071" s="39" t="str">
        <f>IF(OR(C2071="",NOT(ISNUMBER(E2071))),"",IFERROR(ROUND(N(INDEX(art_init,MATCH(C2071,art_ref,0)))+SUMIFS($E$5:E2071,$C$5:C2071,C2071,$B$5:B2071,"Entrée")-SUMIFS($E$5:E2071,$C$5:C2071,C2071,$B$5:B2071,"Sortie"),6),""))</f>
        <v/>
      </c>
      <c r="L2071" s="39" t="str">
        <f>IF(COUNTA(A2071:C2071,E2071)=0,"",IF(COUNTA(A2071:C2071,E2071)&lt;4,"Ligne incomplète",IF(NOT(ISNUMBER(A2071)),"Date invalide",IF(AND(B2071&lt;&gt;"Entrée",B2071&lt;&gt;"Sortie"),"Type inconnu",IF(ISNA(MATCH(C2071,art_ref,0)),"Référence inconnue",IF(OR(NOT(ISNUMBER(E2071)),N(E2071)&lt;=0),"Quantité invalide",IF(K2071&lt;0,"Stock négatif",IF(AND(ISNUMBER(A2070),A2071&lt;A2070),"Date hors ordre","OK"))))))))</f>
        <v/>
      </c>
      <c r="M2071" s="39" t="str">
        <f>IF(C2071="","",C2071&amp;"#"&amp;COUNTIF($C$5:C2071,C2071))</f>
        <v/>
      </c>
    </row>
    <row r="2072">
      <c r="A2072" s="41" t="n"/>
      <c r="B2072" s="37" t="n"/>
      <c r="C2072" s="37" t="n"/>
      <c r="D2072" s="39" t="str">
        <f>IF(C2072="","",IFERROR(INDEX(art_des,MATCH(C2072,art_ref,0))&amp;"","Référence inconnue"))</f>
        <v/>
      </c>
      <c r="E2072" s="37" t="n"/>
      <c r="F2072" s="39" t="str">
        <f>IF(C2072="","",IFERROR(INDEX(art_unit,MATCH(C2072,art_ref,0))&amp;"",""))</f>
        <v/>
      </c>
      <c r="G2072" s="37" t="n"/>
      <c r="H2072" s="37" t="n"/>
      <c r="I2072" s="37" t="n"/>
      <c r="J2072" s="40" t="str">
        <f>IF(OR(C2072="",NOT(ISNUMBER(E2072))),"",IFERROR(E2072*N(INDEX(art_price,MATCH(C2072,art_ref,0))),""))</f>
        <v/>
      </c>
      <c r="K2072" s="39" t="str">
        <f>IF(OR(C2072="",NOT(ISNUMBER(E2072))),"",IFERROR(ROUND(N(INDEX(art_init,MATCH(C2072,art_ref,0)))+SUMIFS($E$5:E2072,$C$5:C2072,C2072,$B$5:B2072,"Entrée")-SUMIFS($E$5:E2072,$C$5:C2072,C2072,$B$5:B2072,"Sortie"),6),""))</f>
        <v/>
      </c>
      <c r="L2072" s="39" t="str">
        <f>IF(COUNTA(A2072:C2072,E2072)=0,"",IF(COUNTA(A2072:C2072,E2072)&lt;4,"Ligne incomplète",IF(NOT(ISNUMBER(A2072)),"Date invalide",IF(AND(B2072&lt;&gt;"Entrée",B2072&lt;&gt;"Sortie"),"Type inconnu",IF(ISNA(MATCH(C2072,art_ref,0)),"Référence inconnue",IF(OR(NOT(ISNUMBER(E2072)),N(E2072)&lt;=0),"Quantité invalide",IF(K2072&lt;0,"Stock négatif",IF(AND(ISNUMBER(A2071),A2072&lt;A2071),"Date hors ordre","OK"))))))))</f>
        <v/>
      </c>
      <c r="M2072" s="39" t="str">
        <f>IF(C2072="","",C2072&amp;"#"&amp;COUNTIF($C$5:C2072,C2072))</f>
        <v/>
      </c>
    </row>
    <row r="2073">
      <c r="A2073" s="41" t="n"/>
      <c r="B2073" s="37" t="n"/>
      <c r="C2073" s="37" t="n"/>
      <c r="D2073" s="39" t="str">
        <f>IF(C2073="","",IFERROR(INDEX(art_des,MATCH(C2073,art_ref,0))&amp;"","Référence inconnue"))</f>
        <v/>
      </c>
      <c r="E2073" s="37" t="n"/>
      <c r="F2073" s="39" t="str">
        <f>IF(C2073="","",IFERROR(INDEX(art_unit,MATCH(C2073,art_ref,0))&amp;"",""))</f>
        <v/>
      </c>
      <c r="G2073" s="37" t="n"/>
      <c r="H2073" s="37" t="n"/>
      <c r="I2073" s="37" t="n"/>
      <c r="J2073" s="40" t="str">
        <f>IF(OR(C2073="",NOT(ISNUMBER(E2073))),"",IFERROR(E2073*N(INDEX(art_price,MATCH(C2073,art_ref,0))),""))</f>
        <v/>
      </c>
      <c r="K2073" s="39" t="str">
        <f>IF(OR(C2073="",NOT(ISNUMBER(E2073))),"",IFERROR(ROUND(N(INDEX(art_init,MATCH(C2073,art_ref,0)))+SUMIFS($E$5:E2073,$C$5:C2073,C2073,$B$5:B2073,"Entrée")-SUMIFS($E$5:E2073,$C$5:C2073,C2073,$B$5:B2073,"Sortie"),6),""))</f>
        <v/>
      </c>
      <c r="L2073" s="39" t="str">
        <f>IF(COUNTA(A2073:C2073,E2073)=0,"",IF(COUNTA(A2073:C2073,E2073)&lt;4,"Ligne incomplète",IF(NOT(ISNUMBER(A2073)),"Date invalide",IF(AND(B2073&lt;&gt;"Entrée",B2073&lt;&gt;"Sortie"),"Type inconnu",IF(ISNA(MATCH(C2073,art_ref,0)),"Référence inconnue",IF(OR(NOT(ISNUMBER(E2073)),N(E2073)&lt;=0),"Quantité invalide",IF(K2073&lt;0,"Stock négatif",IF(AND(ISNUMBER(A2072),A2073&lt;A2072),"Date hors ordre","OK"))))))))</f>
        <v/>
      </c>
      <c r="M2073" s="39" t="str">
        <f>IF(C2073="","",C2073&amp;"#"&amp;COUNTIF($C$5:C2073,C2073))</f>
        <v/>
      </c>
    </row>
    <row r="2074">
      <c r="A2074" s="41" t="n"/>
      <c r="B2074" s="37" t="n"/>
      <c r="C2074" s="37" t="n"/>
      <c r="D2074" s="39" t="str">
        <f>IF(C2074="","",IFERROR(INDEX(art_des,MATCH(C2074,art_ref,0))&amp;"","Référence inconnue"))</f>
        <v/>
      </c>
      <c r="E2074" s="37" t="n"/>
      <c r="F2074" s="39" t="str">
        <f>IF(C2074="","",IFERROR(INDEX(art_unit,MATCH(C2074,art_ref,0))&amp;"",""))</f>
        <v/>
      </c>
      <c r="G2074" s="37" t="n"/>
      <c r="H2074" s="37" t="n"/>
      <c r="I2074" s="37" t="n"/>
      <c r="J2074" s="40" t="str">
        <f>IF(OR(C2074="",NOT(ISNUMBER(E2074))),"",IFERROR(E2074*N(INDEX(art_price,MATCH(C2074,art_ref,0))),""))</f>
        <v/>
      </c>
      <c r="K2074" s="39" t="str">
        <f>IF(OR(C2074="",NOT(ISNUMBER(E2074))),"",IFERROR(ROUND(N(INDEX(art_init,MATCH(C2074,art_ref,0)))+SUMIFS($E$5:E2074,$C$5:C2074,C2074,$B$5:B2074,"Entrée")-SUMIFS($E$5:E2074,$C$5:C2074,C2074,$B$5:B2074,"Sortie"),6),""))</f>
        <v/>
      </c>
      <c r="L2074" s="39" t="str">
        <f>IF(COUNTA(A2074:C2074,E2074)=0,"",IF(COUNTA(A2074:C2074,E2074)&lt;4,"Ligne incomplète",IF(NOT(ISNUMBER(A2074)),"Date invalide",IF(AND(B2074&lt;&gt;"Entrée",B2074&lt;&gt;"Sortie"),"Type inconnu",IF(ISNA(MATCH(C2074,art_ref,0)),"Référence inconnue",IF(OR(NOT(ISNUMBER(E2074)),N(E2074)&lt;=0),"Quantité invalide",IF(K2074&lt;0,"Stock négatif",IF(AND(ISNUMBER(A2073),A2074&lt;A2073),"Date hors ordre","OK"))))))))</f>
        <v/>
      </c>
      <c r="M2074" s="39" t="str">
        <f>IF(C2074="","",C2074&amp;"#"&amp;COUNTIF($C$5:C2074,C2074))</f>
        <v/>
      </c>
    </row>
    <row r="2075">
      <c r="A2075" s="41" t="n"/>
      <c r="B2075" s="37" t="n"/>
      <c r="C2075" s="37" t="n"/>
      <c r="D2075" s="39" t="str">
        <f>IF(C2075="","",IFERROR(INDEX(art_des,MATCH(C2075,art_ref,0))&amp;"","Référence inconnue"))</f>
        <v/>
      </c>
      <c r="E2075" s="37" t="n"/>
      <c r="F2075" s="39" t="str">
        <f>IF(C2075="","",IFERROR(INDEX(art_unit,MATCH(C2075,art_ref,0))&amp;"",""))</f>
        <v/>
      </c>
      <c r="G2075" s="37" t="n"/>
      <c r="H2075" s="37" t="n"/>
      <c r="I2075" s="37" t="n"/>
      <c r="J2075" s="40" t="str">
        <f>IF(OR(C2075="",NOT(ISNUMBER(E2075))),"",IFERROR(E2075*N(INDEX(art_price,MATCH(C2075,art_ref,0))),""))</f>
        <v/>
      </c>
      <c r="K2075" s="39" t="str">
        <f>IF(OR(C2075="",NOT(ISNUMBER(E2075))),"",IFERROR(ROUND(N(INDEX(art_init,MATCH(C2075,art_ref,0)))+SUMIFS($E$5:E2075,$C$5:C2075,C2075,$B$5:B2075,"Entrée")-SUMIFS($E$5:E2075,$C$5:C2075,C2075,$B$5:B2075,"Sortie"),6),""))</f>
        <v/>
      </c>
      <c r="L2075" s="39" t="str">
        <f>IF(COUNTA(A2075:C2075,E2075)=0,"",IF(COUNTA(A2075:C2075,E2075)&lt;4,"Ligne incomplète",IF(NOT(ISNUMBER(A2075)),"Date invalide",IF(AND(B2075&lt;&gt;"Entrée",B2075&lt;&gt;"Sortie"),"Type inconnu",IF(ISNA(MATCH(C2075,art_ref,0)),"Référence inconnue",IF(OR(NOT(ISNUMBER(E2075)),N(E2075)&lt;=0),"Quantité invalide",IF(K2075&lt;0,"Stock négatif",IF(AND(ISNUMBER(A2074),A2075&lt;A2074),"Date hors ordre","OK"))))))))</f>
        <v/>
      </c>
      <c r="M2075" s="39" t="str">
        <f>IF(C2075="","",C2075&amp;"#"&amp;COUNTIF($C$5:C2075,C2075))</f>
        <v/>
      </c>
    </row>
    <row r="2076">
      <c r="A2076" s="41" t="n"/>
      <c r="B2076" s="37" t="n"/>
      <c r="C2076" s="37" t="n"/>
      <c r="D2076" s="39" t="str">
        <f>IF(C2076="","",IFERROR(INDEX(art_des,MATCH(C2076,art_ref,0))&amp;"","Référence inconnue"))</f>
        <v/>
      </c>
      <c r="E2076" s="37" t="n"/>
      <c r="F2076" s="39" t="str">
        <f>IF(C2076="","",IFERROR(INDEX(art_unit,MATCH(C2076,art_ref,0))&amp;"",""))</f>
        <v/>
      </c>
      <c r="G2076" s="37" t="n"/>
      <c r="H2076" s="37" t="n"/>
      <c r="I2076" s="37" t="n"/>
      <c r="J2076" s="40" t="str">
        <f>IF(OR(C2076="",NOT(ISNUMBER(E2076))),"",IFERROR(E2076*N(INDEX(art_price,MATCH(C2076,art_ref,0))),""))</f>
        <v/>
      </c>
      <c r="K2076" s="39" t="str">
        <f>IF(OR(C2076="",NOT(ISNUMBER(E2076))),"",IFERROR(ROUND(N(INDEX(art_init,MATCH(C2076,art_ref,0)))+SUMIFS($E$5:E2076,$C$5:C2076,C2076,$B$5:B2076,"Entrée")-SUMIFS($E$5:E2076,$C$5:C2076,C2076,$B$5:B2076,"Sortie"),6),""))</f>
        <v/>
      </c>
      <c r="L2076" s="39" t="str">
        <f>IF(COUNTA(A2076:C2076,E2076)=0,"",IF(COUNTA(A2076:C2076,E2076)&lt;4,"Ligne incomplète",IF(NOT(ISNUMBER(A2076)),"Date invalide",IF(AND(B2076&lt;&gt;"Entrée",B2076&lt;&gt;"Sortie"),"Type inconnu",IF(ISNA(MATCH(C2076,art_ref,0)),"Référence inconnue",IF(OR(NOT(ISNUMBER(E2076)),N(E2076)&lt;=0),"Quantité invalide",IF(K2076&lt;0,"Stock négatif",IF(AND(ISNUMBER(A2075),A2076&lt;A2075),"Date hors ordre","OK"))))))))</f>
        <v/>
      </c>
      <c r="M2076" s="39" t="str">
        <f>IF(C2076="","",C2076&amp;"#"&amp;COUNTIF($C$5:C2076,C2076))</f>
        <v/>
      </c>
    </row>
    <row r="2077">
      <c r="A2077" s="41" t="n"/>
      <c r="B2077" s="37" t="n"/>
      <c r="C2077" s="37" t="n"/>
      <c r="D2077" s="39" t="str">
        <f>IF(C2077="","",IFERROR(INDEX(art_des,MATCH(C2077,art_ref,0))&amp;"","Référence inconnue"))</f>
        <v/>
      </c>
      <c r="E2077" s="37" t="n"/>
      <c r="F2077" s="39" t="str">
        <f>IF(C2077="","",IFERROR(INDEX(art_unit,MATCH(C2077,art_ref,0))&amp;"",""))</f>
        <v/>
      </c>
      <c r="G2077" s="37" t="n"/>
      <c r="H2077" s="37" t="n"/>
      <c r="I2077" s="37" t="n"/>
      <c r="J2077" s="40" t="str">
        <f>IF(OR(C2077="",NOT(ISNUMBER(E2077))),"",IFERROR(E2077*N(INDEX(art_price,MATCH(C2077,art_ref,0))),""))</f>
        <v/>
      </c>
      <c r="K2077" s="39" t="str">
        <f>IF(OR(C2077="",NOT(ISNUMBER(E2077))),"",IFERROR(ROUND(N(INDEX(art_init,MATCH(C2077,art_ref,0)))+SUMIFS($E$5:E2077,$C$5:C2077,C2077,$B$5:B2077,"Entrée")-SUMIFS($E$5:E2077,$C$5:C2077,C2077,$B$5:B2077,"Sortie"),6),""))</f>
        <v/>
      </c>
      <c r="L2077" s="39" t="str">
        <f>IF(COUNTA(A2077:C2077,E2077)=0,"",IF(COUNTA(A2077:C2077,E2077)&lt;4,"Ligne incomplète",IF(NOT(ISNUMBER(A2077)),"Date invalide",IF(AND(B2077&lt;&gt;"Entrée",B2077&lt;&gt;"Sortie"),"Type inconnu",IF(ISNA(MATCH(C2077,art_ref,0)),"Référence inconnue",IF(OR(NOT(ISNUMBER(E2077)),N(E2077)&lt;=0),"Quantité invalide",IF(K2077&lt;0,"Stock négatif",IF(AND(ISNUMBER(A2076),A2077&lt;A2076),"Date hors ordre","OK"))))))))</f>
        <v/>
      </c>
      <c r="M2077" s="39" t="str">
        <f>IF(C2077="","",C2077&amp;"#"&amp;COUNTIF($C$5:C2077,C2077))</f>
        <v/>
      </c>
    </row>
    <row r="2078">
      <c r="A2078" s="41" t="n"/>
      <c r="B2078" s="37" t="n"/>
      <c r="C2078" s="37" t="n"/>
      <c r="D2078" s="39" t="str">
        <f>IF(C2078="","",IFERROR(INDEX(art_des,MATCH(C2078,art_ref,0))&amp;"","Référence inconnue"))</f>
        <v/>
      </c>
      <c r="E2078" s="37" t="n"/>
      <c r="F2078" s="39" t="str">
        <f>IF(C2078="","",IFERROR(INDEX(art_unit,MATCH(C2078,art_ref,0))&amp;"",""))</f>
        <v/>
      </c>
      <c r="G2078" s="37" t="n"/>
      <c r="H2078" s="37" t="n"/>
      <c r="I2078" s="37" t="n"/>
      <c r="J2078" s="40" t="str">
        <f>IF(OR(C2078="",NOT(ISNUMBER(E2078))),"",IFERROR(E2078*N(INDEX(art_price,MATCH(C2078,art_ref,0))),""))</f>
        <v/>
      </c>
      <c r="K2078" s="39" t="str">
        <f>IF(OR(C2078="",NOT(ISNUMBER(E2078))),"",IFERROR(ROUND(N(INDEX(art_init,MATCH(C2078,art_ref,0)))+SUMIFS($E$5:E2078,$C$5:C2078,C2078,$B$5:B2078,"Entrée")-SUMIFS($E$5:E2078,$C$5:C2078,C2078,$B$5:B2078,"Sortie"),6),""))</f>
        <v/>
      </c>
      <c r="L2078" s="39" t="str">
        <f>IF(COUNTA(A2078:C2078,E2078)=0,"",IF(COUNTA(A2078:C2078,E2078)&lt;4,"Ligne incomplète",IF(NOT(ISNUMBER(A2078)),"Date invalide",IF(AND(B2078&lt;&gt;"Entrée",B2078&lt;&gt;"Sortie"),"Type inconnu",IF(ISNA(MATCH(C2078,art_ref,0)),"Référence inconnue",IF(OR(NOT(ISNUMBER(E2078)),N(E2078)&lt;=0),"Quantité invalide",IF(K2078&lt;0,"Stock négatif",IF(AND(ISNUMBER(A2077),A2078&lt;A2077),"Date hors ordre","OK"))))))))</f>
        <v/>
      </c>
      <c r="M2078" s="39" t="str">
        <f>IF(C2078="","",C2078&amp;"#"&amp;COUNTIF($C$5:C2078,C2078))</f>
        <v/>
      </c>
    </row>
    <row r="2079">
      <c r="A2079" s="41" t="n"/>
      <c r="B2079" s="37" t="n"/>
      <c r="C2079" s="37" t="n"/>
      <c r="D2079" s="39" t="str">
        <f>IF(C2079="","",IFERROR(INDEX(art_des,MATCH(C2079,art_ref,0))&amp;"","Référence inconnue"))</f>
        <v/>
      </c>
      <c r="E2079" s="37" t="n"/>
      <c r="F2079" s="39" t="str">
        <f>IF(C2079="","",IFERROR(INDEX(art_unit,MATCH(C2079,art_ref,0))&amp;"",""))</f>
        <v/>
      </c>
      <c r="G2079" s="37" t="n"/>
      <c r="H2079" s="37" t="n"/>
      <c r="I2079" s="37" t="n"/>
      <c r="J2079" s="40" t="str">
        <f>IF(OR(C2079="",NOT(ISNUMBER(E2079))),"",IFERROR(E2079*N(INDEX(art_price,MATCH(C2079,art_ref,0))),""))</f>
        <v/>
      </c>
      <c r="K2079" s="39" t="str">
        <f>IF(OR(C2079="",NOT(ISNUMBER(E2079))),"",IFERROR(ROUND(N(INDEX(art_init,MATCH(C2079,art_ref,0)))+SUMIFS($E$5:E2079,$C$5:C2079,C2079,$B$5:B2079,"Entrée")-SUMIFS($E$5:E2079,$C$5:C2079,C2079,$B$5:B2079,"Sortie"),6),""))</f>
        <v/>
      </c>
      <c r="L2079" s="39" t="str">
        <f>IF(COUNTA(A2079:C2079,E2079)=0,"",IF(COUNTA(A2079:C2079,E2079)&lt;4,"Ligne incomplète",IF(NOT(ISNUMBER(A2079)),"Date invalide",IF(AND(B2079&lt;&gt;"Entrée",B2079&lt;&gt;"Sortie"),"Type inconnu",IF(ISNA(MATCH(C2079,art_ref,0)),"Référence inconnue",IF(OR(NOT(ISNUMBER(E2079)),N(E2079)&lt;=0),"Quantité invalide",IF(K2079&lt;0,"Stock négatif",IF(AND(ISNUMBER(A2078),A2079&lt;A2078),"Date hors ordre","OK"))))))))</f>
        <v/>
      </c>
      <c r="M2079" s="39" t="str">
        <f>IF(C2079="","",C2079&amp;"#"&amp;COUNTIF($C$5:C2079,C2079))</f>
        <v/>
      </c>
    </row>
    <row r="2080">
      <c r="A2080" s="41" t="n"/>
      <c r="B2080" s="37" t="n"/>
      <c r="C2080" s="37" t="n"/>
      <c r="D2080" s="39" t="str">
        <f>IF(C2080="","",IFERROR(INDEX(art_des,MATCH(C2080,art_ref,0))&amp;"","Référence inconnue"))</f>
        <v/>
      </c>
      <c r="E2080" s="37" t="n"/>
      <c r="F2080" s="39" t="str">
        <f>IF(C2080="","",IFERROR(INDEX(art_unit,MATCH(C2080,art_ref,0))&amp;"",""))</f>
        <v/>
      </c>
      <c r="G2080" s="37" t="n"/>
      <c r="H2080" s="37" t="n"/>
      <c r="I2080" s="37" t="n"/>
      <c r="J2080" s="40" t="str">
        <f>IF(OR(C2080="",NOT(ISNUMBER(E2080))),"",IFERROR(E2080*N(INDEX(art_price,MATCH(C2080,art_ref,0))),""))</f>
        <v/>
      </c>
      <c r="K2080" s="39" t="str">
        <f>IF(OR(C2080="",NOT(ISNUMBER(E2080))),"",IFERROR(ROUND(N(INDEX(art_init,MATCH(C2080,art_ref,0)))+SUMIFS($E$5:E2080,$C$5:C2080,C2080,$B$5:B2080,"Entrée")-SUMIFS($E$5:E2080,$C$5:C2080,C2080,$B$5:B2080,"Sortie"),6),""))</f>
        <v/>
      </c>
      <c r="L2080" s="39" t="str">
        <f>IF(COUNTA(A2080:C2080,E2080)=0,"",IF(COUNTA(A2080:C2080,E2080)&lt;4,"Ligne incomplète",IF(NOT(ISNUMBER(A2080)),"Date invalide",IF(AND(B2080&lt;&gt;"Entrée",B2080&lt;&gt;"Sortie"),"Type inconnu",IF(ISNA(MATCH(C2080,art_ref,0)),"Référence inconnue",IF(OR(NOT(ISNUMBER(E2080)),N(E2080)&lt;=0),"Quantité invalide",IF(K2080&lt;0,"Stock négatif",IF(AND(ISNUMBER(A2079),A2080&lt;A2079),"Date hors ordre","OK"))))))))</f>
        <v/>
      </c>
      <c r="M2080" s="39" t="str">
        <f>IF(C2080="","",C2080&amp;"#"&amp;COUNTIF($C$5:C2080,C2080))</f>
        <v/>
      </c>
    </row>
    <row r="2081">
      <c r="A2081" s="41" t="n"/>
      <c r="B2081" s="37" t="n"/>
      <c r="C2081" s="37" t="n"/>
      <c r="D2081" s="39" t="str">
        <f>IF(C2081="","",IFERROR(INDEX(art_des,MATCH(C2081,art_ref,0))&amp;"","Référence inconnue"))</f>
        <v/>
      </c>
      <c r="E2081" s="37" t="n"/>
      <c r="F2081" s="39" t="str">
        <f>IF(C2081="","",IFERROR(INDEX(art_unit,MATCH(C2081,art_ref,0))&amp;"",""))</f>
        <v/>
      </c>
      <c r="G2081" s="37" t="n"/>
      <c r="H2081" s="37" t="n"/>
      <c r="I2081" s="37" t="n"/>
      <c r="J2081" s="40" t="str">
        <f>IF(OR(C2081="",NOT(ISNUMBER(E2081))),"",IFERROR(E2081*N(INDEX(art_price,MATCH(C2081,art_ref,0))),""))</f>
        <v/>
      </c>
      <c r="K2081" s="39" t="str">
        <f>IF(OR(C2081="",NOT(ISNUMBER(E2081))),"",IFERROR(ROUND(N(INDEX(art_init,MATCH(C2081,art_ref,0)))+SUMIFS($E$5:E2081,$C$5:C2081,C2081,$B$5:B2081,"Entrée")-SUMIFS($E$5:E2081,$C$5:C2081,C2081,$B$5:B2081,"Sortie"),6),""))</f>
        <v/>
      </c>
      <c r="L2081" s="39" t="str">
        <f>IF(COUNTA(A2081:C2081,E2081)=0,"",IF(COUNTA(A2081:C2081,E2081)&lt;4,"Ligne incomplète",IF(NOT(ISNUMBER(A2081)),"Date invalide",IF(AND(B2081&lt;&gt;"Entrée",B2081&lt;&gt;"Sortie"),"Type inconnu",IF(ISNA(MATCH(C2081,art_ref,0)),"Référence inconnue",IF(OR(NOT(ISNUMBER(E2081)),N(E2081)&lt;=0),"Quantité invalide",IF(K2081&lt;0,"Stock négatif",IF(AND(ISNUMBER(A2080),A2081&lt;A2080),"Date hors ordre","OK"))))))))</f>
        <v/>
      </c>
      <c r="M2081" s="39" t="str">
        <f>IF(C2081="","",C2081&amp;"#"&amp;COUNTIF($C$5:C2081,C2081))</f>
        <v/>
      </c>
    </row>
    <row r="2082">
      <c r="A2082" s="41" t="n"/>
      <c r="B2082" s="37" t="n"/>
      <c r="C2082" s="37" t="n"/>
      <c r="D2082" s="39" t="str">
        <f>IF(C2082="","",IFERROR(INDEX(art_des,MATCH(C2082,art_ref,0))&amp;"","Référence inconnue"))</f>
        <v/>
      </c>
      <c r="E2082" s="37" t="n"/>
      <c r="F2082" s="39" t="str">
        <f>IF(C2082="","",IFERROR(INDEX(art_unit,MATCH(C2082,art_ref,0))&amp;"",""))</f>
        <v/>
      </c>
      <c r="G2082" s="37" t="n"/>
      <c r="H2082" s="37" t="n"/>
      <c r="I2082" s="37" t="n"/>
      <c r="J2082" s="40" t="str">
        <f>IF(OR(C2082="",NOT(ISNUMBER(E2082))),"",IFERROR(E2082*N(INDEX(art_price,MATCH(C2082,art_ref,0))),""))</f>
        <v/>
      </c>
      <c r="K2082" s="39" t="str">
        <f>IF(OR(C2082="",NOT(ISNUMBER(E2082))),"",IFERROR(ROUND(N(INDEX(art_init,MATCH(C2082,art_ref,0)))+SUMIFS($E$5:E2082,$C$5:C2082,C2082,$B$5:B2082,"Entrée")-SUMIFS($E$5:E2082,$C$5:C2082,C2082,$B$5:B2082,"Sortie"),6),""))</f>
        <v/>
      </c>
      <c r="L2082" s="39" t="str">
        <f>IF(COUNTA(A2082:C2082,E2082)=0,"",IF(COUNTA(A2082:C2082,E2082)&lt;4,"Ligne incomplète",IF(NOT(ISNUMBER(A2082)),"Date invalide",IF(AND(B2082&lt;&gt;"Entrée",B2082&lt;&gt;"Sortie"),"Type inconnu",IF(ISNA(MATCH(C2082,art_ref,0)),"Référence inconnue",IF(OR(NOT(ISNUMBER(E2082)),N(E2082)&lt;=0),"Quantité invalide",IF(K2082&lt;0,"Stock négatif",IF(AND(ISNUMBER(A2081),A2082&lt;A2081),"Date hors ordre","OK"))))))))</f>
        <v/>
      </c>
      <c r="M2082" s="39" t="str">
        <f>IF(C2082="","",C2082&amp;"#"&amp;COUNTIF($C$5:C2082,C2082))</f>
        <v/>
      </c>
    </row>
    <row r="2083">
      <c r="A2083" s="41" t="n"/>
      <c r="B2083" s="37" t="n"/>
      <c r="C2083" s="37" t="n"/>
      <c r="D2083" s="39" t="str">
        <f>IF(C2083="","",IFERROR(INDEX(art_des,MATCH(C2083,art_ref,0))&amp;"","Référence inconnue"))</f>
        <v/>
      </c>
      <c r="E2083" s="37" t="n"/>
      <c r="F2083" s="39" t="str">
        <f>IF(C2083="","",IFERROR(INDEX(art_unit,MATCH(C2083,art_ref,0))&amp;"",""))</f>
        <v/>
      </c>
      <c r="G2083" s="37" t="n"/>
      <c r="H2083" s="37" t="n"/>
      <c r="I2083" s="37" t="n"/>
      <c r="J2083" s="40" t="str">
        <f>IF(OR(C2083="",NOT(ISNUMBER(E2083))),"",IFERROR(E2083*N(INDEX(art_price,MATCH(C2083,art_ref,0))),""))</f>
        <v/>
      </c>
      <c r="K2083" s="39" t="str">
        <f>IF(OR(C2083="",NOT(ISNUMBER(E2083))),"",IFERROR(ROUND(N(INDEX(art_init,MATCH(C2083,art_ref,0)))+SUMIFS($E$5:E2083,$C$5:C2083,C2083,$B$5:B2083,"Entrée")-SUMIFS($E$5:E2083,$C$5:C2083,C2083,$B$5:B2083,"Sortie"),6),""))</f>
        <v/>
      </c>
      <c r="L2083" s="39" t="str">
        <f>IF(COUNTA(A2083:C2083,E2083)=0,"",IF(COUNTA(A2083:C2083,E2083)&lt;4,"Ligne incomplète",IF(NOT(ISNUMBER(A2083)),"Date invalide",IF(AND(B2083&lt;&gt;"Entrée",B2083&lt;&gt;"Sortie"),"Type inconnu",IF(ISNA(MATCH(C2083,art_ref,0)),"Référence inconnue",IF(OR(NOT(ISNUMBER(E2083)),N(E2083)&lt;=0),"Quantité invalide",IF(K2083&lt;0,"Stock négatif",IF(AND(ISNUMBER(A2082),A2083&lt;A2082),"Date hors ordre","OK"))))))))</f>
        <v/>
      </c>
      <c r="M2083" s="39" t="str">
        <f>IF(C2083="","",C2083&amp;"#"&amp;COUNTIF($C$5:C2083,C2083))</f>
        <v/>
      </c>
    </row>
    <row r="2084">
      <c r="A2084" s="41" t="n"/>
      <c r="B2084" s="37" t="n"/>
      <c r="C2084" s="37" t="n"/>
      <c r="D2084" s="39" t="str">
        <f>IF(C2084="","",IFERROR(INDEX(art_des,MATCH(C2084,art_ref,0))&amp;"","Référence inconnue"))</f>
        <v/>
      </c>
      <c r="E2084" s="37" t="n"/>
      <c r="F2084" s="39" t="str">
        <f>IF(C2084="","",IFERROR(INDEX(art_unit,MATCH(C2084,art_ref,0))&amp;"",""))</f>
        <v/>
      </c>
      <c r="G2084" s="37" t="n"/>
      <c r="H2084" s="37" t="n"/>
      <c r="I2084" s="37" t="n"/>
      <c r="J2084" s="40" t="str">
        <f>IF(OR(C2084="",NOT(ISNUMBER(E2084))),"",IFERROR(E2084*N(INDEX(art_price,MATCH(C2084,art_ref,0))),""))</f>
        <v/>
      </c>
      <c r="K2084" s="39" t="str">
        <f>IF(OR(C2084="",NOT(ISNUMBER(E2084))),"",IFERROR(ROUND(N(INDEX(art_init,MATCH(C2084,art_ref,0)))+SUMIFS($E$5:E2084,$C$5:C2084,C2084,$B$5:B2084,"Entrée")-SUMIFS($E$5:E2084,$C$5:C2084,C2084,$B$5:B2084,"Sortie"),6),""))</f>
        <v/>
      </c>
      <c r="L2084" s="39" t="str">
        <f>IF(COUNTA(A2084:C2084,E2084)=0,"",IF(COUNTA(A2084:C2084,E2084)&lt;4,"Ligne incomplète",IF(NOT(ISNUMBER(A2084)),"Date invalide",IF(AND(B2084&lt;&gt;"Entrée",B2084&lt;&gt;"Sortie"),"Type inconnu",IF(ISNA(MATCH(C2084,art_ref,0)),"Référence inconnue",IF(OR(NOT(ISNUMBER(E2084)),N(E2084)&lt;=0),"Quantité invalide",IF(K2084&lt;0,"Stock négatif",IF(AND(ISNUMBER(A2083),A2084&lt;A2083),"Date hors ordre","OK"))))))))</f>
        <v/>
      </c>
      <c r="M2084" s="39" t="str">
        <f>IF(C2084="","",C2084&amp;"#"&amp;COUNTIF($C$5:C2084,C2084))</f>
        <v/>
      </c>
    </row>
    <row r="2085">
      <c r="A2085" s="41" t="n"/>
      <c r="B2085" s="37" t="n"/>
      <c r="C2085" s="37" t="n"/>
      <c r="D2085" s="39" t="str">
        <f>IF(C2085="","",IFERROR(INDEX(art_des,MATCH(C2085,art_ref,0))&amp;"","Référence inconnue"))</f>
        <v/>
      </c>
      <c r="E2085" s="37" t="n"/>
      <c r="F2085" s="39" t="str">
        <f>IF(C2085="","",IFERROR(INDEX(art_unit,MATCH(C2085,art_ref,0))&amp;"",""))</f>
        <v/>
      </c>
      <c r="G2085" s="37" t="n"/>
      <c r="H2085" s="37" t="n"/>
      <c r="I2085" s="37" t="n"/>
      <c r="J2085" s="40" t="str">
        <f>IF(OR(C2085="",NOT(ISNUMBER(E2085))),"",IFERROR(E2085*N(INDEX(art_price,MATCH(C2085,art_ref,0))),""))</f>
        <v/>
      </c>
      <c r="K2085" s="39" t="str">
        <f>IF(OR(C2085="",NOT(ISNUMBER(E2085))),"",IFERROR(ROUND(N(INDEX(art_init,MATCH(C2085,art_ref,0)))+SUMIFS($E$5:E2085,$C$5:C2085,C2085,$B$5:B2085,"Entrée")-SUMIFS($E$5:E2085,$C$5:C2085,C2085,$B$5:B2085,"Sortie"),6),""))</f>
        <v/>
      </c>
      <c r="L2085" s="39" t="str">
        <f>IF(COUNTA(A2085:C2085,E2085)=0,"",IF(COUNTA(A2085:C2085,E2085)&lt;4,"Ligne incomplète",IF(NOT(ISNUMBER(A2085)),"Date invalide",IF(AND(B2085&lt;&gt;"Entrée",B2085&lt;&gt;"Sortie"),"Type inconnu",IF(ISNA(MATCH(C2085,art_ref,0)),"Référence inconnue",IF(OR(NOT(ISNUMBER(E2085)),N(E2085)&lt;=0),"Quantité invalide",IF(K2085&lt;0,"Stock négatif",IF(AND(ISNUMBER(A2084),A2085&lt;A2084),"Date hors ordre","OK"))))))))</f>
        <v/>
      </c>
      <c r="M2085" s="39" t="str">
        <f>IF(C2085="","",C2085&amp;"#"&amp;COUNTIF($C$5:C2085,C2085))</f>
        <v/>
      </c>
    </row>
    <row r="2086">
      <c r="A2086" s="41" t="n"/>
      <c r="B2086" s="37" t="n"/>
      <c r="C2086" s="37" t="n"/>
      <c r="D2086" s="39" t="str">
        <f>IF(C2086="","",IFERROR(INDEX(art_des,MATCH(C2086,art_ref,0))&amp;"","Référence inconnue"))</f>
        <v/>
      </c>
      <c r="E2086" s="37" t="n"/>
      <c r="F2086" s="39" t="str">
        <f>IF(C2086="","",IFERROR(INDEX(art_unit,MATCH(C2086,art_ref,0))&amp;"",""))</f>
        <v/>
      </c>
      <c r="G2086" s="37" t="n"/>
      <c r="H2086" s="37" t="n"/>
      <c r="I2086" s="37" t="n"/>
      <c r="J2086" s="40" t="str">
        <f>IF(OR(C2086="",NOT(ISNUMBER(E2086))),"",IFERROR(E2086*N(INDEX(art_price,MATCH(C2086,art_ref,0))),""))</f>
        <v/>
      </c>
      <c r="K2086" s="39" t="str">
        <f>IF(OR(C2086="",NOT(ISNUMBER(E2086))),"",IFERROR(ROUND(N(INDEX(art_init,MATCH(C2086,art_ref,0)))+SUMIFS($E$5:E2086,$C$5:C2086,C2086,$B$5:B2086,"Entrée")-SUMIFS($E$5:E2086,$C$5:C2086,C2086,$B$5:B2086,"Sortie"),6),""))</f>
        <v/>
      </c>
      <c r="L2086" s="39" t="str">
        <f>IF(COUNTA(A2086:C2086,E2086)=0,"",IF(COUNTA(A2086:C2086,E2086)&lt;4,"Ligne incomplète",IF(NOT(ISNUMBER(A2086)),"Date invalide",IF(AND(B2086&lt;&gt;"Entrée",B2086&lt;&gt;"Sortie"),"Type inconnu",IF(ISNA(MATCH(C2086,art_ref,0)),"Référence inconnue",IF(OR(NOT(ISNUMBER(E2086)),N(E2086)&lt;=0),"Quantité invalide",IF(K2086&lt;0,"Stock négatif",IF(AND(ISNUMBER(A2085),A2086&lt;A2085),"Date hors ordre","OK"))))))))</f>
        <v/>
      </c>
      <c r="M2086" s="39" t="str">
        <f>IF(C2086="","",C2086&amp;"#"&amp;COUNTIF($C$5:C2086,C2086))</f>
        <v/>
      </c>
    </row>
    <row r="2087">
      <c r="A2087" s="41" t="n"/>
      <c r="B2087" s="37" t="n"/>
      <c r="C2087" s="37" t="n"/>
      <c r="D2087" s="39" t="str">
        <f>IF(C2087="","",IFERROR(INDEX(art_des,MATCH(C2087,art_ref,0))&amp;"","Référence inconnue"))</f>
        <v/>
      </c>
      <c r="E2087" s="37" t="n"/>
      <c r="F2087" s="39" t="str">
        <f>IF(C2087="","",IFERROR(INDEX(art_unit,MATCH(C2087,art_ref,0))&amp;"",""))</f>
        <v/>
      </c>
      <c r="G2087" s="37" t="n"/>
      <c r="H2087" s="37" t="n"/>
      <c r="I2087" s="37" t="n"/>
      <c r="J2087" s="40" t="str">
        <f>IF(OR(C2087="",NOT(ISNUMBER(E2087))),"",IFERROR(E2087*N(INDEX(art_price,MATCH(C2087,art_ref,0))),""))</f>
        <v/>
      </c>
      <c r="K2087" s="39" t="str">
        <f>IF(OR(C2087="",NOT(ISNUMBER(E2087))),"",IFERROR(ROUND(N(INDEX(art_init,MATCH(C2087,art_ref,0)))+SUMIFS($E$5:E2087,$C$5:C2087,C2087,$B$5:B2087,"Entrée")-SUMIFS($E$5:E2087,$C$5:C2087,C2087,$B$5:B2087,"Sortie"),6),""))</f>
        <v/>
      </c>
      <c r="L2087" s="39" t="str">
        <f>IF(COUNTA(A2087:C2087,E2087)=0,"",IF(COUNTA(A2087:C2087,E2087)&lt;4,"Ligne incomplète",IF(NOT(ISNUMBER(A2087)),"Date invalide",IF(AND(B2087&lt;&gt;"Entrée",B2087&lt;&gt;"Sortie"),"Type inconnu",IF(ISNA(MATCH(C2087,art_ref,0)),"Référence inconnue",IF(OR(NOT(ISNUMBER(E2087)),N(E2087)&lt;=0),"Quantité invalide",IF(K2087&lt;0,"Stock négatif",IF(AND(ISNUMBER(A2086),A2087&lt;A2086),"Date hors ordre","OK"))))))))</f>
        <v/>
      </c>
      <c r="M2087" s="39" t="str">
        <f>IF(C2087="","",C2087&amp;"#"&amp;COUNTIF($C$5:C2087,C2087))</f>
        <v/>
      </c>
    </row>
    <row r="2088">
      <c r="A2088" s="41" t="n"/>
      <c r="B2088" s="37" t="n"/>
      <c r="C2088" s="37" t="n"/>
      <c r="D2088" s="39" t="str">
        <f>IF(C2088="","",IFERROR(INDEX(art_des,MATCH(C2088,art_ref,0))&amp;"","Référence inconnue"))</f>
        <v/>
      </c>
      <c r="E2088" s="37" t="n"/>
      <c r="F2088" s="39" t="str">
        <f>IF(C2088="","",IFERROR(INDEX(art_unit,MATCH(C2088,art_ref,0))&amp;"",""))</f>
        <v/>
      </c>
      <c r="G2088" s="37" t="n"/>
      <c r="H2088" s="37" t="n"/>
      <c r="I2088" s="37" t="n"/>
      <c r="J2088" s="40" t="str">
        <f>IF(OR(C2088="",NOT(ISNUMBER(E2088))),"",IFERROR(E2088*N(INDEX(art_price,MATCH(C2088,art_ref,0))),""))</f>
        <v/>
      </c>
      <c r="K2088" s="39" t="str">
        <f>IF(OR(C2088="",NOT(ISNUMBER(E2088))),"",IFERROR(ROUND(N(INDEX(art_init,MATCH(C2088,art_ref,0)))+SUMIFS($E$5:E2088,$C$5:C2088,C2088,$B$5:B2088,"Entrée")-SUMIFS($E$5:E2088,$C$5:C2088,C2088,$B$5:B2088,"Sortie"),6),""))</f>
        <v/>
      </c>
      <c r="L2088" s="39" t="str">
        <f>IF(COUNTA(A2088:C2088,E2088)=0,"",IF(COUNTA(A2088:C2088,E2088)&lt;4,"Ligne incomplète",IF(NOT(ISNUMBER(A2088)),"Date invalide",IF(AND(B2088&lt;&gt;"Entrée",B2088&lt;&gt;"Sortie"),"Type inconnu",IF(ISNA(MATCH(C2088,art_ref,0)),"Référence inconnue",IF(OR(NOT(ISNUMBER(E2088)),N(E2088)&lt;=0),"Quantité invalide",IF(K2088&lt;0,"Stock négatif",IF(AND(ISNUMBER(A2087),A2088&lt;A2087),"Date hors ordre","OK"))))))))</f>
        <v/>
      </c>
      <c r="M2088" s="39" t="str">
        <f>IF(C2088="","",C2088&amp;"#"&amp;COUNTIF($C$5:C2088,C2088))</f>
        <v/>
      </c>
    </row>
    <row r="2089">
      <c r="A2089" s="41" t="n"/>
      <c r="B2089" s="37" t="n"/>
      <c r="C2089" s="37" t="n"/>
      <c r="D2089" s="39" t="str">
        <f>IF(C2089="","",IFERROR(INDEX(art_des,MATCH(C2089,art_ref,0))&amp;"","Référence inconnue"))</f>
        <v/>
      </c>
      <c r="E2089" s="37" t="n"/>
      <c r="F2089" s="39" t="str">
        <f>IF(C2089="","",IFERROR(INDEX(art_unit,MATCH(C2089,art_ref,0))&amp;"",""))</f>
        <v/>
      </c>
      <c r="G2089" s="37" t="n"/>
      <c r="H2089" s="37" t="n"/>
      <c r="I2089" s="37" t="n"/>
      <c r="J2089" s="40" t="str">
        <f>IF(OR(C2089="",NOT(ISNUMBER(E2089))),"",IFERROR(E2089*N(INDEX(art_price,MATCH(C2089,art_ref,0))),""))</f>
        <v/>
      </c>
      <c r="K2089" s="39" t="str">
        <f>IF(OR(C2089="",NOT(ISNUMBER(E2089))),"",IFERROR(ROUND(N(INDEX(art_init,MATCH(C2089,art_ref,0)))+SUMIFS($E$5:E2089,$C$5:C2089,C2089,$B$5:B2089,"Entrée")-SUMIFS($E$5:E2089,$C$5:C2089,C2089,$B$5:B2089,"Sortie"),6),""))</f>
        <v/>
      </c>
      <c r="L2089" s="39" t="str">
        <f>IF(COUNTA(A2089:C2089,E2089)=0,"",IF(COUNTA(A2089:C2089,E2089)&lt;4,"Ligne incomplète",IF(NOT(ISNUMBER(A2089)),"Date invalide",IF(AND(B2089&lt;&gt;"Entrée",B2089&lt;&gt;"Sortie"),"Type inconnu",IF(ISNA(MATCH(C2089,art_ref,0)),"Référence inconnue",IF(OR(NOT(ISNUMBER(E2089)),N(E2089)&lt;=0),"Quantité invalide",IF(K2089&lt;0,"Stock négatif",IF(AND(ISNUMBER(A2088),A2089&lt;A2088),"Date hors ordre","OK"))))))))</f>
        <v/>
      </c>
      <c r="M2089" s="39" t="str">
        <f>IF(C2089="","",C2089&amp;"#"&amp;COUNTIF($C$5:C2089,C2089))</f>
        <v/>
      </c>
    </row>
    <row r="2090">
      <c r="A2090" s="41" t="n"/>
      <c r="B2090" s="37" t="n"/>
      <c r="C2090" s="37" t="n"/>
      <c r="D2090" s="39" t="str">
        <f>IF(C2090="","",IFERROR(INDEX(art_des,MATCH(C2090,art_ref,0))&amp;"","Référence inconnue"))</f>
        <v/>
      </c>
      <c r="E2090" s="37" t="n"/>
      <c r="F2090" s="39" t="str">
        <f>IF(C2090="","",IFERROR(INDEX(art_unit,MATCH(C2090,art_ref,0))&amp;"",""))</f>
        <v/>
      </c>
      <c r="G2090" s="37" t="n"/>
      <c r="H2090" s="37" t="n"/>
      <c r="I2090" s="37" t="n"/>
      <c r="J2090" s="40" t="str">
        <f>IF(OR(C2090="",NOT(ISNUMBER(E2090))),"",IFERROR(E2090*N(INDEX(art_price,MATCH(C2090,art_ref,0))),""))</f>
        <v/>
      </c>
      <c r="K2090" s="39" t="str">
        <f>IF(OR(C2090="",NOT(ISNUMBER(E2090))),"",IFERROR(ROUND(N(INDEX(art_init,MATCH(C2090,art_ref,0)))+SUMIFS($E$5:E2090,$C$5:C2090,C2090,$B$5:B2090,"Entrée")-SUMIFS($E$5:E2090,$C$5:C2090,C2090,$B$5:B2090,"Sortie"),6),""))</f>
        <v/>
      </c>
      <c r="L2090" s="39" t="str">
        <f>IF(COUNTA(A2090:C2090,E2090)=0,"",IF(COUNTA(A2090:C2090,E2090)&lt;4,"Ligne incomplète",IF(NOT(ISNUMBER(A2090)),"Date invalide",IF(AND(B2090&lt;&gt;"Entrée",B2090&lt;&gt;"Sortie"),"Type inconnu",IF(ISNA(MATCH(C2090,art_ref,0)),"Référence inconnue",IF(OR(NOT(ISNUMBER(E2090)),N(E2090)&lt;=0),"Quantité invalide",IF(K2090&lt;0,"Stock négatif",IF(AND(ISNUMBER(A2089),A2090&lt;A2089),"Date hors ordre","OK"))))))))</f>
        <v/>
      </c>
      <c r="M2090" s="39" t="str">
        <f>IF(C2090="","",C2090&amp;"#"&amp;COUNTIF($C$5:C2090,C2090))</f>
        <v/>
      </c>
    </row>
    <row r="2091">
      <c r="A2091" s="41" t="n"/>
      <c r="B2091" s="37" t="n"/>
      <c r="C2091" s="37" t="n"/>
      <c r="D2091" s="39" t="str">
        <f>IF(C2091="","",IFERROR(INDEX(art_des,MATCH(C2091,art_ref,0))&amp;"","Référence inconnue"))</f>
        <v/>
      </c>
      <c r="E2091" s="37" t="n"/>
      <c r="F2091" s="39" t="str">
        <f>IF(C2091="","",IFERROR(INDEX(art_unit,MATCH(C2091,art_ref,0))&amp;"",""))</f>
        <v/>
      </c>
      <c r="G2091" s="37" t="n"/>
      <c r="H2091" s="37" t="n"/>
      <c r="I2091" s="37" t="n"/>
      <c r="J2091" s="40" t="str">
        <f>IF(OR(C2091="",NOT(ISNUMBER(E2091))),"",IFERROR(E2091*N(INDEX(art_price,MATCH(C2091,art_ref,0))),""))</f>
        <v/>
      </c>
      <c r="K2091" s="39" t="str">
        <f>IF(OR(C2091="",NOT(ISNUMBER(E2091))),"",IFERROR(ROUND(N(INDEX(art_init,MATCH(C2091,art_ref,0)))+SUMIFS($E$5:E2091,$C$5:C2091,C2091,$B$5:B2091,"Entrée")-SUMIFS($E$5:E2091,$C$5:C2091,C2091,$B$5:B2091,"Sortie"),6),""))</f>
        <v/>
      </c>
      <c r="L2091" s="39" t="str">
        <f>IF(COUNTA(A2091:C2091,E2091)=0,"",IF(COUNTA(A2091:C2091,E2091)&lt;4,"Ligne incomplète",IF(NOT(ISNUMBER(A2091)),"Date invalide",IF(AND(B2091&lt;&gt;"Entrée",B2091&lt;&gt;"Sortie"),"Type inconnu",IF(ISNA(MATCH(C2091,art_ref,0)),"Référence inconnue",IF(OR(NOT(ISNUMBER(E2091)),N(E2091)&lt;=0),"Quantité invalide",IF(K2091&lt;0,"Stock négatif",IF(AND(ISNUMBER(A2090),A2091&lt;A2090),"Date hors ordre","OK"))))))))</f>
        <v/>
      </c>
      <c r="M2091" s="39" t="str">
        <f>IF(C2091="","",C2091&amp;"#"&amp;COUNTIF($C$5:C2091,C2091))</f>
        <v/>
      </c>
    </row>
    <row r="2092">
      <c r="A2092" s="41" t="n"/>
      <c r="B2092" s="37" t="n"/>
      <c r="C2092" s="37" t="n"/>
      <c r="D2092" s="39" t="str">
        <f>IF(C2092="","",IFERROR(INDEX(art_des,MATCH(C2092,art_ref,0))&amp;"","Référence inconnue"))</f>
        <v/>
      </c>
      <c r="E2092" s="37" t="n"/>
      <c r="F2092" s="39" t="str">
        <f>IF(C2092="","",IFERROR(INDEX(art_unit,MATCH(C2092,art_ref,0))&amp;"",""))</f>
        <v/>
      </c>
      <c r="G2092" s="37" t="n"/>
      <c r="H2092" s="37" t="n"/>
      <c r="I2092" s="37" t="n"/>
      <c r="J2092" s="40" t="str">
        <f>IF(OR(C2092="",NOT(ISNUMBER(E2092))),"",IFERROR(E2092*N(INDEX(art_price,MATCH(C2092,art_ref,0))),""))</f>
        <v/>
      </c>
      <c r="K2092" s="39" t="str">
        <f>IF(OR(C2092="",NOT(ISNUMBER(E2092))),"",IFERROR(ROUND(N(INDEX(art_init,MATCH(C2092,art_ref,0)))+SUMIFS($E$5:E2092,$C$5:C2092,C2092,$B$5:B2092,"Entrée")-SUMIFS($E$5:E2092,$C$5:C2092,C2092,$B$5:B2092,"Sortie"),6),""))</f>
        <v/>
      </c>
      <c r="L2092" s="39" t="str">
        <f>IF(COUNTA(A2092:C2092,E2092)=0,"",IF(COUNTA(A2092:C2092,E2092)&lt;4,"Ligne incomplète",IF(NOT(ISNUMBER(A2092)),"Date invalide",IF(AND(B2092&lt;&gt;"Entrée",B2092&lt;&gt;"Sortie"),"Type inconnu",IF(ISNA(MATCH(C2092,art_ref,0)),"Référence inconnue",IF(OR(NOT(ISNUMBER(E2092)),N(E2092)&lt;=0),"Quantité invalide",IF(K2092&lt;0,"Stock négatif",IF(AND(ISNUMBER(A2091),A2092&lt;A2091),"Date hors ordre","OK"))))))))</f>
        <v/>
      </c>
      <c r="M2092" s="39" t="str">
        <f>IF(C2092="","",C2092&amp;"#"&amp;COUNTIF($C$5:C2092,C2092))</f>
        <v/>
      </c>
    </row>
    <row r="2093">
      <c r="A2093" s="41" t="n"/>
      <c r="B2093" s="37" t="n"/>
      <c r="C2093" s="37" t="n"/>
      <c r="D2093" s="39" t="str">
        <f>IF(C2093="","",IFERROR(INDEX(art_des,MATCH(C2093,art_ref,0))&amp;"","Référence inconnue"))</f>
        <v/>
      </c>
      <c r="E2093" s="37" t="n"/>
      <c r="F2093" s="39" t="str">
        <f>IF(C2093="","",IFERROR(INDEX(art_unit,MATCH(C2093,art_ref,0))&amp;"",""))</f>
        <v/>
      </c>
      <c r="G2093" s="37" t="n"/>
      <c r="H2093" s="37" t="n"/>
      <c r="I2093" s="37" t="n"/>
      <c r="J2093" s="40" t="str">
        <f>IF(OR(C2093="",NOT(ISNUMBER(E2093))),"",IFERROR(E2093*N(INDEX(art_price,MATCH(C2093,art_ref,0))),""))</f>
        <v/>
      </c>
      <c r="K2093" s="39" t="str">
        <f>IF(OR(C2093="",NOT(ISNUMBER(E2093))),"",IFERROR(ROUND(N(INDEX(art_init,MATCH(C2093,art_ref,0)))+SUMIFS($E$5:E2093,$C$5:C2093,C2093,$B$5:B2093,"Entrée")-SUMIFS($E$5:E2093,$C$5:C2093,C2093,$B$5:B2093,"Sortie"),6),""))</f>
        <v/>
      </c>
      <c r="L2093" s="39" t="str">
        <f>IF(COUNTA(A2093:C2093,E2093)=0,"",IF(COUNTA(A2093:C2093,E2093)&lt;4,"Ligne incomplète",IF(NOT(ISNUMBER(A2093)),"Date invalide",IF(AND(B2093&lt;&gt;"Entrée",B2093&lt;&gt;"Sortie"),"Type inconnu",IF(ISNA(MATCH(C2093,art_ref,0)),"Référence inconnue",IF(OR(NOT(ISNUMBER(E2093)),N(E2093)&lt;=0),"Quantité invalide",IF(K2093&lt;0,"Stock négatif",IF(AND(ISNUMBER(A2092),A2093&lt;A2092),"Date hors ordre","OK"))))))))</f>
        <v/>
      </c>
      <c r="M2093" s="39" t="str">
        <f>IF(C2093="","",C2093&amp;"#"&amp;COUNTIF($C$5:C2093,C2093))</f>
        <v/>
      </c>
    </row>
    <row r="2094">
      <c r="A2094" s="41" t="n"/>
      <c r="B2094" s="37" t="n"/>
      <c r="C2094" s="37" t="n"/>
      <c r="D2094" s="39" t="str">
        <f>IF(C2094="","",IFERROR(INDEX(art_des,MATCH(C2094,art_ref,0))&amp;"","Référence inconnue"))</f>
        <v/>
      </c>
      <c r="E2094" s="37" t="n"/>
      <c r="F2094" s="39" t="str">
        <f>IF(C2094="","",IFERROR(INDEX(art_unit,MATCH(C2094,art_ref,0))&amp;"",""))</f>
        <v/>
      </c>
      <c r="G2094" s="37" t="n"/>
      <c r="H2094" s="37" t="n"/>
      <c r="I2094" s="37" t="n"/>
      <c r="J2094" s="40" t="str">
        <f>IF(OR(C2094="",NOT(ISNUMBER(E2094))),"",IFERROR(E2094*N(INDEX(art_price,MATCH(C2094,art_ref,0))),""))</f>
        <v/>
      </c>
      <c r="K2094" s="39" t="str">
        <f>IF(OR(C2094="",NOT(ISNUMBER(E2094))),"",IFERROR(ROUND(N(INDEX(art_init,MATCH(C2094,art_ref,0)))+SUMIFS($E$5:E2094,$C$5:C2094,C2094,$B$5:B2094,"Entrée")-SUMIFS($E$5:E2094,$C$5:C2094,C2094,$B$5:B2094,"Sortie"),6),""))</f>
        <v/>
      </c>
      <c r="L2094" s="39" t="str">
        <f>IF(COUNTA(A2094:C2094,E2094)=0,"",IF(COUNTA(A2094:C2094,E2094)&lt;4,"Ligne incomplète",IF(NOT(ISNUMBER(A2094)),"Date invalide",IF(AND(B2094&lt;&gt;"Entrée",B2094&lt;&gt;"Sortie"),"Type inconnu",IF(ISNA(MATCH(C2094,art_ref,0)),"Référence inconnue",IF(OR(NOT(ISNUMBER(E2094)),N(E2094)&lt;=0),"Quantité invalide",IF(K2094&lt;0,"Stock négatif",IF(AND(ISNUMBER(A2093),A2094&lt;A2093),"Date hors ordre","OK"))))))))</f>
        <v/>
      </c>
      <c r="M2094" s="39" t="str">
        <f>IF(C2094="","",C2094&amp;"#"&amp;COUNTIF($C$5:C2094,C2094))</f>
        <v/>
      </c>
    </row>
    <row r="2095">
      <c r="A2095" s="41" t="n"/>
      <c r="B2095" s="37" t="n"/>
      <c r="C2095" s="37" t="n"/>
      <c r="D2095" s="39" t="str">
        <f>IF(C2095="","",IFERROR(INDEX(art_des,MATCH(C2095,art_ref,0))&amp;"","Référence inconnue"))</f>
        <v/>
      </c>
      <c r="E2095" s="37" t="n"/>
      <c r="F2095" s="39" t="str">
        <f>IF(C2095="","",IFERROR(INDEX(art_unit,MATCH(C2095,art_ref,0))&amp;"",""))</f>
        <v/>
      </c>
      <c r="G2095" s="37" t="n"/>
      <c r="H2095" s="37" t="n"/>
      <c r="I2095" s="37" t="n"/>
      <c r="J2095" s="40" t="str">
        <f>IF(OR(C2095="",NOT(ISNUMBER(E2095))),"",IFERROR(E2095*N(INDEX(art_price,MATCH(C2095,art_ref,0))),""))</f>
        <v/>
      </c>
      <c r="K2095" s="39" t="str">
        <f>IF(OR(C2095="",NOT(ISNUMBER(E2095))),"",IFERROR(ROUND(N(INDEX(art_init,MATCH(C2095,art_ref,0)))+SUMIFS($E$5:E2095,$C$5:C2095,C2095,$B$5:B2095,"Entrée")-SUMIFS($E$5:E2095,$C$5:C2095,C2095,$B$5:B2095,"Sortie"),6),""))</f>
        <v/>
      </c>
      <c r="L2095" s="39" t="str">
        <f>IF(COUNTA(A2095:C2095,E2095)=0,"",IF(COUNTA(A2095:C2095,E2095)&lt;4,"Ligne incomplète",IF(NOT(ISNUMBER(A2095)),"Date invalide",IF(AND(B2095&lt;&gt;"Entrée",B2095&lt;&gt;"Sortie"),"Type inconnu",IF(ISNA(MATCH(C2095,art_ref,0)),"Référence inconnue",IF(OR(NOT(ISNUMBER(E2095)),N(E2095)&lt;=0),"Quantité invalide",IF(K2095&lt;0,"Stock négatif",IF(AND(ISNUMBER(A2094),A2095&lt;A2094),"Date hors ordre","OK"))))))))</f>
        <v/>
      </c>
      <c r="M2095" s="39" t="str">
        <f>IF(C2095="","",C2095&amp;"#"&amp;COUNTIF($C$5:C2095,C2095))</f>
        <v/>
      </c>
    </row>
    <row r="2096">
      <c r="A2096" s="41" t="n"/>
      <c r="B2096" s="37" t="n"/>
      <c r="C2096" s="37" t="n"/>
      <c r="D2096" s="39" t="str">
        <f>IF(C2096="","",IFERROR(INDEX(art_des,MATCH(C2096,art_ref,0))&amp;"","Référence inconnue"))</f>
        <v/>
      </c>
      <c r="E2096" s="37" t="n"/>
      <c r="F2096" s="39" t="str">
        <f>IF(C2096="","",IFERROR(INDEX(art_unit,MATCH(C2096,art_ref,0))&amp;"",""))</f>
        <v/>
      </c>
      <c r="G2096" s="37" t="n"/>
      <c r="H2096" s="37" t="n"/>
      <c r="I2096" s="37" t="n"/>
      <c r="J2096" s="40" t="str">
        <f>IF(OR(C2096="",NOT(ISNUMBER(E2096))),"",IFERROR(E2096*N(INDEX(art_price,MATCH(C2096,art_ref,0))),""))</f>
        <v/>
      </c>
      <c r="K2096" s="39" t="str">
        <f>IF(OR(C2096="",NOT(ISNUMBER(E2096))),"",IFERROR(ROUND(N(INDEX(art_init,MATCH(C2096,art_ref,0)))+SUMIFS($E$5:E2096,$C$5:C2096,C2096,$B$5:B2096,"Entrée")-SUMIFS($E$5:E2096,$C$5:C2096,C2096,$B$5:B2096,"Sortie"),6),""))</f>
        <v/>
      </c>
      <c r="L2096" s="39" t="str">
        <f>IF(COUNTA(A2096:C2096,E2096)=0,"",IF(COUNTA(A2096:C2096,E2096)&lt;4,"Ligne incomplète",IF(NOT(ISNUMBER(A2096)),"Date invalide",IF(AND(B2096&lt;&gt;"Entrée",B2096&lt;&gt;"Sortie"),"Type inconnu",IF(ISNA(MATCH(C2096,art_ref,0)),"Référence inconnue",IF(OR(NOT(ISNUMBER(E2096)),N(E2096)&lt;=0),"Quantité invalide",IF(K2096&lt;0,"Stock négatif",IF(AND(ISNUMBER(A2095),A2096&lt;A2095),"Date hors ordre","OK"))))))))</f>
        <v/>
      </c>
      <c r="M2096" s="39" t="str">
        <f>IF(C2096="","",C2096&amp;"#"&amp;COUNTIF($C$5:C2096,C2096))</f>
        <v/>
      </c>
    </row>
    <row r="2097">
      <c r="A2097" s="41" t="n"/>
      <c r="B2097" s="37" t="n"/>
      <c r="C2097" s="37" t="n"/>
      <c r="D2097" s="39" t="str">
        <f>IF(C2097="","",IFERROR(INDEX(art_des,MATCH(C2097,art_ref,0))&amp;"","Référence inconnue"))</f>
        <v/>
      </c>
      <c r="E2097" s="37" t="n"/>
      <c r="F2097" s="39" t="str">
        <f>IF(C2097="","",IFERROR(INDEX(art_unit,MATCH(C2097,art_ref,0))&amp;"",""))</f>
        <v/>
      </c>
      <c r="G2097" s="37" t="n"/>
      <c r="H2097" s="37" t="n"/>
      <c r="I2097" s="37" t="n"/>
      <c r="J2097" s="40" t="str">
        <f>IF(OR(C2097="",NOT(ISNUMBER(E2097))),"",IFERROR(E2097*N(INDEX(art_price,MATCH(C2097,art_ref,0))),""))</f>
        <v/>
      </c>
      <c r="K2097" s="39" t="str">
        <f>IF(OR(C2097="",NOT(ISNUMBER(E2097))),"",IFERROR(ROUND(N(INDEX(art_init,MATCH(C2097,art_ref,0)))+SUMIFS($E$5:E2097,$C$5:C2097,C2097,$B$5:B2097,"Entrée")-SUMIFS($E$5:E2097,$C$5:C2097,C2097,$B$5:B2097,"Sortie"),6),""))</f>
        <v/>
      </c>
      <c r="L2097" s="39" t="str">
        <f>IF(COUNTA(A2097:C2097,E2097)=0,"",IF(COUNTA(A2097:C2097,E2097)&lt;4,"Ligne incomplète",IF(NOT(ISNUMBER(A2097)),"Date invalide",IF(AND(B2097&lt;&gt;"Entrée",B2097&lt;&gt;"Sortie"),"Type inconnu",IF(ISNA(MATCH(C2097,art_ref,0)),"Référence inconnue",IF(OR(NOT(ISNUMBER(E2097)),N(E2097)&lt;=0),"Quantité invalide",IF(K2097&lt;0,"Stock négatif",IF(AND(ISNUMBER(A2096),A2097&lt;A2096),"Date hors ordre","OK"))))))))</f>
        <v/>
      </c>
      <c r="M2097" s="39" t="str">
        <f>IF(C2097="","",C2097&amp;"#"&amp;COUNTIF($C$5:C2097,C2097))</f>
        <v/>
      </c>
    </row>
    <row r="2098">
      <c r="A2098" s="41" t="n"/>
      <c r="B2098" s="37" t="n"/>
      <c r="C2098" s="37" t="n"/>
      <c r="D2098" s="39" t="str">
        <f>IF(C2098="","",IFERROR(INDEX(art_des,MATCH(C2098,art_ref,0))&amp;"","Référence inconnue"))</f>
        <v/>
      </c>
      <c r="E2098" s="37" t="n"/>
      <c r="F2098" s="39" t="str">
        <f>IF(C2098="","",IFERROR(INDEX(art_unit,MATCH(C2098,art_ref,0))&amp;"",""))</f>
        <v/>
      </c>
      <c r="G2098" s="37" t="n"/>
      <c r="H2098" s="37" t="n"/>
      <c r="I2098" s="37" t="n"/>
      <c r="J2098" s="40" t="str">
        <f>IF(OR(C2098="",NOT(ISNUMBER(E2098))),"",IFERROR(E2098*N(INDEX(art_price,MATCH(C2098,art_ref,0))),""))</f>
        <v/>
      </c>
      <c r="K2098" s="39" t="str">
        <f>IF(OR(C2098="",NOT(ISNUMBER(E2098))),"",IFERROR(ROUND(N(INDEX(art_init,MATCH(C2098,art_ref,0)))+SUMIFS($E$5:E2098,$C$5:C2098,C2098,$B$5:B2098,"Entrée")-SUMIFS($E$5:E2098,$C$5:C2098,C2098,$B$5:B2098,"Sortie"),6),""))</f>
        <v/>
      </c>
      <c r="L2098" s="39" t="str">
        <f>IF(COUNTA(A2098:C2098,E2098)=0,"",IF(COUNTA(A2098:C2098,E2098)&lt;4,"Ligne incomplète",IF(NOT(ISNUMBER(A2098)),"Date invalide",IF(AND(B2098&lt;&gt;"Entrée",B2098&lt;&gt;"Sortie"),"Type inconnu",IF(ISNA(MATCH(C2098,art_ref,0)),"Référence inconnue",IF(OR(NOT(ISNUMBER(E2098)),N(E2098)&lt;=0),"Quantité invalide",IF(K2098&lt;0,"Stock négatif",IF(AND(ISNUMBER(A2097),A2098&lt;A2097),"Date hors ordre","OK"))))))))</f>
        <v/>
      </c>
      <c r="M2098" s="39" t="str">
        <f>IF(C2098="","",C2098&amp;"#"&amp;COUNTIF($C$5:C2098,C2098))</f>
        <v/>
      </c>
    </row>
    <row r="2099">
      <c r="A2099" s="41" t="n"/>
      <c r="B2099" s="37" t="n"/>
      <c r="C2099" s="37" t="n"/>
      <c r="D2099" s="39" t="str">
        <f>IF(C2099="","",IFERROR(INDEX(art_des,MATCH(C2099,art_ref,0))&amp;"","Référence inconnue"))</f>
        <v/>
      </c>
      <c r="E2099" s="37" t="n"/>
      <c r="F2099" s="39" t="str">
        <f>IF(C2099="","",IFERROR(INDEX(art_unit,MATCH(C2099,art_ref,0))&amp;"",""))</f>
        <v/>
      </c>
      <c r="G2099" s="37" t="n"/>
      <c r="H2099" s="37" t="n"/>
      <c r="I2099" s="37" t="n"/>
      <c r="J2099" s="40" t="str">
        <f>IF(OR(C2099="",NOT(ISNUMBER(E2099))),"",IFERROR(E2099*N(INDEX(art_price,MATCH(C2099,art_ref,0))),""))</f>
        <v/>
      </c>
      <c r="K2099" s="39" t="str">
        <f>IF(OR(C2099="",NOT(ISNUMBER(E2099))),"",IFERROR(ROUND(N(INDEX(art_init,MATCH(C2099,art_ref,0)))+SUMIFS($E$5:E2099,$C$5:C2099,C2099,$B$5:B2099,"Entrée")-SUMIFS($E$5:E2099,$C$5:C2099,C2099,$B$5:B2099,"Sortie"),6),""))</f>
        <v/>
      </c>
      <c r="L2099" s="39" t="str">
        <f>IF(COUNTA(A2099:C2099,E2099)=0,"",IF(COUNTA(A2099:C2099,E2099)&lt;4,"Ligne incomplète",IF(NOT(ISNUMBER(A2099)),"Date invalide",IF(AND(B2099&lt;&gt;"Entrée",B2099&lt;&gt;"Sortie"),"Type inconnu",IF(ISNA(MATCH(C2099,art_ref,0)),"Référence inconnue",IF(OR(NOT(ISNUMBER(E2099)),N(E2099)&lt;=0),"Quantité invalide",IF(K2099&lt;0,"Stock négatif",IF(AND(ISNUMBER(A2098),A2099&lt;A2098),"Date hors ordre","OK"))))))))</f>
        <v/>
      </c>
      <c r="M2099" s="39" t="str">
        <f>IF(C2099="","",C2099&amp;"#"&amp;COUNTIF($C$5:C2099,C2099))</f>
        <v/>
      </c>
    </row>
    <row r="2100">
      <c r="A2100" s="41" t="n"/>
      <c r="B2100" s="37" t="n"/>
      <c r="C2100" s="37" t="n"/>
      <c r="D2100" s="39" t="str">
        <f>IF(C2100="","",IFERROR(INDEX(art_des,MATCH(C2100,art_ref,0))&amp;"","Référence inconnue"))</f>
        <v/>
      </c>
      <c r="E2100" s="37" t="n"/>
      <c r="F2100" s="39" t="str">
        <f>IF(C2100="","",IFERROR(INDEX(art_unit,MATCH(C2100,art_ref,0))&amp;"",""))</f>
        <v/>
      </c>
      <c r="G2100" s="37" t="n"/>
      <c r="H2100" s="37" t="n"/>
      <c r="I2100" s="37" t="n"/>
      <c r="J2100" s="40" t="str">
        <f>IF(OR(C2100="",NOT(ISNUMBER(E2100))),"",IFERROR(E2100*N(INDEX(art_price,MATCH(C2100,art_ref,0))),""))</f>
        <v/>
      </c>
      <c r="K2100" s="39" t="str">
        <f>IF(OR(C2100="",NOT(ISNUMBER(E2100))),"",IFERROR(ROUND(N(INDEX(art_init,MATCH(C2100,art_ref,0)))+SUMIFS($E$5:E2100,$C$5:C2100,C2100,$B$5:B2100,"Entrée")-SUMIFS($E$5:E2100,$C$5:C2100,C2100,$B$5:B2100,"Sortie"),6),""))</f>
        <v/>
      </c>
      <c r="L2100" s="39" t="str">
        <f>IF(COUNTA(A2100:C2100,E2100)=0,"",IF(COUNTA(A2100:C2100,E2100)&lt;4,"Ligne incomplète",IF(NOT(ISNUMBER(A2100)),"Date invalide",IF(AND(B2100&lt;&gt;"Entrée",B2100&lt;&gt;"Sortie"),"Type inconnu",IF(ISNA(MATCH(C2100,art_ref,0)),"Référence inconnue",IF(OR(NOT(ISNUMBER(E2100)),N(E2100)&lt;=0),"Quantité invalide",IF(K2100&lt;0,"Stock négatif",IF(AND(ISNUMBER(A2099),A2100&lt;A2099),"Date hors ordre","OK"))))))))</f>
        <v/>
      </c>
      <c r="M2100" s="39" t="str">
        <f>IF(C2100="","",C2100&amp;"#"&amp;COUNTIF($C$5:C2100,C2100))</f>
        <v/>
      </c>
    </row>
    <row r="2101">
      <c r="A2101" s="41" t="n"/>
      <c r="B2101" s="37" t="n"/>
      <c r="C2101" s="37" t="n"/>
      <c r="D2101" s="39" t="str">
        <f>IF(C2101="","",IFERROR(INDEX(art_des,MATCH(C2101,art_ref,0))&amp;"","Référence inconnue"))</f>
        <v/>
      </c>
      <c r="E2101" s="37" t="n"/>
      <c r="F2101" s="39" t="str">
        <f>IF(C2101="","",IFERROR(INDEX(art_unit,MATCH(C2101,art_ref,0))&amp;"",""))</f>
        <v/>
      </c>
      <c r="G2101" s="37" t="n"/>
      <c r="H2101" s="37" t="n"/>
      <c r="I2101" s="37" t="n"/>
      <c r="J2101" s="40" t="str">
        <f>IF(OR(C2101="",NOT(ISNUMBER(E2101))),"",IFERROR(E2101*N(INDEX(art_price,MATCH(C2101,art_ref,0))),""))</f>
        <v/>
      </c>
      <c r="K2101" s="39" t="str">
        <f>IF(OR(C2101="",NOT(ISNUMBER(E2101))),"",IFERROR(ROUND(N(INDEX(art_init,MATCH(C2101,art_ref,0)))+SUMIFS($E$5:E2101,$C$5:C2101,C2101,$B$5:B2101,"Entrée")-SUMIFS($E$5:E2101,$C$5:C2101,C2101,$B$5:B2101,"Sortie"),6),""))</f>
        <v/>
      </c>
      <c r="L2101" s="39" t="str">
        <f>IF(COUNTA(A2101:C2101,E2101)=0,"",IF(COUNTA(A2101:C2101,E2101)&lt;4,"Ligne incomplète",IF(NOT(ISNUMBER(A2101)),"Date invalide",IF(AND(B2101&lt;&gt;"Entrée",B2101&lt;&gt;"Sortie"),"Type inconnu",IF(ISNA(MATCH(C2101,art_ref,0)),"Référence inconnue",IF(OR(NOT(ISNUMBER(E2101)),N(E2101)&lt;=0),"Quantité invalide",IF(K2101&lt;0,"Stock négatif",IF(AND(ISNUMBER(A2100),A2101&lt;A2100),"Date hors ordre","OK"))))))))</f>
        <v/>
      </c>
      <c r="M2101" s="39" t="str">
        <f>IF(C2101="","",C2101&amp;"#"&amp;COUNTIF($C$5:C2101,C2101))</f>
        <v/>
      </c>
    </row>
    <row r="2102">
      <c r="A2102" s="41" t="n"/>
      <c r="B2102" s="37" t="n"/>
      <c r="C2102" s="37" t="n"/>
      <c r="D2102" s="39" t="str">
        <f>IF(C2102="","",IFERROR(INDEX(art_des,MATCH(C2102,art_ref,0))&amp;"","Référence inconnue"))</f>
        <v/>
      </c>
      <c r="E2102" s="37" t="n"/>
      <c r="F2102" s="39" t="str">
        <f>IF(C2102="","",IFERROR(INDEX(art_unit,MATCH(C2102,art_ref,0))&amp;"",""))</f>
        <v/>
      </c>
      <c r="G2102" s="37" t="n"/>
      <c r="H2102" s="37" t="n"/>
      <c r="I2102" s="37" t="n"/>
      <c r="J2102" s="40" t="str">
        <f>IF(OR(C2102="",NOT(ISNUMBER(E2102))),"",IFERROR(E2102*N(INDEX(art_price,MATCH(C2102,art_ref,0))),""))</f>
        <v/>
      </c>
      <c r="K2102" s="39" t="str">
        <f>IF(OR(C2102="",NOT(ISNUMBER(E2102))),"",IFERROR(ROUND(N(INDEX(art_init,MATCH(C2102,art_ref,0)))+SUMIFS($E$5:E2102,$C$5:C2102,C2102,$B$5:B2102,"Entrée")-SUMIFS($E$5:E2102,$C$5:C2102,C2102,$B$5:B2102,"Sortie"),6),""))</f>
        <v/>
      </c>
      <c r="L2102" s="39" t="str">
        <f>IF(COUNTA(A2102:C2102,E2102)=0,"",IF(COUNTA(A2102:C2102,E2102)&lt;4,"Ligne incomplète",IF(NOT(ISNUMBER(A2102)),"Date invalide",IF(AND(B2102&lt;&gt;"Entrée",B2102&lt;&gt;"Sortie"),"Type inconnu",IF(ISNA(MATCH(C2102,art_ref,0)),"Référence inconnue",IF(OR(NOT(ISNUMBER(E2102)),N(E2102)&lt;=0),"Quantité invalide",IF(K2102&lt;0,"Stock négatif",IF(AND(ISNUMBER(A2101),A2102&lt;A2101),"Date hors ordre","OK"))))))))</f>
        <v/>
      </c>
      <c r="M2102" s="39" t="str">
        <f>IF(C2102="","",C2102&amp;"#"&amp;COUNTIF($C$5:C2102,C2102))</f>
        <v/>
      </c>
    </row>
    <row r="2103">
      <c r="A2103" s="41" t="n"/>
      <c r="B2103" s="37" t="n"/>
      <c r="C2103" s="37" t="n"/>
      <c r="D2103" s="39" t="str">
        <f>IF(C2103="","",IFERROR(INDEX(art_des,MATCH(C2103,art_ref,0))&amp;"","Référence inconnue"))</f>
        <v/>
      </c>
      <c r="E2103" s="37" t="n"/>
      <c r="F2103" s="39" t="str">
        <f>IF(C2103="","",IFERROR(INDEX(art_unit,MATCH(C2103,art_ref,0))&amp;"",""))</f>
        <v/>
      </c>
      <c r="G2103" s="37" t="n"/>
      <c r="H2103" s="37" t="n"/>
      <c r="I2103" s="37" t="n"/>
      <c r="J2103" s="40" t="str">
        <f>IF(OR(C2103="",NOT(ISNUMBER(E2103))),"",IFERROR(E2103*N(INDEX(art_price,MATCH(C2103,art_ref,0))),""))</f>
        <v/>
      </c>
      <c r="K2103" s="39" t="str">
        <f>IF(OR(C2103="",NOT(ISNUMBER(E2103))),"",IFERROR(ROUND(N(INDEX(art_init,MATCH(C2103,art_ref,0)))+SUMIFS($E$5:E2103,$C$5:C2103,C2103,$B$5:B2103,"Entrée")-SUMIFS($E$5:E2103,$C$5:C2103,C2103,$B$5:B2103,"Sortie"),6),""))</f>
        <v/>
      </c>
      <c r="L2103" s="39" t="str">
        <f>IF(COUNTA(A2103:C2103,E2103)=0,"",IF(COUNTA(A2103:C2103,E2103)&lt;4,"Ligne incomplète",IF(NOT(ISNUMBER(A2103)),"Date invalide",IF(AND(B2103&lt;&gt;"Entrée",B2103&lt;&gt;"Sortie"),"Type inconnu",IF(ISNA(MATCH(C2103,art_ref,0)),"Référence inconnue",IF(OR(NOT(ISNUMBER(E2103)),N(E2103)&lt;=0),"Quantité invalide",IF(K2103&lt;0,"Stock négatif",IF(AND(ISNUMBER(A2102),A2103&lt;A2102),"Date hors ordre","OK"))))))))</f>
        <v/>
      </c>
      <c r="M2103" s="39" t="str">
        <f>IF(C2103="","",C2103&amp;"#"&amp;COUNTIF($C$5:C2103,C2103))</f>
        <v/>
      </c>
    </row>
    <row r="2104">
      <c r="A2104" s="41" t="n"/>
      <c r="B2104" s="37" t="n"/>
      <c r="C2104" s="37" t="n"/>
      <c r="D2104" s="39" t="str">
        <f>IF(C2104="","",IFERROR(INDEX(art_des,MATCH(C2104,art_ref,0))&amp;"","Référence inconnue"))</f>
        <v/>
      </c>
      <c r="E2104" s="37" t="n"/>
      <c r="F2104" s="39" t="str">
        <f>IF(C2104="","",IFERROR(INDEX(art_unit,MATCH(C2104,art_ref,0))&amp;"",""))</f>
        <v/>
      </c>
      <c r="G2104" s="37" t="n"/>
      <c r="H2104" s="37" t="n"/>
      <c r="I2104" s="37" t="n"/>
      <c r="J2104" s="40" t="str">
        <f>IF(OR(C2104="",NOT(ISNUMBER(E2104))),"",IFERROR(E2104*N(INDEX(art_price,MATCH(C2104,art_ref,0))),""))</f>
        <v/>
      </c>
      <c r="K2104" s="39" t="str">
        <f>IF(OR(C2104="",NOT(ISNUMBER(E2104))),"",IFERROR(ROUND(N(INDEX(art_init,MATCH(C2104,art_ref,0)))+SUMIFS($E$5:E2104,$C$5:C2104,C2104,$B$5:B2104,"Entrée")-SUMIFS($E$5:E2104,$C$5:C2104,C2104,$B$5:B2104,"Sortie"),6),""))</f>
        <v/>
      </c>
      <c r="L2104" s="39" t="str">
        <f>IF(COUNTA(A2104:C2104,E2104)=0,"",IF(COUNTA(A2104:C2104,E2104)&lt;4,"Ligne incomplète",IF(NOT(ISNUMBER(A2104)),"Date invalide",IF(AND(B2104&lt;&gt;"Entrée",B2104&lt;&gt;"Sortie"),"Type inconnu",IF(ISNA(MATCH(C2104,art_ref,0)),"Référence inconnue",IF(OR(NOT(ISNUMBER(E2104)),N(E2104)&lt;=0),"Quantité invalide",IF(K2104&lt;0,"Stock négatif",IF(AND(ISNUMBER(A2103),A2104&lt;A2103),"Date hors ordre","OK"))))))))</f>
        <v/>
      </c>
      <c r="M2104" s="39" t="str">
        <f>IF(C2104="","",C2104&amp;"#"&amp;COUNTIF($C$5:C2104,C2104))</f>
        <v/>
      </c>
    </row>
    <row r="2105">
      <c r="A2105" s="41" t="n"/>
      <c r="B2105" s="37" t="n"/>
      <c r="C2105" s="37" t="n"/>
      <c r="D2105" s="39" t="str">
        <f>IF(C2105="","",IFERROR(INDEX(art_des,MATCH(C2105,art_ref,0))&amp;"","Référence inconnue"))</f>
        <v/>
      </c>
      <c r="E2105" s="37" t="n"/>
      <c r="F2105" s="39" t="str">
        <f>IF(C2105="","",IFERROR(INDEX(art_unit,MATCH(C2105,art_ref,0))&amp;"",""))</f>
        <v/>
      </c>
      <c r="G2105" s="37" t="n"/>
      <c r="H2105" s="37" t="n"/>
      <c r="I2105" s="37" t="n"/>
      <c r="J2105" s="40" t="str">
        <f>IF(OR(C2105="",NOT(ISNUMBER(E2105))),"",IFERROR(E2105*N(INDEX(art_price,MATCH(C2105,art_ref,0))),""))</f>
        <v/>
      </c>
      <c r="K2105" s="39" t="str">
        <f>IF(OR(C2105="",NOT(ISNUMBER(E2105))),"",IFERROR(ROUND(N(INDEX(art_init,MATCH(C2105,art_ref,0)))+SUMIFS($E$5:E2105,$C$5:C2105,C2105,$B$5:B2105,"Entrée")-SUMIFS($E$5:E2105,$C$5:C2105,C2105,$B$5:B2105,"Sortie"),6),""))</f>
        <v/>
      </c>
      <c r="L2105" s="39" t="str">
        <f>IF(COUNTA(A2105:C2105,E2105)=0,"",IF(COUNTA(A2105:C2105,E2105)&lt;4,"Ligne incomplète",IF(NOT(ISNUMBER(A2105)),"Date invalide",IF(AND(B2105&lt;&gt;"Entrée",B2105&lt;&gt;"Sortie"),"Type inconnu",IF(ISNA(MATCH(C2105,art_ref,0)),"Référence inconnue",IF(OR(NOT(ISNUMBER(E2105)),N(E2105)&lt;=0),"Quantité invalide",IF(K2105&lt;0,"Stock négatif",IF(AND(ISNUMBER(A2104),A2105&lt;A2104),"Date hors ordre","OK"))))))))</f>
        <v/>
      </c>
      <c r="M2105" s="39" t="str">
        <f>IF(C2105="","",C2105&amp;"#"&amp;COUNTIF($C$5:C2105,C2105))</f>
        <v/>
      </c>
    </row>
    <row r="2106">
      <c r="A2106" s="41" t="n"/>
      <c r="B2106" s="37" t="n"/>
      <c r="C2106" s="37" t="n"/>
      <c r="D2106" s="39" t="str">
        <f>IF(C2106="","",IFERROR(INDEX(art_des,MATCH(C2106,art_ref,0))&amp;"","Référence inconnue"))</f>
        <v/>
      </c>
      <c r="E2106" s="37" t="n"/>
      <c r="F2106" s="39" t="str">
        <f>IF(C2106="","",IFERROR(INDEX(art_unit,MATCH(C2106,art_ref,0))&amp;"",""))</f>
        <v/>
      </c>
      <c r="G2106" s="37" t="n"/>
      <c r="H2106" s="37" t="n"/>
      <c r="I2106" s="37" t="n"/>
      <c r="J2106" s="40" t="str">
        <f>IF(OR(C2106="",NOT(ISNUMBER(E2106))),"",IFERROR(E2106*N(INDEX(art_price,MATCH(C2106,art_ref,0))),""))</f>
        <v/>
      </c>
      <c r="K2106" s="39" t="str">
        <f>IF(OR(C2106="",NOT(ISNUMBER(E2106))),"",IFERROR(ROUND(N(INDEX(art_init,MATCH(C2106,art_ref,0)))+SUMIFS($E$5:E2106,$C$5:C2106,C2106,$B$5:B2106,"Entrée")-SUMIFS($E$5:E2106,$C$5:C2106,C2106,$B$5:B2106,"Sortie"),6),""))</f>
        <v/>
      </c>
      <c r="L2106" s="39" t="str">
        <f>IF(COUNTA(A2106:C2106,E2106)=0,"",IF(COUNTA(A2106:C2106,E2106)&lt;4,"Ligne incomplète",IF(NOT(ISNUMBER(A2106)),"Date invalide",IF(AND(B2106&lt;&gt;"Entrée",B2106&lt;&gt;"Sortie"),"Type inconnu",IF(ISNA(MATCH(C2106,art_ref,0)),"Référence inconnue",IF(OR(NOT(ISNUMBER(E2106)),N(E2106)&lt;=0),"Quantité invalide",IF(K2106&lt;0,"Stock négatif",IF(AND(ISNUMBER(A2105),A2106&lt;A2105),"Date hors ordre","OK"))))))))</f>
        <v/>
      </c>
      <c r="M2106" s="39" t="str">
        <f>IF(C2106="","",C2106&amp;"#"&amp;COUNTIF($C$5:C2106,C2106))</f>
        <v/>
      </c>
    </row>
    <row r="2107">
      <c r="A2107" s="41" t="n"/>
      <c r="B2107" s="37" t="n"/>
      <c r="C2107" s="37" t="n"/>
      <c r="D2107" s="39" t="str">
        <f>IF(C2107="","",IFERROR(INDEX(art_des,MATCH(C2107,art_ref,0))&amp;"","Référence inconnue"))</f>
        <v/>
      </c>
      <c r="E2107" s="37" t="n"/>
      <c r="F2107" s="39" t="str">
        <f>IF(C2107="","",IFERROR(INDEX(art_unit,MATCH(C2107,art_ref,0))&amp;"",""))</f>
        <v/>
      </c>
      <c r="G2107" s="37" t="n"/>
      <c r="H2107" s="37" t="n"/>
      <c r="I2107" s="37" t="n"/>
      <c r="J2107" s="40" t="str">
        <f>IF(OR(C2107="",NOT(ISNUMBER(E2107))),"",IFERROR(E2107*N(INDEX(art_price,MATCH(C2107,art_ref,0))),""))</f>
        <v/>
      </c>
      <c r="K2107" s="39" t="str">
        <f>IF(OR(C2107="",NOT(ISNUMBER(E2107))),"",IFERROR(ROUND(N(INDEX(art_init,MATCH(C2107,art_ref,0)))+SUMIFS($E$5:E2107,$C$5:C2107,C2107,$B$5:B2107,"Entrée")-SUMIFS($E$5:E2107,$C$5:C2107,C2107,$B$5:B2107,"Sortie"),6),""))</f>
        <v/>
      </c>
      <c r="L2107" s="39" t="str">
        <f>IF(COUNTA(A2107:C2107,E2107)=0,"",IF(COUNTA(A2107:C2107,E2107)&lt;4,"Ligne incomplète",IF(NOT(ISNUMBER(A2107)),"Date invalide",IF(AND(B2107&lt;&gt;"Entrée",B2107&lt;&gt;"Sortie"),"Type inconnu",IF(ISNA(MATCH(C2107,art_ref,0)),"Référence inconnue",IF(OR(NOT(ISNUMBER(E2107)),N(E2107)&lt;=0),"Quantité invalide",IF(K2107&lt;0,"Stock négatif",IF(AND(ISNUMBER(A2106),A2107&lt;A2106),"Date hors ordre","OK"))))))))</f>
        <v/>
      </c>
      <c r="M2107" s="39" t="str">
        <f>IF(C2107="","",C2107&amp;"#"&amp;COUNTIF($C$5:C2107,C2107))</f>
        <v/>
      </c>
    </row>
    <row r="2108">
      <c r="A2108" s="41" t="n"/>
      <c r="B2108" s="37" t="n"/>
      <c r="C2108" s="37" t="n"/>
      <c r="D2108" s="39" t="str">
        <f>IF(C2108="","",IFERROR(INDEX(art_des,MATCH(C2108,art_ref,0))&amp;"","Référence inconnue"))</f>
        <v/>
      </c>
      <c r="E2108" s="37" t="n"/>
      <c r="F2108" s="39" t="str">
        <f>IF(C2108="","",IFERROR(INDEX(art_unit,MATCH(C2108,art_ref,0))&amp;"",""))</f>
        <v/>
      </c>
      <c r="G2108" s="37" t="n"/>
      <c r="H2108" s="37" t="n"/>
      <c r="I2108" s="37" t="n"/>
      <c r="J2108" s="40" t="str">
        <f>IF(OR(C2108="",NOT(ISNUMBER(E2108))),"",IFERROR(E2108*N(INDEX(art_price,MATCH(C2108,art_ref,0))),""))</f>
        <v/>
      </c>
      <c r="K2108" s="39" t="str">
        <f>IF(OR(C2108="",NOT(ISNUMBER(E2108))),"",IFERROR(ROUND(N(INDEX(art_init,MATCH(C2108,art_ref,0)))+SUMIFS($E$5:E2108,$C$5:C2108,C2108,$B$5:B2108,"Entrée")-SUMIFS($E$5:E2108,$C$5:C2108,C2108,$B$5:B2108,"Sortie"),6),""))</f>
        <v/>
      </c>
      <c r="L2108" s="39" t="str">
        <f>IF(COUNTA(A2108:C2108,E2108)=0,"",IF(COUNTA(A2108:C2108,E2108)&lt;4,"Ligne incomplète",IF(NOT(ISNUMBER(A2108)),"Date invalide",IF(AND(B2108&lt;&gt;"Entrée",B2108&lt;&gt;"Sortie"),"Type inconnu",IF(ISNA(MATCH(C2108,art_ref,0)),"Référence inconnue",IF(OR(NOT(ISNUMBER(E2108)),N(E2108)&lt;=0),"Quantité invalide",IF(K2108&lt;0,"Stock négatif",IF(AND(ISNUMBER(A2107),A2108&lt;A2107),"Date hors ordre","OK"))))))))</f>
        <v/>
      </c>
      <c r="M2108" s="39" t="str">
        <f>IF(C2108="","",C2108&amp;"#"&amp;COUNTIF($C$5:C2108,C2108))</f>
        <v/>
      </c>
    </row>
    <row r="2109">
      <c r="A2109" s="41" t="n"/>
      <c r="B2109" s="37" t="n"/>
      <c r="C2109" s="37" t="n"/>
      <c r="D2109" s="39" t="str">
        <f>IF(C2109="","",IFERROR(INDEX(art_des,MATCH(C2109,art_ref,0))&amp;"","Référence inconnue"))</f>
        <v/>
      </c>
      <c r="E2109" s="37" t="n"/>
      <c r="F2109" s="39" t="str">
        <f>IF(C2109="","",IFERROR(INDEX(art_unit,MATCH(C2109,art_ref,0))&amp;"",""))</f>
        <v/>
      </c>
      <c r="G2109" s="37" t="n"/>
      <c r="H2109" s="37" t="n"/>
      <c r="I2109" s="37" t="n"/>
      <c r="J2109" s="40" t="str">
        <f>IF(OR(C2109="",NOT(ISNUMBER(E2109))),"",IFERROR(E2109*N(INDEX(art_price,MATCH(C2109,art_ref,0))),""))</f>
        <v/>
      </c>
      <c r="K2109" s="39" t="str">
        <f>IF(OR(C2109="",NOT(ISNUMBER(E2109))),"",IFERROR(ROUND(N(INDEX(art_init,MATCH(C2109,art_ref,0)))+SUMIFS($E$5:E2109,$C$5:C2109,C2109,$B$5:B2109,"Entrée")-SUMIFS($E$5:E2109,$C$5:C2109,C2109,$B$5:B2109,"Sortie"),6),""))</f>
        <v/>
      </c>
      <c r="L2109" s="39" t="str">
        <f>IF(COUNTA(A2109:C2109,E2109)=0,"",IF(COUNTA(A2109:C2109,E2109)&lt;4,"Ligne incomplète",IF(NOT(ISNUMBER(A2109)),"Date invalide",IF(AND(B2109&lt;&gt;"Entrée",B2109&lt;&gt;"Sortie"),"Type inconnu",IF(ISNA(MATCH(C2109,art_ref,0)),"Référence inconnue",IF(OR(NOT(ISNUMBER(E2109)),N(E2109)&lt;=0),"Quantité invalide",IF(K2109&lt;0,"Stock négatif",IF(AND(ISNUMBER(A2108),A2109&lt;A2108),"Date hors ordre","OK"))))))))</f>
        <v/>
      </c>
      <c r="M2109" s="39" t="str">
        <f>IF(C2109="","",C2109&amp;"#"&amp;COUNTIF($C$5:C2109,C2109))</f>
        <v/>
      </c>
    </row>
    <row r="2110">
      <c r="A2110" s="41" t="n"/>
      <c r="B2110" s="37" t="n"/>
      <c r="C2110" s="37" t="n"/>
      <c r="D2110" s="39" t="str">
        <f>IF(C2110="","",IFERROR(INDEX(art_des,MATCH(C2110,art_ref,0))&amp;"","Référence inconnue"))</f>
        <v/>
      </c>
      <c r="E2110" s="37" t="n"/>
      <c r="F2110" s="39" t="str">
        <f>IF(C2110="","",IFERROR(INDEX(art_unit,MATCH(C2110,art_ref,0))&amp;"",""))</f>
        <v/>
      </c>
      <c r="G2110" s="37" t="n"/>
      <c r="H2110" s="37" t="n"/>
      <c r="I2110" s="37" t="n"/>
      <c r="J2110" s="40" t="str">
        <f>IF(OR(C2110="",NOT(ISNUMBER(E2110))),"",IFERROR(E2110*N(INDEX(art_price,MATCH(C2110,art_ref,0))),""))</f>
        <v/>
      </c>
      <c r="K2110" s="39" t="str">
        <f>IF(OR(C2110="",NOT(ISNUMBER(E2110))),"",IFERROR(ROUND(N(INDEX(art_init,MATCH(C2110,art_ref,0)))+SUMIFS($E$5:E2110,$C$5:C2110,C2110,$B$5:B2110,"Entrée")-SUMIFS($E$5:E2110,$C$5:C2110,C2110,$B$5:B2110,"Sortie"),6),""))</f>
        <v/>
      </c>
      <c r="L2110" s="39" t="str">
        <f>IF(COUNTA(A2110:C2110,E2110)=0,"",IF(COUNTA(A2110:C2110,E2110)&lt;4,"Ligne incomplète",IF(NOT(ISNUMBER(A2110)),"Date invalide",IF(AND(B2110&lt;&gt;"Entrée",B2110&lt;&gt;"Sortie"),"Type inconnu",IF(ISNA(MATCH(C2110,art_ref,0)),"Référence inconnue",IF(OR(NOT(ISNUMBER(E2110)),N(E2110)&lt;=0),"Quantité invalide",IF(K2110&lt;0,"Stock négatif",IF(AND(ISNUMBER(A2109),A2110&lt;A2109),"Date hors ordre","OK"))))))))</f>
        <v/>
      </c>
      <c r="M2110" s="39" t="str">
        <f>IF(C2110="","",C2110&amp;"#"&amp;COUNTIF($C$5:C2110,C2110))</f>
        <v/>
      </c>
    </row>
    <row r="2111">
      <c r="A2111" s="41" t="n"/>
      <c r="B2111" s="37" t="n"/>
      <c r="C2111" s="37" t="n"/>
      <c r="D2111" s="39" t="str">
        <f>IF(C2111="","",IFERROR(INDEX(art_des,MATCH(C2111,art_ref,0))&amp;"","Référence inconnue"))</f>
        <v/>
      </c>
      <c r="E2111" s="37" t="n"/>
      <c r="F2111" s="39" t="str">
        <f>IF(C2111="","",IFERROR(INDEX(art_unit,MATCH(C2111,art_ref,0))&amp;"",""))</f>
        <v/>
      </c>
      <c r="G2111" s="37" t="n"/>
      <c r="H2111" s="37" t="n"/>
      <c r="I2111" s="37" t="n"/>
      <c r="J2111" s="40" t="str">
        <f>IF(OR(C2111="",NOT(ISNUMBER(E2111))),"",IFERROR(E2111*N(INDEX(art_price,MATCH(C2111,art_ref,0))),""))</f>
        <v/>
      </c>
      <c r="K2111" s="39" t="str">
        <f>IF(OR(C2111="",NOT(ISNUMBER(E2111))),"",IFERROR(ROUND(N(INDEX(art_init,MATCH(C2111,art_ref,0)))+SUMIFS($E$5:E2111,$C$5:C2111,C2111,$B$5:B2111,"Entrée")-SUMIFS($E$5:E2111,$C$5:C2111,C2111,$B$5:B2111,"Sortie"),6),""))</f>
        <v/>
      </c>
      <c r="L2111" s="39" t="str">
        <f>IF(COUNTA(A2111:C2111,E2111)=0,"",IF(COUNTA(A2111:C2111,E2111)&lt;4,"Ligne incomplète",IF(NOT(ISNUMBER(A2111)),"Date invalide",IF(AND(B2111&lt;&gt;"Entrée",B2111&lt;&gt;"Sortie"),"Type inconnu",IF(ISNA(MATCH(C2111,art_ref,0)),"Référence inconnue",IF(OR(NOT(ISNUMBER(E2111)),N(E2111)&lt;=0),"Quantité invalide",IF(K2111&lt;0,"Stock négatif",IF(AND(ISNUMBER(A2110),A2111&lt;A2110),"Date hors ordre","OK"))))))))</f>
        <v/>
      </c>
      <c r="M2111" s="39" t="str">
        <f>IF(C2111="","",C2111&amp;"#"&amp;COUNTIF($C$5:C2111,C2111))</f>
        <v/>
      </c>
    </row>
    <row r="2112">
      <c r="A2112" s="41" t="n"/>
      <c r="B2112" s="37" t="n"/>
      <c r="C2112" s="37" t="n"/>
      <c r="D2112" s="39" t="str">
        <f>IF(C2112="","",IFERROR(INDEX(art_des,MATCH(C2112,art_ref,0))&amp;"","Référence inconnue"))</f>
        <v/>
      </c>
      <c r="E2112" s="37" t="n"/>
      <c r="F2112" s="39" t="str">
        <f>IF(C2112="","",IFERROR(INDEX(art_unit,MATCH(C2112,art_ref,0))&amp;"",""))</f>
        <v/>
      </c>
      <c r="G2112" s="37" t="n"/>
      <c r="H2112" s="37" t="n"/>
      <c r="I2112" s="37" t="n"/>
      <c r="J2112" s="40" t="str">
        <f>IF(OR(C2112="",NOT(ISNUMBER(E2112))),"",IFERROR(E2112*N(INDEX(art_price,MATCH(C2112,art_ref,0))),""))</f>
        <v/>
      </c>
      <c r="K2112" s="39" t="str">
        <f>IF(OR(C2112="",NOT(ISNUMBER(E2112))),"",IFERROR(ROUND(N(INDEX(art_init,MATCH(C2112,art_ref,0)))+SUMIFS($E$5:E2112,$C$5:C2112,C2112,$B$5:B2112,"Entrée")-SUMIFS($E$5:E2112,$C$5:C2112,C2112,$B$5:B2112,"Sortie"),6),""))</f>
        <v/>
      </c>
      <c r="L2112" s="39" t="str">
        <f>IF(COUNTA(A2112:C2112,E2112)=0,"",IF(COUNTA(A2112:C2112,E2112)&lt;4,"Ligne incomplète",IF(NOT(ISNUMBER(A2112)),"Date invalide",IF(AND(B2112&lt;&gt;"Entrée",B2112&lt;&gt;"Sortie"),"Type inconnu",IF(ISNA(MATCH(C2112,art_ref,0)),"Référence inconnue",IF(OR(NOT(ISNUMBER(E2112)),N(E2112)&lt;=0),"Quantité invalide",IF(K2112&lt;0,"Stock négatif",IF(AND(ISNUMBER(A2111),A2112&lt;A2111),"Date hors ordre","OK"))))))))</f>
        <v/>
      </c>
      <c r="M2112" s="39" t="str">
        <f>IF(C2112="","",C2112&amp;"#"&amp;COUNTIF($C$5:C2112,C2112))</f>
        <v/>
      </c>
    </row>
    <row r="2113">
      <c r="A2113" s="41" t="n"/>
      <c r="B2113" s="37" t="n"/>
      <c r="C2113" s="37" t="n"/>
      <c r="D2113" s="39" t="str">
        <f>IF(C2113="","",IFERROR(INDEX(art_des,MATCH(C2113,art_ref,0))&amp;"","Référence inconnue"))</f>
        <v/>
      </c>
      <c r="E2113" s="37" t="n"/>
      <c r="F2113" s="39" t="str">
        <f>IF(C2113="","",IFERROR(INDEX(art_unit,MATCH(C2113,art_ref,0))&amp;"",""))</f>
        <v/>
      </c>
      <c r="G2113" s="37" t="n"/>
      <c r="H2113" s="37" t="n"/>
      <c r="I2113" s="37" t="n"/>
      <c r="J2113" s="40" t="str">
        <f>IF(OR(C2113="",NOT(ISNUMBER(E2113))),"",IFERROR(E2113*N(INDEX(art_price,MATCH(C2113,art_ref,0))),""))</f>
        <v/>
      </c>
      <c r="K2113" s="39" t="str">
        <f>IF(OR(C2113="",NOT(ISNUMBER(E2113))),"",IFERROR(ROUND(N(INDEX(art_init,MATCH(C2113,art_ref,0)))+SUMIFS($E$5:E2113,$C$5:C2113,C2113,$B$5:B2113,"Entrée")-SUMIFS($E$5:E2113,$C$5:C2113,C2113,$B$5:B2113,"Sortie"),6),""))</f>
        <v/>
      </c>
      <c r="L2113" s="39" t="str">
        <f>IF(COUNTA(A2113:C2113,E2113)=0,"",IF(COUNTA(A2113:C2113,E2113)&lt;4,"Ligne incomplète",IF(NOT(ISNUMBER(A2113)),"Date invalide",IF(AND(B2113&lt;&gt;"Entrée",B2113&lt;&gt;"Sortie"),"Type inconnu",IF(ISNA(MATCH(C2113,art_ref,0)),"Référence inconnue",IF(OR(NOT(ISNUMBER(E2113)),N(E2113)&lt;=0),"Quantité invalide",IF(K2113&lt;0,"Stock négatif",IF(AND(ISNUMBER(A2112),A2113&lt;A2112),"Date hors ordre","OK"))))))))</f>
        <v/>
      </c>
      <c r="M2113" s="39" t="str">
        <f>IF(C2113="","",C2113&amp;"#"&amp;COUNTIF($C$5:C2113,C2113))</f>
        <v/>
      </c>
    </row>
    <row r="2114">
      <c r="A2114" s="41" t="n"/>
      <c r="B2114" s="37" t="n"/>
      <c r="C2114" s="37" t="n"/>
      <c r="D2114" s="39" t="str">
        <f>IF(C2114="","",IFERROR(INDEX(art_des,MATCH(C2114,art_ref,0))&amp;"","Référence inconnue"))</f>
        <v/>
      </c>
      <c r="E2114" s="37" t="n"/>
      <c r="F2114" s="39" t="str">
        <f>IF(C2114="","",IFERROR(INDEX(art_unit,MATCH(C2114,art_ref,0))&amp;"",""))</f>
        <v/>
      </c>
      <c r="G2114" s="37" t="n"/>
      <c r="H2114" s="37" t="n"/>
      <c r="I2114" s="37" t="n"/>
      <c r="J2114" s="40" t="str">
        <f>IF(OR(C2114="",NOT(ISNUMBER(E2114))),"",IFERROR(E2114*N(INDEX(art_price,MATCH(C2114,art_ref,0))),""))</f>
        <v/>
      </c>
      <c r="K2114" s="39" t="str">
        <f>IF(OR(C2114="",NOT(ISNUMBER(E2114))),"",IFERROR(ROUND(N(INDEX(art_init,MATCH(C2114,art_ref,0)))+SUMIFS($E$5:E2114,$C$5:C2114,C2114,$B$5:B2114,"Entrée")-SUMIFS($E$5:E2114,$C$5:C2114,C2114,$B$5:B2114,"Sortie"),6),""))</f>
        <v/>
      </c>
      <c r="L2114" s="39" t="str">
        <f>IF(COUNTA(A2114:C2114,E2114)=0,"",IF(COUNTA(A2114:C2114,E2114)&lt;4,"Ligne incomplète",IF(NOT(ISNUMBER(A2114)),"Date invalide",IF(AND(B2114&lt;&gt;"Entrée",B2114&lt;&gt;"Sortie"),"Type inconnu",IF(ISNA(MATCH(C2114,art_ref,0)),"Référence inconnue",IF(OR(NOT(ISNUMBER(E2114)),N(E2114)&lt;=0),"Quantité invalide",IF(K2114&lt;0,"Stock négatif",IF(AND(ISNUMBER(A2113),A2114&lt;A2113),"Date hors ordre","OK"))))))))</f>
        <v/>
      </c>
      <c r="M2114" s="39" t="str">
        <f>IF(C2114="","",C2114&amp;"#"&amp;COUNTIF($C$5:C2114,C2114))</f>
        <v/>
      </c>
    </row>
    <row r="2115">
      <c r="A2115" s="41" t="n"/>
      <c r="B2115" s="37" t="n"/>
      <c r="C2115" s="37" t="n"/>
      <c r="D2115" s="39" t="str">
        <f>IF(C2115="","",IFERROR(INDEX(art_des,MATCH(C2115,art_ref,0))&amp;"","Référence inconnue"))</f>
        <v/>
      </c>
      <c r="E2115" s="37" t="n"/>
      <c r="F2115" s="39" t="str">
        <f>IF(C2115="","",IFERROR(INDEX(art_unit,MATCH(C2115,art_ref,0))&amp;"",""))</f>
        <v/>
      </c>
      <c r="G2115" s="37" t="n"/>
      <c r="H2115" s="37" t="n"/>
      <c r="I2115" s="37" t="n"/>
      <c r="J2115" s="40" t="str">
        <f>IF(OR(C2115="",NOT(ISNUMBER(E2115))),"",IFERROR(E2115*N(INDEX(art_price,MATCH(C2115,art_ref,0))),""))</f>
        <v/>
      </c>
      <c r="K2115" s="39" t="str">
        <f>IF(OR(C2115="",NOT(ISNUMBER(E2115))),"",IFERROR(ROUND(N(INDEX(art_init,MATCH(C2115,art_ref,0)))+SUMIFS($E$5:E2115,$C$5:C2115,C2115,$B$5:B2115,"Entrée")-SUMIFS($E$5:E2115,$C$5:C2115,C2115,$B$5:B2115,"Sortie"),6),""))</f>
        <v/>
      </c>
      <c r="L2115" s="39" t="str">
        <f>IF(COUNTA(A2115:C2115,E2115)=0,"",IF(COUNTA(A2115:C2115,E2115)&lt;4,"Ligne incomplète",IF(NOT(ISNUMBER(A2115)),"Date invalide",IF(AND(B2115&lt;&gt;"Entrée",B2115&lt;&gt;"Sortie"),"Type inconnu",IF(ISNA(MATCH(C2115,art_ref,0)),"Référence inconnue",IF(OR(NOT(ISNUMBER(E2115)),N(E2115)&lt;=0),"Quantité invalide",IF(K2115&lt;0,"Stock négatif",IF(AND(ISNUMBER(A2114),A2115&lt;A2114),"Date hors ordre","OK"))))))))</f>
        <v/>
      </c>
      <c r="M2115" s="39" t="str">
        <f>IF(C2115="","",C2115&amp;"#"&amp;COUNTIF($C$5:C2115,C2115))</f>
        <v/>
      </c>
    </row>
    <row r="2116">
      <c r="A2116" s="41" t="n"/>
      <c r="B2116" s="37" t="n"/>
      <c r="C2116" s="37" t="n"/>
      <c r="D2116" s="39" t="str">
        <f>IF(C2116="","",IFERROR(INDEX(art_des,MATCH(C2116,art_ref,0))&amp;"","Référence inconnue"))</f>
        <v/>
      </c>
      <c r="E2116" s="37" t="n"/>
      <c r="F2116" s="39" t="str">
        <f>IF(C2116="","",IFERROR(INDEX(art_unit,MATCH(C2116,art_ref,0))&amp;"",""))</f>
        <v/>
      </c>
      <c r="G2116" s="37" t="n"/>
      <c r="H2116" s="37" t="n"/>
      <c r="I2116" s="37" t="n"/>
      <c r="J2116" s="40" t="str">
        <f>IF(OR(C2116="",NOT(ISNUMBER(E2116))),"",IFERROR(E2116*N(INDEX(art_price,MATCH(C2116,art_ref,0))),""))</f>
        <v/>
      </c>
      <c r="K2116" s="39" t="str">
        <f>IF(OR(C2116="",NOT(ISNUMBER(E2116))),"",IFERROR(ROUND(N(INDEX(art_init,MATCH(C2116,art_ref,0)))+SUMIFS($E$5:E2116,$C$5:C2116,C2116,$B$5:B2116,"Entrée")-SUMIFS($E$5:E2116,$C$5:C2116,C2116,$B$5:B2116,"Sortie"),6),""))</f>
        <v/>
      </c>
      <c r="L2116" s="39" t="str">
        <f>IF(COUNTA(A2116:C2116,E2116)=0,"",IF(COUNTA(A2116:C2116,E2116)&lt;4,"Ligne incomplète",IF(NOT(ISNUMBER(A2116)),"Date invalide",IF(AND(B2116&lt;&gt;"Entrée",B2116&lt;&gt;"Sortie"),"Type inconnu",IF(ISNA(MATCH(C2116,art_ref,0)),"Référence inconnue",IF(OR(NOT(ISNUMBER(E2116)),N(E2116)&lt;=0),"Quantité invalide",IF(K2116&lt;0,"Stock négatif",IF(AND(ISNUMBER(A2115),A2116&lt;A2115),"Date hors ordre","OK"))))))))</f>
        <v/>
      </c>
      <c r="M2116" s="39" t="str">
        <f>IF(C2116="","",C2116&amp;"#"&amp;COUNTIF($C$5:C2116,C2116))</f>
        <v/>
      </c>
    </row>
    <row r="2117">
      <c r="A2117" s="41" t="n"/>
      <c r="B2117" s="37" t="n"/>
      <c r="C2117" s="37" t="n"/>
      <c r="D2117" s="39" t="str">
        <f>IF(C2117="","",IFERROR(INDEX(art_des,MATCH(C2117,art_ref,0))&amp;"","Référence inconnue"))</f>
        <v/>
      </c>
      <c r="E2117" s="37" t="n"/>
      <c r="F2117" s="39" t="str">
        <f>IF(C2117="","",IFERROR(INDEX(art_unit,MATCH(C2117,art_ref,0))&amp;"",""))</f>
        <v/>
      </c>
      <c r="G2117" s="37" t="n"/>
      <c r="H2117" s="37" t="n"/>
      <c r="I2117" s="37" t="n"/>
      <c r="J2117" s="40" t="str">
        <f>IF(OR(C2117="",NOT(ISNUMBER(E2117))),"",IFERROR(E2117*N(INDEX(art_price,MATCH(C2117,art_ref,0))),""))</f>
        <v/>
      </c>
      <c r="K2117" s="39" t="str">
        <f>IF(OR(C2117="",NOT(ISNUMBER(E2117))),"",IFERROR(ROUND(N(INDEX(art_init,MATCH(C2117,art_ref,0)))+SUMIFS($E$5:E2117,$C$5:C2117,C2117,$B$5:B2117,"Entrée")-SUMIFS($E$5:E2117,$C$5:C2117,C2117,$B$5:B2117,"Sortie"),6),""))</f>
        <v/>
      </c>
      <c r="L2117" s="39" t="str">
        <f>IF(COUNTA(A2117:C2117,E2117)=0,"",IF(COUNTA(A2117:C2117,E2117)&lt;4,"Ligne incomplète",IF(NOT(ISNUMBER(A2117)),"Date invalide",IF(AND(B2117&lt;&gt;"Entrée",B2117&lt;&gt;"Sortie"),"Type inconnu",IF(ISNA(MATCH(C2117,art_ref,0)),"Référence inconnue",IF(OR(NOT(ISNUMBER(E2117)),N(E2117)&lt;=0),"Quantité invalide",IF(K2117&lt;0,"Stock négatif",IF(AND(ISNUMBER(A2116),A2117&lt;A2116),"Date hors ordre","OK"))))))))</f>
        <v/>
      </c>
      <c r="M2117" s="39" t="str">
        <f>IF(C2117="","",C2117&amp;"#"&amp;COUNTIF($C$5:C2117,C2117))</f>
        <v/>
      </c>
    </row>
    <row r="2118">
      <c r="A2118" s="41" t="n"/>
      <c r="B2118" s="37" t="n"/>
      <c r="C2118" s="37" t="n"/>
      <c r="D2118" s="39" t="str">
        <f>IF(C2118="","",IFERROR(INDEX(art_des,MATCH(C2118,art_ref,0))&amp;"","Référence inconnue"))</f>
        <v/>
      </c>
      <c r="E2118" s="37" t="n"/>
      <c r="F2118" s="39" t="str">
        <f>IF(C2118="","",IFERROR(INDEX(art_unit,MATCH(C2118,art_ref,0))&amp;"",""))</f>
        <v/>
      </c>
      <c r="G2118" s="37" t="n"/>
      <c r="H2118" s="37" t="n"/>
      <c r="I2118" s="37" t="n"/>
      <c r="J2118" s="40" t="str">
        <f>IF(OR(C2118="",NOT(ISNUMBER(E2118))),"",IFERROR(E2118*N(INDEX(art_price,MATCH(C2118,art_ref,0))),""))</f>
        <v/>
      </c>
      <c r="K2118" s="39" t="str">
        <f>IF(OR(C2118="",NOT(ISNUMBER(E2118))),"",IFERROR(ROUND(N(INDEX(art_init,MATCH(C2118,art_ref,0)))+SUMIFS($E$5:E2118,$C$5:C2118,C2118,$B$5:B2118,"Entrée")-SUMIFS($E$5:E2118,$C$5:C2118,C2118,$B$5:B2118,"Sortie"),6),""))</f>
        <v/>
      </c>
      <c r="L2118" s="39" t="str">
        <f>IF(COUNTA(A2118:C2118,E2118)=0,"",IF(COUNTA(A2118:C2118,E2118)&lt;4,"Ligne incomplète",IF(NOT(ISNUMBER(A2118)),"Date invalide",IF(AND(B2118&lt;&gt;"Entrée",B2118&lt;&gt;"Sortie"),"Type inconnu",IF(ISNA(MATCH(C2118,art_ref,0)),"Référence inconnue",IF(OR(NOT(ISNUMBER(E2118)),N(E2118)&lt;=0),"Quantité invalide",IF(K2118&lt;0,"Stock négatif",IF(AND(ISNUMBER(A2117),A2118&lt;A2117),"Date hors ordre","OK"))))))))</f>
        <v/>
      </c>
      <c r="M2118" s="39" t="str">
        <f>IF(C2118="","",C2118&amp;"#"&amp;COUNTIF($C$5:C2118,C2118))</f>
        <v/>
      </c>
    </row>
    <row r="2119">
      <c r="A2119" s="41" t="n"/>
      <c r="B2119" s="37" t="n"/>
      <c r="C2119" s="37" t="n"/>
      <c r="D2119" s="39" t="str">
        <f>IF(C2119="","",IFERROR(INDEX(art_des,MATCH(C2119,art_ref,0))&amp;"","Référence inconnue"))</f>
        <v/>
      </c>
      <c r="E2119" s="37" t="n"/>
      <c r="F2119" s="39" t="str">
        <f>IF(C2119="","",IFERROR(INDEX(art_unit,MATCH(C2119,art_ref,0))&amp;"",""))</f>
        <v/>
      </c>
      <c r="G2119" s="37" t="n"/>
      <c r="H2119" s="37" t="n"/>
      <c r="I2119" s="37" t="n"/>
      <c r="J2119" s="40" t="str">
        <f>IF(OR(C2119="",NOT(ISNUMBER(E2119))),"",IFERROR(E2119*N(INDEX(art_price,MATCH(C2119,art_ref,0))),""))</f>
        <v/>
      </c>
      <c r="K2119" s="39" t="str">
        <f>IF(OR(C2119="",NOT(ISNUMBER(E2119))),"",IFERROR(ROUND(N(INDEX(art_init,MATCH(C2119,art_ref,0)))+SUMIFS($E$5:E2119,$C$5:C2119,C2119,$B$5:B2119,"Entrée")-SUMIFS($E$5:E2119,$C$5:C2119,C2119,$B$5:B2119,"Sortie"),6),""))</f>
        <v/>
      </c>
      <c r="L2119" s="39" t="str">
        <f>IF(COUNTA(A2119:C2119,E2119)=0,"",IF(COUNTA(A2119:C2119,E2119)&lt;4,"Ligne incomplète",IF(NOT(ISNUMBER(A2119)),"Date invalide",IF(AND(B2119&lt;&gt;"Entrée",B2119&lt;&gt;"Sortie"),"Type inconnu",IF(ISNA(MATCH(C2119,art_ref,0)),"Référence inconnue",IF(OR(NOT(ISNUMBER(E2119)),N(E2119)&lt;=0),"Quantité invalide",IF(K2119&lt;0,"Stock négatif",IF(AND(ISNUMBER(A2118),A2119&lt;A2118),"Date hors ordre","OK"))))))))</f>
        <v/>
      </c>
      <c r="M2119" s="39" t="str">
        <f>IF(C2119="","",C2119&amp;"#"&amp;COUNTIF($C$5:C2119,C2119))</f>
        <v/>
      </c>
    </row>
    <row r="2120">
      <c r="A2120" s="41" t="n"/>
      <c r="B2120" s="37" t="n"/>
      <c r="C2120" s="37" t="n"/>
      <c r="D2120" s="39" t="str">
        <f>IF(C2120="","",IFERROR(INDEX(art_des,MATCH(C2120,art_ref,0))&amp;"","Référence inconnue"))</f>
        <v/>
      </c>
      <c r="E2120" s="37" t="n"/>
      <c r="F2120" s="39" t="str">
        <f>IF(C2120="","",IFERROR(INDEX(art_unit,MATCH(C2120,art_ref,0))&amp;"",""))</f>
        <v/>
      </c>
      <c r="G2120" s="37" t="n"/>
      <c r="H2120" s="37" t="n"/>
      <c r="I2120" s="37" t="n"/>
      <c r="J2120" s="40" t="str">
        <f>IF(OR(C2120="",NOT(ISNUMBER(E2120))),"",IFERROR(E2120*N(INDEX(art_price,MATCH(C2120,art_ref,0))),""))</f>
        <v/>
      </c>
      <c r="K2120" s="39" t="str">
        <f>IF(OR(C2120="",NOT(ISNUMBER(E2120))),"",IFERROR(ROUND(N(INDEX(art_init,MATCH(C2120,art_ref,0)))+SUMIFS($E$5:E2120,$C$5:C2120,C2120,$B$5:B2120,"Entrée")-SUMIFS($E$5:E2120,$C$5:C2120,C2120,$B$5:B2120,"Sortie"),6),""))</f>
        <v/>
      </c>
      <c r="L2120" s="39" t="str">
        <f>IF(COUNTA(A2120:C2120,E2120)=0,"",IF(COUNTA(A2120:C2120,E2120)&lt;4,"Ligne incomplète",IF(NOT(ISNUMBER(A2120)),"Date invalide",IF(AND(B2120&lt;&gt;"Entrée",B2120&lt;&gt;"Sortie"),"Type inconnu",IF(ISNA(MATCH(C2120,art_ref,0)),"Référence inconnue",IF(OR(NOT(ISNUMBER(E2120)),N(E2120)&lt;=0),"Quantité invalide",IF(K2120&lt;0,"Stock négatif",IF(AND(ISNUMBER(A2119),A2120&lt;A2119),"Date hors ordre","OK"))))))))</f>
        <v/>
      </c>
      <c r="M2120" s="39" t="str">
        <f>IF(C2120="","",C2120&amp;"#"&amp;COUNTIF($C$5:C2120,C2120))</f>
        <v/>
      </c>
    </row>
    <row r="2121">
      <c r="A2121" s="41" t="n"/>
      <c r="B2121" s="37" t="n"/>
      <c r="C2121" s="37" t="n"/>
      <c r="D2121" s="39" t="str">
        <f>IF(C2121="","",IFERROR(INDEX(art_des,MATCH(C2121,art_ref,0))&amp;"","Référence inconnue"))</f>
        <v/>
      </c>
      <c r="E2121" s="37" t="n"/>
      <c r="F2121" s="39" t="str">
        <f>IF(C2121="","",IFERROR(INDEX(art_unit,MATCH(C2121,art_ref,0))&amp;"",""))</f>
        <v/>
      </c>
      <c r="G2121" s="37" t="n"/>
      <c r="H2121" s="37" t="n"/>
      <c r="I2121" s="37" t="n"/>
      <c r="J2121" s="40" t="str">
        <f>IF(OR(C2121="",NOT(ISNUMBER(E2121))),"",IFERROR(E2121*N(INDEX(art_price,MATCH(C2121,art_ref,0))),""))</f>
        <v/>
      </c>
      <c r="K2121" s="39" t="str">
        <f>IF(OR(C2121="",NOT(ISNUMBER(E2121))),"",IFERROR(ROUND(N(INDEX(art_init,MATCH(C2121,art_ref,0)))+SUMIFS($E$5:E2121,$C$5:C2121,C2121,$B$5:B2121,"Entrée")-SUMIFS($E$5:E2121,$C$5:C2121,C2121,$B$5:B2121,"Sortie"),6),""))</f>
        <v/>
      </c>
      <c r="L2121" s="39" t="str">
        <f>IF(COUNTA(A2121:C2121,E2121)=0,"",IF(COUNTA(A2121:C2121,E2121)&lt;4,"Ligne incomplète",IF(NOT(ISNUMBER(A2121)),"Date invalide",IF(AND(B2121&lt;&gt;"Entrée",B2121&lt;&gt;"Sortie"),"Type inconnu",IF(ISNA(MATCH(C2121,art_ref,0)),"Référence inconnue",IF(OR(NOT(ISNUMBER(E2121)),N(E2121)&lt;=0),"Quantité invalide",IF(K2121&lt;0,"Stock négatif",IF(AND(ISNUMBER(A2120),A2121&lt;A2120),"Date hors ordre","OK"))))))))</f>
        <v/>
      </c>
      <c r="M2121" s="39" t="str">
        <f>IF(C2121="","",C2121&amp;"#"&amp;COUNTIF($C$5:C2121,C2121))</f>
        <v/>
      </c>
    </row>
    <row r="2122">
      <c r="A2122" s="41" t="n"/>
      <c r="B2122" s="37" t="n"/>
      <c r="C2122" s="37" t="n"/>
      <c r="D2122" s="39" t="str">
        <f>IF(C2122="","",IFERROR(INDEX(art_des,MATCH(C2122,art_ref,0))&amp;"","Référence inconnue"))</f>
        <v/>
      </c>
      <c r="E2122" s="37" t="n"/>
      <c r="F2122" s="39" t="str">
        <f>IF(C2122="","",IFERROR(INDEX(art_unit,MATCH(C2122,art_ref,0))&amp;"",""))</f>
        <v/>
      </c>
      <c r="G2122" s="37" t="n"/>
      <c r="H2122" s="37" t="n"/>
      <c r="I2122" s="37" t="n"/>
      <c r="J2122" s="40" t="str">
        <f>IF(OR(C2122="",NOT(ISNUMBER(E2122))),"",IFERROR(E2122*N(INDEX(art_price,MATCH(C2122,art_ref,0))),""))</f>
        <v/>
      </c>
      <c r="K2122" s="39" t="str">
        <f>IF(OR(C2122="",NOT(ISNUMBER(E2122))),"",IFERROR(ROUND(N(INDEX(art_init,MATCH(C2122,art_ref,0)))+SUMIFS($E$5:E2122,$C$5:C2122,C2122,$B$5:B2122,"Entrée")-SUMIFS($E$5:E2122,$C$5:C2122,C2122,$B$5:B2122,"Sortie"),6),""))</f>
        <v/>
      </c>
      <c r="L2122" s="39" t="str">
        <f>IF(COUNTA(A2122:C2122,E2122)=0,"",IF(COUNTA(A2122:C2122,E2122)&lt;4,"Ligne incomplète",IF(NOT(ISNUMBER(A2122)),"Date invalide",IF(AND(B2122&lt;&gt;"Entrée",B2122&lt;&gt;"Sortie"),"Type inconnu",IF(ISNA(MATCH(C2122,art_ref,0)),"Référence inconnue",IF(OR(NOT(ISNUMBER(E2122)),N(E2122)&lt;=0),"Quantité invalide",IF(K2122&lt;0,"Stock négatif",IF(AND(ISNUMBER(A2121),A2122&lt;A2121),"Date hors ordre","OK"))))))))</f>
        <v/>
      </c>
      <c r="M2122" s="39" t="str">
        <f>IF(C2122="","",C2122&amp;"#"&amp;COUNTIF($C$5:C2122,C2122))</f>
        <v/>
      </c>
    </row>
    <row r="2123">
      <c r="A2123" s="41" t="n"/>
      <c r="B2123" s="37" t="n"/>
      <c r="C2123" s="37" t="n"/>
      <c r="D2123" s="39" t="str">
        <f>IF(C2123="","",IFERROR(INDEX(art_des,MATCH(C2123,art_ref,0))&amp;"","Référence inconnue"))</f>
        <v/>
      </c>
      <c r="E2123" s="37" t="n"/>
      <c r="F2123" s="39" t="str">
        <f>IF(C2123="","",IFERROR(INDEX(art_unit,MATCH(C2123,art_ref,0))&amp;"",""))</f>
        <v/>
      </c>
      <c r="G2123" s="37" t="n"/>
      <c r="H2123" s="37" t="n"/>
      <c r="I2123" s="37" t="n"/>
      <c r="J2123" s="40" t="str">
        <f>IF(OR(C2123="",NOT(ISNUMBER(E2123))),"",IFERROR(E2123*N(INDEX(art_price,MATCH(C2123,art_ref,0))),""))</f>
        <v/>
      </c>
      <c r="K2123" s="39" t="str">
        <f>IF(OR(C2123="",NOT(ISNUMBER(E2123))),"",IFERROR(ROUND(N(INDEX(art_init,MATCH(C2123,art_ref,0)))+SUMIFS($E$5:E2123,$C$5:C2123,C2123,$B$5:B2123,"Entrée")-SUMIFS($E$5:E2123,$C$5:C2123,C2123,$B$5:B2123,"Sortie"),6),""))</f>
        <v/>
      </c>
      <c r="L2123" s="39" t="str">
        <f>IF(COUNTA(A2123:C2123,E2123)=0,"",IF(COUNTA(A2123:C2123,E2123)&lt;4,"Ligne incomplète",IF(NOT(ISNUMBER(A2123)),"Date invalide",IF(AND(B2123&lt;&gt;"Entrée",B2123&lt;&gt;"Sortie"),"Type inconnu",IF(ISNA(MATCH(C2123,art_ref,0)),"Référence inconnue",IF(OR(NOT(ISNUMBER(E2123)),N(E2123)&lt;=0),"Quantité invalide",IF(K2123&lt;0,"Stock négatif",IF(AND(ISNUMBER(A2122),A2123&lt;A2122),"Date hors ordre","OK"))))))))</f>
        <v/>
      </c>
      <c r="M2123" s="39" t="str">
        <f>IF(C2123="","",C2123&amp;"#"&amp;COUNTIF($C$5:C2123,C2123))</f>
        <v/>
      </c>
    </row>
    <row r="2124">
      <c r="A2124" s="41" t="n"/>
      <c r="B2124" s="37" t="n"/>
      <c r="C2124" s="37" t="n"/>
      <c r="D2124" s="39" t="str">
        <f>IF(C2124="","",IFERROR(INDEX(art_des,MATCH(C2124,art_ref,0))&amp;"","Référence inconnue"))</f>
        <v/>
      </c>
      <c r="E2124" s="37" t="n"/>
      <c r="F2124" s="39" t="str">
        <f>IF(C2124="","",IFERROR(INDEX(art_unit,MATCH(C2124,art_ref,0))&amp;"",""))</f>
        <v/>
      </c>
      <c r="G2124" s="37" t="n"/>
      <c r="H2124" s="37" t="n"/>
      <c r="I2124" s="37" t="n"/>
      <c r="J2124" s="40" t="str">
        <f>IF(OR(C2124="",NOT(ISNUMBER(E2124))),"",IFERROR(E2124*N(INDEX(art_price,MATCH(C2124,art_ref,0))),""))</f>
        <v/>
      </c>
      <c r="K2124" s="39" t="str">
        <f>IF(OR(C2124="",NOT(ISNUMBER(E2124))),"",IFERROR(ROUND(N(INDEX(art_init,MATCH(C2124,art_ref,0)))+SUMIFS($E$5:E2124,$C$5:C2124,C2124,$B$5:B2124,"Entrée")-SUMIFS($E$5:E2124,$C$5:C2124,C2124,$B$5:B2124,"Sortie"),6),""))</f>
        <v/>
      </c>
      <c r="L2124" s="39" t="str">
        <f>IF(COUNTA(A2124:C2124,E2124)=0,"",IF(COUNTA(A2124:C2124,E2124)&lt;4,"Ligne incomplète",IF(NOT(ISNUMBER(A2124)),"Date invalide",IF(AND(B2124&lt;&gt;"Entrée",B2124&lt;&gt;"Sortie"),"Type inconnu",IF(ISNA(MATCH(C2124,art_ref,0)),"Référence inconnue",IF(OR(NOT(ISNUMBER(E2124)),N(E2124)&lt;=0),"Quantité invalide",IF(K2124&lt;0,"Stock négatif",IF(AND(ISNUMBER(A2123),A2124&lt;A2123),"Date hors ordre","OK"))))))))</f>
        <v/>
      </c>
      <c r="M2124" s="39" t="str">
        <f>IF(C2124="","",C2124&amp;"#"&amp;COUNTIF($C$5:C2124,C2124))</f>
        <v/>
      </c>
    </row>
    <row r="2125">
      <c r="A2125" s="41" t="n"/>
      <c r="B2125" s="37" t="n"/>
      <c r="C2125" s="37" t="n"/>
      <c r="D2125" s="39" t="str">
        <f>IF(C2125="","",IFERROR(INDEX(art_des,MATCH(C2125,art_ref,0))&amp;"","Référence inconnue"))</f>
        <v/>
      </c>
      <c r="E2125" s="37" t="n"/>
      <c r="F2125" s="39" t="str">
        <f>IF(C2125="","",IFERROR(INDEX(art_unit,MATCH(C2125,art_ref,0))&amp;"",""))</f>
        <v/>
      </c>
      <c r="G2125" s="37" t="n"/>
      <c r="H2125" s="37" t="n"/>
      <c r="I2125" s="37" t="n"/>
      <c r="J2125" s="40" t="str">
        <f>IF(OR(C2125="",NOT(ISNUMBER(E2125))),"",IFERROR(E2125*N(INDEX(art_price,MATCH(C2125,art_ref,0))),""))</f>
        <v/>
      </c>
      <c r="K2125" s="39" t="str">
        <f>IF(OR(C2125="",NOT(ISNUMBER(E2125))),"",IFERROR(ROUND(N(INDEX(art_init,MATCH(C2125,art_ref,0)))+SUMIFS($E$5:E2125,$C$5:C2125,C2125,$B$5:B2125,"Entrée")-SUMIFS($E$5:E2125,$C$5:C2125,C2125,$B$5:B2125,"Sortie"),6),""))</f>
        <v/>
      </c>
      <c r="L2125" s="39" t="str">
        <f>IF(COUNTA(A2125:C2125,E2125)=0,"",IF(COUNTA(A2125:C2125,E2125)&lt;4,"Ligne incomplète",IF(NOT(ISNUMBER(A2125)),"Date invalide",IF(AND(B2125&lt;&gt;"Entrée",B2125&lt;&gt;"Sortie"),"Type inconnu",IF(ISNA(MATCH(C2125,art_ref,0)),"Référence inconnue",IF(OR(NOT(ISNUMBER(E2125)),N(E2125)&lt;=0),"Quantité invalide",IF(K2125&lt;0,"Stock négatif",IF(AND(ISNUMBER(A2124),A2125&lt;A2124),"Date hors ordre","OK"))))))))</f>
        <v/>
      </c>
      <c r="M2125" s="39" t="str">
        <f>IF(C2125="","",C2125&amp;"#"&amp;COUNTIF($C$5:C2125,C2125))</f>
        <v/>
      </c>
    </row>
    <row r="2126">
      <c r="A2126" s="41" t="n"/>
      <c r="B2126" s="37" t="n"/>
      <c r="C2126" s="37" t="n"/>
      <c r="D2126" s="39" t="str">
        <f>IF(C2126="","",IFERROR(INDEX(art_des,MATCH(C2126,art_ref,0))&amp;"","Référence inconnue"))</f>
        <v/>
      </c>
      <c r="E2126" s="37" t="n"/>
      <c r="F2126" s="39" t="str">
        <f>IF(C2126="","",IFERROR(INDEX(art_unit,MATCH(C2126,art_ref,0))&amp;"",""))</f>
        <v/>
      </c>
      <c r="G2126" s="37" t="n"/>
      <c r="H2126" s="37" t="n"/>
      <c r="I2126" s="37" t="n"/>
      <c r="J2126" s="40" t="str">
        <f>IF(OR(C2126="",NOT(ISNUMBER(E2126))),"",IFERROR(E2126*N(INDEX(art_price,MATCH(C2126,art_ref,0))),""))</f>
        <v/>
      </c>
      <c r="K2126" s="39" t="str">
        <f>IF(OR(C2126="",NOT(ISNUMBER(E2126))),"",IFERROR(ROUND(N(INDEX(art_init,MATCH(C2126,art_ref,0)))+SUMIFS($E$5:E2126,$C$5:C2126,C2126,$B$5:B2126,"Entrée")-SUMIFS($E$5:E2126,$C$5:C2126,C2126,$B$5:B2126,"Sortie"),6),""))</f>
        <v/>
      </c>
      <c r="L2126" s="39" t="str">
        <f>IF(COUNTA(A2126:C2126,E2126)=0,"",IF(COUNTA(A2126:C2126,E2126)&lt;4,"Ligne incomplète",IF(NOT(ISNUMBER(A2126)),"Date invalide",IF(AND(B2126&lt;&gt;"Entrée",B2126&lt;&gt;"Sortie"),"Type inconnu",IF(ISNA(MATCH(C2126,art_ref,0)),"Référence inconnue",IF(OR(NOT(ISNUMBER(E2126)),N(E2126)&lt;=0),"Quantité invalide",IF(K2126&lt;0,"Stock négatif",IF(AND(ISNUMBER(A2125),A2126&lt;A2125),"Date hors ordre","OK"))))))))</f>
        <v/>
      </c>
      <c r="M2126" s="39" t="str">
        <f>IF(C2126="","",C2126&amp;"#"&amp;COUNTIF($C$5:C2126,C2126))</f>
        <v/>
      </c>
    </row>
    <row r="2127">
      <c r="A2127" s="41" t="n"/>
      <c r="B2127" s="37" t="n"/>
      <c r="C2127" s="37" t="n"/>
      <c r="D2127" s="39" t="str">
        <f>IF(C2127="","",IFERROR(INDEX(art_des,MATCH(C2127,art_ref,0))&amp;"","Référence inconnue"))</f>
        <v/>
      </c>
      <c r="E2127" s="37" t="n"/>
      <c r="F2127" s="39" t="str">
        <f>IF(C2127="","",IFERROR(INDEX(art_unit,MATCH(C2127,art_ref,0))&amp;"",""))</f>
        <v/>
      </c>
      <c r="G2127" s="37" t="n"/>
      <c r="H2127" s="37" t="n"/>
      <c r="I2127" s="37" t="n"/>
      <c r="J2127" s="40" t="str">
        <f>IF(OR(C2127="",NOT(ISNUMBER(E2127))),"",IFERROR(E2127*N(INDEX(art_price,MATCH(C2127,art_ref,0))),""))</f>
        <v/>
      </c>
      <c r="K2127" s="39" t="str">
        <f>IF(OR(C2127="",NOT(ISNUMBER(E2127))),"",IFERROR(ROUND(N(INDEX(art_init,MATCH(C2127,art_ref,0)))+SUMIFS($E$5:E2127,$C$5:C2127,C2127,$B$5:B2127,"Entrée")-SUMIFS($E$5:E2127,$C$5:C2127,C2127,$B$5:B2127,"Sortie"),6),""))</f>
        <v/>
      </c>
      <c r="L2127" s="39" t="str">
        <f>IF(COUNTA(A2127:C2127,E2127)=0,"",IF(COUNTA(A2127:C2127,E2127)&lt;4,"Ligne incomplète",IF(NOT(ISNUMBER(A2127)),"Date invalide",IF(AND(B2127&lt;&gt;"Entrée",B2127&lt;&gt;"Sortie"),"Type inconnu",IF(ISNA(MATCH(C2127,art_ref,0)),"Référence inconnue",IF(OR(NOT(ISNUMBER(E2127)),N(E2127)&lt;=0),"Quantité invalide",IF(K2127&lt;0,"Stock négatif",IF(AND(ISNUMBER(A2126),A2127&lt;A2126),"Date hors ordre","OK"))))))))</f>
        <v/>
      </c>
      <c r="M2127" s="39" t="str">
        <f>IF(C2127="","",C2127&amp;"#"&amp;COUNTIF($C$5:C2127,C2127))</f>
        <v/>
      </c>
    </row>
    <row r="2128">
      <c r="A2128" s="41" t="n"/>
      <c r="B2128" s="37" t="n"/>
      <c r="C2128" s="37" t="n"/>
      <c r="D2128" s="39" t="str">
        <f>IF(C2128="","",IFERROR(INDEX(art_des,MATCH(C2128,art_ref,0))&amp;"","Référence inconnue"))</f>
        <v/>
      </c>
      <c r="E2128" s="37" t="n"/>
      <c r="F2128" s="39" t="str">
        <f>IF(C2128="","",IFERROR(INDEX(art_unit,MATCH(C2128,art_ref,0))&amp;"",""))</f>
        <v/>
      </c>
      <c r="G2128" s="37" t="n"/>
      <c r="H2128" s="37" t="n"/>
      <c r="I2128" s="37" t="n"/>
      <c r="J2128" s="40" t="str">
        <f>IF(OR(C2128="",NOT(ISNUMBER(E2128))),"",IFERROR(E2128*N(INDEX(art_price,MATCH(C2128,art_ref,0))),""))</f>
        <v/>
      </c>
      <c r="K2128" s="39" t="str">
        <f>IF(OR(C2128="",NOT(ISNUMBER(E2128))),"",IFERROR(ROUND(N(INDEX(art_init,MATCH(C2128,art_ref,0)))+SUMIFS($E$5:E2128,$C$5:C2128,C2128,$B$5:B2128,"Entrée")-SUMIFS($E$5:E2128,$C$5:C2128,C2128,$B$5:B2128,"Sortie"),6),""))</f>
        <v/>
      </c>
      <c r="L2128" s="39" t="str">
        <f>IF(COUNTA(A2128:C2128,E2128)=0,"",IF(COUNTA(A2128:C2128,E2128)&lt;4,"Ligne incomplète",IF(NOT(ISNUMBER(A2128)),"Date invalide",IF(AND(B2128&lt;&gt;"Entrée",B2128&lt;&gt;"Sortie"),"Type inconnu",IF(ISNA(MATCH(C2128,art_ref,0)),"Référence inconnue",IF(OR(NOT(ISNUMBER(E2128)),N(E2128)&lt;=0),"Quantité invalide",IF(K2128&lt;0,"Stock négatif",IF(AND(ISNUMBER(A2127),A2128&lt;A2127),"Date hors ordre","OK"))))))))</f>
        <v/>
      </c>
      <c r="M2128" s="39" t="str">
        <f>IF(C2128="","",C2128&amp;"#"&amp;COUNTIF($C$5:C2128,C2128))</f>
        <v/>
      </c>
    </row>
    <row r="2129">
      <c r="A2129" s="41" t="n"/>
      <c r="B2129" s="37" t="n"/>
      <c r="C2129" s="37" t="n"/>
      <c r="D2129" s="39" t="str">
        <f>IF(C2129="","",IFERROR(INDEX(art_des,MATCH(C2129,art_ref,0))&amp;"","Référence inconnue"))</f>
        <v/>
      </c>
      <c r="E2129" s="37" t="n"/>
      <c r="F2129" s="39" t="str">
        <f>IF(C2129="","",IFERROR(INDEX(art_unit,MATCH(C2129,art_ref,0))&amp;"",""))</f>
        <v/>
      </c>
      <c r="G2129" s="37" t="n"/>
      <c r="H2129" s="37" t="n"/>
      <c r="I2129" s="37" t="n"/>
      <c r="J2129" s="40" t="str">
        <f>IF(OR(C2129="",NOT(ISNUMBER(E2129))),"",IFERROR(E2129*N(INDEX(art_price,MATCH(C2129,art_ref,0))),""))</f>
        <v/>
      </c>
      <c r="K2129" s="39" t="str">
        <f>IF(OR(C2129="",NOT(ISNUMBER(E2129))),"",IFERROR(ROUND(N(INDEX(art_init,MATCH(C2129,art_ref,0)))+SUMIFS($E$5:E2129,$C$5:C2129,C2129,$B$5:B2129,"Entrée")-SUMIFS($E$5:E2129,$C$5:C2129,C2129,$B$5:B2129,"Sortie"),6),""))</f>
        <v/>
      </c>
      <c r="L2129" s="39" t="str">
        <f>IF(COUNTA(A2129:C2129,E2129)=0,"",IF(COUNTA(A2129:C2129,E2129)&lt;4,"Ligne incomplète",IF(NOT(ISNUMBER(A2129)),"Date invalide",IF(AND(B2129&lt;&gt;"Entrée",B2129&lt;&gt;"Sortie"),"Type inconnu",IF(ISNA(MATCH(C2129,art_ref,0)),"Référence inconnue",IF(OR(NOT(ISNUMBER(E2129)),N(E2129)&lt;=0),"Quantité invalide",IF(K2129&lt;0,"Stock négatif",IF(AND(ISNUMBER(A2128),A2129&lt;A2128),"Date hors ordre","OK"))))))))</f>
        <v/>
      </c>
      <c r="M2129" s="39" t="str">
        <f>IF(C2129="","",C2129&amp;"#"&amp;COUNTIF($C$5:C2129,C2129))</f>
        <v/>
      </c>
    </row>
    <row r="2130">
      <c r="A2130" s="41" t="n"/>
      <c r="B2130" s="37" t="n"/>
      <c r="C2130" s="37" t="n"/>
      <c r="D2130" s="39" t="str">
        <f>IF(C2130="","",IFERROR(INDEX(art_des,MATCH(C2130,art_ref,0))&amp;"","Référence inconnue"))</f>
        <v/>
      </c>
      <c r="E2130" s="37" t="n"/>
      <c r="F2130" s="39" t="str">
        <f>IF(C2130="","",IFERROR(INDEX(art_unit,MATCH(C2130,art_ref,0))&amp;"",""))</f>
        <v/>
      </c>
      <c r="G2130" s="37" t="n"/>
      <c r="H2130" s="37" t="n"/>
      <c r="I2130" s="37" t="n"/>
      <c r="J2130" s="40" t="str">
        <f>IF(OR(C2130="",NOT(ISNUMBER(E2130))),"",IFERROR(E2130*N(INDEX(art_price,MATCH(C2130,art_ref,0))),""))</f>
        <v/>
      </c>
      <c r="K2130" s="39" t="str">
        <f>IF(OR(C2130="",NOT(ISNUMBER(E2130))),"",IFERROR(ROUND(N(INDEX(art_init,MATCH(C2130,art_ref,0)))+SUMIFS($E$5:E2130,$C$5:C2130,C2130,$B$5:B2130,"Entrée")-SUMIFS($E$5:E2130,$C$5:C2130,C2130,$B$5:B2130,"Sortie"),6),""))</f>
        <v/>
      </c>
      <c r="L2130" s="39" t="str">
        <f>IF(COUNTA(A2130:C2130,E2130)=0,"",IF(COUNTA(A2130:C2130,E2130)&lt;4,"Ligne incomplète",IF(NOT(ISNUMBER(A2130)),"Date invalide",IF(AND(B2130&lt;&gt;"Entrée",B2130&lt;&gt;"Sortie"),"Type inconnu",IF(ISNA(MATCH(C2130,art_ref,0)),"Référence inconnue",IF(OR(NOT(ISNUMBER(E2130)),N(E2130)&lt;=0),"Quantité invalide",IF(K2130&lt;0,"Stock négatif",IF(AND(ISNUMBER(A2129),A2130&lt;A2129),"Date hors ordre","OK"))))))))</f>
        <v/>
      </c>
      <c r="M2130" s="39" t="str">
        <f>IF(C2130="","",C2130&amp;"#"&amp;COUNTIF($C$5:C2130,C2130))</f>
        <v/>
      </c>
    </row>
    <row r="2131">
      <c r="A2131" s="41" t="n"/>
      <c r="B2131" s="37" t="n"/>
      <c r="C2131" s="37" t="n"/>
      <c r="D2131" s="39" t="str">
        <f>IF(C2131="","",IFERROR(INDEX(art_des,MATCH(C2131,art_ref,0))&amp;"","Référence inconnue"))</f>
        <v/>
      </c>
      <c r="E2131" s="37" t="n"/>
      <c r="F2131" s="39" t="str">
        <f>IF(C2131="","",IFERROR(INDEX(art_unit,MATCH(C2131,art_ref,0))&amp;"",""))</f>
        <v/>
      </c>
      <c r="G2131" s="37" t="n"/>
      <c r="H2131" s="37" t="n"/>
      <c r="I2131" s="37" t="n"/>
      <c r="J2131" s="40" t="str">
        <f>IF(OR(C2131="",NOT(ISNUMBER(E2131))),"",IFERROR(E2131*N(INDEX(art_price,MATCH(C2131,art_ref,0))),""))</f>
        <v/>
      </c>
      <c r="K2131" s="39" t="str">
        <f>IF(OR(C2131="",NOT(ISNUMBER(E2131))),"",IFERROR(ROUND(N(INDEX(art_init,MATCH(C2131,art_ref,0)))+SUMIFS($E$5:E2131,$C$5:C2131,C2131,$B$5:B2131,"Entrée")-SUMIFS($E$5:E2131,$C$5:C2131,C2131,$B$5:B2131,"Sortie"),6),""))</f>
        <v/>
      </c>
      <c r="L2131" s="39" t="str">
        <f>IF(COUNTA(A2131:C2131,E2131)=0,"",IF(COUNTA(A2131:C2131,E2131)&lt;4,"Ligne incomplète",IF(NOT(ISNUMBER(A2131)),"Date invalide",IF(AND(B2131&lt;&gt;"Entrée",B2131&lt;&gt;"Sortie"),"Type inconnu",IF(ISNA(MATCH(C2131,art_ref,0)),"Référence inconnue",IF(OR(NOT(ISNUMBER(E2131)),N(E2131)&lt;=0),"Quantité invalide",IF(K2131&lt;0,"Stock négatif",IF(AND(ISNUMBER(A2130),A2131&lt;A2130),"Date hors ordre","OK"))))))))</f>
        <v/>
      </c>
      <c r="M2131" s="39" t="str">
        <f>IF(C2131="","",C2131&amp;"#"&amp;COUNTIF($C$5:C2131,C2131))</f>
        <v/>
      </c>
    </row>
    <row r="2132">
      <c r="A2132" s="41" t="n"/>
      <c r="B2132" s="37" t="n"/>
      <c r="C2132" s="37" t="n"/>
      <c r="D2132" s="39" t="str">
        <f>IF(C2132="","",IFERROR(INDEX(art_des,MATCH(C2132,art_ref,0))&amp;"","Référence inconnue"))</f>
        <v/>
      </c>
      <c r="E2132" s="37" t="n"/>
      <c r="F2132" s="39" t="str">
        <f>IF(C2132="","",IFERROR(INDEX(art_unit,MATCH(C2132,art_ref,0))&amp;"",""))</f>
        <v/>
      </c>
      <c r="G2132" s="37" t="n"/>
      <c r="H2132" s="37" t="n"/>
      <c r="I2132" s="37" t="n"/>
      <c r="J2132" s="40" t="str">
        <f>IF(OR(C2132="",NOT(ISNUMBER(E2132))),"",IFERROR(E2132*N(INDEX(art_price,MATCH(C2132,art_ref,0))),""))</f>
        <v/>
      </c>
      <c r="K2132" s="39" t="str">
        <f>IF(OR(C2132="",NOT(ISNUMBER(E2132))),"",IFERROR(ROUND(N(INDEX(art_init,MATCH(C2132,art_ref,0)))+SUMIFS($E$5:E2132,$C$5:C2132,C2132,$B$5:B2132,"Entrée")-SUMIFS($E$5:E2132,$C$5:C2132,C2132,$B$5:B2132,"Sortie"),6),""))</f>
        <v/>
      </c>
      <c r="L2132" s="39" t="str">
        <f>IF(COUNTA(A2132:C2132,E2132)=0,"",IF(COUNTA(A2132:C2132,E2132)&lt;4,"Ligne incomplète",IF(NOT(ISNUMBER(A2132)),"Date invalide",IF(AND(B2132&lt;&gt;"Entrée",B2132&lt;&gt;"Sortie"),"Type inconnu",IF(ISNA(MATCH(C2132,art_ref,0)),"Référence inconnue",IF(OR(NOT(ISNUMBER(E2132)),N(E2132)&lt;=0),"Quantité invalide",IF(K2132&lt;0,"Stock négatif",IF(AND(ISNUMBER(A2131),A2132&lt;A2131),"Date hors ordre","OK"))))))))</f>
        <v/>
      </c>
      <c r="M2132" s="39" t="str">
        <f>IF(C2132="","",C2132&amp;"#"&amp;COUNTIF($C$5:C2132,C2132))</f>
        <v/>
      </c>
    </row>
    <row r="2133">
      <c r="A2133" s="41" t="n"/>
      <c r="B2133" s="37" t="n"/>
      <c r="C2133" s="37" t="n"/>
      <c r="D2133" s="39" t="str">
        <f>IF(C2133="","",IFERROR(INDEX(art_des,MATCH(C2133,art_ref,0))&amp;"","Référence inconnue"))</f>
        <v/>
      </c>
      <c r="E2133" s="37" t="n"/>
      <c r="F2133" s="39" t="str">
        <f>IF(C2133="","",IFERROR(INDEX(art_unit,MATCH(C2133,art_ref,0))&amp;"",""))</f>
        <v/>
      </c>
      <c r="G2133" s="37" t="n"/>
      <c r="H2133" s="37" t="n"/>
      <c r="I2133" s="37" t="n"/>
      <c r="J2133" s="40" t="str">
        <f>IF(OR(C2133="",NOT(ISNUMBER(E2133))),"",IFERROR(E2133*N(INDEX(art_price,MATCH(C2133,art_ref,0))),""))</f>
        <v/>
      </c>
      <c r="K2133" s="39" t="str">
        <f>IF(OR(C2133="",NOT(ISNUMBER(E2133))),"",IFERROR(ROUND(N(INDEX(art_init,MATCH(C2133,art_ref,0)))+SUMIFS($E$5:E2133,$C$5:C2133,C2133,$B$5:B2133,"Entrée")-SUMIFS($E$5:E2133,$C$5:C2133,C2133,$B$5:B2133,"Sortie"),6),""))</f>
        <v/>
      </c>
      <c r="L2133" s="39" t="str">
        <f>IF(COUNTA(A2133:C2133,E2133)=0,"",IF(COUNTA(A2133:C2133,E2133)&lt;4,"Ligne incomplète",IF(NOT(ISNUMBER(A2133)),"Date invalide",IF(AND(B2133&lt;&gt;"Entrée",B2133&lt;&gt;"Sortie"),"Type inconnu",IF(ISNA(MATCH(C2133,art_ref,0)),"Référence inconnue",IF(OR(NOT(ISNUMBER(E2133)),N(E2133)&lt;=0),"Quantité invalide",IF(K2133&lt;0,"Stock négatif",IF(AND(ISNUMBER(A2132),A2133&lt;A2132),"Date hors ordre","OK"))))))))</f>
        <v/>
      </c>
      <c r="M2133" s="39" t="str">
        <f>IF(C2133="","",C2133&amp;"#"&amp;COUNTIF($C$5:C2133,C2133))</f>
        <v/>
      </c>
    </row>
    <row r="2134">
      <c r="A2134" s="41" t="n"/>
      <c r="B2134" s="37" t="n"/>
      <c r="C2134" s="37" t="n"/>
      <c r="D2134" s="39" t="str">
        <f>IF(C2134="","",IFERROR(INDEX(art_des,MATCH(C2134,art_ref,0))&amp;"","Référence inconnue"))</f>
        <v/>
      </c>
      <c r="E2134" s="37" t="n"/>
      <c r="F2134" s="39" t="str">
        <f>IF(C2134="","",IFERROR(INDEX(art_unit,MATCH(C2134,art_ref,0))&amp;"",""))</f>
        <v/>
      </c>
      <c r="G2134" s="37" t="n"/>
      <c r="H2134" s="37" t="n"/>
      <c r="I2134" s="37" t="n"/>
      <c r="J2134" s="40" t="str">
        <f>IF(OR(C2134="",NOT(ISNUMBER(E2134))),"",IFERROR(E2134*N(INDEX(art_price,MATCH(C2134,art_ref,0))),""))</f>
        <v/>
      </c>
      <c r="K2134" s="39" t="str">
        <f>IF(OR(C2134="",NOT(ISNUMBER(E2134))),"",IFERROR(ROUND(N(INDEX(art_init,MATCH(C2134,art_ref,0)))+SUMIFS($E$5:E2134,$C$5:C2134,C2134,$B$5:B2134,"Entrée")-SUMIFS($E$5:E2134,$C$5:C2134,C2134,$B$5:B2134,"Sortie"),6),""))</f>
        <v/>
      </c>
      <c r="L2134" s="39" t="str">
        <f>IF(COUNTA(A2134:C2134,E2134)=0,"",IF(COUNTA(A2134:C2134,E2134)&lt;4,"Ligne incomplète",IF(NOT(ISNUMBER(A2134)),"Date invalide",IF(AND(B2134&lt;&gt;"Entrée",B2134&lt;&gt;"Sortie"),"Type inconnu",IF(ISNA(MATCH(C2134,art_ref,0)),"Référence inconnue",IF(OR(NOT(ISNUMBER(E2134)),N(E2134)&lt;=0),"Quantité invalide",IF(K2134&lt;0,"Stock négatif",IF(AND(ISNUMBER(A2133),A2134&lt;A2133),"Date hors ordre","OK"))))))))</f>
        <v/>
      </c>
      <c r="M2134" s="39" t="str">
        <f>IF(C2134="","",C2134&amp;"#"&amp;COUNTIF($C$5:C2134,C2134))</f>
        <v/>
      </c>
    </row>
    <row r="2135">
      <c r="A2135" s="41" t="n"/>
      <c r="B2135" s="37" t="n"/>
      <c r="C2135" s="37" t="n"/>
      <c r="D2135" s="39" t="str">
        <f>IF(C2135="","",IFERROR(INDEX(art_des,MATCH(C2135,art_ref,0))&amp;"","Référence inconnue"))</f>
        <v/>
      </c>
      <c r="E2135" s="37" t="n"/>
      <c r="F2135" s="39" t="str">
        <f>IF(C2135="","",IFERROR(INDEX(art_unit,MATCH(C2135,art_ref,0))&amp;"",""))</f>
        <v/>
      </c>
      <c r="G2135" s="37" t="n"/>
      <c r="H2135" s="37" t="n"/>
      <c r="I2135" s="37" t="n"/>
      <c r="J2135" s="40" t="str">
        <f>IF(OR(C2135="",NOT(ISNUMBER(E2135))),"",IFERROR(E2135*N(INDEX(art_price,MATCH(C2135,art_ref,0))),""))</f>
        <v/>
      </c>
      <c r="K2135" s="39" t="str">
        <f>IF(OR(C2135="",NOT(ISNUMBER(E2135))),"",IFERROR(ROUND(N(INDEX(art_init,MATCH(C2135,art_ref,0)))+SUMIFS($E$5:E2135,$C$5:C2135,C2135,$B$5:B2135,"Entrée")-SUMIFS($E$5:E2135,$C$5:C2135,C2135,$B$5:B2135,"Sortie"),6),""))</f>
        <v/>
      </c>
      <c r="L2135" s="39" t="str">
        <f>IF(COUNTA(A2135:C2135,E2135)=0,"",IF(COUNTA(A2135:C2135,E2135)&lt;4,"Ligne incomplète",IF(NOT(ISNUMBER(A2135)),"Date invalide",IF(AND(B2135&lt;&gt;"Entrée",B2135&lt;&gt;"Sortie"),"Type inconnu",IF(ISNA(MATCH(C2135,art_ref,0)),"Référence inconnue",IF(OR(NOT(ISNUMBER(E2135)),N(E2135)&lt;=0),"Quantité invalide",IF(K2135&lt;0,"Stock négatif",IF(AND(ISNUMBER(A2134),A2135&lt;A2134),"Date hors ordre","OK"))))))))</f>
        <v/>
      </c>
      <c r="M2135" s="39" t="str">
        <f>IF(C2135="","",C2135&amp;"#"&amp;COUNTIF($C$5:C2135,C2135))</f>
        <v/>
      </c>
    </row>
    <row r="2136">
      <c r="A2136" s="41" t="n"/>
      <c r="B2136" s="37" t="n"/>
      <c r="C2136" s="37" t="n"/>
      <c r="D2136" s="39" t="str">
        <f>IF(C2136="","",IFERROR(INDEX(art_des,MATCH(C2136,art_ref,0))&amp;"","Référence inconnue"))</f>
        <v/>
      </c>
      <c r="E2136" s="37" t="n"/>
      <c r="F2136" s="39" t="str">
        <f>IF(C2136="","",IFERROR(INDEX(art_unit,MATCH(C2136,art_ref,0))&amp;"",""))</f>
        <v/>
      </c>
      <c r="G2136" s="37" t="n"/>
      <c r="H2136" s="37" t="n"/>
      <c r="I2136" s="37" t="n"/>
      <c r="J2136" s="40" t="str">
        <f>IF(OR(C2136="",NOT(ISNUMBER(E2136))),"",IFERROR(E2136*N(INDEX(art_price,MATCH(C2136,art_ref,0))),""))</f>
        <v/>
      </c>
      <c r="K2136" s="39" t="str">
        <f>IF(OR(C2136="",NOT(ISNUMBER(E2136))),"",IFERROR(ROUND(N(INDEX(art_init,MATCH(C2136,art_ref,0)))+SUMIFS($E$5:E2136,$C$5:C2136,C2136,$B$5:B2136,"Entrée")-SUMIFS($E$5:E2136,$C$5:C2136,C2136,$B$5:B2136,"Sortie"),6),""))</f>
        <v/>
      </c>
      <c r="L2136" s="39" t="str">
        <f>IF(COUNTA(A2136:C2136,E2136)=0,"",IF(COUNTA(A2136:C2136,E2136)&lt;4,"Ligne incomplète",IF(NOT(ISNUMBER(A2136)),"Date invalide",IF(AND(B2136&lt;&gt;"Entrée",B2136&lt;&gt;"Sortie"),"Type inconnu",IF(ISNA(MATCH(C2136,art_ref,0)),"Référence inconnue",IF(OR(NOT(ISNUMBER(E2136)),N(E2136)&lt;=0),"Quantité invalide",IF(K2136&lt;0,"Stock négatif",IF(AND(ISNUMBER(A2135),A2136&lt;A2135),"Date hors ordre","OK"))))))))</f>
        <v/>
      </c>
      <c r="M2136" s="39" t="str">
        <f>IF(C2136="","",C2136&amp;"#"&amp;COUNTIF($C$5:C2136,C2136))</f>
        <v/>
      </c>
    </row>
    <row r="2137">
      <c r="A2137" s="41" t="n"/>
      <c r="B2137" s="37" t="n"/>
      <c r="C2137" s="37" t="n"/>
      <c r="D2137" s="39" t="str">
        <f>IF(C2137="","",IFERROR(INDEX(art_des,MATCH(C2137,art_ref,0))&amp;"","Référence inconnue"))</f>
        <v/>
      </c>
      <c r="E2137" s="37" t="n"/>
      <c r="F2137" s="39" t="str">
        <f>IF(C2137="","",IFERROR(INDEX(art_unit,MATCH(C2137,art_ref,0))&amp;"",""))</f>
        <v/>
      </c>
      <c r="G2137" s="37" t="n"/>
      <c r="H2137" s="37" t="n"/>
      <c r="I2137" s="37" t="n"/>
      <c r="J2137" s="40" t="str">
        <f>IF(OR(C2137="",NOT(ISNUMBER(E2137))),"",IFERROR(E2137*N(INDEX(art_price,MATCH(C2137,art_ref,0))),""))</f>
        <v/>
      </c>
      <c r="K2137" s="39" t="str">
        <f>IF(OR(C2137="",NOT(ISNUMBER(E2137))),"",IFERROR(ROUND(N(INDEX(art_init,MATCH(C2137,art_ref,0)))+SUMIFS($E$5:E2137,$C$5:C2137,C2137,$B$5:B2137,"Entrée")-SUMIFS($E$5:E2137,$C$5:C2137,C2137,$B$5:B2137,"Sortie"),6),""))</f>
        <v/>
      </c>
      <c r="L2137" s="39" t="str">
        <f>IF(COUNTA(A2137:C2137,E2137)=0,"",IF(COUNTA(A2137:C2137,E2137)&lt;4,"Ligne incomplète",IF(NOT(ISNUMBER(A2137)),"Date invalide",IF(AND(B2137&lt;&gt;"Entrée",B2137&lt;&gt;"Sortie"),"Type inconnu",IF(ISNA(MATCH(C2137,art_ref,0)),"Référence inconnue",IF(OR(NOT(ISNUMBER(E2137)),N(E2137)&lt;=0),"Quantité invalide",IF(K2137&lt;0,"Stock négatif",IF(AND(ISNUMBER(A2136),A2137&lt;A2136),"Date hors ordre","OK"))))))))</f>
        <v/>
      </c>
      <c r="M2137" s="39" t="str">
        <f>IF(C2137="","",C2137&amp;"#"&amp;COUNTIF($C$5:C2137,C2137))</f>
        <v/>
      </c>
    </row>
    <row r="2138">
      <c r="A2138" s="41" t="n"/>
      <c r="B2138" s="37" t="n"/>
      <c r="C2138" s="37" t="n"/>
      <c r="D2138" s="39" t="str">
        <f>IF(C2138="","",IFERROR(INDEX(art_des,MATCH(C2138,art_ref,0))&amp;"","Référence inconnue"))</f>
        <v/>
      </c>
      <c r="E2138" s="37" t="n"/>
      <c r="F2138" s="39" t="str">
        <f>IF(C2138="","",IFERROR(INDEX(art_unit,MATCH(C2138,art_ref,0))&amp;"",""))</f>
        <v/>
      </c>
      <c r="G2138" s="37" t="n"/>
      <c r="H2138" s="37" t="n"/>
      <c r="I2138" s="37" t="n"/>
      <c r="J2138" s="40" t="str">
        <f>IF(OR(C2138="",NOT(ISNUMBER(E2138))),"",IFERROR(E2138*N(INDEX(art_price,MATCH(C2138,art_ref,0))),""))</f>
        <v/>
      </c>
      <c r="K2138" s="39" t="str">
        <f>IF(OR(C2138="",NOT(ISNUMBER(E2138))),"",IFERROR(ROUND(N(INDEX(art_init,MATCH(C2138,art_ref,0)))+SUMIFS($E$5:E2138,$C$5:C2138,C2138,$B$5:B2138,"Entrée")-SUMIFS($E$5:E2138,$C$5:C2138,C2138,$B$5:B2138,"Sortie"),6),""))</f>
        <v/>
      </c>
      <c r="L2138" s="39" t="str">
        <f>IF(COUNTA(A2138:C2138,E2138)=0,"",IF(COUNTA(A2138:C2138,E2138)&lt;4,"Ligne incomplète",IF(NOT(ISNUMBER(A2138)),"Date invalide",IF(AND(B2138&lt;&gt;"Entrée",B2138&lt;&gt;"Sortie"),"Type inconnu",IF(ISNA(MATCH(C2138,art_ref,0)),"Référence inconnue",IF(OR(NOT(ISNUMBER(E2138)),N(E2138)&lt;=0),"Quantité invalide",IF(K2138&lt;0,"Stock négatif",IF(AND(ISNUMBER(A2137),A2138&lt;A2137),"Date hors ordre","OK"))))))))</f>
        <v/>
      </c>
      <c r="M2138" s="39" t="str">
        <f>IF(C2138="","",C2138&amp;"#"&amp;COUNTIF($C$5:C2138,C2138))</f>
        <v/>
      </c>
    </row>
    <row r="2139">
      <c r="A2139" s="41" t="n"/>
      <c r="B2139" s="37" t="n"/>
      <c r="C2139" s="37" t="n"/>
      <c r="D2139" s="39" t="str">
        <f>IF(C2139="","",IFERROR(INDEX(art_des,MATCH(C2139,art_ref,0))&amp;"","Référence inconnue"))</f>
        <v/>
      </c>
      <c r="E2139" s="37" t="n"/>
      <c r="F2139" s="39" t="str">
        <f>IF(C2139="","",IFERROR(INDEX(art_unit,MATCH(C2139,art_ref,0))&amp;"",""))</f>
        <v/>
      </c>
      <c r="G2139" s="37" t="n"/>
      <c r="H2139" s="37" t="n"/>
      <c r="I2139" s="37" t="n"/>
      <c r="J2139" s="40" t="str">
        <f>IF(OR(C2139="",NOT(ISNUMBER(E2139))),"",IFERROR(E2139*N(INDEX(art_price,MATCH(C2139,art_ref,0))),""))</f>
        <v/>
      </c>
      <c r="K2139" s="39" t="str">
        <f>IF(OR(C2139="",NOT(ISNUMBER(E2139))),"",IFERROR(ROUND(N(INDEX(art_init,MATCH(C2139,art_ref,0)))+SUMIFS($E$5:E2139,$C$5:C2139,C2139,$B$5:B2139,"Entrée")-SUMIFS($E$5:E2139,$C$5:C2139,C2139,$B$5:B2139,"Sortie"),6),""))</f>
        <v/>
      </c>
      <c r="L2139" s="39" t="str">
        <f>IF(COUNTA(A2139:C2139,E2139)=0,"",IF(COUNTA(A2139:C2139,E2139)&lt;4,"Ligne incomplète",IF(NOT(ISNUMBER(A2139)),"Date invalide",IF(AND(B2139&lt;&gt;"Entrée",B2139&lt;&gt;"Sortie"),"Type inconnu",IF(ISNA(MATCH(C2139,art_ref,0)),"Référence inconnue",IF(OR(NOT(ISNUMBER(E2139)),N(E2139)&lt;=0),"Quantité invalide",IF(K2139&lt;0,"Stock négatif",IF(AND(ISNUMBER(A2138),A2139&lt;A2138),"Date hors ordre","OK"))))))))</f>
        <v/>
      </c>
      <c r="M2139" s="39" t="str">
        <f>IF(C2139="","",C2139&amp;"#"&amp;COUNTIF($C$5:C2139,C2139))</f>
        <v/>
      </c>
    </row>
    <row r="2140">
      <c r="A2140" s="41" t="n"/>
      <c r="B2140" s="37" t="n"/>
      <c r="C2140" s="37" t="n"/>
      <c r="D2140" s="39" t="str">
        <f>IF(C2140="","",IFERROR(INDEX(art_des,MATCH(C2140,art_ref,0))&amp;"","Référence inconnue"))</f>
        <v/>
      </c>
      <c r="E2140" s="37" t="n"/>
      <c r="F2140" s="39" t="str">
        <f>IF(C2140="","",IFERROR(INDEX(art_unit,MATCH(C2140,art_ref,0))&amp;"",""))</f>
        <v/>
      </c>
      <c r="G2140" s="37" t="n"/>
      <c r="H2140" s="37" t="n"/>
      <c r="I2140" s="37" t="n"/>
      <c r="J2140" s="40" t="str">
        <f>IF(OR(C2140="",NOT(ISNUMBER(E2140))),"",IFERROR(E2140*N(INDEX(art_price,MATCH(C2140,art_ref,0))),""))</f>
        <v/>
      </c>
      <c r="K2140" s="39" t="str">
        <f>IF(OR(C2140="",NOT(ISNUMBER(E2140))),"",IFERROR(ROUND(N(INDEX(art_init,MATCH(C2140,art_ref,0)))+SUMIFS($E$5:E2140,$C$5:C2140,C2140,$B$5:B2140,"Entrée")-SUMIFS($E$5:E2140,$C$5:C2140,C2140,$B$5:B2140,"Sortie"),6),""))</f>
        <v/>
      </c>
      <c r="L2140" s="39" t="str">
        <f>IF(COUNTA(A2140:C2140,E2140)=0,"",IF(COUNTA(A2140:C2140,E2140)&lt;4,"Ligne incomplète",IF(NOT(ISNUMBER(A2140)),"Date invalide",IF(AND(B2140&lt;&gt;"Entrée",B2140&lt;&gt;"Sortie"),"Type inconnu",IF(ISNA(MATCH(C2140,art_ref,0)),"Référence inconnue",IF(OR(NOT(ISNUMBER(E2140)),N(E2140)&lt;=0),"Quantité invalide",IF(K2140&lt;0,"Stock négatif",IF(AND(ISNUMBER(A2139),A2140&lt;A2139),"Date hors ordre","OK"))))))))</f>
        <v/>
      </c>
      <c r="M2140" s="39" t="str">
        <f>IF(C2140="","",C2140&amp;"#"&amp;COUNTIF($C$5:C2140,C2140))</f>
        <v/>
      </c>
    </row>
    <row r="2141">
      <c r="A2141" s="41" t="n"/>
      <c r="B2141" s="37" t="n"/>
      <c r="C2141" s="37" t="n"/>
      <c r="D2141" s="39" t="str">
        <f>IF(C2141="","",IFERROR(INDEX(art_des,MATCH(C2141,art_ref,0))&amp;"","Référence inconnue"))</f>
        <v/>
      </c>
      <c r="E2141" s="37" t="n"/>
      <c r="F2141" s="39" t="str">
        <f>IF(C2141="","",IFERROR(INDEX(art_unit,MATCH(C2141,art_ref,0))&amp;"",""))</f>
        <v/>
      </c>
      <c r="G2141" s="37" t="n"/>
      <c r="H2141" s="37" t="n"/>
      <c r="I2141" s="37" t="n"/>
      <c r="J2141" s="40" t="str">
        <f>IF(OR(C2141="",NOT(ISNUMBER(E2141))),"",IFERROR(E2141*N(INDEX(art_price,MATCH(C2141,art_ref,0))),""))</f>
        <v/>
      </c>
      <c r="K2141" s="39" t="str">
        <f>IF(OR(C2141="",NOT(ISNUMBER(E2141))),"",IFERROR(ROUND(N(INDEX(art_init,MATCH(C2141,art_ref,0)))+SUMIFS($E$5:E2141,$C$5:C2141,C2141,$B$5:B2141,"Entrée")-SUMIFS($E$5:E2141,$C$5:C2141,C2141,$B$5:B2141,"Sortie"),6),""))</f>
        <v/>
      </c>
      <c r="L2141" s="39" t="str">
        <f>IF(COUNTA(A2141:C2141,E2141)=0,"",IF(COUNTA(A2141:C2141,E2141)&lt;4,"Ligne incomplète",IF(NOT(ISNUMBER(A2141)),"Date invalide",IF(AND(B2141&lt;&gt;"Entrée",B2141&lt;&gt;"Sortie"),"Type inconnu",IF(ISNA(MATCH(C2141,art_ref,0)),"Référence inconnue",IF(OR(NOT(ISNUMBER(E2141)),N(E2141)&lt;=0),"Quantité invalide",IF(K2141&lt;0,"Stock négatif",IF(AND(ISNUMBER(A2140),A2141&lt;A2140),"Date hors ordre","OK"))))))))</f>
        <v/>
      </c>
      <c r="M2141" s="39" t="str">
        <f>IF(C2141="","",C2141&amp;"#"&amp;COUNTIF($C$5:C2141,C2141))</f>
        <v/>
      </c>
    </row>
    <row r="2142">
      <c r="A2142" s="41" t="n"/>
      <c r="B2142" s="37" t="n"/>
      <c r="C2142" s="37" t="n"/>
      <c r="D2142" s="39" t="str">
        <f>IF(C2142="","",IFERROR(INDEX(art_des,MATCH(C2142,art_ref,0))&amp;"","Référence inconnue"))</f>
        <v/>
      </c>
      <c r="E2142" s="37" t="n"/>
      <c r="F2142" s="39" t="str">
        <f>IF(C2142="","",IFERROR(INDEX(art_unit,MATCH(C2142,art_ref,0))&amp;"",""))</f>
        <v/>
      </c>
      <c r="G2142" s="37" t="n"/>
      <c r="H2142" s="37" t="n"/>
      <c r="I2142" s="37" t="n"/>
      <c r="J2142" s="40" t="str">
        <f>IF(OR(C2142="",NOT(ISNUMBER(E2142))),"",IFERROR(E2142*N(INDEX(art_price,MATCH(C2142,art_ref,0))),""))</f>
        <v/>
      </c>
      <c r="K2142" s="39" t="str">
        <f>IF(OR(C2142="",NOT(ISNUMBER(E2142))),"",IFERROR(ROUND(N(INDEX(art_init,MATCH(C2142,art_ref,0)))+SUMIFS($E$5:E2142,$C$5:C2142,C2142,$B$5:B2142,"Entrée")-SUMIFS($E$5:E2142,$C$5:C2142,C2142,$B$5:B2142,"Sortie"),6),""))</f>
        <v/>
      </c>
      <c r="L2142" s="39" t="str">
        <f>IF(COUNTA(A2142:C2142,E2142)=0,"",IF(COUNTA(A2142:C2142,E2142)&lt;4,"Ligne incomplète",IF(NOT(ISNUMBER(A2142)),"Date invalide",IF(AND(B2142&lt;&gt;"Entrée",B2142&lt;&gt;"Sortie"),"Type inconnu",IF(ISNA(MATCH(C2142,art_ref,0)),"Référence inconnue",IF(OR(NOT(ISNUMBER(E2142)),N(E2142)&lt;=0),"Quantité invalide",IF(K2142&lt;0,"Stock négatif",IF(AND(ISNUMBER(A2141),A2142&lt;A2141),"Date hors ordre","OK"))))))))</f>
        <v/>
      </c>
      <c r="M2142" s="39" t="str">
        <f>IF(C2142="","",C2142&amp;"#"&amp;COUNTIF($C$5:C2142,C2142))</f>
        <v/>
      </c>
    </row>
    <row r="2143">
      <c r="A2143" s="41" t="n"/>
      <c r="B2143" s="37" t="n"/>
      <c r="C2143" s="37" t="n"/>
      <c r="D2143" s="39" t="str">
        <f>IF(C2143="","",IFERROR(INDEX(art_des,MATCH(C2143,art_ref,0))&amp;"","Référence inconnue"))</f>
        <v/>
      </c>
      <c r="E2143" s="37" t="n"/>
      <c r="F2143" s="39" t="str">
        <f>IF(C2143="","",IFERROR(INDEX(art_unit,MATCH(C2143,art_ref,0))&amp;"",""))</f>
        <v/>
      </c>
      <c r="G2143" s="37" t="n"/>
      <c r="H2143" s="37" t="n"/>
      <c r="I2143" s="37" t="n"/>
      <c r="J2143" s="40" t="str">
        <f>IF(OR(C2143="",NOT(ISNUMBER(E2143))),"",IFERROR(E2143*N(INDEX(art_price,MATCH(C2143,art_ref,0))),""))</f>
        <v/>
      </c>
      <c r="K2143" s="39" t="str">
        <f>IF(OR(C2143="",NOT(ISNUMBER(E2143))),"",IFERROR(ROUND(N(INDEX(art_init,MATCH(C2143,art_ref,0)))+SUMIFS($E$5:E2143,$C$5:C2143,C2143,$B$5:B2143,"Entrée")-SUMIFS($E$5:E2143,$C$5:C2143,C2143,$B$5:B2143,"Sortie"),6),""))</f>
        <v/>
      </c>
      <c r="L2143" s="39" t="str">
        <f>IF(COUNTA(A2143:C2143,E2143)=0,"",IF(COUNTA(A2143:C2143,E2143)&lt;4,"Ligne incomplète",IF(NOT(ISNUMBER(A2143)),"Date invalide",IF(AND(B2143&lt;&gt;"Entrée",B2143&lt;&gt;"Sortie"),"Type inconnu",IF(ISNA(MATCH(C2143,art_ref,0)),"Référence inconnue",IF(OR(NOT(ISNUMBER(E2143)),N(E2143)&lt;=0),"Quantité invalide",IF(K2143&lt;0,"Stock négatif",IF(AND(ISNUMBER(A2142),A2143&lt;A2142),"Date hors ordre","OK"))))))))</f>
        <v/>
      </c>
      <c r="M2143" s="39" t="str">
        <f>IF(C2143="","",C2143&amp;"#"&amp;COUNTIF($C$5:C2143,C2143))</f>
        <v/>
      </c>
    </row>
    <row r="2144">
      <c r="A2144" s="41" t="n"/>
      <c r="B2144" s="37" t="n"/>
      <c r="C2144" s="37" t="n"/>
      <c r="D2144" s="39" t="str">
        <f>IF(C2144="","",IFERROR(INDEX(art_des,MATCH(C2144,art_ref,0))&amp;"","Référence inconnue"))</f>
        <v/>
      </c>
      <c r="E2144" s="37" t="n"/>
      <c r="F2144" s="39" t="str">
        <f>IF(C2144="","",IFERROR(INDEX(art_unit,MATCH(C2144,art_ref,0))&amp;"",""))</f>
        <v/>
      </c>
      <c r="G2144" s="37" t="n"/>
      <c r="H2144" s="37" t="n"/>
      <c r="I2144" s="37" t="n"/>
      <c r="J2144" s="40" t="str">
        <f>IF(OR(C2144="",NOT(ISNUMBER(E2144))),"",IFERROR(E2144*N(INDEX(art_price,MATCH(C2144,art_ref,0))),""))</f>
        <v/>
      </c>
      <c r="K2144" s="39" t="str">
        <f>IF(OR(C2144="",NOT(ISNUMBER(E2144))),"",IFERROR(ROUND(N(INDEX(art_init,MATCH(C2144,art_ref,0)))+SUMIFS($E$5:E2144,$C$5:C2144,C2144,$B$5:B2144,"Entrée")-SUMIFS($E$5:E2144,$C$5:C2144,C2144,$B$5:B2144,"Sortie"),6),""))</f>
        <v/>
      </c>
      <c r="L2144" s="39" t="str">
        <f>IF(COUNTA(A2144:C2144,E2144)=0,"",IF(COUNTA(A2144:C2144,E2144)&lt;4,"Ligne incomplète",IF(NOT(ISNUMBER(A2144)),"Date invalide",IF(AND(B2144&lt;&gt;"Entrée",B2144&lt;&gt;"Sortie"),"Type inconnu",IF(ISNA(MATCH(C2144,art_ref,0)),"Référence inconnue",IF(OR(NOT(ISNUMBER(E2144)),N(E2144)&lt;=0),"Quantité invalide",IF(K2144&lt;0,"Stock négatif",IF(AND(ISNUMBER(A2143),A2144&lt;A2143),"Date hors ordre","OK"))))))))</f>
        <v/>
      </c>
      <c r="M2144" s="39" t="str">
        <f>IF(C2144="","",C2144&amp;"#"&amp;COUNTIF($C$5:C2144,C2144))</f>
        <v/>
      </c>
    </row>
    <row r="2145">
      <c r="A2145" s="41" t="n"/>
      <c r="B2145" s="37" t="n"/>
      <c r="C2145" s="37" t="n"/>
      <c r="D2145" s="39" t="str">
        <f>IF(C2145="","",IFERROR(INDEX(art_des,MATCH(C2145,art_ref,0))&amp;"","Référence inconnue"))</f>
        <v/>
      </c>
      <c r="E2145" s="37" t="n"/>
      <c r="F2145" s="39" t="str">
        <f>IF(C2145="","",IFERROR(INDEX(art_unit,MATCH(C2145,art_ref,0))&amp;"",""))</f>
        <v/>
      </c>
      <c r="G2145" s="37" t="n"/>
      <c r="H2145" s="37" t="n"/>
      <c r="I2145" s="37" t="n"/>
      <c r="J2145" s="40" t="str">
        <f>IF(OR(C2145="",NOT(ISNUMBER(E2145))),"",IFERROR(E2145*N(INDEX(art_price,MATCH(C2145,art_ref,0))),""))</f>
        <v/>
      </c>
      <c r="K2145" s="39" t="str">
        <f>IF(OR(C2145="",NOT(ISNUMBER(E2145))),"",IFERROR(ROUND(N(INDEX(art_init,MATCH(C2145,art_ref,0)))+SUMIFS($E$5:E2145,$C$5:C2145,C2145,$B$5:B2145,"Entrée")-SUMIFS($E$5:E2145,$C$5:C2145,C2145,$B$5:B2145,"Sortie"),6),""))</f>
        <v/>
      </c>
      <c r="L2145" s="39" t="str">
        <f>IF(COUNTA(A2145:C2145,E2145)=0,"",IF(COUNTA(A2145:C2145,E2145)&lt;4,"Ligne incomplète",IF(NOT(ISNUMBER(A2145)),"Date invalide",IF(AND(B2145&lt;&gt;"Entrée",B2145&lt;&gt;"Sortie"),"Type inconnu",IF(ISNA(MATCH(C2145,art_ref,0)),"Référence inconnue",IF(OR(NOT(ISNUMBER(E2145)),N(E2145)&lt;=0),"Quantité invalide",IF(K2145&lt;0,"Stock négatif",IF(AND(ISNUMBER(A2144),A2145&lt;A2144),"Date hors ordre","OK"))))))))</f>
        <v/>
      </c>
      <c r="M2145" s="39" t="str">
        <f>IF(C2145="","",C2145&amp;"#"&amp;COUNTIF($C$5:C2145,C2145))</f>
        <v/>
      </c>
    </row>
    <row r="2146">
      <c r="A2146" s="41" t="n"/>
      <c r="B2146" s="37" t="n"/>
      <c r="C2146" s="37" t="n"/>
      <c r="D2146" s="39" t="str">
        <f>IF(C2146="","",IFERROR(INDEX(art_des,MATCH(C2146,art_ref,0))&amp;"","Référence inconnue"))</f>
        <v/>
      </c>
      <c r="E2146" s="37" t="n"/>
      <c r="F2146" s="39" t="str">
        <f>IF(C2146="","",IFERROR(INDEX(art_unit,MATCH(C2146,art_ref,0))&amp;"",""))</f>
        <v/>
      </c>
      <c r="G2146" s="37" t="n"/>
      <c r="H2146" s="37" t="n"/>
      <c r="I2146" s="37" t="n"/>
      <c r="J2146" s="40" t="str">
        <f>IF(OR(C2146="",NOT(ISNUMBER(E2146))),"",IFERROR(E2146*N(INDEX(art_price,MATCH(C2146,art_ref,0))),""))</f>
        <v/>
      </c>
      <c r="K2146" s="39" t="str">
        <f>IF(OR(C2146="",NOT(ISNUMBER(E2146))),"",IFERROR(ROUND(N(INDEX(art_init,MATCH(C2146,art_ref,0)))+SUMIFS($E$5:E2146,$C$5:C2146,C2146,$B$5:B2146,"Entrée")-SUMIFS($E$5:E2146,$C$5:C2146,C2146,$B$5:B2146,"Sortie"),6),""))</f>
        <v/>
      </c>
      <c r="L2146" s="39" t="str">
        <f>IF(COUNTA(A2146:C2146,E2146)=0,"",IF(COUNTA(A2146:C2146,E2146)&lt;4,"Ligne incomplète",IF(NOT(ISNUMBER(A2146)),"Date invalide",IF(AND(B2146&lt;&gt;"Entrée",B2146&lt;&gt;"Sortie"),"Type inconnu",IF(ISNA(MATCH(C2146,art_ref,0)),"Référence inconnue",IF(OR(NOT(ISNUMBER(E2146)),N(E2146)&lt;=0),"Quantité invalide",IF(K2146&lt;0,"Stock négatif",IF(AND(ISNUMBER(A2145),A2146&lt;A2145),"Date hors ordre","OK"))))))))</f>
        <v/>
      </c>
      <c r="M2146" s="39" t="str">
        <f>IF(C2146="","",C2146&amp;"#"&amp;COUNTIF($C$5:C2146,C2146))</f>
        <v/>
      </c>
    </row>
    <row r="2147">
      <c r="A2147" s="41" t="n"/>
      <c r="B2147" s="37" t="n"/>
      <c r="C2147" s="37" t="n"/>
      <c r="D2147" s="39" t="str">
        <f>IF(C2147="","",IFERROR(INDEX(art_des,MATCH(C2147,art_ref,0))&amp;"","Référence inconnue"))</f>
        <v/>
      </c>
      <c r="E2147" s="37" t="n"/>
      <c r="F2147" s="39" t="str">
        <f>IF(C2147="","",IFERROR(INDEX(art_unit,MATCH(C2147,art_ref,0))&amp;"",""))</f>
        <v/>
      </c>
      <c r="G2147" s="37" t="n"/>
      <c r="H2147" s="37" t="n"/>
      <c r="I2147" s="37" t="n"/>
      <c r="J2147" s="40" t="str">
        <f>IF(OR(C2147="",NOT(ISNUMBER(E2147))),"",IFERROR(E2147*N(INDEX(art_price,MATCH(C2147,art_ref,0))),""))</f>
        <v/>
      </c>
      <c r="K2147" s="39" t="str">
        <f>IF(OR(C2147="",NOT(ISNUMBER(E2147))),"",IFERROR(ROUND(N(INDEX(art_init,MATCH(C2147,art_ref,0)))+SUMIFS($E$5:E2147,$C$5:C2147,C2147,$B$5:B2147,"Entrée")-SUMIFS($E$5:E2147,$C$5:C2147,C2147,$B$5:B2147,"Sortie"),6),""))</f>
        <v/>
      </c>
      <c r="L2147" s="39" t="str">
        <f>IF(COUNTA(A2147:C2147,E2147)=0,"",IF(COUNTA(A2147:C2147,E2147)&lt;4,"Ligne incomplète",IF(NOT(ISNUMBER(A2147)),"Date invalide",IF(AND(B2147&lt;&gt;"Entrée",B2147&lt;&gt;"Sortie"),"Type inconnu",IF(ISNA(MATCH(C2147,art_ref,0)),"Référence inconnue",IF(OR(NOT(ISNUMBER(E2147)),N(E2147)&lt;=0),"Quantité invalide",IF(K2147&lt;0,"Stock négatif",IF(AND(ISNUMBER(A2146),A2147&lt;A2146),"Date hors ordre","OK"))))))))</f>
        <v/>
      </c>
      <c r="M2147" s="39" t="str">
        <f>IF(C2147="","",C2147&amp;"#"&amp;COUNTIF($C$5:C2147,C2147))</f>
        <v/>
      </c>
    </row>
    <row r="2148">
      <c r="A2148" s="41" t="n"/>
      <c r="B2148" s="37" t="n"/>
      <c r="C2148" s="37" t="n"/>
      <c r="D2148" s="39" t="str">
        <f>IF(C2148="","",IFERROR(INDEX(art_des,MATCH(C2148,art_ref,0))&amp;"","Référence inconnue"))</f>
        <v/>
      </c>
      <c r="E2148" s="37" t="n"/>
      <c r="F2148" s="39" t="str">
        <f>IF(C2148="","",IFERROR(INDEX(art_unit,MATCH(C2148,art_ref,0))&amp;"",""))</f>
        <v/>
      </c>
      <c r="G2148" s="37" t="n"/>
      <c r="H2148" s="37" t="n"/>
      <c r="I2148" s="37" t="n"/>
      <c r="J2148" s="40" t="str">
        <f>IF(OR(C2148="",NOT(ISNUMBER(E2148))),"",IFERROR(E2148*N(INDEX(art_price,MATCH(C2148,art_ref,0))),""))</f>
        <v/>
      </c>
      <c r="K2148" s="39" t="str">
        <f>IF(OR(C2148="",NOT(ISNUMBER(E2148))),"",IFERROR(ROUND(N(INDEX(art_init,MATCH(C2148,art_ref,0)))+SUMIFS($E$5:E2148,$C$5:C2148,C2148,$B$5:B2148,"Entrée")-SUMIFS($E$5:E2148,$C$5:C2148,C2148,$B$5:B2148,"Sortie"),6),""))</f>
        <v/>
      </c>
      <c r="L2148" s="39" t="str">
        <f>IF(COUNTA(A2148:C2148,E2148)=0,"",IF(COUNTA(A2148:C2148,E2148)&lt;4,"Ligne incomplète",IF(NOT(ISNUMBER(A2148)),"Date invalide",IF(AND(B2148&lt;&gt;"Entrée",B2148&lt;&gt;"Sortie"),"Type inconnu",IF(ISNA(MATCH(C2148,art_ref,0)),"Référence inconnue",IF(OR(NOT(ISNUMBER(E2148)),N(E2148)&lt;=0),"Quantité invalide",IF(K2148&lt;0,"Stock négatif",IF(AND(ISNUMBER(A2147),A2148&lt;A2147),"Date hors ordre","OK"))))))))</f>
        <v/>
      </c>
      <c r="M2148" s="39" t="str">
        <f>IF(C2148="","",C2148&amp;"#"&amp;COUNTIF($C$5:C2148,C2148))</f>
        <v/>
      </c>
    </row>
    <row r="2149">
      <c r="A2149" s="41" t="n"/>
      <c r="B2149" s="37" t="n"/>
      <c r="C2149" s="37" t="n"/>
      <c r="D2149" s="39" t="str">
        <f>IF(C2149="","",IFERROR(INDEX(art_des,MATCH(C2149,art_ref,0))&amp;"","Référence inconnue"))</f>
        <v/>
      </c>
      <c r="E2149" s="37" t="n"/>
      <c r="F2149" s="39" t="str">
        <f>IF(C2149="","",IFERROR(INDEX(art_unit,MATCH(C2149,art_ref,0))&amp;"",""))</f>
        <v/>
      </c>
      <c r="G2149" s="37" t="n"/>
      <c r="H2149" s="37" t="n"/>
      <c r="I2149" s="37" t="n"/>
      <c r="J2149" s="40" t="str">
        <f>IF(OR(C2149="",NOT(ISNUMBER(E2149))),"",IFERROR(E2149*N(INDEX(art_price,MATCH(C2149,art_ref,0))),""))</f>
        <v/>
      </c>
      <c r="K2149" s="39" t="str">
        <f>IF(OR(C2149="",NOT(ISNUMBER(E2149))),"",IFERROR(ROUND(N(INDEX(art_init,MATCH(C2149,art_ref,0)))+SUMIFS($E$5:E2149,$C$5:C2149,C2149,$B$5:B2149,"Entrée")-SUMIFS($E$5:E2149,$C$5:C2149,C2149,$B$5:B2149,"Sortie"),6),""))</f>
        <v/>
      </c>
      <c r="L2149" s="39" t="str">
        <f>IF(COUNTA(A2149:C2149,E2149)=0,"",IF(COUNTA(A2149:C2149,E2149)&lt;4,"Ligne incomplète",IF(NOT(ISNUMBER(A2149)),"Date invalide",IF(AND(B2149&lt;&gt;"Entrée",B2149&lt;&gt;"Sortie"),"Type inconnu",IF(ISNA(MATCH(C2149,art_ref,0)),"Référence inconnue",IF(OR(NOT(ISNUMBER(E2149)),N(E2149)&lt;=0),"Quantité invalide",IF(K2149&lt;0,"Stock négatif",IF(AND(ISNUMBER(A2148),A2149&lt;A2148),"Date hors ordre","OK"))))))))</f>
        <v/>
      </c>
      <c r="M2149" s="39" t="str">
        <f>IF(C2149="","",C2149&amp;"#"&amp;COUNTIF($C$5:C2149,C2149))</f>
        <v/>
      </c>
    </row>
    <row r="2150">
      <c r="A2150" s="41" t="n"/>
      <c r="B2150" s="37" t="n"/>
      <c r="C2150" s="37" t="n"/>
      <c r="D2150" s="39" t="str">
        <f>IF(C2150="","",IFERROR(INDEX(art_des,MATCH(C2150,art_ref,0))&amp;"","Référence inconnue"))</f>
        <v/>
      </c>
      <c r="E2150" s="37" t="n"/>
      <c r="F2150" s="39" t="str">
        <f>IF(C2150="","",IFERROR(INDEX(art_unit,MATCH(C2150,art_ref,0))&amp;"",""))</f>
        <v/>
      </c>
      <c r="G2150" s="37" t="n"/>
      <c r="H2150" s="37" t="n"/>
      <c r="I2150" s="37" t="n"/>
      <c r="J2150" s="40" t="str">
        <f>IF(OR(C2150="",NOT(ISNUMBER(E2150))),"",IFERROR(E2150*N(INDEX(art_price,MATCH(C2150,art_ref,0))),""))</f>
        <v/>
      </c>
      <c r="K2150" s="39" t="str">
        <f>IF(OR(C2150="",NOT(ISNUMBER(E2150))),"",IFERROR(ROUND(N(INDEX(art_init,MATCH(C2150,art_ref,0)))+SUMIFS($E$5:E2150,$C$5:C2150,C2150,$B$5:B2150,"Entrée")-SUMIFS($E$5:E2150,$C$5:C2150,C2150,$B$5:B2150,"Sortie"),6),""))</f>
        <v/>
      </c>
      <c r="L2150" s="39" t="str">
        <f>IF(COUNTA(A2150:C2150,E2150)=0,"",IF(COUNTA(A2150:C2150,E2150)&lt;4,"Ligne incomplète",IF(NOT(ISNUMBER(A2150)),"Date invalide",IF(AND(B2150&lt;&gt;"Entrée",B2150&lt;&gt;"Sortie"),"Type inconnu",IF(ISNA(MATCH(C2150,art_ref,0)),"Référence inconnue",IF(OR(NOT(ISNUMBER(E2150)),N(E2150)&lt;=0),"Quantité invalide",IF(K2150&lt;0,"Stock négatif",IF(AND(ISNUMBER(A2149),A2150&lt;A2149),"Date hors ordre","OK"))))))))</f>
        <v/>
      </c>
      <c r="M2150" s="39" t="str">
        <f>IF(C2150="","",C2150&amp;"#"&amp;COUNTIF($C$5:C2150,C2150))</f>
        <v/>
      </c>
    </row>
    <row r="2151">
      <c r="A2151" s="41" t="n"/>
      <c r="B2151" s="37" t="n"/>
      <c r="C2151" s="37" t="n"/>
      <c r="D2151" s="39" t="str">
        <f>IF(C2151="","",IFERROR(INDEX(art_des,MATCH(C2151,art_ref,0))&amp;"","Référence inconnue"))</f>
        <v/>
      </c>
      <c r="E2151" s="37" t="n"/>
      <c r="F2151" s="39" t="str">
        <f>IF(C2151="","",IFERROR(INDEX(art_unit,MATCH(C2151,art_ref,0))&amp;"",""))</f>
        <v/>
      </c>
      <c r="G2151" s="37" t="n"/>
      <c r="H2151" s="37" t="n"/>
      <c r="I2151" s="37" t="n"/>
      <c r="J2151" s="40" t="str">
        <f>IF(OR(C2151="",NOT(ISNUMBER(E2151))),"",IFERROR(E2151*N(INDEX(art_price,MATCH(C2151,art_ref,0))),""))</f>
        <v/>
      </c>
      <c r="K2151" s="39" t="str">
        <f>IF(OR(C2151="",NOT(ISNUMBER(E2151))),"",IFERROR(ROUND(N(INDEX(art_init,MATCH(C2151,art_ref,0)))+SUMIFS($E$5:E2151,$C$5:C2151,C2151,$B$5:B2151,"Entrée")-SUMIFS($E$5:E2151,$C$5:C2151,C2151,$B$5:B2151,"Sortie"),6),""))</f>
        <v/>
      </c>
      <c r="L2151" s="39" t="str">
        <f>IF(COUNTA(A2151:C2151,E2151)=0,"",IF(COUNTA(A2151:C2151,E2151)&lt;4,"Ligne incomplète",IF(NOT(ISNUMBER(A2151)),"Date invalide",IF(AND(B2151&lt;&gt;"Entrée",B2151&lt;&gt;"Sortie"),"Type inconnu",IF(ISNA(MATCH(C2151,art_ref,0)),"Référence inconnue",IF(OR(NOT(ISNUMBER(E2151)),N(E2151)&lt;=0),"Quantité invalide",IF(K2151&lt;0,"Stock négatif",IF(AND(ISNUMBER(A2150),A2151&lt;A2150),"Date hors ordre","OK"))))))))</f>
        <v/>
      </c>
      <c r="M2151" s="39" t="str">
        <f>IF(C2151="","",C2151&amp;"#"&amp;COUNTIF($C$5:C2151,C2151))</f>
        <v/>
      </c>
    </row>
    <row r="2152">
      <c r="A2152" s="41" t="n"/>
      <c r="B2152" s="37" t="n"/>
      <c r="C2152" s="37" t="n"/>
      <c r="D2152" s="39" t="str">
        <f>IF(C2152="","",IFERROR(INDEX(art_des,MATCH(C2152,art_ref,0))&amp;"","Référence inconnue"))</f>
        <v/>
      </c>
      <c r="E2152" s="37" t="n"/>
      <c r="F2152" s="39" t="str">
        <f>IF(C2152="","",IFERROR(INDEX(art_unit,MATCH(C2152,art_ref,0))&amp;"",""))</f>
        <v/>
      </c>
      <c r="G2152" s="37" t="n"/>
      <c r="H2152" s="37" t="n"/>
      <c r="I2152" s="37" t="n"/>
      <c r="J2152" s="40" t="str">
        <f>IF(OR(C2152="",NOT(ISNUMBER(E2152))),"",IFERROR(E2152*N(INDEX(art_price,MATCH(C2152,art_ref,0))),""))</f>
        <v/>
      </c>
      <c r="K2152" s="39" t="str">
        <f>IF(OR(C2152="",NOT(ISNUMBER(E2152))),"",IFERROR(ROUND(N(INDEX(art_init,MATCH(C2152,art_ref,0)))+SUMIFS($E$5:E2152,$C$5:C2152,C2152,$B$5:B2152,"Entrée")-SUMIFS($E$5:E2152,$C$5:C2152,C2152,$B$5:B2152,"Sortie"),6),""))</f>
        <v/>
      </c>
      <c r="L2152" s="39" t="str">
        <f>IF(COUNTA(A2152:C2152,E2152)=0,"",IF(COUNTA(A2152:C2152,E2152)&lt;4,"Ligne incomplète",IF(NOT(ISNUMBER(A2152)),"Date invalide",IF(AND(B2152&lt;&gt;"Entrée",B2152&lt;&gt;"Sortie"),"Type inconnu",IF(ISNA(MATCH(C2152,art_ref,0)),"Référence inconnue",IF(OR(NOT(ISNUMBER(E2152)),N(E2152)&lt;=0),"Quantité invalide",IF(K2152&lt;0,"Stock négatif",IF(AND(ISNUMBER(A2151),A2152&lt;A2151),"Date hors ordre","OK"))))))))</f>
        <v/>
      </c>
      <c r="M2152" s="39" t="str">
        <f>IF(C2152="","",C2152&amp;"#"&amp;COUNTIF($C$5:C2152,C2152))</f>
        <v/>
      </c>
    </row>
    <row r="2153">
      <c r="A2153" s="41" t="n"/>
      <c r="B2153" s="37" t="n"/>
      <c r="C2153" s="37" t="n"/>
      <c r="D2153" s="39" t="str">
        <f>IF(C2153="","",IFERROR(INDEX(art_des,MATCH(C2153,art_ref,0))&amp;"","Référence inconnue"))</f>
        <v/>
      </c>
      <c r="E2153" s="37" t="n"/>
      <c r="F2153" s="39" t="str">
        <f>IF(C2153="","",IFERROR(INDEX(art_unit,MATCH(C2153,art_ref,0))&amp;"",""))</f>
        <v/>
      </c>
      <c r="G2153" s="37" t="n"/>
      <c r="H2153" s="37" t="n"/>
      <c r="I2153" s="37" t="n"/>
      <c r="J2153" s="40" t="str">
        <f>IF(OR(C2153="",NOT(ISNUMBER(E2153))),"",IFERROR(E2153*N(INDEX(art_price,MATCH(C2153,art_ref,0))),""))</f>
        <v/>
      </c>
      <c r="K2153" s="39" t="str">
        <f>IF(OR(C2153="",NOT(ISNUMBER(E2153))),"",IFERROR(ROUND(N(INDEX(art_init,MATCH(C2153,art_ref,0)))+SUMIFS($E$5:E2153,$C$5:C2153,C2153,$B$5:B2153,"Entrée")-SUMIFS($E$5:E2153,$C$5:C2153,C2153,$B$5:B2153,"Sortie"),6),""))</f>
        <v/>
      </c>
      <c r="L2153" s="39" t="str">
        <f>IF(COUNTA(A2153:C2153,E2153)=0,"",IF(COUNTA(A2153:C2153,E2153)&lt;4,"Ligne incomplète",IF(NOT(ISNUMBER(A2153)),"Date invalide",IF(AND(B2153&lt;&gt;"Entrée",B2153&lt;&gt;"Sortie"),"Type inconnu",IF(ISNA(MATCH(C2153,art_ref,0)),"Référence inconnue",IF(OR(NOT(ISNUMBER(E2153)),N(E2153)&lt;=0),"Quantité invalide",IF(K2153&lt;0,"Stock négatif",IF(AND(ISNUMBER(A2152),A2153&lt;A2152),"Date hors ordre","OK"))))))))</f>
        <v/>
      </c>
      <c r="M2153" s="39" t="str">
        <f>IF(C2153="","",C2153&amp;"#"&amp;COUNTIF($C$5:C2153,C2153))</f>
        <v/>
      </c>
    </row>
    <row r="2154">
      <c r="A2154" s="41" t="n"/>
      <c r="B2154" s="37" t="n"/>
      <c r="C2154" s="37" t="n"/>
      <c r="D2154" s="39" t="str">
        <f>IF(C2154="","",IFERROR(INDEX(art_des,MATCH(C2154,art_ref,0))&amp;"","Référence inconnue"))</f>
        <v/>
      </c>
      <c r="E2154" s="37" t="n"/>
      <c r="F2154" s="39" t="str">
        <f>IF(C2154="","",IFERROR(INDEX(art_unit,MATCH(C2154,art_ref,0))&amp;"",""))</f>
        <v/>
      </c>
      <c r="G2154" s="37" t="n"/>
      <c r="H2154" s="37" t="n"/>
      <c r="I2154" s="37" t="n"/>
      <c r="J2154" s="40" t="str">
        <f>IF(OR(C2154="",NOT(ISNUMBER(E2154))),"",IFERROR(E2154*N(INDEX(art_price,MATCH(C2154,art_ref,0))),""))</f>
        <v/>
      </c>
      <c r="K2154" s="39" t="str">
        <f>IF(OR(C2154="",NOT(ISNUMBER(E2154))),"",IFERROR(ROUND(N(INDEX(art_init,MATCH(C2154,art_ref,0)))+SUMIFS($E$5:E2154,$C$5:C2154,C2154,$B$5:B2154,"Entrée")-SUMIFS($E$5:E2154,$C$5:C2154,C2154,$B$5:B2154,"Sortie"),6),""))</f>
        <v/>
      </c>
      <c r="L2154" s="39" t="str">
        <f>IF(COUNTA(A2154:C2154,E2154)=0,"",IF(COUNTA(A2154:C2154,E2154)&lt;4,"Ligne incomplète",IF(NOT(ISNUMBER(A2154)),"Date invalide",IF(AND(B2154&lt;&gt;"Entrée",B2154&lt;&gt;"Sortie"),"Type inconnu",IF(ISNA(MATCH(C2154,art_ref,0)),"Référence inconnue",IF(OR(NOT(ISNUMBER(E2154)),N(E2154)&lt;=0),"Quantité invalide",IF(K2154&lt;0,"Stock négatif",IF(AND(ISNUMBER(A2153),A2154&lt;A2153),"Date hors ordre","OK"))))))))</f>
        <v/>
      </c>
      <c r="M2154" s="39" t="str">
        <f>IF(C2154="","",C2154&amp;"#"&amp;COUNTIF($C$5:C2154,C2154))</f>
        <v/>
      </c>
    </row>
    <row r="2155">
      <c r="A2155" s="41" t="n"/>
      <c r="B2155" s="37" t="n"/>
      <c r="C2155" s="37" t="n"/>
      <c r="D2155" s="39" t="str">
        <f>IF(C2155="","",IFERROR(INDEX(art_des,MATCH(C2155,art_ref,0))&amp;"","Référence inconnue"))</f>
        <v/>
      </c>
      <c r="E2155" s="37" t="n"/>
      <c r="F2155" s="39" t="str">
        <f>IF(C2155="","",IFERROR(INDEX(art_unit,MATCH(C2155,art_ref,0))&amp;"",""))</f>
        <v/>
      </c>
      <c r="G2155" s="37" t="n"/>
      <c r="H2155" s="37" t="n"/>
      <c r="I2155" s="37" t="n"/>
      <c r="J2155" s="40" t="str">
        <f>IF(OR(C2155="",NOT(ISNUMBER(E2155))),"",IFERROR(E2155*N(INDEX(art_price,MATCH(C2155,art_ref,0))),""))</f>
        <v/>
      </c>
      <c r="K2155" s="39" t="str">
        <f>IF(OR(C2155="",NOT(ISNUMBER(E2155))),"",IFERROR(ROUND(N(INDEX(art_init,MATCH(C2155,art_ref,0)))+SUMIFS($E$5:E2155,$C$5:C2155,C2155,$B$5:B2155,"Entrée")-SUMIFS($E$5:E2155,$C$5:C2155,C2155,$B$5:B2155,"Sortie"),6),""))</f>
        <v/>
      </c>
      <c r="L2155" s="39" t="str">
        <f>IF(COUNTA(A2155:C2155,E2155)=0,"",IF(COUNTA(A2155:C2155,E2155)&lt;4,"Ligne incomplète",IF(NOT(ISNUMBER(A2155)),"Date invalide",IF(AND(B2155&lt;&gt;"Entrée",B2155&lt;&gt;"Sortie"),"Type inconnu",IF(ISNA(MATCH(C2155,art_ref,0)),"Référence inconnue",IF(OR(NOT(ISNUMBER(E2155)),N(E2155)&lt;=0),"Quantité invalide",IF(K2155&lt;0,"Stock négatif",IF(AND(ISNUMBER(A2154),A2155&lt;A2154),"Date hors ordre","OK"))))))))</f>
        <v/>
      </c>
      <c r="M2155" s="39" t="str">
        <f>IF(C2155="","",C2155&amp;"#"&amp;COUNTIF($C$5:C2155,C2155))</f>
        <v/>
      </c>
    </row>
    <row r="2156">
      <c r="A2156" s="41" t="n"/>
      <c r="B2156" s="37" t="n"/>
      <c r="C2156" s="37" t="n"/>
      <c r="D2156" s="39" t="str">
        <f>IF(C2156="","",IFERROR(INDEX(art_des,MATCH(C2156,art_ref,0))&amp;"","Référence inconnue"))</f>
        <v/>
      </c>
      <c r="E2156" s="37" t="n"/>
      <c r="F2156" s="39" t="str">
        <f>IF(C2156="","",IFERROR(INDEX(art_unit,MATCH(C2156,art_ref,0))&amp;"",""))</f>
        <v/>
      </c>
      <c r="G2156" s="37" t="n"/>
      <c r="H2156" s="37" t="n"/>
      <c r="I2156" s="37" t="n"/>
      <c r="J2156" s="40" t="str">
        <f>IF(OR(C2156="",NOT(ISNUMBER(E2156))),"",IFERROR(E2156*N(INDEX(art_price,MATCH(C2156,art_ref,0))),""))</f>
        <v/>
      </c>
      <c r="K2156" s="39" t="str">
        <f>IF(OR(C2156="",NOT(ISNUMBER(E2156))),"",IFERROR(ROUND(N(INDEX(art_init,MATCH(C2156,art_ref,0)))+SUMIFS($E$5:E2156,$C$5:C2156,C2156,$B$5:B2156,"Entrée")-SUMIFS($E$5:E2156,$C$5:C2156,C2156,$B$5:B2156,"Sortie"),6),""))</f>
        <v/>
      </c>
      <c r="L2156" s="39" t="str">
        <f>IF(COUNTA(A2156:C2156,E2156)=0,"",IF(COUNTA(A2156:C2156,E2156)&lt;4,"Ligne incomplète",IF(NOT(ISNUMBER(A2156)),"Date invalide",IF(AND(B2156&lt;&gt;"Entrée",B2156&lt;&gt;"Sortie"),"Type inconnu",IF(ISNA(MATCH(C2156,art_ref,0)),"Référence inconnue",IF(OR(NOT(ISNUMBER(E2156)),N(E2156)&lt;=0),"Quantité invalide",IF(K2156&lt;0,"Stock négatif",IF(AND(ISNUMBER(A2155),A2156&lt;A2155),"Date hors ordre","OK"))))))))</f>
        <v/>
      </c>
      <c r="M2156" s="39" t="str">
        <f>IF(C2156="","",C2156&amp;"#"&amp;COUNTIF($C$5:C2156,C2156))</f>
        <v/>
      </c>
    </row>
    <row r="2157">
      <c r="A2157" s="41" t="n"/>
      <c r="B2157" s="37" t="n"/>
      <c r="C2157" s="37" t="n"/>
      <c r="D2157" s="39" t="str">
        <f>IF(C2157="","",IFERROR(INDEX(art_des,MATCH(C2157,art_ref,0))&amp;"","Référence inconnue"))</f>
        <v/>
      </c>
      <c r="E2157" s="37" t="n"/>
      <c r="F2157" s="39" t="str">
        <f>IF(C2157="","",IFERROR(INDEX(art_unit,MATCH(C2157,art_ref,0))&amp;"",""))</f>
        <v/>
      </c>
      <c r="G2157" s="37" t="n"/>
      <c r="H2157" s="37" t="n"/>
      <c r="I2157" s="37" t="n"/>
      <c r="J2157" s="40" t="str">
        <f>IF(OR(C2157="",NOT(ISNUMBER(E2157))),"",IFERROR(E2157*N(INDEX(art_price,MATCH(C2157,art_ref,0))),""))</f>
        <v/>
      </c>
      <c r="K2157" s="39" t="str">
        <f>IF(OR(C2157="",NOT(ISNUMBER(E2157))),"",IFERROR(ROUND(N(INDEX(art_init,MATCH(C2157,art_ref,0)))+SUMIFS($E$5:E2157,$C$5:C2157,C2157,$B$5:B2157,"Entrée")-SUMIFS($E$5:E2157,$C$5:C2157,C2157,$B$5:B2157,"Sortie"),6),""))</f>
        <v/>
      </c>
      <c r="L2157" s="39" t="str">
        <f>IF(COUNTA(A2157:C2157,E2157)=0,"",IF(COUNTA(A2157:C2157,E2157)&lt;4,"Ligne incomplète",IF(NOT(ISNUMBER(A2157)),"Date invalide",IF(AND(B2157&lt;&gt;"Entrée",B2157&lt;&gt;"Sortie"),"Type inconnu",IF(ISNA(MATCH(C2157,art_ref,0)),"Référence inconnue",IF(OR(NOT(ISNUMBER(E2157)),N(E2157)&lt;=0),"Quantité invalide",IF(K2157&lt;0,"Stock négatif",IF(AND(ISNUMBER(A2156),A2157&lt;A2156),"Date hors ordre","OK"))))))))</f>
        <v/>
      </c>
      <c r="M2157" s="39" t="str">
        <f>IF(C2157="","",C2157&amp;"#"&amp;COUNTIF($C$5:C2157,C2157))</f>
        <v/>
      </c>
    </row>
    <row r="2158">
      <c r="A2158" s="41" t="n"/>
      <c r="B2158" s="37" t="n"/>
      <c r="C2158" s="37" t="n"/>
      <c r="D2158" s="39" t="str">
        <f>IF(C2158="","",IFERROR(INDEX(art_des,MATCH(C2158,art_ref,0))&amp;"","Référence inconnue"))</f>
        <v/>
      </c>
      <c r="E2158" s="37" t="n"/>
      <c r="F2158" s="39" t="str">
        <f>IF(C2158="","",IFERROR(INDEX(art_unit,MATCH(C2158,art_ref,0))&amp;"",""))</f>
        <v/>
      </c>
      <c r="G2158" s="37" t="n"/>
      <c r="H2158" s="37" t="n"/>
      <c r="I2158" s="37" t="n"/>
      <c r="J2158" s="40" t="str">
        <f>IF(OR(C2158="",NOT(ISNUMBER(E2158))),"",IFERROR(E2158*N(INDEX(art_price,MATCH(C2158,art_ref,0))),""))</f>
        <v/>
      </c>
      <c r="K2158" s="39" t="str">
        <f>IF(OR(C2158="",NOT(ISNUMBER(E2158))),"",IFERROR(ROUND(N(INDEX(art_init,MATCH(C2158,art_ref,0)))+SUMIFS($E$5:E2158,$C$5:C2158,C2158,$B$5:B2158,"Entrée")-SUMIFS($E$5:E2158,$C$5:C2158,C2158,$B$5:B2158,"Sortie"),6),""))</f>
        <v/>
      </c>
      <c r="L2158" s="39" t="str">
        <f>IF(COUNTA(A2158:C2158,E2158)=0,"",IF(COUNTA(A2158:C2158,E2158)&lt;4,"Ligne incomplète",IF(NOT(ISNUMBER(A2158)),"Date invalide",IF(AND(B2158&lt;&gt;"Entrée",B2158&lt;&gt;"Sortie"),"Type inconnu",IF(ISNA(MATCH(C2158,art_ref,0)),"Référence inconnue",IF(OR(NOT(ISNUMBER(E2158)),N(E2158)&lt;=0),"Quantité invalide",IF(K2158&lt;0,"Stock négatif",IF(AND(ISNUMBER(A2157),A2158&lt;A2157),"Date hors ordre","OK"))))))))</f>
        <v/>
      </c>
      <c r="M2158" s="39" t="str">
        <f>IF(C2158="","",C2158&amp;"#"&amp;COUNTIF($C$5:C2158,C2158))</f>
        <v/>
      </c>
    </row>
    <row r="2159">
      <c r="A2159" s="41" t="n"/>
      <c r="B2159" s="37" t="n"/>
      <c r="C2159" s="37" t="n"/>
      <c r="D2159" s="39" t="str">
        <f>IF(C2159="","",IFERROR(INDEX(art_des,MATCH(C2159,art_ref,0))&amp;"","Référence inconnue"))</f>
        <v/>
      </c>
      <c r="E2159" s="37" t="n"/>
      <c r="F2159" s="39" t="str">
        <f>IF(C2159="","",IFERROR(INDEX(art_unit,MATCH(C2159,art_ref,0))&amp;"",""))</f>
        <v/>
      </c>
      <c r="G2159" s="37" t="n"/>
      <c r="H2159" s="37" t="n"/>
      <c r="I2159" s="37" t="n"/>
      <c r="J2159" s="40" t="str">
        <f>IF(OR(C2159="",NOT(ISNUMBER(E2159))),"",IFERROR(E2159*N(INDEX(art_price,MATCH(C2159,art_ref,0))),""))</f>
        <v/>
      </c>
      <c r="K2159" s="39" t="str">
        <f>IF(OR(C2159="",NOT(ISNUMBER(E2159))),"",IFERROR(ROUND(N(INDEX(art_init,MATCH(C2159,art_ref,0)))+SUMIFS($E$5:E2159,$C$5:C2159,C2159,$B$5:B2159,"Entrée")-SUMIFS($E$5:E2159,$C$5:C2159,C2159,$B$5:B2159,"Sortie"),6),""))</f>
        <v/>
      </c>
      <c r="L2159" s="39" t="str">
        <f>IF(COUNTA(A2159:C2159,E2159)=0,"",IF(COUNTA(A2159:C2159,E2159)&lt;4,"Ligne incomplète",IF(NOT(ISNUMBER(A2159)),"Date invalide",IF(AND(B2159&lt;&gt;"Entrée",B2159&lt;&gt;"Sortie"),"Type inconnu",IF(ISNA(MATCH(C2159,art_ref,0)),"Référence inconnue",IF(OR(NOT(ISNUMBER(E2159)),N(E2159)&lt;=0),"Quantité invalide",IF(K2159&lt;0,"Stock négatif",IF(AND(ISNUMBER(A2158),A2159&lt;A2158),"Date hors ordre","OK"))))))))</f>
        <v/>
      </c>
      <c r="M2159" s="39" t="str">
        <f>IF(C2159="","",C2159&amp;"#"&amp;COUNTIF($C$5:C2159,C2159))</f>
        <v/>
      </c>
    </row>
    <row r="2160">
      <c r="A2160" s="41" t="n"/>
      <c r="B2160" s="37" t="n"/>
      <c r="C2160" s="37" t="n"/>
      <c r="D2160" s="39" t="str">
        <f>IF(C2160="","",IFERROR(INDEX(art_des,MATCH(C2160,art_ref,0))&amp;"","Référence inconnue"))</f>
        <v/>
      </c>
      <c r="E2160" s="37" t="n"/>
      <c r="F2160" s="39" t="str">
        <f>IF(C2160="","",IFERROR(INDEX(art_unit,MATCH(C2160,art_ref,0))&amp;"",""))</f>
        <v/>
      </c>
      <c r="G2160" s="37" t="n"/>
      <c r="H2160" s="37" t="n"/>
      <c r="I2160" s="37" t="n"/>
      <c r="J2160" s="40" t="str">
        <f>IF(OR(C2160="",NOT(ISNUMBER(E2160))),"",IFERROR(E2160*N(INDEX(art_price,MATCH(C2160,art_ref,0))),""))</f>
        <v/>
      </c>
      <c r="K2160" s="39" t="str">
        <f>IF(OR(C2160="",NOT(ISNUMBER(E2160))),"",IFERROR(ROUND(N(INDEX(art_init,MATCH(C2160,art_ref,0)))+SUMIFS($E$5:E2160,$C$5:C2160,C2160,$B$5:B2160,"Entrée")-SUMIFS($E$5:E2160,$C$5:C2160,C2160,$B$5:B2160,"Sortie"),6),""))</f>
        <v/>
      </c>
      <c r="L2160" s="39" t="str">
        <f>IF(COUNTA(A2160:C2160,E2160)=0,"",IF(COUNTA(A2160:C2160,E2160)&lt;4,"Ligne incomplète",IF(NOT(ISNUMBER(A2160)),"Date invalide",IF(AND(B2160&lt;&gt;"Entrée",B2160&lt;&gt;"Sortie"),"Type inconnu",IF(ISNA(MATCH(C2160,art_ref,0)),"Référence inconnue",IF(OR(NOT(ISNUMBER(E2160)),N(E2160)&lt;=0),"Quantité invalide",IF(K2160&lt;0,"Stock négatif",IF(AND(ISNUMBER(A2159),A2160&lt;A2159),"Date hors ordre","OK"))))))))</f>
        <v/>
      </c>
      <c r="M2160" s="39" t="str">
        <f>IF(C2160="","",C2160&amp;"#"&amp;COUNTIF($C$5:C2160,C2160))</f>
        <v/>
      </c>
    </row>
    <row r="2161">
      <c r="A2161" s="41" t="n"/>
      <c r="B2161" s="37" t="n"/>
      <c r="C2161" s="37" t="n"/>
      <c r="D2161" s="39" t="str">
        <f>IF(C2161="","",IFERROR(INDEX(art_des,MATCH(C2161,art_ref,0))&amp;"","Référence inconnue"))</f>
        <v/>
      </c>
      <c r="E2161" s="37" t="n"/>
      <c r="F2161" s="39" t="str">
        <f>IF(C2161="","",IFERROR(INDEX(art_unit,MATCH(C2161,art_ref,0))&amp;"",""))</f>
        <v/>
      </c>
      <c r="G2161" s="37" t="n"/>
      <c r="H2161" s="37" t="n"/>
      <c r="I2161" s="37" t="n"/>
      <c r="J2161" s="40" t="str">
        <f>IF(OR(C2161="",NOT(ISNUMBER(E2161))),"",IFERROR(E2161*N(INDEX(art_price,MATCH(C2161,art_ref,0))),""))</f>
        <v/>
      </c>
      <c r="K2161" s="39" t="str">
        <f>IF(OR(C2161="",NOT(ISNUMBER(E2161))),"",IFERROR(ROUND(N(INDEX(art_init,MATCH(C2161,art_ref,0)))+SUMIFS($E$5:E2161,$C$5:C2161,C2161,$B$5:B2161,"Entrée")-SUMIFS($E$5:E2161,$C$5:C2161,C2161,$B$5:B2161,"Sortie"),6),""))</f>
        <v/>
      </c>
      <c r="L2161" s="39" t="str">
        <f>IF(COUNTA(A2161:C2161,E2161)=0,"",IF(COUNTA(A2161:C2161,E2161)&lt;4,"Ligne incomplète",IF(NOT(ISNUMBER(A2161)),"Date invalide",IF(AND(B2161&lt;&gt;"Entrée",B2161&lt;&gt;"Sortie"),"Type inconnu",IF(ISNA(MATCH(C2161,art_ref,0)),"Référence inconnue",IF(OR(NOT(ISNUMBER(E2161)),N(E2161)&lt;=0),"Quantité invalide",IF(K2161&lt;0,"Stock négatif",IF(AND(ISNUMBER(A2160),A2161&lt;A2160),"Date hors ordre","OK"))))))))</f>
        <v/>
      </c>
      <c r="M2161" s="39" t="str">
        <f>IF(C2161="","",C2161&amp;"#"&amp;COUNTIF($C$5:C2161,C2161))</f>
        <v/>
      </c>
    </row>
    <row r="2162">
      <c r="A2162" s="41" t="n"/>
      <c r="B2162" s="37" t="n"/>
      <c r="C2162" s="37" t="n"/>
      <c r="D2162" s="39" t="str">
        <f>IF(C2162="","",IFERROR(INDEX(art_des,MATCH(C2162,art_ref,0))&amp;"","Référence inconnue"))</f>
        <v/>
      </c>
      <c r="E2162" s="37" t="n"/>
      <c r="F2162" s="39" t="str">
        <f>IF(C2162="","",IFERROR(INDEX(art_unit,MATCH(C2162,art_ref,0))&amp;"",""))</f>
        <v/>
      </c>
      <c r="G2162" s="37" t="n"/>
      <c r="H2162" s="37" t="n"/>
      <c r="I2162" s="37" t="n"/>
      <c r="J2162" s="40" t="str">
        <f>IF(OR(C2162="",NOT(ISNUMBER(E2162))),"",IFERROR(E2162*N(INDEX(art_price,MATCH(C2162,art_ref,0))),""))</f>
        <v/>
      </c>
      <c r="K2162" s="39" t="str">
        <f>IF(OR(C2162="",NOT(ISNUMBER(E2162))),"",IFERROR(ROUND(N(INDEX(art_init,MATCH(C2162,art_ref,0)))+SUMIFS($E$5:E2162,$C$5:C2162,C2162,$B$5:B2162,"Entrée")-SUMIFS($E$5:E2162,$C$5:C2162,C2162,$B$5:B2162,"Sortie"),6),""))</f>
        <v/>
      </c>
      <c r="L2162" s="39" t="str">
        <f>IF(COUNTA(A2162:C2162,E2162)=0,"",IF(COUNTA(A2162:C2162,E2162)&lt;4,"Ligne incomplète",IF(NOT(ISNUMBER(A2162)),"Date invalide",IF(AND(B2162&lt;&gt;"Entrée",B2162&lt;&gt;"Sortie"),"Type inconnu",IF(ISNA(MATCH(C2162,art_ref,0)),"Référence inconnue",IF(OR(NOT(ISNUMBER(E2162)),N(E2162)&lt;=0),"Quantité invalide",IF(K2162&lt;0,"Stock négatif",IF(AND(ISNUMBER(A2161),A2162&lt;A2161),"Date hors ordre","OK"))))))))</f>
        <v/>
      </c>
      <c r="M2162" s="39" t="str">
        <f>IF(C2162="","",C2162&amp;"#"&amp;COUNTIF($C$5:C2162,C2162))</f>
        <v/>
      </c>
    </row>
    <row r="2163">
      <c r="A2163" s="41" t="n"/>
      <c r="B2163" s="37" t="n"/>
      <c r="C2163" s="37" t="n"/>
      <c r="D2163" s="39" t="str">
        <f>IF(C2163="","",IFERROR(INDEX(art_des,MATCH(C2163,art_ref,0))&amp;"","Référence inconnue"))</f>
        <v/>
      </c>
      <c r="E2163" s="37" t="n"/>
      <c r="F2163" s="39" t="str">
        <f>IF(C2163="","",IFERROR(INDEX(art_unit,MATCH(C2163,art_ref,0))&amp;"",""))</f>
        <v/>
      </c>
      <c r="G2163" s="37" t="n"/>
      <c r="H2163" s="37" t="n"/>
      <c r="I2163" s="37" t="n"/>
      <c r="J2163" s="40" t="str">
        <f>IF(OR(C2163="",NOT(ISNUMBER(E2163))),"",IFERROR(E2163*N(INDEX(art_price,MATCH(C2163,art_ref,0))),""))</f>
        <v/>
      </c>
      <c r="K2163" s="39" t="str">
        <f>IF(OR(C2163="",NOT(ISNUMBER(E2163))),"",IFERROR(ROUND(N(INDEX(art_init,MATCH(C2163,art_ref,0)))+SUMIFS($E$5:E2163,$C$5:C2163,C2163,$B$5:B2163,"Entrée")-SUMIFS($E$5:E2163,$C$5:C2163,C2163,$B$5:B2163,"Sortie"),6),""))</f>
        <v/>
      </c>
      <c r="L2163" s="39" t="str">
        <f>IF(COUNTA(A2163:C2163,E2163)=0,"",IF(COUNTA(A2163:C2163,E2163)&lt;4,"Ligne incomplète",IF(NOT(ISNUMBER(A2163)),"Date invalide",IF(AND(B2163&lt;&gt;"Entrée",B2163&lt;&gt;"Sortie"),"Type inconnu",IF(ISNA(MATCH(C2163,art_ref,0)),"Référence inconnue",IF(OR(NOT(ISNUMBER(E2163)),N(E2163)&lt;=0),"Quantité invalide",IF(K2163&lt;0,"Stock négatif",IF(AND(ISNUMBER(A2162),A2163&lt;A2162),"Date hors ordre","OK"))))))))</f>
        <v/>
      </c>
      <c r="M2163" s="39" t="str">
        <f>IF(C2163="","",C2163&amp;"#"&amp;COUNTIF($C$5:C2163,C2163))</f>
        <v/>
      </c>
    </row>
    <row r="2164">
      <c r="A2164" s="41" t="n"/>
      <c r="B2164" s="37" t="n"/>
      <c r="C2164" s="37" t="n"/>
      <c r="D2164" s="39" t="str">
        <f>IF(C2164="","",IFERROR(INDEX(art_des,MATCH(C2164,art_ref,0))&amp;"","Référence inconnue"))</f>
        <v/>
      </c>
      <c r="E2164" s="37" t="n"/>
      <c r="F2164" s="39" t="str">
        <f>IF(C2164="","",IFERROR(INDEX(art_unit,MATCH(C2164,art_ref,0))&amp;"",""))</f>
        <v/>
      </c>
      <c r="G2164" s="37" t="n"/>
      <c r="H2164" s="37" t="n"/>
      <c r="I2164" s="37" t="n"/>
      <c r="J2164" s="40" t="str">
        <f>IF(OR(C2164="",NOT(ISNUMBER(E2164))),"",IFERROR(E2164*N(INDEX(art_price,MATCH(C2164,art_ref,0))),""))</f>
        <v/>
      </c>
      <c r="K2164" s="39" t="str">
        <f>IF(OR(C2164="",NOT(ISNUMBER(E2164))),"",IFERROR(ROUND(N(INDEX(art_init,MATCH(C2164,art_ref,0)))+SUMIFS($E$5:E2164,$C$5:C2164,C2164,$B$5:B2164,"Entrée")-SUMIFS($E$5:E2164,$C$5:C2164,C2164,$B$5:B2164,"Sortie"),6),""))</f>
        <v/>
      </c>
      <c r="L2164" s="39" t="str">
        <f>IF(COUNTA(A2164:C2164,E2164)=0,"",IF(COUNTA(A2164:C2164,E2164)&lt;4,"Ligne incomplète",IF(NOT(ISNUMBER(A2164)),"Date invalide",IF(AND(B2164&lt;&gt;"Entrée",B2164&lt;&gt;"Sortie"),"Type inconnu",IF(ISNA(MATCH(C2164,art_ref,0)),"Référence inconnue",IF(OR(NOT(ISNUMBER(E2164)),N(E2164)&lt;=0),"Quantité invalide",IF(K2164&lt;0,"Stock négatif",IF(AND(ISNUMBER(A2163),A2164&lt;A2163),"Date hors ordre","OK"))))))))</f>
        <v/>
      </c>
      <c r="M2164" s="39" t="str">
        <f>IF(C2164="","",C2164&amp;"#"&amp;COUNTIF($C$5:C2164,C2164))</f>
        <v/>
      </c>
    </row>
    <row r="2165">
      <c r="A2165" s="41" t="n"/>
      <c r="B2165" s="37" t="n"/>
      <c r="C2165" s="37" t="n"/>
      <c r="D2165" s="39" t="str">
        <f>IF(C2165="","",IFERROR(INDEX(art_des,MATCH(C2165,art_ref,0))&amp;"","Référence inconnue"))</f>
        <v/>
      </c>
      <c r="E2165" s="37" t="n"/>
      <c r="F2165" s="39" t="str">
        <f>IF(C2165="","",IFERROR(INDEX(art_unit,MATCH(C2165,art_ref,0))&amp;"",""))</f>
        <v/>
      </c>
      <c r="G2165" s="37" t="n"/>
      <c r="H2165" s="37" t="n"/>
      <c r="I2165" s="37" t="n"/>
      <c r="J2165" s="40" t="str">
        <f>IF(OR(C2165="",NOT(ISNUMBER(E2165))),"",IFERROR(E2165*N(INDEX(art_price,MATCH(C2165,art_ref,0))),""))</f>
        <v/>
      </c>
      <c r="K2165" s="39" t="str">
        <f>IF(OR(C2165="",NOT(ISNUMBER(E2165))),"",IFERROR(ROUND(N(INDEX(art_init,MATCH(C2165,art_ref,0)))+SUMIFS($E$5:E2165,$C$5:C2165,C2165,$B$5:B2165,"Entrée")-SUMIFS($E$5:E2165,$C$5:C2165,C2165,$B$5:B2165,"Sortie"),6),""))</f>
        <v/>
      </c>
      <c r="L2165" s="39" t="str">
        <f>IF(COUNTA(A2165:C2165,E2165)=0,"",IF(COUNTA(A2165:C2165,E2165)&lt;4,"Ligne incomplète",IF(NOT(ISNUMBER(A2165)),"Date invalide",IF(AND(B2165&lt;&gt;"Entrée",B2165&lt;&gt;"Sortie"),"Type inconnu",IF(ISNA(MATCH(C2165,art_ref,0)),"Référence inconnue",IF(OR(NOT(ISNUMBER(E2165)),N(E2165)&lt;=0),"Quantité invalide",IF(K2165&lt;0,"Stock négatif",IF(AND(ISNUMBER(A2164),A2165&lt;A2164),"Date hors ordre","OK"))))))))</f>
        <v/>
      </c>
      <c r="M2165" s="39" t="str">
        <f>IF(C2165="","",C2165&amp;"#"&amp;COUNTIF($C$5:C2165,C2165))</f>
        <v/>
      </c>
    </row>
    <row r="2166">
      <c r="A2166" s="41" t="n"/>
      <c r="B2166" s="37" t="n"/>
      <c r="C2166" s="37" t="n"/>
      <c r="D2166" s="39" t="str">
        <f>IF(C2166="","",IFERROR(INDEX(art_des,MATCH(C2166,art_ref,0))&amp;"","Référence inconnue"))</f>
        <v/>
      </c>
      <c r="E2166" s="37" t="n"/>
      <c r="F2166" s="39" t="str">
        <f>IF(C2166="","",IFERROR(INDEX(art_unit,MATCH(C2166,art_ref,0))&amp;"",""))</f>
        <v/>
      </c>
      <c r="G2166" s="37" t="n"/>
      <c r="H2166" s="37" t="n"/>
      <c r="I2166" s="37" t="n"/>
      <c r="J2166" s="40" t="str">
        <f>IF(OR(C2166="",NOT(ISNUMBER(E2166))),"",IFERROR(E2166*N(INDEX(art_price,MATCH(C2166,art_ref,0))),""))</f>
        <v/>
      </c>
      <c r="K2166" s="39" t="str">
        <f>IF(OR(C2166="",NOT(ISNUMBER(E2166))),"",IFERROR(ROUND(N(INDEX(art_init,MATCH(C2166,art_ref,0)))+SUMIFS($E$5:E2166,$C$5:C2166,C2166,$B$5:B2166,"Entrée")-SUMIFS($E$5:E2166,$C$5:C2166,C2166,$B$5:B2166,"Sortie"),6),""))</f>
        <v/>
      </c>
      <c r="L2166" s="39" t="str">
        <f>IF(COUNTA(A2166:C2166,E2166)=0,"",IF(COUNTA(A2166:C2166,E2166)&lt;4,"Ligne incomplète",IF(NOT(ISNUMBER(A2166)),"Date invalide",IF(AND(B2166&lt;&gt;"Entrée",B2166&lt;&gt;"Sortie"),"Type inconnu",IF(ISNA(MATCH(C2166,art_ref,0)),"Référence inconnue",IF(OR(NOT(ISNUMBER(E2166)),N(E2166)&lt;=0),"Quantité invalide",IF(K2166&lt;0,"Stock négatif",IF(AND(ISNUMBER(A2165),A2166&lt;A2165),"Date hors ordre","OK"))))))))</f>
        <v/>
      </c>
      <c r="M2166" s="39" t="str">
        <f>IF(C2166="","",C2166&amp;"#"&amp;COUNTIF($C$5:C2166,C2166))</f>
        <v/>
      </c>
    </row>
    <row r="2167">
      <c r="A2167" s="41" t="n"/>
      <c r="B2167" s="37" t="n"/>
      <c r="C2167" s="37" t="n"/>
      <c r="D2167" s="39" t="str">
        <f>IF(C2167="","",IFERROR(INDEX(art_des,MATCH(C2167,art_ref,0))&amp;"","Référence inconnue"))</f>
        <v/>
      </c>
      <c r="E2167" s="37" t="n"/>
      <c r="F2167" s="39" t="str">
        <f>IF(C2167="","",IFERROR(INDEX(art_unit,MATCH(C2167,art_ref,0))&amp;"",""))</f>
        <v/>
      </c>
      <c r="G2167" s="37" t="n"/>
      <c r="H2167" s="37" t="n"/>
      <c r="I2167" s="37" t="n"/>
      <c r="J2167" s="40" t="str">
        <f>IF(OR(C2167="",NOT(ISNUMBER(E2167))),"",IFERROR(E2167*N(INDEX(art_price,MATCH(C2167,art_ref,0))),""))</f>
        <v/>
      </c>
      <c r="K2167" s="39" t="str">
        <f>IF(OR(C2167="",NOT(ISNUMBER(E2167))),"",IFERROR(ROUND(N(INDEX(art_init,MATCH(C2167,art_ref,0)))+SUMIFS($E$5:E2167,$C$5:C2167,C2167,$B$5:B2167,"Entrée")-SUMIFS($E$5:E2167,$C$5:C2167,C2167,$B$5:B2167,"Sortie"),6),""))</f>
        <v/>
      </c>
      <c r="L2167" s="39" t="str">
        <f>IF(COUNTA(A2167:C2167,E2167)=0,"",IF(COUNTA(A2167:C2167,E2167)&lt;4,"Ligne incomplète",IF(NOT(ISNUMBER(A2167)),"Date invalide",IF(AND(B2167&lt;&gt;"Entrée",B2167&lt;&gt;"Sortie"),"Type inconnu",IF(ISNA(MATCH(C2167,art_ref,0)),"Référence inconnue",IF(OR(NOT(ISNUMBER(E2167)),N(E2167)&lt;=0),"Quantité invalide",IF(K2167&lt;0,"Stock négatif",IF(AND(ISNUMBER(A2166),A2167&lt;A2166),"Date hors ordre","OK"))))))))</f>
        <v/>
      </c>
      <c r="M2167" s="39" t="str">
        <f>IF(C2167="","",C2167&amp;"#"&amp;COUNTIF($C$5:C2167,C2167))</f>
        <v/>
      </c>
    </row>
    <row r="2168">
      <c r="A2168" s="41" t="n"/>
      <c r="B2168" s="37" t="n"/>
      <c r="C2168" s="37" t="n"/>
      <c r="D2168" s="39" t="str">
        <f>IF(C2168="","",IFERROR(INDEX(art_des,MATCH(C2168,art_ref,0))&amp;"","Référence inconnue"))</f>
        <v/>
      </c>
      <c r="E2168" s="37" t="n"/>
      <c r="F2168" s="39" t="str">
        <f>IF(C2168="","",IFERROR(INDEX(art_unit,MATCH(C2168,art_ref,0))&amp;"",""))</f>
        <v/>
      </c>
      <c r="G2168" s="37" t="n"/>
      <c r="H2168" s="37" t="n"/>
      <c r="I2168" s="37" t="n"/>
      <c r="J2168" s="40" t="str">
        <f>IF(OR(C2168="",NOT(ISNUMBER(E2168))),"",IFERROR(E2168*N(INDEX(art_price,MATCH(C2168,art_ref,0))),""))</f>
        <v/>
      </c>
      <c r="K2168" s="39" t="str">
        <f>IF(OR(C2168="",NOT(ISNUMBER(E2168))),"",IFERROR(ROUND(N(INDEX(art_init,MATCH(C2168,art_ref,0)))+SUMIFS($E$5:E2168,$C$5:C2168,C2168,$B$5:B2168,"Entrée")-SUMIFS($E$5:E2168,$C$5:C2168,C2168,$B$5:B2168,"Sortie"),6),""))</f>
        <v/>
      </c>
      <c r="L2168" s="39" t="str">
        <f>IF(COUNTA(A2168:C2168,E2168)=0,"",IF(COUNTA(A2168:C2168,E2168)&lt;4,"Ligne incomplète",IF(NOT(ISNUMBER(A2168)),"Date invalide",IF(AND(B2168&lt;&gt;"Entrée",B2168&lt;&gt;"Sortie"),"Type inconnu",IF(ISNA(MATCH(C2168,art_ref,0)),"Référence inconnue",IF(OR(NOT(ISNUMBER(E2168)),N(E2168)&lt;=0),"Quantité invalide",IF(K2168&lt;0,"Stock négatif",IF(AND(ISNUMBER(A2167),A2168&lt;A2167),"Date hors ordre","OK"))))))))</f>
        <v/>
      </c>
      <c r="M2168" s="39" t="str">
        <f>IF(C2168="","",C2168&amp;"#"&amp;COUNTIF($C$5:C2168,C2168))</f>
        <v/>
      </c>
    </row>
    <row r="2169">
      <c r="A2169" s="41" t="n"/>
      <c r="B2169" s="37" t="n"/>
      <c r="C2169" s="37" t="n"/>
      <c r="D2169" s="39" t="str">
        <f>IF(C2169="","",IFERROR(INDEX(art_des,MATCH(C2169,art_ref,0))&amp;"","Référence inconnue"))</f>
        <v/>
      </c>
      <c r="E2169" s="37" t="n"/>
      <c r="F2169" s="39" t="str">
        <f>IF(C2169="","",IFERROR(INDEX(art_unit,MATCH(C2169,art_ref,0))&amp;"",""))</f>
        <v/>
      </c>
      <c r="G2169" s="37" t="n"/>
      <c r="H2169" s="37" t="n"/>
      <c r="I2169" s="37" t="n"/>
      <c r="J2169" s="40" t="str">
        <f>IF(OR(C2169="",NOT(ISNUMBER(E2169))),"",IFERROR(E2169*N(INDEX(art_price,MATCH(C2169,art_ref,0))),""))</f>
        <v/>
      </c>
      <c r="K2169" s="39" t="str">
        <f>IF(OR(C2169="",NOT(ISNUMBER(E2169))),"",IFERROR(ROUND(N(INDEX(art_init,MATCH(C2169,art_ref,0)))+SUMIFS($E$5:E2169,$C$5:C2169,C2169,$B$5:B2169,"Entrée")-SUMIFS($E$5:E2169,$C$5:C2169,C2169,$B$5:B2169,"Sortie"),6),""))</f>
        <v/>
      </c>
      <c r="L2169" s="39" t="str">
        <f>IF(COUNTA(A2169:C2169,E2169)=0,"",IF(COUNTA(A2169:C2169,E2169)&lt;4,"Ligne incomplète",IF(NOT(ISNUMBER(A2169)),"Date invalide",IF(AND(B2169&lt;&gt;"Entrée",B2169&lt;&gt;"Sortie"),"Type inconnu",IF(ISNA(MATCH(C2169,art_ref,0)),"Référence inconnue",IF(OR(NOT(ISNUMBER(E2169)),N(E2169)&lt;=0),"Quantité invalide",IF(K2169&lt;0,"Stock négatif",IF(AND(ISNUMBER(A2168),A2169&lt;A2168),"Date hors ordre","OK"))))))))</f>
        <v/>
      </c>
      <c r="M2169" s="39" t="str">
        <f>IF(C2169="","",C2169&amp;"#"&amp;COUNTIF($C$5:C2169,C2169))</f>
        <v/>
      </c>
    </row>
    <row r="2170">
      <c r="A2170" s="41" t="n"/>
      <c r="B2170" s="37" t="n"/>
      <c r="C2170" s="37" t="n"/>
      <c r="D2170" s="39" t="str">
        <f>IF(C2170="","",IFERROR(INDEX(art_des,MATCH(C2170,art_ref,0))&amp;"","Référence inconnue"))</f>
        <v/>
      </c>
      <c r="E2170" s="37" t="n"/>
      <c r="F2170" s="39" t="str">
        <f>IF(C2170="","",IFERROR(INDEX(art_unit,MATCH(C2170,art_ref,0))&amp;"",""))</f>
        <v/>
      </c>
      <c r="G2170" s="37" t="n"/>
      <c r="H2170" s="37" t="n"/>
      <c r="I2170" s="37" t="n"/>
      <c r="J2170" s="40" t="str">
        <f>IF(OR(C2170="",NOT(ISNUMBER(E2170))),"",IFERROR(E2170*N(INDEX(art_price,MATCH(C2170,art_ref,0))),""))</f>
        <v/>
      </c>
      <c r="K2170" s="39" t="str">
        <f>IF(OR(C2170="",NOT(ISNUMBER(E2170))),"",IFERROR(ROUND(N(INDEX(art_init,MATCH(C2170,art_ref,0)))+SUMIFS($E$5:E2170,$C$5:C2170,C2170,$B$5:B2170,"Entrée")-SUMIFS($E$5:E2170,$C$5:C2170,C2170,$B$5:B2170,"Sortie"),6),""))</f>
        <v/>
      </c>
      <c r="L2170" s="39" t="str">
        <f>IF(COUNTA(A2170:C2170,E2170)=0,"",IF(COUNTA(A2170:C2170,E2170)&lt;4,"Ligne incomplète",IF(NOT(ISNUMBER(A2170)),"Date invalide",IF(AND(B2170&lt;&gt;"Entrée",B2170&lt;&gt;"Sortie"),"Type inconnu",IF(ISNA(MATCH(C2170,art_ref,0)),"Référence inconnue",IF(OR(NOT(ISNUMBER(E2170)),N(E2170)&lt;=0),"Quantité invalide",IF(K2170&lt;0,"Stock négatif",IF(AND(ISNUMBER(A2169),A2170&lt;A2169),"Date hors ordre","OK"))))))))</f>
        <v/>
      </c>
      <c r="M2170" s="39" t="str">
        <f>IF(C2170="","",C2170&amp;"#"&amp;COUNTIF($C$5:C2170,C2170))</f>
        <v/>
      </c>
    </row>
    <row r="2171">
      <c r="A2171" s="41" t="n"/>
      <c r="B2171" s="37" t="n"/>
      <c r="C2171" s="37" t="n"/>
      <c r="D2171" s="39" t="str">
        <f>IF(C2171="","",IFERROR(INDEX(art_des,MATCH(C2171,art_ref,0))&amp;"","Référence inconnue"))</f>
        <v/>
      </c>
      <c r="E2171" s="37" t="n"/>
      <c r="F2171" s="39" t="str">
        <f>IF(C2171="","",IFERROR(INDEX(art_unit,MATCH(C2171,art_ref,0))&amp;"",""))</f>
        <v/>
      </c>
      <c r="G2171" s="37" t="n"/>
      <c r="H2171" s="37" t="n"/>
      <c r="I2171" s="37" t="n"/>
      <c r="J2171" s="40" t="str">
        <f>IF(OR(C2171="",NOT(ISNUMBER(E2171))),"",IFERROR(E2171*N(INDEX(art_price,MATCH(C2171,art_ref,0))),""))</f>
        <v/>
      </c>
      <c r="K2171" s="39" t="str">
        <f>IF(OR(C2171="",NOT(ISNUMBER(E2171))),"",IFERROR(ROUND(N(INDEX(art_init,MATCH(C2171,art_ref,0)))+SUMIFS($E$5:E2171,$C$5:C2171,C2171,$B$5:B2171,"Entrée")-SUMIFS($E$5:E2171,$C$5:C2171,C2171,$B$5:B2171,"Sortie"),6),""))</f>
        <v/>
      </c>
      <c r="L2171" s="39" t="str">
        <f>IF(COUNTA(A2171:C2171,E2171)=0,"",IF(COUNTA(A2171:C2171,E2171)&lt;4,"Ligne incomplète",IF(NOT(ISNUMBER(A2171)),"Date invalide",IF(AND(B2171&lt;&gt;"Entrée",B2171&lt;&gt;"Sortie"),"Type inconnu",IF(ISNA(MATCH(C2171,art_ref,0)),"Référence inconnue",IF(OR(NOT(ISNUMBER(E2171)),N(E2171)&lt;=0),"Quantité invalide",IF(K2171&lt;0,"Stock négatif",IF(AND(ISNUMBER(A2170),A2171&lt;A2170),"Date hors ordre","OK"))))))))</f>
        <v/>
      </c>
      <c r="M2171" s="39" t="str">
        <f>IF(C2171="","",C2171&amp;"#"&amp;COUNTIF($C$5:C2171,C2171))</f>
        <v/>
      </c>
    </row>
    <row r="2172">
      <c r="A2172" s="41" t="n"/>
      <c r="B2172" s="37" t="n"/>
      <c r="C2172" s="37" t="n"/>
      <c r="D2172" s="39" t="str">
        <f>IF(C2172="","",IFERROR(INDEX(art_des,MATCH(C2172,art_ref,0))&amp;"","Référence inconnue"))</f>
        <v/>
      </c>
      <c r="E2172" s="37" t="n"/>
      <c r="F2172" s="39" t="str">
        <f>IF(C2172="","",IFERROR(INDEX(art_unit,MATCH(C2172,art_ref,0))&amp;"",""))</f>
        <v/>
      </c>
      <c r="G2172" s="37" t="n"/>
      <c r="H2172" s="37" t="n"/>
      <c r="I2172" s="37" t="n"/>
      <c r="J2172" s="40" t="str">
        <f>IF(OR(C2172="",NOT(ISNUMBER(E2172))),"",IFERROR(E2172*N(INDEX(art_price,MATCH(C2172,art_ref,0))),""))</f>
        <v/>
      </c>
      <c r="K2172" s="39" t="str">
        <f>IF(OR(C2172="",NOT(ISNUMBER(E2172))),"",IFERROR(ROUND(N(INDEX(art_init,MATCH(C2172,art_ref,0)))+SUMIFS($E$5:E2172,$C$5:C2172,C2172,$B$5:B2172,"Entrée")-SUMIFS($E$5:E2172,$C$5:C2172,C2172,$B$5:B2172,"Sortie"),6),""))</f>
        <v/>
      </c>
      <c r="L2172" s="39" t="str">
        <f>IF(COUNTA(A2172:C2172,E2172)=0,"",IF(COUNTA(A2172:C2172,E2172)&lt;4,"Ligne incomplète",IF(NOT(ISNUMBER(A2172)),"Date invalide",IF(AND(B2172&lt;&gt;"Entrée",B2172&lt;&gt;"Sortie"),"Type inconnu",IF(ISNA(MATCH(C2172,art_ref,0)),"Référence inconnue",IF(OR(NOT(ISNUMBER(E2172)),N(E2172)&lt;=0),"Quantité invalide",IF(K2172&lt;0,"Stock négatif",IF(AND(ISNUMBER(A2171),A2172&lt;A2171),"Date hors ordre","OK"))))))))</f>
        <v/>
      </c>
      <c r="M2172" s="39" t="str">
        <f>IF(C2172="","",C2172&amp;"#"&amp;COUNTIF($C$5:C2172,C2172))</f>
        <v/>
      </c>
    </row>
    <row r="2173">
      <c r="A2173" s="41" t="n"/>
      <c r="B2173" s="37" t="n"/>
      <c r="C2173" s="37" t="n"/>
      <c r="D2173" s="39" t="str">
        <f>IF(C2173="","",IFERROR(INDEX(art_des,MATCH(C2173,art_ref,0))&amp;"","Référence inconnue"))</f>
        <v/>
      </c>
      <c r="E2173" s="37" t="n"/>
      <c r="F2173" s="39" t="str">
        <f>IF(C2173="","",IFERROR(INDEX(art_unit,MATCH(C2173,art_ref,0))&amp;"",""))</f>
        <v/>
      </c>
      <c r="G2173" s="37" t="n"/>
      <c r="H2173" s="37" t="n"/>
      <c r="I2173" s="37" t="n"/>
      <c r="J2173" s="40" t="str">
        <f>IF(OR(C2173="",NOT(ISNUMBER(E2173))),"",IFERROR(E2173*N(INDEX(art_price,MATCH(C2173,art_ref,0))),""))</f>
        <v/>
      </c>
      <c r="K2173" s="39" t="str">
        <f>IF(OR(C2173="",NOT(ISNUMBER(E2173))),"",IFERROR(ROUND(N(INDEX(art_init,MATCH(C2173,art_ref,0)))+SUMIFS($E$5:E2173,$C$5:C2173,C2173,$B$5:B2173,"Entrée")-SUMIFS($E$5:E2173,$C$5:C2173,C2173,$B$5:B2173,"Sortie"),6),""))</f>
        <v/>
      </c>
      <c r="L2173" s="39" t="str">
        <f>IF(COUNTA(A2173:C2173,E2173)=0,"",IF(COUNTA(A2173:C2173,E2173)&lt;4,"Ligne incomplète",IF(NOT(ISNUMBER(A2173)),"Date invalide",IF(AND(B2173&lt;&gt;"Entrée",B2173&lt;&gt;"Sortie"),"Type inconnu",IF(ISNA(MATCH(C2173,art_ref,0)),"Référence inconnue",IF(OR(NOT(ISNUMBER(E2173)),N(E2173)&lt;=0),"Quantité invalide",IF(K2173&lt;0,"Stock négatif",IF(AND(ISNUMBER(A2172),A2173&lt;A2172),"Date hors ordre","OK"))))))))</f>
        <v/>
      </c>
      <c r="M2173" s="39" t="str">
        <f>IF(C2173="","",C2173&amp;"#"&amp;COUNTIF($C$5:C2173,C2173))</f>
        <v/>
      </c>
    </row>
    <row r="2174">
      <c r="A2174" s="41" t="n"/>
      <c r="B2174" s="37" t="n"/>
      <c r="C2174" s="37" t="n"/>
      <c r="D2174" s="39" t="str">
        <f>IF(C2174="","",IFERROR(INDEX(art_des,MATCH(C2174,art_ref,0))&amp;"","Référence inconnue"))</f>
        <v/>
      </c>
      <c r="E2174" s="37" t="n"/>
      <c r="F2174" s="39" t="str">
        <f>IF(C2174="","",IFERROR(INDEX(art_unit,MATCH(C2174,art_ref,0))&amp;"",""))</f>
        <v/>
      </c>
      <c r="G2174" s="37" t="n"/>
      <c r="H2174" s="37" t="n"/>
      <c r="I2174" s="37" t="n"/>
      <c r="J2174" s="40" t="str">
        <f>IF(OR(C2174="",NOT(ISNUMBER(E2174))),"",IFERROR(E2174*N(INDEX(art_price,MATCH(C2174,art_ref,0))),""))</f>
        <v/>
      </c>
      <c r="K2174" s="39" t="str">
        <f>IF(OR(C2174="",NOT(ISNUMBER(E2174))),"",IFERROR(ROUND(N(INDEX(art_init,MATCH(C2174,art_ref,0)))+SUMIFS($E$5:E2174,$C$5:C2174,C2174,$B$5:B2174,"Entrée")-SUMIFS($E$5:E2174,$C$5:C2174,C2174,$B$5:B2174,"Sortie"),6),""))</f>
        <v/>
      </c>
      <c r="L2174" s="39" t="str">
        <f>IF(COUNTA(A2174:C2174,E2174)=0,"",IF(COUNTA(A2174:C2174,E2174)&lt;4,"Ligne incomplète",IF(NOT(ISNUMBER(A2174)),"Date invalide",IF(AND(B2174&lt;&gt;"Entrée",B2174&lt;&gt;"Sortie"),"Type inconnu",IF(ISNA(MATCH(C2174,art_ref,0)),"Référence inconnue",IF(OR(NOT(ISNUMBER(E2174)),N(E2174)&lt;=0),"Quantité invalide",IF(K2174&lt;0,"Stock négatif",IF(AND(ISNUMBER(A2173),A2174&lt;A2173),"Date hors ordre","OK"))))))))</f>
        <v/>
      </c>
      <c r="M2174" s="39" t="str">
        <f>IF(C2174="","",C2174&amp;"#"&amp;COUNTIF($C$5:C2174,C2174))</f>
        <v/>
      </c>
    </row>
    <row r="2175">
      <c r="A2175" s="41" t="n"/>
      <c r="B2175" s="37" t="n"/>
      <c r="C2175" s="37" t="n"/>
      <c r="D2175" s="39" t="str">
        <f>IF(C2175="","",IFERROR(INDEX(art_des,MATCH(C2175,art_ref,0))&amp;"","Référence inconnue"))</f>
        <v/>
      </c>
      <c r="E2175" s="37" t="n"/>
      <c r="F2175" s="39" t="str">
        <f>IF(C2175="","",IFERROR(INDEX(art_unit,MATCH(C2175,art_ref,0))&amp;"",""))</f>
        <v/>
      </c>
      <c r="G2175" s="37" t="n"/>
      <c r="H2175" s="37" t="n"/>
      <c r="I2175" s="37" t="n"/>
      <c r="J2175" s="40" t="str">
        <f>IF(OR(C2175="",NOT(ISNUMBER(E2175))),"",IFERROR(E2175*N(INDEX(art_price,MATCH(C2175,art_ref,0))),""))</f>
        <v/>
      </c>
      <c r="K2175" s="39" t="str">
        <f>IF(OR(C2175="",NOT(ISNUMBER(E2175))),"",IFERROR(ROUND(N(INDEX(art_init,MATCH(C2175,art_ref,0)))+SUMIFS($E$5:E2175,$C$5:C2175,C2175,$B$5:B2175,"Entrée")-SUMIFS($E$5:E2175,$C$5:C2175,C2175,$B$5:B2175,"Sortie"),6),""))</f>
        <v/>
      </c>
      <c r="L2175" s="39" t="str">
        <f>IF(COUNTA(A2175:C2175,E2175)=0,"",IF(COUNTA(A2175:C2175,E2175)&lt;4,"Ligne incomplète",IF(NOT(ISNUMBER(A2175)),"Date invalide",IF(AND(B2175&lt;&gt;"Entrée",B2175&lt;&gt;"Sortie"),"Type inconnu",IF(ISNA(MATCH(C2175,art_ref,0)),"Référence inconnue",IF(OR(NOT(ISNUMBER(E2175)),N(E2175)&lt;=0),"Quantité invalide",IF(K2175&lt;0,"Stock négatif",IF(AND(ISNUMBER(A2174),A2175&lt;A2174),"Date hors ordre","OK"))))))))</f>
        <v/>
      </c>
      <c r="M2175" s="39" t="str">
        <f>IF(C2175="","",C2175&amp;"#"&amp;COUNTIF($C$5:C2175,C2175))</f>
        <v/>
      </c>
    </row>
    <row r="2176">
      <c r="A2176" s="41" t="n"/>
      <c r="B2176" s="37" t="n"/>
      <c r="C2176" s="37" t="n"/>
      <c r="D2176" s="39" t="str">
        <f>IF(C2176="","",IFERROR(INDEX(art_des,MATCH(C2176,art_ref,0))&amp;"","Référence inconnue"))</f>
        <v/>
      </c>
      <c r="E2176" s="37" t="n"/>
      <c r="F2176" s="39" t="str">
        <f>IF(C2176="","",IFERROR(INDEX(art_unit,MATCH(C2176,art_ref,0))&amp;"",""))</f>
        <v/>
      </c>
      <c r="G2176" s="37" t="n"/>
      <c r="H2176" s="37" t="n"/>
      <c r="I2176" s="37" t="n"/>
      <c r="J2176" s="40" t="str">
        <f>IF(OR(C2176="",NOT(ISNUMBER(E2176))),"",IFERROR(E2176*N(INDEX(art_price,MATCH(C2176,art_ref,0))),""))</f>
        <v/>
      </c>
      <c r="K2176" s="39" t="str">
        <f>IF(OR(C2176="",NOT(ISNUMBER(E2176))),"",IFERROR(ROUND(N(INDEX(art_init,MATCH(C2176,art_ref,0)))+SUMIFS($E$5:E2176,$C$5:C2176,C2176,$B$5:B2176,"Entrée")-SUMIFS($E$5:E2176,$C$5:C2176,C2176,$B$5:B2176,"Sortie"),6),""))</f>
        <v/>
      </c>
      <c r="L2176" s="39" t="str">
        <f>IF(COUNTA(A2176:C2176,E2176)=0,"",IF(COUNTA(A2176:C2176,E2176)&lt;4,"Ligne incomplète",IF(NOT(ISNUMBER(A2176)),"Date invalide",IF(AND(B2176&lt;&gt;"Entrée",B2176&lt;&gt;"Sortie"),"Type inconnu",IF(ISNA(MATCH(C2176,art_ref,0)),"Référence inconnue",IF(OR(NOT(ISNUMBER(E2176)),N(E2176)&lt;=0),"Quantité invalide",IF(K2176&lt;0,"Stock négatif",IF(AND(ISNUMBER(A2175),A2176&lt;A2175),"Date hors ordre","OK"))))))))</f>
        <v/>
      </c>
      <c r="M2176" s="39" t="str">
        <f>IF(C2176="","",C2176&amp;"#"&amp;COUNTIF($C$5:C2176,C2176))</f>
        <v/>
      </c>
    </row>
    <row r="2177">
      <c r="A2177" s="41" t="n"/>
      <c r="B2177" s="37" t="n"/>
      <c r="C2177" s="37" t="n"/>
      <c r="D2177" s="39" t="str">
        <f>IF(C2177="","",IFERROR(INDEX(art_des,MATCH(C2177,art_ref,0))&amp;"","Référence inconnue"))</f>
        <v/>
      </c>
      <c r="E2177" s="37" t="n"/>
      <c r="F2177" s="39" t="str">
        <f>IF(C2177="","",IFERROR(INDEX(art_unit,MATCH(C2177,art_ref,0))&amp;"",""))</f>
        <v/>
      </c>
      <c r="G2177" s="37" t="n"/>
      <c r="H2177" s="37" t="n"/>
      <c r="I2177" s="37" t="n"/>
      <c r="J2177" s="40" t="str">
        <f>IF(OR(C2177="",NOT(ISNUMBER(E2177))),"",IFERROR(E2177*N(INDEX(art_price,MATCH(C2177,art_ref,0))),""))</f>
        <v/>
      </c>
      <c r="K2177" s="39" t="str">
        <f>IF(OR(C2177="",NOT(ISNUMBER(E2177))),"",IFERROR(ROUND(N(INDEX(art_init,MATCH(C2177,art_ref,0)))+SUMIFS($E$5:E2177,$C$5:C2177,C2177,$B$5:B2177,"Entrée")-SUMIFS($E$5:E2177,$C$5:C2177,C2177,$B$5:B2177,"Sortie"),6),""))</f>
        <v/>
      </c>
      <c r="L2177" s="39" t="str">
        <f>IF(COUNTA(A2177:C2177,E2177)=0,"",IF(COUNTA(A2177:C2177,E2177)&lt;4,"Ligne incomplète",IF(NOT(ISNUMBER(A2177)),"Date invalide",IF(AND(B2177&lt;&gt;"Entrée",B2177&lt;&gt;"Sortie"),"Type inconnu",IF(ISNA(MATCH(C2177,art_ref,0)),"Référence inconnue",IF(OR(NOT(ISNUMBER(E2177)),N(E2177)&lt;=0),"Quantité invalide",IF(K2177&lt;0,"Stock négatif",IF(AND(ISNUMBER(A2176),A2177&lt;A2176),"Date hors ordre","OK"))))))))</f>
        <v/>
      </c>
      <c r="M2177" s="39" t="str">
        <f>IF(C2177="","",C2177&amp;"#"&amp;COUNTIF($C$5:C2177,C2177))</f>
        <v/>
      </c>
    </row>
    <row r="2178">
      <c r="A2178" s="41" t="n"/>
      <c r="B2178" s="37" t="n"/>
      <c r="C2178" s="37" t="n"/>
      <c r="D2178" s="39" t="str">
        <f>IF(C2178="","",IFERROR(INDEX(art_des,MATCH(C2178,art_ref,0))&amp;"","Référence inconnue"))</f>
        <v/>
      </c>
      <c r="E2178" s="37" t="n"/>
      <c r="F2178" s="39" t="str">
        <f>IF(C2178="","",IFERROR(INDEX(art_unit,MATCH(C2178,art_ref,0))&amp;"",""))</f>
        <v/>
      </c>
      <c r="G2178" s="37" t="n"/>
      <c r="H2178" s="37" t="n"/>
      <c r="I2178" s="37" t="n"/>
      <c r="J2178" s="40" t="str">
        <f>IF(OR(C2178="",NOT(ISNUMBER(E2178))),"",IFERROR(E2178*N(INDEX(art_price,MATCH(C2178,art_ref,0))),""))</f>
        <v/>
      </c>
      <c r="K2178" s="39" t="str">
        <f>IF(OR(C2178="",NOT(ISNUMBER(E2178))),"",IFERROR(ROUND(N(INDEX(art_init,MATCH(C2178,art_ref,0)))+SUMIFS($E$5:E2178,$C$5:C2178,C2178,$B$5:B2178,"Entrée")-SUMIFS($E$5:E2178,$C$5:C2178,C2178,$B$5:B2178,"Sortie"),6),""))</f>
        <v/>
      </c>
      <c r="L2178" s="39" t="str">
        <f>IF(COUNTA(A2178:C2178,E2178)=0,"",IF(COUNTA(A2178:C2178,E2178)&lt;4,"Ligne incomplète",IF(NOT(ISNUMBER(A2178)),"Date invalide",IF(AND(B2178&lt;&gt;"Entrée",B2178&lt;&gt;"Sortie"),"Type inconnu",IF(ISNA(MATCH(C2178,art_ref,0)),"Référence inconnue",IF(OR(NOT(ISNUMBER(E2178)),N(E2178)&lt;=0),"Quantité invalide",IF(K2178&lt;0,"Stock négatif",IF(AND(ISNUMBER(A2177),A2178&lt;A2177),"Date hors ordre","OK"))))))))</f>
        <v/>
      </c>
      <c r="M2178" s="39" t="str">
        <f>IF(C2178="","",C2178&amp;"#"&amp;COUNTIF($C$5:C2178,C2178))</f>
        <v/>
      </c>
    </row>
    <row r="2179">
      <c r="A2179" s="41" t="n"/>
      <c r="B2179" s="37" t="n"/>
      <c r="C2179" s="37" t="n"/>
      <c r="D2179" s="39" t="str">
        <f>IF(C2179="","",IFERROR(INDEX(art_des,MATCH(C2179,art_ref,0))&amp;"","Référence inconnue"))</f>
        <v/>
      </c>
      <c r="E2179" s="37" t="n"/>
      <c r="F2179" s="39" t="str">
        <f>IF(C2179="","",IFERROR(INDEX(art_unit,MATCH(C2179,art_ref,0))&amp;"",""))</f>
        <v/>
      </c>
      <c r="G2179" s="37" t="n"/>
      <c r="H2179" s="37" t="n"/>
      <c r="I2179" s="37" t="n"/>
      <c r="J2179" s="40" t="str">
        <f>IF(OR(C2179="",NOT(ISNUMBER(E2179))),"",IFERROR(E2179*N(INDEX(art_price,MATCH(C2179,art_ref,0))),""))</f>
        <v/>
      </c>
      <c r="K2179" s="39" t="str">
        <f>IF(OR(C2179="",NOT(ISNUMBER(E2179))),"",IFERROR(ROUND(N(INDEX(art_init,MATCH(C2179,art_ref,0)))+SUMIFS($E$5:E2179,$C$5:C2179,C2179,$B$5:B2179,"Entrée")-SUMIFS($E$5:E2179,$C$5:C2179,C2179,$B$5:B2179,"Sortie"),6),""))</f>
        <v/>
      </c>
      <c r="L2179" s="39" t="str">
        <f>IF(COUNTA(A2179:C2179,E2179)=0,"",IF(COUNTA(A2179:C2179,E2179)&lt;4,"Ligne incomplète",IF(NOT(ISNUMBER(A2179)),"Date invalide",IF(AND(B2179&lt;&gt;"Entrée",B2179&lt;&gt;"Sortie"),"Type inconnu",IF(ISNA(MATCH(C2179,art_ref,0)),"Référence inconnue",IF(OR(NOT(ISNUMBER(E2179)),N(E2179)&lt;=0),"Quantité invalide",IF(K2179&lt;0,"Stock négatif",IF(AND(ISNUMBER(A2178),A2179&lt;A2178),"Date hors ordre","OK"))))))))</f>
        <v/>
      </c>
      <c r="M2179" s="39" t="str">
        <f>IF(C2179="","",C2179&amp;"#"&amp;COUNTIF($C$5:C2179,C2179))</f>
        <v/>
      </c>
    </row>
    <row r="2180">
      <c r="A2180" s="41" t="n"/>
      <c r="B2180" s="37" t="n"/>
      <c r="C2180" s="37" t="n"/>
      <c r="D2180" s="39" t="str">
        <f>IF(C2180="","",IFERROR(INDEX(art_des,MATCH(C2180,art_ref,0))&amp;"","Référence inconnue"))</f>
        <v/>
      </c>
      <c r="E2180" s="37" t="n"/>
      <c r="F2180" s="39" t="str">
        <f>IF(C2180="","",IFERROR(INDEX(art_unit,MATCH(C2180,art_ref,0))&amp;"",""))</f>
        <v/>
      </c>
      <c r="G2180" s="37" t="n"/>
      <c r="H2180" s="37" t="n"/>
      <c r="I2180" s="37" t="n"/>
      <c r="J2180" s="40" t="str">
        <f>IF(OR(C2180="",NOT(ISNUMBER(E2180))),"",IFERROR(E2180*N(INDEX(art_price,MATCH(C2180,art_ref,0))),""))</f>
        <v/>
      </c>
      <c r="K2180" s="39" t="str">
        <f>IF(OR(C2180="",NOT(ISNUMBER(E2180))),"",IFERROR(ROUND(N(INDEX(art_init,MATCH(C2180,art_ref,0)))+SUMIFS($E$5:E2180,$C$5:C2180,C2180,$B$5:B2180,"Entrée")-SUMIFS($E$5:E2180,$C$5:C2180,C2180,$B$5:B2180,"Sortie"),6),""))</f>
        <v/>
      </c>
      <c r="L2180" s="39" t="str">
        <f>IF(COUNTA(A2180:C2180,E2180)=0,"",IF(COUNTA(A2180:C2180,E2180)&lt;4,"Ligne incomplète",IF(NOT(ISNUMBER(A2180)),"Date invalide",IF(AND(B2180&lt;&gt;"Entrée",B2180&lt;&gt;"Sortie"),"Type inconnu",IF(ISNA(MATCH(C2180,art_ref,0)),"Référence inconnue",IF(OR(NOT(ISNUMBER(E2180)),N(E2180)&lt;=0),"Quantité invalide",IF(K2180&lt;0,"Stock négatif",IF(AND(ISNUMBER(A2179),A2180&lt;A2179),"Date hors ordre","OK"))))))))</f>
        <v/>
      </c>
      <c r="M2180" s="39" t="str">
        <f>IF(C2180="","",C2180&amp;"#"&amp;COUNTIF($C$5:C2180,C2180))</f>
        <v/>
      </c>
    </row>
    <row r="2181">
      <c r="A2181" s="41" t="n"/>
      <c r="B2181" s="37" t="n"/>
      <c r="C2181" s="37" t="n"/>
      <c r="D2181" s="39" t="str">
        <f>IF(C2181="","",IFERROR(INDEX(art_des,MATCH(C2181,art_ref,0))&amp;"","Référence inconnue"))</f>
        <v/>
      </c>
      <c r="E2181" s="37" t="n"/>
      <c r="F2181" s="39" t="str">
        <f>IF(C2181="","",IFERROR(INDEX(art_unit,MATCH(C2181,art_ref,0))&amp;"",""))</f>
        <v/>
      </c>
      <c r="G2181" s="37" t="n"/>
      <c r="H2181" s="37" t="n"/>
      <c r="I2181" s="37" t="n"/>
      <c r="J2181" s="40" t="str">
        <f>IF(OR(C2181="",NOT(ISNUMBER(E2181))),"",IFERROR(E2181*N(INDEX(art_price,MATCH(C2181,art_ref,0))),""))</f>
        <v/>
      </c>
      <c r="K2181" s="39" t="str">
        <f>IF(OR(C2181="",NOT(ISNUMBER(E2181))),"",IFERROR(ROUND(N(INDEX(art_init,MATCH(C2181,art_ref,0)))+SUMIFS($E$5:E2181,$C$5:C2181,C2181,$B$5:B2181,"Entrée")-SUMIFS($E$5:E2181,$C$5:C2181,C2181,$B$5:B2181,"Sortie"),6),""))</f>
        <v/>
      </c>
      <c r="L2181" s="39" t="str">
        <f>IF(COUNTA(A2181:C2181,E2181)=0,"",IF(COUNTA(A2181:C2181,E2181)&lt;4,"Ligne incomplète",IF(NOT(ISNUMBER(A2181)),"Date invalide",IF(AND(B2181&lt;&gt;"Entrée",B2181&lt;&gt;"Sortie"),"Type inconnu",IF(ISNA(MATCH(C2181,art_ref,0)),"Référence inconnue",IF(OR(NOT(ISNUMBER(E2181)),N(E2181)&lt;=0),"Quantité invalide",IF(K2181&lt;0,"Stock négatif",IF(AND(ISNUMBER(A2180),A2181&lt;A2180),"Date hors ordre","OK"))))))))</f>
        <v/>
      </c>
      <c r="M2181" s="39" t="str">
        <f>IF(C2181="","",C2181&amp;"#"&amp;COUNTIF($C$5:C2181,C2181))</f>
        <v/>
      </c>
    </row>
    <row r="2182">
      <c r="A2182" s="41" t="n"/>
      <c r="B2182" s="37" t="n"/>
      <c r="C2182" s="37" t="n"/>
      <c r="D2182" s="39" t="str">
        <f>IF(C2182="","",IFERROR(INDEX(art_des,MATCH(C2182,art_ref,0))&amp;"","Référence inconnue"))</f>
        <v/>
      </c>
      <c r="E2182" s="37" t="n"/>
      <c r="F2182" s="39" t="str">
        <f>IF(C2182="","",IFERROR(INDEX(art_unit,MATCH(C2182,art_ref,0))&amp;"",""))</f>
        <v/>
      </c>
      <c r="G2182" s="37" t="n"/>
      <c r="H2182" s="37" t="n"/>
      <c r="I2182" s="37" t="n"/>
      <c r="J2182" s="40" t="str">
        <f>IF(OR(C2182="",NOT(ISNUMBER(E2182))),"",IFERROR(E2182*N(INDEX(art_price,MATCH(C2182,art_ref,0))),""))</f>
        <v/>
      </c>
      <c r="K2182" s="39" t="str">
        <f>IF(OR(C2182="",NOT(ISNUMBER(E2182))),"",IFERROR(ROUND(N(INDEX(art_init,MATCH(C2182,art_ref,0)))+SUMIFS($E$5:E2182,$C$5:C2182,C2182,$B$5:B2182,"Entrée")-SUMIFS($E$5:E2182,$C$5:C2182,C2182,$B$5:B2182,"Sortie"),6),""))</f>
        <v/>
      </c>
      <c r="L2182" s="39" t="str">
        <f>IF(COUNTA(A2182:C2182,E2182)=0,"",IF(COUNTA(A2182:C2182,E2182)&lt;4,"Ligne incomplète",IF(NOT(ISNUMBER(A2182)),"Date invalide",IF(AND(B2182&lt;&gt;"Entrée",B2182&lt;&gt;"Sortie"),"Type inconnu",IF(ISNA(MATCH(C2182,art_ref,0)),"Référence inconnue",IF(OR(NOT(ISNUMBER(E2182)),N(E2182)&lt;=0),"Quantité invalide",IF(K2182&lt;0,"Stock négatif",IF(AND(ISNUMBER(A2181),A2182&lt;A2181),"Date hors ordre","OK"))))))))</f>
        <v/>
      </c>
      <c r="M2182" s="39" t="str">
        <f>IF(C2182="","",C2182&amp;"#"&amp;COUNTIF($C$5:C2182,C2182))</f>
        <v/>
      </c>
    </row>
    <row r="2183">
      <c r="A2183" s="41" t="n"/>
      <c r="B2183" s="37" t="n"/>
      <c r="C2183" s="37" t="n"/>
      <c r="D2183" s="39" t="str">
        <f>IF(C2183="","",IFERROR(INDEX(art_des,MATCH(C2183,art_ref,0))&amp;"","Référence inconnue"))</f>
        <v/>
      </c>
      <c r="E2183" s="37" t="n"/>
      <c r="F2183" s="39" t="str">
        <f>IF(C2183="","",IFERROR(INDEX(art_unit,MATCH(C2183,art_ref,0))&amp;"",""))</f>
        <v/>
      </c>
      <c r="G2183" s="37" t="n"/>
      <c r="H2183" s="37" t="n"/>
      <c r="I2183" s="37" t="n"/>
      <c r="J2183" s="40" t="str">
        <f>IF(OR(C2183="",NOT(ISNUMBER(E2183))),"",IFERROR(E2183*N(INDEX(art_price,MATCH(C2183,art_ref,0))),""))</f>
        <v/>
      </c>
      <c r="K2183" s="39" t="str">
        <f>IF(OR(C2183="",NOT(ISNUMBER(E2183))),"",IFERROR(ROUND(N(INDEX(art_init,MATCH(C2183,art_ref,0)))+SUMIFS($E$5:E2183,$C$5:C2183,C2183,$B$5:B2183,"Entrée")-SUMIFS($E$5:E2183,$C$5:C2183,C2183,$B$5:B2183,"Sortie"),6),""))</f>
        <v/>
      </c>
      <c r="L2183" s="39" t="str">
        <f>IF(COUNTA(A2183:C2183,E2183)=0,"",IF(COUNTA(A2183:C2183,E2183)&lt;4,"Ligne incomplète",IF(NOT(ISNUMBER(A2183)),"Date invalide",IF(AND(B2183&lt;&gt;"Entrée",B2183&lt;&gt;"Sortie"),"Type inconnu",IF(ISNA(MATCH(C2183,art_ref,0)),"Référence inconnue",IF(OR(NOT(ISNUMBER(E2183)),N(E2183)&lt;=0),"Quantité invalide",IF(K2183&lt;0,"Stock négatif",IF(AND(ISNUMBER(A2182),A2183&lt;A2182),"Date hors ordre","OK"))))))))</f>
        <v/>
      </c>
      <c r="M2183" s="39" t="str">
        <f>IF(C2183="","",C2183&amp;"#"&amp;COUNTIF($C$5:C2183,C2183))</f>
        <v/>
      </c>
    </row>
    <row r="2184">
      <c r="A2184" s="41" t="n"/>
      <c r="B2184" s="37" t="n"/>
      <c r="C2184" s="37" t="n"/>
      <c r="D2184" s="39" t="str">
        <f>IF(C2184="","",IFERROR(INDEX(art_des,MATCH(C2184,art_ref,0))&amp;"","Référence inconnue"))</f>
        <v/>
      </c>
      <c r="E2184" s="37" t="n"/>
      <c r="F2184" s="39" t="str">
        <f>IF(C2184="","",IFERROR(INDEX(art_unit,MATCH(C2184,art_ref,0))&amp;"",""))</f>
        <v/>
      </c>
      <c r="G2184" s="37" t="n"/>
      <c r="H2184" s="37" t="n"/>
      <c r="I2184" s="37" t="n"/>
      <c r="J2184" s="40" t="str">
        <f>IF(OR(C2184="",NOT(ISNUMBER(E2184))),"",IFERROR(E2184*N(INDEX(art_price,MATCH(C2184,art_ref,0))),""))</f>
        <v/>
      </c>
      <c r="K2184" s="39" t="str">
        <f>IF(OR(C2184="",NOT(ISNUMBER(E2184))),"",IFERROR(ROUND(N(INDEX(art_init,MATCH(C2184,art_ref,0)))+SUMIFS($E$5:E2184,$C$5:C2184,C2184,$B$5:B2184,"Entrée")-SUMIFS($E$5:E2184,$C$5:C2184,C2184,$B$5:B2184,"Sortie"),6),""))</f>
        <v/>
      </c>
      <c r="L2184" s="39" t="str">
        <f>IF(COUNTA(A2184:C2184,E2184)=0,"",IF(COUNTA(A2184:C2184,E2184)&lt;4,"Ligne incomplète",IF(NOT(ISNUMBER(A2184)),"Date invalide",IF(AND(B2184&lt;&gt;"Entrée",B2184&lt;&gt;"Sortie"),"Type inconnu",IF(ISNA(MATCH(C2184,art_ref,0)),"Référence inconnue",IF(OR(NOT(ISNUMBER(E2184)),N(E2184)&lt;=0),"Quantité invalide",IF(K2184&lt;0,"Stock négatif",IF(AND(ISNUMBER(A2183),A2184&lt;A2183),"Date hors ordre","OK"))))))))</f>
        <v/>
      </c>
      <c r="M2184" s="39" t="str">
        <f>IF(C2184="","",C2184&amp;"#"&amp;COUNTIF($C$5:C2184,C2184))</f>
        <v/>
      </c>
    </row>
    <row r="2185">
      <c r="A2185" s="41" t="n"/>
      <c r="B2185" s="37" t="n"/>
      <c r="C2185" s="37" t="n"/>
      <c r="D2185" s="39" t="str">
        <f>IF(C2185="","",IFERROR(INDEX(art_des,MATCH(C2185,art_ref,0))&amp;"","Référence inconnue"))</f>
        <v/>
      </c>
      <c r="E2185" s="37" t="n"/>
      <c r="F2185" s="39" t="str">
        <f>IF(C2185="","",IFERROR(INDEX(art_unit,MATCH(C2185,art_ref,0))&amp;"",""))</f>
        <v/>
      </c>
      <c r="G2185" s="37" t="n"/>
      <c r="H2185" s="37" t="n"/>
      <c r="I2185" s="37" t="n"/>
      <c r="J2185" s="40" t="str">
        <f>IF(OR(C2185="",NOT(ISNUMBER(E2185))),"",IFERROR(E2185*N(INDEX(art_price,MATCH(C2185,art_ref,0))),""))</f>
        <v/>
      </c>
      <c r="K2185" s="39" t="str">
        <f>IF(OR(C2185="",NOT(ISNUMBER(E2185))),"",IFERROR(ROUND(N(INDEX(art_init,MATCH(C2185,art_ref,0)))+SUMIFS($E$5:E2185,$C$5:C2185,C2185,$B$5:B2185,"Entrée")-SUMIFS($E$5:E2185,$C$5:C2185,C2185,$B$5:B2185,"Sortie"),6),""))</f>
        <v/>
      </c>
      <c r="L2185" s="39" t="str">
        <f>IF(COUNTA(A2185:C2185,E2185)=0,"",IF(COUNTA(A2185:C2185,E2185)&lt;4,"Ligne incomplète",IF(NOT(ISNUMBER(A2185)),"Date invalide",IF(AND(B2185&lt;&gt;"Entrée",B2185&lt;&gt;"Sortie"),"Type inconnu",IF(ISNA(MATCH(C2185,art_ref,0)),"Référence inconnue",IF(OR(NOT(ISNUMBER(E2185)),N(E2185)&lt;=0),"Quantité invalide",IF(K2185&lt;0,"Stock négatif",IF(AND(ISNUMBER(A2184),A2185&lt;A2184),"Date hors ordre","OK"))))))))</f>
        <v/>
      </c>
      <c r="M2185" s="39" t="str">
        <f>IF(C2185="","",C2185&amp;"#"&amp;COUNTIF($C$5:C2185,C2185))</f>
        <v/>
      </c>
    </row>
    <row r="2186">
      <c r="A2186" s="41" t="n"/>
      <c r="B2186" s="37" t="n"/>
      <c r="C2186" s="37" t="n"/>
      <c r="D2186" s="39" t="str">
        <f>IF(C2186="","",IFERROR(INDEX(art_des,MATCH(C2186,art_ref,0))&amp;"","Référence inconnue"))</f>
        <v/>
      </c>
      <c r="E2186" s="37" t="n"/>
      <c r="F2186" s="39" t="str">
        <f>IF(C2186="","",IFERROR(INDEX(art_unit,MATCH(C2186,art_ref,0))&amp;"",""))</f>
        <v/>
      </c>
      <c r="G2186" s="37" t="n"/>
      <c r="H2186" s="37" t="n"/>
      <c r="I2186" s="37" t="n"/>
      <c r="J2186" s="40" t="str">
        <f>IF(OR(C2186="",NOT(ISNUMBER(E2186))),"",IFERROR(E2186*N(INDEX(art_price,MATCH(C2186,art_ref,0))),""))</f>
        <v/>
      </c>
      <c r="K2186" s="39" t="str">
        <f>IF(OR(C2186="",NOT(ISNUMBER(E2186))),"",IFERROR(ROUND(N(INDEX(art_init,MATCH(C2186,art_ref,0)))+SUMIFS($E$5:E2186,$C$5:C2186,C2186,$B$5:B2186,"Entrée")-SUMIFS($E$5:E2186,$C$5:C2186,C2186,$B$5:B2186,"Sortie"),6),""))</f>
        <v/>
      </c>
      <c r="L2186" s="39" t="str">
        <f>IF(COUNTA(A2186:C2186,E2186)=0,"",IF(COUNTA(A2186:C2186,E2186)&lt;4,"Ligne incomplète",IF(NOT(ISNUMBER(A2186)),"Date invalide",IF(AND(B2186&lt;&gt;"Entrée",B2186&lt;&gt;"Sortie"),"Type inconnu",IF(ISNA(MATCH(C2186,art_ref,0)),"Référence inconnue",IF(OR(NOT(ISNUMBER(E2186)),N(E2186)&lt;=0),"Quantité invalide",IF(K2186&lt;0,"Stock négatif",IF(AND(ISNUMBER(A2185),A2186&lt;A2185),"Date hors ordre","OK"))))))))</f>
        <v/>
      </c>
      <c r="M2186" s="39" t="str">
        <f>IF(C2186="","",C2186&amp;"#"&amp;COUNTIF($C$5:C2186,C2186))</f>
        <v/>
      </c>
    </row>
    <row r="2187">
      <c r="A2187" s="41" t="n"/>
      <c r="B2187" s="37" t="n"/>
      <c r="C2187" s="37" t="n"/>
      <c r="D2187" s="39" t="str">
        <f>IF(C2187="","",IFERROR(INDEX(art_des,MATCH(C2187,art_ref,0))&amp;"","Référence inconnue"))</f>
        <v/>
      </c>
      <c r="E2187" s="37" t="n"/>
      <c r="F2187" s="39" t="str">
        <f>IF(C2187="","",IFERROR(INDEX(art_unit,MATCH(C2187,art_ref,0))&amp;"",""))</f>
        <v/>
      </c>
      <c r="G2187" s="37" t="n"/>
      <c r="H2187" s="37" t="n"/>
      <c r="I2187" s="37" t="n"/>
      <c r="J2187" s="40" t="str">
        <f>IF(OR(C2187="",NOT(ISNUMBER(E2187))),"",IFERROR(E2187*N(INDEX(art_price,MATCH(C2187,art_ref,0))),""))</f>
        <v/>
      </c>
      <c r="K2187" s="39" t="str">
        <f>IF(OR(C2187="",NOT(ISNUMBER(E2187))),"",IFERROR(ROUND(N(INDEX(art_init,MATCH(C2187,art_ref,0)))+SUMIFS($E$5:E2187,$C$5:C2187,C2187,$B$5:B2187,"Entrée")-SUMIFS($E$5:E2187,$C$5:C2187,C2187,$B$5:B2187,"Sortie"),6),""))</f>
        <v/>
      </c>
      <c r="L2187" s="39" t="str">
        <f>IF(COUNTA(A2187:C2187,E2187)=0,"",IF(COUNTA(A2187:C2187,E2187)&lt;4,"Ligne incomplète",IF(NOT(ISNUMBER(A2187)),"Date invalide",IF(AND(B2187&lt;&gt;"Entrée",B2187&lt;&gt;"Sortie"),"Type inconnu",IF(ISNA(MATCH(C2187,art_ref,0)),"Référence inconnue",IF(OR(NOT(ISNUMBER(E2187)),N(E2187)&lt;=0),"Quantité invalide",IF(K2187&lt;0,"Stock négatif",IF(AND(ISNUMBER(A2186),A2187&lt;A2186),"Date hors ordre","OK"))))))))</f>
        <v/>
      </c>
      <c r="M2187" s="39" t="str">
        <f>IF(C2187="","",C2187&amp;"#"&amp;COUNTIF($C$5:C2187,C2187))</f>
        <v/>
      </c>
    </row>
    <row r="2188">
      <c r="A2188" s="41" t="n"/>
      <c r="B2188" s="37" t="n"/>
      <c r="C2188" s="37" t="n"/>
      <c r="D2188" s="39" t="str">
        <f>IF(C2188="","",IFERROR(INDEX(art_des,MATCH(C2188,art_ref,0))&amp;"","Référence inconnue"))</f>
        <v/>
      </c>
      <c r="E2188" s="37" t="n"/>
      <c r="F2188" s="39" t="str">
        <f>IF(C2188="","",IFERROR(INDEX(art_unit,MATCH(C2188,art_ref,0))&amp;"",""))</f>
        <v/>
      </c>
      <c r="G2188" s="37" t="n"/>
      <c r="H2188" s="37" t="n"/>
      <c r="I2188" s="37" t="n"/>
      <c r="J2188" s="40" t="str">
        <f>IF(OR(C2188="",NOT(ISNUMBER(E2188))),"",IFERROR(E2188*N(INDEX(art_price,MATCH(C2188,art_ref,0))),""))</f>
        <v/>
      </c>
      <c r="K2188" s="39" t="str">
        <f>IF(OR(C2188="",NOT(ISNUMBER(E2188))),"",IFERROR(ROUND(N(INDEX(art_init,MATCH(C2188,art_ref,0)))+SUMIFS($E$5:E2188,$C$5:C2188,C2188,$B$5:B2188,"Entrée")-SUMIFS($E$5:E2188,$C$5:C2188,C2188,$B$5:B2188,"Sortie"),6),""))</f>
        <v/>
      </c>
      <c r="L2188" s="39" t="str">
        <f>IF(COUNTA(A2188:C2188,E2188)=0,"",IF(COUNTA(A2188:C2188,E2188)&lt;4,"Ligne incomplète",IF(NOT(ISNUMBER(A2188)),"Date invalide",IF(AND(B2188&lt;&gt;"Entrée",B2188&lt;&gt;"Sortie"),"Type inconnu",IF(ISNA(MATCH(C2188,art_ref,0)),"Référence inconnue",IF(OR(NOT(ISNUMBER(E2188)),N(E2188)&lt;=0),"Quantité invalide",IF(K2188&lt;0,"Stock négatif",IF(AND(ISNUMBER(A2187),A2188&lt;A2187),"Date hors ordre","OK"))))))))</f>
        <v/>
      </c>
      <c r="M2188" s="39" t="str">
        <f>IF(C2188="","",C2188&amp;"#"&amp;COUNTIF($C$5:C2188,C2188))</f>
        <v/>
      </c>
    </row>
    <row r="2189">
      <c r="A2189" s="41" t="n"/>
      <c r="B2189" s="37" t="n"/>
      <c r="C2189" s="37" t="n"/>
      <c r="D2189" s="39" t="str">
        <f>IF(C2189="","",IFERROR(INDEX(art_des,MATCH(C2189,art_ref,0))&amp;"","Référence inconnue"))</f>
        <v/>
      </c>
      <c r="E2189" s="37" t="n"/>
      <c r="F2189" s="39" t="str">
        <f>IF(C2189="","",IFERROR(INDEX(art_unit,MATCH(C2189,art_ref,0))&amp;"",""))</f>
        <v/>
      </c>
      <c r="G2189" s="37" t="n"/>
      <c r="H2189" s="37" t="n"/>
      <c r="I2189" s="37" t="n"/>
      <c r="J2189" s="40" t="str">
        <f>IF(OR(C2189="",NOT(ISNUMBER(E2189))),"",IFERROR(E2189*N(INDEX(art_price,MATCH(C2189,art_ref,0))),""))</f>
        <v/>
      </c>
      <c r="K2189" s="39" t="str">
        <f>IF(OR(C2189="",NOT(ISNUMBER(E2189))),"",IFERROR(ROUND(N(INDEX(art_init,MATCH(C2189,art_ref,0)))+SUMIFS($E$5:E2189,$C$5:C2189,C2189,$B$5:B2189,"Entrée")-SUMIFS($E$5:E2189,$C$5:C2189,C2189,$B$5:B2189,"Sortie"),6),""))</f>
        <v/>
      </c>
      <c r="L2189" s="39" t="str">
        <f>IF(COUNTA(A2189:C2189,E2189)=0,"",IF(COUNTA(A2189:C2189,E2189)&lt;4,"Ligne incomplète",IF(NOT(ISNUMBER(A2189)),"Date invalide",IF(AND(B2189&lt;&gt;"Entrée",B2189&lt;&gt;"Sortie"),"Type inconnu",IF(ISNA(MATCH(C2189,art_ref,0)),"Référence inconnue",IF(OR(NOT(ISNUMBER(E2189)),N(E2189)&lt;=0),"Quantité invalide",IF(K2189&lt;0,"Stock négatif",IF(AND(ISNUMBER(A2188),A2189&lt;A2188),"Date hors ordre","OK"))))))))</f>
        <v/>
      </c>
      <c r="M2189" s="39" t="str">
        <f>IF(C2189="","",C2189&amp;"#"&amp;COUNTIF($C$5:C2189,C2189))</f>
        <v/>
      </c>
    </row>
    <row r="2190">
      <c r="A2190" s="41" t="n"/>
      <c r="B2190" s="37" t="n"/>
      <c r="C2190" s="37" t="n"/>
      <c r="D2190" s="39" t="str">
        <f>IF(C2190="","",IFERROR(INDEX(art_des,MATCH(C2190,art_ref,0))&amp;"","Référence inconnue"))</f>
        <v/>
      </c>
      <c r="E2190" s="37" t="n"/>
      <c r="F2190" s="39" t="str">
        <f>IF(C2190="","",IFERROR(INDEX(art_unit,MATCH(C2190,art_ref,0))&amp;"",""))</f>
        <v/>
      </c>
      <c r="G2190" s="37" t="n"/>
      <c r="H2190" s="37" t="n"/>
      <c r="I2190" s="37" t="n"/>
      <c r="J2190" s="40" t="str">
        <f>IF(OR(C2190="",NOT(ISNUMBER(E2190))),"",IFERROR(E2190*N(INDEX(art_price,MATCH(C2190,art_ref,0))),""))</f>
        <v/>
      </c>
      <c r="K2190" s="39" t="str">
        <f>IF(OR(C2190="",NOT(ISNUMBER(E2190))),"",IFERROR(ROUND(N(INDEX(art_init,MATCH(C2190,art_ref,0)))+SUMIFS($E$5:E2190,$C$5:C2190,C2190,$B$5:B2190,"Entrée")-SUMIFS($E$5:E2190,$C$5:C2190,C2190,$B$5:B2190,"Sortie"),6),""))</f>
        <v/>
      </c>
      <c r="L2190" s="39" t="str">
        <f>IF(COUNTA(A2190:C2190,E2190)=0,"",IF(COUNTA(A2190:C2190,E2190)&lt;4,"Ligne incomplète",IF(NOT(ISNUMBER(A2190)),"Date invalide",IF(AND(B2190&lt;&gt;"Entrée",B2190&lt;&gt;"Sortie"),"Type inconnu",IF(ISNA(MATCH(C2190,art_ref,0)),"Référence inconnue",IF(OR(NOT(ISNUMBER(E2190)),N(E2190)&lt;=0),"Quantité invalide",IF(K2190&lt;0,"Stock négatif",IF(AND(ISNUMBER(A2189),A2190&lt;A2189),"Date hors ordre","OK"))))))))</f>
        <v/>
      </c>
      <c r="M2190" s="39" t="str">
        <f>IF(C2190="","",C2190&amp;"#"&amp;COUNTIF($C$5:C2190,C2190))</f>
        <v/>
      </c>
    </row>
    <row r="2191">
      <c r="A2191" s="41" t="n"/>
      <c r="B2191" s="37" t="n"/>
      <c r="C2191" s="37" t="n"/>
      <c r="D2191" s="39" t="str">
        <f>IF(C2191="","",IFERROR(INDEX(art_des,MATCH(C2191,art_ref,0))&amp;"","Référence inconnue"))</f>
        <v/>
      </c>
      <c r="E2191" s="37" t="n"/>
      <c r="F2191" s="39" t="str">
        <f>IF(C2191="","",IFERROR(INDEX(art_unit,MATCH(C2191,art_ref,0))&amp;"",""))</f>
        <v/>
      </c>
      <c r="G2191" s="37" t="n"/>
      <c r="H2191" s="37" t="n"/>
      <c r="I2191" s="37" t="n"/>
      <c r="J2191" s="40" t="str">
        <f>IF(OR(C2191="",NOT(ISNUMBER(E2191))),"",IFERROR(E2191*N(INDEX(art_price,MATCH(C2191,art_ref,0))),""))</f>
        <v/>
      </c>
      <c r="K2191" s="39" t="str">
        <f>IF(OR(C2191="",NOT(ISNUMBER(E2191))),"",IFERROR(ROUND(N(INDEX(art_init,MATCH(C2191,art_ref,0)))+SUMIFS($E$5:E2191,$C$5:C2191,C2191,$B$5:B2191,"Entrée")-SUMIFS($E$5:E2191,$C$5:C2191,C2191,$B$5:B2191,"Sortie"),6),""))</f>
        <v/>
      </c>
      <c r="L2191" s="39" t="str">
        <f>IF(COUNTA(A2191:C2191,E2191)=0,"",IF(COUNTA(A2191:C2191,E2191)&lt;4,"Ligne incomplète",IF(NOT(ISNUMBER(A2191)),"Date invalide",IF(AND(B2191&lt;&gt;"Entrée",B2191&lt;&gt;"Sortie"),"Type inconnu",IF(ISNA(MATCH(C2191,art_ref,0)),"Référence inconnue",IF(OR(NOT(ISNUMBER(E2191)),N(E2191)&lt;=0),"Quantité invalide",IF(K2191&lt;0,"Stock négatif",IF(AND(ISNUMBER(A2190),A2191&lt;A2190),"Date hors ordre","OK"))))))))</f>
        <v/>
      </c>
      <c r="M2191" s="39" t="str">
        <f>IF(C2191="","",C2191&amp;"#"&amp;COUNTIF($C$5:C2191,C2191))</f>
        <v/>
      </c>
    </row>
    <row r="2192">
      <c r="A2192" s="41" t="n"/>
      <c r="B2192" s="37" t="n"/>
      <c r="C2192" s="37" t="n"/>
      <c r="D2192" s="39" t="str">
        <f>IF(C2192="","",IFERROR(INDEX(art_des,MATCH(C2192,art_ref,0))&amp;"","Référence inconnue"))</f>
        <v/>
      </c>
      <c r="E2192" s="37" t="n"/>
      <c r="F2192" s="39" t="str">
        <f>IF(C2192="","",IFERROR(INDEX(art_unit,MATCH(C2192,art_ref,0))&amp;"",""))</f>
        <v/>
      </c>
      <c r="G2192" s="37" t="n"/>
      <c r="H2192" s="37" t="n"/>
      <c r="I2192" s="37" t="n"/>
      <c r="J2192" s="40" t="str">
        <f>IF(OR(C2192="",NOT(ISNUMBER(E2192))),"",IFERROR(E2192*N(INDEX(art_price,MATCH(C2192,art_ref,0))),""))</f>
        <v/>
      </c>
      <c r="K2192" s="39" t="str">
        <f>IF(OR(C2192="",NOT(ISNUMBER(E2192))),"",IFERROR(ROUND(N(INDEX(art_init,MATCH(C2192,art_ref,0)))+SUMIFS($E$5:E2192,$C$5:C2192,C2192,$B$5:B2192,"Entrée")-SUMIFS($E$5:E2192,$C$5:C2192,C2192,$B$5:B2192,"Sortie"),6),""))</f>
        <v/>
      </c>
      <c r="L2192" s="39" t="str">
        <f>IF(COUNTA(A2192:C2192,E2192)=0,"",IF(COUNTA(A2192:C2192,E2192)&lt;4,"Ligne incomplète",IF(NOT(ISNUMBER(A2192)),"Date invalide",IF(AND(B2192&lt;&gt;"Entrée",B2192&lt;&gt;"Sortie"),"Type inconnu",IF(ISNA(MATCH(C2192,art_ref,0)),"Référence inconnue",IF(OR(NOT(ISNUMBER(E2192)),N(E2192)&lt;=0),"Quantité invalide",IF(K2192&lt;0,"Stock négatif",IF(AND(ISNUMBER(A2191),A2192&lt;A2191),"Date hors ordre","OK"))))))))</f>
        <v/>
      </c>
      <c r="M2192" s="39" t="str">
        <f>IF(C2192="","",C2192&amp;"#"&amp;COUNTIF($C$5:C2192,C2192))</f>
        <v/>
      </c>
    </row>
    <row r="2193">
      <c r="A2193" s="41" t="n"/>
      <c r="B2193" s="37" t="n"/>
      <c r="C2193" s="37" t="n"/>
      <c r="D2193" s="39" t="str">
        <f>IF(C2193="","",IFERROR(INDEX(art_des,MATCH(C2193,art_ref,0))&amp;"","Référence inconnue"))</f>
        <v/>
      </c>
      <c r="E2193" s="37" t="n"/>
      <c r="F2193" s="39" t="str">
        <f>IF(C2193="","",IFERROR(INDEX(art_unit,MATCH(C2193,art_ref,0))&amp;"",""))</f>
        <v/>
      </c>
      <c r="G2193" s="37" t="n"/>
      <c r="H2193" s="37" t="n"/>
      <c r="I2193" s="37" t="n"/>
      <c r="J2193" s="40" t="str">
        <f>IF(OR(C2193="",NOT(ISNUMBER(E2193))),"",IFERROR(E2193*N(INDEX(art_price,MATCH(C2193,art_ref,0))),""))</f>
        <v/>
      </c>
      <c r="K2193" s="39" t="str">
        <f>IF(OR(C2193="",NOT(ISNUMBER(E2193))),"",IFERROR(ROUND(N(INDEX(art_init,MATCH(C2193,art_ref,0)))+SUMIFS($E$5:E2193,$C$5:C2193,C2193,$B$5:B2193,"Entrée")-SUMIFS($E$5:E2193,$C$5:C2193,C2193,$B$5:B2193,"Sortie"),6),""))</f>
        <v/>
      </c>
      <c r="L2193" s="39" t="str">
        <f>IF(COUNTA(A2193:C2193,E2193)=0,"",IF(COUNTA(A2193:C2193,E2193)&lt;4,"Ligne incomplète",IF(NOT(ISNUMBER(A2193)),"Date invalide",IF(AND(B2193&lt;&gt;"Entrée",B2193&lt;&gt;"Sortie"),"Type inconnu",IF(ISNA(MATCH(C2193,art_ref,0)),"Référence inconnue",IF(OR(NOT(ISNUMBER(E2193)),N(E2193)&lt;=0),"Quantité invalide",IF(K2193&lt;0,"Stock négatif",IF(AND(ISNUMBER(A2192),A2193&lt;A2192),"Date hors ordre","OK"))))))))</f>
        <v/>
      </c>
      <c r="M2193" s="39" t="str">
        <f>IF(C2193="","",C2193&amp;"#"&amp;COUNTIF($C$5:C2193,C2193))</f>
        <v/>
      </c>
    </row>
    <row r="2194">
      <c r="A2194" s="41" t="n"/>
      <c r="B2194" s="37" t="n"/>
      <c r="C2194" s="37" t="n"/>
      <c r="D2194" s="39" t="str">
        <f>IF(C2194="","",IFERROR(INDEX(art_des,MATCH(C2194,art_ref,0))&amp;"","Référence inconnue"))</f>
        <v/>
      </c>
      <c r="E2194" s="37" t="n"/>
      <c r="F2194" s="39" t="str">
        <f>IF(C2194="","",IFERROR(INDEX(art_unit,MATCH(C2194,art_ref,0))&amp;"",""))</f>
        <v/>
      </c>
      <c r="G2194" s="37" t="n"/>
      <c r="H2194" s="37" t="n"/>
      <c r="I2194" s="37" t="n"/>
      <c r="J2194" s="40" t="str">
        <f>IF(OR(C2194="",NOT(ISNUMBER(E2194))),"",IFERROR(E2194*N(INDEX(art_price,MATCH(C2194,art_ref,0))),""))</f>
        <v/>
      </c>
      <c r="K2194" s="39" t="str">
        <f>IF(OR(C2194="",NOT(ISNUMBER(E2194))),"",IFERROR(ROUND(N(INDEX(art_init,MATCH(C2194,art_ref,0)))+SUMIFS($E$5:E2194,$C$5:C2194,C2194,$B$5:B2194,"Entrée")-SUMIFS($E$5:E2194,$C$5:C2194,C2194,$B$5:B2194,"Sortie"),6),""))</f>
        <v/>
      </c>
      <c r="L2194" s="39" t="str">
        <f>IF(COUNTA(A2194:C2194,E2194)=0,"",IF(COUNTA(A2194:C2194,E2194)&lt;4,"Ligne incomplète",IF(NOT(ISNUMBER(A2194)),"Date invalide",IF(AND(B2194&lt;&gt;"Entrée",B2194&lt;&gt;"Sortie"),"Type inconnu",IF(ISNA(MATCH(C2194,art_ref,0)),"Référence inconnue",IF(OR(NOT(ISNUMBER(E2194)),N(E2194)&lt;=0),"Quantité invalide",IF(K2194&lt;0,"Stock négatif",IF(AND(ISNUMBER(A2193),A2194&lt;A2193),"Date hors ordre","OK"))))))))</f>
        <v/>
      </c>
      <c r="M2194" s="39" t="str">
        <f>IF(C2194="","",C2194&amp;"#"&amp;COUNTIF($C$5:C2194,C2194))</f>
        <v/>
      </c>
    </row>
    <row r="2195">
      <c r="A2195" s="41" t="n"/>
      <c r="B2195" s="37" t="n"/>
      <c r="C2195" s="37" t="n"/>
      <c r="D2195" s="39" t="str">
        <f>IF(C2195="","",IFERROR(INDEX(art_des,MATCH(C2195,art_ref,0))&amp;"","Référence inconnue"))</f>
        <v/>
      </c>
      <c r="E2195" s="37" t="n"/>
      <c r="F2195" s="39" t="str">
        <f>IF(C2195="","",IFERROR(INDEX(art_unit,MATCH(C2195,art_ref,0))&amp;"",""))</f>
        <v/>
      </c>
      <c r="G2195" s="37" t="n"/>
      <c r="H2195" s="37" t="n"/>
      <c r="I2195" s="37" t="n"/>
      <c r="J2195" s="40" t="str">
        <f>IF(OR(C2195="",NOT(ISNUMBER(E2195))),"",IFERROR(E2195*N(INDEX(art_price,MATCH(C2195,art_ref,0))),""))</f>
        <v/>
      </c>
      <c r="K2195" s="39" t="str">
        <f>IF(OR(C2195="",NOT(ISNUMBER(E2195))),"",IFERROR(ROUND(N(INDEX(art_init,MATCH(C2195,art_ref,0)))+SUMIFS($E$5:E2195,$C$5:C2195,C2195,$B$5:B2195,"Entrée")-SUMIFS($E$5:E2195,$C$5:C2195,C2195,$B$5:B2195,"Sortie"),6),""))</f>
        <v/>
      </c>
      <c r="L2195" s="39" t="str">
        <f>IF(COUNTA(A2195:C2195,E2195)=0,"",IF(COUNTA(A2195:C2195,E2195)&lt;4,"Ligne incomplète",IF(NOT(ISNUMBER(A2195)),"Date invalide",IF(AND(B2195&lt;&gt;"Entrée",B2195&lt;&gt;"Sortie"),"Type inconnu",IF(ISNA(MATCH(C2195,art_ref,0)),"Référence inconnue",IF(OR(NOT(ISNUMBER(E2195)),N(E2195)&lt;=0),"Quantité invalide",IF(K2195&lt;0,"Stock négatif",IF(AND(ISNUMBER(A2194),A2195&lt;A2194),"Date hors ordre","OK"))))))))</f>
        <v/>
      </c>
      <c r="M2195" s="39" t="str">
        <f>IF(C2195="","",C2195&amp;"#"&amp;COUNTIF($C$5:C2195,C2195))</f>
        <v/>
      </c>
    </row>
    <row r="2196">
      <c r="A2196" s="41" t="n"/>
      <c r="B2196" s="37" t="n"/>
      <c r="C2196" s="37" t="n"/>
      <c r="D2196" s="39" t="str">
        <f>IF(C2196="","",IFERROR(INDEX(art_des,MATCH(C2196,art_ref,0))&amp;"","Référence inconnue"))</f>
        <v/>
      </c>
      <c r="E2196" s="37" t="n"/>
      <c r="F2196" s="39" t="str">
        <f>IF(C2196="","",IFERROR(INDEX(art_unit,MATCH(C2196,art_ref,0))&amp;"",""))</f>
        <v/>
      </c>
      <c r="G2196" s="37" t="n"/>
      <c r="H2196" s="37" t="n"/>
      <c r="I2196" s="37" t="n"/>
      <c r="J2196" s="40" t="str">
        <f>IF(OR(C2196="",NOT(ISNUMBER(E2196))),"",IFERROR(E2196*N(INDEX(art_price,MATCH(C2196,art_ref,0))),""))</f>
        <v/>
      </c>
      <c r="K2196" s="39" t="str">
        <f>IF(OR(C2196="",NOT(ISNUMBER(E2196))),"",IFERROR(ROUND(N(INDEX(art_init,MATCH(C2196,art_ref,0)))+SUMIFS($E$5:E2196,$C$5:C2196,C2196,$B$5:B2196,"Entrée")-SUMIFS($E$5:E2196,$C$5:C2196,C2196,$B$5:B2196,"Sortie"),6),""))</f>
        <v/>
      </c>
      <c r="L2196" s="39" t="str">
        <f>IF(COUNTA(A2196:C2196,E2196)=0,"",IF(COUNTA(A2196:C2196,E2196)&lt;4,"Ligne incomplète",IF(NOT(ISNUMBER(A2196)),"Date invalide",IF(AND(B2196&lt;&gt;"Entrée",B2196&lt;&gt;"Sortie"),"Type inconnu",IF(ISNA(MATCH(C2196,art_ref,0)),"Référence inconnue",IF(OR(NOT(ISNUMBER(E2196)),N(E2196)&lt;=0),"Quantité invalide",IF(K2196&lt;0,"Stock négatif",IF(AND(ISNUMBER(A2195),A2196&lt;A2195),"Date hors ordre","OK"))))))))</f>
        <v/>
      </c>
      <c r="M2196" s="39" t="str">
        <f>IF(C2196="","",C2196&amp;"#"&amp;COUNTIF($C$5:C2196,C2196))</f>
        <v/>
      </c>
    </row>
    <row r="2197">
      <c r="A2197" s="41" t="n"/>
      <c r="B2197" s="37" t="n"/>
      <c r="C2197" s="37" t="n"/>
      <c r="D2197" s="39" t="str">
        <f>IF(C2197="","",IFERROR(INDEX(art_des,MATCH(C2197,art_ref,0))&amp;"","Référence inconnue"))</f>
        <v/>
      </c>
      <c r="E2197" s="37" t="n"/>
      <c r="F2197" s="39" t="str">
        <f>IF(C2197="","",IFERROR(INDEX(art_unit,MATCH(C2197,art_ref,0))&amp;"",""))</f>
        <v/>
      </c>
      <c r="G2197" s="37" t="n"/>
      <c r="H2197" s="37" t="n"/>
      <c r="I2197" s="37" t="n"/>
      <c r="J2197" s="40" t="str">
        <f>IF(OR(C2197="",NOT(ISNUMBER(E2197))),"",IFERROR(E2197*N(INDEX(art_price,MATCH(C2197,art_ref,0))),""))</f>
        <v/>
      </c>
      <c r="K2197" s="39" t="str">
        <f>IF(OR(C2197="",NOT(ISNUMBER(E2197))),"",IFERROR(ROUND(N(INDEX(art_init,MATCH(C2197,art_ref,0)))+SUMIFS($E$5:E2197,$C$5:C2197,C2197,$B$5:B2197,"Entrée")-SUMIFS($E$5:E2197,$C$5:C2197,C2197,$B$5:B2197,"Sortie"),6),""))</f>
        <v/>
      </c>
      <c r="L2197" s="39" t="str">
        <f>IF(COUNTA(A2197:C2197,E2197)=0,"",IF(COUNTA(A2197:C2197,E2197)&lt;4,"Ligne incomplète",IF(NOT(ISNUMBER(A2197)),"Date invalide",IF(AND(B2197&lt;&gt;"Entrée",B2197&lt;&gt;"Sortie"),"Type inconnu",IF(ISNA(MATCH(C2197,art_ref,0)),"Référence inconnue",IF(OR(NOT(ISNUMBER(E2197)),N(E2197)&lt;=0),"Quantité invalide",IF(K2197&lt;0,"Stock négatif",IF(AND(ISNUMBER(A2196),A2197&lt;A2196),"Date hors ordre","OK"))))))))</f>
        <v/>
      </c>
      <c r="M2197" s="39" t="str">
        <f>IF(C2197="","",C2197&amp;"#"&amp;COUNTIF($C$5:C2197,C2197))</f>
        <v/>
      </c>
    </row>
    <row r="2198">
      <c r="A2198" s="41" t="n"/>
      <c r="B2198" s="37" t="n"/>
      <c r="C2198" s="37" t="n"/>
      <c r="D2198" s="39" t="str">
        <f>IF(C2198="","",IFERROR(INDEX(art_des,MATCH(C2198,art_ref,0))&amp;"","Référence inconnue"))</f>
        <v/>
      </c>
      <c r="E2198" s="37" t="n"/>
      <c r="F2198" s="39" t="str">
        <f>IF(C2198="","",IFERROR(INDEX(art_unit,MATCH(C2198,art_ref,0))&amp;"",""))</f>
        <v/>
      </c>
      <c r="G2198" s="37" t="n"/>
      <c r="H2198" s="37" t="n"/>
      <c r="I2198" s="37" t="n"/>
      <c r="J2198" s="40" t="str">
        <f>IF(OR(C2198="",NOT(ISNUMBER(E2198))),"",IFERROR(E2198*N(INDEX(art_price,MATCH(C2198,art_ref,0))),""))</f>
        <v/>
      </c>
      <c r="K2198" s="39" t="str">
        <f>IF(OR(C2198="",NOT(ISNUMBER(E2198))),"",IFERROR(ROUND(N(INDEX(art_init,MATCH(C2198,art_ref,0)))+SUMIFS($E$5:E2198,$C$5:C2198,C2198,$B$5:B2198,"Entrée")-SUMIFS($E$5:E2198,$C$5:C2198,C2198,$B$5:B2198,"Sortie"),6),""))</f>
        <v/>
      </c>
      <c r="L2198" s="39" t="str">
        <f>IF(COUNTA(A2198:C2198,E2198)=0,"",IF(COUNTA(A2198:C2198,E2198)&lt;4,"Ligne incomplète",IF(NOT(ISNUMBER(A2198)),"Date invalide",IF(AND(B2198&lt;&gt;"Entrée",B2198&lt;&gt;"Sortie"),"Type inconnu",IF(ISNA(MATCH(C2198,art_ref,0)),"Référence inconnue",IF(OR(NOT(ISNUMBER(E2198)),N(E2198)&lt;=0),"Quantité invalide",IF(K2198&lt;0,"Stock négatif",IF(AND(ISNUMBER(A2197),A2198&lt;A2197),"Date hors ordre","OK"))))))))</f>
        <v/>
      </c>
      <c r="M2198" s="39" t="str">
        <f>IF(C2198="","",C2198&amp;"#"&amp;COUNTIF($C$5:C2198,C2198))</f>
        <v/>
      </c>
    </row>
    <row r="2199">
      <c r="A2199" s="41" t="n"/>
      <c r="B2199" s="37" t="n"/>
      <c r="C2199" s="37" t="n"/>
      <c r="D2199" s="39" t="str">
        <f>IF(C2199="","",IFERROR(INDEX(art_des,MATCH(C2199,art_ref,0))&amp;"","Référence inconnue"))</f>
        <v/>
      </c>
      <c r="E2199" s="37" t="n"/>
      <c r="F2199" s="39" t="str">
        <f>IF(C2199="","",IFERROR(INDEX(art_unit,MATCH(C2199,art_ref,0))&amp;"",""))</f>
        <v/>
      </c>
      <c r="G2199" s="37" t="n"/>
      <c r="H2199" s="37" t="n"/>
      <c r="I2199" s="37" t="n"/>
      <c r="J2199" s="40" t="str">
        <f>IF(OR(C2199="",NOT(ISNUMBER(E2199))),"",IFERROR(E2199*N(INDEX(art_price,MATCH(C2199,art_ref,0))),""))</f>
        <v/>
      </c>
      <c r="K2199" s="39" t="str">
        <f>IF(OR(C2199="",NOT(ISNUMBER(E2199))),"",IFERROR(ROUND(N(INDEX(art_init,MATCH(C2199,art_ref,0)))+SUMIFS($E$5:E2199,$C$5:C2199,C2199,$B$5:B2199,"Entrée")-SUMIFS($E$5:E2199,$C$5:C2199,C2199,$B$5:B2199,"Sortie"),6),""))</f>
        <v/>
      </c>
      <c r="L2199" s="39" t="str">
        <f>IF(COUNTA(A2199:C2199,E2199)=0,"",IF(COUNTA(A2199:C2199,E2199)&lt;4,"Ligne incomplète",IF(NOT(ISNUMBER(A2199)),"Date invalide",IF(AND(B2199&lt;&gt;"Entrée",B2199&lt;&gt;"Sortie"),"Type inconnu",IF(ISNA(MATCH(C2199,art_ref,0)),"Référence inconnue",IF(OR(NOT(ISNUMBER(E2199)),N(E2199)&lt;=0),"Quantité invalide",IF(K2199&lt;0,"Stock négatif",IF(AND(ISNUMBER(A2198),A2199&lt;A2198),"Date hors ordre","OK"))))))))</f>
        <v/>
      </c>
      <c r="M2199" s="39" t="str">
        <f>IF(C2199="","",C2199&amp;"#"&amp;COUNTIF($C$5:C2199,C2199))</f>
        <v/>
      </c>
    </row>
    <row r="2200">
      <c r="A2200" s="41" t="n"/>
      <c r="B2200" s="37" t="n"/>
      <c r="C2200" s="37" t="n"/>
      <c r="D2200" s="39" t="str">
        <f>IF(C2200="","",IFERROR(INDEX(art_des,MATCH(C2200,art_ref,0))&amp;"","Référence inconnue"))</f>
        <v/>
      </c>
      <c r="E2200" s="37" t="n"/>
      <c r="F2200" s="39" t="str">
        <f>IF(C2200="","",IFERROR(INDEX(art_unit,MATCH(C2200,art_ref,0))&amp;"",""))</f>
        <v/>
      </c>
      <c r="G2200" s="37" t="n"/>
      <c r="H2200" s="37" t="n"/>
      <c r="I2200" s="37" t="n"/>
      <c r="J2200" s="40" t="str">
        <f>IF(OR(C2200="",NOT(ISNUMBER(E2200))),"",IFERROR(E2200*N(INDEX(art_price,MATCH(C2200,art_ref,0))),""))</f>
        <v/>
      </c>
      <c r="K2200" s="39" t="str">
        <f>IF(OR(C2200="",NOT(ISNUMBER(E2200))),"",IFERROR(ROUND(N(INDEX(art_init,MATCH(C2200,art_ref,0)))+SUMIFS($E$5:E2200,$C$5:C2200,C2200,$B$5:B2200,"Entrée")-SUMIFS($E$5:E2200,$C$5:C2200,C2200,$B$5:B2200,"Sortie"),6),""))</f>
        <v/>
      </c>
      <c r="L2200" s="39" t="str">
        <f>IF(COUNTA(A2200:C2200,E2200)=0,"",IF(COUNTA(A2200:C2200,E2200)&lt;4,"Ligne incomplète",IF(NOT(ISNUMBER(A2200)),"Date invalide",IF(AND(B2200&lt;&gt;"Entrée",B2200&lt;&gt;"Sortie"),"Type inconnu",IF(ISNA(MATCH(C2200,art_ref,0)),"Référence inconnue",IF(OR(NOT(ISNUMBER(E2200)),N(E2200)&lt;=0),"Quantité invalide",IF(K2200&lt;0,"Stock négatif",IF(AND(ISNUMBER(A2199),A2200&lt;A2199),"Date hors ordre","OK"))))))))</f>
        <v/>
      </c>
      <c r="M2200" s="39" t="str">
        <f>IF(C2200="","",C2200&amp;"#"&amp;COUNTIF($C$5:C2200,C2200))</f>
        <v/>
      </c>
    </row>
    <row r="2201">
      <c r="A2201" s="41" t="n"/>
      <c r="B2201" s="37" t="n"/>
      <c r="C2201" s="37" t="n"/>
      <c r="D2201" s="39" t="str">
        <f>IF(C2201="","",IFERROR(INDEX(art_des,MATCH(C2201,art_ref,0))&amp;"","Référence inconnue"))</f>
        <v/>
      </c>
      <c r="E2201" s="37" t="n"/>
      <c r="F2201" s="39" t="str">
        <f>IF(C2201="","",IFERROR(INDEX(art_unit,MATCH(C2201,art_ref,0))&amp;"",""))</f>
        <v/>
      </c>
      <c r="G2201" s="37" t="n"/>
      <c r="H2201" s="37" t="n"/>
      <c r="I2201" s="37" t="n"/>
      <c r="J2201" s="40" t="str">
        <f>IF(OR(C2201="",NOT(ISNUMBER(E2201))),"",IFERROR(E2201*N(INDEX(art_price,MATCH(C2201,art_ref,0))),""))</f>
        <v/>
      </c>
      <c r="K2201" s="39" t="str">
        <f>IF(OR(C2201="",NOT(ISNUMBER(E2201))),"",IFERROR(ROUND(N(INDEX(art_init,MATCH(C2201,art_ref,0)))+SUMIFS($E$5:E2201,$C$5:C2201,C2201,$B$5:B2201,"Entrée")-SUMIFS($E$5:E2201,$C$5:C2201,C2201,$B$5:B2201,"Sortie"),6),""))</f>
        <v/>
      </c>
      <c r="L2201" s="39" t="str">
        <f>IF(COUNTA(A2201:C2201,E2201)=0,"",IF(COUNTA(A2201:C2201,E2201)&lt;4,"Ligne incomplète",IF(NOT(ISNUMBER(A2201)),"Date invalide",IF(AND(B2201&lt;&gt;"Entrée",B2201&lt;&gt;"Sortie"),"Type inconnu",IF(ISNA(MATCH(C2201,art_ref,0)),"Référence inconnue",IF(OR(NOT(ISNUMBER(E2201)),N(E2201)&lt;=0),"Quantité invalide",IF(K2201&lt;0,"Stock négatif",IF(AND(ISNUMBER(A2200),A2201&lt;A2200),"Date hors ordre","OK"))))))))</f>
        <v/>
      </c>
      <c r="M2201" s="39" t="str">
        <f>IF(C2201="","",C2201&amp;"#"&amp;COUNTIF($C$5:C2201,C2201))</f>
        <v/>
      </c>
    </row>
    <row r="2202">
      <c r="A2202" s="41" t="n"/>
      <c r="B2202" s="37" t="n"/>
      <c r="C2202" s="37" t="n"/>
      <c r="D2202" s="39" t="str">
        <f>IF(C2202="","",IFERROR(INDEX(art_des,MATCH(C2202,art_ref,0))&amp;"","Référence inconnue"))</f>
        <v/>
      </c>
      <c r="E2202" s="37" t="n"/>
      <c r="F2202" s="39" t="str">
        <f>IF(C2202="","",IFERROR(INDEX(art_unit,MATCH(C2202,art_ref,0))&amp;"",""))</f>
        <v/>
      </c>
      <c r="G2202" s="37" t="n"/>
      <c r="H2202" s="37" t="n"/>
      <c r="I2202" s="37" t="n"/>
      <c r="J2202" s="40" t="str">
        <f>IF(OR(C2202="",NOT(ISNUMBER(E2202))),"",IFERROR(E2202*N(INDEX(art_price,MATCH(C2202,art_ref,0))),""))</f>
        <v/>
      </c>
      <c r="K2202" s="39" t="str">
        <f>IF(OR(C2202="",NOT(ISNUMBER(E2202))),"",IFERROR(ROUND(N(INDEX(art_init,MATCH(C2202,art_ref,0)))+SUMIFS($E$5:E2202,$C$5:C2202,C2202,$B$5:B2202,"Entrée")-SUMIFS($E$5:E2202,$C$5:C2202,C2202,$B$5:B2202,"Sortie"),6),""))</f>
        <v/>
      </c>
      <c r="L2202" s="39" t="str">
        <f>IF(COUNTA(A2202:C2202,E2202)=0,"",IF(COUNTA(A2202:C2202,E2202)&lt;4,"Ligne incomplète",IF(NOT(ISNUMBER(A2202)),"Date invalide",IF(AND(B2202&lt;&gt;"Entrée",B2202&lt;&gt;"Sortie"),"Type inconnu",IF(ISNA(MATCH(C2202,art_ref,0)),"Référence inconnue",IF(OR(NOT(ISNUMBER(E2202)),N(E2202)&lt;=0),"Quantité invalide",IF(K2202&lt;0,"Stock négatif",IF(AND(ISNUMBER(A2201),A2202&lt;A2201),"Date hors ordre","OK"))))))))</f>
        <v/>
      </c>
      <c r="M2202" s="39" t="str">
        <f>IF(C2202="","",C2202&amp;"#"&amp;COUNTIF($C$5:C2202,C2202))</f>
        <v/>
      </c>
    </row>
    <row r="2203">
      <c r="A2203" s="41" t="n"/>
      <c r="B2203" s="37" t="n"/>
      <c r="C2203" s="37" t="n"/>
      <c r="D2203" s="39" t="str">
        <f>IF(C2203="","",IFERROR(INDEX(art_des,MATCH(C2203,art_ref,0))&amp;"","Référence inconnue"))</f>
        <v/>
      </c>
      <c r="E2203" s="37" t="n"/>
      <c r="F2203" s="39" t="str">
        <f>IF(C2203="","",IFERROR(INDEX(art_unit,MATCH(C2203,art_ref,0))&amp;"",""))</f>
        <v/>
      </c>
      <c r="G2203" s="37" t="n"/>
      <c r="H2203" s="37" t="n"/>
      <c r="I2203" s="37" t="n"/>
      <c r="J2203" s="40" t="str">
        <f>IF(OR(C2203="",NOT(ISNUMBER(E2203))),"",IFERROR(E2203*N(INDEX(art_price,MATCH(C2203,art_ref,0))),""))</f>
        <v/>
      </c>
      <c r="K2203" s="39" t="str">
        <f>IF(OR(C2203="",NOT(ISNUMBER(E2203))),"",IFERROR(ROUND(N(INDEX(art_init,MATCH(C2203,art_ref,0)))+SUMIFS($E$5:E2203,$C$5:C2203,C2203,$B$5:B2203,"Entrée")-SUMIFS($E$5:E2203,$C$5:C2203,C2203,$B$5:B2203,"Sortie"),6),""))</f>
        <v/>
      </c>
      <c r="L2203" s="39" t="str">
        <f>IF(COUNTA(A2203:C2203,E2203)=0,"",IF(COUNTA(A2203:C2203,E2203)&lt;4,"Ligne incomplète",IF(NOT(ISNUMBER(A2203)),"Date invalide",IF(AND(B2203&lt;&gt;"Entrée",B2203&lt;&gt;"Sortie"),"Type inconnu",IF(ISNA(MATCH(C2203,art_ref,0)),"Référence inconnue",IF(OR(NOT(ISNUMBER(E2203)),N(E2203)&lt;=0),"Quantité invalide",IF(K2203&lt;0,"Stock négatif",IF(AND(ISNUMBER(A2202),A2203&lt;A2202),"Date hors ordre","OK"))))))))</f>
        <v/>
      </c>
      <c r="M2203" s="39" t="str">
        <f>IF(C2203="","",C2203&amp;"#"&amp;COUNTIF($C$5:C2203,C2203))</f>
        <v/>
      </c>
    </row>
    <row r="2204">
      <c r="A2204" s="41" t="n"/>
      <c r="B2204" s="37" t="n"/>
      <c r="C2204" s="37" t="n"/>
      <c r="D2204" s="39" t="str">
        <f>IF(C2204="","",IFERROR(INDEX(art_des,MATCH(C2204,art_ref,0))&amp;"","Référence inconnue"))</f>
        <v/>
      </c>
      <c r="E2204" s="37" t="n"/>
      <c r="F2204" s="39" t="str">
        <f>IF(C2204="","",IFERROR(INDEX(art_unit,MATCH(C2204,art_ref,0))&amp;"",""))</f>
        <v/>
      </c>
      <c r="G2204" s="37" t="n"/>
      <c r="H2204" s="37" t="n"/>
      <c r="I2204" s="37" t="n"/>
      <c r="J2204" s="40" t="str">
        <f>IF(OR(C2204="",NOT(ISNUMBER(E2204))),"",IFERROR(E2204*N(INDEX(art_price,MATCH(C2204,art_ref,0))),""))</f>
        <v/>
      </c>
      <c r="K2204" s="39" t="str">
        <f>IF(OR(C2204="",NOT(ISNUMBER(E2204))),"",IFERROR(ROUND(N(INDEX(art_init,MATCH(C2204,art_ref,0)))+SUMIFS($E$5:E2204,$C$5:C2204,C2204,$B$5:B2204,"Entrée")-SUMIFS($E$5:E2204,$C$5:C2204,C2204,$B$5:B2204,"Sortie"),6),""))</f>
        <v/>
      </c>
      <c r="L2204" s="39" t="str">
        <f>IF(COUNTA(A2204:C2204,E2204)=0,"",IF(COUNTA(A2204:C2204,E2204)&lt;4,"Ligne incomplète",IF(NOT(ISNUMBER(A2204)),"Date invalide",IF(AND(B2204&lt;&gt;"Entrée",B2204&lt;&gt;"Sortie"),"Type inconnu",IF(ISNA(MATCH(C2204,art_ref,0)),"Référence inconnue",IF(OR(NOT(ISNUMBER(E2204)),N(E2204)&lt;=0),"Quantité invalide",IF(K2204&lt;0,"Stock négatif",IF(AND(ISNUMBER(A2203),A2204&lt;A2203),"Date hors ordre","OK"))))))))</f>
        <v/>
      </c>
      <c r="M2204" s="39" t="str">
        <f>IF(C2204="","",C2204&amp;"#"&amp;COUNTIF($C$5:C2204,C2204))</f>
        <v/>
      </c>
    </row>
    <row r="2205">
      <c r="A2205" s="41" t="n"/>
      <c r="B2205" s="37" t="n"/>
      <c r="C2205" s="37" t="n"/>
      <c r="D2205" s="39" t="str">
        <f>IF(C2205="","",IFERROR(INDEX(art_des,MATCH(C2205,art_ref,0))&amp;"","Référence inconnue"))</f>
        <v/>
      </c>
      <c r="E2205" s="37" t="n"/>
      <c r="F2205" s="39" t="str">
        <f>IF(C2205="","",IFERROR(INDEX(art_unit,MATCH(C2205,art_ref,0))&amp;"",""))</f>
        <v/>
      </c>
      <c r="G2205" s="37" t="n"/>
      <c r="H2205" s="37" t="n"/>
      <c r="I2205" s="37" t="n"/>
      <c r="J2205" s="40" t="str">
        <f>IF(OR(C2205="",NOT(ISNUMBER(E2205))),"",IFERROR(E2205*N(INDEX(art_price,MATCH(C2205,art_ref,0))),""))</f>
        <v/>
      </c>
      <c r="K2205" s="39" t="str">
        <f>IF(OR(C2205="",NOT(ISNUMBER(E2205))),"",IFERROR(ROUND(N(INDEX(art_init,MATCH(C2205,art_ref,0)))+SUMIFS($E$5:E2205,$C$5:C2205,C2205,$B$5:B2205,"Entrée")-SUMIFS($E$5:E2205,$C$5:C2205,C2205,$B$5:B2205,"Sortie"),6),""))</f>
        <v/>
      </c>
      <c r="L2205" s="39" t="str">
        <f>IF(COUNTA(A2205:C2205,E2205)=0,"",IF(COUNTA(A2205:C2205,E2205)&lt;4,"Ligne incomplète",IF(NOT(ISNUMBER(A2205)),"Date invalide",IF(AND(B2205&lt;&gt;"Entrée",B2205&lt;&gt;"Sortie"),"Type inconnu",IF(ISNA(MATCH(C2205,art_ref,0)),"Référence inconnue",IF(OR(NOT(ISNUMBER(E2205)),N(E2205)&lt;=0),"Quantité invalide",IF(K2205&lt;0,"Stock négatif",IF(AND(ISNUMBER(A2204),A2205&lt;A2204),"Date hors ordre","OK"))))))))</f>
        <v/>
      </c>
      <c r="M2205" s="39" t="str">
        <f>IF(C2205="","",C2205&amp;"#"&amp;COUNTIF($C$5:C2205,C2205))</f>
        <v/>
      </c>
    </row>
    <row r="2206">
      <c r="A2206" s="41" t="n"/>
      <c r="B2206" s="37" t="n"/>
      <c r="C2206" s="37" t="n"/>
      <c r="D2206" s="39" t="str">
        <f>IF(C2206="","",IFERROR(INDEX(art_des,MATCH(C2206,art_ref,0))&amp;"","Référence inconnue"))</f>
        <v/>
      </c>
      <c r="E2206" s="37" t="n"/>
      <c r="F2206" s="39" t="str">
        <f>IF(C2206="","",IFERROR(INDEX(art_unit,MATCH(C2206,art_ref,0))&amp;"",""))</f>
        <v/>
      </c>
      <c r="G2206" s="37" t="n"/>
      <c r="H2206" s="37" t="n"/>
      <c r="I2206" s="37" t="n"/>
      <c r="J2206" s="40" t="str">
        <f>IF(OR(C2206="",NOT(ISNUMBER(E2206))),"",IFERROR(E2206*N(INDEX(art_price,MATCH(C2206,art_ref,0))),""))</f>
        <v/>
      </c>
      <c r="K2206" s="39" t="str">
        <f>IF(OR(C2206="",NOT(ISNUMBER(E2206))),"",IFERROR(ROUND(N(INDEX(art_init,MATCH(C2206,art_ref,0)))+SUMIFS($E$5:E2206,$C$5:C2206,C2206,$B$5:B2206,"Entrée")-SUMIFS($E$5:E2206,$C$5:C2206,C2206,$B$5:B2206,"Sortie"),6),""))</f>
        <v/>
      </c>
      <c r="L2206" s="39" t="str">
        <f>IF(COUNTA(A2206:C2206,E2206)=0,"",IF(COUNTA(A2206:C2206,E2206)&lt;4,"Ligne incomplète",IF(NOT(ISNUMBER(A2206)),"Date invalide",IF(AND(B2206&lt;&gt;"Entrée",B2206&lt;&gt;"Sortie"),"Type inconnu",IF(ISNA(MATCH(C2206,art_ref,0)),"Référence inconnue",IF(OR(NOT(ISNUMBER(E2206)),N(E2206)&lt;=0),"Quantité invalide",IF(K2206&lt;0,"Stock négatif",IF(AND(ISNUMBER(A2205),A2206&lt;A2205),"Date hors ordre","OK"))))))))</f>
        <v/>
      </c>
      <c r="M2206" s="39" t="str">
        <f>IF(C2206="","",C2206&amp;"#"&amp;COUNTIF($C$5:C2206,C2206))</f>
        <v/>
      </c>
    </row>
    <row r="2207">
      <c r="A2207" s="41" t="n"/>
      <c r="B2207" s="37" t="n"/>
      <c r="C2207" s="37" t="n"/>
      <c r="D2207" s="39" t="str">
        <f>IF(C2207="","",IFERROR(INDEX(art_des,MATCH(C2207,art_ref,0))&amp;"","Référence inconnue"))</f>
        <v/>
      </c>
      <c r="E2207" s="37" t="n"/>
      <c r="F2207" s="39" t="str">
        <f>IF(C2207="","",IFERROR(INDEX(art_unit,MATCH(C2207,art_ref,0))&amp;"",""))</f>
        <v/>
      </c>
      <c r="G2207" s="37" t="n"/>
      <c r="H2207" s="37" t="n"/>
      <c r="I2207" s="37" t="n"/>
      <c r="J2207" s="40" t="str">
        <f>IF(OR(C2207="",NOT(ISNUMBER(E2207))),"",IFERROR(E2207*N(INDEX(art_price,MATCH(C2207,art_ref,0))),""))</f>
        <v/>
      </c>
      <c r="K2207" s="39" t="str">
        <f>IF(OR(C2207="",NOT(ISNUMBER(E2207))),"",IFERROR(ROUND(N(INDEX(art_init,MATCH(C2207,art_ref,0)))+SUMIFS($E$5:E2207,$C$5:C2207,C2207,$B$5:B2207,"Entrée")-SUMIFS($E$5:E2207,$C$5:C2207,C2207,$B$5:B2207,"Sortie"),6),""))</f>
        <v/>
      </c>
      <c r="L2207" s="39" t="str">
        <f>IF(COUNTA(A2207:C2207,E2207)=0,"",IF(COUNTA(A2207:C2207,E2207)&lt;4,"Ligne incomplète",IF(NOT(ISNUMBER(A2207)),"Date invalide",IF(AND(B2207&lt;&gt;"Entrée",B2207&lt;&gt;"Sortie"),"Type inconnu",IF(ISNA(MATCH(C2207,art_ref,0)),"Référence inconnue",IF(OR(NOT(ISNUMBER(E2207)),N(E2207)&lt;=0),"Quantité invalide",IF(K2207&lt;0,"Stock négatif",IF(AND(ISNUMBER(A2206),A2207&lt;A2206),"Date hors ordre","OK"))))))))</f>
        <v/>
      </c>
      <c r="M2207" s="39" t="str">
        <f>IF(C2207="","",C2207&amp;"#"&amp;COUNTIF($C$5:C2207,C2207))</f>
        <v/>
      </c>
    </row>
    <row r="2208">
      <c r="A2208" s="41" t="n"/>
      <c r="B2208" s="37" t="n"/>
      <c r="C2208" s="37" t="n"/>
      <c r="D2208" s="39" t="str">
        <f>IF(C2208="","",IFERROR(INDEX(art_des,MATCH(C2208,art_ref,0))&amp;"","Référence inconnue"))</f>
        <v/>
      </c>
      <c r="E2208" s="37" t="n"/>
      <c r="F2208" s="39" t="str">
        <f>IF(C2208="","",IFERROR(INDEX(art_unit,MATCH(C2208,art_ref,0))&amp;"",""))</f>
        <v/>
      </c>
      <c r="G2208" s="37" t="n"/>
      <c r="H2208" s="37" t="n"/>
      <c r="I2208" s="37" t="n"/>
      <c r="J2208" s="40" t="str">
        <f>IF(OR(C2208="",NOT(ISNUMBER(E2208))),"",IFERROR(E2208*N(INDEX(art_price,MATCH(C2208,art_ref,0))),""))</f>
        <v/>
      </c>
      <c r="K2208" s="39" t="str">
        <f>IF(OR(C2208="",NOT(ISNUMBER(E2208))),"",IFERROR(ROUND(N(INDEX(art_init,MATCH(C2208,art_ref,0)))+SUMIFS($E$5:E2208,$C$5:C2208,C2208,$B$5:B2208,"Entrée")-SUMIFS($E$5:E2208,$C$5:C2208,C2208,$B$5:B2208,"Sortie"),6),""))</f>
        <v/>
      </c>
      <c r="L2208" s="39" t="str">
        <f>IF(COUNTA(A2208:C2208,E2208)=0,"",IF(COUNTA(A2208:C2208,E2208)&lt;4,"Ligne incomplète",IF(NOT(ISNUMBER(A2208)),"Date invalide",IF(AND(B2208&lt;&gt;"Entrée",B2208&lt;&gt;"Sortie"),"Type inconnu",IF(ISNA(MATCH(C2208,art_ref,0)),"Référence inconnue",IF(OR(NOT(ISNUMBER(E2208)),N(E2208)&lt;=0),"Quantité invalide",IF(K2208&lt;0,"Stock négatif",IF(AND(ISNUMBER(A2207),A2208&lt;A2207),"Date hors ordre","OK"))))))))</f>
        <v/>
      </c>
      <c r="M2208" s="39" t="str">
        <f>IF(C2208="","",C2208&amp;"#"&amp;COUNTIF($C$5:C2208,C2208))</f>
        <v/>
      </c>
    </row>
    <row r="2209">
      <c r="A2209" s="41" t="n"/>
      <c r="B2209" s="37" t="n"/>
      <c r="C2209" s="37" t="n"/>
      <c r="D2209" s="39" t="str">
        <f>IF(C2209="","",IFERROR(INDEX(art_des,MATCH(C2209,art_ref,0))&amp;"","Référence inconnue"))</f>
        <v/>
      </c>
      <c r="E2209" s="37" t="n"/>
      <c r="F2209" s="39" t="str">
        <f>IF(C2209="","",IFERROR(INDEX(art_unit,MATCH(C2209,art_ref,0))&amp;"",""))</f>
        <v/>
      </c>
      <c r="G2209" s="37" t="n"/>
      <c r="H2209" s="37" t="n"/>
      <c r="I2209" s="37" t="n"/>
      <c r="J2209" s="40" t="str">
        <f>IF(OR(C2209="",NOT(ISNUMBER(E2209))),"",IFERROR(E2209*N(INDEX(art_price,MATCH(C2209,art_ref,0))),""))</f>
        <v/>
      </c>
      <c r="K2209" s="39" t="str">
        <f>IF(OR(C2209="",NOT(ISNUMBER(E2209))),"",IFERROR(ROUND(N(INDEX(art_init,MATCH(C2209,art_ref,0)))+SUMIFS($E$5:E2209,$C$5:C2209,C2209,$B$5:B2209,"Entrée")-SUMIFS($E$5:E2209,$C$5:C2209,C2209,$B$5:B2209,"Sortie"),6),""))</f>
        <v/>
      </c>
      <c r="L2209" s="39" t="str">
        <f>IF(COUNTA(A2209:C2209,E2209)=0,"",IF(COUNTA(A2209:C2209,E2209)&lt;4,"Ligne incomplète",IF(NOT(ISNUMBER(A2209)),"Date invalide",IF(AND(B2209&lt;&gt;"Entrée",B2209&lt;&gt;"Sortie"),"Type inconnu",IF(ISNA(MATCH(C2209,art_ref,0)),"Référence inconnue",IF(OR(NOT(ISNUMBER(E2209)),N(E2209)&lt;=0),"Quantité invalide",IF(K2209&lt;0,"Stock négatif",IF(AND(ISNUMBER(A2208),A2209&lt;A2208),"Date hors ordre","OK"))))))))</f>
        <v/>
      </c>
      <c r="M2209" s="39" t="str">
        <f>IF(C2209="","",C2209&amp;"#"&amp;COUNTIF($C$5:C2209,C2209))</f>
        <v/>
      </c>
    </row>
    <row r="2210">
      <c r="A2210" s="41" t="n"/>
      <c r="B2210" s="37" t="n"/>
      <c r="C2210" s="37" t="n"/>
      <c r="D2210" s="39" t="str">
        <f>IF(C2210="","",IFERROR(INDEX(art_des,MATCH(C2210,art_ref,0))&amp;"","Référence inconnue"))</f>
        <v/>
      </c>
      <c r="E2210" s="37" t="n"/>
      <c r="F2210" s="39" t="str">
        <f>IF(C2210="","",IFERROR(INDEX(art_unit,MATCH(C2210,art_ref,0))&amp;"",""))</f>
        <v/>
      </c>
      <c r="G2210" s="37" t="n"/>
      <c r="H2210" s="37" t="n"/>
      <c r="I2210" s="37" t="n"/>
      <c r="J2210" s="40" t="str">
        <f>IF(OR(C2210="",NOT(ISNUMBER(E2210))),"",IFERROR(E2210*N(INDEX(art_price,MATCH(C2210,art_ref,0))),""))</f>
        <v/>
      </c>
      <c r="K2210" s="39" t="str">
        <f>IF(OR(C2210="",NOT(ISNUMBER(E2210))),"",IFERROR(ROUND(N(INDEX(art_init,MATCH(C2210,art_ref,0)))+SUMIFS($E$5:E2210,$C$5:C2210,C2210,$B$5:B2210,"Entrée")-SUMIFS($E$5:E2210,$C$5:C2210,C2210,$B$5:B2210,"Sortie"),6),""))</f>
        <v/>
      </c>
      <c r="L2210" s="39" t="str">
        <f>IF(COUNTA(A2210:C2210,E2210)=0,"",IF(COUNTA(A2210:C2210,E2210)&lt;4,"Ligne incomplète",IF(NOT(ISNUMBER(A2210)),"Date invalide",IF(AND(B2210&lt;&gt;"Entrée",B2210&lt;&gt;"Sortie"),"Type inconnu",IF(ISNA(MATCH(C2210,art_ref,0)),"Référence inconnue",IF(OR(NOT(ISNUMBER(E2210)),N(E2210)&lt;=0),"Quantité invalide",IF(K2210&lt;0,"Stock négatif",IF(AND(ISNUMBER(A2209),A2210&lt;A2209),"Date hors ordre","OK"))))))))</f>
        <v/>
      </c>
      <c r="M2210" s="39" t="str">
        <f>IF(C2210="","",C2210&amp;"#"&amp;COUNTIF($C$5:C2210,C2210))</f>
        <v/>
      </c>
    </row>
    <row r="2211">
      <c r="A2211" s="41" t="n"/>
      <c r="B2211" s="37" t="n"/>
      <c r="C2211" s="37" t="n"/>
      <c r="D2211" s="39" t="str">
        <f>IF(C2211="","",IFERROR(INDEX(art_des,MATCH(C2211,art_ref,0))&amp;"","Référence inconnue"))</f>
        <v/>
      </c>
      <c r="E2211" s="37" t="n"/>
      <c r="F2211" s="39" t="str">
        <f>IF(C2211="","",IFERROR(INDEX(art_unit,MATCH(C2211,art_ref,0))&amp;"",""))</f>
        <v/>
      </c>
      <c r="G2211" s="37" t="n"/>
      <c r="H2211" s="37" t="n"/>
      <c r="I2211" s="37" t="n"/>
      <c r="J2211" s="40" t="str">
        <f>IF(OR(C2211="",NOT(ISNUMBER(E2211))),"",IFERROR(E2211*N(INDEX(art_price,MATCH(C2211,art_ref,0))),""))</f>
        <v/>
      </c>
      <c r="K2211" s="39" t="str">
        <f>IF(OR(C2211="",NOT(ISNUMBER(E2211))),"",IFERROR(ROUND(N(INDEX(art_init,MATCH(C2211,art_ref,0)))+SUMIFS($E$5:E2211,$C$5:C2211,C2211,$B$5:B2211,"Entrée")-SUMIFS($E$5:E2211,$C$5:C2211,C2211,$B$5:B2211,"Sortie"),6),""))</f>
        <v/>
      </c>
      <c r="L2211" s="39" t="str">
        <f>IF(COUNTA(A2211:C2211,E2211)=0,"",IF(COUNTA(A2211:C2211,E2211)&lt;4,"Ligne incomplète",IF(NOT(ISNUMBER(A2211)),"Date invalide",IF(AND(B2211&lt;&gt;"Entrée",B2211&lt;&gt;"Sortie"),"Type inconnu",IF(ISNA(MATCH(C2211,art_ref,0)),"Référence inconnue",IF(OR(NOT(ISNUMBER(E2211)),N(E2211)&lt;=0),"Quantité invalide",IF(K2211&lt;0,"Stock négatif",IF(AND(ISNUMBER(A2210),A2211&lt;A2210),"Date hors ordre","OK"))))))))</f>
        <v/>
      </c>
      <c r="M2211" s="39" t="str">
        <f>IF(C2211="","",C2211&amp;"#"&amp;COUNTIF($C$5:C2211,C2211))</f>
        <v/>
      </c>
    </row>
    <row r="2212">
      <c r="A2212" s="41" t="n"/>
      <c r="B2212" s="37" t="n"/>
      <c r="C2212" s="37" t="n"/>
      <c r="D2212" s="39" t="str">
        <f>IF(C2212="","",IFERROR(INDEX(art_des,MATCH(C2212,art_ref,0))&amp;"","Référence inconnue"))</f>
        <v/>
      </c>
      <c r="E2212" s="37" t="n"/>
      <c r="F2212" s="39" t="str">
        <f>IF(C2212="","",IFERROR(INDEX(art_unit,MATCH(C2212,art_ref,0))&amp;"",""))</f>
        <v/>
      </c>
      <c r="G2212" s="37" t="n"/>
      <c r="H2212" s="37" t="n"/>
      <c r="I2212" s="37" t="n"/>
      <c r="J2212" s="40" t="str">
        <f>IF(OR(C2212="",NOT(ISNUMBER(E2212))),"",IFERROR(E2212*N(INDEX(art_price,MATCH(C2212,art_ref,0))),""))</f>
        <v/>
      </c>
      <c r="K2212" s="39" t="str">
        <f>IF(OR(C2212="",NOT(ISNUMBER(E2212))),"",IFERROR(ROUND(N(INDEX(art_init,MATCH(C2212,art_ref,0)))+SUMIFS($E$5:E2212,$C$5:C2212,C2212,$B$5:B2212,"Entrée")-SUMIFS($E$5:E2212,$C$5:C2212,C2212,$B$5:B2212,"Sortie"),6),""))</f>
        <v/>
      </c>
      <c r="L2212" s="39" t="str">
        <f>IF(COUNTA(A2212:C2212,E2212)=0,"",IF(COUNTA(A2212:C2212,E2212)&lt;4,"Ligne incomplète",IF(NOT(ISNUMBER(A2212)),"Date invalide",IF(AND(B2212&lt;&gt;"Entrée",B2212&lt;&gt;"Sortie"),"Type inconnu",IF(ISNA(MATCH(C2212,art_ref,0)),"Référence inconnue",IF(OR(NOT(ISNUMBER(E2212)),N(E2212)&lt;=0),"Quantité invalide",IF(K2212&lt;0,"Stock négatif",IF(AND(ISNUMBER(A2211),A2212&lt;A2211),"Date hors ordre","OK"))))))))</f>
        <v/>
      </c>
      <c r="M2212" s="39" t="str">
        <f>IF(C2212="","",C2212&amp;"#"&amp;COUNTIF($C$5:C2212,C2212))</f>
        <v/>
      </c>
    </row>
    <row r="2213">
      <c r="A2213" s="41" t="n"/>
      <c r="B2213" s="37" t="n"/>
      <c r="C2213" s="37" t="n"/>
      <c r="D2213" s="39" t="str">
        <f>IF(C2213="","",IFERROR(INDEX(art_des,MATCH(C2213,art_ref,0))&amp;"","Référence inconnue"))</f>
        <v/>
      </c>
      <c r="E2213" s="37" t="n"/>
      <c r="F2213" s="39" t="str">
        <f>IF(C2213="","",IFERROR(INDEX(art_unit,MATCH(C2213,art_ref,0))&amp;"",""))</f>
        <v/>
      </c>
      <c r="G2213" s="37" t="n"/>
      <c r="H2213" s="37" t="n"/>
      <c r="I2213" s="37" t="n"/>
      <c r="J2213" s="40" t="str">
        <f>IF(OR(C2213="",NOT(ISNUMBER(E2213))),"",IFERROR(E2213*N(INDEX(art_price,MATCH(C2213,art_ref,0))),""))</f>
        <v/>
      </c>
      <c r="K2213" s="39" t="str">
        <f>IF(OR(C2213="",NOT(ISNUMBER(E2213))),"",IFERROR(ROUND(N(INDEX(art_init,MATCH(C2213,art_ref,0)))+SUMIFS($E$5:E2213,$C$5:C2213,C2213,$B$5:B2213,"Entrée")-SUMIFS($E$5:E2213,$C$5:C2213,C2213,$B$5:B2213,"Sortie"),6),""))</f>
        <v/>
      </c>
      <c r="L2213" s="39" t="str">
        <f>IF(COUNTA(A2213:C2213,E2213)=0,"",IF(COUNTA(A2213:C2213,E2213)&lt;4,"Ligne incomplète",IF(NOT(ISNUMBER(A2213)),"Date invalide",IF(AND(B2213&lt;&gt;"Entrée",B2213&lt;&gt;"Sortie"),"Type inconnu",IF(ISNA(MATCH(C2213,art_ref,0)),"Référence inconnue",IF(OR(NOT(ISNUMBER(E2213)),N(E2213)&lt;=0),"Quantité invalide",IF(K2213&lt;0,"Stock négatif",IF(AND(ISNUMBER(A2212),A2213&lt;A2212),"Date hors ordre","OK"))))))))</f>
        <v/>
      </c>
      <c r="M2213" s="39" t="str">
        <f>IF(C2213="","",C2213&amp;"#"&amp;COUNTIF($C$5:C2213,C2213))</f>
        <v/>
      </c>
    </row>
    <row r="2214">
      <c r="A2214" s="41" t="n"/>
      <c r="B2214" s="37" t="n"/>
      <c r="C2214" s="37" t="n"/>
      <c r="D2214" s="39" t="str">
        <f>IF(C2214="","",IFERROR(INDEX(art_des,MATCH(C2214,art_ref,0))&amp;"","Référence inconnue"))</f>
        <v/>
      </c>
      <c r="E2214" s="37" t="n"/>
      <c r="F2214" s="39" t="str">
        <f>IF(C2214="","",IFERROR(INDEX(art_unit,MATCH(C2214,art_ref,0))&amp;"",""))</f>
        <v/>
      </c>
      <c r="G2214" s="37" t="n"/>
      <c r="H2214" s="37" t="n"/>
      <c r="I2214" s="37" t="n"/>
      <c r="J2214" s="40" t="str">
        <f>IF(OR(C2214="",NOT(ISNUMBER(E2214))),"",IFERROR(E2214*N(INDEX(art_price,MATCH(C2214,art_ref,0))),""))</f>
        <v/>
      </c>
      <c r="K2214" s="39" t="str">
        <f>IF(OR(C2214="",NOT(ISNUMBER(E2214))),"",IFERROR(ROUND(N(INDEX(art_init,MATCH(C2214,art_ref,0)))+SUMIFS($E$5:E2214,$C$5:C2214,C2214,$B$5:B2214,"Entrée")-SUMIFS($E$5:E2214,$C$5:C2214,C2214,$B$5:B2214,"Sortie"),6),""))</f>
        <v/>
      </c>
      <c r="L2214" s="39" t="str">
        <f>IF(COUNTA(A2214:C2214,E2214)=0,"",IF(COUNTA(A2214:C2214,E2214)&lt;4,"Ligne incomplète",IF(NOT(ISNUMBER(A2214)),"Date invalide",IF(AND(B2214&lt;&gt;"Entrée",B2214&lt;&gt;"Sortie"),"Type inconnu",IF(ISNA(MATCH(C2214,art_ref,0)),"Référence inconnue",IF(OR(NOT(ISNUMBER(E2214)),N(E2214)&lt;=0),"Quantité invalide",IF(K2214&lt;0,"Stock négatif",IF(AND(ISNUMBER(A2213),A2214&lt;A2213),"Date hors ordre","OK"))))))))</f>
        <v/>
      </c>
      <c r="M2214" s="39" t="str">
        <f>IF(C2214="","",C2214&amp;"#"&amp;COUNTIF($C$5:C2214,C2214))</f>
        <v/>
      </c>
    </row>
    <row r="2215">
      <c r="A2215" s="41" t="n"/>
      <c r="B2215" s="37" t="n"/>
      <c r="C2215" s="37" t="n"/>
      <c r="D2215" s="39" t="str">
        <f>IF(C2215="","",IFERROR(INDEX(art_des,MATCH(C2215,art_ref,0))&amp;"","Référence inconnue"))</f>
        <v/>
      </c>
      <c r="E2215" s="37" t="n"/>
      <c r="F2215" s="39" t="str">
        <f>IF(C2215="","",IFERROR(INDEX(art_unit,MATCH(C2215,art_ref,0))&amp;"",""))</f>
        <v/>
      </c>
      <c r="G2215" s="37" t="n"/>
      <c r="H2215" s="37" t="n"/>
      <c r="I2215" s="37" t="n"/>
      <c r="J2215" s="40" t="str">
        <f>IF(OR(C2215="",NOT(ISNUMBER(E2215))),"",IFERROR(E2215*N(INDEX(art_price,MATCH(C2215,art_ref,0))),""))</f>
        <v/>
      </c>
      <c r="K2215" s="39" t="str">
        <f>IF(OR(C2215="",NOT(ISNUMBER(E2215))),"",IFERROR(ROUND(N(INDEX(art_init,MATCH(C2215,art_ref,0)))+SUMIFS($E$5:E2215,$C$5:C2215,C2215,$B$5:B2215,"Entrée")-SUMIFS($E$5:E2215,$C$5:C2215,C2215,$B$5:B2215,"Sortie"),6),""))</f>
        <v/>
      </c>
      <c r="L2215" s="39" t="str">
        <f>IF(COUNTA(A2215:C2215,E2215)=0,"",IF(COUNTA(A2215:C2215,E2215)&lt;4,"Ligne incomplète",IF(NOT(ISNUMBER(A2215)),"Date invalide",IF(AND(B2215&lt;&gt;"Entrée",B2215&lt;&gt;"Sortie"),"Type inconnu",IF(ISNA(MATCH(C2215,art_ref,0)),"Référence inconnue",IF(OR(NOT(ISNUMBER(E2215)),N(E2215)&lt;=0),"Quantité invalide",IF(K2215&lt;0,"Stock négatif",IF(AND(ISNUMBER(A2214),A2215&lt;A2214),"Date hors ordre","OK"))))))))</f>
        <v/>
      </c>
      <c r="M2215" s="39" t="str">
        <f>IF(C2215="","",C2215&amp;"#"&amp;COUNTIF($C$5:C2215,C2215))</f>
        <v/>
      </c>
    </row>
    <row r="2216">
      <c r="A2216" s="41" t="n"/>
      <c r="B2216" s="37" t="n"/>
      <c r="C2216" s="37" t="n"/>
      <c r="D2216" s="39" t="str">
        <f>IF(C2216="","",IFERROR(INDEX(art_des,MATCH(C2216,art_ref,0))&amp;"","Référence inconnue"))</f>
        <v/>
      </c>
      <c r="E2216" s="37" t="n"/>
      <c r="F2216" s="39" t="str">
        <f>IF(C2216="","",IFERROR(INDEX(art_unit,MATCH(C2216,art_ref,0))&amp;"",""))</f>
        <v/>
      </c>
      <c r="G2216" s="37" t="n"/>
      <c r="H2216" s="37" t="n"/>
      <c r="I2216" s="37" t="n"/>
      <c r="J2216" s="40" t="str">
        <f>IF(OR(C2216="",NOT(ISNUMBER(E2216))),"",IFERROR(E2216*N(INDEX(art_price,MATCH(C2216,art_ref,0))),""))</f>
        <v/>
      </c>
      <c r="K2216" s="39" t="str">
        <f>IF(OR(C2216="",NOT(ISNUMBER(E2216))),"",IFERROR(ROUND(N(INDEX(art_init,MATCH(C2216,art_ref,0)))+SUMIFS($E$5:E2216,$C$5:C2216,C2216,$B$5:B2216,"Entrée")-SUMIFS($E$5:E2216,$C$5:C2216,C2216,$B$5:B2216,"Sortie"),6),""))</f>
        <v/>
      </c>
      <c r="L2216" s="39" t="str">
        <f>IF(COUNTA(A2216:C2216,E2216)=0,"",IF(COUNTA(A2216:C2216,E2216)&lt;4,"Ligne incomplète",IF(NOT(ISNUMBER(A2216)),"Date invalide",IF(AND(B2216&lt;&gt;"Entrée",B2216&lt;&gt;"Sortie"),"Type inconnu",IF(ISNA(MATCH(C2216,art_ref,0)),"Référence inconnue",IF(OR(NOT(ISNUMBER(E2216)),N(E2216)&lt;=0),"Quantité invalide",IF(K2216&lt;0,"Stock négatif",IF(AND(ISNUMBER(A2215),A2216&lt;A2215),"Date hors ordre","OK"))))))))</f>
        <v/>
      </c>
      <c r="M2216" s="39" t="str">
        <f>IF(C2216="","",C2216&amp;"#"&amp;COUNTIF($C$5:C2216,C2216))</f>
        <v/>
      </c>
    </row>
    <row r="2217">
      <c r="A2217" s="41" t="n"/>
      <c r="B2217" s="37" t="n"/>
      <c r="C2217" s="37" t="n"/>
      <c r="D2217" s="39" t="str">
        <f>IF(C2217="","",IFERROR(INDEX(art_des,MATCH(C2217,art_ref,0))&amp;"","Référence inconnue"))</f>
        <v/>
      </c>
      <c r="E2217" s="37" t="n"/>
      <c r="F2217" s="39" t="str">
        <f>IF(C2217="","",IFERROR(INDEX(art_unit,MATCH(C2217,art_ref,0))&amp;"",""))</f>
        <v/>
      </c>
      <c r="G2217" s="37" t="n"/>
      <c r="H2217" s="37" t="n"/>
      <c r="I2217" s="37" t="n"/>
      <c r="J2217" s="40" t="str">
        <f>IF(OR(C2217="",NOT(ISNUMBER(E2217))),"",IFERROR(E2217*N(INDEX(art_price,MATCH(C2217,art_ref,0))),""))</f>
        <v/>
      </c>
      <c r="K2217" s="39" t="str">
        <f>IF(OR(C2217="",NOT(ISNUMBER(E2217))),"",IFERROR(ROUND(N(INDEX(art_init,MATCH(C2217,art_ref,0)))+SUMIFS($E$5:E2217,$C$5:C2217,C2217,$B$5:B2217,"Entrée")-SUMIFS($E$5:E2217,$C$5:C2217,C2217,$B$5:B2217,"Sortie"),6),""))</f>
        <v/>
      </c>
      <c r="L2217" s="39" t="str">
        <f>IF(COUNTA(A2217:C2217,E2217)=0,"",IF(COUNTA(A2217:C2217,E2217)&lt;4,"Ligne incomplète",IF(NOT(ISNUMBER(A2217)),"Date invalide",IF(AND(B2217&lt;&gt;"Entrée",B2217&lt;&gt;"Sortie"),"Type inconnu",IF(ISNA(MATCH(C2217,art_ref,0)),"Référence inconnue",IF(OR(NOT(ISNUMBER(E2217)),N(E2217)&lt;=0),"Quantité invalide",IF(K2217&lt;0,"Stock négatif",IF(AND(ISNUMBER(A2216),A2217&lt;A2216),"Date hors ordre","OK"))))))))</f>
        <v/>
      </c>
      <c r="M2217" s="39" t="str">
        <f>IF(C2217="","",C2217&amp;"#"&amp;COUNTIF($C$5:C2217,C2217))</f>
        <v/>
      </c>
    </row>
    <row r="2218">
      <c r="A2218" s="41" t="n"/>
      <c r="B2218" s="37" t="n"/>
      <c r="C2218" s="37" t="n"/>
      <c r="D2218" s="39" t="str">
        <f>IF(C2218="","",IFERROR(INDEX(art_des,MATCH(C2218,art_ref,0))&amp;"","Référence inconnue"))</f>
        <v/>
      </c>
      <c r="E2218" s="37" t="n"/>
      <c r="F2218" s="39" t="str">
        <f>IF(C2218="","",IFERROR(INDEX(art_unit,MATCH(C2218,art_ref,0))&amp;"",""))</f>
        <v/>
      </c>
      <c r="G2218" s="37" t="n"/>
      <c r="H2218" s="37" t="n"/>
      <c r="I2218" s="37" t="n"/>
      <c r="J2218" s="40" t="str">
        <f>IF(OR(C2218="",NOT(ISNUMBER(E2218))),"",IFERROR(E2218*N(INDEX(art_price,MATCH(C2218,art_ref,0))),""))</f>
        <v/>
      </c>
      <c r="K2218" s="39" t="str">
        <f>IF(OR(C2218="",NOT(ISNUMBER(E2218))),"",IFERROR(ROUND(N(INDEX(art_init,MATCH(C2218,art_ref,0)))+SUMIFS($E$5:E2218,$C$5:C2218,C2218,$B$5:B2218,"Entrée")-SUMIFS($E$5:E2218,$C$5:C2218,C2218,$B$5:B2218,"Sortie"),6),""))</f>
        <v/>
      </c>
      <c r="L2218" s="39" t="str">
        <f>IF(COUNTA(A2218:C2218,E2218)=0,"",IF(COUNTA(A2218:C2218,E2218)&lt;4,"Ligne incomplète",IF(NOT(ISNUMBER(A2218)),"Date invalide",IF(AND(B2218&lt;&gt;"Entrée",B2218&lt;&gt;"Sortie"),"Type inconnu",IF(ISNA(MATCH(C2218,art_ref,0)),"Référence inconnue",IF(OR(NOT(ISNUMBER(E2218)),N(E2218)&lt;=0),"Quantité invalide",IF(K2218&lt;0,"Stock négatif",IF(AND(ISNUMBER(A2217),A2218&lt;A2217),"Date hors ordre","OK"))))))))</f>
        <v/>
      </c>
      <c r="M2218" s="39" t="str">
        <f>IF(C2218="","",C2218&amp;"#"&amp;COUNTIF($C$5:C2218,C2218))</f>
        <v/>
      </c>
    </row>
    <row r="2219">
      <c r="A2219" s="41" t="n"/>
      <c r="B2219" s="37" t="n"/>
      <c r="C2219" s="37" t="n"/>
      <c r="D2219" s="39" t="str">
        <f>IF(C2219="","",IFERROR(INDEX(art_des,MATCH(C2219,art_ref,0))&amp;"","Référence inconnue"))</f>
        <v/>
      </c>
      <c r="E2219" s="37" t="n"/>
      <c r="F2219" s="39" t="str">
        <f>IF(C2219="","",IFERROR(INDEX(art_unit,MATCH(C2219,art_ref,0))&amp;"",""))</f>
        <v/>
      </c>
      <c r="G2219" s="37" t="n"/>
      <c r="H2219" s="37" t="n"/>
      <c r="I2219" s="37" t="n"/>
      <c r="J2219" s="40" t="str">
        <f>IF(OR(C2219="",NOT(ISNUMBER(E2219))),"",IFERROR(E2219*N(INDEX(art_price,MATCH(C2219,art_ref,0))),""))</f>
        <v/>
      </c>
      <c r="K2219" s="39" t="str">
        <f>IF(OR(C2219="",NOT(ISNUMBER(E2219))),"",IFERROR(ROUND(N(INDEX(art_init,MATCH(C2219,art_ref,0)))+SUMIFS($E$5:E2219,$C$5:C2219,C2219,$B$5:B2219,"Entrée")-SUMIFS($E$5:E2219,$C$5:C2219,C2219,$B$5:B2219,"Sortie"),6),""))</f>
        <v/>
      </c>
      <c r="L2219" s="39" t="str">
        <f>IF(COUNTA(A2219:C2219,E2219)=0,"",IF(COUNTA(A2219:C2219,E2219)&lt;4,"Ligne incomplète",IF(NOT(ISNUMBER(A2219)),"Date invalide",IF(AND(B2219&lt;&gt;"Entrée",B2219&lt;&gt;"Sortie"),"Type inconnu",IF(ISNA(MATCH(C2219,art_ref,0)),"Référence inconnue",IF(OR(NOT(ISNUMBER(E2219)),N(E2219)&lt;=0),"Quantité invalide",IF(K2219&lt;0,"Stock négatif",IF(AND(ISNUMBER(A2218),A2219&lt;A2218),"Date hors ordre","OK"))))))))</f>
        <v/>
      </c>
      <c r="M2219" s="39" t="str">
        <f>IF(C2219="","",C2219&amp;"#"&amp;COUNTIF($C$5:C2219,C2219))</f>
        <v/>
      </c>
    </row>
    <row r="2220">
      <c r="A2220" s="41" t="n"/>
      <c r="B2220" s="37" t="n"/>
      <c r="C2220" s="37" t="n"/>
      <c r="D2220" s="39" t="str">
        <f>IF(C2220="","",IFERROR(INDEX(art_des,MATCH(C2220,art_ref,0))&amp;"","Référence inconnue"))</f>
        <v/>
      </c>
      <c r="E2220" s="37" t="n"/>
      <c r="F2220" s="39" t="str">
        <f>IF(C2220="","",IFERROR(INDEX(art_unit,MATCH(C2220,art_ref,0))&amp;"",""))</f>
        <v/>
      </c>
      <c r="G2220" s="37" t="n"/>
      <c r="H2220" s="37" t="n"/>
      <c r="I2220" s="37" t="n"/>
      <c r="J2220" s="40" t="str">
        <f>IF(OR(C2220="",NOT(ISNUMBER(E2220))),"",IFERROR(E2220*N(INDEX(art_price,MATCH(C2220,art_ref,0))),""))</f>
        <v/>
      </c>
      <c r="K2220" s="39" t="str">
        <f>IF(OR(C2220="",NOT(ISNUMBER(E2220))),"",IFERROR(ROUND(N(INDEX(art_init,MATCH(C2220,art_ref,0)))+SUMIFS($E$5:E2220,$C$5:C2220,C2220,$B$5:B2220,"Entrée")-SUMIFS($E$5:E2220,$C$5:C2220,C2220,$B$5:B2220,"Sortie"),6),""))</f>
        <v/>
      </c>
      <c r="L2220" s="39" t="str">
        <f>IF(COUNTA(A2220:C2220,E2220)=0,"",IF(COUNTA(A2220:C2220,E2220)&lt;4,"Ligne incomplète",IF(NOT(ISNUMBER(A2220)),"Date invalide",IF(AND(B2220&lt;&gt;"Entrée",B2220&lt;&gt;"Sortie"),"Type inconnu",IF(ISNA(MATCH(C2220,art_ref,0)),"Référence inconnue",IF(OR(NOT(ISNUMBER(E2220)),N(E2220)&lt;=0),"Quantité invalide",IF(K2220&lt;0,"Stock négatif",IF(AND(ISNUMBER(A2219),A2220&lt;A2219),"Date hors ordre","OK"))))))))</f>
        <v/>
      </c>
      <c r="M2220" s="39" t="str">
        <f>IF(C2220="","",C2220&amp;"#"&amp;COUNTIF($C$5:C2220,C2220))</f>
        <v/>
      </c>
    </row>
    <row r="2221">
      <c r="A2221" s="41" t="n"/>
      <c r="B2221" s="37" t="n"/>
      <c r="C2221" s="37" t="n"/>
      <c r="D2221" s="39" t="str">
        <f>IF(C2221="","",IFERROR(INDEX(art_des,MATCH(C2221,art_ref,0))&amp;"","Référence inconnue"))</f>
        <v/>
      </c>
      <c r="E2221" s="37" t="n"/>
      <c r="F2221" s="39" t="str">
        <f>IF(C2221="","",IFERROR(INDEX(art_unit,MATCH(C2221,art_ref,0))&amp;"",""))</f>
        <v/>
      </c>
      <c r="G2221" s="37" t="n"/>
      <c r="H2221" s="37" t="n"/>
      <c r="I2221" s="37" t="n"/>
      <c r="J2221" s="40" t="str">
        <f>IF(OR(C2221="",NOT(ISNUMBER(E2221))),"",IFERROR(E2221*N(INDEX(art_price,MATCH(C2221,art_ref,0))),""))</f>
        <v/>
      </c>
      <c r="K2221" s="39" t="str">
        <f>IF(OR(C2221="",NOT(ISNUMBER(E2221))),"",IFERROR(ROUND(N(INDEX(art_init,MATCH(C2221,art_ref,0)))+SUMIFS($E$5:E2221,$C$5:C2221,C2221,$B$5:B2221,"Entrée")-SUMIFS($E$5:E2221,$C$5:C2221,C2221,$B$5:B2221,"Sortie"),6),""))</f>
        <v/>
      </c>
      <c r="L2221" s="39" t="str">
        <f>IF(COUNTA(A2221:C2221,E2221)=0,"",IF(COUNTA(A2221:C2221,E2221)&lt;4,"Ligne incomplète",IF(NOT(ISNUMBER(A2221)),"Date invalide",IF(AND(B2221&lt;&gt;"Entrée",B2221&lt;&gt;"Sortie"),"Type inconnu",IF(ISNA(MATCH(C2221,art_ref,0)),"Référence inconnue",IF(OR(NOT(ISNUMBER(E2221)),N(E2221)&lt;=0),"Quantité invalide",IF(K2221&lt;0,"Stock négatif",IF(AND(ISNUMBER(A2220),A2221&lt;A2220),"Date hors ordre","OK"))))))))</f>
        <v/>
      </c>
      <c r="M2221" s="39" t="str">
        <f>IF(C2221="","",C2221&amp;"#"&amp;COUNTIF($C$5:C2221,C2221))</f>
        <v/>
      </c>
    </row>
    <row r="2222">
      <c r="A2222" s="41" t="n"/>
      <c r="B2222" s="37" t="n"/>
      <c r="C2222" s="37" t="n"/>
      <c r="D2222" s="39" t="str">
        <f>IF(C2222="","",IFERROR(INDEX(art_des,MATCH(C2222,art_ref,0))&amp;"","Référence inconnue"))</f>
        <v/>
      </c>
      <c r="E2222" s="37" t="n"/>
      <c r="F2222" s="39" t="str">
        <f>IF(C2222="","",IFERROR(INDEX(art_unit,MATCH(C2222,art_ref,0))&amp;"",""))</f>
        <v/>
      </c>
      <c r="G2222" s="37" t="n"/>
      <c r="H2222" s="37" t="n"/>
      <c r="I2222" s="37" t="n"/>
      <c r="J2222" s="40" t="str">
        <f>IF(OR(C2222="",NOT(ISNUMBER(E2222))),"",IFERROR(E2222*N(INDEX(art_price,MATCH(C2222,art_ref,0))),""))</f>
        <v/>
      </c>
      <c r="K2222" s="39" t="str">
        <f>IF(OR(C2222="",NOT(ISNUMBER(E2222))),"",IFERROR(ROUND(N(INDEX(art_init,MATCH(C2222,art_ref,0)))+SUMIFS($E$5:E2222,$C$5:C2222,C2222,$B$5:B2222,"Entrée")-SUMIFS($E$5:E2222,$C$5:C2222,C2222,$B$5:B2222,"Sortie"),6),""))</f>
        <v/>
      </c>
      <c r="L2222" s="39" t="str">
        <f>IF(COUNTA(A2222:C2222,E2222)=0,"",IF(COUNTA(A2222:C2222,E2222)&lt;4,"Ligne incomplète",IF(NOT(ISNUMBER(A2222)),"Date invalide",IF(AND(B2222&lt;&gt;"Entrée",B2222&lt;&gt;"Sortie"),"Type inconnu",IF(ISNA(MATCH(C2222,art_ref,0)),"Référence inconnue",IF(OR(NOT(ISNUMBER(E2222)),N(E2222)&lt;=0),"Quantité invalide",IF(K2222&lt;0,"Stock négatif",IF(AND(ISNUMBER(A2221),A2222&lt;A2221),"Date hors ordre","OK"))))))))</f>
        <v/>
      </c>
      <c r="M2222" s="39" t="str">
        <f>IF(C2222="","",C2222&amp;"#"&amp;COUNTIF($C$5:C2222,C2222))</f>
        <v/>
      </c>
    </row>
    <row r="2223">
      <c r="A2223" s="41" t="n"/>
      <c r="B2223" s="37" t="n"/>
      <c r="C2223" s="37" t="n"/>
      <c r="D2223" s="39" t="str">
        <f>IF(C2223="","",IFERROR(INDEX(art_des,MATCH(C2223,art_ref,0))&amp;"","Référence inconnue"))</f>
        <v/>
      </c>
      <c r="E2223" s="37" t="n"/>
      <c r="F2223" s="39" t="str">
        <f>IF(C2223="","",IFERROR(INDEX(art_unit,MATCH(C2223,art_ref,0))&amp;"",""))</f>
        <v/>
      </c>
      <c r="G2223" s="37" t="n"/>
      <c r="H2223" s="37" t="n"/>
      <c r="I2223" s="37" t="n"/>
      <c r="J2223" s="40" t="str">
        <f>IF(OR(C2223="",NOT(ISNUMBER(E2223))),"",IFERROR(E2223*N(INDEX(art_price,MATCH(C2223,art_ref,0))),""))</f>
        <v/>
      </c>
      <c r="K2223" s="39" t="str">
        <f>IF(OR(C2223="",NOT(ISNUMBER(E2223))),"",IFERROR(ROUND(N(INDEX(art_init,MATCH(C2223,art_ref,0)))+SUMIFS($E$5:E2223,$C$5:C2223,C2223,$B$5:B2223,"Entrée")-SUMIFS($E$5:E2223,$C$5:C2223,C2223,$B$5:B2223,"Sortie"),6),""))</f>
        <v/>
      </c>
      <c r="L2223" s="39" t="str">
        <f>IF(COUNTA(A2223:C2223,E2223)=0,"",IF(COUNTA(A2223:C2223,E2223)&lt;4,"Ligne incomplète",IF(NOT(ISNUMBER(A2223)),"Date invalide",IF(AND(B2223&lt;&gt;"Entrée",B2223&lt;&gt;"Sortie"),"Type inconnu",IF(ISNA(MATCH(C2223,art_ref,0)),"Référence inconnue",IF(OR(NOT(ISNUMBER(E2223)),N(E2223)&lt;=0),"Quantité invalide",IF(K2223&lt;0,"Stock négatif",IF(AND(ISNUMBER(A2222),A2223&lt;A2222),"Date hors ordre","OK"))))))))</f>
        <v/>
      </c>
      <c r="M2223" s="39" t="str">
        <f>IF(C2223="","",C2223&amp;"#"&amp;COUNTIF($C$5:C2223,C2223))</f>
        <v/>
      </c>
    </row>
    <row r="2224">
      <c r="A2224" s="41" t="n"/>
      <c r="B2224" s="37" t="n"/>
      <c r="C2224" s="37" t="n"/>
      <c r="D2224" s="39" t="str">
        <f>IF(C2224="","",IFERROR(INDEX(art_des,MATCH(C2224,art_ref,0))&amp;"","Référence inconnue"))</f>
        <v/>
      </c>
      <c r="E2224" s="37" t="n"/>
      <c r="F2224" s="39" t="str">
        <f>IF(C2224="","",IFERROR(INDEX(art_unit,MATCH(C2224,art_ref,0))&amp;"",""))</f>
        <v/>
      </c>
      <c r="G2224" s="37" t="n"/>
      <c r="H2224" s="37" t="n"/>
      <c r="I2224" s="37" t="n"/>
      <c r="J2224" s="40" t="str">
        <f>IF(OR(C2224="",NOT(ISNUMBER(E2224))),"",IFERROR(E2224*N(INDEX(art_price,MATCH(C2224,art_ref,0))),""))</f>
        <v/>
      </c>
      <c r="K2224" s="39" t="str">
        <f>IF(OR(C2224="",NOT(ISNUMBER(E2224))),"",IFERROR(ROUND(N(INDEX(art_init,MATCH(C2224,art_ref,0)))+SUMIFS($E$5:E2224,$C$5:C2224,C2224,$B$5:B2224,"Entrée")-SUMIFS($E$5:E2224,$C$5:C2224,C2224,$B$5:B2224,"Sortie"),6),""))</f>
        <v/>
      </c>
      <c r="L2224" s="39" t="str">
        <f>IF(COUNTA(A2224:C2224,E2224)=0,"",IF(COUNTA(A2224:C2224,E2224)&lt;4,"Ligne incomplète",IF(NOT(ISNUMBER(A2224)),"Date invalide",IF(AND(B2224&lt;&gt;"Entrée",B2224&lt;&gt;"Sortie"),"Type inconnu",IF(ISNA(MATCH(C2224,art_ref,0)),"Référence inconnue",IF(OR(NOT(ISNUMBER(E2224)),N(E2224)&lt;=0),"Quantité invalide",IF(K2224&lt;0,"Stock négatif",IF(AND(ISNUMBER(A2223),A2224&lt;A2223),"Date hors ordre","OK"))))))))</f>
        <v/>
      </c>
      <c r="M2224" s="39" t="str">
        <f>IF(C2224="","",C2224&amp;"#"&amp;COUNTIF($C$5:C2224,C2224))</f>
        <v/>
      </c>
    </row>
    <row r="2225">
      <c r="A2225" s="41" t="n"/>
      <c r="B2225" s="37" t="n"/>
      <c r="C2225" s="37" t="n"/>
      <c r="D2225" s="39" t="str">
        <f>IF(C2225="","",IFERROR(INDEX(art_des,MATCH(C2225,art_ref,0))&amp;"","Référence inconnue"))</f>
        <v/>
      </c>
      <c r="E2225" s="37" t="n"/>
      <c r="F2225" s="39" t="str">
        <f>IF(C2225="","",IFERROR(INDEX(art_unit,MATCH(C2225,art_ref,0))&amp;"",""))</f>
        <v/>
      </c>
      <c r="G2225" s="37" t="n"/>
      <c r="H2225" s="37" t="n"/>
      <c r="I2225" s="37" t="n"/>
      <c r="J2225" s="40" t="str">
        <f>IF(OR(C2225="",NOT(ISNUMBER(E2225))),"",IFERROR(E2225*N(INDEX(art_price,MATCH(C2225,art_ref,0))),""))</f>
        <v/>
      </c>
      <c r="K2225" s="39" t="str">
        <f>IF(OR(C2225="",NOT(ISNUMBER(E2225))),"",IFERROR(ROUND(N(INDEX(art_init,MATCH(C2225,art_ref,0)))+SUMIFS($E$5:E2225,$C$5:C2225,C2225,$B$5:B2225,"Entrée")-SUMIFS($E$5:E2225,$C$5:C2225,C2225,$B$5:B2225,"Sortie"),6),""))</f>
        <v/>
      </c>
      <c r="L2225" s="39" t="str">
        <f>IF(COUNTA(A2225:C2225,E2225)=0,"",IF(COUNTA(A2225:C2225,E2225)&lt;4,"Ligne incomplète",IF(NOT(ISNUMBER(A2225)),"Date invalide",IF(AND(B2225&lt;&gt;"Entrée",B2225&lt;&gt;"Sortie"),"Type inconnu",IF(ISNA(MATCH(C2225,art_ref,0)),"Référence inconnue",IF(OR(NOT(ISNUMBER(E2225)),N(E2225)&lt;=0),"Quantité invalide",IF(K2225&lt;0,"Stock négatif",IF(AND(ISNUMBER(A2224),A2225&lt;A2224),"Date hors ordre","OK"))))))))</f>
        <v/>
      </c>
      <c r="M2225" s="39" t="str">
        <f>IF(C2225="","",C2225&amp;"#"&amp;COUNTIF($C$5:C2225,C2225))</f>
        <v/>
      </c>
    </row>
    <row r="2226">
      <c r="A2226" s="41" t="n"/>
      <c r="B2226" s="37" t="n"/>
      <c r="C2226" s="37" t="n"/>
      <c r="D2226" s="39" t="str">
        <f>IF(C2226="","",IFERROR(INDEX(art_des,MATCH(C2226,art_ref,0))&amp;"","Référence inconnue"))</f>
        <v/>
      </c>
      <c r="E2226" s="37" t="n"/>
      <c r="F2226" s="39" t="str">
        <f>IF(C2226="","",IFERROR(INDEX(art_unit,MATCH(C2226,art_ref,0))&amp;"",""))</f>
        <v/>
      </c>
      <c r="G2226" s="37" t="n"/>
      <c r="H2226" s="37" t="n"/>
      <c r="I2226" s="37" t="n"/>
      <c r="J2226" s="40" t="str">
        <f>IF(OR(C2226="",NOT(ISNUMBER(E2226))),"",IFERROR(E2226*N(INDEX(art_price,MATCH(C2226,art_ref,0))),""))</f>
        <v/>
      </c>
      <c r="K2226" s="39" t="str">
        <f>IF(OR(C2226="",NOT(ISNUMBER(E2226))),"",IFERROR(ROUND(N(INDEX(art_init,MATCH(C2226,art_ref,0)))+SUMIFS($E$5:E2226,$C$5:C2226,C2226,$B$5:B2226,"Entrée")-SUMIFS($E$5:E2226,$C$5:C2226,C2226,$B$5:B2226,"Sortie"),6),""))</f>
        <v/>
      </c>
      <c r="L2226" s="39" t="str">
        <f>IF(COUNTA(A2226:C2226,E2226)=0,"",IF(COUNTA(A2226:C2226,E2226)&lt;4,"Ligne incomplète",IF(NOT(ISNUMBER(A2226)),"Date invalide",IF(AND(B2226&lt;&gt;"Entrée",B2226&lt;&gt;"Sortie"),"Type inconnu",IF(ISNA(MATCH(C2226,art_ref,0)),"Référence inconnue",IF(OR(NOT(ISNUMBER(E2226)),N(E2226)&lt;=0),"Quantité invalide",IF(K2226&lt;0,"Stock négatif",IF(AND(ISNUMBER(A2225),A2226&lt;A2225),"Date hors ordre","OK"))))))))</f>
        <v/>
      </c>
      <c r="M2226" s="39" t="str">
        <f>IF(C2226="","",C2226&amp;"#"&amp;COUNTIF($C$5:C2226,C2226))</f>
        <v/>
      </c>
    </row>
    <row r="2227">
      <c r="A2227" s="41" t="n"/>
      <c r="B2227" s="37" t="n"/>
      <c r="C2227" s="37" t="n"/>
      <c r="D2227" s="39" t="str">
        <f>IF(C2227="","",IFERROR(INDEX(art_des,MATCH(C2227,art_ref,0))&amp;"","Référence inconnue"))</f>
        <v/>
      </c>
      <c r="E2227" s="37" t="n"/>
      <c r="F2227" s="39" t="str">
        <f>IF(C2227="","",IFERROR(INDEX(art_unit,MATCH(C2227,art_ref,0))&amp;"",""))</f>
        <v/>
      </c>
      <c r="G2227" s="37" t="n"/>
      <c r="H2227" s="37" t="n"/>
      <c r="I2227" s="37" t="n"/>
      <c r="J2227" s="40" t="str">
        <f>IF(OR(C2227="",NOT(ISNUMBER(E2227))),"",IFERROR(E2227*N(INDEX(art_price,MATCH(C2227,art_ref,0))),""))</f>
        <v/>
      </c>
      <c r="K2227" s="39" t="str">
        <f>IF(OR(C2227="",NOT(ISNUMBER(E2227))),"",IFERROR(ROUND(N(INDEX(art_init,MATCH(C2227,art_ref,0)))+SUMIFS($E$5:E2227,$C$5:C2227,C2227,$B$5:B2227,"Entrée")-SUMIFS($E$5:E2227,$C$5:C2227,C2227,$B$5:B2227,"Sortie"),6),""))</f>
        <v/>
      </c>
      <c r="L2227" s="39" t="str">
        <f>IF(COUNTA(A2227:C2227,E2227)=0,"",IF(COUNTA(A2227:C2227,E2227)&lt;4,"Ligne incomplète",IF(NOT(ISNUMBER(A2227)),"Date invalide",IF(AND(B2227&lt;&gt;"Entrée",B2227&lt;&gt;"Sortie"),"Type inconnu",IF(ISNA(MATCH(C2227,art_ref,0)),"Référence inconnue",IF(OR(NOT(ISNUMBER(E2227)),N(E2227)&lt;=0),"Quantité invalide",IF(K2227&lt;0,"Stock négatif",IF(AND(ISNUMBER(A2226),A2227&lt;A2226),"Date hors ordre","OK"))))))))</f>
        <v/>
      </c>
      <c r="M2227" s="39" t="str">
        <f>IF(C2227="","",C2227&amp;"#"&amp;COUNTIF($C$5:C2227,C2227))</f>
        <v/>
      </c>
    </row>
    <row r="2228">
      <c r="A2228" s="41" t="n"/>
      <c r="B2228" s="37" t="n"/>
      <c r="C2228" s="37" t="n"/>
      <c r="D2228" s="39" t="str">
        <f>IF(C2228="","",IFERROR(INDEX(art_des,MATCH(C2228,art_ref,0))&amp;"","Référence inconnue"))</f>
        <v/>
      </c>
      <c r="E2228" s="37" t="n"/>
      <c r="F2228" s="39" t="str">
        <f>IF(C2228="","",IFERROR(INDEX(art_unit,MATCH(C2228,art_ref,0))&amp;"",""))</f>
        <v/>
      </c>
      <c r="G2228" s="37" t="n"/>
      <c r="H2228" s="37" t="n"/>
      <c r="I2228" s="37" t="n"/>
      <c r="J2228" s="40" t="str">
        <f>IF(OR(C2228="",NOT(ISNUMBER(E2228))),"",IFERROR(E2228*N(INDEX(art_price,MATCH(C2228,art_ref,0))),""))</f>
        <v/>
      </c>
      <c r="K2228" s="39" t="str">
        <f>IF(OR(C2228="",NOT(ISNUMBER(E2228))),"",IFERROR(ROUND(N(INDEX(art_init,MATCH(C2228,art_ref,0)))+SUMIFS($E$5:E2228,$C$5:C2228,C2228,$B$5:B2228,"Entrée")-SUMIFS($E$5:E2228,$C$5:C2228,C2228,$B$5:B2228,"Sortie"),6),""))</f>
        <v/>
      </c>
      <c r="L2228" s="39" t="str">
        <f>IF(COUNTA(A2228:C2228,E2228)=0,"",IF(COUNTA(A2228:C2228,E2228)&lt;4,"Ligne incomplète",IF(NOT(ISNUMBER(A2228)),"Date invalide",IF(AND(B2228&lt;&gt;"Entrée",B2228&lt;&gt;"Sortie"),"Type inconnu",IF(ISNA(MATCH(C2228,art_ref,0)),"Référence inconnue",IF(OR(NOT(ISNUMBER(E2228)),N(E2228)&lt;=0),"Quantité invalide",IF(K2228&lt;0,"Stock négatif",IF(AND(ISNUMBER(A2227),A2228&lt;A2227),"Date hors ordre","OK"))))))))</f>
        <v/>
      </c>
      <c r="M2228" s="39" t="str">
        <f>IF(C2228="","",C2228&amp;"#"&amp;COUNTIF($C$5:C2228,C2228))</f>
        <v/>
      </c>
    </row>
    <row r="2229">
      <c r="A2229" s="41" t="n"/>
      <c r="B2229" s="37" t="n"/>
      <c r="C2229" s="37" t="n"/>
      <c r="D2229" s="39" t="str">
        <f>IF(C2229="","",IFERROR(INDEX(art_des,MATCH(C2229,art_ref,0))&amp;"","Référence inconnue"))</f>
        <v/>
      </c>
      <c r="E2229" s="37" t="n"/>
      <c r="F2229" s="39" t="str">
        <f>IF(C2229="","",IFERROR(INDEX(art_unit,MATCH(C2229,art_ref,0))&amp;"",""))</f>
        <v/>
      </c>
      <c r="G2229" s="37" t="n"/>
      <c r="H2229" s="37" t="n"/>
      <c r="I2229" s="37" t="n"/>
      <c r="J2229" s="40" t="str">
        <f>IF(OR(C2229="",NOT(ISNUMBER(E2229))),"",IFERROR(E2229*N(INDEX(art_price,MATCH(C2229,art_ref,0))),""))</f>
        <v/>
      </c>
      <c r="K2229" s="39" t="str">
        <f>IF(OR(C2229="",NOT(ISNUMBER(E2229))),"",IFERROR(ROUND(N(INDEX(art_init,MATCH(C2229,art_ref,0)))+SUMIFS($E$5:E2229,$C$5:C2229,C2229,$B$5:B2229,"Entrée")-SUMIFS($E$5:E2229,$C$5:C2229,C2229,$B$5:B2229,"Sortie"),6),""))</f>
        <v/>
      </c>
      <c r="L2229" s="39" t="str">
        <f>IF(COUNTA(A2229:C2229,E2229)=0,"",IF(COUNTA(A2229:C2229,E2229)&lt;4,"Ligne incomplète",IF(NOT(ISNUMBER(A2229)),"Date invalide",IF(AND(B2229&lt;&gt;"Entrée",B2229&lt;&gt;"Sortie"),"Type inconnu",IF(ISNA(MATCH(C2229,art_ref,0)),"Référence inconnue",IF(OR(NOT(ISNUMBER(E2229)),N(E2229)&lt;=0),"Quantité invalide",IF(K2229&lt;0,"Stock négatif",IF(AND(ISNUMBER(A2228),A2229&lt;A2228),"Date hors ordre","OK"))))))))</f>
        <v/>
      </c>
      <c r="M2229" s="39" t="str">
        <f>IF(C2229="","",C2229&amp;"#"&amp;COUNTIF($C$5:C2229,C2229))</f>
        <v/>
      </c>
    </row>
    <row r="2230">
      <c r="A2230" s="41" t="n"/>
      <c r="B2230" s="37" t="n"/>
      <c r="C2230" s="37" t="n"/>
      <c r="D2230" s="39" t="str">
        <f>IF(C2230="","",IFERROR(INDEX(art_des,MATCH(C2230,art_ref,0))&amp;"","Référence inconnue"))</f>
        <v/>
      </c>
      <c r="E2230" s="37" t="n"/>
      <c r="F2230" s="39" t="str">
        <f>IF(C2230="","",IFERROR(INDEX(art_unit,MATCH(C2230,art_ref,0))&amp;"",""))</f>
        <v/>
      </c>
      <c r="G2230" s="37" t="n"/>
      <c r="H2230" s="37" t="n"/>
      <c r="I2230" s="37" t="n"/>
      <c r="J2230" s="40" t="str">
        <f>IF(OR(C2230="",NOT(ISNUMBER(E2230))),"",IFERROR(E2230*N(INDEX(art_price,MATCH(C2230,art_ref,0))),""))</f>
        <v/>
      </c>
      <c r="K2230" s="39" t="str">
        <f>IF(OR(C2230="",NOT(ISNUMBER(E2230))),"",IFERROR(ROUND(N(INDEX(art_init,MATCH(C2230,art_ref,0)))+SUMIFS($E$5:E2230,$C$5:C2230,C2230,$B$5:B2230,"Entrée")-SUMIFS($E$5:E2230,$C$5:C2230,C2230,$B$5:B2230,"Sortie"),6),""))</f>
        <v/>
      </c>
      <c r="L2230" s="39" t="str">
        <f>IF(COUNTA(A2230:C2230,E2230)=0,"",IF(COUNTA(A2230:C2230,E2230)&lt;4,"Ligne incomplète",IF(NOT(ISNUMBER(A2230)),"Date invalide",IF(AND(B2230&lt;&gt;"Entrée",B2230&lt;&gt;"Sortie"),"Type inconnu",IF(ISNA(MATCH(C2230,art_ref,0)),"Référence inconnue",IF(OR(NOT(ISNUMBER(E2230)),N(E2230)&lt;=0),"Quantité invalide",IF(K2230&lt;0,"Stock négatif",IF(AND(ISNUMBER(A2229),A2230&lt;A2229),"Date hors ordre","OK"))))))))</f>
        <v/>
      </c>
      <c r="M2230" s="39" t="str">
        <f>IF(C2230="","",C2230&amp;"#"&amp;COUNTIF($C$5:C2230,C2230))</f>
        <v/>
      </c>
    </row>
    <row r="2231">
      <c r="A2231" s="41" t="n"/>
      <c r="B2231" s="37" t="n"/>
      <c r="C2231" s="37" t="n"/>
      <c r="D2231" s="39" t="str">
        <f>IF(C2231="","",IFERROR(INDEX(art_des,MATCH(C2231,art_ref,0))&amp;"","Référence inconnue"))</f>
        <v/>
      </c>
      <c r="E2231" s="37" t="n"/>
      <c r="F2231" s="39" t="str">
        <f>IF(C2231="","",IFERROR(INDEX(art_unit,MATCH(C2231,art_ref,0))&amp;"",""))</f>
        <v/>
      </c>
      <c r="G2231" s="37" t="n"/>
      <c r="H2231" s="37" t="n"/>
      <c r="I2231" s="37" t="n"/>
      <c r="J2231" s="40" t="str">
        <f>IF(OR(C2231="",NOT(ISNUMBER(E2231))),"",IFERROR(E2231*N(INDEX(art_price,MATCH(C2231,art_ref,0))),""))</f>
        <v/>
      </c>
      <c r="K2231" s="39" t="str">
        <f>IF(OR(C2231="",NOT(ISNUMBER(E2231))),"",IFERROR(ROUND(N(INDEX(art_init,MATCH(C2231,art_ref,0)))+SUMIFS($E$5:E2231,$C$5:C2231,C2231,$B$5:B2231,"Entrée")-SUMIFS($E$5:E2231,$C$5:C2231,C2231,$B$5:B2231,"Sortie"),6),""))</f>
        <v/>
      </c>
      <c r="L2231" s="39" t="str">
        <f>IF(COUNTA(A2231:C2231,E2231)=0,"",IF(COUNTA(A2231:C2231,E2231)&lt;4,"Ligne incomplète",IF(NOT(ISNUMBER(A2231)),"Date invalide",IF(AND(B2231&lt;&gt;"Entrée",B2231&lt;&gt;"Sortie"),"Type inconnu",IF(ISNA(MATCH(C2231,art_ref,0)),"Référence inconnue",IF(OR(NOT(ISNUMBER(E2231)),N(E2231)&lt;=0),"Quantité invalide",IF(K2231&lt;0,"Stock négatif",IF(AND(ISNUMBER(A2230),A2231&lt;A2230),"Date hors ordre","OK"))))))))</f>
        <v/>
      </c>
      <c r="M2231" s="39" t="str">
        <f>IF(C2231="","",C2231&amp;"#"&amp;COUNTIF($C$5:C2231,C2231))</f>
        <v/>
      </c>
    </row>
    <row r="2232">
      <c r="A2232" s="41" t="n"/>
      <c r="B2232" s="37" t="n"/>
      <c r="C2232" s="37" t="n"/>
      <c r="D2232" s="39" t="str">
        <f>IF(C2232="","",IFERROR(INDEX(art_des,MATCH(C2232,art_ref,0))&amp;"","Référence inconnue"))</f>
        <v/>
      </c>
      <c r="E2232" s="37" t="n"/>
      <c r="F2232" s="39" t="str">
        <f>IF(C2232="","",IFERROR(INDEX(art_unit,MATCH(C2232,art_ref,0))&amp;"",""))</f>
        <v/>
      </c>
      <c r="G2232" s="37" t="n"/>
      <c r="H2232" s="37" t="n"/>
      <c r="I2232" s="37" t="n"/>
      <c r="J2232" s="40" t="str">
        <f>IF(OR(C2232="",NOT(ISNUMBER(E2232))),"",IFERROR(E2232*N(INDEX(art_price,MATCH(C2232,art_ref,0))),""))</f>
        <v/>
      </c>
      <c r="K2232" s="39" t="str">
        <f>IF(OR(C2232="",NOT(ISNUMBER(E2232))),"",IFERROR(ROUND(N(INDEX(art_init,MATCH(C2232,art_ref,0)))+SUMIFS($E$5:E2232,$C$5:C2232,C2232,$B$5:B2232,"Entrée")-SUMIFS($E$5:E2232,$C$5:C2232,C2232,$B$5:B2232,"Sortie"),6),""))</f>
        <v/>
      </c>
      <c r="L2232" s="39" t="str">
        <f>IF(COUNTA(A2232:C2232,E2232)=0,"",IF(COUNTA(A2232:C2232,E2232)&lt;4,"Ligne incomplète",IF(NOT(ISNUMBER(A2232)),"Date invalide",IF(AND(B2232&lt;&gt;"Entrée",B2232&lt;&gt;"Sortie"),"Type inconnu",IF(ISNA(MATCH(C2232,art_ref,0)),"Référence inconnue",IF(OR(NOT(ISNUMBER(E2232)),N(E2232)&lt;=0),"Quantité invalide",IF(K2232&lt;0,"Stock négatif",IF(AND(ISNUMBER(A2231),A2232&lt;A2231),"Date hors ordre","OK"))))))))</f>
        <v/>
      </c>
      <c r="M2232" s="39" t="str">
        <f>IF(C2232="","",C2232&amp;"#"&amp;COUNTIF($C$5:C2232,C2232))</f>
        <v/>
      </c>
    </row>
    <row r="2233">
      <c r="A2233" s="41" t="n"/>
      <c r="B2233" s="37" t="n"/>
      <c r="C2233" s="37" t="n"/>
      <c r="D2233" s="39" t="str">
        <f>IF(C2233="","",IFERROR(INDEX(art_des,MATCH(C2233,art_ref,0))&amp;"","Référence inconnue"))</f>
        <v/>
      </c>
      <c r="E2233" s="37" t="n"/>
      <c r="F2233" s="39" t="str">
        <f>IF(C2233="","",IFERROR(INDEX(art_unit,MATCH(C2233,art_ref,0))&amp;"",""))</f>
        <v/>
      </c>
      <c r="G2233" s="37" t="n"/>
      <c r="H2233" s="37" t="n"/>
      <c r="I2233" s="37" t="n"/>
      <c r="J2233" s="40" t="str">
        <f>IF(OR(C2233="",NOT(ISNUMBER(E2233))),"",IFERROR(E2233*N(INDEX(art_price,MATCH(C2233,art_ref,0))),""))</f>
        <v/>
      </c>
      <c r="K2233" s="39" t="str">
        <f>IF(OR(C2233="",NOT(ISNUMBER(E2233))),"",IFERROR(ROUND(N(INDEX(art_init,MATCH(C2233,art_ref,0)))+SUMIFS($E$5:E2233,$C$5:C2233,C2233,$B$5:B2233,"Entrée")-SUMIFS($E$5:E2233,$C$5:C2233,C2233,$B$5:B2233,"Sortie"),6),""))</f>
        <v/>
      </c>
      <c r="L2233" s="39" t="str">
        <f>IF(COUNTA(A2233:C2233,E2233)=0,"",IF(COUNTA(A2233:C2233,E2233)&lt;4,"Ligne incomplète",IF(NOT(ISNUMBER(A2233)),"Date invalide",IF(AND(B2233&lt;&gt;"Entrée",B2233&lt;&gt;"Sortie"),"Type inconnu",IF(ISNA(MATCH(C2233,art_ref,0)),"Référence inconnue",IF(OR(NOT(ISNUMBER(E2233)),N(E2233)&lt;=0),"Quantité invalide",IF(K2233&lt;0,"Stock négatif",IF(AND(ISNUMBER(A2232),A2233&lt;A2232),"Date hors ordre","OK"))))))))</f>
        <v/>
      </c>
      <c r="M2233" s="39" t="str">
        <f>IF(C2233="","",C2233&amp;"#"&amp;COUNTIF($C$5:C2233,C2233))</f>
        <v/>
      </c>
    </row>
    <row r="2234">
      <c r="A2234" s="41" t="n"/>
      <c r="B2234" s="37" t="n"/>
      <c r="C2234" s="37" t="n"/>
      <c r="D2234" s="39" t="str">
        <f>IF(C2234="","",IFERROR(INDEX(art_des,MATCH(C2234,art_ref,0))&amp;"","Référence inconnue"))</f>
        <v/>
      </c>
      <c r="E2234" s="37" t="n"/>
      <c r="F2234" s="39" t="str">
        <f>IF(C2234="","",IFERROR(INDEX(art_unit,MATCH(C2234,art_ref,0))&amp;"",""))</f>
        <v/>
      </c>
      <c r="G2234" s="37" t="n"/>
      <c r="H2234" s="37" t="n"/>
      <c r="I2234" s="37" t="n"/>
      <c r="J2234" s="40" t="str">
        <f>IF(OR(C2234="",NOT(ISNUMBER(E2234))),"",IFERROR(E2234*N(INDEX(art_price,MATCH(C2234,art_ref,0))),""))</f>
        <v/>
      </c>
      <c r="K2234" s="39" t="str">
        <f>IF(OR(C2234="",NOT(ISNUMBER(E2234))),"",IFERROR(ROUND(N(INDEX(art_init,MATCH(C2234,art_ref,0)))+SUMIFS($E$5:E2234,$C$5:C2234,C2234,$B$5:B2234,"Entrée")-SUMIFS($E$5:E2234,$C$5:C2234,C2234,$B$5:B2234,"Sortie"),6),""))</f>
        <v/>
      </c>
      <c r="L2234" s="39" t="str">
        <f>IF(COUNTA(A2234:C2234,E2234)=0,"",IF(COUNTA(A2234:C2234,E2234)&lt;4,"Ligne incomplète",IF(NOT(ISNUMBER(A2234)),"Date invalide",IF(AND(B2234&lt;&gt;"Entrée",B2234&lt;&gt;"Sortie"),"Type inconnu",IF(ISNA(MATCH(C2234,art_ref,0)),"Référence inconnue",IF(OR(NOT(ISNUMBER(E2234)),N(E2234)&lt;=0),"Quantité invalide",IF(K2234&lt;0,"Stock négatif",IF(AND(ISNUMBER(A2233),A2234&lt;A2233),"Date hors ordre","OK"))))))))</f>
        <v/>
      </c>
      <c r="M2234" s="39" t="str">
        <f>IF(C2234="","",C2234&amp;"#"&amp;COUNTIF($C$5:C2234,C2234))</f>
        <v/>
      </c>
    </row>
    <row r="2235">
      <c r="A2235" s="41" t="n"/>
      <c r="B2235" s="37" t="n"/>
      <c r="C2235" s="37" t="n"/>
      <c r="D2235" s="39" t="str">
        <f>IF(C2235="","",IFERROR(INDEX(art_des,MATCH(C2235,art_ref,0))&amp;"","Référence inconnue"))</f>
        <v/>
      </c>
      <c r="E2235" s="37" t="n"/>
      <c r="F2235" s="39" t="str">
        <f>IF(C2235="","",IFERROR(INDEX(art_unit,MATCH(C2235,art_ref,0))&amp;"",""))</f>
        <v/>
      </c>
      <c r="G2235" s="37" t="n"/>
      <c r="H2235" s="37" t="n"/>
      <c r="I2235" s="37" t="n"/>
      <c r="J2235" s="40" t="str">
        <f>IF(OR(C2235="",NOT(ISNUMBER(E2235))),"",IFERROR(E2235*N(INDEX(art_price,MATCH(C2235,art_ref,0))),""))</f>
        <v/>
      </c>
      <c r="K2235" s="39" t="str">
        <f>IF(OR(C2235="",NOT(ISNUMBER(E2235))),"",IFERROR(ROUND(N(INDEX(art_init,MATCH(C2235,art_ref,0)))+SUMIFS($E$5:E2235,$C$5:C2235,C2235,$B$5:B2235,"Entrée")-SUMIFS($E$5:E2235,$C$5:C2235,C2235,$B$5:B2235,"Sortie"),6),""))</f>
        <v/>
      </c>
      <c r="L2235" s="39" t="str">
        <f>IF(COUNTA(A2235:C2235,E2235)=0,"",IF(COUNTA(A2235:C2235,E2235)&lt;4,"Ligne incomplète",IF(NOT(ISNUMBER(A2235)),"Date invalide",IF(AND(B2235&lt;&gt;"Entrée",B2235&lt;&gt;"Sortie"),"Type inconnu",IF(ISNA(MATCH(C2235,art_ref,0)),"Référence inconnue",IF(OR(NOT(ISNUMBER(E2235)),N(E2235)&lt;=0),"Quantité invalide",IF(K2235&lt;0,"Stock négatif",IF(AND(ISNUMBER(A2234),A2235&lt;A2234),"Date hors ordre","OK"))))))))</f>
        <v/>
      </c>
      <c r="M2235" s="39" t="str">
        <f>IF(C2235="","",C2235&amp;"#"&amp;COUNTIF($C$5:C2235,C2235))</f>
        <v/>
      </c>
    </row>
    <row r="2236">
      <c r="A2236" s="41" t="n"/>
      <c r="B2236" s="37" t="n"/>
      <c r="C2236" s="37" t="n"/>
      <c r="D2236" s="39" t="str">
        <f>IF(C2236="","",IFERROR(INDEX(art_des,MATCH(C2236,art_ref,0))&amp;"","Référence inconnue"))</f>
        <v/>
      </c>
      <c r="E2236" s="37" t="n"/>
      <c r="F2236" s="39" t="str">
        <f>IF(C2236="","",IFERROR(INDEX(art_unit,MATCH(C2236,art_ref,0))&amp;"",""))</f>
        <v/>
      </c>
      <c r="G2236" s="37" t="n"/>
      <c r="H2236" s="37" t="n"/>
      <c r="I2236" s="37" t="n"/>
      <c r="J2236" s="40" t="str">
        <f>IF(OR(C2236="",NOT(ISNUMBER(E2236))),"",IFERROR(E2236*N(INDEX(art_price,MATCH(C2236,art_ref,0))),""))</f>
        <v/>
      </c>
      <c r="K2236" s="39" t="str">
        <f>IF(OR(C2236="",NOT(ISNUMBER(E2236))),"",IFERROR(ROUND(N(INDEX(art_init,MATCH(C2236,art_ref,0)))+SUMIFS($E$5:E2236,$C$5:C2236,C2236,$B$5:B2236,"Entrée")-SUMIFS($E$5:E2236,$C$5:C2236,C2236,$B$5:B2236,"Sortie"),6),""))</f>
        <v/>
      </c>
      <c r="L2236" s="39" t="str">
        <f>IF(COUNTA(A2236:C2236,E2236)=0,"",IF(COUNTA(A2236:C2236,E2236)&lt;4,"Ligne incomplète",IF(NOT(ISNUMBER(A2236)),"Date invalide",IF(AND(B2236&lt;&gt;"Entrée",B2236&lt;&gt;"Sortie"),"Type inconnu",IF(ISNA(MATCH(C2236,art_ref,0)),"Référence inconnue",IF(OR(NOT(ISNUMBER(E2236)),N(E2236)&lt;=0),"Quantité invalide",IF(K2236&lt;0,"Stock négatif",IF(AND(ISNUMBER(A2235),A2236&lt;A2235),"Date hors ordre","OK"))))))))</f>
        <v/>
      </c>
      <c r="M2236" s="39" t="str">
        <f>IF(C2236="","",C2236&amp;"#"&amp;COUNTIF($C$5:C2236,C2236))</f>
        <v/>
      </c>
    </row>
    <row r="2237">
      <c r="A2237" s="41" t="n"/>
      <c r="B2237" s="37" t="n"/>
      <c r="C2237" s="37" t="n"/>
      <c r="D2237" s="39" t="str">
        <f>IF(C2237="","",IFERROR(INDEX(art_des,MATCH(C2237,art_ref,0))&amp;"","Référence inconnue"))</f>
        <v/>
      </c>
      <c r="E2237" s="37" t="n"/>
      <c r="F2237" s="39" t="str">
        <f>IF(C2237="","",IFERROR(INDEX(art_unit,MATCH(C2237,art_ref,0))&amp;"",""))</f>
        <v/>
      </c>
      <c r="G2237" s="37" t="n"/>
      <c r="H2237" s="37" t="n"/>
      <c r="I2237" s="37" t="n"/>
      <c r="J2237" s="40" t="str">
        <f>IF(OR(C2237="",NOT(ISNUMBER(E2237))),"",IFERROR(E2237*N(INDEX(art_price,MATCH(C2237,art_ref,0))),""))</f>
        <v/>
      </c>
      <c r="K2237" s="39" t="str">
        <f>IF(OR(C2237="",NOT(ISNUMBER(E2237))),"",IFERROR(ROUND(N(INDEX(art_init,MATCH(C2237,art_ref,0)))+SUMIFS($E$5:E2237,$C$5:C2237,C2237,$B$5:B2237,"Entrée")-SUMIFS($E$5:E2237,$C$5:C2237,C2237,$B$5:B2237,"Sortie"),6),""))</f>
        <v/>
      </c>
      <c r="L2237" s="39" t="str">
        <f>IF(COUNTA(A2237:C2237,E2237)=0,"",IF(COUNTA(A2237:C2237,E2237)&lt;4,"Ligne incomplète",IF(NOT(ISNUMBER(A2237)),"Date invalide",IF(AND(B2237&lt;&gt;"Entrée",B2237&lt;&gt;"Sortie"),"Type inconnu",IF(ISNA(MATCH(C2237,art_ref,0)),"Référence inconnue",IF(OR(NOT(ISNUMBER(E2237)),N(E2237)&lt;=0),"Quantité invalide",IF(K2237&lt;0,"Stock négatif",IF(AND(ISNUMBER(A2236),A2237&lt;A2236),"Date hors ordre","OK"))))))))</f>
        <v/>
      </c>
      <c r="M2237" s="39" t="str">
        <f>IF(C2237="","",C2237&amp;"#"&amp;COUNTIF($C$5:C2237,C2237))</f>
        <v/>
      </c>
    </row>
    <row r="2238">
      <c r="A2238" s="41" t="n"/>
      <c r="B2238" s="37" t="n"/>
      <c r="C2238" s="37" t="n"/>
      <c r="D2238" s="39" t="str">
        <f>IF(C2238="","",IFERROR(INDEX(art_des,MATCH(C2238,art_ref,0))&amp;"","Référence inconnue"))</f>
        <v/>
      </c>
      <c r="E2238" s="37" t="n"/>
      <c r="F2238" s="39" t="str">
        <f>IF(C2238="","",IFERROR(INDEX(art_unit,MATCH(C2238,art_ref,0))&amp;"",""))</f>
        <v/>
      </c>
      <c r="G2238" s="37" t="n"/>
      <c r="H2238" s="37" t="n"/>
      <c r="I2238" s="37" t="n"/>
      <c r="J2238" s="40" t="str">
        <f>IF(OR(C2238="",NOT(ISNUMBER(E2238))),"",IFERROR(E2238*N(INDEX(art_price,MATCH(C2238,art_ref,0))),""))</f>
        <v/>
      </c>
      <c r="K2238" s="39" t="str">
        <f>IF(OR(C2238="",NOT(ISNUMBER(E2238))),"",IFERROR(ROUND(N(INDEX(art_init,MATCH(C2238,art_ref,0)))+SUMIFS($E$5:E2238,$C$5:C2238,C2238,$B$5:B2238,"Entrée")-SUMIFS($E$5:E2238,$C$5:C2238,C2238,$B$5:B2238,"Sortie"),6),""))</f>
        <v/>
      </c>
      <c r="L2238" s="39" t="str">
        <f>IF(COUNTA(A2238:C2238,E2238)=0,"",IF(COUNTA(A2238:C2238,E2238)&lt;4,"Ligne incomplète",IF(NOT(ISNUMBER(A2238)),"Date invalide",IF(AND(B2238&lt;&gt;"Entrée",B2238&lt;&gt;"Sortie"),"Type inconnu",IF(ISNA(MATCH(C2238,art_ref,0)),"Référence inconnue",IF(OR(NOT(ISNUMBER(E2238)),N(E2238)&lt;=0),"Quantité invalide",IF(K2238&lt;0,"Stock négatif",IF(AND(ISNUMBER(A2237),A2238&lt;A2237),"Date hors ordre","OK"))))))))</f>
        <v/>
      </c>
      <c r="M2238" s="39" t="str">
        <f>IF(C2238="","",C2238&amp;"#"&amp;COUNTIF($C$5:C2238,C2238))</f>
        <v/>
      </c>
    </row>
    <row r="2239">
      <c r="A2239" s="41" t="n"/>
      <c r="B2239" s="37" t="n"/>
      <c r="C2239" s="37" t="n"/>
      <c r="D2239" s="39" t="str">
        <f>IF(C2239="","",IFERROR(INDEX(art_des,MATCH(C2239,art_ref,0))&amp;"","Référence inconnue"))</f>
        <v/>
      </c>
      <c r="E2239" s="37" t="n"/>
      <c r="F2239" s="39" t="str">
        <f>IF(C2239="","",IFERROR(INDEX(art_unit,MATCH(C2239,art_ref,0))&amp;"",""))</f>
        <v/>
      </c>
      <c r="G2239" s="37" t="n"/>
      <c r="H2239" s="37" t="n"/>
      <c r="I2239" s="37" t="n"/>
      <c r="J2239" s="40" t="str">
        <f>IF(OR(C2239="",NOT(ISNUMBER(E2239))),"",IFERROR(E2239*N(INDEX(art_price,MATCH(C2239,art_ref,0))),""))</f>
        <v/>
      </c>
      <c r="K2239" s="39" t="str">
        <f>IF(OR(C2239="",NOT(ISNUMBER(E2239))),"",IFERROR(ROUND(N(INDEX(art_init,MATCH(C2239,art_ref,0)))+SUMIFS($E$5:E2239,$C$5:C2239,C2239,$B$5:B2239,"Entrée")-SUMIFS($E$5:E2239,$C$5:C2239,C2239,$B$5:B2239,"Sortie"),6),""))</f>
        <v/>
      </c>
      <c r="L2239" s="39" t="str">
        <f>IF(COUNTA(A2239:C2239,E2239)=0,"",IF(COUNTA(A2239:C2239,E2239)&lt;4,"Ligne incomplète",IF(NOT(ISNUMBER(A2239)),"Date invalide",IF(AND(B2239&lt;&gt;"Entrée",B2239&lt;&gt;"Sortie"),"Type inconnu",IF(ISNA(MATCH(C2239,art_ref,0)),"Référence inconnue",IF(OR(NOT(ISNUMBER(E2239)),N(E2239)&lt;=0),"Quantité invalide",IF(K2239&lt;0,"Stock négatif",IF(AND(ISNUMBER(A2238),A2239&lt;A2238),"Date hors ordre","OK"))))))))</f>
        <v/>
      </c>
      <c r="M2239" s="39" t="str">
        <f>IF(C2239="","",C2239&amp;"#"&amp;COUNTIF($C$5:C2239,C2239))</f>
        <v/>
      </c>
    </row>
    <row r="2240">
      <c r="A2240" s="41" t="n"/>
      <c r="B2240" s="37" t="n"/>
      <c r="C2240" s="37" t="n"/>
      <c r="D2240" s="39" t="str">
        <f>IF(C2240="","",IFERROR(INDEX(art_des,MATCH(C2240,art_ref,0))&amp;"","Référence inconnue"))</f>
        <v/>
      </c>
      <c r="E2240" s="37" t="n"/>
      <c r="F2240" s="39" t="str">
        <f>IF(C2240="","",IFERROR(INDEX(art_unit,MATCH(C2240,art_ref,0))&amp;"",""))</f>
        <v/>
      </c>
      <c r="G2240" s="37" t="n"/>
      <c r="H2240" s="37" t="n"/>
      <c r="I2240" s="37" t="n"/>
      <c r="J2240" s="40" t="str">
        <f>IF(OR(C2240="",NOT(ISNUMBER(E2240))),"",IFERROR(E2240*N(INDEX(art_price,MATCH(C2240,art_ref,0))),""))</f>
        <v/>
      </c>
      <c r="K2240" s="39" t="str">
        <f>IF(OR(C2240="",NOT(ISNUMBER(E2240))),"",IFERROR(ROUND(N(INDEX(art_init,MATCH(C2240,art_ref,0)))+SUMIFS($E$5:E2240,$C$5:C2240,C2240,$B$5:B2240,"Entrée")-SUMIFS($E$5:E2240,$C$5:C2240,C2240,$B$5:B2240,"Sortie"),6),""))</f>
        <v/>
      </c>
      <c r="L2240" s="39" t="str">
        <f>IF(COUNTA(A2240:C2240,E2240)=0,"",IF(COUNTA(A2240:C2240,E2240)&lt;4,"Ligne incomplète",IF(NOT(ISNUMBER(A2240)),"Date invalide",IF(AND(B2240&lt;&gt;"Entrée",B2240&lt;&gt;"Sortie"),"Type inconnu",IF(ISNA(MATCH(C2240,art_ref,0)),"Référence inconnue",IF(OR(NOT(ISNUMBER(E2240)),N(E2240)&lt;=0),"Quantité invalide",IF(K2240&lt;0,"Stock négatif",IF(AND(ISNUMBER(A2239),A2240&lt;A2239),"Date hors ordre","OK"))))))))</f>
        <v/>
      </c>
      <c r="M2240" s="39" t="str">
        <f>IF(C2240="","",C2240&amp;"#"&amp;COUNTIF($C$5:C2240,C2240))</f>
        <v/>
      </c>
    </row>
    <row r="2241">
      <c r="A2241" s="41" t="n"/>
      <c r="B2241" s="37" t="n"/>
      <c r="C2241" s="37" t="n"/>
      <c r="D2241" s="39" t="str">
        <f>IF(C2241="","",IFERROR(INDEX(art_des,MATCH(C2241,art_ref,0))&amp;"","Référence inconnue"))</f>
        <v/>
      </c>
      <c r="E2241" s="37" t="n"/>
      <c r="F2241" s="39" t="str">
        <f>IF(C2241="","",IFERROR(INDEX(art_unit,MATCH(C2241,art_ref,0))&amp;"",""))</f>
        <v/>
      </c>
      <c r="G2241" s="37" t="n"/>
      <c r="H2241" s="37" t="n"/>
      <c r="I2241" s="37" t="n"/>
      <c r="J2241" s="40" t="str">
        <f>IF(OR(C2241="",NOT(ISNUMBER(E2241))),"",IFERROR(E2241*N(INDEX(art_price,MATCH(C2241,art_ref,0))),""))</f>
        <v/>
      </c>
      <c r="K2241" s="39" t="str">
        <f>IF(OR(C2241="",NOT(ISNUMBER(E2241))),"",IFERROR(ROUND(N(INDEX(art_init,MATCH(C2241,art_ref,0)))+SUMIFS($E$5:E2241,$C$5:C2241,C2241,$B$5:B2241,"Entrée")-SUMIFS($E$5:E2241,$C$5:C2241,C2241,$B$5:B2241,"Sortie"),6),""))</f>
        <v/>
      </c>
      <c r="L2241" s="39" t="str">
        <f>IF(COUNTA(A2241:C2241,E2241)=0,"",IF(COUNTA(A2241:C2241,E2241)&lt;4,"Ligne incomplète",IF(NOT(ISNUMBER(A2241)),"Date invalide",IF(AND(B2241&lt;&gt;"Entrée",B2241&lt;&gt;"Sortie"),"Type inconnu",IF(ISNA(MATCH(C2241,art_ref,0)),"Référence inconnue",IF(OR(NOT(ISNUMBER(E2241)),N(E2241)&lt;=0),"Quantité invalide",IF(K2241&lt;0,"Stock négatif",IF(AND(ISNUMBER(A2240),A2241&lt;A2240),"Date hors ordre","OK"))))))))</f>
        <v/>
      </c>
      <c r="M2241" s="39" t="str">
        <f>IF(C2241="","",C2241&amp;"#"&amp;COUNTIF($C$5:C2241,C2241))</f>
        <v/>
      </c>
    </row>
    <row r="2242">
      <c r="A2242" s="41" t="n"/>
      <c r="B2242" s="37" t="n"/>
      <c r="C2242" s="37" t="n"/>
      <c r="D2242" s="39" t="str">
        <f>IF(C2242="","",IFERROR(INDEX(art_des,MATCH(C2242,art_ref,0))&amp;"","Référence inconnue"))</f>
        <v/>
      </c>
      <c r="E2242" s="37" t="n"/>
      <c r="F2242" s="39" t="str">
        <f>IF(C2242="","",IFERROR(INDEX(art_unit,MATCH(C2242,art_ref,0))&amp;"",""))</f>
        <v/>
      </c>
      <c r="G2242" s="37" t="n"/>
      <c r="H2242" s="37" t="n"/>
      <c r="I2242" s="37" t="n"/>
      <c r="J2242" s="40" t="str">
        <f>IF(OR(C2242="",NOT(ISNUMBER(E2242))),"",IFERROR(E2242*N(INDEX(art_price,MATCH(C2242,art_ref,0))),""))</f>
        <v/>
      </c>
      <c r="K2242" s="39" t="str">
        <f>IF(OR(C2242="",NOT(ISNUMBER(E2242))),"",IFERROR(ROUND(N(INDEX(art_init,MATCH(C2242,art_ref,0)))+SUMIFS($E$5:E2242,$C$5:C2242,C2242,$B$5:B2242,"Entrée")-SUMIFS($E$5:E2242,$C$5:C2242,C2242,$B$5:B2242,"Sortie"),6),""))</f>
        <v/>
      </c>
      <c r="L2242" s="39" t="str">
        <f>IF(COUNTA(A2242:C2242,E2242)=0,"",IF(COUNTA(A2242:C2242,E2242)&lt;4,"Ligne incomplète",IF(NOT(ISNUMBER(A2242)),"Date invalide",IF(AND(B2242&lt;&gt;"Entrée",B2242&lt;&gt;"Sortie"),"Type inconnu",IF(ISNA(MATCH(C2242,art_ref,0)),"Référence inconnue",IF(OR(NOT(ISNUMBER(E2242)),N(E2242)&lt;=0),"Quantité invalide",IF(K2242&lt;0,"Stock négatif",IF(AND(ISNUMBER(A2241),A2242&lt;A2241),"Date hors ordre","OK"))))))))</f>
        <v/>
      </c>
      <c r="M2242" s="39" t="str">
        <f>IF(C2242="","",C2242&amp;"#"&amp;COUNTIF($C$5:C2242,C2242))</f>
        <v/>
      </c>
    </row>
    <row r="2243">
      <c r="A2243" s="41" t="n"/>
      <c r="B2243" s="37" t="n"/>
      <c r="C2243" s="37" t="n"/>
      <c r="D2243" s="39" t="str">
        <f>IF(C2243="","",IFERROR(INDEX(art_des,MATCH(C2243,art_ref,0))&amp;"","Référence inconnue"))</f>
        <v/>
      </c>
      <c r="E2243" s="37" t="n"/>
      <c r="F2243" s="39" t="str">
        <f>IF(C2243="","",IFERROR(INDEX(art_unit,MATCH(C2243,art_ref,0))&amp;"",""))</f>
        <v/>
      </c>
      <c r="G2243" s="37" t="n"/>
      <c r="H2243" s="37" t="n"/>
      <c r="I2243" s="37" t="n"/>
      <c r="J2243" s="40" t="str">
        <f>IF(OR(C2243="",NOT(ISNUMBER(E2243))),"",IFERROR(E2243*N(INDEX(art_price,MATCH(C2243,art_ref,0))),""))</f>
        <v/>
      </c>
      <c r="K2243" s="39" t="str">
        <f>IF(OR(C2243="",NOT(ISNUMBER(E2243))),"",IFERROR(ROUND(N(INDEX(art_init,MATCH(C2243,art_ref,0)))+SUMIFS($E$5:E2243,$C$5:C2243,C2243,$B$5:B2243,"Entrée")-SUMIFS($E$5:E2243,$C$5:C2243,C2243,$B$5:B2243,"Sortie"),6),""))</f>
        <v/>
      </c>
      <c r="L2243" s="39" t="str">
        <f>IF(COUNTA(A2243:C2243,E2243)=0,"",IF(COUNTA(A2243:C2243,E2243)&lt;4,"Ligne incomplète",IF(NOT(ISNUMBER(A2243)),"Date invalide",IF(AND(B2243&lt;&gt;"Entrée",B2243&lt;&gt;"Sortie"),"Type inconnu",IF(ISNA(MATCH(C2243,art_ref,0)),"Référence inconnue",IF(OR(NOT(ISNUMBER(E2243)),N(E2243)&lt;=0),"Quantité invalide",IF(K2243&lt;0,"Stock négatif",IF(AND(ISNUMBER(A2242),A2243&lt;A2242),"Date hors ordre","OK"))))))))</f>
        <v/>
      </c>
      <c r="M2243" s="39" t="str">
        <f>IF(C2243="","",C2243&amp;"#"&amp;COUNTIF($C$5:C2243,C2243))</f>
        <v/>
      </c>
    </row>
    <row r="2244">
      <c r="A2244" s="41" t="n"/>
      <c r="B2244" s="37" t="n"/>
      <c r="C2244" s="37" t="n"/>
      <c r="D2244" s="39" t="str">
        <f>IF(C2244="","",IFERROR(INDEX(art_des,MATCH(C2244,art_ref,0))&amp;"","Référence inconnue"))</f>
        <v/>
      </c>
      <c r="E2244" s="37" t="n"/>
      <c r="F2244" s="39" t="str">
        <f>IF(C2244="","",IFERROR(INDEX(art_unit,MATCH(C2244,art_ref,0))&amp;"",""))</f>
        <v/>
      </c>
      <c r="G2244" s="37" t="n"/>
      <c r="H2244" s="37" t="n"/>
      <c r="I2244" s="37" t="n"/>
      <c r="J2244" s="40" t="str">
        <f>IF(OR(C2244="",NOT(ISNUMBER(E2244))),"",IFERROR(E2244*N(INDEX(art_price,MATCH(C2244,art_ref,0))),""))</f>
        <v/>
      </c>
      <c r="K2244" s="39" t="str">
        <f>IF(OR(C2244="",NOT(ISNUMBER(E2244))),"",IFERROR(ROUND(N(INDEX(art_init,MATCH(C2244,art_ref,0)))+SUMIFS($E$5:E2244,$C$5:C2244,C2244,$B$5:B2244,"Entrée")-SUMIFS($E$5:E2244,$C$5:C2244,C2244,$B$5:B2244,"Sortie"),6),""))</f>
        <v/>
      </c>
      <c r="L2244" s="39" t="str">
        <f>IF(COUNTA(A2244:C2244,E2244)=0,"",IF(COUNTA(A2244:C2244,E2244)&lt;4,"Ligne incomplète",IF(NOT(ISNUMBER(A2244)),"Date invalide",IF(AND(B2244&lt;&gt;"Entrée",B2244&lt;&gt;"Sortie"),"Type inconnu",IF(ISNA(MATCH(C2244,art_ref,0)),"Référence inconnue",IF(OR(NOT(ISNUMBER(E2244)),N(E2244)&lt;=0),"Quantité invalide",IF(K2244&lt;0,"Stock négatif",IF(AND(ISNUMBER(A2243),A2244&lt;A2243),"Date hors ordre","OK"))))))))</f>
        <v/>
      </c>
      <c r="M2244" s="39" t="str">
        <f>IF(C2244="","",C2244&amp;"#"&amp;COUNTIF($C$5:C2244,C2244))</f>
        <v/>
      </c>
    </row>
    <row r="2245">
      <c r="A2245" s="41" t="n"/>
      <c r="B2245" s="37" t="n"/>
      <c r="C2245" s="37" t="n"/>
      <c r="D2245" s="39" t="str">
        <f>IF(C2245="","",IFERROR(INDEX(art_des,MATCH(C2245,art_ref,0))&amp;"","Référence inconnue"))</f>
        <v/>
      </c>
      <c r="E2245" s="37" t="n"/>
      <c r="F2245" s="39" t="str">
        <f>IF(C2245="","",IFERROR(INDEX(art_unit,MATCH(C2245,art_ref,0))&amp;"",""))</f>
        <v/>
      </c>
      <c r="G2245" s="37" t="n"/>
      <c r="H2245" s="37" t="n"/>
      <c r="I2245" s="37" t="n"/>
      <c r="J2245" s="40" t="str">
        <f>IF(OR(C2245="",NOT(ISNUMBER(E2245))),"",IFERROR(E2245*N(INDEX(art_price,MATCH(C2245,art_ref,0))),""))</f>
        <v/>
      </c>
      <c r="K2245" s="39" t="str">
        <f>IF(OR(C2245="",NOT(ISNUMBER(E2245))),"",IFERROR(ROUND(N(INDEX(art_init,MATCH(C2245,art_ref,0)))+SUMIFS($E$5:E2245,$C$5:C2245,C2245,$B$5:B2245,"Entrée")-SUMIFS($E$5:E2245,$C$5:C2245,C2245,$B$5:B2245,"Sortie"),6),""))</f>
        <v/>
      </c>
      <c r="L2245" s="39" t="str">
        <f>IF(COUNTA(A2245:C2245,E2245)=0,"",IF(COUNTA(A2245:C2245,E2245)&lt;4,"Ligne incomplète",IF(NOT(ISNUMBER(A2245)),"Date invalide",IF(AND(B2245&lt;&gt;"Entrée",B2245&lt;&gt;"Sortie"),"Type inconnu",IF(ISNA(MATCH(C2245,art_ref,0)),"Référence inconnue",IF(OR(NOT(ISNUMBER(E2245)),N(E2245)&lt;=0),"Quantité invalide",IF(K2245&lt;0,"Stock négatif",IF(AND(ISNUMBER(A2244),A2245&lt;A2244),"Date hors ordre","OK"))))))))</f>
        <v/>
      </c>
      <c r="M2245" s="39" t="str">
        <f>IF(C2245="","",C2245&amp;"#"&amp;COUNTIF($C$5:C2245,C2245))</f>
        <v/>
      </c>
    </row>
    <row r="2246">
      <c r="A2246" s="41" t="n"/>
      <c r="B2246" s="37" t="n"/>
      <c r="C2246" s="37" t="n"/>
      <c r="D2246" s="39" t="str">
        <f>IF(C2246="","",IFERROR(INDEX(art_des,MATCH(C2246,art_ref,0))&amp;"","Référence inconnue"))</f>
        <v/>
      </c>
      <c r="E2246" s="37" t="n"/>
      <c r="F2246" s="39" t="str">
        <f>IF(C2246="","",IFERROR(INDEX(art_unit,MATCH(C2246,art_ref,0))&amp;"",""))</f>
        <v/>
      </c>
      <c r="G2246" s="37" t="n"/>
      <c r="H2246" s="37" t="n"/>
      <c r="I2246" s="37" t="n"/>
      <c r="J2246" s="40" t="str">
        <f>IF(OR(C2246="",NOT(ISNUMBER(E2246))),"",IFERROR(E2246*N(INDEX(art_price,MATCH(C2246,art_ref,0))),""))</f>
        <v/>
      </c>
      <c r="K2246" s="39" t="str">
        <f>IF(OR(C2246="",NOT(ISNUMBER(E2246))),"",IFERROR(ROUND(N(INDEX(art_init,MATCH(C2246,art_ref,0)))+SUMIFS($E$5:E2246,$C$5:C2246,C2246,$B$5:B2246,"Entrée")-SUMIFS($E$5:E2246,$C$5:C2246,C2246,$B$5:B2246,"Sortie"),6),""))</f>
        <v/>
      </c>
      <c r="L2246" s="39" t="str">
        <f>IF(COUNTA(A2246:C2246,E2246)=0,"",IF(COUNTA(A2246:C2246,E2246)&lt;4,"Ligne incomplète",IF(NOT(ISNUMBER(A2246)),"Date invalide",IF(AND(B2246&lt;&gt;"Entrée",B2246&lt;&gt;"Sortie"),"Type inconnu",IF(ISNA(MATCH(C2246,art_ref,0)),"Référence inconnue",IF(OR(NOT(ISNUMBER(E2246)),N(E2246)&lt;=0),"Quantité invalide",IF(K2246&lt;0,"Stock négatif",IF(AND(ISNUMBER(A2245),A2246&lt;A2245),"Date hors ordre","OK"))))))))</f>
        <v/>
      </c>
      <c r="M2246" s="39" t="str">
        <f>IF(C2246="","",C2246&amp;"#"&amp;COUNTIF($C$5:C2246,C2246))</f>
        <v/>
      </c>
    </row>
    <row r="2247">
      <c r="A2247" s="41" t="n"/>
      <c r="B2247" s="37" t="n"/>
      <c r="C2247" s="37" t="n"/>
      <c r="D2247" s="39" t="str">
        <f>IF(C2247="","",IFERROR(INDEX(art_des,MATCH(C2247,art_ref,0))&amp;"","Référence inconnue"))</f>
        <v/>
      </c>
      <c r="E2247" s="37" t="n"/>
      <c r="F2247" s="39" t="str">
        <f>IF(C2247="","",IFERROR(INDEX(art_unit,MATCH(C2247,art_ref,0))&amp;"",""))</f>
        <v/>
      </c>
      <c r="G2247" s="37" t="n"/>
      <c r="H2247" s="37" t="n"/>
      <c r="I2247" s="37" t="n"/>
      <c r="J2247" s="40" t="str">
        <f>IF(OR(C2247="",NOT(ISNUMBER(E2247))),"",IFERROR(E2247*N(INDEX(art_price,MATCH(C2247,art_ref,0))),""))</f>
        <v/>
      </c>
      <c r="K2247" s="39" t="str">
        <f>IF(OR(C2247="",NOT(ISNUMBER(E2247))),"",IFERROR(ROUND(N(INDEX(art_init,MATCH(C2247,art_ref,0)))+SUMIFS($E$5:E2247,$C$5:C2247,C2247,$B$5:B2247,"Entrée")-SUMIFS($E$5:E2247,$C$5:C2247,C2247,$B$5:B2247,"Sortie"),6),""))</f>
        <v/>
      </c>
      <c r="L2247" s="39" t="str">
        <f>IF(COUNTA(A2247:C2247,E2247)=0,"",IF(COUNTA(A2247:C2247,E2247)&lt;4,"Ligne incomplète",IF(NOT(ISNUMBER(A2247)),"Date invalide",IF(AND(B2247&lt;&gt;"Entrée",B2247&lt;&gt;"Sortie"),"Type inconnu",IF(ISNA(MATCH(C2247,art_ref,0)),"Référence inconnue",IF(OR(NOT(ISNUMBER(E2247)),N(E2247)&lt;=0),"Quantité invalide",IF(K2247&lt;0,"Stock négatif",IF(AND(ISNUMBER(A2246),A2247&lt;A2246),"Date hors ordre","OK"))))))))</f>
        <v/>
      </c>
      <c r="M2247" s="39" t="str">
        <f>IF(C2247="","",C2247&amp;"#"&amp;COUNTIF($C$5:C2247,C2247))</f>
        <v/>
      </c>
    </row>
    <row r="2248">
      <c r="A2248" s="41" t="n"/>
      <c r="B2248" s="37" t="n"/>
      <c r="C2248" s="37" t="n"/>
      <c r="D2248" s="39" t="str">
        <f>IF(C2248="","",IFERROR(INDEX(art_des,MATCH(C2248,art_ref,0))&amp;"","Référence inconnue"))</f>
        <v/>
      </c>
      <c r="E2248" s="37" t="n"/>
      <c r="F2248" s="39" t="str">
        <f>IF(C2248="","",IFERROR(INDEX(art_unit,MATCH(C2248,art_ref,0))&amp;"",""))</f>
        <v/>
      </c>
      <c r="G2248" s="37" t="n"/>
      <c r="H2248" s="37" t="n"/>
      <c r="I2248" s="37" t="n"/>
      <c r="J2248" s="40" t="str">
        <f>IF(OR(C2248="",NOT(ISNUMBER(E2248))),"",IFERROR(E2248*N(INDEX(art_price,MATCH(C2248,art_ref,0))),""))</f>
        <v/>
      </c>
      <c r="K2248" s="39" t="str">
        <f>IF(OR(C2248="",NOT(ISNUMBER(E2248))),"",IFERROR(ROUND(N(INDEX(art_init,MATCH(C2248,art_ref,0)))+SUMIFS($E$5:E2248,$C$5:C2248,C2248,$B$5:B2248,"Entrée")-SUMIFS($E$5:E2248,$C$5:C2248,C2248,$B$5:B2248,"Sortie"),6),""))</f>
        <v/>
      </c>
      <c r="L2248" s="39" t="str">
        <f>IF(COUNTA(A2248:C2248,E2248)=0,"",IF(COUNTA(A2248:C2248,E2248)&lt;4,"Ligne incomplète",IF(NOT(ISNUMBER(A2248)),"Date invalide",IF(AND(B2248&lt;&gt;"Entrée",B2248&lt;&gt;"Sortie"),"Type inconnu",IF(ISNA(MATCH(C2248,art_ref,0)),"Référence inconnue",IF(OR(NOT(ISNUMBER(E2248)),N(E2248)&lt;=0),"Quantité invalide",IF(K2248&lt;0,"Stock négatif",IF(AND(ISNUMBER(A2247),A2248&lt;A2247),"Date hors ordre","OK"))))))))</f>
        <v/>
      </c>
      <c r="M2248" s="39" t="str">
        <f>IF(C2248="","",C2248&amp;"#"&amp;COUNTIF($C$5:C2248,C2248))</f>
        <v/>
      </c>
    </row>
    <row r="2249">
      <c r="A2249" s="41" t="n"/>
      <c r="B2249" s="37" t="n"/>
      <c r="C2249" s="37" t="n"/>
      <c r="D2249" s="39" t="str">
        <f>IF(C2249="","",IFERROR(INDEX(art_des,MATCH(C2249,art_ref,0))&amp;"","Référence inconnue"))</f>
        <v/>
      </c>
      <c r="E2249" s="37" t="n"/>
      <c r="F2249" s="39" t="str">
        <f>IF(C2249="","",IFERROR(INDEX(art_unit,MATCH(C2249,art_ref,0))&amp;"",""))</f>
        <v/>
      </c>
      <c r="G2249" s="37" t="n"/>
      <c r="H2249" s="37" t="n"/>
      <c r="I2249" s="37" t="n"/>
      <c r="J2249" s="40" t="str">
        <f>IF(OR(C2249="",NOT(ISNUMBER(E2249))),"",IFERROR(E2249*N(INDEX(art_price,MATCH(C2249,art_ref,0))),""))</f>
        <v/>
      </c>
      <c r="K2249" s="39" t="str">
        <f>IF(OR(C2249="",NOT(ISNUMBER(E2249))),"",IFERROR(ROUND(N(INDEX(art_init,MATCH(C2249,art_ref,0)))+SUMIFS($E$5:E2249,$C$5:C2249,C2249,$B$5:B2249,"Entrée")-SUMIFS($E$5:E2249,$C$5:C2249,C2249,$B$5:B2249,"Sortie"),6),""))</f>
        <v/>
      </c>
      <c r="L2249" s="39" t="str">
        <f>IF(COUNTA(A2249:C2249,E2249)=0,"",IF(COUNTA(A2249:C2249,E2249)&lt;4,"Ligne incomplète",IF(NOT(ISNUMBER(A2249)),"Date invalide",IF(AND(B2249&lt;&gt;"Entrée",B2249&lt;&gt;"Sortie"),"Type inconnu",IF(ISNA(MATCH(C2249,art_ref,0)),"Référence inconnue",IF(OR(NOT(ISNUMBER(E2249)),N(E2249)&lt;=0),"Quantité invalide",IF(K2249&lt;0,"Stock négatif",IF(AND(ISNUMBER(A2248),A2249&lt;A2248),"Date hors ordre","OK"))))))))</f>
        <v/>
      </c>
      <c r="M2249" s="39" t="str">
        <f>IF(C2249="","",C2249&amp;"#"&amp;COUNTIF($C$5:C2249,C2249))</f>
        <v/>
      </c>
    </row>
    <row r="2250">
      <c r="A2250" s="41" t="n"/>
      <c r="B2250" s="37" t="n"/>
      <c r="C2250" s="37" t="n"/>
      <c r="D2250" s="39" t="str">
        <f>IF(C2250="","",IFERROR(INDEX(art_des,MATCH(C2250,art_ref,0))&amp;"","Référence inconnue"))</f>
        <v/>
      </c>
      <c r="E2250" s="37" t="n"/>
      <c r="F2250" s="39" t="str">
        <f>IF(C2250="","",IFERROR(INDEX(art_unit,MATCH(C2250,art_ref,0))&amp;"",""))</f>
        <v/>
      </c>
      <c r="G2250" s="37" t="n"/>
      <c r="H2250" s="37" t="n"/>
      <c r="I2250" s="37" t="n"/>
      <c r="J2250" s="40" t="str">
        <f>IF(OR(C2250="",NOT(ISNUMBER(E2250))),"",IFERROR(E2250*N(INDEX(art_price,MATCH(C2250,art_ref,0))),""))</f>
        <v/>
      </c>
      <c r="K2250" s="39" t="str">
        <f>IF(OR(C2250="",NOT(ISNUMBER(E2250))),"",IFERROR(ROUND(N(INDEX(art_init,MATCH(C2250,art_ref,0)))+SUMIFS($E$5:E2250,$C$5:C2250,C2250,$B$5:B2250,"Entrée")-SUMIFS($E$5:E2250,$C$5:C2250,C2250,$B$5:B2250,"Sortie"),6),""))</f>
        <v/>
      </c>
      <c r="L2250" s="39" t="str">
        <f>IF(COUNTA(A2250:C2250,E2250)=0,"",IF(COUNTA(A2250:C2250,E2250)&lt;4,"Ligne incomplète",IF(NOT(ISNUMBER(A2250)),"Date invalide",IF(AND(B2250&lt;&gt;"Entrée",B2250&lt;&gt;"Sortie"),"Type inconnu",IF(ISNA(MATCH(C2250,art_ref,0)),"Référence inconnue",IF(OR(NOT(ISNUMBER(E2250)),N(E2250)&lt;=0),"Quantité invalide",IF(K2250&lt;0,"Stock négatif",IF(AND(ISNUMBER(A2249),A2250&lt;A2249),"Date hors ordre","OK"))))))))</f>
        <v/>
      </c>
      <c r="M2250" s="39" t="str">
        <f>IF(C2250="","",C2250&amp;"#"&amp;COUNTIF($C$5:C2250,C2250))</f>
        <v/>
      </c>
    </row>
    <row r="2251">
      <c r="A2251" s="41" t="n"/>
      <c r="B2251" s="37" t="n"/>
      <c r="C2251" s="37" t="n"/>
      <c r="D2251" s="39" t="str">
        <f>IF(C2251="","",IFERROR(INDEX(art_des,MATCH(C2251,art_ref,0))&amp;"","Référence inconnue"))</f>
        <v/>
      </c>
      <c r="E2251" s="37" t="n"/>
      <c r="F2251" s="39" t="str">
        <f>IF(C2251="","",IFERROR(INDEX(art_unit,MATCH(C2251,art_ref,0))&amp;"",""))</f>
        <v/>
      </c>
      <c r="G2251" s="37" t="n"/>
      <c r="H2251" s="37" t="n"/>
      <c r="I2251" s="37" t="n"/>
      <c r="J2251" s="40" t="str">
        <f>IF(OR(C2251="",NOT(ISNUMBER(E2251))),"",IFERROR(E2251*N(INDEX(art_price,MATCH(C2251,art_ref,0))),""))</f>
        <v/>
      </c>
      <c r="K2251" s="39" t="str">
        <f>IF(OR(C2251="",NOT(ISNUMBER(E2251))),"",IFERROR(ROUND(N(INDEX(art_init,MATCH(C2251,art_ref,0)))+SUMIFS($E$5:E2251,$C$5:C2251,C2251,$B$5:B2251,"Entrée")-SUMIFS($E$5:E2251,$C$5:C2251,C2251,$B$5:B2251,"Sortie"),6),""))</f>
        <v/>
      </c>
      <c r="L2251" s="39" t="str">
        <f>IF(COUNTA(A2251:C2251,E2251)=0,"",IF(COUNTA(A2251:C2251,E2251)&lt;4,"Ligne incomplète",IF(NOT(ISNUMBER(A2251)),"Date invalide",IF(AND(B2251&lt;&gt;"Entrée",B2251&lt;&gt;"Sortie"),"Type inconnu",IF(ISNA(MATCH(C2251,art_ref,0)),"Référence inconnue",IF(OR(NOT(ISNUMBER(E2251)),N(E2251)&lt;=0),"Quantité invalide",IF(K2251&lt;0,"Stock négatif",IF(AND(ISNUMBER(A2250),A2251&lt;A2250),"Date hors ordre","OK"))))))))</f>
        <v/>
      </c>
      <c r="M2251" s="39" t="str">
        <f>IF(C2251="","",C2251&amp;"#"&amp;COUNTIF($C$5:C2251,C2251))</f>
        <v/>
      </c>
    </row>
    <row r="2252">
      <c r="A2252" s="41" t="n"/>
      <c r="B2252" s="37" t="n"/>
      <c r="C2252" s="37" t="n"/>
      <c r="D2252" s="39" t="str">
        <f>IF(C2252="","",IFERROR(INDEX(art_des,MATCH(C2252,art_ref,0))&amp;"","Référence inconnue"))</f>
        <v/>
      </c>
      <c r="E2252" s="37" t="n"/>
      <c r="F2252" s="39" t="str">
        <f>IF(C2252="","",IFERROR(INDEX(art_unit,MATCH(C2252,art_ref,0))&amp;"",""))</f>
        <v/>
      </c>
      <c r="G2252" s="37" t="n"/>
      <c r="H2252" s="37" t="n"/>
      <c r="I2252" s="37" t="n"/>
      <c r="J2252" s="40" t="str">
        <f>IF(OR(C2252="",NOT(ISNUMBER(E2252))),"",IFERROR(E2252*N(INDEX(art_price,MATCH(C2252,art_ref,0))),""))</f>
        <v/>
      </c>
      <c r="K2252" s="39" t="str">
        <f>IF(OR(C2252="",NOT(ISNUMBER(E2252))),"",IFERROR(ROUND(N(INDEX(art_init,MATCH(C2252,art_ref,0)))+SUMIFS($E$5:E2252,$C$5:C2252,C2252,$B$5:B2252,"Entrée")-SUMIFS($E$5:E2252,$C$5:C2252,C2252,$B$5:B2252,"Sortie"),6),""))</f>
        <v/>
      </c>
      <c r="L2252" s="39" t="str">
        <f>IF(COUNTA(A2252:C2252,E2252)=0,"",IF(COUNTA(A2252:C2252,E2252)&lt;4,"Ligne incomplète",IF(NOT(ISNUMBER(A2252)),"Date invalide",IF(AND(B2252&lt;&gt;"Entrée",B2252&lt;&gt;"Sortie"),"Type inconnu",IF(ISNA(MATCH(C2252,art_ref,0)),"Référence inconnue",IF(OR(NOT(ISNUMBER(E2252)),N(E2252)&lt;=0),"Quantité invalide",IF(K2252&lt;0,"Stock négatif",IF(AND(ISNUMBER(A2251),A2252&lt;A2251),"Date hors ordre","OK"))))))))</f>
        <v/>
      </c>
      <c r="M2252" s="39" t="str">
        <f>IF(C2252="","",C2252&amp;"#"&amp;COUNTIF($C$5:C2252,C2252))</f>
        <v/>
      </c>
    </row>
    <row r="2253">
      <c r="A2253" s="41" t="n"/>
      <c r="B2253" s="37" t="n"/>
      <c r="C2253" s="37" t="n"/>
      <c r="D2253" s="39" t="str">
        <f>IF(C2253="","",IFERROR(INDEX(art_des,MATCH(C2253,art_ref,0))&amp;"","Référence inconnue"))</f>
        <v/>
      </c>
      <c r="E2253" s="37" t="n"/>
      <c r="F2253" s="39" t="str">
        <f>IF(C2253="","",IFERROR(INDEX(art_unit,MATCH(C2253,art_ref,0))&amp;"",""))</f>
        <v/>
      </c>
      <c r="G2253" s="37" t="n"/>
      <c r="H2253" s="37" t="n"/>
      <c r="I2253" s="37" t="n"/>
      <c r="J2253" s="40" t="str">
        <f>IF(OR(C2253="",NOT(ISNUMBER(E2253))),"",IFERROR(E2253*N(INDEX(art_price,MATCH(C2253,art_ref,0))),""))</f>
        <v/>
      </c>
      <c r="K2253" s="39" t="str">
        <f>IF(OR(C2253="",NOT(ISNUMBER(E2253))),"",IFERROR(ROUND(N(INDEX(art_init,MATCH(C2253,art_ref,0)))+SUMIFS($E$5:E2253,$C$5:C2253,C2253,$B$5:B2253,"Entrée")-SUMIFS($E$5:E2253,$C$5:C2253,C2253,$B$5:B2253,"Sortie"),6),""))</f>
        <v/>
      </c>
      <c r="L2253" s="39" t="str">
        <f>IF(COUNTA(A2253:C2253,E2253)=0,"",IF(COUNTA(A2253:C2253,E2253)&lt;4,"Ligne incomplète",IF(NOT(ISNUMBER(A2253)),"Date invalide",IF(AND(B2253&lt;&gt;"Entrée",B2253&lt;&gt;"Sortie"),"Type inconnu",IF(ISNA(MATCH(C2253,art_ref,0)),"Référence inconnue",IF(OR(NOT(ISNUMBER(E2253)),N(E2253)&lt;=0),"Quantité invalide",IF(K2253&lt;0,"Stock négatif",IF(AND(ISNUMBER(A2252),A2253&lt;A2252),"Date hors ordre","OK"))))))))</f>
        <v/>
      </c>
      <c r="M2253" s="39" t="str">
        <f>IF(C2253="","",C2253&amp;"#"&amp;COUNTIF($C$5:C2253,C2253))</f>
        <v/>
      </c>
    </row>
    <row r="2254">
      <c r="A2254" s="41" t="n"/>
      <c r="B2254" s="37" t="n"/>
      <c r="C2254" s="37" t="n"/>
      <c r="D2254" s="39" t="str">
        <f>IF(C2254="","",IFERROR(INDEX(art_des,MATCH(C2254,art_ref,0))&amp;"","Référence inconnue"))</f>
        <v/>
      </c>
      <c r="E2254" s="37" t="n"/>
      <c r="F2254" s="39" t="str">
        <f>IF(C2254="","",IFERROR(INDEX(art_unit,MATCH(C2254,art_ref,0))&amp;"",""))</f>
        <v/>
      </c>
      <c r="G2254" s="37" t="n"/>
      <c r="H2254" s="37" t="n"/>
      <c r="I2254" s="37" t="n"/>
      <c r="J2254" s="40" t="str">
        <f>IF(OR(C2254="",NOT(ISNUMBER(E2254))),"",IFERROR(E2254*N(INDEX(art_price,MATCH(C2254,art_ref,0))),""))</f>
        <v/>
      </c>
      <c r="K2254" s="39" t="str">
        <f>IF(OR(C2254="",NOT(ISNUMBER(E2254))),"",IFERROR(ROUND(N(INDEX(art_init,MATCH(C2254,art_ref,0)))+SUMIFS($E$5:E2254,$C$5:C2254,C2254,$B$5:B2254,"Entrée")-SUMIFS($E$5:E2254,$C$5:C2254,C2254,$B$5:B2254,"Sortie"),6),""))</f>
        <v/>
      </c>
      <c r="L2254" s="39" t="str">
        <f>IF(COUNTA(A2254:C2254,E2254)=0,"",IF(COUNTA(A2254:C2254,E2254)&lt;4,"Ligne incomplète",IF(NOT(ISNUMBER(A2254)),"Date invalide",IF(AND(B2254&lt;&gt;"Entrée",B2254&lt;&gt;"Sortie"),"Type inconnu",IF(ISNA(MATCH(C2254,art_ref,0)),"Référence inconnue",IF(OR(NOT(ISNUMBER(E2254)),N(E2254)&lt;=0),"Quantité invalide",IF(K2254&lt;0,"Stock négatif",IF(AND(ISNUMBER(A2253),A2254&lt;A2253),"Date hors ordre","OK"))))))))</f>
        <v/>
      </c>
      <c r="M2254" s="39" t="str">
        <f>IF(C2254="","",C2254&amp;"#"&amp;COUNTIF($C$5:C2254,C2254))</f>
        <v/>
      </c>
    </row>
    <row r="2255">
      <c r="A2255" s="41" t="n"/>
      <c r="B2255" s="37" t="n"/>
      <c r="C2255" s="37" t="n"/>
      <c r="D2255" s="39" t="str">
        <f>IF(C2255="","",IFERROR(INDEX(art_des,MATCH(C2255,art_ref,0))&amp;"","Référence inconnue"))</f>
        <v/>
      </c>
      <c r="E2255" s="37" t="n"/>
      <c r="F2255" s="39" t="str">
        <f>IF(C2255="","",IFERROR(INDEX(art_unit,MATCH(C2255,art_ref,0))&amp;"",""))</f>
        <v/>
      </c>
      <c r="G2255" s="37" t="n"/>
      <c r="H2255" s="37" t="n"/>
      <c r="I2255" s="37" t="n"/>
      <c r="J2255" s="40" t="str">
        <f>IF(OR(C2255="",NOT(ISNUMBER(E2255))),"",IFERROR(E2255*N(INDEX(art_price,MATCH(C2255,art_ref,0))),""))</f>
        <v/>
      </c>
      <c r="K2255" s="39" t="str">
        <f>IF(OR(C2255="",NOT(ISNUMBER(E2255))),"",IFERROR(ROUND(N(INDEX(art_init,MATCH(C2255,art_ref,0)))+SUMIFS($E$5:E2255,$C$5:C2255,C2255,$B$5:B2255,"Entrée")-SUMIFS($E$5:E2255,$C$5:C2255,C2255,$B$5:B2255,"Sortie"),6),""))</f>
        <v/>
      </c>
      <c r="L2255" s="39" t="str">
        <f>IF(COUNTA(A2255:C2255,E2255)=0,"",IF(COUNTA(A2255:C2255,E2255)&lt;4,"Ligne incomplète",IF(NOT(ISNUMBER(A2255)),"Date invalide",IF(AND(B2255&lt;&gt;"Entrée",B2255&lt;&gt;"Sortie"),"Type inconnu",IF(ISNA(MATCH(C2255,art_ref,0)),"Référence inconnue",IF(OR(NOT(ISNUMBER(E2255)),N(E2255)&lt;=0),"Quantité invalide",IF(K2255&lt;0,"Stock négatif",IF(AND(ISNUMBER(A2254),A2255&lt;A2254),"Date hors ordre","OK"))))))))</f>
        <v/>
      </c>
      <c r="M2255" s="39" t="str">
        <f>IF(C2255="","",C2255&amp;"#"&amp;COUNTIF($C$5:C2255,C2255))</f>
        <v/>
      </c>
    </row>
    <row r="2256">
      <c r="A2256" s="41" t="n"/>
      <c r="B2256" s="37" t="n"/>
      <c r="C2256" s="37" t="n"/>
      <c r="D2256" s="39" t="str">
        <f>IF(C2256="","",IFERROR(INDEX(art_des,MATCH(C2256,art_ref,0))&amp;"","Référence inconnue"))</f>
        <v/>
      </c>
      <c r="E2256" s="37" t="n"/>
      <c r="F2256" s="39" t="str">
        <f>IF(C2256="","",IFERROR(INDEX(art_unit,MATCH(C2256,art_ref,0))&amp;"",""))</f>
        <v/>
      </c>
      <c r="G2256" s="37" t="n"/>
      <c r="H2256" s="37" t="n"/>
      <c r="I2256" s="37" t="n"/>
      <c r="J2256" s="40" t="str">
        <f>IF(OR(C2256="",NOT(ISNUMBER(E2256))),"",IFERROR(E2256*N(INDEX(art_price,MATCH(C2256,art_ref,0))),""))</f>
        <v/>
      </c>
      <c r="K2256" s="39" t="str">
        <f>IF(OR(C2256="",NOT(ISNUMBER(E2256))),"",IFERROR(ROUND(N(INDEX(art_init,MATCH(C2256,art_ref,0)))+SUMIFS($E$5:E2256,$C$5:C2256,C2256,$B$5:B2256,"Entrée")-SUMIFS($E$5:E2256,$C$5:C2256,C2256,$B$5:B2256,"Sortie"),6),""))</f>
        <v/>
      </c>
      <c r="L2256" s="39" t="str">
        <f>IF(COUNTA(A2256:C2256,E2256)=0,"",IF(COUNTA(A2256:C2256,E2256)&lt;4,"Ligne incomplète",IF(NOT(ISNUMBER(A2256)),"Date invalide",IF(AND(B2256&lt;&gt;"Entrée",B2256&lt;&gt;"Sortie"),"Type inconnu",IF(ISNA(MATCH(C2256,art_ref,0)),"Référence inconnue",IF(OR(NOT(ISNUMBER(E2256)),N(E2256)&lt;=0),"Quantité invalide",IF(K2256&lt;0,"Stock négatif",IF(AND(ISNUMBER(A2255),A2256&lt;A2255),"Date hors ordre","OK"))))))))</f>
        <v/>
      </c>
      <c r="M2256" s="39" t="str">
        <f>IF(C2256="","",C2256&amp;"#"&amp;COUNTIF($C$5:C2256,C2256))</f>
        <v/>
      </c>
    </row>
    <row r="2257">
      <c r="A2257" s="41" t="n"/>
      <c r="B2257" s="37" t="n"/>
      <c r="C2257" s="37" t="n"/>
      <c r="D2257" s="39" t="str">
        <f>IF(C2257="","",IFERROR(INDEX(art_des,MATCH(C2257,art_ref,0))&amp;"","Référence inconnue"))</f>
        <v/>
      </c>
      <c r="E2257" s="37" t="n"/>
      <c r="F2257" s="39" t="str">
        <f>IF(C2257="","",IFERROR(INDEX(art_unit,MATCH(C2257,art_ref,0))&amp;"",""))</f>
        <v/>
      </c>
      <c r="G2257" s="37" t="n"/>
      <c r="H2257" s="37" t="n"/>
      <c r="I2257" s="37" t="n"/>
      <c r="J2257" s="40" t="str">
        <f>IF(OR(C2257="",NOT(ISNUMBER(E2257))),"",IFERROR(E2257*N(INDEX(art_price,MATCH(C2257,art_ref,0))),""))</f>
        <v/>
      </c>
      <c r="K2257" s="39" t="str">
        <f>IF(OR(C2257="",NOT(ISNUMBER(E2257))),"",IFERROR(ROUND(N(INDEX(art_init,MATCH(C2257,art_ref,0)))+SUMIFS($E$5:E2257,$C$5:C2257,C2257,$B$5:B2257,"Entrée")-SUMIFS($E$5:E2257,$C$5:C2257,C2257,$B$5:B2257,"Sortie"),6),""))</f>
        <v/>
      </c>
      <c r="L2257" s="39" t="str">
        <f>IF(COUNTA(A2257:C2257,E2257)=0,"",IF(COUNTA(A2257:C2257,E2257)&lt;4,"Ligne incomplète",IF(NOT(ISNUMBER(A2257)),"Date invalide",IF(AND(B2257&lt;&gt;"Entrée",B2257&lt;&gt;"Sortie"),"Type inconnu",IF(ISNA(MATCH(C2257,art_ref,0)),"Référence inconnue",IF(OR(NOT(ISNUMBER(E2257)),N(E2257)&lt;=0),"Quantité invalide",IF(K2257&lt;0,"Stock négatif",IF(AND(ISNUMBER(A2256),A2257&lt;A2256),"Date hors ordre","OK"))))))))</f>
        <v/>
      </c>
      <c r="M2257" s="39" t="str">
        <f>IF(C2257="","",C2257&amp;"#"&amp;COUNTIF($C$5:C2257,C2257))</f>
        <v/>
      </c>
    </row>
    <row r="2258">
      <c r="A2258" s="41" t="n"/>
      <c r="B2258" s="37" t="n"/>
      <c r="C2258" s="37" t="n"/>
      <c r="D2258" s="39" t="str">
        <f>IF(C2258="","",IFERROR(INDEX(art_des,MATCH(C2258,art_ref,0))&amp;"","Référence inconnue"))</f>
        <v/>
      </c>
      <c r="E2258" s="37" t="n"/>
      <c r="F2258" s="39" t="str">
        <f>IF(C2258="","",IFERROR(INDEX(art_unit,MATCH(C2258,art_ref,0))&amp;"",""))</f>
        <v/>
      </c>
      <c r="G2258" s="37" t="n"/>
      <c r="H2258" s="37" t="n"/>
      <c r="I2258" s="37" t="n"/>
      <c r="J2258" s="40" t="str">
        <f>IF(OR(C2258="",NOT(ISNUMBER(E2258))),"",IFERROR(E2258*N(INDEX(art_price,MATCH(C2258,art_ref,0))),""))</f>
        <v/>
      </c>
      <c r="K2258" s="39" t="str">
        <f>IF(OR(C2258="",NOT(ISNUMBER(E2258))),"",IFERROR(ROUND(N(INDEX(art_init,MATCH(C2258,art_ref,0)))+SUMIFS($E$5:E2258,$C$5:C2258,C2258,$B$5:B2258,"Entrée")-SUMIFS($E$5:E2258,$C$5:C2258,C2258,$B$5:B2258,"Sortie"),6),""))</f>
        <v/>
      </c>
      <c r="L2258" s="39" t="str">
        <f>IF(COUNTA(A2258:C2258,E2258)=0,"",IF(COUNTA(A2258:C2258,E2258)&lt;4,"Ligne incomplète",IF(NOT(ISNUMBER(A2258)),"Date invalide",IF(AND(B2258&lt;&gt;"Entrée",B2258&lt;&gt;"Sortie"),"Type inconnu",IF(ISNA(MATCH(C2258,art_ref,0)),"Référence inconnue",IF(OR(NOT(ISNUMBER(E2258)),N(E2258)&lt;=0),"Quantité invalide",IF(K2258&lt;0,"Stock négatif",IF(AND(ISNUMBER(A2257),A2258&lt;A2257),"Date hors ordre","OK"))))))))</f>
        <v/>
      </c>
      <c r="M2258" s="39" t="str">
        <f>IF(C2258="","",C2258&amp;"#"&amp;COUNTIF($C$5:C2258,C2258))</f>
        <v/>
      </c>
    </row>
    <row r="2259">
      <c r="A2259" s="41" t="n"/>
      <c r="B2259" s="37" t="n"/>
      <c r="C2259" s="37" t="n"/>
      <c r="D2259" s="39" t="str">
        <f>IF(C2259="","",IFERROR(INDEX(art_des,MATCH(C2259,art_ref,0))&amp;"","Référence inconnue"))</f>
        <v/>
      </c>
      <c r="E2259" s="37" t="n"/>
      <c r="F2259" s="39" t="str">
        <f>IF(C2259="","",IFERROR(INDEX(art_unit,MATCH(C2259,art_ref,0))&amp;"",""))</f>
        <v/>
      </c>
      <c r="G2259" s="37" t="n"/>
      <c r="H2259" s="37" t="n"/>
      <c r="I2259" s="37" t="n"/>
      <c r="J2259" s="40" t="str">
        <f>IF(OR(C2259="",NOT(ISNUMBER(E2259))),"",IFERROR(E2259*N(INDEX(art_price,MATCH(C2259,art_ref,0))),""))</f>
        <v/>
      </c>
      <c r="K2259" s="39" t="str">
        <f>IF(OR(C2259="",NOT(ISNUMBER(E2259))),"",IFERROR(ROUND(N(INDEX(art_init,MATCH(C2259,art_ref,0)))+SUMIFS($E$5:E2259,$C$5:C2259,C2259,$B$5:B2259,"Entrée")-SUMIFS($E$5:E2259,$C$5:C2259,C2259,$B$5:B2259,"Sortie"),6),""))</f>
        <v/>
      </c>
      <c r="L2259" s="39" t="str">
        <f>IF(COUNTA(A2259:C2259,E2259)=0,"",IF(COUNTA(A2259:C2259,E2259)&lt;4,"Ligne incomplète",IF(NOT(ISNUMBER(A2259)),"Date invalide",IF(AND(B2259&lt;&gt;"Entrée",B2259&lt;&gt;"Sortie"),"Type inconnu",IF(ISNA(MATCH(C2259,art_ref,0)),"Référence inconnue",IF(OR(NOT(ISNUMBER(E2259)),N(E2259)&lt;=0),"Quantité invalide",IF(K2259&lt;0,"Stock négatif",IF(AND(ISNUMBER(A2258),A2259&lt;A2258),"Date hors ordre","OK"))))))))</f>
        <v/>
      </c>
      <c r="M2259" s="39" t="str">
        <f>IF(C2259="","",C2259&amp;"#"&amp;COUNTIF($C$5:C2259,C2259))</f>
        <v/>
      </c>
    </row>
    <row r="2260">
      <c r="A2260" s="41" t="n"/>
      <c r="B2260" s="37" t="n"/>
      <c r="C2260" s="37" t="n"/>
      <c r="D2260" s="39" t="str">
        <f>IF(C2260="","",IFERROR(INDEX(art_des,MATCH(C2260,art_ref,0))&amp;"","Référence inconnue"))</f>
        <v/>
      </c>
      <c r="E2260" s="37" t="n"/>
      <c r="F2260" s="39" t="str">
        <f>IF(C2260="","",IFERROR(INDEX(art_unit,MATCH(C2260,art_ref,0))&amp;"",""))</f>
        <v/>
      </c>
      <c r="G2260" s="37" t="n"/>
      <c r="H2260" s="37" t="n"/>
      <c r="I2260" s="37" t="n"/>
      <c r="J2260" s="40" t="str">
        <f>IF(OR(C2260="",NOT(ISNUMBER(E2260))),"",IFERROR(E2260*N(INDEX(art_price,MATCH(C2260,art_ref,0))),""))</f>
        <v/>
      </c>
      <c r="K2260" s="39" t="str">
        <f>IF(OR(C2260="",NOT(ISNUMBER(E2260))),"",IFERROR(ROUND(N(INDEX(art_init,MATCH(C2260,art_ref,0)))+SUMIFS($E$5:E2260,$C$5:C2260,C2260,$B$5:B2260,"Entrée")-SUMIFS($E$5:E2260,$C$5:C2260,C2260,$B$5:B2260,"Sortie"),6),""))</f>
        <v/>
      </c>
      <c r="L2260" s="39" t="str">
        <f>IF(COUNTA(A2260:C2260,E2260)=0,"",IF(COUNTA(A2260:C2260,E2260)&lt;4,"Ligne incomplète",IF(NOT(ISNUMBER(A2260)),"Date invalide",IF(AND(B2260&lt;&gt;"Entrée",B2260&lt;&gt;"Sortie"),"Type inconnu",IF(ISNA(MATCH(C2260,art_ref,0)),"Référence inconnue",IF(OR(NOT(ISNUMBER(E2260)),N(E2260)&lt;=0),"Quantité invalide",IF(K2260&lt;0,"Stock négatif",IF(AND(ISNUMBER(A2259),A2260&lt;A2259),"Date hors ordre","OK"))))))))</f>
        <v/>
      </c>
      <c r="M2260" s="39" t="str">
        <f>IF(C2260="","",C2260&amp;"#"&amp;COUNTIF($C$5:C2260,C2260))</f>
        <v/>
      </c>
    </row>
    <row r="2261">
      <c r="A2261" s="41" t="n"/>
      <c r="B2261" s="37" t="n"/>
      <c r="C2261" s="37" t="n"/>
      <c r="D2261" s="39" t="str">
        <f>IF(C2261="","",IFERROR(INDEX(art_des,MATCH(C2261,art_ref,0))&amp;"","Référence inconnue"))</f>
        <v/>
      </c>
      <c r="E2261" s="37" t="n"/>
      <c r="F2261" s="39" t="str">
        <f>IF(C2261="","",IFERROR(INDEX(art_unit,MATCH(C2261,art_ref,0))&amp;"",""))</f>
        <v/>
      </c>
      <c r="G2261" s="37" t="n"/>
      <c r="H2261" s="37" t="n"/>
      <c r="I2261" s="37" t="n"/>
      <c r="J2261" s="40" t="str">
        <f>IF(OR(C2261="",NOT(ISNUMBER(E2261))),"",IFERROR(E2261*N(INDEX(art_price,MATCH(C2261,art_ref,0))),""))</f>
        <v/>
      </c>
      <c r="K2261" s="39" t="str">
        <f>IF(OR(C2261="",NOT(ISNUMBER(E2261))),"",IFERROR(ROUND(N(INDEX(art_init,MATCH(C2261,art_ref,0)))+SUMIFS($E$5:E2261,$C$5:C2261,C2261,$B$5:B2261,"Entrée")-SUMIFS($E$5:E2261,$C$5:C2261,C2261,$B$5:B2261,"Sortie"),6),""))</f>
        <v/>
      </c>
      <c r="L2261" s="39" t="str">
        <f>IF(COUNTA(A2261:C2261,E2261)=0,"",IF(COUNTA(A2261:C2261,E2261)&lt;4,"Ligne incomplète",IF(NOT(ISNUMBER(A2261)),"Date invalide",IF(AND(B2261&lt;&gt;"Entrée",B2261&lt;&gt;"Sortie"),"Type inconnu",IF(ISNA(MATCH(C2261,art_ref,0)),"Référence inconnue",IF(OR(NOT(ISNUMBER(E2261)),N(E2261)&lt;=0),"Quantité invalide",IF(K2261&lt;0,"Stock négatif",IF(AND(ISNUMBER(A2260),A2261&lt;A2260),"Date hors ordre","OK"))))))))</f>
        <v/>
      </c>
      <c r="M2261" s="39" t="str">
        <f>IF(C2261="","",C2261&amp;"#"&amp;COUNTIF($C$5:C2261,C2261))</f>
        <v/>
      </c>
    </row>
    <row r="2262">
      <c r="A2262" s="41" t="n"/>
      <c r="B2262" s="37" t="n"/>
      <c r="C2262" s="37" t="n"/>
      <c r="D2262" s="39" t="str">
        <f>IF(C2262="","",IFERROR(INDEX(art_des,MATCH(C2262,art_ref,0))&amp;"","Référence inconnue"))</f>
        <v/>
      </c>
      <c r="E2262" s="37" t="n"/>
      <c r="F2262" s="39" t="str">
        <f>IF(C2262="","",IFERROR(INDEX(art_unit,MATCH(C2262,art_ref,0))&amp;"",""))</f>
        <v/>
      </c>
      <c r="G2262" s="37" t="n"/>
      <c r="H2262" s="37" t="n"/>
      <c r="I2262" s="37" t="n"/>
      <c r="J2262" s="40" t="str">
        <f>IF(OR(C2262="",NOT(ISNUMBER(E2262))),"",IFERROR(E2262*N(INDEX(art_price,MATCH(C2262,art_ref,0))),""))</f>
        <v/>
      </c>
      <c r="K2262" s="39" t="str">
        <f>IF(OR(C2262="",NOT(ISNUMBER(E2262))),"",IFERROR(ROUND(N(INDEX(art_init,MATCH(C2262,art_ref,0)))+SUMIFS($E$5:E2262,$C$5:C2262,C2262,$B$5:B2262,"Entrée")-SUMIFS($E$5:E2262,$C$5:C2262,C2262,$B$5:B2262,"Sortie"),6),""))</f>
        <v/>
      </c>
      <c r="L2262" s="39" t="str">
        <f>IF(COUNTA(A2262:C2262,E2262)=0,"",IF(COUNTA(A2262:C2262,E2262)&lt;4,"Ligne incomplète",IF(NOT(ISNUMBER(A2262)),"Date invalide",IF(AND(B2262&lt;&gt;"Entrée",B2262&lt;&gt;"Sortie"),"Type inconnu",IF(ISNA(MATCH(C2262,art_ref,0)),"Référence inconnue",IF(OR(NOT(ISNUMBER(E2262)),N(E2262)&lt;=0),"Quantité invalide",IF(K2262&lt;0,"Stock négatif",IF(AND(ISNUMBER(A2261),A2262&lt;A2261),"Date hors ordre","OK"))))))))</f>
        <v/>
      </c>
      <c r="M2262" s="39" t="str">
        <f>IF(C2262="","",C2262&amp;"#"&amp;COUNTIF($C$5:C2262,C2262))</f>
        <v/>
      </c>
    </row>
    <row r="2263">
      <c r="A2263" s="41" t="n"/>
      <c r="B2263" s="37" t="n"/>
      <c r="C2263" s="37" t="n"/>
      <c r="D2263" s="39" t="str">
        <f>IF(C2263="","",IFERROR(INDEX(art_des,MATCH(C2263,art_ref,0))&amp;"","Référence inconnue"))</f>
        <v/>
      </c>
      <c r="E2263" s="37" t="n"/>
      <c r="F2263" s="39" t="str">
        <f>IF(C2263="","",IFERROR(INDEX(art_unit,MATCH(C2263,art_ref,0))&amp;"",""))</f>
        <v/>
      </c>
      <c r="G2263" s="37" t="n"/>
      <c r="H2263" s="37" t="n"/>
      <c r="I2263" s="37" t="n"/>
      <c r="J2263" s="40" t="str">
        <f>IF(OR(C2263="",NOT(ISNUMBER(E2263))),"",IFERROR(E2263*N(INDEX(art_price,MATCH(C2263,art_ref,0))),""))</f>
        <v/>
      </c>
      <c r="K2263" s="39" t="str">
        <f>IF(OR(C2263="",NOT(ISNUMBER(E2263))),"",IFERROR(ROUND(N(INDEX(art_init,MATCH(C2263,art_ref,0)))+SUMIFS($E$5:E2263,$C$5:C2263,C2263,$B$5:B2263,"Entrée")-SUMIFS($E$5:E2263,$C$5:C2263,C2263,$B$5:B2263,"Sortie"),6),""))</f>
        <v/>
      </c>
      <c r="L2263" s="39" t="str">
        <f>IF(COUNTA(A2263:C2263,E2263)=0,"",IF(COUNTA(A2263:C2263,E2263)&lt;4,"Ligne incomplète",IF(NOT(ISNUMBER(A2263)),"Date invalide",IF(AND(B2263&lt;&gt;"Entrée",B2263&lt;&gt;"Sortie"),"Type inconnu",IF(ISNA(MATCH(C2263,art_ref,0)),"Référence inconnue",IF(OR(NOT(ISNUMBER(E2263)),N(E2263)&lt;=0),"Quantité invalide",IF(K2263&lt;0,"Stock négatif",IF(AND(ISNUMBER(A2262),A2263&lt;A2262),"Date hors ordre","OK"))))))))</f>
        <v/>
      </c>
      <c r="M2263" s="39" t="str">
        <f>IF(C2263="","",C2263&amp;"#"&amp;COUNTIF($C$5:C2263,C2263))</f>
        <v/>
      </c>
    </row>
    <row r="2264">
      <c r="A2264" s="41" t="n"/>
      <c r="B2264" s="37" t="n"/>
      <c r="C2264" s="37" t="n"/>
      <c r="D2264" s="39" t="str">
        <f>IF(C2264="","",IFERROR(INDEX(art_des,MATCH(C2264,art_ref,0))&amp;"","Référence inconnue"))</f>
        <v/>
      </c>
      <c r="E2264" s="37" t="n"/>
      <c r="F2264" s="39" t="str">
        <f>IF(C2264="","",IFERROR(INDEX(art_unit,MATCH(C2264,art_ref,0))&amp;"",""))</f>
        <v/>
      </c>
      <c r="G2264" s="37" t="n"/>
      <c r="H2264" s="37" t="n"/>
      <c r="I2264" s="37" t="n"/>
      <c r="J2264" s="40" t="str">
        <f>IF(OR(C2264="",NOT(ISNUMBER(E2264))),"",IFERROR(E2264*N(INDEX(art_price,MATCH(C2264,art_ref,0))),""))</f>
        <v/>
      </c>
      <c r="K2264" s="39" t="str">
        <f>IF(OR(C2264="",NOT(ISNUMBER(E2264))),"",IFERROR(ROUND(N(INDEX(art_init,MATCH(C2264,art_ref,0)))+SUMIFS($E$5:E2264,$C$5:C2264,C2264,$B$5:B2264,"Entrée")-SUMIFS($E$5:E2264,$C$5:C2264,C2264,$B$5:B2264,"Sortie"),6),""))</f>
        <v/>
      </c>
      <c r="L2264" s="39" t="str">
        <f>IF(COUNTA(A2264:C2264,E2264)=0,"",IF(COUNTA(A2264:C2264,E2264)&lt;4,"Ligne incomplète",IF(NOT(ISNUMBER(A2264)),"Date invalide",IF(AND(B2264&lt;&gt;"Entrée",B2264&lt;&gt;"Sortie"),"Type inconnu",IF(ISNA(MATCH(C2264,art_ref,0)),"Référence inconnue",IF(OR(NOT(ISNUMBER(E2264)),N(E2264)&lt;=0),"Quantité invalide",IF(K2264&lt;0,"Stock négatif",IF(AND(ISNUMBER(A2263),A2264&lt;A2263),"Date hors ordre","OK"))))))))</f>
        <v/>
      </c>
      <c r="M2264" s="39" t="str">
        <f>IF(C2264="","",C2264&amp;"#"&amp;COUNTIF($C$5:C2264,C2264))</f>
        <v/>
      </c>
    </row>
    <row r="2265">
      <c r="A2265" s="41" t="n"/>
      <c r="B2265" s="37" t="n"/>
      <c r="C2265" s="37" t="n"/>
      <c r="D2265" s="39" t="str">
        <f>IF(C2265="","",IFERROR(INDEX(art_des,MATCH(C2265,art_ref,0))&amp;"","Référence inconnue"))</f>
        <v/>
      </c>
      <c r="E2265" s="37" t="n"/>
      <c r="F2265" s="39" t="str">
        <f>IF(C2265="","",IFERROR(INDEX(art_unit,MATCH(C2265,art_ref,0))&amp;"",""))</f>
        <v/>
      </c>
      <c r="G2265" s="37" t="n"/>
      <c r="H2265" s="37" t="n"/>
      <c r="I2265" s="37" t="n"/>
      <c r="J2265" s="40" t="str">
        <f>IF(OR(C2265="",NOT(ISNUMBER(E2265))),"",IFERROR(E2265*N(INDEX(art_price,MATCH(C2265,art_ref,0))),""))</f>
        <v/>
      </c>
      <c r="K2265" s="39" t="str">
        <f>IF(OR(C2265="",NOT(ISNUMBER(E2265))),"",IFERROR(ROUND(N(INDEX(art_init,MATCH(C2265,art_ref,0)))+SUMIFS($E$5:E2265,$C$5:C2265,C2265,$B$5:B2265,"Entrée")-SUMIFS($E$5:E2265,$C$5:C2265,C2265,$B$5:B2265,"Sortie"),6),""))</f>
        <v/>
      </c>
      <c r="L2265" s="39" t="str">
        <f>IF(COUNTA(A2265:C2265,E2265)=0,"",IF(COUNTA(A2265:C2265,E2265)&lt;4,"Ligne incomplète",IF(NOT(ISNUMBER(A2265)),"Date invalide",IF(AND(B2265&lt;&gt;"Entrée",B2265&lt;&gt;"Sortie"),"Type inconnu",IF(ISNA(MATCH(C2265,art_ref,0)),"Référence inconnue",IF(OR(NOT(ISNUMBER(E2265)),N(E2265)&lt;=0),"Quantité invalide",IF(K2265&lt;0,"Stock négatif",IF(AND(ISNUMBER(A2264),A2265&lt;A2264),"Date hors ordre","OK"))))))))</f>
        <v/>
      </c>
      <c r="M2265" s="39" t="str">
        <f>IF(C2265="","",C2265&amp;"#"&amp;COUNTIF($C$5:C2265,C2265))</f>
        <v/>
      </c>
    </row>
    <row r="2266">
      <c r="A2266" s="41" t="n"/>
      <c r="B2266" s="37" t="n"/>
      <c r="C2266" s="37" t="n"/>
      <c r="D2266" s="39" t="str">
        <f>IF(C2266="","",IFERROR(INDEX(art_des,MATCH(C2266,art_ref,0))&amp;"","Référence inconnue"))</f>
        <v/>
      </c>
      <c r="E2266" s="37" t="n"/>
      <c r="F2266" s="39" t="str">
        <f>IF(C2266="","",IFERROR(INDEX(art_unit,MATCH(C2266,art_ref,0))&amp;"",""))</f>
        <v/>
      </c>
      <c r="G2266" s="37" t="n"/>
      <c r="H2266" s="37" t="n"/>
      <c r="I2266" s="37" t="n"/>
      <c r="J2266" s="40" t="str">
        <f>IF(OR(C2266="",NOT(ISNUMBER(E2266))),"",IFERROR(E2266*N(INDEX(art_price,MATCH(C2266,art_ref,0))),""))</f>
        <v/>
      </c>
      <c r="K2266" s="39" t="str">
        <f>IF(OR(C2266="",NOT(ISNUMBER(E2266))),"",IFERROR(ROUND(N(INDEX(art_init,MATCH(C2266,art_ref,0)))+SUMIFS($E$5:E2266,$C$5:C2266,C2266,$B$5:B2266,"Entrée")-SUMIFS($E$5:E2266,$C$5:C2266,C2266,$B$5:B2266,"Sortie"),6),""))</f>
        <v/>
      </c>
      <c r="L2266" s="39" t="str">
        <f>IF(COUNTA(A2266:C2266,E2266)=0,"",IF(COUNTA(A2266:C2266,E2266)&lt;4,"Ligne incomplète",IF(NOT(ISNUMBER(A2266)),"Date invalide",IF(AND(B2266&lt;&gt;"Entrée",B2266&lt;&gt;"Sortie"),"Type inconnu",IF(ISNA(MATCH(C2266,art_ref,0)),"Référence inconnue",IF(OR(NOT(ISNUMBER(E2266)),N(E2266)&lt;=0),"Quantité invalide",IF(K2266&lt;0,"Stock négatif",IF(AND(ISNUMBER(A2265),A2266&lt;A2265),"Date hors ordre","OK"))))))))</f>
        <v/>
      </c>
      <c r="M2266" s="39" t="str">
        <f>IF(C2266="","",C2266&amp;"#"&amp;COUNTIF($C$5:C2266,C2266))</f>
        <v/>
      </c>
    </row>
    <row r="2267">
      <c r="A2267" s="41" t="n"/>
      <c r="B2267" s="37" t="n"/>
      <c r="C2267" s="37" t="n"/>
      <c r="D2267" s="39" t="str">
        <f>IF(C2267="","",IFERROR(INDEX(art_des,MATCH(C2267,art_ref,0))&amp;"","Référence inconnue"))</f>
        <v/>
      </c>
      <c r="E2267" s="37" t="n"/>
      <c r="F2267" s="39" t="str">
        <f>IF(C2267="","",IFERROR(INDEX(art_unit,MATCH(C2267,art_ref,0))&amp;"",""))</f>
        <v/>
      </c>
      <c r="G2267" s="37" t="n"/>
      <c r="H2267" s="37" t="n"/>
      <c r="I2267" s="37" t="n"/>
      <c r="J2267" s="40" t="str">
        <f>IF(OR(C2267="",NOT(ISNUMBER(E2267))),"",IFERROR(E2267*N(INDEX(art_price,MATCH(C2267,art_ref,0))),""))</f>
        <v/>
      </c>
      <c r="K2267" s="39" t="str">
        <f>IF(OR(C2267="",NOT(ISNUMBER(E2267))),"",IFERROR(ROUND(N(INDEX(art_init,MATCH(C2267,art_ref,0)))+SUMIFS($E$5:E2267,$C$5:C2267,C2267,$B$5:B2267,"Entrée")-SUMIFS($E$5:E2267,$C$5:C2267,C2267,$B$5:B2267,"Sortie"),6),""))</f>
        <v/>
      </c>
      <c r="L2267" s="39" t="str">
        <f>IF(COUNTA(A2267:C2267,E2267)=0,"",IF(COUNTA(A2267:C2267,E2267)&lt;4,"Ligne incomplète",IF(NOT(ISNUMBER(A2267)),"Date invalide",IF(AND(B2267&lt;&gt;"Entrée",B2267&lt;&gt;"Sortie"),"Type inconnu",IF(ISNA(MATCH(C2267,art_ref,0)),"Référence inconnue",IF(OR(NOT(ISNUMBER(E2267)),N(E2267)&lt;=0),"Quantité invalide",IF(K2267&lt;0,"Stock négatif",IF(AND(ISNUMBER(A2266),A2267&lt;A2266),"Date hors ordre","OK"))))))))</f>
        <v/>
      </c>
      <c r="M2267" s="39" t="str">
        <f>IF(C2267="","",C2267&amp;"#"&amp;COUNTIF($C$5:C2267,C2267))</f>
        <v/>
      </c>
    </row>
    <row r="2268">
      <c r="A2268" s="41" t="n"/>
      <c r="B2268" s="37" t="n"/>
      <c r="C2268" s="37" t="n"/>
      <c r="D2268" s="39" t="str">
        <f>IF(C2268="","",IFERROR(INDEX(art_des,MATCH(C2268,art_ref,0))&amp;"","Référence inconnue"))</f>
        <v/>
      </c>
      <c r="E2268" s="37" t="n"/>
      <c r="F2268" s="39" t="str">
        <f>IF(C2268="","",IFERROR(INDEX(art_unit,MATCH(C2268,art_ref,0))&amp;"",""))</f>
        <v/>
      </c>
      <c r="G2268" s="37" t="n"/>
      <c r="H2268" s="37" t="n"/>
      <c r="I2268" s="37" t="n"/>
      <c r="J2268" s="40" t="str">
        <f>IF(OR(C2268="",NOT(ISNUMBER(E2268))),"",IFERROR(E2268*N(INDEX(art_price,MATCH(C2268,art_ref,0))),""))</f>
        <v/>
      </c>
      <c r="K2268" s="39" t="str">
        <f>IF(OR(C2268="",NOT(ISNUMBER(E2268))),"",IFERROR(ROUND(N(INDEX(art_init,MATCH(C2268,art_ref,0)))+SUMIFS($E$5:E2268,$C$5:C2268,C2268,$B$5:B2268,"Entrée")-SUMIFS($E$5:E2268,$C$5:C2268,C2268,$B$5:B2268,"Sortie"),6),""))</f>
        <v/>
      </c>
      <c r="L2268" s="39" t="str">
        <f>IF(COUNTA(A2268:C2268,E2268)=0,"",IF(COUNTA(A2268:C2268,E2268)&lt;4,"Ligne incomplète",IF(NOT(ISNUMBER(A2268)),"Date invalide",IF(AND(B2268&lt;&gt;"Entrée",B2268&lt;&gt;"Sortie"),"Type inconnu",IF(ISNA(MATCH(C2268,art_ref,0)),"Référence inconnue",IF(OR(NOT(ISNUMBER(E2268)),N(E2268)&lt;=0),"Quantité invalide",IF(K2268&lt;0,"Stock négatif",IF(AND(ISNUMBER(A2267),A2268&lt;A2267),"Date hors ordre","OK"))))))))</f>
        <v/>
      </c>
      <c r="M2268" s="39" t="str">
        <f>IF(C2268="","",C2268&amp;"#"&amp;COUNTIF($C$5:C2268,C2268))</f>
        <v/>
      </c>
    </row>
    <row r="2269">
      <c r="A2269" s="41" t="n"/>
      <c r="B2269" s="37" t="n"/>
      <c r="C2269" s="37" t="n"/>
      <c r="D2269" s="39" t="str">
        <f>IF(C2269="","",IFERROR(INDEX(art_des,MATCH(C2269,art_ref,0))&amp;"","Référence inconnue"))</f>
        <v/>
      </c>
      <c r="E2269" s="37" t="n"/>
      <c r="F2269" s="39" t="str">
        <f>IF(C2269="","",IFERROR(INDEX(art_unit,MATCH(C2269,art_ref,0))&amp;"",""))</f>
        <v/>
      </c>
      <c r="G2269" s="37" t="n"/>
      <c r="H2269" s="37" t="n"/>
      <c r="I2269" s="37" t="n"/>
      <c r="J2269" s="40" t="str">
        <f>IF(OR(C2269="",NOT(ISNUMBER(E2269))),"",IFERROR(E2269*N(INDEX(art_price,MATCH(C2269,art_ref,0))),""))</f>
        <v/>
      </c>
      <c r="K2269" s="39" t="str">
        <f>IF(OR(C2269="",NOT(ISNUMBER(E2269))),"",IFERROR(ROUND(N(INDEX(art_init,MATCH(C2269,art_ref,0)))+SUMIFS($E$5:E2269,$C$5:C2269,C2269,$B$5:B2269,"Entrée")-SUMIFS($E$5:E2269,$C$5:C2269,C2269,$B$5:B2269,"Sortie"),6),""))</f>
        <v/>
      </c>
      <c r="L2269" s="39" t="str">
        <f>IF(COUNTA(A2269:C2269,E2269)=0,"",IF(COUNTA(A2269:C2269,E2269)&lt;4,"Ligne incomplète",IF(NOT(ISNUMBER(A2269)),"Date invalide",IF(AND(B2269&lt;&gt;"Entrée",B2269&lt;&gt;"Sortie"),"Type inconnu",IF(ISNA(MATCH(C2269,art_ref,0)),"Référence inconnue",IF(OR(NOT(ISNUMBER(E2269)),N(E2269)&lt;=0),"Quantité invalide",IF(K2269&lt;0,"Stock négatif",IF(AND(ISNUMBER(A2268),A2269&lt;A2268),"Date hors ordre","OK"))))))))</f>
        <v/>
      </c>
      <c r="M2269" s="39" t="str">
        <f>IF(C2269="","",C2269&amp;"#"&amp;COUNTIF($C$5:C2269,C2269))</f>
        <v/>
      </c>
    </row>
    <row r="2270">
      <c r="A2270" s="41" t="n"/>
      <c r="B2270" s="37" t="n"/>
      <c r="C2270" s="37" t="n"/>
      <c r="D2270" s="39" t="str">
        <f>IF(C2270="","",IFERROR(INDEX(art_des,MATCH(C2270,art_ref,0))&amp;"","Référence inconnue"))</f>
        <v/>
      </c>
      <c r="E2270" s="37" t="n"/>
      <c r="F2270" s="39" t="str">
        <f>IF(C2270="","",IFERROR(INDEX(art_unit,MATCH(C2270,art_ref,0))&amp;"",""))</f>
        <v/>
      </c>
      <c r="G2270" s="37" t="n"/>
      <c r="H2270" s="37" t="n"/>
      <c r="I2270" s="37" t="n"/>
      <c r="J2270" s="40" t="str">
        <f>IF(OR(C2270="",NOT(ISNUMBER(E2270))),"",IFERROR(E2270*N(INDEX(art_price,MATCH(C2270,art_ref,0))),""))</f>
        <v/>
      </c>
      <c r="K2270" s="39" t="str">
        <f>IF(OR(C2270="",NOT(ISNUMBER(E2270))),"",IFERROR(ROUND(N(INDEX(art_init,MATCH(C2270,art_ref,0)))+SUMIFS($E$5:E2270,$C$5:C2270,C2270,$B$5:B2270,"Entrée")-SUMIFS($E$5:E2270,$C$5:C2270,C2270,$B$5:B2270,"Sortie"),6),""))</f>
        <v/>
      </c>
      <c r="L2270" s="39" t="str">
        <f>IF(COUNTA(A2270:C2270,E2270)=0,"",IF(COUNTA(A2270:C2270,E2270)&lt;4,"Ligne incomplète",IF(NOT(ISNUMBER(A2270)),"Date invalide",IF(AND(B2270&lt;&gt;"Entrée",B2270&lt;&gt;"Sortie"),"Type inconnu",IF(ISNA(MATCH(C2270,art_ref,0)),"Référence inconnue",IF(OR(NOT(ISNUMBER(E2270)),N(E2270)&lt;=0),"Quantité invalide",IF(K2270&lt;0,"Stock négatif",IF(AND(ISNUMBER(A2269),A2270&lt;A2269),"Date hors ordre","OK"))))))))</f>
        <v/>
      </c>
      <c r="M2270" s="39" t="str">
        <f>IF(C2270="","",C2270&amp;"#"&amp;COUNTIF($C$5:C2270,C2270))</f>
        <v/>
      </c>
    </row>
    <row r="2271">
      <c r="A2271" s="41" t="n"/>
      <c r="B2271" s="37" t="n"/>
      <c r="C2271" s="37" t="n"/>
      <c r="D2271" s="39" t="str">
        <f>IF(C2271="","",IFERROR(INDEX(art_des,MATCH(C2271,art_ref,0))&amp;"","Référence inconnue"))</f>
        <v/>
      </c>
      <c r="E2271" s="37" t="n"/>
      <c r="F2271" s="39" t="str">
        <f>IF(C2271="","",IFERROR(INDEX(art_unit,MATCH(C2271,art_ref,0))&amp;"",""))</f>
        <v/>
      </c>
      <c r="G2271" s="37" t="n"/>
      <c r="H2271" s="37" t="n"/>
      <c r="I2271" s="37" t="n"/>
      <c r="J2271" s="40" t="str">
        <f>IF(OR(C2271="",NOT(ISNUMBER(E2271))),"",IFERROR(E2271*N(INDEX(art_price,MATCH(C2271,art_ref,0))),""))</f>
        <v/>
      </c>
      <c r="K2271" s="39" t="str">
        <f>IF(OR(C2271="",NOT(ISNUMBER(E2271))),"",IFERROR(ROUND(N(INDEX(art_init,MATCH(C2271,art_ref,0)))+SUMIFS($E$5:E2271,$C$5:C2271,C2271,$B$5:B2271,"Entrée")-SUMIFS($E$5:E2271,$C$5:C2271,C2271,$B$5:B2271,"Sortie"),6),""))</f>
        <v/>
      </c>
      <c r="L2271" s="39" t="str">
        <f>IF(COUNTA(A2271:C2271,E2271)=0,"",IF(COUNTA(A2271:C2271,E2271)&lt;4,"Ligne incomplète",IF(NOT(ISNUMBER(A2271)),"Date invalide",IF(AND(B2271&lt;&gt;"Entrée",B2271&lt;&gt;"Sortie"),"Type inconnu",IF(ISNA(MATCH(C2271,art_ref,0)),"Référence inconnue",IF(OR(NOT(ISNUMBER(E2271)),N(E2271)&lt;=0),"Quantité invalide",IF(K2271&lt;0,"Stock négatif",IF(AND(ISNUMBER(A2270),A2271&lt;A2270),"Date hors ordre","OK"))))))))</f>
        <v/>
      </c>
      <c r="M2271" s="39" t="str">
        <f>IF(C2271="","",C2271&amp;"#"&amp;COUNTIF($C$5:C2271,C2271))</f>
        <v/>
      </c>
    </row>
    <row r="2272">
      <c r="A2272" s="41" t="n"/>
      <c r="B2272" s="37" t="n"/>
      <c r="C2272" s="37" t="n"/>
      <c r="D2272" s="39" t="str">
        <f>IF(C2272="","",IFERROR(INDEX(art_des,MATCH(C2272,art_ref,0))&amp;"","Référence inconnue"))</f>
        <v/>
      </c>
      <c r="E2272" s="37" t="n"/>
      <c r="F2272" s="39" t="str">
        <f>IF(C2272="","",IFERROR(INDEX(art_unit,MATCH(C2272,art_ref,0))&amp;"",""))</f>
        <v/>
      </c>
      <c r="G2272" s="37" t="n"/>
      <c r="H2272" s="37" t="n"/>
      <c r="I2272" s="37" t="n"/>
      <c r="J2272" s="40" t="str">
        <f>IF(OR(C2272="",NOT(ISNUMBER(E2272))),"",IFERROR(E2272*N(INDEX(art_price,MATCH(C2272,art_ref,0))),""))</f>
        <v/>
      </c>
      <c r="K2272" s="39" t="str">
        <f>IF(OR(C2272="",NOT(ISNUMBER(E2272))),"",IFERROR(ROUND(N(INDEX(art_init,MATCH(C2272,art_ref,0)))+SUMIFS($E$5:E2272,$C$5:C2272,C2272,$B$5:B2272,"Entrée")-SUMIFS($E$5:E2272,$C$5:C2272,C2272,$B$5:B2272,"Sortie"),6),""))</f>
        <v/>
      </c>
      <c r="L2272" s="39" t="str">
        <f>IF(COUNTA(A2272:C2272,E2272)=0,"",IF(COUNTA(A2272:C2272,E2272)&lt;4,"Ligne incomplète",IF(NOT(ISNUMBER(A2272)),"Date invalide",IF(AND(B2272&lt;&gt;"Entrée",B2272&lt;&gt;"Sortie"),"Type inconnu",IF(ISNA(MATCH(C2272,art_ref,0)),"Référence inconnue",IF(OR(NOT(ISNUMBER(E2272)),N(E2272)&lt;=0),"Quantité invalide",IF(K2272&lt;0,"Stock négatif",IF(AND(ISNUMBER(A2271),A2272&lt;A2271),"Date hors ordre","OK"))))))))</f>
        <v/>
      </c>
      <c r="M2272" s="39" t="str">
        <f>IF(C2272="","",C2272&amp;"#"&amp;COUNTIF($C$5:C2272,C2272))</f>
        <v/>
      </c>
    </row>
    <row r="2273">
      <c r="A2273" s="41" t="n"/>
      <c r="B2273" s="37" t="n"/>
      <c r="C2273" s="37" t="n"/>
      <c r="D2273" s="39" t="str">
        <f>IF(C2273="","",IFERROR(INDEX(art_des,MATCH(C2273,art_ref,0))&amp;"","Référence inconnue"))</f>
        <v/>
      </c>
      <c r="E2273" s="37" t="n"/>
      <c r="F2273" s="39" t="str">
        <f>IF(C2273="","",IFERROR(INDEX(art_unit,MATCH(C2273,art_ref,0))&amp;"",""))</f>
        <v/>
      </c>
      <c r="G2273" s="37" t="n"/>
      <c r="H2273" s="37" t="n"/>
      <c r="I2273" s="37" t="n"/>
      <c r="J2273" s="40" t="str">
        <f>IF(OR(C2273="",NOT(ISNUMBER(E2273))),"",IFERROR(E2273*N(INDEX(art_price,MATCH(C2273,art_ref,0))),""))</f>
        <v/>
      </c>
      <c r="K2273" s="39" t="str">
        <f>IF(OR(C2273="",NOT(ISNUMBER(E2273))),"",IFERROR(ROUND(N(INDEX(art_init,MATCH(C2273,art_ref,0)))+SUMIFS($E$5:E2273,$C$5:C2273,C2273,$B$5:B2273,"Entrée")-SUMIFS($E$5:E2273,$C$5:C2273,C2273,$B$5:B2273,"Sortie"),6),""))</f>
        <v/>
      </c>
      <c r="L2273" s="39" t="str">
        <f>IF(COUNTA(A2273:C2273,E2273)=0,"",IF(COUNTA(A2273:C2273,E2273)&lt;4,"Ligne incomplète",IF(NOT(ISNUMBER(A2273)),"Date invalide",IF(AND(B2273&lt;&gt;"Entrée",B2273&lt;&gt;"Sortie"),"Type inconnu",IF(ISNA(MATCH(C2273,art_ref,0)),"Référence inconnue",IF(OR(NOT(ISNUMBER(E2273)),N(E2273)&lt;=0),"Quantité invalide",IF(K2273&lt;0,"Stock négatif",IF(AND(ISNUMBER(A2272),A2273&lt;A2272),"Date hors ordre","OK"))))))))</f>
        <v/>
      </c>
      <c r="M2273" s="39" t="str">
        <f>IF(C2273="","",C2273&amp;"#"&amp;COUNTIF($C$5:C2273,C2273))</f>
        <v/>
      </c>
    </row>
    <row r="2274">
      <c r="A2274" s="41" t="n"/>
      <c r="B2274" s="37" t="n"/>
      <c r="C2274" s="37" t="n"/>
      <c r="D2274" s="39" t="str">
        <f>IF(C2274="","",IFERROR(INDEX(art_des,MATCH(C2274,art_ref,0))&amp;"","Référence inconnue"))</f>
        <v/>
      </c>
      <c r="E2274" s="37" t="n"/>
      <c r="F2274" s="39" t="str">
        <f>IF(C2274="","",IFERROR(INDEX(art_unit,MATCH(C2274,art_ref,0))&amp;"",""))</f>
        <v/>
      </c>
      <c r="G2274" s="37" t="n"/>
      <c r="H2274" s="37" t="n"/>
      <c r="I2274" s="37" t="n"/>
      <c r="J2274" s="40" t="str">
        <f>IF(OR(C2274="",NOT(ISNUMBER(E2274))),"",IFERROR(E2274*N(INDEX(art_price,MATCH(C2274,art_ref,0))),""))</f>
        <v/>
      </c>
      <c r="K2274" s="39" t="str">
        <f>IF(OR(C2274="",NOT(ISNUMBER(E2274))),"",IFERROR(ROUND(N(INDEX(art_init,MATCH(C2274,art_ref,0)))+SUMIFS($E$5:E2274,$C$5:C2274,C2274,$B$5:B2274,"Entrée")-SUMIFS($E$5:E2274,$C$5:C2274,C2274,$B$5:B2274,"Sortie"),6),""))</f>
        <v/>
      </c>
      <c r="L2274" s="39" t="str">
        <f>IF(COUNTA(A2274:C2274,E2274)=0,"",IF(COUNTA(A2274:C2274,E2274)&lt;4,"Ligne incomplète",IF(NOT(ISNUMBER(A2274)),"Date invalide",IF(AND(B2274&lt;&gt;"Entrée",B2274&lt;&gt;"Sortie"),"Type inconnu",IF(ISNA(MATCH(C2274,art_ref,0)),"Référence inconnue",IF(OR(NOT(ISNUMBER(E2274)),N(E2274)&lt;=0),"Quantité invalide",IF(K2274&lt;0,"Stock négatif",IF(AND(ISNUMBER(A2273),A2274&lt;A2273),"Date hors ordre","OK"))))))))</f>
        <v/>
      </c>
      <c r="M2274" s="39" t="str">
        <f>IF(C2274="","",C2274&amp;"#"&amp;COUNTIF($C$5:C2274,C2274))</f>
        <v/>
      </c>
    </row>
    <row r="2275">
      <c r="A2275" s="41" t="n"/>
      <c r="B2275" s="37" t="n"/>
      <c r="C2275" s="37" t="n"/>
      <c r="D2275" s="39" t="str">
        <f>IF(C2275="","",IFERROR(INDEX(art_des,MATCH(C2275,art_ref,0))&amp;"","Référence inconnue"))</f>
        <v/>
      </c>
      <c r="E2275" s="37" t="n"/>
      <c r="F2275" s="39" t="str">
        <f>IF(C2275="","",IFERROR(INDEX(art_unit,MATCH(C2275,art_ref,0))&amp;"",""))</f>
        <v/>
      </c>
      <c r="G2275" s="37" t="n"/>
      <c r="H2275" s="37" t="n"/>
      <c r="I2275" s="37" t="n"/>
      <c r="J2275" s="40" t="str">
        <f>IF(OR(C2275="",NOT(ISNUMBER(E2275))),"",IFERROR(E2275*N(INDEX(art_price,MATCH(C2275,art_ref,0))),""))</f>
        <v/>
      </c>
      <c r="K2275" s="39" t="str">
        <f>IF(OR(C2275="",NOT(ISNUMBER(E2275))),"",IFERROR(ROUND(N(INDEX(art_init,MATCH(C2275,art_ref,0)))+SUMIFS($E$5:E2275,$C$5:C2275,C2275,$B$5:B2275,"Entrée")-SUMIFS($E$5:E2275,$C$5:C2275,C2275,$B$5:B2275,"Sortie"),6),""))</f>
        <v/>
      </c>
      <c r="L2275" s="39" t="str">
        <f>IF(COUNTA(A2275:C2275,E2275)=0,"",IF(COUNTA(A2275:C2275,E2275)&lt;4,"Ligne incomplète",IF(NOT(ISNUMBER(A2275)),"Date invalide",IF(AND(B2275&lt;&gt;"Entrée",B2275&lt;&gt;"Sortie"),"Type inconnu",IF(ISNA(MATCH(C2275,art_ref,0)),"Référence inconnue",IF(OR(NOT(ISNUMBER(E2275)),N(E2275)&lt;=0),"Quantité invalide",IF(K2275&lt;0,"Stock négatif",IF(AND(ISNUMBER(A2274),A2275&lt;A2274),"Date hors ordre","OK"))))))))</f>
        <v/>
      </c>
      <c r="M2275" s="39" t="str">
        <f>IF(C2275="","",C2275&amp;"#"&amp;COUNTIF($C$5:C2275,C2275))</f>
        <v/>
      </c>
    </row>
    <row r="2276">
      <c r="A2276" s="41" t="n"/>
      <c r="B2276" s="37" t="n"/>
      <c r="C2276" s="37" t="n"/>
      <c r="D2276" s="39" t="str">
        <f>IF(C2276="","",IFERROR(INDEX(art_des,MATCH(C2276,art_ref,0))&amp;"","Référence inconnue"))</f>
        <v/>
      </c>
      <c r="E2276" s="37" t="n"/>
      <c r="F2276" s="39" t="str">
        <f>IF(C2276="","",IFERROR(INDEX(art_unit,MATCH(C2276,art_ref,0))&amp;"",""))</f>
        <v/>
      </c>
      <c r="G2276" s="37" t="n"/>
      <c r="H2276" s="37" t="n"/>
      <c r="I2276" s="37" t="n"/>
      <c r="J2276" s="40" t="str">
        <f>IF(OR(C2276="",NOT(ISNUMBER(E2276))),"",IFERROR(E2276*N(INDEX(art_price,MATCH(C2276,art_ref,0))),""))</f>
        <v/>
      </c>
      <c r="K2276" s="39" t="str">
        <f>IF(OR(C2276="",NOT(ISNUMBER(E2276))),"",IFERROR(ROUND(N(INDEX(art_init,MATCH(C2276,art_ref,0)))+SUMIFS($E$5:E2276,$C$5:C2276,C2276,$B$5:B2276,"Entrée")-SUMIFS($E$5:E2276,$C$5:C2276,C2276,$B$5:B2276,"Sortie"),6),""))</f>
        <v/>
      </c>
      <c r="L2276" s="39" t="str">
        <f>IF(COUNTA(A2276:C2276,E2276)=0,"",IF(COUNTA(A2276:C2276,E2276)&lt;4,"Ligne incomplète",IF(NOT(ISNUMBER(A2276)),"Date invalide",IF(AND(B2276&lt;&gt;"Entrée",B2276&lt;&gt;"Sortie"),"Type inconnu",IF(ISNA(MATCH(C2276,art_ref,0)),"Référence inconnue",IF(OR(NOT(ISNUMBER(E2276)),N(E2276)&lt;=0),"Quantité invalide",IF(K2276&lt;0,"Stock négatif",IF(AND(ISNUMBER(A2275),A2276&lt;A2275),"Date hors ordre","OK"))))))))</f>
        <v/>
      </c>
      <c r="M2276" s="39" t="str">
        <f>IF(C2276="","",C2276&amp;"#"&amp;COUNTIF($C$5:C2276,C2276))</f>
        <v/>
      </c>
    </row>
    <row r="2277">
      <c r="A2277" s="41" t="n"/>
      <c r="B2277" s="37" t="n"/>
      <c r="C2277" s="37" t="n"/>
      <c r="D2277" s="39" t="str">
        <f>IF(C2277="","",IFERROR(INDEX(art_des,MATCH(C2277,art_ref,0))&amp;"","Référence inconnue"))</f>
        <v/>
      </c>
      <c r="E2277" s="37" t="n"/>
      <c r="F2277" s="39" t="str">
        <f>IF(C2277="","",IFERROR(INDEX(art_unit,MATCH(C2277,art_ref,0))&amp;"",""))</f>
        <v/>
      </c>
      <c r="G2277" s="37" t="n"/>
      <c r="H2277" s="37" t="n"/>
      <c r="I2277" s="37" t="n"/>
      <c r="J2277" s="40" t="str">
        <f>IF(OR(C2277="",NOT(ISNUMBER(E2277))),"",IFERROR(E2277*N(INDEX(art_price,MATCH(C2277,art_ref,0))),""))</f>
        <v/>
      </c>
      <c r="K2277" s="39" t="str">
        <f>IF(OR(C2277="",NOT(ISNUMBER(E2277))),"",IFERROR(ROUND(N(INDEX(art_init,MATCH(C2277,art_ref,0)))+SUMIFS($E$5:E2277,$C$5:C2277,C2277,$B$5:B2277,"Entrée")-SUMIFS($E$5:E2277,$C$5:C2277,C2277,$B$5:B2277,"Sortie"),6),""))</f>
        <v/>
      </c>
      <c r="L2277" s="39" t="str">
        <f>IF(COUNTA(A2277:C2277,E2277)=0,"",IF(COUNTA(A2277:C2277,E2277)&lt;4,"Ligne incomplète",IF(NOT(ISNUMBER(A2277)),"Date invalide",IF(AND(B2277&lt;&gt;"Entrée",B2277&lt;&gt;"Sortie"),"Type inconnu",IF(ISNA(MATCH(C2277,art_ref,0)),"Référence inconnue",IF(OR(NOT(ISNUMBER(E2277)),N(E2277)&lt;=0),"Quantité invalide",IF(K2277&lt;0,"Stock négatif",IF(AND(ISNUMBER(A2276),A2277&lt;A2276),"Date hors ordre","OK"))))))))</f>
        <v/>
      </c>
      <c r="M2277" s="39" t="str">
        <f>IF(C2277="","",C2277&amp;"#"&amp;COUNTIF($C$5:C2277,C2277))</f>
        <v/>
      </c>
    </row>
    <row r="2278">
      <c r="A2278" s="41" t="n"/>
      <c r="B2278" s="37" t="n"/>
      <c r="C2278" s="37" t="n"/>
      <c r="D2278" s="39" t="str">
        <f>IF(C2278="","",IFERROR(INDEX(art_des,MATCH(C2278,art_ref,0))&amp;"","Référence inconnue"))</f>
        <v/>
      </c>
      <c r="E2278" s="37" t="n"/>
      <c r="F2278" s="39" t="str">
        <f>IF(C2278="","",IFERROR(INDEX(art_unit,MATCH(C2278,art_ref,0))&amp;"",""))</f>
        <v/>
      </c>
      <c r="G2278" s="37" t="n"/>
      <c r="H2278" s="37" t="n"/>
      <c r="I2278" s="37" t="n"/>
      <c r="J2278" s="40" t="str">
        <f>IF(OR(C2278="",NOT(ISNUMBER(E2278))),"",IFERROR(E2278*N(INDEX(art_price,MATCH(C2278,art_ref,0))),""))</f>
        <v/>
      </c>
      <c r="K2278" s="39" t="str">
        <f>IF(OR(C2278="",NOT(ISNUMBER(E2278))),"",IFERROR(ROUND(N(INDEX(art_init,MATCH(C2278,art_ref,0)))+SUMIFS($E$5:E2278,$C$5:C2278,C2278,$B$5:B2278,"Entrée")-SUMIFS($E$5:E2278,$C$5:C2278,C2278,$B$5:B2278,"Sortie"),6),""))</f>
        <v/>
      </c>
      <c r="L2278" s="39" t="str">
        <f>IF(COUNTA(A2278:C2278,E2278)=0,"",IF(COUNTA(A2278:C2278,E2278)&lt;4,"Ligne incomplète",IF(NOT(ISNUMBER(A2278)),"Date invalide",IF(AND(B2278&lt;&gt;"Entrée",B2278&lt;&gt;"Sortie"),"Type inconnu",IF(ISNA(MATCH(C2278,art_ref,0)),"Référence inconnue",IF(OR(NOT(ISNUMBER(E2278)),N(E2278)&lt;=0),"Quantité invalide",IF(K2278&lt;0,"Stock négatif",IF(AND(ISNUMBER(A2277),A2278&lt;A2277),"Date hors ordre","OK"))))))))</f>
        <v/>
      </c>
      <c r="M2278" s="39" t="str">
        <f>IF(C2278="","",C2278&amp;"#"&amp;COUNTIF($C$5:C2278,C2278))</f>
        <v/>
      </c>
    </row>
    <row r="2279">
      <c r="A2279" s="41" t="n"/>
      <c r="B2279" s="37" t="n"/>
      <c r="C2279" s="37" t="n"/>
      <c r="D2279" s="39" t="str">
        <f>IF(C2279="","",IFERROR(INDEX(art_des,MATCH(C2279,art_ref,0))&amp;"","Référence inconnue"))</f>
        <v/>
      </c>
      <c r="E2279" s="37" t="n"/>
      <c r="F2279" s="39" t="str">
        <f>IF(C2279="","",IFERROR(INDEX(art_unit,MATCH(C2279,art_ref,0))&amp;"",""))</f>
        <v/>
      </c>
      <c r="G2279" s="37" t="n"/>
      <c r="H2279" s="37" t="n"/>
      <c r="I2279" s="37" t="n"/>
      <c r="J2279" s="40" t="str">
        <f>IF(OR(C2279="",NOT(ISNUMBER(E2279))),"",IFERROR(E2279*N(INDEX(art_price,MATCH(C2279,art_ref,0))),""))</f>
        <v/>
      </c>
      <c r="K2279" s="39" t="str">
        <f>IF(OR(C2279="",NOT(ISNUMBER(E2279))),"",IFERROR(ROUND(N(INDEX(art_init,MATCH(C2279,art_ref,0)))+SUMIFS($E$5:E2279,$C$5:C2279,C2279,$B$5:B2279,"Entrée")-SUMIFS($E$5:E2279,$C$5:C2279,C2279,$B$5:B2279,"Sortie"),6),""))</f>
        <v/>
      </c>
      <c r="L2279" s="39" t="str">
        <f>IF(COUNTA(A2279:C2279,E2279)=0,"",IF(COUNTA(A2279:C2279,E2279)&lt;4,"Ligne incomplète",IF(NOT(ISNUMBER(A2279)),"Date invalide",IF(AND(B2279&lt;&gt;"Entrée",B2279&lt;&gt;"Sortie"),"Type inconnu",IF(ISNA(MATCH(C2279,art_ref,0)),"Référence inconnue",IF(OR(NOT(ISNUMBER(E2279)),N(E2279)&lt;=0),"Quantité invalide",IF(K2279&lt;0,"Stock négatif",IF(AND(ISNUMBER(A2278),A2279&lt;A2278),"Date hors ordre","OK"))))))))</f>
        <v/>
      </c>
      <c r="M2279" s="39" t="str">
        <f>IF(C2279="","",C2279&amp;"#"&amp;COUNTIF($C$5:C2279,C2279))</f>
        <v/>
      </c>
    </row>
    <row r="2280">
      <c r="A2280" s="41" t="n"/>
      <c r="B2280" s="37" t="n"/>
      <c r="C2280" s="37" t="n"/>
      <c r="D2280" s="39" t="str">
        <f>IF(C2280="","",IFERROR(INDEX(art_des,MATCH(C2280,art_ref,0))&amp;"","Référence inconnue"))</f>
        <v/>
      </c>
      <c r="E2280" s="37" t="n"/>
      <c r="F2280" s="39" t="str">
        <f>IF(C2280="","",IFERROR(INDEX(art_unit,MATCH(C2280,art_ref,0))&amp;"",""))</f>
        <v/>
      </c>
      <c r="G2280" s="37" t="n"/>
      <c r="H2280" s="37" t="n"/>
      <c r="I2280" s="37" t="n"/>
      <c r="J2280" s="40" t="str">
        <f>IF(OR(C2280="",NOT(ISNUMBER(E2280))),"",IFERROR(E2280*N(INDEX(art_price,MATCH(C2280,art_ref,0))),""))</f>
        <v/>
      </c>
      <c r="K2280" s="39" t="str">
        <f>IF(OR(C2280="",NOT(ISNUMBER(E2280))),"",IFERROR(ROUND(N(INDEX(art_init,MATCH(C2280,art_ref,0)))+SUMIFS($E$5:E2280,$C$5:C2280,C2280,$B$5:B2280,"Entrée")-SUMIFS($E$5:E2280,$C$5:C2280,C2280,$B$5:B2280,"Sortie"),6),""))</f>
        <v/>
      </c>
      <c r="L2280" s="39" t="str">
        <f>IF(COUNTA(A2280:C2280,E2280)=0,"",IF(COUNTA(A2280:C2280,E2280)&lt;4,"Ligne incomplète",IF(NOT(ISNUMBER(A2280)),"Date invalide",IF(AND(B2280&lt;&gt;"Entrée",B2280&lt;&gt;"Sortie"),"Type inconnu",IF(ISNA(MATCH(C2280,art_ref,0)),"Référence inconnue",IF(OR(NOT(ISNUMBER(E2280)),N(E2280)&lt;=0),"Quantité invalide",IF(K2280&lt;0,"Stock négatif",IF(AND(ISNUMBER(A2279),A2280&lt;A2279),"Date hors ordre","OK"))))))))</f>
        <v/>
      </c>
      <c r="M2280" s="39" t="str">
        <f>IF(C2280="","",C2280&amp;"#"&amp;COUNTIF($C$5:C2280,C2280))</f>
        <v/>
      </c>
    </row>
    <row r="2281">
      <c r="A2281" s="41" t="n"/>
      <c r="B2281" s="37" t="n"/>
      <c r="C2281" s="37" t="n"/>
      <c r="D2281" s="39" t="str">
        <f>IF(C2281="","",IFERROR(INDEX(art_des,MATCH(C2281,art_ref,0))&amp;"","Référence inconnue"))</f>
        <v/>
      </c>
      <c r="E2281" s="37" t="n"/>
      <c r="F2281" s="39" t="str">
        <f>IF(C2281="","",IFERROR(INDEX(art_unit,MATCH(C2281,art_ref,0))&amp;"",""))</f>
        <v/>
      </c>
      <c r="G2281" s="37" t="n"/>
      <c r="H2281" s="37" t="n"/>
      <c r="I2281" s="37" t="n"/>
      <c r="J2281" s="40" t="str">
        <f>IF(OR(C2281="",NOT(ISNUMBER(E2281))),"",IFERROR(E2281*N(INDEX(art_price,MATCH(C2281,art_ref,0))),""))</f>
        <v/>
      </c>
      <c r="K2281" s="39" t="str">
        <f>IF(OR(C2281="",NOT(ISNUMBER(E2281))),"",IFERROR(ROUND(N(INDEX(art_init,MATCH(C2281,art_ref,0)))+SUMIFS($E$5:E2281,$C$5:C2281,C2281,$B$5:B2281,"Entrée")-SUMIFS($E$5:E2281,$C$5:C2281,C2281,$B$5:B2281,"Sortie"),6),""))</f>
        <v/>
      </c>
      <c r="L2281" s="39" t="str">
        <f>IF(COUNTA(A2281:C2281,E2281)=0,"",IF(COUNTA(A2281:C2281,E2281)&lt;4,"Ligne incomplète",IF(NOT(ISNUMBER(A2281)),"Date invalide",IF(AND(B2281&lt;&gt;"Entrée",B2281&lt;&gt;"Sortie"),"Type inconnu",IF(ISNA(MATCH(C2281,art_ref,0)),"Référence inconnue",IF(OR(NOT(ISNUMBER(E2281)),N(E2281)&lt;=0),"Quantité invalide",IF(K2281&lt;0,"Stock négatif",IF(AND(ISNUMBER(A2280),A2281&lt;A2280),"Date hors ordre","OK"))))))))</f>
        <v/>
      </c>
      <c r="M2281" s="39" t="str">
        <f>IF(C2281="","",C2281&amp;"#"&amp;COUNTIF($C$5:C2281,C2281))</f>
        <v/>
      </c>
    </row>
    <row r="2282">
      <c r="A2282" s="41" t="n"/>
      <c r="B2282" s="37" t="n"/>
      <c r="C2282" s="37" t="n"/>
      <c r="D2282" s="39" t="str">
        <f>IF(C2282="","",IFERROR(INDEX(art_des,MATCH(C2282,art_ref,0))&amp;"","Référence inconnue"))</f>
        <v/>
      </c>
      <c r="E2282" s="37" t="n"/>
      <c r="F2282" s="39" t="str">
        <f>IF(C2282="","",IFERROR(INDEX(art_unit,MATCH(C2282,art_ref,0))&amp;"",""))</f>
        <v/>
      </c>
      <c r="G2282" s="37" t="n"/>
      <c r="H2282" s="37" t="n"/>
      <c r="I2282" s="37" t="n"/>
      <c r="J2282" s="40" t="str">
        <f>IF(OR(C2282="",NOT(ISNUMBER(E2282))),"",IFERROR(E2282*N(INDEX(art_price,MATCH(C2282,art_ref,0))),""))</f>
        <v/>
      </c>
      <c r="K2282" s="39" t="str">
        <f>IF(OR(C2282="",NOT(ISNUMBER(E2282))),"",IFERROR(ROUND(N(INDEX(art_init,MATCH(C2282,art_ref,0)))+SUMIFS($E$5:E2282,$C$5:C2282,C2282,$B$5:B2282,"Entrée")-SUMIFS($E$5:E2282,$C$5:C2282,C2282,$B$5:B2282,"Sortie"),6),""))</f>
        <v/>
      </c>
      <c r="L2282" s="39" t="str">
        <f>IF(COUNTA(A2282:C2282,E2282)=0,"",IF(COUNTA(A2282:C2282,E2282)&lt;4,"Ligne incomplète",IF(NOT(ISNUMBER(A2282)),"Date invalide",IF(AND(B2282&lt;&gt;"Entrée",B2282&lt;&gt;"Sortie"),"Type inconnu",IF(ISNA(MATCH(C2282,art_ref,0)),"Référence inconnue",IF(OR(NOT(ISNUMBER(E2282)),N(E2282)&lt;=0),"Quantité invalide",IF(K2282&lt;0,"Stock négatif",IF(AND(ISNUMBER(A2281),A2282&lt;A2281),"Date hors ordre","OK"))))))))</f>
        <v/>
      </c>
      <c r="M2282" s="39" t="str">
        <f>IF(C2282="","",C2282&amp;"#"&amp;COUNTIF($C$5:C2282,C2282))</f>
        <v/>
      </c>
    </row>
    <row r="2283">
      <c r="A2283" s="41" t="n"/>
      <c r="B2283" s="37" t="n"/>
      <c r="C2283" s="37" t="n"/>
      <c r="D2283" s="39" t="str">
        <f>IF(C2283="","",IFERROR(INDEX(art_des,MATCH(C2283,art_ref,0))&amp;"","Référence inconnue"))</f>
        <v/>
      </c>
      <c r="E2283" s="37" t="n"/>
      <c r="F2283" s="39" t="str">
        <f>IF(C2283="","",IFERROR(INDEX(art_unit,MATCH(C2283,art_ref,0))&amp;"",""))</f>
        <v/>
      </c>
      <c r="G2283" s="37" t="n"/>
      <c r="H2283" s="37" t="n"/>
      <c r="I2283" s="37" t="n"/>
      <c r="J2283" s="40" t="str">
        <f>IF(OR(C2283="",NOT(ISNUMBER(E2283))),"",IFERROR(E2283*N(INDEX(art_price,MATCH(C2283,art_ref,0))),""))</f>
        <v/>
      </c>
      <c r="K2283" s="39" t="str">
        <f>IF(OR(C2283="",NOT(ISNUMBER(E2283))),"",IFERROR(ROUND(N(INDEX(art_init,MATCH(C2283,art_ref,0)))+SUMIFS($E$5:E2283,$C$5:C2283,C2283,$B$5:B2283,"Entrée")-SUMIFS($E$5:E2283,$C$5:C2283,C2283,$B$5:B2283,"Sortie"),6),""))</f>
        <v/>
      </c>
      <c r="L2283" s="39" t="str">
        <f>IF(COUNTA(A2283:C2283,E2283)=0,"",IF(COUNTA(A2283:C2283,E2283)&lt;4,"Ligne incomplète",IF(NOT(ISNUMBER(A2283)),"Date invalide",IF(AND(B2283&lt;&gt;"Entrée",B2283&lt;&gt;"Sortie"),"Type inconnu",IF(ISNA(MATCH(C2283,art_ref,0)),"Référence inconnue",IF(OR(NOT(ISNUMBER(E2283)),N(E2283)&lt;=0),"Quantité invalide",IF(K2283&lt;0,"Stock négatif",IF(AND(ISNUMBER(A2282),A2283&lt;A2282),"Date hors ordre","OK"))))))))</f>
        <v/>
      </c>
      <c r="M2283" s="39" t="str">
        <f>IF(C2283="","",C2283&amp;"#"&amp;COUNTIF($C$5:C2283,C2283))</f>
        <v/>
      </c>
    </row>
    <row r="2284">
      <c r="A2284" s="41" t="n"/>
      <c r="B2284" s="37" t="n"/>
      <c r="C2284" s="37" t="n"/>
      <c r="D2284" s="39" t="str">
        <f>IF(C2284="","",IFERROR(INDEX(art_des,MATCH(C2284,art_ref,0))&amp;"","Référence inconnue"))</f>
        <v/>
      </c>
      <c r="E2284" s="37" t="n"/>
      <c r="F2284" s="39" t="str">
        <f>IF(C2284="","",IFERROR(INDEX(art_unit,MATCH(C2284,art_ref,0))&amp;"",""))</f>
        <v/>
      </c>
      <c r="G2284" s="37" t="n"/>
      <c r="H2284" s="37" t="n"/>
      <c r="I2284" s="37" t="n"/>
      <c r="J2284" s="40" t="str">
        <f>IF(OR(C2284="",NOT(ISNUMBER(E2284))),"",IFERROR(E2284*N(INDEX(art_price,MATCH(C2284,art_ref,0))),""))</f>
        <v/>
      </c>
      <c r="K2284" s="39" t="str">
        <f>IF(OR(C2284="",NOT(ISNUMBER(E2284))),"",IFERROR(ROUND(N(INDEX(art_init,MATCH(C2284,art_ref,0)))+SUMIFS($E$5:E2284,$C$5:C2284,C2284,$B$5:B2284,"Entrée")-SUMIFS($E$5:E2284,$C$5:C2284,C2284,$B$5:B2284,"Sortie"),6),""))</f>
        <v/>
      </c>
      <c r="L2284" s="39" t="str">
        <f>IF(COUNTA(A2284:C2284,E2284)=0,"",IF(COUNTA(A2284:C2284,E2284)&lt;4,"Ligne incomplète",IF(NOT(ISNUMBER(A2284)),"Date invalide",IF(AND(B2284&lt;&gt;"Entrée",B2284&lt;&gt;"Sortie"),"Type inconnu",IF(ISNA(MATCH(C2284,art_ref,0)),"Référence inconnue",IF(OR(NOT(ISNUMBER(E2284)),N(E2284)&lt;=0),"Quantité invalide",IF(K2284&lt;0,"Stock négatif",IF(AND(ISNUMBER(A2283),A2284&lt;A2283),"Date hors ordre","OK"))))))))</f>
        <v/>
      </c>
      <c r="M2284" s="39" t="str">
        <f>IF(C2284="","",C2284&amp;"#"&amp;COUNTIF($C$5:C2284,C2284))</f>
        <v/>
      </c>
    </row>
    <row r="2285">
      <c r="A2285" s="41" t="n"/>
      <c r="B2285" s="37" t="n"/>
      <c r="C2285" s="37" t="n"/>
      <c r="D2285" s="39" t="str">
        <f>IF(C2285="","",IFERROR(INDEX(art_des,MATCH(C2285,art_ref,0))&amp;"","Référence inconnue"))</f>
        <v/>
      </c>
      <c r="E2285" s="37" t="n"/>
      <c r="F2285" s="39" t="str">
        <f>IF(C2285="","",IFERROR(INDEX(art_unit,MATCH(C2285,art_ref,0))&amp;"",""))</f>
        <v/>
      </c>
      <c r="G2285" s="37" t="n"/>
      <c r="H2285" s="37" t="n"/>
      <c r="I2285" s="37" t="n"/>
      <c r="J2285" s="40" t="str">
        <f>IF(OR(C2285="",NOT(ISNUMBER(E2285))),"",IFERROR(E2285*N(INDEX(art_price,MATCH(C2285,art_ref,0))),""))</f>
        <v/>
      </c>
      <c r="K2285" s="39" t="str">
        <f>IF(OR(C2285="",NOT(ISNUMBER(E2285))),"",IFERROR(ROUND(N(INDEX(art_init,MATCH(C2285,art_ref,0)))+SUMIFS($E$5:E2285,$C$5:C2285,C2285,$B$5:B2285,"Entrée")-SUMIFS($E$5:E2285,$C$5:C2285,C2285,$B$5:B2285,"Sortie"),6),""))</f>
        <v/>
      </c>
      <c r="L2285" s="39" t="str">
        <f>IF(COUNTA(A2285:C2285,E2285)=0,"",IF(COUNTA(A2285:C2285,E2285)&lt;4,"Ligne incomplète",IF(NOT(ISNUMBER(A2285)),"Date invalide",IF(AND(B2285&lt;&gt;"Entrée",B2285&lt;&gt;"Sortie"),"Type inconnu",IF(ISNA(MATCH(C2285,art_ref,0)),"Référence inconnue",IF(OR(NOT(ISNUMBER(E2285)),N(E2285)&lt;=0),"Quantité invalide",IF(K2285&lt;0,"Stock négatif",IF(AND(ISNUMBER(A2284),A2285&lt;A2284),"Date hors ordre","OK"))))))))</f>
        <v/>
      </c>
      <c r="M2285" s="39" t="str">
        <f>IF(C2285="","",C2285&amp;"#"&amp;COUNTIF($C$5:C2285,C2285))</f>
        <v/>
      </c>
    </row>
    <row r="2286">
      <c r="A2286" s="41" t="n"/>
      <c r="B2286" s="37" t="n"/>
      <c r="C2286" s="37" t="n"/>
      <c r="D2286" s="39" t="str">
        <f>IF(C2286="","",IFERROR(INDEX(art_des,MATCH(C2286,art_ref,0))&amp;"","Référence inconnue"))</f>
        <v/>
      </c>
      <c r="E2286" s="37" t="n"/>
      <c r="F2286" s="39" t="str">
        <f>IF(C2286="","",IFERROR(INDEX(art_unit,MATCH(C2286,art_ref,0))&amp;"",""))</f>
        <v/>
      </c>
      <c r="G2286" s="37" t="n"/>
      <c r="H2286" s="37" t="n"/>
      <c r="I2286" s="37" t="n"/>
      <c r="J2286" s="40" t="str">
        <f>IF(OR(C2286="",NOT(ISNUMBER(E2286))),"",IFERROR(E2286*N(INDEX(art_price,MATCH(C2286,art_ref,0))),""))</f>
        <v/>
      </c>
      <c r="K2286" s="39" t="str">
        <f>IF(OR(C2286="",NOT(ISNUMBER(E2286))),"",IFERROR(ROUND(N(INDEX(art_init,MATCH(C2286,art_ref,0)))+SUMIFS($E$5:E2286,$C$5:C2286,C2286,$B$5:B2286,"Entrée")-SUMIFS($E$5:E2286,$C$5:C2286,C2286,$B$5:B2286,"Sortie"),6),""))</f>
        <v/>
      </c>
      <c r="L2286" s="39" t="str">
        <f>IF(COUNTA(A2286:C2286,E2286)=0,"",IF(COUNTA(A2286:C2286,E2286)&lt;4,"Ligne incomplète",IF(NOT(ISNUMBER(A2286)),"Date invalide",IF(AND(B2286&lt;&gt;"Entrée",B2286&lt;&gt;"Sortie"),"Type inconnu",IF(ISNA(MATCH(C2286,art_ref,0)),"Référence inconnue",IF(OR(NOT(ISNUMBER(E2286)),N(E2286)&lt;=0),"Quantité invalide",IF(K2286&lt;0,"Stock négatif",IF(AND(ISNUMBER(A2285),A2286&lt;A2285),"Date hors ordre","OK"))))))))</f>
        <v/>
      </c>
      <c r="M2286" s="39" t="str">
        <f>IF(C2286="","",C2286&amp;"#"&amp;COUNTIF($C$5:C2286,C2286))</f>
        <v/>
      </c>
    </row>
    <row r="2287">
      <c r="A2287" s="41" t="n"/>
      <c r="B2287" s="37" t="n"/>
      <c r="C2287" s="37" t="n"/>
      <c r="D2287" s="39" t="str">
        <f>IF(C2287="","",IFERROR(INDEX(art_des,MATCH(C2287,art_ref,0))&amp;"","Référence inconnue"))</f>
        <v/>
      </c>
      <c r="E2287" s="37" t="n"/>
      <c r="F2287" s="39" t="str">
        <f>IF(C2287="","",IFERROR(INDEX(art_unit,MATCH(C2287,art_ref,0))&amp;"",""))</f>
        <v/>
      </c>
      <c r="G2287" s="37" t="n"/>
      <c r="H2287" s="37" t="n"/>
      <c r="I2287" s="37" t="n"/>
      <c r="J2287" s="40" t="str">
        <f>IF(OR(C2287="",NOT(ISNUMBER(E2287))),"",IFERROR(E2287*N(INDEX(art_price,MATCH(C2287,art_ref,0))),""))</f>
        <v/>
      </c>
      <c r="K2287" s="39" t="str">
        <f>IF(OR(C2287="",NOT(ISNUMBER(E2287))),"",IFERROR(ROUND(N(INDEX(art_init,MATCH(C2287,art_ref,0)))+SUMIFS($E$5:E2287,$C$5:C2287,C2287,$B$5:B2287,"Entrée")-SUMIFS($E$5:E2287,$C$5:C2287,C2287,$B$5:B2287,"Sortie"),6),""))</f>
        <v/>
      </c>
      <c r="L2287" s="39" t="str">
        <f>IF(COUNTA(A2287:C2287,E2287)=0,"",IF(COUNTA(A2287:C2287,E2287)&lt;4,"Ligne incomplète",IF(NOT(ISNUMBER(A2287)),"Date invalide",IF(AND(B2287&lt;&gt;"Entrée",B2287&lt;&gt;"Sortie"),"Type inconnu",IF(ISNA(MATCH(C2287,art_ref,0)),"Référence inconnue",IF(OR(NOT(ISNUMBER(E2287)),N(E2287)&lt;=0),"Quantité invalide",IF(K2287&lt;0,"Stock négatif",IF(AND(ISNUMBER(A2286),A2287&lt;A2286),"Date hors ordre","OK"))))))))</f>
        <v/>
      </c>
      <c r="M2287" s="39" t="str">
        <f>IF(C2287="","",C2287&amp;"#"&amp;COUNTIF($C$5:C2287,C2287))</f>
        <v/>
      </c>
    </row>
    <row r="2288">
      <c r="A2288" s="41" t="n"/>
      <c r="B2288" s="37" t="n"/>
      <c r="C2288" s="37" t="n"/>
      <c r="D2288" s="39" t="str">
        <f>IF(C2288="","",IFERROR(INDEX(art_des,MATCH(C2288,art_ref,0))&amp;"","Référence inconnue"))</f>
        <v/>
      </c>
      <c r="E2288" s="37" t="n"/>
      <c r="F2288" s="39" t="str">
        <f>IF(C2288="","",IFERROR(INDEX(art_unit,MATCH(C2288,art_ref,0))&amp;"",""))</f>
        <v/>
      </c>
      <c r="G2288" s="37" t="n"/>
      <c r="H2288" s="37" t="n"/>
      <c r="I2288" s="37" t="n"/>
      <c r="J2288" s="40" t="str">
        <f>IF(OR(C2288="",NOT(ISNUMBER(E2288))),"",IFERROR(E2288*N(INDEX(art_price,MATCH(C2288,art_ref,0))),""))</f>
        <v/>
      </c>
      <c r="K2288" s="39" t="str">
        <f>IF(OR(C2288="",NOT(ISNUMBER(E2288))),"",IFERROR(ROUND(N(INDEX(art_init,MATCH(C2288,art_ref,0)))+SUMIFS($E$5:E2288,$C$5:C2288,C2288,$B$5:B2288,"Entrée")-SUMIFS($E$5:E2288,$C$5:C2288,C2288,$B$5:B2288,"Sortie"),6),""))</f>
        <v/>
      </c>
      <c r="L2288" s="39" t="str">
        <f>IF(COUNTA(A2288:C2288,E2288)=0,"",IF(COUNTA(A2288:C2288,E2288)&lt;4,"Ligne incomplète",IF(NOT(ISNUMBER(A2288)),"Date invalide",IF(AND(B2288&lt;&gt;"Entrée",B2288&lt;&gt;"Sortie"),"Type inconnu",IF(ISNA(MATCH(C2288,art_ref,0)),"Référence inconnue",IF(OR(NOT(ISNUMBER(E2288)),N(E2288)&lt;=0),"Quantité invalide",IF(K2288&lt;0,"Stock négatif",IF(AND(ISNUMBER(A2287),A2288&lt;A2287),"Date hors ordre","OK"))))))))</f>
        <v/>
      </c>
      <c r="M2288" s="39" t="str">
        <f>IF(C2288="","",C2288&amp;"#"&amp;COUNTIF($C$5:C2288,C2288))</f>
        <v/>
      </c>
    </row>
    <row r="2289">
      <c r="A2289" s="41" t="n"/>
      <c r="B2289" s="37" t="n"/>
      <c r="C2289" s="37" t="n"/>
      <c r="D2289" s="39" t="str">
        <f>IF(C2289="","",IFERROR(INDEX(art_des,MATCH(C2289,art_ref,0))&amp;"","Référence inconnue"))</f>
        <v/>
      </c>
      <c r="E2289" s="37" t="n"/>
      <c r="F2289" s="39" t="str">
        <f>IF(C2289="","",IFERROR(INDEX(art_unit,MATCH(C2289,art_ref,0))&amp;"",""))</f>
        <v/>
      </c>
      <c r="G2289" s="37" t="n"/>
      <c r="H2289" s="37" t="n"/>
      <c r="I2289" s="37" t="n"/>
      <c r="J2289" s="40" t="str">
        <f>IF(OR(C2289="",NOT(ISNUMBER(E2289))),"",IFERROR(E2289*N(INDEX(art_price,MATCH(C2289,art_ref,0))),""))</f>
        <v/>
      </c>
      <c r="K2289" s="39" t="str">
        <f>IF(OR(C2289="",NOT(ISNUMBER(E2289))),"",IFERROR(ROUND(N(INDEX(art_init,MATCH(C2289,art_ref,0)))+SUMIFS($E$5:E2289,$C$5:C2289,C2289,$B$5:B2289,"Entrée")-SUMIFS($E$5:E2289,$C$5:C2289,C2289,$B$5:B2289,"Sortie"),6),""))</f>
        <v/>
      </c>
      <c r="L2289" s="39" t="str">
        <f>IF(COUNTA(A2289:C2289,E2289)=0,"",IF(COUNTA(A2289:C2289,E2289)&lt;4,"Ligne incomplète",IF(NOT(ISNUMBER(A2289)),"Date invalide",IF(AND(B2289&lt;&gt;"Entrée",B2289&lt;&gt;"Sortie"),"Type inconnu",IF(ISNA(MATCH(C2289,art_ref,0)),"Référence inconnue",IF(OR(NOT(ISNUMBER(E2289)),N(E2289)&lt;=0),"Quantité invalide",IF(K2289&lt;0,"Stock négatif",IF(AND(ISNUMBER(A2288),A2289&lt;A2288),"Date hors ordre","OK"))))))))</f>
        <v/>
      </c>
      <c r="M2289" s="39" t="str">
        <f>IF(C2289="","",C2289&amp;"#"&amp;COUNTIF($C$5:C2289,C2289))</f>
        <v/>
      </c>
    </row>
    <row r="2290">
      <c r="A2290" s="41" t="n"/>
      <c r="B2290" s="37" t="n"/>
      <c r="C2290" s="37" t="n"/>
      <c r="D2290" s="39" t="str">
        <f>IF(C2290="","",IFERROR(INDEX(art_des,MATCH(C2290,art_ref,0))&amp;"","Référence inconnue"))</f>
        <v/>
      </c>
      <c r="E2290" s="37" t="n"/>
      <c r="F2290" s="39" t="str">
        <f>IF(C2290="","",IFERROR(INDEX(art_unit,MATCH(C2290,art_ref,0))&amp;"",""))</f>
        <v/>
      </c>
      <c r="G2290" s="37" t="n"/>
      <c r="H2290" s="37" t="n"/>
      <c r="I2290" s="37" t="n"/>
      <c r="J2290" s="40" t="str">
        <f>IF(OR(C2290="",NOT(ISNUMBER(E2290))),"",IFERROR(E2290*N(INDEX(art_price,MATCH(C2290,art_ref,0))),""))</f>
        <v/>
      </c>
      <c r="K2290" s="39" t="str">
        <f>IF(OR(C2290="",NOT(ISNUMBER(E2290))),"",IFERROR(ROUND(N(INDEX(art_init,MATCH(C2290,art_ref,0)))+SUMIFS($E$5:E2290,$C$5:C2290,C2290,$B$5:B2290,"Entrée")-SUMIFS($E$5:E2290,$C$5:C2290,C2290,$B$5:B2290,"Sortie"),6),""))</f>
        <v/>
      </c>
      <c r="L2290" s="39" t="str">
        <f>IF(COUNTA(A2290:C2290,E2290)=0,"",IF(COUNTA(A2290:C2290,E2290)&lt;4,"Ligne incomplète",IF(NOT(ISNUMBER(A2290)),"Date invalide",IF(AND(B2290&lt;&gt;"Entrée",B2290&lt;&gt;"Sortie"),"Type inconnu",IF(ISNA(MATCH(C2290,art_ref,0)),"Référence inconnue",IF(OR(NOT(ISNUMBER(E2290)),N(E2290)&lt;=0),"Quantité invalide",IF(K2290&lt;0,"Stock négatif",IF(AND(ISNUMBER(A2289),A2290&lt;A2289),"Date hors ordre","OK"))))))))</f>
        <v/>
      </c>
      <c r="M2290" s="39" t="str">
        <f>IF(C2290="","",C2290&amp;"#"&amp;COUNTIF($C$5:C2290,C2290))</f>
        <v/>
      </c>
    </row>
    <row r="2291">
      <c r="A2291" s="41" t="n"/>
      <c r="B2291" s="37" t="n"/>
      <c r="C2291" s="37" t="n"/>
      <c r="D2291" s="39" t="str">
        <f>IF(C2291="","",IFERROR(INDEX(art_des,MATCH(C2291,art_ref,0))&amp;"","Référence inconnue"))</f>
        <v/>
      </c>
      <c r="E2291" s="37" t="n"/>
      <c r="F2291" s="39" t="str">
        <f>IF(C2291="","",IFERROR(INDEX(art_unit,MATCH(C2291,art_ref,0))&amp;"",""))</f>
        <v/>
      </c>
      <c r="G2291" s="37" t="n"/>
      <c r="H2291" s="37" t="n"/>
      <c r="I2291" s="37" t="n"/>
      <c r="J2291" s="40" t="str">
        <f>IF(OR(C2291="",NOT(ISNUMBER(E2291))),"",IFERROR(E2291*N(INDEX(art_price,MATCH(C2291,art_ref,0))),""))</f>
        <v/>
      </c>
      <c r="K2291" s="39" t="str">
        <f>IF(OR(C2291="",NOT(ISNUMBER(E2291))),"",IFERROR(ROUND(N(INDEX(art_init,MATCH(C2291,art_ref,0)))+SUMIFS($E$5:E2291,$C$5:C2291,C2291,$B$5:B2291,"Entrée")-SUMIFS($E$5:E2291,$C$5:C2291,C2291,$B$5:B2291,"Sortie"),6),""))</f>
        <v/>
      </c>
      <c r="L2291" s="39" t="str">
        <f>IF(COUNTA(A2291:C2291,E2291)=0,"",IF(COUNTA(A2291:C2291,E2291)&lt;4,"Ligne incomplète",IF(NOT(ISNUMBER(A2291)),"Date invalide",IF(AND(B2291&lt;&gt;"Entrée",B2291&lt;&gt;"Sortie"),"Type inconnu",IF(ISNA(MATCH(C2291,art_ref,0)),"Référence inconnue",IF(OR(NOT(ISNUMBER(E2291)),N(E2291)&lt;=0),"Quantité invalide",IF(K2291&lt;0,"Stock négatif",IF(AND(ISNUMBER(A2290),A2291&lt;A2290),"Date hors ordre","OK"))))))))</f>
        <v/>
      </c>
      <c r="M2291" s="39" t="str">
        <f>IF(C2291="","",C2291&amp;"#"&amp;COUNTIF($C$5:C2291,C2291))</f>
        <v/>
      </c>
    </row>
    <row r="2292">
      <c r="A2292" s="41" t="n"/>
      <c r="B2292" s="37" t="n"/>
      <c r="C2292" s="37" t="n"/>
      <c r="D2292" s="39" t="str">
        <f>IF(C2292="","",IFERROR(INDEX(art_des,MATCH(C2292,art_ref,0))&amp;"","Référence inconnue"))</f>
        <v/>
      </c>
      <c r="E2292" s="37" t="n"/>
      <c r="F2292" s="39" t="str">
        <f>IF(C2292="","",IFERROR(INDEX(art_unit,MATCH(C2292,art_ref,0))&amp;"",""))</f>
        <v/>
      </c>
      <c r="G2292" s="37" t="n"/>
      <c r="H2292" s="37" t="n"/>
      <c r="I2292" s="37" t="n"/>
      <c r="J2292" s="40" t="str">
        <f>IF(OR(C2292="",NOT(ISNUMBER(E2292))),"",IFERROR(E2292*N(INDEX(art_price,MATCH(C2292,art_ref,0))),""))</f>
        <v/>
      </c>
      <c r="K2292" s="39" t="str">
        <f>IF(OR(C2292="",NOT(ISNUMBER(E2292))),"",IFERROR(ROUND(N(INDEX(art_init,MATCH(C2292,art_ref,0)))+SUMIFS($E$5:E2292,$C$5:C2292,C2292,$B$5:B2292,"Entrée")-SUMIFS($E$5:E2292,$C$5:C2292,C2292,$B$5:B2292,"Sortie"),6),""))</f>
        <v/>
      </c>
      <c r="L2292" s="39" t="str">
        <f>IF(COUNTA(A2292:C2292,E2292)=0,"",IF(COUNTA(A2292:C2292,E2292)&lt;4,"Ligne incomplète",IF(NOT(ISNUMBER(A2292)),"Date invalide",IF(AND(B2292&lt;&gt;"Entrée",B2292&lt;&gt;"Sortie"),"Type inconnu",IF(ISNA(MATCH(C2292,art_ref,0)),"Référence inconnue",IF(OR(NOT(ISNUMBER(E2292)),N(E2292)&lt;=0),"Quantité invalide",IF(K2292&lt;0,"Stock négatif",IF(AND(ISNUMBER(A2291),A2292&lt;A2291),"Date hors ordre","OK"))))))))</f>
        <v/>
      </c>
      <c r="M2292" s="39" t="str">
        <f>IF(C2292="","",C2292&amp;"#"&amp;COUNTIF($C$5:C2292,C2292))</f>
        <v/>
      </c>
    </row>
    <row r="2293">
      <c r="A2293" s="41" t="n"/>
      <c r="B2293" s="37" t="n"/>
      <c r="C2293" s="37" t="n"/>
      <c r="D2293" s="39" t="str">
        <f>IF(C2293="","",IFERROR(INDEX(art_des,MATCH(C2293,art_ref,0))&amp;"","Référence inconnue"))</f>
        <v/>
      </c>
      <c r="E2293" s="37" t="n"/>
      <c r="F2293" s="39" t="str">
        <f>IF(C2293="","",IFERROR(INDEX(art_unit,MATCH(C2293,art_ref,0))&amp;"",""))</f>
        <v/>
      </c>
      <c r="G2293" s="37" t="n"/>
      <c r="H2293" s="37" t="n"/>
      <c r="I2293" s="37" t="n"/>
      <c r="J2293" s="40" t="str">
        <f>IF(OR(C2293="",NOT(ISNUMBER(E2293))),"",IFERROR(E2293*N(INDEX(art_price,MATCH(C2293,art_ref,0))),""))</f>
        <v/>
      </c>
      <c r="K2293" s="39" t="str">
        <f>IF(OR(C2293="",NOT(ISNUMBER(E2293))),"",IFERROR(ROUND(N(INDEX(art_init,MATCH(C2293,art_ref,0)))+SUMIFS($E$5:E2293,$C$5:C2293,C2293,$B$5:B2293,"Entrée")-SUMIFS($E$5:E2293,$C$5:C2293,C2293,$B$5:B2293,"Sortie"),6),""))</f>
        <v/>
      </c>
      <c r="L2293" s="39" t="str">
        <f>IF(COUNTA(A2293:C2293,E2293)=0,"",IF(COUNTA(A2293:C2293,E2293)&lt;4,"Ligne incomplète",IF(NOT(ISNUMBER(A2293)),"Date invalide",IF(AND(B2293&lt;&gt;"Entrée",B2293&lt;&gt;"Sortie"),"Type inconnu",IF(ISNA(MATCH(C2293,art_ref,0)),"Référence inconnue",IF(OR(NOT(ISNUMBER(E2293)),N(E2293)&lt;=0),"Quantité invalide",IF(K2293&lt;0,"Stock négatif",IF(AND(ISNUMBER(A2292),A2293&lt;A2292),"Date hors ordre","OK"))))))))</f>
        <v/>
      </c>
      <c r="M2293" s="39" t="str">
        <f>IF(C2293="","",C2293&amp;"#"&amp;COUNTIF($C$5:C2293,C2293))</f>
        <v/>
      </c>
    </row>
    <row r="2294">
      <c r="A2294" s="41" t="n"/>
      <c r="B2294" s="37" t="n"/>
      <c r="C2294" s="37" t="n"/>
      <c r="D2294" s="39" t="str">
        <f>IF(C2294="","",IFERROR(INDEX(art_des,MATCH(C2294,art_ref,0))&amp;"","Référence inconnue"))</f>
        <v/>
      </c>
      <c r="E2294" s="37" t="n"/>
      <c r="F2294" s="39" t="str">
        <f>IF(C2294="","",IFERROR(INDEX(art_unit,MATCH(C2294,art_ref,0))&amp;"",""))</f>
        <v/>
      </c>
      <c r="G2294" s="37" t="n"/>
      <c r="H2294" s="37" t="n"/>
      <c r="I2294" s="37" t="n"/>
      <c r="J2294" s="40" t="str">
        <f>IF(OR(C2294="",NOT(ISNUMBER(E2294))),"",IFERROR(E2294*N(INDEX(art_price,MATCH(C2294,art_ref,0))),""))</f>
        <v/>
      </c>
      <c r="K2294" s="39" t="str">
        <f>IF(OR(C2294="",NOT(ISNUMBER(E2294))),"",IFERROR(ROUND(N(INDEX(art_init,MATCH(C2294,art_ref,0)))+SUMIFS($E$5:E2294,$C$5:C2294,C2294,$B$5:B2294,"Entrée")-SUMIFS($E$5:E2294,$C$5:C2294,C2294,$B$5:B2294,"Sortie"),6),""))</f>
        <v/>
      </c>
      <c r="L2294" s="39" t="str">
        <f>IF(COUNTA(A2294:C2294,E2294)=0,"",IF(COUNTA(A2294:C2294,E2294)&lt;4,"Ligne incomplète",IF(NOT(ISNUMBER(A2294)),"Date invalide",IF(AND(B2294&lt;&gt;"Entrée",B2294&lt;&gt;"Sortie"),"Type inconnu",IF(ISNA(MATCH(C2294,art_ref,0)),"Référence inconnue",IF(OR(NOT(ISNUMBER(E2294)),N(E2294)&lt;=0),"Quantité invalide",IF(K2294&lt;0,"Stock négatif",IF(AND(ISNUMBER(A2293),A2294&lt;A2293),"Date hors ordre","OK"))))))))</f>
        <v/>
      </c>
      <c r="M2294" s="39" t="str">
        <f>IF(C2294="","",C2294&amp;"#"&amp;COUNTIF($C$5:C2294,C2294))</f>
        <v/>
      </c>
    </row>
    <row r="2295">
      <c r="A2295" s="41" t="n"/>
      <c r="B2295" s="37" t="n"/>
      <c r="C2295" s="37" t="n"/>
      <c r="D2295" s="39" t="str">
        <f>IF(C2295="","",IFERROR(INDEX(art_des,MATCH(C2295,art_ref,0))&amp;"","Référence inconnue"))</f>
        <v/>
      </c>
      <c r="E2295" s="37" t="n"/>
      <c r="F2295" s="39" t="str">
        <f>IF(C2295="","",IFERROR(INDEX(art_unit,MATCH(C2295,art_ref,0))&amp;"",""))</f>
        <v/>
      </c>
      <c r="G2295" s="37" t="n"/>
      <c r="H2295" s="37" t="n"/>
      <c r="I2295" s="37" t="n"/>
      <c r="J2295" s="40" t="str">
        <f>IF(OR(C2295="",NOT(ISNUMBER(E2295))),"",IFERROR(E2295*N(INDEX(art_price,MATCH(C2295,art_ref,0))),""))</f>
        <v/>
      </c>
      <c r="K2295" s="39" t="str">
        <f>IF(OR(C2295="",NOT(ISNUMBER(E2295))),"",IFERROR(ROUND(N(INDEX(art_init,MATCH(C2295,art_ref,0)))+SUMIFS($E$5:E2295,$C$5:C2295,C2295,$B$5:B2295,"Entrée")-SUMIFS($E$5:E2295,$C$5:C2295,C2295,$B$5:B2295,"Sortie"),6),""))</f>
        <v/>
      </c>
      <c r="L2295" s="39" t="str">
        <f>IF(COUNTA(A2295:C2295,E2295)=0,"",IF(COUNTA(A2295:C2295,E2295)&lt;4,"Ligne incomplète",IF(NOT(ISNUMBER(A2295)),"Date invalide",IF(AND(B2295&lt;&gt;"Entrée",B2295&lt;&gt;"Sortie"),"Type inconnu",IF(ISNA(MATCH(C2295,art_ref,0)),"Référence inconnue",IF(OR(NOT(ISNUMBER(E2295)),N(E2295)&lt;=0),"Quantité invalide",IF(K2295&lt;0,"Stock négatif",IF(AND(ISNUMBER(A2294),A2295&lt;A2294),"Date hors ordre","OK"))))))))</f>
        <v/>
      </c>
      <c r="M2295" s="39" t="str">
        <f>IF(C2295="","",C2295&amp;"#"&amp;COUNTIF($C$5:C2295,C2295))</f>
        <v/>
      </c>
    </row>
    <row r="2296">
      <c r="A2296" s="41" t="n"/>
      <c r="B2296" s="37" t="n"/>
      <c r="C2296" s="37" t="n"/>
      <c r="D2296" s="39" t="str">
        <f>IF(C2296="","",IFERROR(INDEX(art_des,MATCH(C2296,art_ref,0))&amp;"","Référence inconnue"))</f>
        <v/>
      </c>
      <c r="E2296" s="37" t="n"/>
      <c r="F2296" s="39" t="str">
        <f>IF(C2296="","",IFERROR(INDEX(art_unit,MATCH(C2296,art_ref,0))&amp;"",""))</f>
        <v/>
      </c>
      <c r="G2296" s="37" t="n"/>
      <c r="H2296" s="37" t="n"/>
      <c r="I2296" s="37" t="n"/>
      <c r="J2296" s="40" t="str">
        <f>IF(OR(C2296="",NOT(ISNUMBER(E2296))),"",IFERROR(E2296*N(INDEX(art_price,MATCH(C2296,art_ref,0))),""))</f>
        <v/>
      </c>
      <c r="K2296" s="39" t="str">
        <f>IF(OR(C2296="",NOT(ISNUMBER(E2296))),"",IFERROR(ROUND(N(INDEX(art_init,MATCH(C2296,art_ref,0)))+SUMIFS($E$5:E2296,$C$5:C2296,C2296,$B$5:B2296,"Entrée")-SUMIFS($E$5:E2296,$C$5:C2296,C2296,$B$5:B2296,"Sortie"),6),""))</f>
        <v/>
      </c>
      <c r="L2296" s="39" t="str">
        <f>IF(COUNTA(A2296:C2296,E2296)=0,"",IF(COUNTA(A2296:C2296,E2296)&lt;4,"Ligne incomplète",IF(NOT(ISNUMBER(A2296)),"Date invalide",IF(AND(B2296&lt;&gt;"Entrée",B2296&lt;&gt;"Sortie"),"Type inconnu",IF(ISNA(MATCH(C2296,art_ref,0)),"Référence inconnue",IF(OR(NOT(ISNUMBER(E2296)),N(E2296)&lt;=0),"Quantité invalide",IF(K2296&lt;0,"Stock négatif",IF(AND(ISNUMBER(A2295),A2296&lt;A2295),"Date hors ordre","OK"))))))))</f>
        <v/>
      </c>
      <c r="M2296" s="39" t="str">
        <f>IF(C2296="","",C2296&amp;"#"&amp;COUNTIF($C$5:C2296,C2296))</f>
        <v/>
      </c>
    </row>
    <row r="2297">
      <c r="A2297" s="41" t="n"/>
      <c r="B2297" s="37" t="n"/>
      <c r="C2297" s="37" t="n"/>
      <c r="D2297" s="39" t="str">
        <f>IF(C2297="","",IFERROR(INDEX(art_des,MATCH(C2297,art_ref,0))&amp;"","Référence inconnue"))</f>
        <v/>
      </c>
      <c r="E2297" s="37" t="n"/>
      <c r="F2297" s="39" t="str">
        <f>IF(C2297="","",IFERROR(INDEX(art_unit,MATCH(C2297,art_ref,0))&amp;"",""))</f>
        <v/>
      </c>
      <c r="G2297" s="37" t="n"/>
      <c r="H2297" s="37" t="n"/>
      <c r="I2297" s="37" t="n"/>
      <c r="J2297" s="40" t="str">
        <f>IF(OR(C2297="",NOT(ISNUMBER(E2297))),"",IFERROR(E2297*N(INDEX(art_price,MATCH(C2297,art_ref,0))),""))</f>
        <v/>
      </c>
      <c r="K2297" s="39" t="str">
        <f>IF(OR(C2297="",NOT(ISNUMBER(E2297))),"",IFERROR(ROUND(N(INDEX(art_init,MATCH(C2297,art_ref,0)))+SUMIFS($E$5:E2297,$C$5:C2297,C2297,$B$5:B2297,"Entrée")-SUMIFS($E$5:E2297,$C$5:C2297,C2297,$B$5:B2297,"Sortie"),6),""))</f>
        <v/>
      </c>
      <c r="L2297" s="39" t="str">
        <f>IF(COUNTA(A2297:C2297,E2297)=0,"",IF(COUNTA(A2297:C2297,E2297)&lt;4,"Ligne incomplète",IF(NOT(ISNUMBER(A2297)),"Date invalide",IF(AND(B2297&lt;&gt;"Entrée",B2297&lt;&gt;"Sortie"),"Type inconnu",IF(ISNA(MATCH(C2297,art_ref,0)),"Référence inconnue",IF(OR(NOT(ISNUMBER(E2297)),N(E2297)&lt;=0),"Quantité invalide",IF(K2297&lt;0,"Stock négatif",IF(AND(ISNUMBER(A2296),A2297&lt;A2296),"Date hors ordre","OK"))))))))</f>
        <v/>
      </c>
      <c r="M2297" s="39" t="str">
        <f>IF(C2297="","",C2297&amp;"#"&amp;COUNTIF($C$5:C2297,C2297))</f>
        <v/>
      </c>
    </row>
    <row r="2298">
      <c r="A2298" s="41" t="n"/>
      <c r="B2298" s="37" t="n"/>
      <c r="C2298" s="37" t="n"/>
      <c r="D2298" s="39" t="str">
        <f>IF(C2298="","",IFERROR(INDEX(art_des,MATCH(C2298,art_ref,0))&amp;"","Référence inconnue"))</f>
        <v/>
      </c>
      <c r="E2298" s="37" t="n"/>
      <c r="F2298" s="39" t="str">
        <f>IF(C2298="","",IFERROR(INDEX(art_unit,MATCH(C2298,art_ref,0))&amp;"",""))</f>
        <v/>
      </c>
      <c r="G2298" s="37" t="n"/>
      <c r="H2298" s="37" t="n"/>
      <c r="I2298" s="37" t="n"/>
      <c r="J2298" s="40" t="str">
        <f>IF(OR(C2298="",NOT(ISNUMBER(E2298))),"",IFERROR(E2298*N(INDEX(art_price,MATCH(C2298,art_ref,0))),""))</f>
        <v/>
      </c>
      <c r="K2298" s="39" t="str">
        <f>IF(OR(C2298="",NOT(ISNUMBER(E2298))),"",IFERROR(ROUND(N(INDEX(art_init,MATCH(C2298,art_ref,0)))+SUMIFS($E$5:E2298,$C$5:C2298,C2298,$B$5:B2298,"Entrée")-SUMIFS($E$5:E2298,$C$5:C2298,C2298,$B$5:B2298,"Sortie"),6),""))</f>
        <v/>
      </c>
      <c r="L2298" s="39" t="str">
        <f>IF(COUNTA(A2298:C2298,E2298)=0,"",IF(COUNTA(A2298:C2298,E2298)&lt;4,"Ligne incomplète",IF(NOT(ISNUMBER(A2298)),"Date invalide",IF(AND(B2298&lt;&gt;"Entrée",B2298&lt;&gt;"Sortie"),"Type inconnu",IF(ISNA(MATCH(C2298,art_ref,0)),"Référence inconnue",IF(OR(NOT(ISNUMBER(E2298)),N(E2298)&lt;=0),"Quantité invalide",IF(K2298&lt;0,"Stock négatif",IF(AND(ISNUMBER(A2297),A2298&lt;A2297),"Date hors ordre","OK"))))))))</f>
        <v/>
      </c>
      <c r="M2298" s="39" t="str">
        <f>IF(C2298="","",C2298&amp;"#"&amp;COUNTIF($C$5:C2298,C2298))</f>
        <v/>
      </c>
    </row>
    <row r="2299">
      <c r="A2299" s="41" t="n"/>
      <c r="B2299" s="37" t="n"/>
      <c r="C2299" s="37" t="n"/>
      <c r="D2299" s="39" t="str">
        <f>IF(C2299="","",IFERROR(INDEX(art_des,MATCH(C2299,art_ref,0))&amp;"","Référence inconnue"))</f>
        <v/>
      </c>
      <c r="E2299" s="37" t="n"/>
      <c r="F2299" s="39" t="str">
        <f>IF(C2299="","",IFERROR(INDEX(art_unit,MATCH(C2299,art_ref,0))&amp;"",""))</f>
        <v/>
      </c>
      <c r="G2299" s="37" t="n"/>
      <c r="H2299" s="37" t="n"/>
      <c r="I2299" s="37" t="n"/>
      <c r="J2299" s="40" t="str">
        <f>IF(OR(C2299="",NOT(ISNUMBER(E2299))),"",IFERROR(E2299*N(INDEX(art_price,MATCH(C2299,art_ref,0))),""))</f>
        <v/>
      </c>
      <c r="K2299" s="39" t="str">
        <f>IF(OR(C2299="",NOT(ISNUMBER(E2299))),"",IFERROR(ROUND(N(INDEX(art_init,MATCH(C2299,art_ref,0)))+SUMIFS($E$5:E2299,$C$5:C2299,C2299,$B$5:B2299,"Entrée")-SUMIFS($E$5:E2299,$C$5:C2299,C2299,$B$5:B2299,"Sortie"),6),""))</f>
        <v/>
      </c>
      <c r="L2299" s="39" t="str">
        <f>IF(COUNTA(A2299:C2299,E2299)=0,"",IF(COUNTA(A2299:C2299,E2299)&lt;4,"Ligne incomplète",IF(NOT(ISNUMBER(A2299)),"Date invalide",IF(AND(B2299&lt;&gt;"Entrée",B2299&lt;&gt;"Sortie"),"Type inconnu",IF(ISNA(MATCH(C2299,art_ref,0)),"Référence inconnue",IF(OR(NOT(ISNUMBER(E2299)),N(E2299)&lt;=0),"Quantité invalide",IF(K2299&lt;0,"Stock négatif",IF(AND(ISNUMBER(A2298),A2299&lt;A2298),"Date hors ordre","OK"))))))))</f>
        <v/>
      </c>
      <c r="M2299" s="39" t="str">
        <f>IF(C2299="","",C2299&amp;"#"&amp;COUNTIF($C$5:C2299,C2299))</f>
        <v/>
      </c>
    </row>
    <row r="2300">
      <c r="A2300" s="41" t="n"/>
      <c r="B2300" s="37" t="n"/>
      <c r="C2300" s="37" t="n"/>
      <c r="D2300" s="39" t="str">
        <f>IF(C2300="","",IFERROR(INDEX(art_des,MATCH(C2300,art_ref,0))&amp;"","Référence inconnue"))</f>
        <v/>
      </c>
      <c r="E2300" s="37" t="n"/>
      <c r="F2300" s="39" t="str">
        <f>IF(C2300="","",IFERROR(INDEX(art_unit,MATCH(C2300,art_ref,0))&amp;"",""))</f>
        <v/>
      </c>
      <c r="G2300" s="37" t="n"/>
      <c r="H2300" s="37" t="n"/>
      <c r="I2300" s="37" t="n"/>
      <c r="J2300" s="40" t="str">
        <f>IF(OR(C2300="",NOT(ISNUMBER(E2300))),"",IFERROR(E2300*N(INDEX(art_price,MATCH(C2300,art_ref,0))),""))</f>
        <v/>
      </c>
      <c r="K2300" s="39" t="str">
        <f>IF(OR(C2300="",NOT(ISNUMBER(E2300))),"",IFERROR(ROUND(N(INDEX(art_init,MATCH(C2300,art_ref,0)))+SUMIFS($E$5:E2300,$C$5:C2300,C2300,$B$5:B2300,"Entrée")-SUMIFS($E$5:E2300,$C$5:C2300,C2300,$B$5:B2300,"Sortie"),6),""))</f>
        <v/>
      </c>
      <c r="L2300" s="39" t="str">
        <f>IF(COUNTA(A2300:C2300,E2300)=0,"",IF(COUNTA(A2300:C2300,E2300)&lt;4,"Ligne incomplète",IF(NOT(ISNUMBER(A2300)),"Date invalide",IF(AND(B2300&lt;&gt;"Entrée",B2300&lt;&gt;"Sortie"),"Type inconnu",IF(ISNA(MATCH(C2300,art_ref,0)),"Référence inconnue",IF(OR(NOT(ISNUMBER(E2300)),N(E2300)&lt;=0),"Quantité invalide",IF(K2300&lt;0,"Stock négatif",IF(AND(ISNUMBER(A2299),A2300&lt;A2299),"Date hors ordre","OK"))))))))</f>
        <v/>
      </c>
      <c r="M2300" s="39" t="str">
        <f>IF(C2300="","",C2300&amp;"#"&amp;COUNTIF($C$5:C2300,C2300))</f>
        <v/>
      </c>
    </row>
    <row r="2301">
      <c r="A2301" s="41" t="n"/>
      <c r="B2301" s="37" t="n"/>
      <c r="C2301" s="37" t="n"/>
      <c r="D2301" s="39" t="str">
        <f>IF(C2301="","",IFERROR(INDEX(art_des,MATCH(C2301,art_ref,0))&amp;"","Référence inconnue"))</f>
        <v/>
      </c>
      <c r="E2301" s="37" t="n"/>
      <c r="F2301" s="39" t="str">
        <f>IF(C2301="","",IFERROR(INDEX(art_unit,MATCH(C2301,art_ref,0))&amp;"",""))</f>
        <v/>
      </c>
      <c r="G2301" s="37" t="n"/>
      <c r="H2301" s="37" t="n"/>
      <c r="I2301" s="37" t="n"/>
      <c r="J2301" s="40" t="str">
        <f>IF(OR(C2301="",NOT(ISNUMBER(E2301))),"",IFERROR(E2301*N(INDEX(art_price,MATCH(C2301,art_ref,0))),""))</f>
        <v/>
      </c>
      <c r="K2301" s="39" t="str">
        <f>IF(OR(C2301="",NOT(ISNUMBER(E2301))),"",IFERROR(ROUND(N(INDEX(art_init,MATCH(C2301,art_ref,0)))+SUMIFS($E$5:E2301,$C$5:C2301,C2301,$B$5:B2301,"Entrée")-SUMIFS($E$5:E2301,$C$5:C2301,C2301,$B$5:B2301,"Sortie"),6),""))</f>
        <v/>
      </c>
      <c r="L2301" s="39" t="str">
        <f>IF(COUNTA(A2301:C2301,E2301)=0,"",IF(COUNTA(A2301:C2301,E2301)&lt;4,"Ligne incomplète",IF(NOT(ISNUMBER(A2301)),"Date invalide",IF(AND(B2301&lt;&gt;"Entrée",B2301&lt;&gt;"Sortie"),"Type inconnu",IF(ISNA(MATCH(C2301,art_ref,0)),"Référence inconnue",IF(OR(NOT(ISNUMBER(E2301)),N(E2301)&lt;=0),"Quantité invalide",IF(K2301&lt;0,"Stock négatif",IF(AND(ISNUMBER(A2300),A2301&lt;A2300),"Date hors ordre","OK"))))))))</f>
        <v/>
      </c>
      <c r="M2301" s="39" t="str">
        <f>IF(C2301="","",C2301&amp;"#"&amp;COUNTIF($C$5:C2301,C2301))</f>
        <v/>
      </c>
    </row>
    <row r="2302">
      <c r="A2302" s="41" t="n"/>
      <c r="B2302" s="37" t="n"/>
      <c r="C2302" s="37" t="n"/>
      <c r="D2302" s="39" t="str">
        <f>IF(C2302="","",IFERROR(INDEX(art_des,MATCH(C2302,art_ref,0))&amp;"","Référence inconnue"))</f>
        <v/>
      </c>
      <c r="E2302" s="37" t="n"/>
      <c r="F2302" s="39" t="str">
        <f>IF(C2302="","",IFERROR(INDEX(art_unit,MATCH(C2302,art_ref,0))&amp;"",""))</f>
        <v/>
      </c>
      <c r="G2302" s="37" t="n"/>
      <c r="H2302" s="37" t="n"/>
      <c r="I2302" s="37" t="n"/>
      <c r="J2302" s="40" t="str">
        <f>IF(OR(C2302="",NOT(ISNUMBER(E2302))),"",IFERROR(E2302*N(INDEX(art_price,MATCH(C2302,art_ref,0))),""))</f>
        <v/>
      </c>
      <c r="K2302" s="39" t="str">
        <f>IF(OR(C2302="",NOT(ISNUMBER(E2302))),"",IFERROR(ROUND(N(INDEX(art_init,MATCH(C2302,art_ref,0)))+SUMIFS($E$5:E2302,$C$5:C2302,C2302,$B$5:B2302,"Entrée")-SUMIFS($E$5:E2302,$C$5:C2302,C2302,$B$5:B2302,"Sortie"),6),""))</f>
        <v/>
      </c>
      <c r="L2302" s="39" t="str">
        <f>IF(COUNTA(A2302:C2302,E2302)=0,"",IF(COUNTA(A2302:C2302,E2302)&lt;4,"Ligne incomplète",IF(NOT(ISNUMBER(A2302)),"Date invalide",IF(AND(B2302&lt;&gt;"Entrée",B2302&lt;&gt;"Sortie"),"Type inconnu",IF(ISNA(MATCH(C2302,art_ref,0)),"Référence inconnue",IF(OR(NOT(ISNUMBER(E2302)),N(E2302)&lt;=0),"Quantité invalide",IF(K2302&lt;0,"Stock négatif",IF(AND(ISNUMBER(A2301),A2302&lt;A2301),"Date hors ordre","OK"))))))))</f>
        <v/>
      </c>
      <c r="M2302" s="39" t="str">
        <f>IF(C2302="","",C2302&amp;"#"&amp;COUNTIF($C$5:C2302,C2302))</f>
        <v/>
      </c>
    </row>
    <row r="2303">
      <c r="A2303" s="41" t="n"/>
      <c r="B2303" s="37" t="n"/>
      <c r="C2303" s="37" t="n"/>
      <c r="D2303" s="39" t="str">
        <f>IF(C2303="","",IFERROR(INDEX(art_des,MATCH(C2303,art_ref,0))&amp;"","Référence inconnue"))</f>
        <v/>
      </c>
      <c r="E2303" s="37" t="n"/>
      <c r="F2303" s="39" t="str">
        <f>IF(C2303="","",IFERROR(INDEX(art_unit,MATCH(C2303,art_ref,0))&amp;"",""))</f>
        <v/>
      </c>
      <c r="G2303" s="37" t="n"/>
      <c r="H2303" s="37" t="n"/>
      <c r="I2303" s="37" t="n"/>
      <c r="J2303" s="40" t="str">
        <f>IF(OR(C2303="",NOT(ISNUMBER(E2303))),"",IFERROR(E2303*N(INDEX(art_price,MATCH(C2303,art_ref,0))),""))</f>
        <v/>
      </c>
      <c r="K2303" s="39" t="str">
        <f>IF(OR(C2303="",NOT(ISNUMBER(E2303))),"",IFERROR(ROUND(N(INDEX(art_init,MATCH(C2303,art_ref,0)))+SUMIFS($E$5:E2303,$C$5:C2303,C2303,$B$5:B2303,"Entrée")-SUMIFS($E$5:E2303,$C$5:C2303,C2303,$B$5:B2303,"Sortie"),6),""))</f>
        <v/>
      </c>
      <c r="L2303" s="39" t="str">
        <f>IF(COUNTA(A2303:C2303,E2303)=0,"",IF(COUNTA(A2303:C2303,E2303)&lt;4,"Ligne incomplète",IF(NOT(ISNUMBER(A2303)),"Date invalide",IF(AND(B2303&lt;&gt;"Entrée",B2303&lt;&gt;"Sortie"),"Type inconnu",IF(ISNA(MATCH(C2303,art_ref,0)),"Référence inconnue",IF(OR(NOT(ISNUMBER(E2303)),N(E2303)&lt;=0),"Quantité invalide",IF(K2303&lt;0,"Stock négatif",IF(AND(ISNUMBER(A2302),A2303&lt;A2302),"Date hors ordre","OK"))))))))</f>
        <v/>
      </c>
      <c r="M2303" s="39" t="str">
        <f>IF(C2303="","",C2303&amp;"#"&amp;COUNTIF($C$5:C2303,C2303))</f>
        <v/>
      </c>
    </row>
    <row r="2304">
      <c r="A2304" s="41" t="n"/>
      <c r="B2304" s="37" t="n"/>
      <c r="C2304" s="37" t="n"/>
      <c r="D2304" s="39" t="str">
        <f>IF(C2304="","",IFERROR(INDEX(art_des,MATCH(C2304,art_ref,0))&amp;"","Référence inconnue"))</f>
        <v/>
      </c>
      <c r="E2304" s="37" t="n"/>
      <c r="F2304" s="39" t="str">
        <f>IF(C2304="","",IFERROR(INDEX(art_unit,MATCH(C2304,art_ref,0))&amp;"",""))</f>
        <v/>
      </c>
      <c r="G2304" s="37" t="n"/>
      <c r="H2304" s="37" t="n"/>
      <c r="I2304" s="37" t="n"/>
      <c r="J2304" s="40" t="str">
        <f>IF(OR(C2304="",NOT(ISNUMBER(E2304))),"",IFERROR(E2304*N(INDEX(art_price,MATCH(C2304,art_ref,0))),""))</f>
        <v/>
      </c>
      <c r="K2304" s="39" t="str">
        <f>IF(OR(C2304="",NOT(ISNUMBER(E2304))),"",IFERROR(ROUND(N(INDEX(art_init,MATCH(C2304,art_ref,0)))+SUMIFS($E$5:E2304,$C$5:C2304,C2304,$B$5:B2304,"Entrée")-SUMIFS($E$5:E2304,$C$5:C2304,C2304,$B$5:B2304,"Sortie"),6),""))</f>
        <v/>
      </c>
      <c r="L2304" s="39" t="str">
        <f>IF(COUNTA(A2304:C2304,E2304)=0,"",IF(COUNTA(A2304:C2304,E2304)&lt;4,"Ligne incomplète",IF(NOT(ISNUMBER(A2304)),"Date invalide",IF(AND(B2304&lt;&gt;"Entrée",B2304&lt;&gt;"Sortie"),"Type inconnu",IF(ISNA(MATCH(C2304,art_ref,0)),"Référence inconnue",IF(OR(NOT(ISNUMBER(E2304)),N(E2304)&lt;=0),"Quantité invalide",IF(K2304&lt;0,"Stock négatif",IF(AND(ISNUMBER(A2303),A2304&lt;A2303),"Date hors ordre","OK"))))))))</f>
        <v/>
      </c>
      <c r="M2304" s="39" t="str">
        <f>IF(C2304="","",C2304&amp;"#"&amp;COUNTIF($C$5:C2304,C2304))</f>
        <v/>
      </c>
    </row>
    <row r="2305">
      <c r="A2305" s="41" t="n"/>
      <c r="B2305" s="37" t="n"/>
      <c r="C2305" s="37" t="n"/>
      <c r="D2305" s="39" t="str">
        <f>IF(C2305="","",IFERROR(INDEX(art_des,MATCH(C2305,art_ref,0))&amp;"","Référence inconnue"))</f>
        <v/>
      </c>
      <c r="E2305" s="37" t="n"/>
      <c r="F2305" s="39" t="str">
        <f>IF(C2305="","",IFERROR(INDEX(art_unit,MATCH(C2305,art_ref,0))&amp;"",""))</f>
        <v/>
      </c>
      <c r="G2305" s="37" t="n"/>
      <c r="H2305" s="37" t="n"/>
      <c r="I2305" s="37" t="n"/>
      <c r="J2305" s="40" t="str">
        <f>IF(OR(C2305="",NOT(ISNUMBER(E2305))),"",IFERROR(E2305*N(INDEX(art_price,MATCH(C2305,art_ref,0))),""))</f>
        <v/>
      </c>
      <c r="K2305" s="39" t="str">
        <f>IF(OR(C2305="",NOT(ISNUMBER(E2305))),"",IFERROR(ROUND(N(INDEX(art_init,MATCH(C2305,art_ref,0)))+SUMIFS($E$5:E2305,$C$5:C2305,C2305,$B$5:B2305,"Entrée")-SUMIFS($E$5:E2305,$C$5:C2305,C2305,$B$5:B2305,"Sortie"),6),""))</f>
        <v/>
      </c>
      <c r="L2305" s="39" t="str">
        <f>IF(COUNTA(A2305:C2305,E2305)=0,"",IF(COUNTA(A2305:C2305,E2305)&lt;4,"Ligne incomplète",IF(NOT(ISNUMBER(A2305)),"Date invalide",IF(AND(B2305&lt;&gt;"Entrée",B2305&lt;&gt;"Sortie"),"Type inconnu",IF(ISNA(MATCH(C2305,art_ref,0)),"Référence inconnue",IF(OR(NOT(ISNUMBER(E2305)),N(E2305)&lt;=0),"Quantité invalide",IF(K2305&lt;0,"Stock négatif",IF(AND(ISNUMBER(A2304),A2305&lt;A2304),"Date hors ordre","OK"))))))))</f>
        <v/>
      </c>
      <c r="M2305" s="39" t="str">
        <f>IF(C2305="","",C2305&amp;"#"&amp;COUNTIF($C$5:C2305,C2305))</f>
        <v/>
      </c>
    </row>
    <row r="2306">
      <c r="A2306" s="41" t="n"/>
      <c r="B2306" s="37" t="n"/>
      <c r="C2306" s="37" t="n"/>
      <c r="D2306" s="39" t="str">
        <f>IF(C2306="","",IFERROR(INDEX(art_des,MATCH(C2306,art_ref,0))&amp;"","Référence inconnue"))</f>
        <v/>
      </c>
      <c r="E2306" s="37" t="n"/>
      <c r="F2306" s="39" t="str">
        <f>IF(C2306="","",IFERROR(INDEX(art_unit,MATCH(C2306,art_ref,0))&amp;"",""))</f>
        <v/>
      </c>
      <c r="G2306" s="37" t="n"/>
      <c r="H2306" s="37" t="n"/>
      <c r="I2306" s="37" t="n"/>
      <c r="J2306" s="40" t="str">
        <f>IF(OR(C2306="",NOT(ISNUMBER(E2306))),"",IFERROR(E2306*N(INDEX(art_price,MATCH(C2306,art_ref,0))),""))</f>
        <v/>
      </c>
      <c r="K2306" s="39" t="str">
        <f>IF(OR(C2306="",NOT(ISNUMBER(E2306))),"",IFERROR(ROUND(N(INDEX(art_init,MATCH(C2306,art_ref,0)))+SUMIFS($E$5:E2306,$C$5:C2306,C2306,$B$5:B2306,"Entrée")-SUMIFS($E$5:E2306,$C$5:C2306,C2306,$B$5:B2306,"Sortie"),6),""))</f>
        <v/>
      </c>
      <c r="L2306" s="39" t="str">
        <f>IF(COUNTA(A2306:C2306,E2306)=0,"",IF(COUNTA(A2306:C2306,E2306)&lt;4,"Ligne incomplète",IF(NOT(ISNUMBER(A2306)),"Date invalide",IF(AND(B2306&lt;&gt;"Entrée",B2306&lt;&gt;"Sortie"),"Type inconnu",IF(ISNA(MATCH(C2306,art_ref,0)),"Référence inconnue",IF(OR(NOT(ISNUMBER(E2306)),N(E2306)&lt;=0),"Quantité invalide",IF(K2306&lt;0,"Stock négatif",IF(AND(ISNUMBER(A2305),A2306&lt;A2305),"Date hors ordre","OK"))))))))</f>
        <v/>
      </c>
      <c r="M2306" s="39" t="str">
        <f>IF(C2306="","",C2306&amp;"#"&amp;COUNTIF($C$5:C2306,C2306))</f>
        <v/>
      </c>
    </row>
    <row r="2307">
      <c r="A2307" s="41" t="n"/>
      <c r="B2307" s="37" t="n"/>
      <c r="C2307" s="37" t="n"/>
      <c r="D2307" s="39" t="str">
        <f>IF(C2307="","",IFERROR(INDEX(art_des,MATCH(C2307,art_ref,0))&amp;"","Référence inconnue"))</f>
        <v/>
      </c>
      <c r="E2307" s="37" t="n"/>
      <c r="F2307" s="39" t="str">
        <f>IF(C2307="","",IFERROR(INDEX(art_unit,MATCH(C2307,art_ref,0))&amp;"",""))</f>
        <v/>
      </c>
      <c r="G2307" s="37" t="n"/>
      <c r="H2307" s="37" t="n"/>
      <c r="I2307" s="37" t="n"/>
      <c r="J2307" s="40" t="str">
        <f>IF(OR(C2307="",NOT(ISNUMBER(E2307))),"",IFERROR(E2307*N(INDEX(art_price,MATCH(C2307,art_ref,0))),""))</f>
        <v/>
      </c>
      <c r="K2307" s="39" t="str">
        <f>IF(OR(C2307="",NOT(ISNUMBER(E2307))),"",IFERROR(ROUND(N(INDEX(art_init,MATCH(C2307,art_ref,0)))+SUMIFS($E$5:E2307,$C$5:C2307,C2307,$B$5:B2307,"Entrée")-SUMIFS($E$5:E2307,$C$5:C2307,C2307,$B$5:B2307,"Sortie"),6),""))</f>
        <v/>
      </c>
      <c r="L2307" s="39" t="str">
        <f>IF(COUNTA(A2307:C2307,E2307)=0,"",IF(COUNTA(A2307:C2307,E2307)&lt;4,"Ligne incomplète",IF(NOT(ISNUMBER(A2307)),"Date invalide",IF(AND(B2307&lt;&gt;"Entrée",B2307&lt;&gt;"Sortie"),"Type inconnu",IF(ISNA(MATCH(C2307,art_ref,0)),"Référence inconnue",IF(OR(NOT(ISNUMBER(E2307)),N(E2307)&lt;=0),"Quantité invalide",IF(K2307&lt;0,"Stock négatif",IF(AND(ISNUMBER(A2306),A2307&lt;A2306),"Date hors ordre","OK"))))))))</f>
        <v/>
      </c>
      <c r="M2307" s="39" t="str">
        <f>IF(C2307="","",C2307&amp;"#"&amp;COUNTIF($C$5:C2307,C2307))</f>
        <v/>
      </c>
    </row>
    <row r="2308">
      <c r="A2308" s="41" t="n"/>
      <c r="B2308" s="37" t="n"/>
      <c r="C2308" s="37" t="n"/>
      <c r="D2308" s="39" t="str">
        <f>IF(C2308="","",IFERROR(INDEX(art_des,MATCH(C2308,art_ref,0))&amp;"","Référence inconnue"))</f>
        <v/>
      </c>
      <c r="E2308" s="37" t="n"/>
      <c r="F2308" s="39" t="str">
        <f>IF(C2308="","",IFERROR(INDEX(art_unit,MATCH(C2308,art_ref,0))&amp;"",""))</f>
        <v/>
      </c>
      <c r="G2308" s="37" t="n"/>
      <c r="H2308" s="37" t="n"/>
      <c r="I2308" s="37" t="n"/>
      <c r="J2308" s="40" t="str">
        <f>IF(OR(C2308="",NOT(ISNUMBER(E2308))),"",IFERROR(E2308*N(INDEX(art_price,MATCH(C2308,art_ref,0))),""))</f>
        <v/>
      </c>
      <c r="K2308" s="39" t="str">
        <f>IF(OR(C2308="",NOT(ISNUMBER(E2308))),"",IFERROR(ROUND(N(INDEX(art_init,MATCH(C2308,art_ref,0)))+SUMIFS($E$5:E2308,$C$5:C2308,C2308,$B$5:B2308,"Entrée")-SUMIFS($E$5:E2308,$C$5:C2308,C2308,$B$5:B2308,"Sortie"),6),""))</f>
        <v/>
      </c>
      <c r="L2308" s="39" t="str">
        <f>IF(COUNTA(A2308:C2308,E2308)=0,"",IF(COUNTA(A2308:C2308,E2308)&lt;4,"Ligne incomplète",IF(NOT(ISNUMBER(A2308)),"Date invalide",IF(AND(B2308&lt;&gt;"Entrée",B2308&lt;&gt;"Sortie"),"Type inconnu",IF(ISNA(MATCH(C2308,art_ref,0)),"Référence inconnue",IF(OR(NOT(ISNUMBER(E2308)),N(E2308)&lt;=0),"Quantité invalide",IF(K2308&lt;0,"Stock négatif",IF(AND(ISNUMBER(A2307),A2308&lt;A2307),"Date hors ordre","OK"))))))))</f>
        <v/>
      </c>
      <c r="M2308" s="39" t="str">
        <f>IF(C2308="","",C2308&amp;"#"&amp;COUNTIF($C$5:C2308,C2308))</f>
        <v/>
      </c>
    </row>
    <row r="2309">
      <c r="A2309" s="41" t="n"/>
      <c r="B2309" s="37" t="n"/>
      <c r="C2309" s="37" t="n"/>
      <c r="D2309" s="39" t="str">
        <f>IF(C2309="","",IFERROR(INDEX(art_des,MATCH(C2309,art_ref,0))&amp;"","Référence inconnue"))</f>
        <v/>
      </c>
      <c r="E2309" s="37" t="n"/>
      <c r="F2309" s="39" t="str">
        <f>IF(C2309="","",IFERROR(INDEX(art_unit,MATCH(C2309,art_ref,0))&amp;"",""))</f>
        <v/>
      </c>
      <c r="G2309" s="37" t="n"/>
      <c r="H2309" s="37" t="n"/>
      <c r="I2309" s="37" t="n"/>
      <c r="J2309" s="40" t="str">
        <f>IF(OR(C2309="",NOT(ISNUMBER(E2309))),"",IFERROR(E2309*N(INDEX(art_price,MATCH(C2309,art_ref,0))),""))</f>
        <v/>
      </c>
      <c r="K2309" s="39" t="str">
        <f>IF(OR(C2309="",NOT(ISNUMBER(E2309))),"",IFERROR(ROUND(N(INDEX(art_init,MATCH(C2309,art_ref,0)))+SUMIFS($E$5:E2309,$C$5:C2309,C2309,$B$5:B2309,"Entrée")-SUMIFS($E$5:E2309,$C$5:C2309,C2309,$B$5:B2309,"Sortie"),6),""))</f>
        <v/>
      </c>
      <c r="L2309" s="39" t="str">
        <f>IF(COUNTA(A2309:C2309,E2309)=0,"",IF(COUNTA(A2309:C2309,E2309)&lt;4,"Ligne incomplète",IF(NOT(ISNUMBER(A2309)),"Date invalide",IF(AND(B2309&lt;&gt;"Entrée",B2309&lt;&gt;"Sortie"),"Type inconnu",IF(ISNA(MATCH(C2309,art_ref,0)),"Référence inconnue",IF(OR(NOT(ISNUMBER(E2309)),N(E2309)&lt;=0),"Quantité invalide",IF(K2309&lt;0,"Stock négatif",IF(AND(ISNUMBER(A2308),A2309&lt;A2308),"Date hors ordre","OK"))))))))</f>
        <v/>
      </c>
      <c r="M2309" s="39" t="str">
        <f>IF(C2309="","",C2309&amp;"#"&amp;COUNTIF($C$5:C2309,C2309))</f>
        <v/>
      </c>
    </row>
    <row r="2310">
      <c r="A2310" s="41" t="n"/>
      <c r="B2310" s="37" t="n"/>
      <c r="C2310" s="37" t="n"/>
      <c r="D2310" s="39" t="str">
        <f>IF(C2310="","",IFERROR(INDEX(art_des,MATCH(C2310,art_ref,0))&amp;"","Référence inconnue"))</f>
        <v/>
      </c>
      <c r="E2310" s="37" t="n"/>
      <c r="F2310" s="39" t="str">
        <f>IF(C2310="","",IFERROR(INDEX(art_unit,MATCH(C2310,art_ref,0))&amp;"",""))</f>
        <v/>
      </c>
      <c r="G2310" s="37" t="n"/>
      <c r="H2310" s="37" t="n"/>
      <c r="I2310" s="37" t="n"/>
      <c r="J2310" s="40" t="str">
        <f>IF(OR(C2310="",NOT(ISNUMBER(E2310))),"",IFERROR(E2310*N(INDEX(art_price,MATCH(C2310,art_ref,0))),""))</f>
        <v/>
      </c>
      <c r="K2310" s="39" t="str">
        <f>IF(OR(C2310="",NOT(ISNUMBER(E2310))),"",IFERROR(ROUND(N(INDEX(art_init,MATCH(C2310,art_ref,0)))+SUMIFS($E$5:E2310,$C$5:C2310,C2310,$B$5:B2310,"Entrée")-SUMIFS($E$5:E2310,$C$5:C2310,C2310,$B$5:B2310,"Sortie"),6),""))</f>
        <v/>
      </c>
      <c r="L2310" s="39" t="str">
        <f>IF(COUNTA(A2310:C2310,E2310)=0,"",IF(COUNTA(A2310:C2310,E2310)&lt;4,"Ligne incomplète",IF(NOT(ISNUMBER(A2310)),"Date invalide",IF(AND(B2310&lt;&gt;"Entrée",B2310&lt;&gt;"Sortie"),"Type inconnu",IF(ISNA(MATCH(C2310,art_ref,0)),"Référence inconnue",IF(OR(NOT(ISNUMBER(E2310)),N(E2310)&lt;=0),"Quantité invalide",IF(K2310&lt;0,"Stock négatif",IF(AND(ISNUMBER(A2309),A2310&lt;A2309),"Date hors ordre","OK"))))))))</f>
        <v/>
      </c>
      <c r="M2310" s="39" t="str">
        <f>IF(C2310="","",C2310&amp;"#"&amp;COUNTIF($C$5:C2310,C2310))</f>
        <v/>
      </c>
    </row>
    <row r="2311">
      <c r="A2311" s="41" t="n"/>
      <c r="B2311" s="37" t="n"/>
      <c r="C2311" s="37" t="n"/>
      <c r="D2311" s="39" t="str">
        <f>IF(C2311="","",IFERROR(INDEX(art_des,MATCH(C2311,art_ref,0))&amp;"","Référence inconnue"))</f>
        <v/>
      </c>
      <c r="E2311" s="37" t="n"/>
      <c r="F2311" s="39" t="str">
        <f>IF(C2311="","",IFERROR(INDEX(art_unit,MATCH(C2311,art_ref,0))&amp;"",""))</f>
        <v/>
      </c>
      <c r="G2311" s="37" t="n"/>
      <c r="H2311" s="37" t="n"/>
      <c r="I2311" s="37" t="n"/>
      <c r="J2311" s="40" t="str">
        <f>IF(OR(C2311="",NOT(ISNUMBER(E2311))),"",IFERROR(E2311*N(INDEX(art_price,MATCH(C2311,art_ref,0))),""))</f>
        <v/>
      </c>
      <c r="K2311" s="39" t="str">
        <f>IF(OR(C2311="",NOT(ISNUMBER(E2311))),"",IFERROR(ROUND(N(INDEX(art_init,MATCH(C2311,art_ref,0)))+SUMIFS($E$5:E2311,$C$5:C2311,C2311,$B$5:B2311,"Entrée")-SUMIFS($E$5:E2311,$C$5:C2311,C2311,$B$5:B2311,"Sortie"),6),""))</f>
        <v/>
      </c>
      <c r="L2311" s="39" t="str">
        <f>IF(COUNTA(A2311:C2311,E2311)=0,"",IF(COUNTA(A2311:C2311,E2311)&lt;4,"Ligne incomplète",IF(NOT(ISNUMBER(A2311)),"Date invalide",IF(AND(B2311&lt;&gt;"Entrée",B2311&lt;&gt;"Sortie"),"Type inconnu",IF(ISNA(MATCH(C2311,art_ref,0)),"Référence inconnue",IF(OR(NOT(ISNUMBER(E2311)),N(E2311)&lt;=0),"Quantité invalide",IF(K2311&lt;0,"Stock négatif",IF(AND(ISNUMBER(A2310),A2311&lt;A2310),"Date hors ordre","OK"))))))))</f>
        <v/>
      </c>
      <c r="M2311" s="39" t="str">
        <f>IF(C2311="","",C2311&amp;"#"&amp;COUNTIF($C$5:C2311,C2311))</f>
        <v/>
      </c>
    </row>
    <row r="2312">
      <c r="A2312" s="41" t="n"/>
      <c r="B2312" s="37" t="n"/>
      <c r="C2312" s="37" t="n"/>
      <c r="D2312" s="39" t="str">
        <f>IF(C2312="","",IFERROR(INDEX(art_des,MATCH(C2312,art_ref,0))&amp;"","Référence inconnue"))</f>
        <v/>
      </c>
      <c r="E2312" s="37" t="n"/>
      <c r="F2312" s="39" t="str">
        <f>IF(C2312="","",IFERROR(INDEX(art_unit,MATCH(C2312,art_ref,0))&amp;"",""))</f>
        <v/>
      </c>
      <c r="G2312" s="37" t="n"/>
      <c r="H2312" s="37" t="n"/>
      <c r="I2312" s="37" t="n"/>
      <c r="J2312" s="40" t="str">
        <f>IF(OR(C2312="",NOT(ISNUMBER(E2312))),"",IFERROR(E2312*N(INDEX(art_price,MATCH(C2312,art_ref,0))),""))</f>
        <v/>
      </c>
      <c r="K2312" s="39" t="str">
        <f>IF(OR(C2312="",NOT(ISNUMBER(E2312))),"",IFERROR(ROUND(N(INDEX(art_init,MATCH(C2312,art_ref,0)))+SUMIFS($E$5:E2312,$C$5:C2312,C2312,$B$5:B2312,"Entrée")-SUMIFS($E$5:E2312,$C$5:C2312,C2312,$B$5:B2312,"Sortie"),6),""))</f>
        <v/>
      </c>
      <c r="L2312" s="39" t="str">
        <f>IF(COUNTA(A2312:C2312,E2312)=0,"",IF(COUNTA(A2312:C2312,E2312)&lt;4,"Ligne incomplète",IF(NOT(ISNUMBER(A2312)),"Date invalide",IF(AND(B2312&lt;&gt;"Entrée",B2312&lt;&gt;"Sortie"),"Type inconnu",IF(ISNA(MATCH(C2312,art_ref,0)),"Référence inconnue",IF(OR(NOT(ISNUMBER(E2312)),N(E2312)&lt;=0),"Quantité invalide",IF(K2312&lt;0,"Stock négatif",IF(AND(ISNUMBER(A2311),A2312&lt;A2311),"Date hors ordre","OK"))))))))</f>
        <v/>
      </c>
      <c r="M2312" s="39" t="str">
        <f>IF(C2312="","",C2312&amp;"#"&amp;COUNTIF($C$5:C2312,C2312))</f>
        <v/>
      </c>
    </row>
    <row r="2313">
      <c r="A2313" s="41" t="n"/>
      <c r="B2313" s="37" t="n"/>
      <c r="C2313" s="37" t="n"/>
      <c r="D2313" s="39" t="str">
        <f>IF(C2313="","",IFERROR(INDEX(art_des,MATCH(C2313,art_ref,0))&amp;"","Référence inconnue"))</f>
        <v/>
      </c>
      <c r="E2313" s="37" t="n"/>
      <c r="F2313" s="39" t="str">
        <f>IF(C2313="","",IFERROR(INDEX(art_unit,MATCH(C2313,art_ref,0))&amp;"",""))</f>
        <v/>
      </c>
      <c r="G2313" s="37" t="n"/>
      <c r="H2313" s="37" t="n"/>
      <c r="I2313" s="37" t="n"/>
      <c r="J2313" s="40" t="str">
        <f>IF(OR(C2313="",NOT(ISNUMBER(E2313))),"",IFERROR(E2313*N(INDEX(art_price,MATCH(C2313,art_ref,0))),""))</f>
        <v/>
      </c>
      <c r="K2313" s="39" t="str">
        <f>IF(OR(C2313="",NOT(ISNUMBER(E2313))),"",IFERROR(ROUND(N(INDEX(art_init,MATCH(C2313,art_ref,0)))+SUMIFS($E$5:E2313,$C$5:C2313,C2313,$B$5:B2313,"Entrée")-SUMIFS($E$5:E2313,$C$5:C2313,C2313,$B$5:B2313,"Sortie"),6),""))</f>
        <v/>
      </c>
      <c r="L2313" s="39" t="str">
        <f>IF(COUNTA(A2313:C2313,E2313)=0,"",IF(COUNTA(A2313:C2313,E2313)&lt;4,"Ligne incomplète",IF(NOT(ISNUMBER(A2313)),"Date invalide",IF(AND(B2313&lt;&gt;"Entrée",B2313&lt;&gt;"Sortie"),"Type inconnu",IF(ISNA(MATCH(C2313,art_ref,0)),"Référence inconnue",IF(OR(NOT(ISNUMBER(E2313)),N(E2313)&lt;=0),"Quantité invalide",IF(K2313&lt;0,"Stock négatif",IF(AND(ISNUMBER(A2312),A2313&lt;A2312),"Date hors ordre","OK"))))))))</f>
        <v/>
      </c>
      <c r="M2313" s="39" t="str">
        <f>IF(C2313="","",C2313&amp;"#"&amp;COUNTIF($C$5:C2313,C2313))</f>
        <v/>
      </c>
    </row>
    <row r="2314">
      <c r="A2314" s="41" t="n"/>
      <c r="B2314" s="37" t="n"/>
      <c r="C2314" s="37" t="n"/>
      <c r="D2314" s="39" t="str">
        <f>IF(C2314="","",IFERROR(INDEX(art_des,MATCH(C2314,art_ref,0))&amp;"","Référence inconnue"))</f>
        <v/>
      </c>
      <c r="E2314" s="37" t="n"/>
      <c r="F2314" s="39" t="str">
        <f>IF(C2314="","",IFERROR(INDEX(art_unit,MATCH(C2314,art_ref,0))&amp;"",""))</f>
        <v/>
      </c>
      <c r="G2314" s="37" t="n"/>
      <c r="H2314" s="37" t="n"/>
      <c r="I2314" s="37" t="n"/>
      <c r="J2314" s="40" t="str">
        <f>IF(OR(C2314="",NOT(ISNUMBER(E2314))),"",IFERROR(E2314*N(INDEX(art_price,MATCH(C2314,art_ref,0))),""))</f>
        <v/>
      </c>
      <c r="K2314" s="39" t="str">
        <f>IF(OR(C2314="",NOT(ISNUMBER(E2314))),"",IFERROR(ROUND(N(INDEX(art_init,MATCH(C2314,art_ref,0)))+SUMIFS($E$5:E2314,$C$5:C2314,C2314,$B$5:B2314,"Entrée")-SUMIFS($E$5:E2314,$C$5:C2314,C2314,$B$5:B2314,"Sortie"),6),""))</f>
        <v/>
      </c>
      <c r="L2314" s="39" t="str">
        <f>IF(COUNTA(A2314:C2314,E2314)=0,"",IF(COUNTA(A2314:C2314,E2314)&lt;4,"Ligne incomplète",IF(NOT(ISNUMBER(A2314)),"Date invalide",IF(AND(B2314&lt;&gt;"Entrée",B2314&lt;&gt;"Sortie"),"Type inconnu",IF(ISNA(MATCH(C2314,art_ref,0)),"Référence inconnue",IF(OR(NOT(ISNUMBER(E2314)),N(E2314)&lt;=0),"Quantité invalide",IF(K2314&lt;0,"Stock négatif",IF(AND(ISNUMBER(A2313),A2314&lt;A2313),"Date hors ordre","OK"))))))))</f>
        <v/>
      </c>
      <c r="M2314" s="39" t="str">
        <f>IF(C2314="","",C2314&amp;"#"&amp;COUNTIF($C$5:C2314,C2314))</f>
        <v/>
      </c>
    </row>
    <row r="2315">
      <c r="A2315" s="41" t="n"/>
      <c r="B2315" s="37" t="n"/>
      <c r="C2315" s="37" t="n"/>
      <c r="D2315" s="39" t="str">
        <f>IF(C2315="","",IFERROR(INDEX(art_des,MATCH(C2315,art_ref,0))&amp;"","Référence inconnue"))</f>
        <v/>
      </c>
      <c r="E2315" s="37" t="n"/>
      <c r="F2315" s="39" t="str">
        <f>IF(C2315="","",IFERROR(INDEX(art_unit,MATCH(C2315,art_ref,0))&amp;"",""))</f>
        <v/>
      </c>
      <c r="G2315" s="37" t="n"/>
      <c r="H2315" s="37" t="n"/>
      <c r="I2315" s="37" t="n"/>
      <c r="J2315" s="40" t="str">
        <f>IF(OR(C2315="",NOT(ISNUMBER(E2315))),"",IFERROR(E2315*N(INDEX(art_price,MATCH(C2315,art_ref,0))),""))</f>
        <v/>
      </c>
      <c r="K2315" s="39" t="str">
        <f>IF(OR(C2315="",NOT(ISNUMBER(E2315))),"",IFERROR(ROUND(N(INDEX(art_init,MATCH(C2315,art_ref,0)))+SUMIFS($E$5:E2315,$C$5:C2315,C2315,$B$5:B2315,"Entrée")-SUMIFS($E$5:E2315,$C$5:C2315,C2315,$B$5:B2315,"Sortie"),6),""))</f>
        <v/>
      </c>
      <c r="L2315" s="39" t="str">
        <f>IF(COUNTA(A2315:C2315,E2315)=0,"",IF(COUNTA(A2315:C2315,E2315)&lt;4,"Ligne incomplète",IF(NOT(ISNUMBER(A2315)),"Date invalide",IF(AND(B2315&lt;&gt;"Entrée",B2315&lt;&gt;"Sortie"),"Type inconnu",IF(ISNA(MATCH(C2315,art_ref,0)),"Référence inconnue",IF(OR(NOT(ISNUMBER(E2315)),N(E2315)&lt;=0),"Quantité invalide",IF(K2315&lt;0,"Stock négatif",IF(AND(ISNUMBER(A2314),A2315&lt;A2314),"Date hors ordre","OK"))))))))</f>
        <v/>
      </c>
      <c r="M2315" s="39" t="str">
        <f>IF(C2315="","",C2315&amp;"#"&amp;COUNTIF($C$5:C2315,C2315))</f>
        <v/>
      </c>
    </row>
    <row r="2316">
      <c r="A2316" s="41" t="n"/>
      <c r="B2316" s="37" t="n"/>
      <c r="C2316" s="37" t="n"/>
      <c r="D2316" s="39" t="str">
        <f>IF(C2316="","",IFERROR(INDEX(art_des,MATCH(C2316,art_ref,0))&amp;"","Référence inconnue"))</f>
        <v/>
      </c>
      <c r="E2316" s="37" t="n"/>
      <c r="F2316" s="39" t="str">
        <f>IF(C2316="","",IFERROR(INDEX(art_unit,MATCH(C2316,art_ref,0))&amp;"",""))</f>
        <v/>
      </c>
      <c r="G2316" s="37" t="n"/>
      <c r="H2316" s="37" t="n"/>
      <c r="I2316" s="37" t="n"/>
      <c r="J2316" s="40" t="str">
        <f>IF(OR(C2316="",NOT(ISNUMBER(E2316))),"",IFERROR(E2316*N(INDEX(art_price,MATCH(C2316,art_ref,0))),""))</f>
        <v/>
      </c>
      <c r="K2316" s="39" t="str">
        <f>IF(OR(C2316="",NOT(ISNUMBER(E2316))),"",IFERROR(ROUND(N(INDEX(art_init,MATCH(C2316,art_ref,0)))+SUMIFS($E$5:E2316,$C$5:C2316,C2316,$B$5:B2316,"Entrée")-SUMIFS($E$5:E2316,$C$5:C2316,C2316,$B$5:B2316,"Sortie"),6),""))</f>
        <v/>
      </c>
      <c r="L2316" s="39" t="str">
        <f>IF(COUNTA(A2316:C2316,E2316)=0,"",IF(COUNTA(A2316:C2316,E2316)&lt;4,"Ligne incomplète",IF(NOT(ISNUMBER(A2316)),"Date invalide",IF(AND(B2316&lt;&gt;"Entrée",B2316&lt;&gt;"Sortie"),"Type inconnu",IF(ISNA(MATCH(C2316,art_ref,0)),"Référence inconnue",IF(OR(NOT(ISNUMBER(E2316)),N(E2316)&lt;=0),"Quantité invalide",IF(K2316&lt;0,"Stock négatif",IF(AND(ISNUMBER(A2315),A2316&lt;A2315),"Date hors ordre","OK"))))))))</f>
        <v/>
      </c>
      <c r="M2316" s="39" t="str">
        <f>IF(C2316="","",C2316&amp;"#"&amp;COUNTIF($C$5:C2316,C2316))</f>
        <v/>
      </c>
    </row>
    <row r="2317">
      <c r="A2317" s="41" t="n"/>
      <c r="B2317" s="37" t="n"/>
      <c r="C2317" s="37" t="n"/>
      <c r="D2317" s="39" t="str">
        <f>IF(C2317="","",IFERROR(INDEX(art_des,MATCH(C2317,art_ref,0))&amp;"","Référence inconnue"))</f>
        <v/>
      </c>
      <c r="E2317" s="37" t="n"/>
      <c r="F2317" s="39" t="str">
        <f>IF(C2317="","",IFERROR(INDEX(art_unit,MATCH(C2317,art_ref,0))&amp;"",""))</f>
        <v/>
      </c>
      <c r="G2317" s="37" t="n"/>
      <c r="H2317" s="37" t="n"/>
      <c r="I2317" s="37" t="n"/>
      <c r="J2317" s="40" t="str">
        <f>IF(OR(C2317="",NOT(ISNUMBER(E2317))),"",IFERROR(E2317*N(INDEX(art_price,MATCH(C2317,art_ref,0))),""))</f>
        <v/>
      </c>
      <c r="K2317" s="39" t="str">
        <f>IF(OR(C2317="",NOT(ISNUMBER(E2317))),"",IFERROR(ROUND(N(INDEX(art_init,MATCH(C2317,art_ref,0)))+SUMIFS($E$5:E2317,$C$5:C2317,C2317,$B$5:B2317,"Entrée")-SUMIFS($E$5:E2317,$C$5:C2317,C2317,$B$5:B2317,"Sortie"),6),""))</f>
        <v/>
      </c>
      <c r="L2317" s="39" t="str">
        <f>IF(COUNTA(A2317:C2317,E2317)=0,"",IF(COUNTA(A2317:C2317,E2317)&lt;4,"Ligne incomplète",IF(NOT(ISNUMBER(A2317)),"Date invalide",IF(AND(B2317&lt;&gt;"Entrée",B2317&lt;&gt;"Sortie"),"Type inconnu",IF(ISNA(MATCH(C2317,art_ref,0)),"Référence inconnue",IF(OR(NOT(ISNUMBER(E2317)),N(E2317)&lt;=0),"Quantité invalide",IF(K2317&lt;0,"Stock négatif",IF(AND(ISNUMBER(A2316),A2317&lt;A2316),"Date hors ordre","OK"))))))))</f>
        <v/>
      </c>
      <c r="M2317" s="39" t="str">
        <f>IF(C2317="","",C2317&amp;"#"&amp;COUNTIF($C$5:C2317,C2317))</f>
        <v/>
      </c>
    </row>
    <row r="2318">
      <c r="A2318" s="41" t="n"/>
      <c r="B2318" s="37" t="n"/>
      <c r="C2318" s="37" t="n"/>
      <c r="D2318" s="39" t="str">
        <f>IF(C2318="","",IFERROR(INDEX(art_des,MATCH(C2318,art_ref,0))&amp;"","Référence inconnue"))</f>
        <v/>
      </c>
      <c r="E2318" s="37" t="n"/>
      <c r="F2318" s="39" t="str">
        <f>IF(C2318="","",IFERROR(INDEX(art_unit,MATCH(C2318,art_ref,0))&amp;"",""))</f>
        <v/>
      </c>
      <c r="G2318" s="37" t="n"/>
      <c r="H2318" s="37" t="n"/>
      <c r="I2318" s="37" t="n"/>
      <c r="J2318" s="40" t="str">
        <f>IF(OR(C2318="",NOT(ISNUMBER(E2318))),"",IFERROR(E2318*N(INDEX(art_price,MATCH(C2318,art_ref,0))),""))</f>
        <v/>
      </c>
      <c r="K2318" s="39" t="str">
        <f>IF(OR(C2318="",NOT(ISNUMBER(E2318))),"",IFERROR(ROUND(N(INDEX(art_init,MATCH(C2318,art_ref,0)))+SUMIFS($E$5:E2318,$C$5:C2318,C2318,$B$5:B2318,"Entrée")-SUMIFS($E$5:E2318,$C$5:C2318,C2318,$B$5:B2318,"Sortie"),6),""))</f>
        <v/>
      </c>
      <c r="L2318" s="39" t="str">
        <f>IF(COUNTA(A2318:C2318,E2318)=0,"",IF(COUNTA(A2318:C2318,E2318)&lt;4,"Ligne incomplète",IF(NOT(ISNUMBER(A2318)),"Date invalide",IF(AND(B2318&lt;&gt;"Entrée",B2318&lt;&gt;"Sortie"),"Type inconnu",IF(ISNA(MATCH(C2318,art_ref,0)),"Référence inconnue",IF(OR(NOT(ISNUMBER(E2318)),N(E2318)&lt;=0),"Quantité invalide",IF(K2318&lt;0,"Stock négatif",IF(AND(ISNUMBER(A2317),A2318&lt;A2317),"Date hors ordre","OK"))))))))</f>
        <v/>
      </c>
      <c r="M2318" s="39" t="str">
        <f>IF(C2318="","",C2318&amp;"#"&amp;COUNTIF($C$5:C2318,C2318))</f>
        <v/>
      </c>
    </row>
    <row r="2319">
      <c r="A2319" s="41" t="n"/>
      <c r="B2319" s="37" t="n"/>
      <c r="C2319" s="37" t="n"/>
      <c r="D2319" s="39" t="str">
        <f>IF(C2319="","",IFERROR(INDEX(art_des,MATCH(C2319,art_ref,0))&amp;"","Référence inconnue"))</f>
        <v/>
      </c>
      <c r="E2319" s="37" t="n"/>
      <c r="F2319" s="39" t="str">
        <f>IF(C2319="","",IFERROR(INDEX(art_unit,MATCH(C2319,art_ref,0))&amp;"",""))</f>
        <v/>
      </c>
      <c r="G2319" s="37" t="n"/>
      <c r="H2319" s="37" t="n"/>
      <c r="I2319" s="37" t="n"/>
      <c r="J2319" s="40" t="str">
        <f>IF(OR(C2319="",NOT(ISNUMBER(E2319))),"",IFERROR(E2319*N(INDEX(art_price,MATCH(C2319,art_ref,0))),""))</f>
        <v/>
      </c>
      <c r="K2319" s="39" t="str">
        <f>IF(OR(C2319="",NOT(ISNUMBER(E2319))),"",IFERROR(ROUND(N(INDEX(art_init,MATCH(C2319,art_ref,0)))+SUMIFS($E$5:E2319,$C$5:C2319,C2319,$B$5:B2319,"Entrée")-SUMIFS($E$5:E2319,$C$5:C2319,C2319,$B$5:B2319,"Sortie"),6),""))</f>
        <v/>
      </c>
      <c r="L2319" s="39" t="str">
        <f>IF(COUNTA(A2319:C2319,E2319)=0,"",IF(COUNTA(A2319:C2319,E2319)&lt;4,"Ligne incomplète",IF(NOT(ISNUMBER(A2319)),"Date invalide",IF(AND(B2319&lt;&gt;"Entrée",B2319&lt;&gt;"Sortie"),"Type inconnu",IF(ISNA(MATCH(C2319,art_ref,0)),"Référence inconnue",IF(OR(NOT(ISNUMBER(E2319)),N(E2319)&lt;=0),"Quantité invalide",IF(K2319&lt;0,"Stock négatif",IF(AND(ISNUMBER(A2318),A2319&lt;A2318),"Date hors ordre","OK"))))))))</f>
        <v/>
      </c>
      <c r="M2319" s="39" t="str">
        <f>IF(C2319="","",C2319&amp;"#"&amp;COUNTIF($C$5:C2319,C2319))</f>
        <v/>
      </c>
    </row>
    <row r="2320">
      <c r="A2320" s="41" t="n"/>
      <c r="B2320" s="37" t="n"/>
      <c r="C2320" s="37" t="n"/>
      <c r="D2320" s="39" t="str">
        <f>IF(C2320="","",IFERROR(INDEX(art_des,MATCH(C2320,art_ref,0))&amp;"","Référence inconnue"))</f>
        <v/>
      </c>
      <c r="E2320" s="37" t="n"/>
      <c r="F2320" s="39" t="str">
        <f>IF(C2320="","",IFERROR(INDEX(art_unit,MATCH(C2320,art_ref,0))&amp;"",""))</f>
        <v/>
      </c>
      <c r="G2320" s="37" t="n"/>
      <c r="H2320" s="37" t="n"/>
      <c r="I2320" s="37" t="n"/>
      <c r="J2320" s="40" t="str">
        <f>IF(OR(C2320="",NOT(ISNUMBER(E2320))),"",IFERROR(E2320*N(INDEX(art_price,MATCH(C2320,art_ref,0))),""))</f>
        <v/>
      </c>
      <c r="K2320" s="39" t="str">
        <f>IF(OR(C2320="",NOT(ISNUMBER(E2320))),"",IFERROR(ROUND(N(INDEX(art_init,MATCH(C2320,art_ref,0)))+SUMIFS($E$5:E2320,$C$5:C2320,C2320,$B$5:B2320,"Entrée")-SUMIFS($E$5:E2320,$C$5:C2320,C2320,$B$5:B2320,"Sortie"),6),""))</f>
        <v/>
      </c>
      <c r="L2320" s="39" t="str">
        <f>IF(COUNTA(A2320:C2320,E2320)=0,"",IF(COUNTA(A2320:C2320,E2320)&lt;4,"Ligne incomplète",IF(NOT(ISNUMBER(A2320)),"Date invalide",IF(AND(B2320&lt;&gt;"Entrée",B2320&lt;&gt;"Sortie"),"Type inconnu",IF(ISNA(MATCH(C2320,art_ref,0)),"Référence inconnue",IF(OR(NOT(ISNUMBER(E2320)),N(E2320)&lt;=0),"Quantité invalide",IF(K2320&lt;0,"Stock négatif",IF(AND(ISNUMBER(A2319),A2320&lt;A2319),"Date hors ordre","OK"))))))))</f>
        <v/>
      </c>
      <c r="M2320" s="39" t="str">
        <f>IF(C2320="","",C2320&amp;"#"&amp;COUNTIF($C$5:C2320,C2320))</f>
        <v/>
      </c>
    </row>
    <row r="2321">
      <c r="A2321" s="41" t="n"/>
      <c r="B2321" s="37" t="n"/>
      <c r="C2321" s="37" t="n"/>
      <c r="D2321" s="39" t="str">
        <f>IF(C2321="","",IFERROR(INDEX(art_des,MATCH(C2321,art_ref,0))&amp;"","Référence inconnue"))</f>
        <v/>
      </c>
      <c r="E2321" s="37" t="n"/>
      <c r="F2321" s="39" t="str">
        <f>IF(C2321="","",IFERROR(INDEX(art_unit,MATCH(C2321,art_ref,0))&amp;"",""))</f>
        <v/>
      </c>
      <c r="G2321" s="37" t="n"/>
      <c r="H2321" s="37" t="n"/>
      <c r="I2321" s="37" t="n"/>
      <c r="J2321" s="40" t="str">
        <f>IF(OR(C2321="",NOT(ISNUMBER(E2321))),"",IFERROR(E2321*N(INDEX(art_price,MATCH(C2321,art_ref,0))),""))</f>
        <v/>
      </c>
      <c r="K2321" s="39" t="str">
        <f>IF(OR(C2321="",NOT(ISNUMBER(E2321))),"",IFERROR(ROUND(N(INDEX(art_init,MATCH(C2321,art_ref,0)))+SUMIFS($E$5:E2321,$C$5:C2321,C2321,$B$5:B2321,"Entrée")-SUMIFS($E$5:E2321,$C$5:C2321,C2321,$B$5:B2321,"Sortie"),6),""))</f>
        <v/>
      </c>
      <c r="L2321" s="39" t="str">
        <f>IF(COUNTA(A2321:C2321,E2321)=0,"",IF(COUNTA(A2321:C2321,E2321)&lt;4,"Ligne incomplète",IF(NOT(ISNUMBER(A2321)),"Date invalide",IF(AND(B2321&lt;&gt;"Entrée",B2321&lt;&gt;"Sortie"),"Type inconnu",IF(ISNA(MATCH(C2321,art_ref,0)),"Référence inconnue",IF(OR(NOT(ISNUMBER(E2321)),N(E2321)&lt;=0),"Quantité invalide",IF(K2321&lt;0,"Stock négatif",IF(AND(ISNUMBER(A2320),A2321&lt;A2320),"Date hors ordre","OK"))))))))</f>
        <v/>
      </c>
      <c r="M2321" s="39" t="str">
        <f>IF(C2321="","",C2321&amp;"#"&amp;COUNTIF($C$5:C2321,C2321))</f>
        <v/>
      </c>
    </row>
    <row r="2322">
      <c r="A2322" s="41" t="n"/>
      <c r="B2322" s="37" t="n"/>
      <c r="C2322" s="37" t="n"/>
      <c r="D2322" s="39" t="str">
        <f>IF(C2322="","",IFERROR(INDEX(art_des,MATCH(C2322,art_ref,0))&amp;"","Référence inconnue"))</f>
        <v/>
      </c>
      <c r="E2322" s="37" t="n"/>
      <c r="F2322" s="39" t="str">
        <f>IF(C2322="","",IFERROR(INDEX(art_unit,MATCH(C2322,art_ref,0))&amp;"",""))</f>
        <v/>
      </c>
      <c r="G2322" s="37" t="n"/>
      <c r="H2322" s="37" t="n"/>
      <c r="I2322" s="37" t="n"/>
      <c r="J2322" s="40" t="str">
        <f>IF(OR(C2322="",NOT(ISNUMBER(E2322))),"",IFERROR(E2322*N(INDEX(art_price,MATCH(C2322,art_ref,0))),""))</f>
        <v/>
      </c>
      <c r="K2322" s="39" t="str">
        <f>IF(OR(C2322="",NOT(ISNUMBER(E2322))),"",IFERROR(ROUND(N(INDEX(art_init,MATCH(C2322,art_ref,0)))+SUMIFS($E$5:E2322,$C$5:C2322,C2322,$B$5:B2322,"Entrée")-SUMIFS($E$5:E2322,$C$5:C2322,C2322,$B$5:B2322,"Sortie"),6),""))</f>
        <v/>
      </c>
      <c r="L2322" s="39" t="str">
        <f>IF(COUNTA(A2322:C2322,E2322)=0,"",IF(COUNTA(A2322:C2322,E2322)&lt;4,"Ligne incomplète",IF(NOT(ISNUMBER(A2322)),"Date invalide",IF(AND(B2322&lt;&gt;"Entrée",B2322&lt;&gt;"Sortie"),"Type inconnu",IF(ISNA(MATCH(C2322,art_ref,0)),"Référence inconnue",IF(OR(NOT(ISNUMBER(E2322)),N(E2322)&lt;=0),"Quantité invalide",IF(K2322&lt;0,"Stock négatif",IF(AND(ISNUMBER(A2321),A2322&lt;A2321),"Date hors ordre","OK"))))))))</f>
        <v/>
      </c>
      <c r="M2322" s="39" t="str">
        <f>IF(C2322="","",C2322&amp;"#"&amp;COUNTIF($C$5:C2322,C2322))</f>
        <v/>
      </c>
    </row>
    <row r="2323">
      <c r="A2323" s="41" t="n"/>
      <c r="B2323" s="37" t="n"/>
      <c r="C2323" s="37" t="n"/>
      <c r="D2323" s="39" t="str">
        <f>IF(C2323="","",IFERROR(INDEX(art_des,MATCH(C2323,art_ref,0))&amp;"","Référence inconnue"))</f>
        <v/>
      </c>
      <c r="E2323" s="37" t="n"/>
      <c r="F2323" s="39" t="str">
        <f>IF(C2323="","",IFERROR(INDEX(art_unit,MATCH(C2323,art_ref,0))&amp;"",""))</f>
        <v/>
      </c>
      <c r="G2323" s="37" t="n"/>
      <c r="H2323" s="37" t="n"/>
      <c r="I2323" s="37" t="n"/>
      <c r="J2323" s="40" t="str">
        <f>IF(OR(C2323="",NOT(ISNUMBER(E2323))),"",IFERROR(E2323*N(INDEX(art_price,MATCH(C2323,art_ref,0))),""))</f>
        <v/>
      </c>
      <c r="K2323" s="39" t="str">
        <f>IF(OR(C2323="",NOT(ISNUMBER(E2323))),"",IFERROR(ROUND(N(INDEX(art_init,MATCH(C2323,art_ref,0)))+SUMIFS($E$5:E2323,$C$5:C2323,C2323,$B$5:B2323,"Entrée")-SUMIFS($E$5:E2323,$C$5:C2323,C2323,$B$5:B2323,"Sortie"),6),""))</f>
        <v/>
      </c>
      <c r="L2323" s="39" t="str">
        <f>IF(COUNTA(A2323:C2323,E2323)=0,"",IF(COUNTA(A2323:C2323,E2323)&lt;4,"Ligne incomplète",IF(NOT(ISNUMBER(A2323)),"Date invalide",IF(AND(B2323&lt;&gt;"Entrée",B2323&lt;&gt;"Sortie"),"Type inconnu",IF(ISNA(MATCH(C2323,art_ref,0)),"Référence inconnue",IF(OR(NOT(ISNUMBER(E2323)),N(E2323)&lt;=0),"Quantité invalide",IF(K2323&lt;0,"Stock négatif",IF(AND(ISNUMBER(A2322),A2323&lt;A2322),"Date hors ordre","OK"))))))))</f>
        <v/>
      </c>
      <c r="M2323" s="39" t="str">
        <f>IF(C2323="","",C2323&amp;"#"&amp;COUNTIF($C$5:C2323,C2323))</f>
        <v/>
      </c>
    </row>
    <row r="2324">
      <c r="A2324" s="41" t="n"/>
      <c r="B2324" s="37" t="n"/>
      <c r="C2324" s="37" t="n"/>
      <c r="D2324" s="39" t="str">
        <f>IF(C2324="","",IFERROR(INDEX(art_des,MATCH(C2324,art_ref,0))&amp;"","Référence inconnue"))</f>
        <v/>
      </c>
      <c r="E2324" s="37" t="n"/>
      <c r="F2324" s="39" t="str">
        <f>IF(C2324="","",IFERROR(INDEX(art_unit,MATCH(C2324,art_ref,0))&amp;"",""))</f>
        <v/>
      </c>
      <c r="G2324" s="37" t="n"/>
      <c r="H2324" s="37" t="n"/>
      <c r="I2324" s="37" t="n"/>
      <c r="J2324" s="40" t="str">
        <f>IF(OR(C2324="",NOT(ISNUMBER(E2324))),"",IFERROR(E2324*N(INDEX(art_price,MATCH(C2324,art_ref,0))),""))</f>
        <v/>
      </c>
      <c r="K2324" s="39" t="str">
        <f>IF(OR(C2324="",NOT(ISNUMBER(E2324))),"",IFERROR(ROUND(N(INDEX(art_init,MATCH(C2324,art_ref,0)))+SUMIFS($E$5:E2324,$C$5:C2324,C2324,$B$5:B2324,"Entrée")-SUMIFS($E$5:E2324,$C$5:C2324,C2324,$B$5:B2324,"Sortie"),6),""))</f>
        <v/>
      </c>
      <c r="L2324" s="39" t="str">
        <f>IF(COUNTA(A2324:C2324,E2324)=0,"",IF(COUNTA(A2324:C2324,E2324)&lt;4,"Ligne incomplète",IF(NOT(ISNUMBER(A2324)),"Date invalide",IF(AND(B2324&lt;&gt;"Entrée",B2324&lt;&gt;"Sortie"),"Type inconnu",IF(ISNA(MATCH(C2324,art_ref,0)),"Référence inconnue",IF(OR(NOT(ISNUMBER(E2324)),N(E2324)&lt;=0),"Quantité invalide",IF(K2324&lt;0,"Stock négatif",IF(AND(ISNUMBER(A2323),A2324&lt;A2323),"Date hors ordre","OK"))))))))</f>
        <v/>
      </c>
      <c r="M2324" s="39" t="str">
        <f>IF(C2324="","",C2324&amp;"#"&amp;COUNTIF($C$5:C2324,C2324))</f>
        <v/>
      </c>
    </row>
    <row r="2325">
      <c r="A2325" s="41" t="n"/>
      <c r="B2325" s="37" t="n"/>
      <c r="C2325" s="37" t="n"/>
      <c r="D2325" s="39" t="str">
        <f>IF(C2325="","",IFERROR(INDEX(art_des,MATCH(C2325,art_ref,0))&amp;"","Référence inconnue"))</f>
        <v/>
      </c>
      <c r="E2325" s="37" t="n"/>
      <c r="F2325" s="39" t="str">
        <f>IF(C2325="","",IFERROR(INDEX(art_unit,MATCH(C2325,art_ref,0))&amp;"",""))</f>
        <v/>
      </c>
      <c r="G2325" s="37" t="n"/>
      <c r="H2325" s="37" t="n"/>
      <c r="I2325" s="37" t="n"/>
      <c r="J2325" s="40" t="str">
        <f>IF(OR(C2325="",NOT(ISNUMBER(E2325))),"",IFERROR(E2325*N(INDEX(art_price,MATCH(C2325,art_ref,0))),""))</f>
        <v/>
      </c>
      <c r="K2325" s="39" t="str">
        <f>IF(OR(C2325="",NOT(ISNUMBER(E2325))),"",IFERROR(ROUND(N(INDEX(art_init,MATCH(C2325,art_ref,0)))+SUMIFS($E$5:E2325,$C$5:C2325,C2325,$B$5:B2325,"Entrée")-SUMIFS($E$5:E2325,$C$5:C2325,C2325,$B$5:B2325,"Sortie"),6),""))</f>
        <v/>
      </c>
      <c r="L2325" s="39" t="str">
        <f>IF(COUNTA(A2325:C2325,E2325)=0,"",IF(COUNTA(A2325:C2325,E2325)&lt;4,"Ligne incomplète",IF(NOT(ISNUMBER(A2325)),"Date invalide",IF(AND(B2325&lt;&gt;"Entrée",B2325&lt;&gt;"Sortie"),"Type inconnu",IF(ISNA(MATCH(C2325,art_ref,0)),"Référence inconnue",IF(OR(NOT(ISNUMBER(E2325)),N(E2325)&lt;=0),"Quantité invalide",IF(K2325&lt;0,"Stock négatif",IF(AND(ISNUMBER(A2324),A2325&lt;A2324),"Date hors ordre","OK"))))))))</f>
        <v/>
      </c>
      <c r="M2325" s="39" t="str">
        <f>IF(C2325="","",C2325&amp;"#"&amp;COUNTIF($C$5:C2325,C2325))</f>
        <v/>
      </c>
    </row>
    <row r="2326">
      <c r="A2326" s="41" t="n"/>
      <c r="B2326" s="37" t="n"/>
      <c r="C2326" s="37" t="n"/>
      <c r="D2326" s="39" t="str">
        <f>IF(C2326="","",IFERROR(INDEX(art_des,MATCH(C2326,art_ref,0))&amp;"","Référence inconnue"))</f>
        <v/>
      </c>
      <c r="E2326" s="37" t="n"/>
      <c r="F2326" s="39" t="str">
        <f>IF(C2326="","",IFERROR(INDEX(art_unit,MATCH(C2326,art_ref,0))&amp;"",""))</f>
        <v/>
      </c>
      <c r="G2326" s="37" t="n"/>
      <c r="H2326" s="37" t="n"/>
      <c r="I2326" s="37" t="n"/>
      <c r="J2326" s="40" t="str">
        <f>IF(OR(C2326="",NOT(ISNUMBER(E2326))),"",IFERROR(E2326*N(INDEX(art_price,MATCH(C2326,art_ref,0))),""))</f>
        <v/>
      </c>
      <c r="K2326" s="39" t="str">
        <f>IF(OR(C2326="",NOT(ISNUMBER(E2326))),"",IFERROR(ROUND(N(INDEX(art_init,MATCH(C2326,art_ref,0)))+SUMIFS($E$5:E2326,$C$5:C2326,C2326,$B$5:B2326,"Entrée")-SUMIFS($E$5:E2326,$C$5:C2326,C2326,$B$5:B2326,"Sortie"),6),""))</f>
        <v/>
      </c>
      <c r="L2326" s="39" t="str">
        <f>IF(COUNTA(A2326:C2326,E2326)=0,"",IF(COUNTA(A2326:C2326,E2326)&lt;4,"Ligne incomplète",IF(NOT(ISNUMBER(A2326)),"Date invalide",IF(AND(B2326&lt;&gt;"Entrée",B2326&lt;&gt;"Sortie"),"Type inconnu",IF(ISNA(MATCH(C2326,art_ref,0)),"Référence inconnue",IF(OR(NOT(ISNUMBER(E2326)),N(E2326)&lt;=0),"Quantité invalide",IF(K2326&lt;0,"Stock négatif",IF(AND(ISNUMBER(A2325),A2326&lt;A2325),"Date hors ordre","OK"))))))))</f>
        <v/>
      </c>
      <c r="M2326" s="39" t="str">
        <f>IF(C2326="","",C2326&amp;"#"&amp;COUNTIF($C$5:C2326,C2326))</f>
        <v/>
      </c>
    </row>
    <row r="2327">
      <c r="A2327" s="41" t="n"/>
      <c r="B2327" s="37" t="n"/>
      <c r="C2327" s="37" t="n"/>
      <c r="D2327" s="39" t="str">
        <f>IF(C2327="","",IFERROR(INDEX(art_des,MATCH(C2327,art_ref,0))&amp;"","Référence inconnue"))</f>
        <v/>
      </c>
      <c r="E2327" s="37" t="n"/>
      <c r="F2327" s="39" t="str">
        <f>IF(C2327="","",IFERROR(INDEX(art_unit,MATCH(C2327,art_ref,0))&amp;"",""))</f>
        <v/>
      </c>
      <c r="G2327" s="37" t="n"/>
      <c r="H2327" s="37" t="n"/>
      <c r="I2327" s="37" t="n"/>
      <c r="J2327" s="40" t="str">
        <f>IF(OR(C2327="",NOT(ISNUMBER(E2327))),"",IFERROR(E2327*N(INDEX(art_price,MATCH(C2327,art_ref,0))),""))</f>
        <v/>
      </c>
      <c r="K2327" s="39" t="str">
        <f>IF(OR(C2327="",NOT(ISNUMBER(E2327))),"",IFERROR(ROUND(N(INDEX(art_init,MATCH(C2327,art_ref,0)))+SUMIFS($E$5:E2327,$C$5:C2327,C2327,$B$5:B2327,"Entrée")-SUMIFS($E$5:E2327,$C$5:C2327,C2327,$B$5:B2327,"Sortie"),6),""))</f>
        <v/>
      </c>
      <c r="L2327" s="39" t="str">
        <f>IF(COUNTA(A2327:C2327,E2327)=0,"",IF(COUNTA(A2327:C2327,E2327)&lt;4,"Ligne incomplète",IF(NOT(ISNUMBER(A2327)),"Date invalide",IF(AND(B2327&lt;&gt;"Entrée",B2327&lt;&gt;"Sortie"),"Type inconnu",IF(ISNA(MATCH(C2327,art_ref,0)),"Référence inconnue",IF(OR(NOT(ISNUMBER(E2327)),N(E2327)&lt;=0),"Quantité invalide",IF(K2327&lt;0,"Stock négatif",IF(AND(ISNUMBER(A2326),A2327&lt;A2326),"Date hors ordre","OK"))))))))</f>
        <v/>
      </c>
      <c r="M2327" s="39" t="str">
        <f>IF(C2327="","",C2327&amp;"#"&amp;COUNTIF($C$5:C2327,C2327))</f>
        <v/>
      </c>
    </row>
    <row r="2328">
      <c r="A2328" s="41" t="n"/>
      <c r="B2328" s="37" t="n"/>
      <c r="C2328" s="37" t="n"/>
      <c r="D2328" s="39" t="str">
        <f>IF(C2328="","",IFERROR(INDEX(art_des,MATCH(C2328,art_ref,0))&amp;"","Référence inconnue"))</f>
        <v/>
      </c>
      <c r="E2328" s="37" t="n"/>
      <c r="F2328" s="39" t="str">
        <f>IF(C2328="","",IFERROR(INDEX(art_unit,MATCH(C2328,art_ref,0))&amp;"",""))</f>
        <v/>
      </c>
      <c r="G2328" s="37" t="n"/>
      <c r="H2328" s="37" t="n"/>
      <c r="I2328" s="37" t="n"/>
      <c r="J2328" s="40" t="str">
        <f>IF(OR(C2328="",NOT(ISNUMBER(E2328))),"",IFERROR(E2328*N(INDEX(art_price,MATCH(C2328,art_ref,0))),""))</f>
        <v/>
      </c>
      <c r="K2328" s="39" t="str">
        <f>IF(OR(C2328="",NOT(ISNUMBER(E2328))),"",IFERROR(ROUND(N(INDEX(art_init,MATCH(C2328,art_ref,0)))+SUMIFS($E$5:E2328,$C$5:C2328,C2328,$B$5:B2328,"Entrée")-SUMIFS($E$5:E2328,$C$5:C2328,C2328,$B$5:B2328,"Sortie"),6),""))</f>
        <v/>
      </c>
      <c r="L2328" s="39" t="str">
        <f>IF(COUNTA(A2328:C2328,E2328)=0,"",IF(COUNTA(A2328:C2328,E2328)&lt;4,"Ligne incomplète",IF(NOT(ISNUMBER(A2328)),"Date invalide",IF(AND(B2328&lt;&gt;"Entrée",B2328&lt;&gt;"Sortie"),"Type inconnu",IF(ISNA(MATCH(C2328,art_ref,0)),"Référence inconnue",IF(OR(NOT(ISNUMBER(E2328)),N(E2328)&lt;=0),"Quantité invalide",IF(K2328&lt;0,"Stock négatif",IF(AND(ISNUMBER(A2327),A2328&lt;A2327),"Date hors ordre","OK"))))))))</f>
        <v/>
      </c>
      <c r="M2328" s="39" t="str">
        <f>IF(C2328="","",C2328&amp;"#"&amp;COUNTIF($C$5:C2328,C2328))</f>
        <v/>
      </c>
    </row>
    <row r="2329">
      <c r="A2329" s="41" t="n"/>
      <c r="B2329" s="37" t="n"/>
      <c r="C2329" s="37" t="n"/>
      <c r="D2329" s="39" t="str">
        <f>IF(C2329="","",IFERROR(INDEX(art_des,MATCH(C2329,art_ref,0))&amp;"","Référence inconnue"))</f>
        <v/>
      </c>
      <c r="E2329" s="37" t="n"/>
      <c r="F2329" s="39" t="str">
        <f>IF(C2329="","",IFERROR(INDEX(art_unit,MATCH(C2329,art_ref,0))&amp;"",""))</f>
        <v/>
      </c>
      <c r="G2329" s="37" t="n"/>
      <c r="H2329" s="37" t="n"/>
      <c r="I2329" s="37" t="n"/>
      <c r="J2329" s="40" t="str">
        <f>IF(OR(C2329="",NOT(ISNUMBER(E2329))),"",IFERROR(E2329*N(INDEX(art_price,MATCH(C2329,art_ref,0))),""))</f>
        <v/>
      </c>
      <c r="K2329" s="39" t="str">
        <f>IF(OR(C2329="",NOT(ISNUMBER(E2329))),"",IFERROR(ROUND(N(INDEX(art_init,MATCH(C2329,art_ref,0)))+SUMIFS($E$5:E2329,$C$5:C2329,C2329,$B$5:B2329,"Entrée")-SUMIFS($E$5:E2329,$C$5:C2329,C2329,$B$5:B2329,"Sortie"),6),""))</f>
        <v/>
      </c>
      <c r="L2329" s="39" t="str">
        <f>IF(COUNTA(A2329:C2329,E2329)=0,"",IF(COUNTA(A2329:C2329,E2329)&lt;4,"Ligne incomplète",IF(NOT(ISNUMBER(A2329)),"Date invalide",IF(AND(B2329&lt;&gt;"Entrée",B2329&lt;&gt;"Sortie"),"Type inconnu",IF(ISNA(MATCH(C2329,art_ref,0)),"Référence inconnue",IF(OR(NOT(ISNUMBER(E2329)),N(E2329)&lt;=0),"Quantité invalide",IF(K2329&lt;0,"Stock négatif",IF(AND(ISNUMBER(A2328),A2329&lt;A2328),"Date hors ordre","OK"))))))))</f>
        <v/>
      </c>
      <c r="M2329" s="39" t="str">
        <f>IF(C2329="","",C2329&amp;"#"&amp;COUNTIF($C$5:C2329,C2329))</f>
        <v/>
      </c>
    </row>
    <row r="2330">
      <c r="A2330" s="41" t="n"/>
      <c r="B2330" s="37" t="n"/>
      <c r="C2330" s="37" t="n"/>
      <c r="D2330" s="39" t="str">
        <f>IF(C2330="","",IFERROR(INDEX(art_des,MATCH(C2330,art_ref,0))&amp;"","Référence inconnue"))</f>
        <v/>
      </c>
      <c r="E2330" s="37" t="n"/>
      <c r="F2330" s="39" t="str">
        <f>IF(C2330="","",IFERROR(INDEX(art_unit,MATCH(C2330,art_ref,0))&amp;"",""))</f>
        <v/>
      </c>
      <c r="G2330" s="37" t="n"/>
      <c r="H2330" s="37" t="n"/>
      <c r="I2330" s="37" t="n"/>
      <c r="J2330" s="40" t="str">
        <f>IF(OR(C2330="",NOT(ISNUMBER(E2330))),"",IFERROR(E2330*N(INDEX(art_price,MATCH(C2330,art_ref,0))),""))</f>
        <v/>
      </c>
      <c r="K2330" s="39" t="str">
        <f>IF(OR(C2330="",NOT(ISNUMBER(E2330))),"",IFERROR(ROUND(N(INDEX(art_init,MATCH(C2330,art_ref,0)))+SUMIFS($E$5:E2330,$C$5:C2330,C2330,$B$5:B2330,"Entrée")-SUMIFS($E$5:E2330,$C$5:C2330,C2330,$B$5:B2330,"Sortie"),6),""))</f>
        <v/>
      </c>
      <c r="L2330" s="39" t="str">
        <f>IF(COUNTA(A2330:C2330,E2330)=0,"",IF(COUNTA(A2330:C2330,E2330)&lt;4,"Ligne incomplète",IF(NOT(ISNUMBER(A2330)),"Date invalide",IF(AND(B2330&lt;&gt;"Entrée",B2330&lt;&gt;"Sortie"),"Type inconnu",IF(ISNA(MATCH(C2330,art_ref,0)),"Référence inconnue",IF(OR(NOT(ISNUMBER(E2330)),N(E2330)&lt;=0),"Quantité invalide",IF(K2330&lt;0,"Stock négatif",IF(AND(ISNUMBER(A2329),A2330&lt;A2329),"Date hors ordre","OK"))))))))</f>
        <v/>
      </c>
      <c r="M2330" s="39" t="str">
        <f>IF(C2330="","",C2330&amp;"#"&amp;COUNTIF($C$5:C2330,C2330))</f>
        <v/>
      </c>
    </row>
    <row r="2331">
      <c r="A2331" s="41" t="n"/>
      <c r="B2331" s="37" t="n"/>
      <c r="C2331" s="37" t="n"/>
      <c r="D2331" s="39" t="str">
        <f>IF(C2331="","",IFERROR(INDEX(art_des,MATCH(C2331,art_ref,0))&amp;"","Référence inconnue"))</f>
        <v/>
      </c>
      <c r="E2331" s="37" t="n"/>
      <c r="F2331" s="39" t="str">
        <f>IF(C2331="","",IFERROR(INDEX(art_unit,MATCH(C2331,art_ref,0))&amp;"",""))</f>
        <v/>
      </c>
      <c r="G2331" s="37" t="n"/>
      <c r="H2331" s="37" t="n"/>
      <c r="I2331" s="37" t="n"/>
      <c r="J2331" s="40" t="str">
        <f>IF(OR(C2331="",NOT(ISNUMBER(E2331))),"",IFERROR(E2331*N(INDEX(art_price,MATCH(C2331,art_ref,0))),""))</f>
        <v/>
      </c>
      <c r="K2331" s="39" t="str">
        <f>IF(OR(C2331="",NOT(ISNUMBER(E2331))),"",IFERROR(ROUND(N(INDEX(art_init,MATCH(C2331,art_ref,0)))+SUMIFS($E$5:E2331,$C$5:C2331,C2331,$B$5:B2331,"Entrée")-SUMIFS($E$5:E2331,$C$5:C2331,C2331,$B$5:B2331,"Sortie"),6),""))</f>
        <v/>
      </c>
      <c r="L2331" s="39" t="str">
        <f>IF(COUNTA(A2331:C2331,E2331)=0,"",IF(COUNTA(A2331:C2331,E2331)&lt;4,"Ligne incomplète",IF(NOT(ISNUMBER(A2331)),"Date invalide",IF(AND(B2331&lt;&gt;"Entrée",B2331&lt;&gt;"Sortie"),"Type inconnu",IF(ISNA(MATCH(C2331,art_ref,0)),"Référence inconnue",IF(OR(NOT(ISNUMBER(E2331)),N(E2331)&lt;=0),"Quantité invalide",IF(K2331&lt;0,"Stock négatif",IF(AND(ISNUMBER(A2330),A2331&lt;A2330),"Date hors ordre","OK"))))))))</f>
        <v/>
      </c>
      <c r="M2331" s="39" t="str">
        <f>IF(C2331="","",C2331&amp;"#"&amp;COUNTIF($C$5:C2331,C2331))</f>
        <v/>
      </c>
    </row>
    <row r="2332">
      <c r="A2332" s="41" t="n"/>
      <c r="B2332" s="37" t="n"/>
      <c r="C2332" s="37" t="n"/>
      <c r="D2332" s="39" t="str">
        <f>IF(C2332="","",IFERROR(INDEX(art_des,MATCH(C2332,art_ref,0))&amp;"","Référence inconnue"))</f>
        <v/>
      </c>
      <c r="E2332" s="37" t="n"/>
      <c r="F2332" s="39" t="str">
        <f>IF(C2332="","",IFERROR(INDEX(art_unit,MATCH(C2332,art_ref,0))&amp;"",""))</f>
        <v/>
      </c>
      <c r="G2332" s="37" t="n"/>
      <c r="H2332" s="37" t="n"/>
      <c r="I2332" s="37" t="n"/>
      <c r="J2332" s="40" t="str">
        <f>IF(OR(C2332="",NOT(ISNUMBER(E2332))),"",IFERROR(E2332*N(INDEX(art_price,MATCH(C2332,art_ref,0))),""))</f>
        <v/>
      </c>
      <c r="K2332" s="39" t="str">
        <f>IF(OR(C2332="",NOT(ISNUMBER(E2332))),"",IFERROR(ROUND(N(INDEX(art_init,MATCH(C2332,art_ref,0)))+SUMIFS($E$5:E2332,$C$5:C2332,C2332,$B$5:B2332,"Entrée")-SUMIFS($E$5:E2332,$C$5:C2332,C2332,$B$5:B2332,"Sortie"),6),""))</f>
        <v/>
      </c>
      <c r="L2332" s="39" t="str">
        <f>IF(COUNTA(A2332:C2332,E2332)=0,"",IF(COUNTA(A2332:C2332,E2332)&lt;4,"Ligne incomplète",IF(NOT(ISNUMBER(A2332)),"Date invalide",IF(AND(B2332&lt;&gt;"Entrée",B2332&lt;&gt;"Sortie"),"Type inconnu",IF(ISNA(MATCH(C2332,art_ref,0)),"Référence inconnue",IF(OR(NOT(ISNUMBER(E2332)),N(E2332)&lt;=0),"Quantité invalide",IF(K2332&lt;0,"Stock négatif",IF(AND(ISNUMBER(A2331),A2332&lt;A2331),"Date hors ordre","OK"))))))))</f>
        <v/>
      </c>
      <c r="M2332" s="39" t="str">
        <f>IF(C2332="","",C2332&amp;"#"&amp;COUNTIF($C$5:C2332,C2332))</f>
        <v/>
      </c>
    </row>
    <row r="2333">
      <c r="A2333" s="41" t="n"/>
      <c r="B2333" s="37" t="n"/>
      <c r="C2333" s="37" t="n"/>
      <c r="D2333" s="39" t="str">
        <f>IF(C2333="","",IFERROR(INDEX(art_des,MATCH(C2333,art_ref,0))&amp;"","Référence inconnue"))</f>
        <v/>
      </c>
      <c r="E2333" s="37" t="n"/>
      <c r="F2333" s="39" t="str">
        <f>IF(C2333="","",IFERROR(INDEX(art_unit,MATCH(C2333,art_ref,0))&amp;"",""))</f>
        <v/>
      </c>
      <c r="G2333" s="37" t="n"/>
      <c r="H2333" s="37" t="n"/>
      <c r="I2333" s="37" t="n"/>
      <c r="J2333" s="40" t="str">
        <f>IF(OR(C2333="",NOT(ISNUMBER(E2333))),"",IFERROR(E2333*N(INDEX(art_price,MATCH(C2333,art_ref,0))),""))</f>
        <v/>
      </c>
      <c r="K2333" s="39" t="str">
        <f>IF(OR(C2333="",NOT(ISNUMBER(E2333))),"",IFERROR(ROUND(N(INDEX(art_init,MATCH(C2333,art_ref,0)))+SUMIFS($E$5:E2333,$C$5:C2333,C2333,$B$5:B2333,"Entrée")-SUMIFS($E$5:E2333,$C$5:C2333,C2333,$B$5:B2333,"Sortie"),6),""))</f>
        <v/>
      </c>
      <c r="L2333" s="39" t="str">
        <f>IF(COUNTA(A2333:C2333,E2333)=0,"",IF(COUNTA(A2333:C2333,E2333)&lt;4,"Ligne incomplète",IF(NOT(ISNUMBER(A2333)),"Date invalide",IF(AND(B2333&lt;&gt;"Entrée",B2333&lt;&gt;"Sortie"),"Type inconnu",IF(ISNA(MATCH(C2333,art_ref,0)),"Référence inconnue",IF(OR(NOT(ISNUMBER(E2333)),N(E2333)&lt;=0),"Quantité invalide",IF(K2333&lt;0,"Stock négatif",IF(AND(ISNUMBER(A2332),A2333&lt;A2332),"Date hors ordre","OK"))))))))</f>
        <v/>
      </c>
      <c r="M2333" s="39" t="str">
        <f>IF(C2333="","",C2333&amp;"#"&amp;COUNTIF($C$5:C2333,C2333))</f>
        <v/>
      </c>
    </row>
    <row r="2334">
      <c r="A2334" s="41" t="n"/>
      <c r="B2334" s="37" t="n"/>
      <c r="C2334" s="37" t="n"/>
      <c r="D2334" s="39" t="str">
        <f>IF(C2334="","",IFERROR(INDEX(art_des,MATCH(C2334,art_ref,0))&amp;"","Référence inconnue"))</f>
        <v/>
      </c>
      <c r="E2334" s="37" t="n"/>
      <c r="F2334" s="39" t="str">
        <f>IF(C2334="","",IFERROR(INDEX(art_unit,MATCH(C2334,art_ref,0))&amp;"",""))</f>
        <v/>
      </c>
      <c r="G2334" s="37" t="n"/>
      <c r="H2334" s="37" t="n"/>
      <c r="I2334" s="37" t="n"/>
      <c r="J2334" s="40" t="str">
        <f>IF(OR(C2334="",NOT(ISNUMBER(E2334))),"",IFERROR(E2334*N(INDEX(art_price,MATCH(C2334,art_ref,0))),""))</f>
        <v/>
      </c>
      <c r="K2334" s="39" t="str">
        <f>IF(OR(C2334="",NOT(ISNUMBER(E2334))),"",IFERROR(ROUND(N(INDEX(art_init,MATCH(C2334,art_ref,0)))+SUMIFS($E$5:E2334,$C$5:C2334,C2334,$B$5:B2334,"Entrée")-SUMIFS($E$5:E2334,$C$5:C2334,C2334,$B$5:B2334,"Sortie"),6),""))</f>
        <v/>
      </c>
      <c r="L2334" s="39" t="str">
        <f>IF(COUNTA(A2334:C2334,E2334)=0,"",IF(COUNTA(A2334:C2334,E2334)&lt;4,"Ligne incomplète",IF(NOT(ISNUMBER(A2334)),"Date invalide",IF(AND(B2334&lt;&gt;"Entrée",B2334&lt;&gt;"Sortie"),"Type inconnu",IF(ISNA(MATCH(C2334,art_ref,0)),"Référence inconnue",IF(OR(NOT(ISNUMBER(E2334)),N(E2334)&lt;=0),"Quantité invalide",IF(K2334&lt;0,"Stock négatif",IF(AND(ISNUMBER(A2333),A2334&lt;A2333),"Date hors ordre","OK"))))))))</f>
        <v/>
      </c>
      <c r="M2334" s="39" t="str">
        <f>IF(C2334="","",C2334&amp;"#"&amp;COUNTIF($C$5:C2334,C2334))</f>
        <v/>
      </c>
    </row>
    <row r="2335">
      <c r="A2335" s="41" t="n"/>
      <c r="B2335" s="37" t="n"/>
      <c r="C2335" s="37" t="n"/>
      <c r="D2335" s="39" t="str">
        <f>IF(C2335="","",IFERROR(INDEX(art_des,MATCH(C2335,art_ref,0))&amp;"","Référence inconnue"))</f>
        <v/>
      </c>
      <c r="E2335" s="37" t="n"/>
      <c r="F2335" s="39" t="str">
        <f>IF(C2335="","",IFERROR(INDEX(art_unit,MATCH(C2335,art_ref,0))&amp;"",""))</f>
        <v/>
      </c>
      <c r="G2335" s="37" t="n"/>
      <c r="H2335" s="37" t="n"/>
      <c r="I2335" s="37" t="n"/>
      <c r="J2335" s="40" t="str">
        <f>IF(OR(C2335="",NOT(ISNUMBER(E2335))),"",IFERROR(E2335*N(INDEX(art_price,MATCH(C2335,art_ref,0))),""))</f>
        <v/>
      </c>
      <c r="K2335" s="39" t="str">
        <f>IF(OR(C2335="",NOT(ISNUMBER(E2335))),"",IFERROR(ROUND(N(INDEX(art_init,MATCH(C2335,art_ref,0)))+SUMIFS($E$5:E2335,$C$5:C2335,C2335,$B$5:B2335,"Entrée")-SUMIFS($E$5:E2335,$C$5:C2335,C2335,$B$5:B2335,"Sortie"),6),""))</f>
        <v/>
      </c>
      <c r="L2335" s="39" t="str">
        <f>IF(COUNTA(A2335:C2335,E2335)=0,"",IF(COUNTA(A2335:C2335,E2335)&lt;4,"Ligne incomplète",IF(NOT(ISNUMBER(A2335)),"Date invalide",IF(AND(B2335&lt;&gt;"Entrée",B2335&lt;&gt;"Sortie"),"Type inconnu",IF(ISNA(MATCH(C2335,art_ref,0)),"Référence inconnue",IF(OR(NOT(ISNUMBER(E2335)),N(E2335)&lt;=0),"Quantité invalide",IF(K2335&lt;0,"Stock négatif",IF(AND(ISNUMBER(A2334),A2335&lt;A2334),"Date hors ordre","OK"))))))))</f>
        <v/>
      </c>
      <c r="M2335" s="39" t="str">
        <f>IF(C2335="","",C2335&amp;"#"&amp;COUNTIF($C$5:C2335,C2335))</f>
        <v/>
      </c>
    </row>
    <row r="2336">
      <c r="A2336" s="41" t="n"/>
      <c r="B2336" s="37" t="n"/>
      <c r="C2336" s="37" t="n"/>
      <c r="D2336" s="39" t="str">
        <f>IF(C2336="","",IFERROR(INDEX(art_des,MATCH(C2336,art_ref,0))&amp;"","Référence inconnue"))</f>
        <v/>
      </c>
      <c r="E2336" s="37" t="n"/>
      <c r="F2336" s="39" t="str">
        <f>IF(C2336="","",IFERROR(INDEX(art_unit,MATCH(C2336,art_ref,0))&amp;"",""))</f>
        <v/>
      </c>
      <c r="G2336" s="37" t="n"/>
      <c r="H2336" s="37" t="n"/>
      <c r="I2336" s="37" t="n"/>
      <c r="J2336" s="40" t="str">
        <f>IF(OR(C2336="",NOT(ISNUMBER(E2336))),"",IFERROR(E2336*N(INDEX(art_price,MATCH(C2336,art_ref,0))),""))</f>
        <v/>
      </c>
      <c r="K2336" s="39" t="str">
        <f>IF(OR(C2336="",NOT(ISNUMBER(E2336))),"",IFERROR(ROUND(N(INDEX(art_init,MATCH(C2336,art_ref,0)))+SUMIFS($E$5:E2336,$C$5:C2336,C2336,$B$5:B2336,"Entrée")-SUMIFS($E$5:E2336,$C$5:C2336,C2336,$B$5:B2336,"Sortie"),6),""))</f>
        <v/>
      </c>
      <c r="L2336" s="39" t="str">
        <f>IF(COUNTA(A2336:C2336,E2336)=0,"",IF(COUNTA(A2336:C2336,E2336)&lt;4,"Ligne incomplète",IF(NOT(ISNUMBER(A2336)),"Date invalide",IF(AND(B2336&lt;&gt;"Entrée",B2336&lt;&gt;"Sortie"),"Type inconnu",IF(ISNA(MATCH(C2336,art_ref,0)),"Référence inconnue",IF(OR(NOT(ISNUMBER(E2336)),N(E2336)&lt;=0),"Quantité invalide",IF(K2336&lt;0,"Stock négatif",IF(AND(ISNUMBER(A2335),A2336&lt;A2335),"Date hors ordre","OK"))))))))</f>
        <v/>
      </c>
      <c r="M2336" s="39" t="str">
        <f>IF(C2336="","",C2336&amp;"#"&amp;COUNTIF($C$5:C2336,C2336))</f>
        <v/>
      </c>
    </row>
    <row r="2337">
      <c r="A2337" s="41" t="n"/>
      <c r="B2337" s="37" t="n"/>
      <c r="C2337" s="37" t="n"/>
      <c r="D2337" s="39" t="str">
        <f>IF(C2337="","",IFERROR(INDEX(art_des,MATCH(C2337,art_ref,0))&amp;"","Référence inconnue"))</f>
        <v/>
      </c>
      <c r="E2337" s="37" t="n"/>
      <c r="F2337" s="39" t="str">
        <f>IF(C2337="","",IFERROR(INDEX(art_unit,MATCH(C2337,art_ref,0))&amp;"",""))</f>
        <v/>
      </c>
      <c r="G2337" s="37" t="n"/>
      <c r="H2337" s="37" t="n"/>
      <c r="I2337" s="37" t="n"/>
      <c r="J2337" s="40" t="str">
        <f>IF(OR(C2337="",NOT(ISNUMBER(E2337))),"",IFERROR(E2337*N(INDEX(art_price,MATCH(C2337,art_ref,0))),""))</f>
        <v/>
      </c>
      <c r="K2337" s="39" t="str">
        <f>IF(OR(C2337="",NOT(ISNUMBER(E2337))),"",IFERROR(ROUND(N(INDEX(art_init,MATCH(C2337,art_ref,0)))+SUMIFS($E$5:E2337,$C$5:C2337,C2337,$B$5:B2337,"Entrée")-SUMIFS($E$5:E2337,$C$5:C2337,C2337,$B$5:B2337,"Sortie"),6),""))</f>
        <v/>
      </c>
      <c r="L2337" s="39" t="str">
        <f>IF(COUNTA(A2337:C2337,E2337)=0,"",IF(COUNTA(A2337:C2337,E2337)&lt;4,"Ligne incomplète",IF(NOT(ISNUMBER(A2337)),"Date invalide",IF(AND(B2337&lt;&gt;"Entrée",B2337&lt;&gt;"Sortie"),"Type inconnu",IF(ISNA(MATCH(C2337,art_ref,0)),"Référence inconnue",IF(OR(NOT(ISNUMBER(E2337)),N(E2337)&lt;=0),"Quantité invalide",IF(K2337&lt;0,"Stock négatif",IF(AND(ISNUMBER(A2336),A2337&lt;A2336),"Date hors ordre","OK"))))))))</f>
        <v/>
      </c>
      <c r="M2337" s="39" t="str">
        <f>IF(C2337="","",C2337&amp;"#"&amp;COUNTIF($C$5:C2337,C2337))</f>
        <v/>
      </c>
    </row>
    <row r="2338">
      <c r="A2338" s="41" t="n"/>
      <c r="B2338" s="37" t="n"/>
      <c r="C2338" s="37" t="n"/>
      <c r="D2338" s="39" t="str">
        <f>IF(C2338="","",IFERROR(INDEX(art_des,MATCH(C2338,art_ref,0))&amp;"","Référence inconnue"))</f>
        <v/>
      </c>
      <c r="E2338" s="37" t="n"/>
      <c r="F2338" s="39" t="str">
        <f>IF(C2338="","",IFERROR(INDEX(art_unit,MATCH(C2338,art_ref,0))&amp;"",""))</f>
        <v/>
      </c>
      <c r="G2338" s="37" t="n"/>
      <c r="H2338" s="37" t="n"/>
      <c r="I2338" s="37" t="n"/>
      <c r="J2338" s="40" t="str">
        <f>IF(OR(C2338="",NOT(ISNUMBER(E2338))),"",IFERROR(E2338*N(INDEX(art_price,MATCH(C2338,art_ref,0))),""))</f>
        <v/>
      </c>
      <c r="K2338" s="39" t="str">
        <f>IF(OR(C2338="",NOT(ISNUMBER(E2338))),"",IFERROR(ROUND(N(INDEX(art_init,MATCH(C2338,art_ref,0)))+SUMIFS($E$5:E2338,$C$5:C2338,C2338,$B$5:B2338,"Entrée")-SUMIFS($E$5:E2338,$C$5:C2338,C2338,$B$5:B2338,"Sortie"),6),""))</f>
        <v/>
      </c>
      <c r="L2338" s="39" t="str">
        <f>IF(COUNTA(A2338:C2338,E2338)=0,"",IF(COUNTA(A2338:C2338,E2338)&lt;4,"Ligne incomplète",IF(NOT(ISNUMBER(A2338)),"Date invalide",IF(AND(B2338&lt;&gt;"Entrée",B2338&lt;&gt;"Sortie"),"Type inconnu",IF(ISNA(MATCH(C2338,art_ref,0)),"Référence inconnue",IF(OR(NOT(ISNUMBER(E2338)),N(E2338)&lt;=0),"Quantité invalide",IF(K2338&lt;0,"Stock négatif",IF(AND(ISNUMBER(A2337),A2338&lt;A2337),"Date hors ordre","OK"))))))))</f>
        <v/>
      </c>
      <c r="M2338" s="39" t="str">
        <f>IF(C2338="","",C2338&amp;"#"&amp;COUNTIF($C$5:C2338,C2338))</f>
        <v/>
      </c>
    </row>
    <row r="2339">
      <c r="A2339" s="41" t="n"/>
      <c r="B2339" s="37" t="n"/>
      <c r="C2339" s="37" t="n"/>
      <c r="D2339" s="39" t="str">
        <f>IF(C2339="","",IFERROR(INDEX(art_des,MATCH(C2339,art_ref,0))&amp;"","Référence inconnue"))</f>
        <v/>
      </c>
      <c r="E2339" s="37" t="n"/>
      <c r="F2339" s="39" t="str">
        <f>IF(C2339="","",IFERROR(INDEX(art_unit,MATCH(C2339,art_ref,0))&amp;"",""))</f>
        <v/>
      </c>
      <c r="G2339" s="37" t="n"/>
      <c r="H2339" s="37" t="n"/>
      <c r="I2339" s="37" t="n"/>
      <c r="J2339" s="40" t="str">
        <f>IF(OR(C2339="",NOT(ISNUMBER(E2339))),"",IFERROR(E2339*N(INDEX(art_price,MATCH(C2339,art_ref,0))),""))</f>
        <v/>
      </c>
      <c r="K2339" s="39" t="str">
        <f>IF(OR(C2339="",NOT(ISNUMBER(E2339))),"",IFERROR(ROUND(N(INDEX(art_init,MATCH(C2339,art_ref,0)))+SUMIFS($E$5:E2339,$C$5:C2339,C2339,$B$5:B2339,"Entrée")-SUMIFS($E$5:E2339,$C$5:C2339,C2339,$B$5:B2339,"Sortie"),6),""))</f>
        <v/>
      </c>
      <c r="L2339" s="39" t="str">
        <f>IF(COUNTA(A2339:C2339,E2339)=0,"",IF(COUNTA(A2339:C2339,E2339)&lt;4,"Ligne incomplète",IF(NOT(ISNUMBER(A2339)),"Date invalide",IF(AND(B2339&lt;&gt;"Entrée",B2339&lt;&gt;"Sortie"),"Type inconnu",IF(ISNA(MATCH(C2339,art_ref,0)),"Référence inconnue",IF(OR(NOT(ISNUMBER(E2339)),N(E2339)&lt;=0),"Quantité invalide",IF(K2339&lt;0,"Stock négatif",IF(AND(ISNUMBER(A2338),A2339&lt;A2338),"Date hors ordre","OK"))))))))</f>
        <v/>
      </c>
      <c r="M2339" s="39" t="str">
        <f>IF(C2339="","",C2339&amp;"#"&amp;COUNTIF($C$5:C2339,C2339))</f>
        <v/>
      </c>
    </row>
    <row r="2340">
      <c r="A2340" s="41" t="n"/>
      <c r="B2340" s="37" t="n"/>
      <c r="C2340" s="37" t="n"/>
      <c r="D2340" s="39" t="str">
        <f>IF(C2340="","",IFERROR(INDEX(art_des,MATCH(C2340,art_ref,0))&amp;"","Référence inconnue"))</f>
        <v/>
      </c>
      <c r="E2340" s="37" t="n"/>
      <c r="F2340" s="39" t="str">
        <f>IF(C2340="","",IFERROR(INDEX(art_unit,MATCH(C2340,art_ref,0))&amp;"",""))</f>
        <v/>
      </c>
      <c r="G2340" s="37" t="n"/>
      <c r="H2340" s="37" t="n"/>
      <c r="I2340" s="37" t="n"/>
      <c r="J2340" s="40" t="str">
        <f>IF(OR(C2340="",NOT(ISNUMBER(E2340))),"",IFERROR(E2340*N(INDEX(art_price,MATCH(C2340,art_ref,0))),""))</f>
        <v/>
      </c>
      <c r="K2340" s="39" t="str">
        <f>IF(OR(C2340="",NOT(ISNUMBER(E2340))),"",IFERROR(ROUND(N(INDEX(art_init,MATCH(C2340,art_ref,0)))+SUMIFS($E$5:E2340,$C$5:C2340,C2340,$B$5:B2340,"Entrée")-SUMIFS($E$5:E2340,$C$5:C2340,C2340,$B$5:B2340,"Sortie"),6),""))</f>
        <v/>
      </c>
      <c r="L2340" s="39" t="str">
        <f>IF(COUNTA(A2340:C2340,E2340)=0,"",IF(COUNTA(A2340:C2340,E2340)&lt;4,"Ligne incomplète",IF(NOT(ISNUMBER(A2340)),"Date invalide",IF(AND(B2340&lt;&gt;"Entrée",B2340&lt;&gt;"Sortie"),"Type inconnu",IF(ISNA(MATCH(C2340,art_ref,0)),"Référence inconnue",IF(OR(NOT(ISNUMBER(E2340)),N(E2340)&lt;=0),"Quantité invalide",IF(K2340&lt;0,"Stock négatif",IF(AND(ISNUMBER(A2339),A2340&lt;A2339),"Date hors ordre","OK"))))))))</f>
        <v/>
      </c>
      <c r="M2340" s="39" t="str">
        <f>IF(C2340="","",C2340&amp;"#"&amp;COUNTIF($C$5:C2340,C2340))</f>
        <v/>
      </c>
    </row>
    <row r="2341">
      <c r="A2341" s="41" t="n"/>
      <c r="B2341" s="37" t="n"/>
      <c r="C2341" s="37" t="n"/>
      <c r="D2341" s="39" t="str">
        <f>IF(C2341="","",IFERROR(INDEX(art_des,MATCH(C2341,art_ref,0))&amp;"","Référence inconnue"))</f>
        <v/>
      </c>
      <c r="E2341" s="37" t="n"/>
      <c r="F2341" s="39" t="str">
        <f>IF(C2341="","",IFERROR(INDEX(art_unit,MATCH(C2341,art_ref,0))&amp;"",""))</f>
        <v/>
      </c>
      <c r="G2341" s="37" t="n"/>
      <c r="H2341" s="37" t="n"/>
      <c r="I2341" s="37" t="n"/>
      <c r="J2341" s="40" t="str">
        <f>IF(OR(C2341="",NOT(ISNUMBER(E2341))),"",IFERROR(E2341*N(INDEX(art_price,MATCH(C2341,art_ref,0))),""))</f>
        <v/>
      </c>
      <c r="K2341" s="39" t="str">
        <f>IF(OR(C2341="",NOT(ISNUMBER(E2341))),"",IFERROR(ROUND(N(INDEX(art_init,MATCH(C2341,art_ref,0)))+SUMIFS($E$5:E2341,$C$5:C2341,C2341,$B$5:B2341,"Entrée")-SUMIFS($E$5:E2341,$C$5:C2341,C2341,$B$5:B2341,"Sortie"),6),""))</f>
        <v/>
      </c>
      <c r="L2341" s="39" t="str">
        <f>IF(COUNTA(A2341:C2341,E2341)=0,"",IF(COUNTA(A2341:C2341,E2341)&lt;4,"Ligne incomplète",IF(NOT(ISNUMBER(A2341)),"Date invalide",IF(AND(B2341&lt;&gt;"Entrée",B2341&lt;&gt;"Sortie"),"Type inconnu",IF(ISNA(MATCH(C2341,art_ref,0)),"Référence inconnue",IF(OR(NOT(ISNUMBER(E2341)),N(E2341)&lt;=0),"Quantité invalide",IF(K2341&lt;0,"Stock négatif",IF(AND(ISNUMBER(A2340),A2341&lt;A2340),"Date hors ordre","OK"))))))))</f>
        <v/>
      </c>
      <c r="M2341" s="39" t="str">
        <f>IF(C2341="","",C2341&amp;"#"&amp;COUNTIF($C$5:C2341,C2341))</f>
        <v/>
      </c>
    </row>
    <row r="2342">
      <c r="A2342" s="41" t="n"/>
      <c r="B2342" s="37" t="n"/>
      <c r="C2342" s="37" t="n"/>
      <c r="D2342" s="39" t="str">
        <f>IF(C2342="","",IFERROR(INDEX(art_des,MATCH(C2342,art_ref,0))&amp;"","Référence inconnue"))</f>
        <v/>
      </c>
      <c r="E2342" s="37" t="n"/>
      <c r="F2342" s="39" t="str">
        <f>IF(C2342="","",IFERROR(INDEX(art_unit,MATCH(C2342,art_ref,0))&amp;"",""))</f>
        <v/>
      </c>
      <c r="G2342" s="37" t="n"/>
      <c r="H2342" s="37" t="n"/>
      <c r="I2342" s="37" t="n"/>
      <c r="J2342" s="40" t="str">
        <f>IF(OR(C2342="",NOT(ISNUMBER(E2342))),"",IFERROR(E2342*N(INDEX(art_price,MATCH(C2342,art_ref,0))),""))</f>
        <v/>
      </c>
      <c r="K2342" s="39" t="str">
        <f>IF(OR(C2342="",NOT(ISNUMBER(E2342))),"",IFERROR(ROUND(N(INDEX(art_init,MATCH(C2342,art_ref,0)))+SUMIFS($E$5:E2342,$C$5:C2342,C2342,$B$5:B2342,"Entrée")-SUMIFS($E$5:E2342,$C$5:C2342,C2342,$B$5:B2342,"Sortie"),6),""))</f>
        <v/>
      </c>
      <c r="L2342" s="39" t="str">
        <f>IF(COUNTA(A2342:C2342,E2342)=0,"",IF(COUNTA(A2342:C2342,E2342)&lt;4,"Ligne incomplète",IF(NOT(ISNUMBER(A2342)),"Date invalide",IF(AND(B2342&lt;&gt;"Entrée",B2342&lt;&gt;"Sortie"),"Type inconnu",IF(ISNA(MATCH(C2342,art_ref,0)),"Référence inconnue",IF(OR(NOT(ISNUMBER(E2342)),N(E2342)&lt;=0),"Quantité invalide",IF(K2342&lt;0,"Stock négatif",IF(AND(ISNUMBER(A2341),A2342&lt;A2341),"Date hors ordre","OK"))))))))</f>
        <v/>
      </c>
      <c r="M2342" s="39" t="str">
        <f>IF(C2342="","",C2342&amp;"#"&amp;COUNTIF($C$5:C2342,C2342))</f>
        <v/>
      </c>
    </row>
    <row r="2343">
      <c r="A2343" s="41" t="n"/>
      <c r="B2343" s="37" t="n"/>
      <c r="C2343" s="37" t="n"/>
      <c r="D2343" s="39" t="str">
        <f>IF(C2343="","",IFERROR(INDEX(art_des,MATCH(C2343,art_ref,0))&amp;"","Référence inconnue"))</f>
        <v/>
      </c>
      <c r="E2343" s="37" t="n"/>
      <c r="F2343" s="39" t="str">
        <f>IF(C2343="","",IFERROR(INDEX(art_unit,MATCH(C2343,art_ref,0))&amp;"",""))</f>
        <v/>
      </c>
      <c r="G2343" s="37" t="n"/>
      <c r="H2343" s="37" t="n"/>
      <c r="I2343" s="37" t="n"/>
      <c r="J2343" s="40" t="str">
        <f>IF(OR(C2343="",NOT(ISNUMBER(E2343))),"",IFERROR(E2343*N(INDEX(art_price,MATCH(C2343,art_ref,0))),""))</f>
        <v/>
      </c>
      <c r="K2343" s="39" t="str">
        <f>IF(OR(C2343="",NOT(ISNUMBER(E2343))),"",IFERROR(ROUND(N(INDEX(art_init,MATCH(C2343,art_ref,0)))+SUMIFS($E$5:E2343,$C$5:C2343,C2343,$B$5:B2343,"Entrée")-SUMIFS($E$5:E2343,$C$5:C2343,C2343,$B$5:B2343,"Sortie"),6),""))</f>
        <v/>
      </c>
      <c r="L2343" s="39" t="str">
        <f>IF(COUNTA(A2343:C2343,E2343)=0,"",IF(COUNTA(A2343:C2343,E2343)&lt;4,"Ligne incomplète",IF(NOT(ISNUMBER(A2343)),"Date invalide",IF(AND(B2343&lt;&gt;"Entrée",B2343&lt;&gt;"Sortie"),"Type inconnu",IF(ISNA(MATCH(C2343,art_ref,0)),"Référence inconnue",IF(OR(NOT(ISNUMBER(E2343)),N(E2343)&lt;=0),"Quantité invalide",IF(K2343&lt;0,"Stock négatif",IF(AND(ISNUMBER(A2342),A2343&lt;A2342),"Date hors ordre","OK"))))))))</f>
        <v/>
      </c>
      <c r="M2343" s="39" t="str">
        <f>IF(C2343="","",C2343&amp;"#"&amp;COUNTIF($C$5:C2343,C2343))</f>
        <v/>
      </c>
    </row>
    <row r="2344">
      <c r="A2344" s="41" t="n"/>
      <c r="B2344" s="37" t="n"/>
      <c r="C2344" s="37" t="n"/>
      <c r="D2344" s="39" t="str">
        <f>IF(C2344="","",IFERROR(INDEX(art_des,MATCH(C2344,art_ref,0))&amp;"","Référence inconnue"))</f>
        <v/>
      </c>
      <c r="E2344" s="37" t="n"/>
      <c r="F2344" s="39" t="str">
        <f>IF(C2344="","",IFERROR(INDEX(art_unit,MATCH(C2344,art_ref,0))&amp;"",""))</f>
        <v/>
      </c>
      <c r="G2344" s="37" t="n"/>
      <c r="H2344" s="37" t="n"/>
      <c r="I2344" s="37" t="n"/>
      <c r="J2344" s="40" t="str">
        <f>IF(OR(C2344="",NOT(ISNUMBER(E2344))),"",IFERROR(E2344*N(INDEX(art_price,MATCH(C2344,art_ref,0))),""))</f>
        <v/>
      </c>
      <c r="K2344" s="39" t="str">
        <f>IF(OR(C2344="",NOT(ISNUMBER(E2344))),"",IFERROR(ROUND(N(INDEX(art_init,MATCH(C2344,art_ref,0)))+SUMIFS($E$5:E2344,$C$5:C2344,C2344,$B$5:B2344,"Entrée")-SUMIFS($E$5:E2344,$C$5:C2344,C2344,$B$5:B2344,"Sortie"),6),""))</f>
        <v/>
      </c>
      <c r="L2344" s="39" t="str">
        <f>IF(COUNTA(A2344:C2344,E2344)=0,"",IF(COUNTA(A2344:C2344,E2344)&lt;4,"Ligne incomplète",IF(NOT(ISNUMBER(A2344)),"Date invalide",IF(AND(B2344&lt;&gt;"Entrée",B2344&lt;&gt;"Sortie"),"Type inconnu",IF(ISNA(MATCH(C2344,art_ref,0)),"Référence inconnue",IF(OR(NOT(ISNUMBER(E2344)),N(E2344)&lt;=0),"Quantité invalide",IF(K2344&lt;0,"Stock négatif",IF(AND(ISNUMBER(A2343),A2344&lt;A2343),"Date hors ordre","OK"))))))))</f>
        <v/>
      </c>
      <c r="M2344" s="39" t="str">
        <f>IF(C2344="","",C2344&amp;"#"&amp;COUNTIF($C$5:C2344,C2344))</f>
        <v/>
      </c>
    </row>
    <row r="2345">
      <c r="A2345" s="41" t="n"/>
      <c r="B2345" s="37" t="n"/>
      <c r="C2345" s="37" t="n"/>
      <c r="D2345" s="39" t="str">
        <f>IF(C2345="","",IFERROR(INDEX(art_des,MATCH(C2345,art_ref,0))&amp;"","Référence inconnue"))</f>
        <v/>
      </c>
      <c r="E2345" s="37" t="n"/>
      <c r="F2345" s="39" t="str">
        <f>IF(C2345="","",IFERROR(INDEX(art_unit,MATCH(C2345,art_ref,0))&amp;"",""))</f>
        <v/>
      </c>
      <c r="G2345" s="37" t="n"/>
      <c r="H2345" s="37" t="n"/>
      <c r="I2345" s="37" t="n"/>
      <c r="J2345" s="40" t="str">
        <f>IF(OR(C2345="",NOT(ISNUMBER(E2345))),"",IFERROR(E2345*N(INDEX(art_price,MATCH(C2345,art_ref,0))),""))</f>
        <v/>
      </c>
      <c r="K2345" s="39" t="str">
        <f>IF(OR(C2345="",NOT(ISNUMBER(E2345))),"",IFERROR(ROUND(N(INDEX(art_init,MATCH(C2345,art_ref,0)))+SUMIFS($E$5:E2345,$C$5:C2345,C2345,$B$5:B2345,"Entrée")-SUMIFS($E$5:E2345,$C$5:C2345,C2345,$B$5:B2345,"Sortie"),6),""))</f>
        <v/>
      </c>
      <c r="L2345" s="39" t="str">
        <f>IF(COUNTA(A2345:C2345,E2345)=0,"",IF(COUNTA(A2345:C2345,E2345)&lt;4,"Ligne incomplète",IF(NOT(ISNUMBER(A2345)),"Date invalide",IF(AND(B2345&lt;&gt;"Entrée",B2345&lt;&gt;"Sortie"),"Type inconnu",IF(ISNA(MATCH(C2345,art_ref,0)),"Référence inconnue",IF(OR(NOT(ISNUMBER(E2345)),N(E2345)&lt;=0),"Quantité invalide",IF(K2345&lt;0,"Stock négatif",IF(AND(ISNUMBER(A2344),A2345&lt;A2344),"Date hors ordre","OK"))))))))</f>
        <v/>
      </c>
      <c r="M2345" s="39" t="str">
        <f>IF(C2345="","",C2345&amp;"#"&amp;COUNTIF($C$5:C2345,C2345))</f>
        <v/>
      </c>
    </row>
    <row r="2346">
      <c r="A2346" s="41" t="n"/>
      <c r="B2346" s="37" t="n"/>
      <c r="C2346" s="37" t="n"/>
      <c r="D2346" s="39" t="str">
        <f>IF(C2346="","",IFERROR(INDEX(art_des,MATCH(C2346,art_ref,0))&amp;"","Référence inconnue"))</f>
        <v/>
      </c>
      <c r="E2346" s="37" t="n"/>
      <c r="F2346" s="39" t="str">
        <f>IF(C2346="","",IFERROR(INDEX(art_unit,MATCH(C2346,art_ref,0))&amp;"",""))</f>
        <v/>
      </c>
      <c r="G2346" s="37" t="n"/>
      <c r="H2346" s="37" t="n"/>
      <c r="I2346" s="37" t="n"/>
      <c r="J2346" s="40" t="str">
        <f>IF(OR(C2346="",NOT(ISNUMBER(E2346))),"",IFERROR(E2346*N(INDEX(art_price,MATCH(C2346,art_ref,0))),""))</f>
        <v/>
      </c>
      <c r="K2346" s="39" t="str">
        <f>IF(OR(C2346="",NOT(ISNUMBER(E2346))),"",IFERROR(ROUND(N(INDEX(art_init,MATCH(C2346,art_ref,0)))+SUMIFS($E$5:E2346,$C$5:C2346,C2346,$B$5:B2346,"Entrée")-SUMIFS($E$5:E2346,$C$5:C2346,C2346,$B$5:B2346,"Sortie"),6),""))</f>
        <v/>
      </c>
      <c r="L2346" s="39" t="str">
        <f>IF(COUNTA(A2346:C2346,E2346)=0,"",IF(COUNTA(A2346:C2346,E2346)&lt;4,"Ligne incomplète",IF(NOT(ISNUMBER(A2346)),"Date invalide",IF(AND(B2346&lt;&gt;"Entrée",B2346&lt;&gt;"Sortie"),"Type inconnu",IF(ISNA(MATCH(C2346,art_ref,0)),"Référence inconnue",IF(OR(NOT(ISNUMBER(E2346)),N(E2346)&lt;=0),"Quantité invalide",IF(K2346&lt;0,"Stock négatif",IF(AND(ISNUMBER(A2345),A2346&lt;A2345),"Date hors ordre","OK"))))))))</f>
        <v/>
      </c>
      <c r="M2346" s="39" t="str">
        <f>IF(C2346="","",C2346&amp;"#"&amp;COUNTIF($C$5:C2346,C2346))</f>
        <v/>
      </c>
    </row>
    <row r="2347">
      <c r="A2347" s="41" t="n"/>
      <c r="B2347" s="37" t="n"/>
      <c r="C2347" s="37" t="n"/>
      <c r="D2347" s="39" t="str">
        <f>IF(C2347="","",IFERROR(INDEX(art_des,MATCH(C2347,art_ref,0))&amp;"","Référence inconnue"))</f>
        <v/>
      </c>
      <c r="E2347" s="37" t="n"/>
      <c r="F2347" s="39" t="str">
        <f>IF(C2347="","",IFERROR(INDEX(art_unit,MATCH(C2347,art_ref,0))&amp;"",""))</f>
        <v/>
      </c>
      <c r="G2347" s="37" t="n"/>
      <c r="H2347" s="37" t="n"/>
      <c r="I2347" s="37" t="n"/>
      <c r="J2347" s="40" t="str">
        <f>IF(OR(C2347="",NOT(ISNUMBER(E2347))),"",IFERROR(E2347*N(INDEX(art_price,MATCH(C2347,art_ref,0))),""))</f>
        <v/>
      </c>
      <c r="K2347" s="39" t="str">
        <f>IF(OR(C2347="",NOT(ISNUMBER(E2347))),"",IFERROR(ROUND(N(INDEX(art_init,MATCH(C2347,art_ref,0)))+SUMIFS($E$5:E2347,$C$5:C2347,C2347,$B$5:B2347,"Entrée")-SUMIFS($E$5:E2347,$C$5:C2347,C2347,$B$5:B2347,"Sortie"),6),""))</f>
        <v/>
      </c>
      <c r="L2347" s="39" t="str">
        <f>IF(COUNTA(A2347:C2347,E2347)=0,"",IF(COUNTA(A2347:C2347,E2347)&lt;4,"Ligne incomplète",IF(NOT(ISNUMBER(A2347)),"Date invalide",IF(AND(B2347&lt;&gt;"Entrée",B2347&lt;&gt;"Sortie"),"Type inconnu",IF(ISNA(MATCH(C2347,art_ref,0)),"Référence inconnue",IF(OR(NOT(ISNUMBER(E2347)),N(E2347)&lt;=0),"Quantité invalide",IF(K2347&lt;0,"Stock négatif",IF(AND(ISNUMBER(A2346),A2347&lt;A2346),"Date hors ordre","OK"))))))))</f>
        <v/>
      </c>
      <c r="M2347" s="39" t="str">
        <f>IF(C2347="","",C2347&amp;"#"&amp;COUNTIF($C$5:C2347,C2347))</f>
        <v/>
      </c>
    </row>
    <row r="2348">
      <c r="A2348" s="41" t="n"/>
      <c r="B2348" s="37" t="n"/>
      <c r="C2348" s="37" t="n"/>
      <c r="D2348" s="39" t="str">
        <f>IF(C2348="","",IFERROR(INDEX(art_des,MATCH(C2348,art_ref,0))&amp;"","Référence inconnue"))</f>
        <v/>
      </c>
      <c r="E2348" s="37" t="n"/>
      <c r="F2348" s="39" t="str">
        <f>IF(C2348="","",IFERROR(INDEX(art_unit,MATCH(C2348,art_ref,0))&amp;"",""))</f>
        <v/>
      </c>
      <c r="G2348" s="37" t="n"/>
      <c r="H2348" s="37" t="n"/>
      <c r="I2348" s="37" t="n"/>
      <c r="J2348" s="40" t="str">
        <f>IF(OR(C2348="",NOT(ISNUMBER(E2348))),"",IFERROR(E2348*N(INDEX(art_price,MATCH(C2348,art_ref,0))),""))</f>
        <v/>
      </c>
      <c r="K2348" s="39" t="str">
        <f>IF(OR(C2348="",NOT(ISNUMBER(E2348))),"",IFERROR(ROUND(N(INDEX(art_init,MATCH(C2348,art_ref,0)))+SUMIFS($E$5:E2348,$C$5:C2348,C2348,$B$5:B2348,"Entrée")-SUMIFS($E$5:E2348,$C$5:C2348,C2348,$B$5:B2348,"Sortie"),6),""))</f>
        <v/>
      </c>
      <c r="L2348" s="39" t="str">
        <f>IF(COUNTA(A2348:C2348,E2348)=0,"",IF(COUNTA(A2348:C2348,E2348)&lt;4,"Ligne incomplète",IF(NOT(ISNUMBER(A2348)),"Date invalide",IF(AND(B2348&lt;&gt;"Entrée",B2348&lt;&gt;"Sortie"),"Type inconnu",IF(ISNA(MATCH(C2348,art_ref,0)),"Référence inconnue",IF(OR(NOT(ISNUMBER(E2348)),N(E2348)&lt;=0),"Quantité invalide",IF(K2348&lt;0,"Stock négatif",IF(AND(ISNUMBER(A2347),A2348&lt;A2347),"Date hors ordre","OK"))))))))</f>
        <v/>
      </c>
      <c r="M2348" s="39" t="str">
        <f>IF(C2348="","",C2348&amp;"#"&amp;COUNTIF($C$5:C2348,C2348))</f>
        <v/>
      </c>
    </row>
    <row r="2349">
      <c r="A2349" s="41" t="n"/>
      <c r="B2349" s="37" t="n"/>
      <c r="C2349" s="37" t="n"/>
      <c r="D2349" s="39" t="str">
        <f>IF(C2349="","",IFERROR(INDEX(art_des,MATCH(C2349,art_ref,0))&amp;"","Référence inconnue"))</f>
        <v/>
      </c>
      <c r="E2349" s="37" t="n"/>
      <c r="F2349" s="39" t="str">
        <f>IF(C2349="","",IFERROR(INDEX(art_unit,MATCH(C2349,art_ref,0))&amp;"",""))</f>
        <v/>
      </c>
      <c r="G2349" s="37" t="n"/>
      <c r="H2349" s="37" t="n"/>
      <c r="I2349" s="37" t="n"/>
      <c r="J2349" s="40" t="str">
        <f>IF(OR(C2349="",NOT(ISNUMBER(E2349))),"",IFERROR(E2349*N(INDEX(art_price,MATCH(C2349,art_ref,0))),""))</f>
        <v/>
      </c>
      <c r="K2349" s="39" t="str">
        <f>IF(OR(C2349="",NOT(ISNUMBER(E2349))),"",IFERROR(ROUND(N(INDEX(art_init,MATCH(C2349,art_ref,0)))+SUMIFS($E$5:E2349,$C$5:C2349,C2349,$B$5:B2349,"Entrée")-SUMIFS($E$5:E2349,$C$5:C2349,C2349,$B$5:B2349,"Sortie"),6),""))</f>
        <v/>
      </c>
      <c r="L2349" s="39" t="str">
        <f>IF(COUNTA(A2349:C2349,E2349)=0,"",IF(COUNTA(A2349:C2349,E2349)&lt;4,"Ligne incomplète",IF(NOT(ISNUMBER(A2349)),"Date invalide",IF(AND(B2349&lt;&gt;"Entrée",B2349&lt;&gt;"Sortie"),"Type inconnu",IF(ISNA(MATCH(C2349,art_ref,0)),"Référence inconnue",IF(OR(NOT(ISNUMBER(E2349)),N(E2349)&lt;=0),"Quantité invalide",IF(K2349&lt;0,"Stock négatif",IF(AND(ISNUMBER(A2348),A2349&lt;A2348),"Date hors ordre","OK"))))))))</f>
        <v/>
      </c>
      <c r="M2349" s="39" t="str">
        <f>IF(C2349="","",C2349&amp;"#"&amp;COUNTIF($C$5:C2349,C2349))</f>
        <v/>
      </c>
    </row>
    <row r="2350">
      <c r="A2350" s="41" t="n"/>
      <c r="B2350" s="37" t="n"/>
      <c r="C2350" s="37" t="n"/>
      <c r="D2350" s="39" t="str">
        <f>IF(C2350="","",IFERROR(INDEX(art_des,MATCH(C2350,art_ref,0))&amp;"","Référence inconnue"))</f>
        <v/>
      </c>
      <c r="E2350" s="37" t="n"/>
      <c r="F2350" s="39" t="str">
        <f>IF(C2350="","",IFERROR(INDEX(art_unit,MATCH(C2350,art_ref,0))&amp;"",""))</f>
        <v/>
      </c>
      <c r="G2350" s="37" t="n"/>
      <c r="H2350" s="37" t="n"/>
      <c r="I2350" s="37" t="n"/>
      <c r="J2350" s="40" t="str">
        <f>IF(OR(C2350="",NOT(ISNUMBER(E2350))),"",IFERROR(E2350*N(INDEX(art_price,MATCH(C2350,art_ref,0))),""))</f>
        <v/>
      </c>
      <c r="K2350" s="39" t="str">
        <f>IF(OR(C2350="",NOT(ISNUMBER(E2350))),"",IFERROR(ROUND(N(INDEX(art_init,MATCH(C2350,art_ref,0)))+SUMIFS($E$5:E2350,$C$5:C2350,C2350,$B$5:B2350,"Entrée")-SUMIFS($E$5:E2350,$C$5:C2350,C2350,$B$5:B2350,"Sortie"),6),""))</f>
        <v/>
      </c>
      <c r="L2350" s="39" t="str">
        <f>IF(COUNTA(A2350:C2350,E2350)=0,"",IF(COUNTA(A2350:C2350,E2350)&lt;4,"Ligne incomplète",IF(NOT(ISNUMBER(A2350)),"Date invalide",IF(AND(B2350&lt;&gt;"Entrée",B2350&lt;&gt;"Sortie"),"Type inconnu",IF(ISNA(MATCH(C2350,art_ref,0)),"Référence inconnue",IF(OR(NOT(ISNUMBER(E2350)),N(E2350)&lt;=0),"Quantité invalide",IF(K2350&lt;0,"Stock négatif",IF(AND(ISNUMBER(A2349),A2350&lt;A2349),"Date hors ordre","OK"))))))))</f>
        <v/>
      </c>
      <c r="M2350" s="39" t="str">
        <f>IF(C2350="","",C2350&amp;"#"&amp;COUNTIF($C$5:C2350,C2350))</f>
        <v/>
      </c>
    </row>
    <row r="2351">
      <c r="A2351" s="41" t="n"/>
      <c r="B2351" s="37" t="n"/>
      <c r="C2351" s="37" t="n"/>
      <c r="D2351" s="39" t="str">
        <f>IF(C2351="","",IFERROR(INDEX(art_des,MATCH(C2351,art_ref,0))&amp;"","Référence inconnue"))</f>
        <v/>
      </c>
      <c r="E2351" s="37" t="n"/>
      <c r="F2351" s="39" t="str">
        <f>IF(C2351="","",IFERROR(INDEX(art_unit,MATCH(C2351,art_ref,0))&amp;"",""))</f>
        <v/>
      </c>
      <c r="G2351" s="37" t="n"/>
      <c r="H2351" s="37" t="n"/>
      <c r="I2351" s="37" t="n"/>
      <c r="J2351" s="40" t="str">
        <f>IF(OR(C2351="",NOT(ISNUMBER(E2351))),"",IFERROR(E2351*N(INDEX(art_price,MATCH(C2351,art_ref,0))),""))</f>
        <v/>
      </c>
      <c r="K2351" s="39" t="str">
        <f>IF(OR(C2351="",NOT(ISNUMBER(E2351))),"",IFERROR(ROUND(N(INDEX(art_init,MATCH(C2351,art_ref,0)))+SUMIFS($E$5:E2351,$C$5:C2351,C2351,$B$5:B2351,"Entrée")-SUMIFS($E$5:E2351,$C$5:C2351,C2351,$B$5:B2351,"Sortie"),6),""))</f>
        <v/>
      </c>
      <c r="L2351" s="39" t="str">
        <f>IF(COUNTA(A2351:C2351,E2351)=0,"",IF(COUNTA(A2351:C2351,E2351)&lt;4,"Ligne incomplète",IF(NOT(ISNUMBER(A2351)),"Date invalide",IF(AND(B2351&lt;&gt;"Entrée",B2351&lt;&gt;"Sortie"),"Type inconnu",IF(ISNA(MATCH(C2351,art_ref,0)),"Référence inconnue",IF(OR(NOT(ISNUMBER(E2351)),N(E2351)&lt;=0),"Quantité invalide",IF(K2351&lt;0,"Stock négatif",IF(AND(ISNUMBER(A2350),A2351&lt;A2350),"Date hors ordre","OK"))))))))</f>
        <v/>
      </c>
      <c r="M2351" s="39" t="str">
        <f>IF(C2351="","",C2351&amp;"#"&amp;COUNTIF($C$5:C2351,C2351))</f>
        <v/>
      </c>
    </row>
    <row r="2352">
      <c r="A2352" s="41" t="n"/>
      <c r="B2352" s="37" t="n"/>
      <c r="C2352" s="37" t="n"/>
      <c r="D2352" s="39" t="str">
        <f>IF(C2352="","",IFERROR(INDEX(art_des,MATCH(C2352,art_ref,0))&amp;"","Référence inconnue"))</f>
        <v/>
      </c>
      <c r="E2352" s="37" t="n"/>
      <c r="F2352" s="39" t="str">
        <f>IF(C2352="","",IFERROR(INDEX(art_unit,MATCH(C2352,art_ref,0))&amp;"",""))</f>
        <v/>
      </c>
      <c r="G2352" s="37" t="n"/>
      <c r="H2352" s="37" t="n"/>
      <c r="I2352" s="37" t="n"/>
      <c r="J2352" s="40" t="str">
        <f>IF(OR(C2352="",NOT(ISNUMBER(E2352))),"",IFERROR(E2352*N(INDEX(art_price,MATCH(C2352,art_ref,0))),""))</f>
        <v/>
      </c>
      <c r="K2352" s="39" t="str">
        <f>IF(OR(C2352="",NOT(ISNUMBER(E2352))),"",IFERROR(ROUND(N(INDEX(art_init,MATCH(C2352,art_ref,0)))+SUMIFS($E$5:E2352,$C$5:C2352,C2352,$B$5:B2352,"Entrée")-SUMIFS($E$5:E2352,$C$5:C2352,C2352,$B$5:B2352,"Sortie"),6),""))</f>
        <v/>
      </c>
      <c r="L2352" s="39" t="str">
        <f>IF(COUNTA(A2352:C2352,E2352)=0,"",IF(COUNTA(A2352:C2352,E2352)&lt;4,"Ligne incomplète",IF(NOT(ISNUMBER(A2352)),"Date invalide",IF(AND(B2352&lt;&gt;"Entrée",B2352&lt;&gt;"Sortie"),"Type inconnu",IF(ISNA(MATCH(C2352,art_ref,0)),"Référence inconnue",IF(OR(NOT(ISNUMBER(E2352)),N(E2352)&lt;=0),"Quantité invalide",IF(K2352&lt;0,"Stock négatif",IF(AND(ISNUMBER(A2351),A2352&lt;A2351),"Date hors ordre","OK"))))))))</f>
        <v/>
      </c>
      <c r="M2352" s="39" t="str">
        <f>IF(C2352="","",C2352&amp;"#"&amp;COUNTIF($C$5:C2352,C2352))</f>
        <v/>
      </c>
    </row>
    <row r="2353">
      <c r="A2353" s="41" t="n"/>
      <c r="B2353" s="37" t="n"/>
      <c r="C2353" s="37" t="n"/>
      <c r="D2353" s="39" t="str">
        <f>IF(C2353="","",IFERROR(INDEX(art_des,MATCH(C2353,art_ref,0))&amp;"","Référence inconnue"))</f>
        <v/>
      </c>
      <c r="E2353" s="37" t="n"/>
      <c r="F2353" s="39" t="str">
        <f>IF(C2353="","",IFERROR(INDEX(art_unit,MATCH(C2353,art_ref,0))&amp;"",""))</f>
        <v/>
      </c>
      <c r="G2353" s="37" t="n"/>
      <c r="H2353" s="37" t="n"/>
      <c r="I2353" s="37" t="n"/>
      <c r="J2353" s="40" t="str">
        <f>IF(OR(C2353="",NOT(ISNUMBER(E2353))),"",IFERROR(E2353*N(INDEX(art_price,MATCH(C2353,art_ref,0))),""))</f>
        <v/>
      </c>
      <c r="K2353" s="39" t="str">
        <f>IF(OR(C2353="",NOT(ISNUMBER(E2353))),"",IFERROR(ROUND(N(INDEX(art_init,MATCH(C2353,art_ref,0)))+SUMIFS($E$5:E2353,$C$5:C2353,C2353,$B$5:B2353,"Entrée")-SUMIFS($E$5:E2353,$C$5:C2353,C2353,$B$5:B2353,"Sortie"),6),""))</f>
        <v/>
      </c>
      <c r="L2353" s="39" t="str">
        <f>IF(COUNTA(A2353:C2353,E2353)=0,"",IF(COUNTA(A2353:C2353,E2353)&lt;4,"Ligne incomplète",IF(NOT(ISNUMBER(A2353)),"Date invalide",IF(AND(B2353&lt;&gt;"Entrée",B2353&lt;&gt;"Sortie"),"Type inconnu",IF(ISNA(MATCH(C2353,art_ref,0)),"Référence inconnue",IF(OR(NOT(ISNUMBER(E2353)),N(E2353)&lt;=0),"Quantité invalide",IF(K2353&lt;0,"Stock négatif",IF(AND(ISNUMBER(A2352),A2353&lt;A2352),"Date hors ordre","OK"))))))))</f>
        <v/>
      </c>
      <c r="M2353" s="39" t="str">
        <f>IF(C2353="","",C2353&amp;"#"&amp;COUNTIF($C$5:C2353,C2353))</f>
        <v/>
      </c>
    </row>
    <row r="2354">
      <c r="A2354" s="41" t="n"/>
      <c r="B2354" s="37" t="n"/>
      <c r="C2354" s="37" t="n"/>
      <c r="D2354" s="39" t="str">
        <f>IF(C2354="","",IFERROR(INDEX(art_des,MATCH(C2354,art_ref,0))&amp;"","Référence inconnue"))</f>
        <v/>
      </c>
      <c r="E2354" s="37" t="n"/>
      <c r="F2354" s="39" t="str">
        <f>IF(C2354="","",IFERROR(INDEX(art_unit,MATCH(C2354,art_ref,0))&amp;"",""))</f>
        <v/>
      </c>
      <c r="G2354" s="37" t="n"/>
      <c r="H2354" s="37" t="n"/>
      <c r="I2354" s="37" t="n"/>
      <c r="J2354" s="40" t="str">
        <f>IF(OR(C2354="",NOT(ISNUMBER(E2354))),"",IFERROR(E2354*N(INDEX(art_price,MATCH(C2354,art_ref,0))),""))</f>
        <v/>
      </c>
      <c r="K2354" s="39" t="str">
        <f>IF(OR(C2354="",NOT(ISNUMBER(E2354))),"",IFERROR(ROUND(N(INDEX(art_init,MATCH(C2354,art_ref,0)))+SUMIFS($E$5:E2354,$C$5:C2354,C2354,$B$5:B2354,"Entrée")-SUMIFS($E$5:E2354,$C$5:C2354,C2354,$B$5:B2354,"Sortie"),6),""))</f>
        <v/>
      </c>
      <c r="L2354" s="39" t="str">
        <f>IF(COUNTA(A2354:C2354,E2354)=0,"",IF(COUNTA(A2354:C2354,E2354)&lt;4,"Ligne incomplète",IF(NOT(ISNUMBER(A2354)),"Date invalide",IF(AND(B2354&lt;&gt;"Entrée",B2354&lt;&gt;"Sortie"),"Type inconnu",IF(ISNA(MATCH(C2354,art_ref,0)),"Référence inconnue",IF(OR(NOT(ISNUMBER(E2354)),N(E2354)&lt;=0),"Quantité invalide",IF(K2354&lt;0,"Stock négatif",IF(AND(ISNUMBER(A2353),A2354&lt;A2353),"Date hors ordre","OK"))))))))</f>
        <v/>
      </c>
      <c r="M2354" s="39" t="str">
        <f>IF(C2354="","",C2354&amp;"#"&amp;COUNTIF($C$5:C2354,C2354))</f>
        <v/>
      </c>
    </row>
    <row r="2355">
      <c r="A2355" s="41" t="n"/>
      <c r="B2355" s="37" t="n"/>
      <c r="C2355" s="37" t="n"/>
      <c r="D2355" s="39" t="str">
        <f>IF(C2355="","",IFERROR(INDEX(art_des,MATCH(C2355,art_ref,0))&amp;"","Référence inconnue"))</f>
        <v/>
      </c>
      <c r="E2355" s="37" t="n"/>
      <c r="F2355" s="39" t="str">
        <f>IF(C2355="","",IFERROR(INDEX(art_unit,MATCH(C2355,art_ref,0))&amp;"",""))</f>
        <v/>
      </c>
      <c r="G2355" s="37" t="n"/>
      <c r="H2355" s="37" t="n"/>
      <c r="I2355" s="37" t="n"/>
      <c r="J2355" s="40" t="str">
        <f>IF(OR(C2355="",NOT(ISNUMBER(E2355))),"",IFERROR(E2355*N(INDEX(art_price,MATCH(C2355,art_ref,0))),""))</f>
        <v/>
      </c>
      <c r="K2355" s="39" t="str">
        <f>IF(OR(C2355="",NOT(ISNUMBER(E2355))),"",IFERROR(ROUND(N(INDEX(art_init,MATCH(C2355,art_ref,0)))+SUMIFS($E$5:E2355,$C$5:C2355,C2355,$B$5:B2355,"Entrée")-SUMIFS($E$5:E2355,$C$5:C2355,C2355,$B$5:B2355,"Sortie"),6),""))</f>
        <v/>
      </c>
      <c r="L2355" s="39" t="str">
        <f>IF(COUNTA(A2355:C2355,E2355)=0,"",IF(COUNTA(A2355:C2355,E2355)&lt;4,"Ligne incomplète",IF(NOT(ISNUMBER(A2355)),"Date invalide",IF(AND(B2355&lt;&gt;"Entrée",B2355&lt;&gt;"Sortie"),"Type inconnu",IF(ISNA(MATCH(C2355,art_ref,0)),"Référence inconnue",IF(OR(NOT(ISNUMBER(E2355)),N(E2355)&lt;=0),"Quantité invalide",IF(K2355&lt;0,"Stock négatif",IF(AND(ISNUMBER(A2354),A2355&lt;A2354),"Date hors ordre","OK"))))))))</f>
        <v/>
      </c>
      <c r="M2355" s="39" t="str">
        <f>IF(C2355="","",C2355&amp;"#"&amp;COUNTIF($C$5:C2355,C2355))</f>
        <v/>
      </c>
    </row>
    <row r="2356">
      <c r="A2356" s="41" t="n"/>
      <c r="B2356" s="37" t="n"/>
      <c r="C2356" s="37" t="n"/>
      <c r="D2356" s="39" t="str">
        <f>IF(C2356="","",IFERROR(INDEX(art_des,MATCH(C2356,art_ref,0))&amp;"","Référence inconnue"))</f>
        <v/>
      </c>
      <c r="E2356" s="37" t="n"/>
      <c r="F2356" s="39" t="str">
        <f>IF(C2356="","",IFERROR(INDEX(art_unit,MATCH(C2356,art_ref,0))&amp;"",""))</f>
        <v/>
      </c>
      <c r="G2356" s="37" t="n"/>
      <c r="H2356" s="37" t="n"/>
      <c r="I2356" s="37" t="n"/>
      <c r="J2356" s="40" t="str">
        <f>IF(OR(C2356="",NOT(ISNUMBER(E2356))),"",IFERROR(E2356*N(INDEX(art_price,MATCH(C2356,art_ref,0))),""))</f>
        <v/>
      </c>
      <c r="K2356" s="39" t="str">
        <f>IF(OR(C2356="",NOT(ISNUMBER(E2356))),"",IFERROR(ROUND(N(INDEX(art_init,MATCH(C2356,art_ref,0)))+SUMIFS($E$5:E2356,$C$5:C2356,C2356,$B$5:B2356,"Entrée")-SUMIFS($E$5:E2356,$C$5:C2356,C2356,$B$5:B2356,"Sortie"),6),""))</f>
        <v/>
      </c>
      <c r="L2356" s="39" t="str">
        <f>IF(COUNTA(A2356:C2356,E2356)=0,"",IF(COUNTA(A2356:C2356,E2356)&lt;4,"Ligne incomplète",IF(NOT(ISNUMBER(A2356)),"Date invalide",IF(AND(B2356&lt;&gt;"Entrée",B2356&lt;&gt;"Sortie"),"Type inconnu",IF(ISNA(MATCH(C2356,art_ref,0)),"Référence inconnue",IF(OR(NOT(ISNUMBER(E2356)),N(E2356)&lt;=0),"Quantité invalide",IF(K2356&lt;0,"Stock négatif",IF(AND(ISNUMBER(A2355),A2356&lt;A2355),"Date hors ordre","OK"))))))))</f>
        <v/>
      </c>
      <c r="M2356" s="39" t="str">
        <f>IF(C2356="","",C2356&amp;"#"&amp;COUNTIF($C$5:C2356,C2356))</f>
        <v/>
      </c>
    </row>
    <row r="2357">
      <c r="A2357" s="41" t="n"/>
      <c r="B2357" s="37" t="n"/>
      <c r="C2357" s="37" t="n"/>
      <c r="D2357" s="39" t="str">
        <f>IF(C2357="","",IFERROR(INDEX(art_des,MATCH(C2357,art_ref,0))&amp;"","Référence inconnue"))</f>
        <v/>
      </c>
      <c r="E2357" s="37" t="n"/>
      <c r="F2357" s="39" t="str">
        <f>IF(C2357="","",IFERROR(INDEX(art_unit,MATCH(C2357,art_ref,0))&amp;"",""))</f>
        <v/>
      </c>
      <c r="G2357" s="37" t="n"/>
      <c r="H2357" s="37" t="n"/>
      <c r="I2357" s="37" t="n"/>
      <c r="J2357" s="40" t="str">
        <f>IF(OR(C2357="",NOT(ISNUMBER(E2357))),"",IFERROR(E2357*N(INDEX(art_price,MATCH(C2357,art_ref,0))),""))</f>
        <v/>
      </c>
      <c r="K2357" s="39" t="str">
        <f>IF(OR(C2357="",NOT(ISNUMBER(E2357))),"",IFERROR(ROUND(N(INDEX(art_init,MATCH(C2357,art_ref,0)))+SUMIFS($E$5:E2357,$C$5:C2357,C2357,$B$5:B2357,"Entrée")-SUMIFS($E$5:E2357,$C$5:C2357,C2357,$B$5:B2357,"Sortie"),6),""))</f>
        <v/>
      </c>
      <c r="L2357" s="39" t="str">
        <f>IF(COUNTA(A2357:C2357,E2357)=0,"",IF(COUNTA(A2357:C2357,E2357)&lt;4,"Ligne incomplète",IF(NOT(ISNUMBER(A2357)),"Date invalide",IF(AND(B2357&lt;&gt;"Entrée",B2357&lt;&gt;"Sortie"),"Type inconnu",IF(ISNA(MATCH(C2357,art_ref,0)),"Référence inconnue",IF(OR(NOT(ISNUMBER(E2357)),N(E2357)&lt;=0),"Quantité invalide",IF(K2357&lt;0,"Stock négatif",IF(AND(ISNUMBER(A2356),A2357&lt;A2356),"Date hors ordre","OK"))))))))</f>
        <v/>
      </c>
      <c r="M2357" s="39" t="str">
        <f>IF(C2357="","",C2357&amp;"#"&amp;COUNTIF($C$5:C2357,C2357))</f>
        <v/>
      </c>
    </row>
    <row r="2358">
      <c r="A2358" s="41" t="n"/>
      <c r="B2358" s="37" t="n"/>
      <c r="C2358" s="37" t="n"/>
      <c r="D2358" s="39" t="str">
        <f>IF(C2358="","",IFERROR(INDEX(art_des,MATCH(C2358,art_ref,0))&amp;"","Référence inconnue"))</f>
        <v/>
      </c>
      <c r="E2358" s="37" t="n"/>
      <c r="F2358" s="39" t="str">
        <f>IF(C2358="","",IFERROR(INDEX(art_unit,MATCH(C2358,art_ref,0))&amp;"",""))</f>
        <v/>
      </c>
      <c r="G2358" s="37" t="n"/>
      <c r="H2358" s="37" t="n"/>
      <c r="I2358" s="37" t="n"/>
      <c r="J2358" s="40" t="str">
        <f>IF(OR(C2358="",NOT(ISNUMBER(E2358))),"",IFERROR(E2358*N(INDEX(art_price,MATCH(C2358,art_ref,0))),""))</f>
        <v/>
      </c>
      <c r="K2358" s="39" t="str">
        <f>IF(OR(C2358="",NOT(ISNUMBER(E2358))),"",IFERROR(ROUND(N(INDEX(art_init,MATCH(C2358,art_ref,0)))+SUMIFS($E$5:E2358,$C$5:C2358,C2358,$B$5:B2358,"Entrée")-SUMIFS($E$5:E2358,$C$5:C2358,C2358,$B$5:B2358,"Sortie"),6),""))</f>
        <v/>
      </c>
      <c r="L2358" s="39" t="str">
        <f>IF(COUNTA(A2358:C2358,E2358)=0,"",IF(COUNTA(A2358:C2358,E2358)&lt;4,"Ligne incomplète",IF(NOT(ISNUMBER(A2358)),"Date invalide",IF(AND(B2358&lt;&gt;"Entrée",B2358&lt;&gt;"Sortie"),"Type inconnu",IF(ISNA(MATCH(C2358,art_ref,0)),"Référence inconnue",IF(OR(NOT(ISNUMBER(E2358)),N(E2358)&lt;=0),"Quantité invalide",IF(K2358&lt;0,"Stock négatif",IF(AND(ISNUMBER(A2357),A2358&lt;A2357),"Date hors ordre","OK"))))))))</f>
        <v/>
      </c>
      <c r="M2358" s="39" t="str">
        <f>IF(C2358="","",C2358&amp;"#"&amp;COUNTIF($C$5:C2358,C2358))</f>
        <v/>
      </c>
    </row>
    <row r="2359">
      <c r="A2359" s="41" t="n"/>
      <c r="B2359" s="37" t="n"/>
      <c r="C2359" s="37" t="n"/>
      <c r="D2359" s="39" t="str">
        <f>IF(C2359="","",IFERROR(INDEX(art_des,MATCH(C2359,art_ref,0))&amp;"","Référence inconnue"))</f>
        <v/>
      </c>
      <c r="E2359" s="37" t="n"/>
      <c r="F2359" s="39" t="str">
        <f>IF(C2359="","",IFERROR(INDEX(art_unit,MATCH(C2359,art_ref,0))&amp;"",""))</f>
        <v/>
      </c>
      <c r="G2359" s="37" t="n"/>
      <c r="H2359" s="37" t="n"/>
      <c r="I2359" s="37" t="n"/>
      <c r="J2359" s="40" t="str">
        <f>IF(OR(C2359="",NOT(ISNUMBER(E2359))),"",IFERROR(E2359*N(INDEX(art_price,MATCH(C2359,art_ref,0))),""))</f>
        <v/>
      </c>
      <c r="K2359" s="39" t="str">
        <f>IF(OR(C2359="",NOT(ISNUMBER(E2359))),"",IFERROR(ROUND(N(INDEX(art_init,MATCH(C2359,art_ref,0)))+SUMIFS($E$5:E2359,$C$5:C2359,C2359,$B$5:B2359,"Entrée")-SUMIFS($E$5:E2359,$C$5:C2359,C2359,$B$5:B2359,"Sortie"),6),""))</f>
        <v/>
      </c>
      <c r="L2359" s="39" t="str">
        <f>IF(COUNTA(A2359:C2359,E2359)=0,"",IF(COUNTA(A2359:C2359,E2359)&lt;4,"Ligne incomplète",IF(NOT(ISNUMBER(A2359)),"Date invalide",IF(AND(B2359&lt;&gt;"Entrée",B2359&lt;&gt;"Sortie"),"Type inconnu",IF(ISNA(MATCH(C2359,art_ref,0)),"Référence inconnue",IF(OR(NOT(ISNUMBER(E2359)),N(E2359)&lt;=0),"Quantité invalide",IF(K2359&lt;0,"Stock négatif",IF(AND(ISNUMBER(A2358),A2359&lt;A2358),"Date hors ordre","OK"))))))))</f>
        <v/>
      </c>
      <c r="M2359" s="39" t="str">
        <f>IF(C2359="","",C2359&amp;"#"&amp;COUNTIF($C$5:C2359,C2359))</f>
        <v/>
      </c>
    </row>
    <row r="2360">
      <c r="A2360" s="41" t="n"/>
      <c r="B2360" s="37" t="n"/>
      <c r="C2360" s="37" t="n"/>
      <c r="D2360" s="39" t="str">
        <f>IF(C2360="","",IFERROR(INDEX(art_des,MATCH(C2360,art_ref,0))&amp;"","Référence inconnue"))</f>
        <v/>
      </c>
      <c r="E2360" s="37" t="n"/>
      <c r="F2360" s="39" t="str">
        <f>IF(C2360="","",IFERROR(INDEX(art_unit,MATCH(C2360,art_ref,0))&amp;"",""))</f>
        <v/>
      </c>
      <c r="G2360" s="37" t="n"/>
      <c r="H2360" s="37" t="n"/>
      <c r="I2360" s="37" t="n"/>
      <c r="J2360" s="40" t="str">
        <f>IF(OR(C2360="",NOT(ISNUMBER(E2360))),"",IFERROR(E2360*N(INDEX(art_price,MATCH(C2360,art_ref,0))),""))</f>
        <v/>
      </c>
      <c r="K2360" s="39" t="str">
        <f>IF(OR(C2360="",NOT(ISNUMBER(E2360))),"",IFERROR(ROUND(N(INDEX(art_init,MATCH(C2360,art_ref,0)))+SUMIFS($E$5:E2360,$C$5:C2360,C2360,$B$5:B2360,"Entrée")-SUMIFS($E$5:E2360,$C$5:C2360,C2360,$B$5:B2360,"Sortie"),6),""))</f>
        <v/>
      </c>
      <c r="L2360" s="39" t="str">
        <f>IF(COUNTA(A2360:C2360,E2360)=0,"",IF(COUNTA(A2360:C2360,E2360)&lt;4,"Ligne incomplète",IF(NOT(ISNUMBER(A2360)),"Date invalide",IF(AND(B2360&lt;&gt;"Entrée",B2360&lt;&gt;"Sortie"),"Type inconnu",IF(ISNA(MATCH(C2360,art_ref,0)),"Référence inconnue",IF(OR(NOT(ISNUMBER(E2360)),N(E2360)&lt;=0),"Quantité invalide",IF(K2360&lt;0,"Stock négatif",IF(AND(ISNUMBER(A2359),A2360&lt;A2359),"Date hors ordre","OK"))))))))</f>
        <v/>
      </c>
      <c r="M2360" s="39" t="str">
        <f>IF(C2360="","",C2360&amp;"#"&amp;COUNTIF($C$5:C2360,C2360))</f>
        <v/>
      </c>
    </row>
    <row r="2361">
      <c r="A2361" s="41" t="n"/>
      <c r="B2361" s="37" t="n"/>
      <c r="C2361" s="37" t="n"/>
      <c r="D2361" s="39" t="str">
        <f>IF(C2361="","",IFERROR(INDEX(art_des,MATCH(C2361,art_ref,0))&amp;"","Référence inconnue"))</f>
        <v/>
      </c>
      <c r="E2361" s="37" t="n"/>
      <c r="F2361" s="39" t="str">
        <f>IF(C2361="","",IFERROR(INDEX(art_unit,MATCH(C2361,art_ref,0))&amp;"",""))</f>
        <v/>
      </c>
      <c r="G2361" s="37" t="n"/>
      <c r="H2361" s="37" t="n"/>
      <c r="I2361" s="37" t="n"/>
      <c r="J2361" s="40" t="str">
        <f>IF(OR(C2361="",NOT(ISNUMBER(E2361))),"",IFERROR(E2361*N(INDEX(art_price,MATCH(C2361,art_ref,0))),""))</f>
        <v/>
      </c>
      <c r="K2361" s="39" t="str">
        <f>IF(OR(C2361="",NOT(ISNUMBER(E2361))),"",IFERROR(ROUND(N(INDEX(art_init,MATCH(C2361,art_ref,0)))+SUMIFS($E$5:E2361,$C$5:C2361,C2361,$B$5:B2361,"Entrée")-SUMIFS($E$5:E2361,$C$5:C2361,C2361,$B$5:B2361,"Sortie"),6),""))</f>
        <v/>
      </c>
      <c r="L2361" s="39" t="str">
        <f>IF(COUNTA(A2361:C2361,E2361)=0,"",IF(COUNTA(A2361:C2361,E2361)&lt;4,"Ligne incomplète",IF(NOT(ISNUMBER(A2361)),"Date invalide",IF(AND(B2361&lt;&gt;"Entrée",B2361&lt;&gt;"Sortie"),"Type inconnu",IF(ISNA(MATCH(C2361,art_ref,0)),"Référence inconnue",IF(OR(NOT(ISNUMBER(E2361)),N(E2361)&lt;=0),"Quantité invalide",IF(K2361&lt;0,"Stock négatif",IF(AND(ISNUMBER(A2360),A2361&lt;A2360),"Date hors ordre","OK"))))))))</f>
        <v/>
      </c>
      <c r="M2361" s="39" t="str">
        <f>IF(C2361="","",C2361&amp;"#"&amp;COUNTIF($C$5:C2361,C2361))</f>
        <v/>
      </c>
    </row>
    <row r="2362">
      <c r="A2362" s="41" t="n"/>
      <c r="B2362" s="37" t="n"/>
      <c r="C2362" s="37" t="n"/>
      <c r="D2362" s="39" t="str">
        <f>IF(C2362="","",IFERROR(INDEX(art_des,MATCH(C2362,art_ref,0))&amp;"","Référence inconnue"))</f>
        <v/>
      </c>
      <c r="E2362" s="37" t="n"/>
      <c r="F2362" s="39" t="str">
        <f>IF(C2362="","",IFERROR(INDEX(art_unit,MATCH(C2362,art_ref,0))&amp;"",""))</f>
        <v/>
      </c>
      <c r="G2362" s="37" t="n"/>
      <c r="H2362" s="37" t="n"/>
      <c r="I2362" s="37" t="n"/>
      <c r="J2362" s="40" t="str">
        <f>IF(OR(C2362="",NOT(ISNUMBER(E2362))),"",IFERROR(E2362*N(INDEX(art_price,MATCH(C2362,art_ref,0))),""))</f>
        <v/>
      </c>
      <c r="K2362" s="39" t="str">
        <f>IF(OR(C2362="",NOT(ISNUMBER(E2362))),"",IFERROR(ROUND(N(INDEX(art_init,MATCH(C2362,art_ref,0)))+SUMIFS($E$5:E2362,$C$5:C2362,C2362,$B$5:B2362,"Entrée")-SUMIFS($E$5:E2362,$C$5:C2362,C2362,$B$5:B2362,"Sortie"),6),""))</f>
        <v/>
      </c>
      <c r="L2362" s="39" t="str">
        <f>IF(COUNTA(A2362:C2362,E2362)=0,"",IF(COUNTA(A2362:C2362,E2362)&lt;4,"Ligne incomplète",IF(NOT(ISNUMBER(A2362)),"Date invalide",IF(AND(B2362&lt;&gt;"Entrée",B2362&lt;&gt;"Sortie"),"Type inconnu",IF(ISNA(MATCH(C2362,art_ref,0)),"Référence inconnue",IF(OR(NOT(ISNUMBER(E2362)),N(E2362)&lt;=0),"Quantité invalide",IF(K2362&lt;0,"Stock négatif",IF(AND(ISNUMBER(A2361),A2362&lt;A2361),"Date hors ordre","OK"))))))))</f>
        <v/>
      </c>
      <c r="M2362" s="39" t="str">
        <f>IF(C2362="","",C2362&amp;"#"&amp;COUNTIF($C$5:C2362,C2362))</f>
        <v/>
      </c>
    </row>
    <row r="2363">
      <c r="A2363" s="41" t="n"/>
      <c r="B2363" s="37" t="n"/>
      <c r="C2363" s="37" t="n"/>
      <c r="D2363" s="39" t="str">
        <f>IF(C2363="","",IFERROR(INDEX(art_des,MATCH(C2363,art_ref,0))&amp;"","Référence inconnue"))</f>
        <v/>
      </c>
      <c r="E2363" s="37" t="n"/>
      <c r="F2363" s="39" t="str">
        <f>IF(C2363="","",IFERROR(INDEX(art_unit,MATCH(C2363,art_ref,0))&amp;"",""))</f>
        <v/>
      </c>
      <c r="G2363" s="37" t="n"/>
      <c r="H2363" s="37" t="n"/>
      <c r="I2363" s="37" t="n"/>
      <c r="J2363" s="40" t="str">
        <f>IF(OR(C2363="",NOT(ISNUMBER(E2363))),"",IFERROR(E2363*N(INDEX(art_price,MATCH(C2363,art_ref,0))),""))</f>
        <v/>
      </c>
      <c r="K2363" s="39" t="str">
        <f>IF(OR(C2363="",NOT(ISNUMBER(E2363))),"",IFERROR(ROUND(N(INDEX(art_init,MATCH(C2363,art_ref,0)))+SUMIFS($E$5:E2363,$C$5:C2363,C2363,$B$5:B2363,"Entrée")-SUMIFS($E$5:E2363,$C$5:C2363,C2363,$B$5:B2363,"Sortie"),6),""))</f>
        <v/>
      </c>
      <c r="L2363" s="39" t="str">
        <f>IF(COUNTA(A2363:C2363,E2363)=0,"",IF(COUNTA(A2363:C2363,E2363)&lt;4,"Ligne incomplète",IF(NOT(ISNUMBER(A2363)),"Date invalide",IF(AND(B2363&lt;&gt;"Entrée",B2363&lt;&gt;"Sortie"),"Type inconnu",IF(ISNA(MATCH(C2363,art_ref,0)),"Référence inconnue",IF(OR(NOT(ISNUMBER(E2363)),N(E2363)&lt;=0),"Quantité invalide",IF(K2363&lt;0,"Stock négatif",IF(AND(ISNUMBER(A2362),A2363&lt;A2362),"Date hors ordre","OK"))))))))</f>
        <v/>
      </c>
      <c r="M2363" s="39" t="str">
        <f>IF(C2363="","",C2363&amp;"#"&amp;COUNTIF($C$5:C2363,C2363))</f>
        <v/>
      </c>
    </row>
    <row r="2364">
      <c r="A2364" s="41" t="n"/>
      <c r="B2364" s="37" t="n"/>
      <c r="C2364" s="37" t="n"/>
      <c r="D2364" s="39" t="str">
        <f>IF(C2364="","",IFERROR(INDEX(art_des,MATCH(C2364,art_ref,0))&amp;"","Référence inconnue"))</f>
        <v/>
      </c>
      <c r="E2364" s="37" t="n"/>
      <c r="F2364" s="39" t="str">
        <f>IF(C2364="","",IFERROR(INDEX(art_unit,MATCH(C2364,art_ref,0))&amp;"",""))</f>
        <v/>
      </c>
      <c r="G2364" s="37" t="n"/>
      <c r="H2364" s="37" t="n"/>
      <c r="I2364" s="37" t="n"/>
      <c r="J2364" s="40" t="str">
        <f>IF(OR(C2364="",NOT(ISNUMBER(E2364))),"",IFERROR(E2364*N(INDEX(art_price,MATCH(C2364,art_ref,0))),""))</f>
        <v/>
      </c>
      <c r="K2364" s="39" t="str">
        <f>IF(OR(C2364="",NOT(ISNUMBER(E2364))),"",IFERROR(ROUND(N(INDEX(art_init,MATCH(C2364,art_ref,0)))+SUMIFS($E$5:E2364,$C$5:C2364,C2364,$B$5:B2364,"Entrée")-SUMIFS($E$5:E2364,$C$5:C2364,C2364,$B$5:B2364,"Sortie"),6),""))</f>
        <v/>
      </c>
      <c r="L2364" s="39" t="str">
        <f>IF(COUNTA(A2364:C2364,E2364)=0,"",IF(COUNTA(A2364:C2364,E2364)&lt;4,"Ligne incomplète",IF(NOT(ISNUMBER(A2364)),"Date invalide",IF(AND(B2364&lt;&gt;"Entrée",B2364&lt;&gt;"Sortie"),"Type inconnu",IF(ISNA(MATCH(C2364,art_ref,0)),"Référence inconnue",IF(OR(NOT(ISNUMBER(E2364)),N(E2364)&lt;=0),"Quantité invalide",IF(K2364&lt;0,"Stock négatif",IF(AND(ISNUMBER(A2363),A2364&lt;A2363),"Date hors ordre","OK"))))))))</f>
        <v/>
      </c>
      <c r="M2364" s="39" t="str">
        <f>IF(C2364="","",C2364&amp;"#"&amp;COUNTIF($C$5:C2364,C2364))</f>
        <v/>
      </c>
    </row>
    <row r="2365">
      <c r="A2365" s="41" t="n"/>
      <c r="B2365" s="37" t="n"/>
      <c r="C2365" s="37" t="n"/>
      <c r="D2365" s="39" t="str">
        <f>IF(C2365="","",IFERROR(INDEX(art_des,MATCH(C2365,art_ref,0))&amp;"","Référence inconnue"))</f>
        <v/>
      </c>
      <c r="E2365" s="37" t="n"/>
      <c r="F2365" s="39" t="str">
        <f>IF(C2365="","",IFERROR(INDEX(art_unit,MATCH(C2365,art_ref,0))&amp;"",""))</f>
        <v/>
      </c>
      <c r="G2365" s="37" t="n"/>
      <c r="H2365" s="37" t="n"/>
      <c r="I2365" s="37" t="n"/>
      <c r="J2365" s="40" t="str">
        <f>IF(OR(C2365="",NOT(ISNUMBER(E2365))),"",IFERROR(E2365*N(INDEX(art_price,MATCH(C2365,art_ref,0))),""))</f>
        <v/>
      </c>
      <c r="K2365" s="39" t="str">
        <f>IF(OR(C2365="",NOT(ISNUMBER(E2365))),"",IFERROR(ROUND(N(INDEX(art_init,MATCH(C2365,art_ref,0)))+SUMIFS($E$5:E2365,$C$5:C2365,C2365,$B$5:B2365,"Entrée")-SUMIFS($E$5:E2365,$C$5:C2365,C2365,$B$5:B2365,"Sortie"),6),""))</f>
        <v/>
      </c>
      <c r="L2365" s="39" t="str">
        <f>IF(COUNTA(A2365:C2365,E2365)=0,"",IF(COUNTA(A2365:C2365,E2365)&lt;4,"Ligne incomplète",IF(NOT(ISNUMBER(A2365)),"Date invalide",IF(AND(B2365&lt;&gt;"Entrée",B2365&lt;&gt;"Sortie"),"Type inconnu",IF(ISNA(MATCH(C2365,art_ref,0)),"Référence inconnue",IF(OR(NOT(ISNUMBER(E2365)),N(E2365)&lt;=0),"Quantité invalide",IF(K2365&lt;0,"Stock négatif",IF(AND(ISNUMBER(A2364),A2365&lt;A2364),"Date hors ordre","OK"))))))))</f>
        <v/>
      </c>
      <c r="M2365" s="39" t="str">
        <f>IF(C2365="","",C2365&amp;"#"&amp;COUNTIF($C$5:C2365,C2365))</f>
        <v/>
      </c>
    </row>
    <row r="2366">
      <c r="A2366" s="41" t="n"/>
      <c r="B2366" s="37" t="n"/>
      <c r="C2366" s="37" t="n"/>
      <c r="D2366" s="39" t="str">
        <f>IF(C2366="","",IFERROR(INDEX(art_des,MATCH(C2366,art_ref,0))&amp;"","Référence inconnue"))</f>
        <v/>
      </c>
      <c r="E2366" s="37" t="n"/>
      <c r="F2366" s="39" t="str">
        <f>IF(C2366="","",IFERROR(INDEX(art_unit,MATCH(C2366,art_ref,0))&amp;"",""))</f>
        <v/>
      </c>
      <c r="G2366" s="37" t="n"/>
      <c r="H2366" s="37" t="n"/>
      <c r="I2366" s="37" t="n"/>
      <c r="J2366" s="40" t="str">
        <f>IF(OR(C2366="",NOT(ISNUMBER(E2366))),"",IFERROR(E2366*N(INDEX(art_price,MATCH(C2366,art_ref,0))),""))</f>
        <v/>
      </c>
      <c r="K2366" s="39" t="str">
        <f>IF(OR(C2366="",NOT(ISNUMBER(E2366))),"",IFERROR(ROUND(N(INDEX(art_init,MATCH(C2366,art_ref,0)))+SUMIFS($E$5:E2366,$C$5:C2366,C2366,$B$5:B2366,"Entrée")-SUMIFS($E$5:E2366,$C$5:C2366,C2366,$B$5:B2366,"Sortie"),6),""))</f>
        <v/>
      </c>
      <c r="L2366" s="39" t="str">
        <f>IF(COUNTA(A2366:C2366,E2366)=0,"",IF(COUNTA(A2366:C2366,E2366)&lt;4,"Ligne incomplète",IF(NOT(ISNUMBER(A2366)),"Date invalide",IF(AND(B2366&lt;&gt;"Entrée",B2366&lt;&gt;"Sortie"),"Type inconnu",IF(ISNA(MATCH(C2366,art_ref,0)),"Référence inconnue",IF(OR(NOT(ISNUMBER(E2366)),N(E2366)&lt;=0),"Quantité invalide",IF(K2366&lt;0,"Stock négatif",IF(AND(ISNUMBER(A2365),A2366&lt;A2365),"Date hors ordre","OK"))))))))</f>
        <v/>
      </c>
      <c r="M2366" s="39" t="str">
        <f>IF(C2366="","",C2366&amp;"#"&amp;COUNTIF($C$5:C2366,C2366))</f>
        <v/>
      </c>
    </row>
    <row r="2367">
      <c r="A2367" s="41" t="n"/>
      <c r="B2367" s="37" t="n"/>
      <c r="C2367" s="37" t="n"/>
      <c r="D2367" s="39" t="str">
        <f>IF(C2367="","",IFERROR(INDEX(art_des,MATCH(C2367,art_ref,0))&amp;"","Référence inconnue"))</f>
        <v/>
      </c>
      <c r="E2367" s="37" t="n"/>
      <c r="F2367" s="39" t="str">
        <f>IF(C2367="","",IFERROR(INDEX(art_unit,MATCH(C2367,art_ref,0))&amp;"",""))</f>
        <v/>
      </c>
      <c r="G2367" s="37" t="n"/>
      <c r="H2367" s="37" t="n"/>
      <c r="I2367" s="37" t="n"/>
      <c r="J2367" s="40" t="str">
        <f>IF(OR(C2367="",NOT(ISNUMBER(E2367))),"",IFERROR(E2367*N(INDEX(art_price,MATCH(C2367,art_ref,0))),""))</f>
        <v/>
      </c>
      <c r="K2367" s="39" t="str">
        <f>IF(OR(C2367="",NOT(ISNUMBER(E2367))),"",IFERROR(ROUND(N(INDEX(art_init,MATCH(C2367,art_ref,0)))+SUMIFS($E$5:E2367,$C$5:C2367,C2367,$B$5:B2367,"Entrée")-SUMIFS($E$5:E2367,$C$5:C2367,C2367,$B$5:B2367,"Sortie"),6),""))</f>
        <v/>
      </c>
      <c r="L2367" s="39" t="str">
        <f>IF(COUNTA(A2367:C2367,E2367)=0,"",IF(COUNTA(A2367:C2367,E2367)&lt;4,"Ligne incomplète",IF(NOT(ISNUMBER(A2367)),"Date invalide",IF(AND(B2367&lt;&gt;"Entrée",B2367&lt;&gt;"Sortie"),"Type inconnu",IF(ISNA(MATCH(C2367,art_ref,0)),"Référence inconnue",IF(OR(NOT(ISNUMBER(E2367)),N(E2367)&lt;=0),"Quantité invalide",IF(K2367&lt;0,"Stock négatif",IF(AND(ISNUMBER(A2366),A2367&lt;A2366),"Date hors ordre","OK"))))))))</f>
        <v/>
      </c>
      <c r="M2367" s="39" t="str">
        <f>IF(C2367="","",C2367&amp;"#"&amp;COUNTIF($C$5:C2367,C2367))</f>
        <v/>
      </c>
    </row>
    <row r="2368">
      <c r="A2368" s="41" t="n"/>
      <c r="B2368" s="37" t="n"/>
      <c r="C2368" s="37" t="n"/>
      <c r="D2368" s="39" t="str">
        <f>IF(C2368="","",IFERROR(INDEX(art_des,MATCH(C2368,art_ref,0))&amp;"","Référence inconnue"))</f>
        <v/>
      </c>
      <c r="E2368" s="37" t="n"/>
      <c r="F2368" s="39" t="str">
        <f>IF(C2368="","",IFERROR(INDEX(art_unit,MATCH(C2368,art_ref,0))&amp;"",""))</f>
        <v/>
      </c>
      <c r="G2368" s="37" t="n"/>
      <c r="H2368" s="37" t="n"/>
      <c r="I2368" s="37" t="n"/>
      <c r="J2368" s="40" t="str">
        <f>IF(OR(C2368="",NOT(ISNUMBER(E2368))),"",IFERROR(E2368*N(INDEX(art_price,MATCH(C2368,art_ref,0))),""))</f>
        <v/>
      </c>
      <c r="K2368" s="39" t="str">
        <f>IF(OR(C2368="",NOT(ISNUMBER(E2368))),"",IFERROR(ROUND(N(INDEX(art_init,MATCH(C2368,art_ref,0)))+SUMIFS($E$5:E2368,$C$5:C2368,C2368,$B$5:B2368,"Entrée")-SUMIFS($E$5:E2368,$C$5:C2368,C2368,$B$5:B2368,"Sortie"),6),""))</f>
        <v/>
      </c>
      <c r="L2368" s="39" t="str">
        <f>IF(COUNTA(A2368:C2368,E2368)=0,"",IF(COUNTA(A2368:C2368,E2368)&lt;4,"Ligne incomplète",IF(NOT(ISNUMBER(A2368)),"Date invalide",IF(AND(B2368&lt;&gt;"Entrée",B2368&lt;&gt;"Sortie"),"Type inconnu",IF(ISNA(MATCH(C2368,art_ref,0)),"Référence inconnue",IF(OR(NOT(ISNUMBER(E2368)),N(E2368)&lt;=0),"Quantité invalide",IF(K2368&lt;0,"Stock négatif",IF(AND(ISNUMBER(A2367),A2368&lt;A2367),"Date hors ordre","OK"))))))))</f>
        <v/>
      </c>
      <c r="M2368" s="39" t="str">
        <f>IF(C2368="","",C2368&amp;"#"&amp;COUNTIF($C$5:C2368,C2368))</f>
        <v/>
      </c>
    </row>
    <row r="2369">
      <c r="A2369" s="41" t="n"/>
      <c r="B2369" s="37" t="n"/>
      <c r="C2369" s="37" t="n"/>
      <c r="D2369" s="39" t="str">
        <f>IF(C2369="","",IFERROR(INDEX(art_des,MATCH(C2369,art_ref,0))&amp;"","Référence inconnue"))</f>
        <v/>
      </c>
      <c r="E2369" s="37" t="n"/>
      <c r="F2369" s="39" t="str">
        <f>IF(C2369="","",IFERROR(INDEX(art_unit,MATCH(C2369,art_ref,0))&amp;"",""))</f>
        <v/>
      </c>
      <c r="G2369" s="37" t="n"/>
      <c r="H2369" s="37" t="n"/>
      <c r="I2369" s="37" t="n"/>
      <c r="J2369" s="40" t="str">
        <f>IF(OR(C2369="",NOT(ISNUMBER(E2369))),"",IFERROR(E2369*N(INDEX(art_price,MATCH(C2369,art_ref,0))),""))</f>
        <v/>
      </c>
      <c r="K2369" s="39" t="str">
        <f>IF(OR(C2369="",NOT(ISNUMBER(E2369))),"",IFERROR(ROUND(N(INDEX(art_init,MATCH(C2369,art_ref,0)))+SUMIFS($E$5:E2369,$C$5:C2369,C2369,$B$5:B2369,"Entrée")-SUMIFS($E$5:E2369,$C$5:C2369,C2369,$B$5:B2369,"Sortie"),6),""))</f>
        <v/>
      </c>
      <c r="L2369" s="39" t="str">
        <f>IF(COUNTA(A2369:C2369,E2369)=0,"",IF(COUNTA(A2369:C2369,E2369)&lt;4,"Ligne incomplète",IF(NOT(ISNUMBER(A2369)),"Date invalide",IF(AND(B2369&lt;&gt;"Entrée",B2369&lt;&gt;"Sortie"),"Type inconnu",IF(ISNA(MATCH(C2369,art_ref,0)),"Référence inconnue",IF(OR(NOT(ISNUMBER(E2369)),N(E2369)&lt;=0),"Quantité invalide",IF(K2369&lt;0,"Stock négatif",IF(AND(ISNUMBER(A2368),A2369&lt;A2368),"Date hors ordre","OK"))))))))</f>
        <v/>
      </c>
      <c r="M2369" s="39" t="str">
        <f>IF(C2369="","",C2369&amp;"#"&amp;COUNTIF($C$5:C2369,C2369))</f>
        <v/>
      </c>
    </row>
    <row r="2370">
      <c r="A2370" s="41" t="n"/>
      <c r="B2370" s="37" t="n"/>
      <c r="C2370" s="37" t="n"/>
      <c r="D2370" s="39" t="str">
        <f>IF(C2370="","",IFERROR(INDEX(art_des,MATCH(C2370,art_ref,0))&amp;"","Référence inconnue"))</f>
        <v/>
      </c>
      <c r="E2370" s="37" t="n"/>
      <c r="F2370" s="39" t="str">
        <f>IF(C2370="","",IFERROR(INDEX(art_unit,MATCH(C2370,art_ref,0))&amp;"",""))</f>
        <v/>
      </c>
      <c r="G2370" s="37" t="n"/>
      <c r="H2370" s="37" t="n"/>
      <c r="I2370" s="37" t="n"/>
      <c r="J2370" s="40" t="str">
        <f>IF(OR(C2370="",NOT(ISNUMBER(E2370))),"",IFERROR(E2370*N(INDEX(art_price,MATCH(C2370,art_ref,0))),""))</f>
        <v/>
      </c>
      <c r="K2370" s="39" t="str">
        <f>IF(OR(C2370="",NOT(ISNUMBER(E2370))),"",IFERROR(ROUND(N(INDEX(art_init,MATCH(C2370,art_ref,0)))+SUMIFS($E$5:E2370,$C$5:C2370,C2370,$B$5:B2370,"Entrée")-SUMIFS($E$5:E2370,$C$5:C2370,C2370,$B$5:B2370,"Sortie"),6),""))</f>
        <v/>
      </c>
      <c r="L2370" s="39" t="str">
        <f>IF(COUNTA(A2370:C2370,E2370)=0,"",IF(COUNTA(A2370:C2370,E2370)&lt;4,"Ligne incomplète",IF(NOT(ISNUMBER(A2370)),"Date invalide",IF(AND(B2370&lt;&gt;"Entrée",B2370&lt;&gt;"Sortie"),"Type inconnu",IF(ISNA(MATCH(C2370,art_ref,0)),"Référence inconnue",IF(OR(NOT(ISNUMBER(E2370)),N(E2370)&lt;=0),"Quantité invalide",IF(K2370&lt;0,"Stock négatif",IF(AND(ISNUMBER(A2369),A2370&lt;A2369),"Date hors ordre","OK"))))))))</f>
        <v/>
      </c>
      <c r="M2370" s="39" t="str">
        <f>IF(C2370="","",C2370&amp;"#"&amp;COUNTIF($C$5:C2370,C2370))</f>
        <v/>
      </c>
    </row>
    <row r="2371">
      <c r="A2371" s="41" t="n"/>
      <c r="B2371" s="37" t="n"/>
      <c r="C2371" s="37" t="n"/>
      <c r="D2371" s="39" t="str">
        <f>IF(C2371="","",IFERROR(INDEX(art_des,MATCH(C2371,art_ref,0))&amp;"","Référence inconnue"))</f>
        <v/>
      </c>
      <c r="E2371" s="37" t="n"/>
      <c r="F2371" s="39" t="str">
        <f>IF(C2371="","",IFERROR(INDEX(art_unit,MATCH(C2371,art_ref,0))&amp;"",""))</f>
        <v/>
      </c>
      <c r="G2371" s="37" t="n"/>
      <c r="H2371" s="37" t="n"/>
      <c r="I2371" s="37" t="n"/>
      <c r="J2371" s="40" t="str">
        <f>IF(OR(C2371="",NOT(ISNUMBER(E2371))),"",IFERROR(E2371*N(INDEX(art_price,MATCH(C2371,art_ref,0))),""))</f>
        <v/>
      </c>
      <c r="K2371" s="39" t="str">
        <f>IF(OR(C2371="",NOT(ISNUMBER(E2371))),"",IFERROR(ROUND(N(INDEX(art_init,MATCH(C2371,art_ref,0)))+SUMIFS($E$5:E2371,$C$5:C2371,C2371,$B$5:B2371,"Entrée")-SUMIFS($E$5:E2371,$C$5:C2371,C2371,$B$5:B2371,"Sortie"),6),""))</f>
        <v/>
      </c>
      <c r="L2371" s="39" t="str">
        <f>IF(COUNTA(A2371:C2371,E2371)=0,"",IF(COUNTA(A2371:C2371,E2371)&lt;4,"Ligne incomplète",IF(NOT(ISNUMBER(A2371)),"Date invalide",IF(AND(B2371&lt;&gt;"Entrée",B2371&lt;&gt;"Sortie"),"Type inconnu",IF(ISNA(MATCH(C2371,art_ref,0)),"Référence inconnue",IF(OR(NOT(ISNUMBER(E2371)),N(E2371)&lt;=0),"Quantité invalide",IF(K2371&lt;0,"Stock négatif",IF(AND(ISNUMBER(A2370),A2371&lt;A2370),"Date hors ordre","OK"))))))))</f>
        <v/>
      </c>
      <c r="M2371" s="39" t="str">
        <f>IF(C2371="","",C2371&amp;"#"&amp;COUNTIF($C$5:C2371,C2371))</f>
        <v/>
      </c>
    </row>
    <row r="2372">
      <c r="A2372" s="41" t="n"/>
      <c r="B2372" s="37" t="n"/>
      <c r="C2372" s="37" t="n"/>
      <c r="D2372" s="39" t="str">
        <f>IF(C2372="","",IFERROR(INDEX(art_des,MATCH(C2372,art_ref,0))&amp;"","Référence inconnue"))</f>
        <v/>
      </c>
      <c r="E2372" s="37" t="n"/>
      <c r="F2372" s="39" t="str">
        <f>IF(C2372="","",IFERROR(INDEX(art_unit,MATCH(C2372,art_ref,0))&amp;"",""))</f>
        <v/>
      </c>
      <c r="G2372" s="37" t="n"/>
      <c r="H2372" s="37" t="n"/>
      <c r="I2372" s="37" t="n"/>
      <c r="J2372" s="40" t="str">
        <f>IF(OR(C2372="",NOT(ISNUMBER(E2372))),"",IFERROR(E2372*N(INDEX(art_price,MATCH(C2372,art_ref,0))),""))</f>
        <v/>
      </c>
      <c r="K2372" s="39" t="str">
        <f>IF(OR(C2372="",NOT(ISNUMBER(E2372))),"",IFERROR(ROUND(N(INDEX(art_init,MATCH(C2372,art_ref,0)))+SUMIFS($E$5:E2372,$C$5:C2372,C2372,$B$5:B2372,"Entrée")-SUMIFS($E$5:E2372,$C$5:C2372,C2372,$B$5:B2372,"Sortie"),6),""))</f>
        <v/>
      </c>
      <c r="L2372" s="39" t="str">
        <f>IF(COUNTA(A2372:C2372,E2372)=0,"",IF(COUNTA(A2372:C2372,E2372)&lt;4,"Ligne incomplète",IF(NOT(ISNUMBER(A2372)),"Date invalide",IF(AND(B2372&lt;&gt;"Entrée",B2372&lt;&gt;"Sortie"),"Type inconnu",IF(ISNA(MATCH(C2372,art_ref,0)),"Référence inconnue",IF(OR(NOT(ISNUMBER(E2372)),N(E2372)&lt;=0),"Quantité invalide",IF(K2372&lt;0,"Stock négatif",IF(AND(ISNUMBER(A2371),A2372&lt;A2371),"Date hors ordre","OK"))))))))</f>
        <v/>
      </c>
      <c r="M2372" s="39" t="str">
        <f>IF(C2372="","",C2372&amp;"#"&amp;COUNTIF($C$5:C2372,C2372))</f>
        <v/>
      </c>
    </row>
    <row r="2373">
      <c r="A2373" s="41" t="n"/>
      <c r="B2373" s="37" t="n"/>
      <c r="C2373" s="37" t="n"/>
      <c r="D2373" s="39" t="str">
        <f>IF(C2373="","",IFERROR(INDEX(art_des,MATCH(C2373,art_ref,0))&amp;"","Référence inconnue"))</f>
        <v/>
      </c>
      <c r="E2373" s="37" t="n"/>
      <c r="F2373" s="39" t="str">
        <f>IF(C2373="","",IFERROR(INDEX(art_unit,MATCH(C2373,art_ref,0))&amp;"",""))</f>
        <v/>
      </c>
      <c r="G2373" s="37" t="n"/>
      <c r="H2373" s="37" t="n"/>
      <c r="I2373" s="37" t="n"/>
      <c r="J2373" s="40" t="str">
        <f>IF(OR(C2373="",NOT(ISNUMBER(E2373))),"",IFERROR(E2373*N(INDEX(art_price,MATCH(C2373,art_ref,0))),""))</f>
        <v/>
      </c>
      <c r="K2373" s="39" t="str">
        <f>IF(OR(C2373="",NOT(ISNUMBER(E2373))),"",IFERROR(ROUND(N(INDEX(art_init,MATCH(C2373,art_ref,0)))+SUMIFS($E$5:E2373,$C$5:C2373,C2373,$B$5:B2373,"Entrée")-SUMIFS($E$5:E2373,$C$5:C2373,C2373,$B$5:B2373,"Sortie"),6),""))</f>
        <v/>
      </c>
      <c r="L2373" s="39" t="str">
        <f>IF(COUNTA(A2373:C2373,E2373)=0,"",IF(COUNTA(A2373:C2373,E2373)&lt;4,"Ligne incomplète",IF(NOT(ISNUMBER(A2373)),"Date invalide",IF(AND(B2373&lt;&gt;"Entrée",B2373&lt;&gt;"Sortie"),"Type inconnu",IF(ISNA(MATCH(C2373,art_ref,0)),"Référence inconnue",IF(OR(NOT(ISNUMBER(E2373)),N(E2373)&lt;=0),"Quantité invalide",IF(K2373&lt;0,"Stock négatif",IF(AND(ISNUMBER(A2372),A2373&lt;A2372),"Date hors ordre","OK"))))))))</f>
        <v/>
      </c>
      <c r="M2373" s="39" t="str">
        <f>IF(C2373="","",C2373&amp;"#"&amp;COUNTIF($C$5:C2373,C2373))</f>
        <v/>
      </c>
    </row>
    <row r="2374">
      <c r="A2374" s="41" t="n"/>
      <c r="B2374" s="37" t="n"/>
      <c r="C2374" s="37" t="n"/>
      <c r="D2374" s="39" t="str">
        <f>IF(C2374="","",IFERROR(INDEX(art_des,MATCH(C2374,art_ref,0))&amp;"","Référence inconnue"))</f>
        <v/>
      </c>
      <c r="E2374" s="37" t="n"/>
      <c r="F2374" s="39" t="str">
        <f>IF(C2374="","",IFERROR(INDEX(art_unit,MATCH(C2374,art_ref,0))&amp;"",""))</f>
        <v/>
      </c>
      <c r="G2374" s="37" t="n"/>
      <c r="H2374" s="37" t="n"/>
      <c r="I2374" s="37" t="n"/>
      <c r="J2374" s="40" t="str">
        <f>IF(OR(C2374="",NOT(ISNUMBER(E2374))),"",IFERROR(E2374*N(INDEX(art_price,MATCH(C2374,art_ref,0))),""))</f>
        <v/>
      </c>
      <c r="K2374" s="39" t="str">
        <f>IF(OR(C2374="",NOT(ISNUMBER(E2374))),"",IFERROR(ROUND(N(INDEX(art_init,MATCH(C2374,art_ref,0)))+SUMIFS($E$5:E2374,$C$5:C2374,C2374,$B$5:B2374,"Entrée")-SUMIFS($E$5:E2374,$C$5:C2374,C2374,$B$5:B2374,"Sortie"),6),""))</f>
        <v/>
      </c>
      <c r="L2374" s="39" t="str">
        <f>IF(COUNTA(A2374:C2374,E2374)=0,"",IF(COUNTA(A2374:C2374,E2374)&lt;4,"Ligne incomplète",IF(NOT(ISNUMBER(A2374)),"Date invalide",IF(AND(B2374&lt;&gt;"Entrée",B2374&lt;&gt;"Sortie"),"Type inconnu",IF(ISNA(MATCH(C2374,art_ref,0)),"Référence inconnue",IF(OR(NOT(ISNUMBER(E2374)),N(E2374)&lt;=0),"Quantité invalide",IF(K2374&lt;0,"Stock négatif",IF(AND(ISNUMBER(A2373),A2374&lt;A2373),"Date hors ordre","OK"))))))))</f>
        <v/>
      </c>
      <c r="M2374" s="39" t="str">
        <f>IF(C2374="","",C2374&amp;"#"&amp;COUNTIF($C$5:C2374,C2374))</f>
        <v/>
      </c>
    </row>
    <row r="2375">
      <c r="A2375" s="41" t="n"/>
      <c r="B2375" s="37" t="n"/>
      <c r="C2375" s="37" t="n"/>
      <c r="D2375" s="39" t="str">
        <f>IF(C2375="","",IFERROR(INDEX(art_des,MATCH(C2375,art_ref,0))&amp;"","Référence inconnue"))</f>
        <v/>
      </c>
      <c r="E2375" s="37" t="n"/>
      <c r="F2375" s="39" t="str">
        <f>IF(C2375="","",IFERROR(INDEX(art_unit,MATCH(C2375,art_ref,0))&amp;"",""))</f>
        <v/>
      </c>
      <c r="G2375" s="37" t="n"/>
      <c r="H2375" s="37" t="n"/>
      <c r="I2375" s="37" t="n"/>
      <c r="J2375" s="40" t="str">
        <f>IF(OR(C2375="",NOT(ISNUMBER(E2375))),"",IFERROR(E2375*N(INDEX(art_price,MATCH(C2375,art_ref,0))),""))</f>
        <v/>
      </c>
      <c r="K2375" s="39" t="str">
        <f>IF(OR(C2375="",NOT(ISNUMBER(E2375))),"",IFERROR(ROUND(N(INDEX(art_init,MATCH(C2375,art_ref,0)))+SUMIFS($E$5:E2375,$C$5:C2375,C2375,$B$5:B2375,"Entrée")-SUMIFS($E$5:E2375,$C$5:C2375,C2375,$B$5:B2375,"Sortie"),6),""))</f>
        <v/>
      </c>
      <c r="L2375" s="39" t="str">
        <f>IF(COUNTA(A2375:C2375,E2375)=0,"",IF(COUNTA(A2375:C2375,E2375)&lt;4,"Ligne incomplète",IF(NOT(ISNUMBER(A2375)),"Date invalide",IF(AND(B2375&lt;&gt;"Entrée",B2375&lt;&gt;"Sortie"),"Type inconnu",IF(ISNA(MATCH(C2375,art_ref,0)),"Référence inconnue",IF(OR(NOT(ISNUMBER(E2375)),N(E2375)&lt;=0),"Quantité invalide",IF(K2375&lt;0,"Stock négatif",IF(AND(ISNUMBER(A2374),A2375&lt;A2374),"Date hors ordre","OK"))))))))</f>
        <v/>
      </c>
      <c r="M2375" s="39" t="str">
        <f>IF(C2375="","",C2375&amp;"#"&amp;COUNTIF($C$5:C2375,C2375))</f>
        <v/>
      </c>
    </row>
    <row r="2376">
      <c r="A2376" s="41" t="n"/>
      <c r="B2376" s="37" t="n"/>
      <c r="C2376" s="37" t="n"/>
      <c r="D2376" s="39" t="str">
        <f>IF(C2376="","",IFERROR(INDEX(art_des,MATCH(C2376,art_ref,0))&amp;"","Référence inconnue"))</f>
        <v/>
      </c>
      <c r="E2376" s="37" t="n"/>
      <c r="F2376" s="39" t="str">
        <f>IF(C2376="","",IFERROR(INDEX(art_unit,MATCH(C2376,art_ref,0))&amp;"",""))</f>
        <v/>
      </c>
      <c r="G2376" s="37" t="n"/>
      <c r="H2376" s="37" t="n"/>
      <c r="I2376" s="37" t="n"/>
      <c r="J2376" s="40" t="str">
        <f>IF(OR(C2376="",NOT(ISNUMBER(E2376))),"",IFERROR(E2376*N(INDEX(art_price,MATCH(C2376,art_ref,0))),""))</f>
        <v/>
      </c>
      <c r="K2376" s="39" t="str">
        <f>IF(OR(C2376="",NOT(ISNUMBER(E2376))),"",IFERROR(ROUND(N(INDEX(art_init,MATCH(C2376,art_ref,0)))+SUMIFS($E$5:E2376,$C$5:C2376,C2376,$B$5:B2376,"Entrée")-SUMIFS($E$5:E2376,$C$5:C2376,C2376,$B$5:B2376,"Sortie"),6),""))</f>
        <v/>
      </c>
      <c r="L2376" s="39" t="str">
        <f>IF(COUNTA(A2376:C2376,E2376)=0,"",IF(COUNTA(A2376:C2376,E2376)&lt;4,"Ligne incomplète",IF(NOT(ISNUMBER(A2376)),"Date invalide",IF(AND(B2376&lt;&gt;"Entrée",B2376&lt;&gt;"Sortie"),"Type inconnu",IF(ISNA(MATCH(C2376,art_ref,0)),"Référence inconnue",IF(OR(NOT(ISNUMBER(E2376)),N(E2376)&lt;=0),"Quantité invalide",IF(K2376&lt;0,"Stock négatif",IF(AND(ISNUMBER(A2375),A2376&lt;A2375),"Date hors ordre","OK"))))))))</f>
        <v/>
      </c>
      <c r="M2376" s="39" t="str">
        <f>IF(C2376="","",C2376&amp;"#"&amp;COUNTIF($C$5:C2376,C2376))</f>
        <v/>
      </c>
    </row>
    <row r="2377">
      <c r="A2377" s="41" t="n"/>
      <c r="B2377" s="37" t="n"/>
      <c r="C2377" s="37" t="n"/>
      <c r="D2377" s="39" t="str">
        <f>IF(C2377="","",IFERROR(INDEX(art_des,MATCH(C2377,art_ref,0))&amp;"","Référence inconnue"))</f>
        <v/>
      </c>
      <c r="E2377" s="37" t="n"/>
      <c r="F2377" s="39" t="str">
        <f>IF(C2377="","",IFERROR(INDEX(art_unit,MATCH(C2377,art_ref,0))&amp;"",""))</f>
        <v/>
      </c>
      <c r="G2377" s="37" t="n"/>
      <c r="H2377" s="37" t="n"/>
      <c r="I2377" s="37" t="n"/>
      <c r="J2377" s="40" t="str">
        <f>IF(OR(C2377="",NOT(ISNUMBER(E2377))),"",IFERROR(E2377*N(INDEX(art_price,MATCH(C2377,art_ref,0))),""))</f>
        <v/>
      </c>
      <c r="K2377" s="39" t="str">
        <f>IF(OR(C2377="",NOT(ISNUMBER(E2377))),"",IFERROR(ROUND(N(INDEX(art_init,MATCH(C2377,art_ref,0)))+SUMIFS($E$5:E2377,$C$5:C2377,C2377,$B$5:B2377,"Entrée")-SUMIFS($E$5:E2377,$C$5:C2377,C2377,$B$5:B2377,"Sortie"),6),""))</f>
        <v/>
      </c>
      <c r="L2377" s="39" t="str">
        <f>IF(COUNTA(A2377:C2377,E2377)=0,"",IF(COUNTA(A2377:C2377,E2377)&lt;4,"Ligne incomplète",IF(NOT(ISNUMBER(A2377)),"Date invalide",IF(AND(B2377&lt;&gt;"Entrée",B2377&lt;&gt;"Sortie"),"Type inconnu",IF(ISNA(MATCH(C2377,art_ref,0)),"Référence inconnue",IF(OR(NOT(ISNUMBER(E2377)),N(E2377)&lt;=0),"Quantité invalide",IF(K2377&lt;0,"Stock négatif",IF(AND(ISNUMBER(A2376),A2377&lt;A2376),"Date hors ordre","OK"))))))))</f>
        <v/>
      </c>
      <c r="M2377" s="39" t="str">
        <f>IF(C2377="","",C2377&amp;"#"&amp;COUNTIF($C$5:C2377,C2377))</f>
        <v/>
      </c>
    </row>
    <row r="2378">
      <c r="A2378" s="41" t="n"/>
      <c r="B2378" s="37" t="n"/>
      <c r="C2378" s="37" t="n"/>
      <c r="D2378" s="39" t="str">
        <f>IF(C2378="","",IFERROR(INDEX(art_des,MATCH(C2378,art_ref,0))&amp;"","Référence inconnue"))</f>
        <v/>
      </c>
      <c r="E2378" s="37" t="n"/>
      <c r="F2378" s="39" t="str">
        <f>IF(C2378="","",IFERROR(INDEX(art_unit,MATCH(C2378,art_ref,0))&amp;"",""))</f>
        <v/>
      </c>
      <c r="G2378" s="37" t="n"/>
      <c r="H2378" s="37" t="n"/>
      <c r="I2378" s="37" t="n"/>
      <c r="J2378" s="40" t="str">
        <f>IF(OR(C2378="",NOT(ISNUMBER(E2378))),"",IFERROR(E2378*N(INDEX(art_price,MATCH(C2378,art_ref,0))),""))</f>
        <v/>
      </c>
      <c r="K2378" s="39" t="str">
        <f>IF(OR(C2378="",NOT(ISNUMBER(E2378))),"",IFERROR(ROUND(N(INDEX(art_init,MATCH(C2378,art_ref,0)))+SUMIFS($E$5:E2378,$C$5:C2378,C2378,$B$5:B2378,"Entrée")-SUMIFS($E$5:E2378,$C$5:C2378,C2378,$B$5:B2378,"Sortie"),6),""))</f>
        <v/>
      </c>
      <c r="L2378" s="39" t="str">
        <f>IF(COUNTA(A2378:C2378,E2378)=0,"",IF(COUNTA(A2378:C2378,E2378)&lt;4,"Ligne incomplète",IF(NOT(ISNUMBER(A2378)),"Date invalide",IF(AND(B2378&lt;&gt;"Entrée",B2378&lt;&gt;"Sortie"),"Type inconnu",IF(ISNA(MATCH(C2378,art_ref,0)),"Référence inconnue",IF(OR(NOT(ISNUMBER(E2378)),N(E2378)&lt;=0),"Quantité invalide",IF(K2378&lt;0,"Stock négatif",IF(AND(ISNUMBER(A2377),A2378&lt;A2377),"Date hors ordre","OK"))))))))</f>
        <v/>
      </c>
      <c r="M2378" s="39" t="str">
        <f>IF(C2378="","",C2378&amp;"#"&amp;COUNTIF($C$5:C2378,C2378))</f>
        <v/>
      </c>
    </row>
    <row r="2379">
      <c r="A2379" s="41" t="n"/>
      <c r="B2379" s="37" t="n"/>
      <c r="C2379" s="37" t="n"/>
      <c r="D2379" s="39" t="str">
        <f>IF(C2379="","",IFERROR(INDEX(art_des,MATCH(C2379,art_ref,0))&amp;"","Référence inconnue"))</f>
        <v/>
      </c>
      <c r="E2379" s="37" t="n"/>
      <c r="F2379" s="39" t="str">
        <f>IF(C2379="","",IFERROR(INDEX(art_unit,MATCH(C2379,art_ref,0))&amp;"",""))</f>
        <v/>
      </c>
      <c r="G2379" s="37" t="n"/>
      <c r="H2379" s="37" t="n"/>
      <c r="I2379" s="37" t="n"/>
      <c r="J2379" s="40" t="str">
        <f>IF(OR(C2379="",NOT(ISNUMBER(E2379))),"",IFERROR(E2379*N(INDEX(art_price,MATCH(C2379,art_ref,0))),""))</f>
        <v/>
      </c>
      <c r="K2379" s="39" t="str">
        <f>IF(OR(C2379="",NOT(ISNUMBER(E2379))),"",IFERROR(ROUND(N(INDEX(art_init,MATCH(C2379,art_ref,0)))+SUMIFS($E$5:E2379,$C$5:C2379,C2379,$B$5:B2379,"Entrée")-SUMIFS($E$5:E2379,$C$5:C2379,C2379,$B$5:B2379,"Sortie"),6),""))</f>
        <v/>
      </c>
      <c r="L2379" s="39" t="str">
        <f>IF(COUNTA(A2379:C2379,E2379)=0,"",IF(COUNTA(A2379:C2379,E2379)&lt;4,"Ligne incomplète",IF(NOT(ISNUMBER(A2379)),"Date invalide",IF(AND(B2379&lt;&gt;"Entrée",B2379&lt;&gt;"Sortie"),"Type inconnu",IF(ISNA(MATCH(C2379,art_ref,0)),"Référence inconnue",IF(OR(NOT(ISNUMBER(E2379)),N(E2379)&lt;=0),"Quantité invalide",IF(K2379&lt;0,"Stock négatif",IF(AND(ISNUMBER(A2378),A2379&lt;A2378),"Date hors ordre","OK"))))))))</f>
        <v/>
      </c>
      <c r="M2379" s="39" t="str">
        <f>IF(C2379="","",C2379&amp;"#"&amp;COUNTIF($C$5:C2379,C2379))</f>
        <v/>
      </c>
    </row>
    <row r="2380">
      <c r="A2380" s="41" t="n"/>
      <c r="B2380" s="37" t="n"/>
      <c r="C2380" s="37" t="n"/>
      <c r="D2380" s="39" t="str">
        <f>IF(C2380="","",IFERROR(INDEX(art_des,MATCH(C2380,art_ref,0))&amp;"","Référence inconnue"))</f>
        <v/>
      </c>
      <c r="E2380" s="37" t="n"/>
      <c r="F2380" s="39" t="str">
        <f>IF(C2380="","",IFERROR(INDEX(art_unit,MATCH(C2380,art_ref,0))&amp;"",""))</f>
        <v/>
      </c>
      <c r="G2380" s="37" t="n"/>
      <c r="H2380" s="37" t="n"/>
      <c r="I2380" s="37" t="n"/>
      <c r="J2380" s="40" t="str">
        <f>IF(OR(C2380="",NOT(ISNUMBER(E2380))),"",IFERROR(E2380*N(INDEX(art_price,MATCH(C2380,art_ref,0))),""))</f>
        <v/>
      </c>
      <c r="K2380" s="39" t="str">
        <f>IF(OR(C2380="",NOT(ISNUMBER(E2380))),"",IFERROR(ROUND(N(INDEX(art_init,MATCH(C2380,art_ref,0)))+SUMIFS($E$5:E2380,$C$5:C2380,C2380,$B$5:B2380,"Entrée")-SUMIFS($E$5:E2380,$C$5:C2380,C2380,$B$5:B2380,"Sortie"),6),""))</f>
        <v/>
      </c>
      <c r="L2380" s="39" t="str">
        <f>IF(COUNTA(A2380:C2380,E2380)=0,"",IF(COUNTA(A2380:C2380,E2380)&lt;4,"Ligne incomplète",IF(NOT(ISNUMBER(A2380)),"Date invalide",IF(AND(B2380&lt;&gt;"Entrée",B2380&lt;&gt;"Sortie"),"Type inconnu",IF(ISNA(MATCH(C2380,art_ref,0)),"Référence inconnue",IF(OR(NOT(ISNUMBER(E2380)),N(E2380)&lt;=0),"Quantité invalide",IF(K2380&lt;0,"Stock négatif",IF(AND(ISNUMBER(A2379),A2380&lt;A2379),"Date hors ordre","OK"))))))))</f>
        <v/>
      </c>
      <c r="M2380" s="39" t="str">
        <f>IF(C2380="","",C2380&amp;"#"&amp;COUNTIF($C$5:C2380,C2380))</f>
        <v/>
      </c>
    </row>
    <row r="2381">
      <c r="A2381" s="41" t="n"/>
      <c r="B2381" s="37" t="n"/>
      <c r="C2381" s="37" t="n"/>
      <c r="D2381" s="39" t="str">
        <f>IF(C2381="","",IFERROR(INDEX(art_des,MATCH(C2381,art_ref,0))&amp;"","Référence inconnue"))</f>
        <v/>
      </c>
      <c r="E2381" s="37" t="n"/>
      <c r="F2381" s="39" t="str">
        <f>IF(C2381="","",IFERROR(INDEX(art_unit,MATCH(C2381,art_ref,0))&amp;"",""))</f>
        <v/>
      </c>
      <c r="G2381" s="37" t="n"/>
      <c r="H2381" s="37" t="n"/>
      <c r="I2381" s="37" t="n"/>
      <c r="J2381" s="40" t="str">
        <f>IF(OR(C2381="",NOT(ISNUMBER(E2381))),"",IFERROR(E2381*N(INDEX(art_price,MATCH(C2381,art_ref,0))),""))</f>
        <v/>
      </c>
      <c r="K2381" s="39" t="str">
        <f>IF(OR(C2381="",NOT(ISNUMBER(E2381))),"",IFERROR(ROUND(N(INDEX(art_init,MATCH(C2381,art_ref,0)))+SUMIFS($E$5:E2381,$C$5:C2381,C2381,$B$5:B2381,"Entrée")-SUMIFS($E$5:E2381,$C$5:C2381,C2381,$B$5:B2381,"Sortie"),6),""))</f>
        <v/>
      </c>
      <c r="L2381" s="39" t="str">
        <f>IF(COUNTA(A2381:C2381,E2381)=0,"",IF(COUNTA(A2381:C2381,E2381)&lt;4,"Ligne incomplète",IF(NOT(ISNUMBER(A2381)),"Date invalide",IF(AND(B2381&lt;&gt;"Entrée",B2381&lt;&gt;"Sortie"),"Type inconnu",IF(ISNA(MATCH(C2381,art_ref,0)),"Référence inconnue",IF(OR(NOT(ISNUMBER(E2381)),N(E2381)&lt;=0),"Quantité invalide",IF(K2381&lt;0,"Stock négatif",IF(AND(ISNUMBER(A2380),A2381&lt;A2380),"Date hors ordre","OK"))))))))</f>
        <v/>
      </c>
      <c r="M2381" s="39" t="str">
        <f>IF(C2381="","",C2381&amp;"#"&amp;COUNTIF($C$5:C2381,C2381))</f>
        <v/>
      </c>
    </row>
    <row r="2382">
      <c r="A2382" s="41" t="n"/>
      <c r="B2382" s="37" t="n"/>
      <c r="C2382" s="37" t="n"/>
      <c r="D2382" s="39" t="str">
        <f>IF(C2382="","",IFERROR(INDEX(art_des,MATCH(C2382,art_ref,0))&amp;"","Référence inconnue"))</f>
        <v/>
      </c>
      <c r="E2382" s="37" t="n"/>
      <c r="F2382" s="39" t="str">
        <f>IF(C2382="","",IFERROR(INDEX(art_unit,MATCH(C2382,art_ref,0))&amp;"",""))</f>
        <v/>
      </c>
      <c r="G2382" s="37" t="n"/>
      <c r="H2382" s="37" t="n"/>
      <c r="I2382" s="37" t="n"/>
      <c r="J2382" s="40" t="str">
        <f>IF(OR(C2382="",NOT(ISNUMBER(E2382))),"",IFERROR(E2382*N(INDEX(art_price,MATCH(C2382,art_ref,0))),""))</f>
        <v/>
      </c>
      <c r="K2382" s="39" t="str">
        <f>IF(OR(C2382="",NOT(ISNUMBER(E2382))),"",IFERROR(ROUND(N(INDEX(art_init,MATCH(C2382,art_ref,0)))+SUMIFS($E$5:E2382,$C$5:C2382,C2382,$B$5:B2382,"Entrée")-SUMIFS($E$5:E2382,$C$5:C2382,C2382,$B$5:B2382,"Sortie"),6),""))</f>
        <v/>
      </c>
      <c r="L2382" s="39" t="str">
        <f>IF(COUNTA(A2382:C2382,E2382)=0,"",IF(COUNTA(A2382:C2382,E2382)&lt;4,"Ligne incomplète",IF(NOT(ISNUMBER(A2382)),"Date invalide",IF(AND(B2382&lt;&gt;"Entrée",B2382&lt;&gt;"Sortie"),"Type inconnu",IF(ISNA(MATCH(C2382,art_ref,0)),"Référence inconnue",IF(OR(NOT(ISNUMBER(E2382)),N(E2382)&lt;=0),"Quantité invalide",IF(K2382&lt;0,"Stock négatif",IF(AND(ISNUMBER(A2381),A2382&lt;A2381),"Date hors ordre","OK"))))))))</f>
        <v/>
      </c>
      <c r="M2382" s="39" t="str">
        <f>IF(C2382="","",C2382&amp;"#"&amp;COUNTIF($C$5:C2382,C2382))</f>
        <v/>
      </c>
    </row>
    <row r="2383">
      <c r="A2383" s="41" t="n"/>
      <c r="B2383" s="37" t="n"/>
      <c r="C2383" s="37" t="n"/>
      <c r="D2383" s="39" t="str">
        <f>IF(C2383="","",IFERROR(INDEX(art_des,MATCH(C2383,art_ref,0))&amp;"","Référence inconnue"))</f>
        <v/>
      </c>
      <c r="E2383" s="37" t="n"/>
      <c r="F2383" s="39" t="str">
        <f>IF(C2383="","",IFERROR(INDEX(art_unit,MATCH(C2383,art_ref,0))&amp;"",""))</f>
        <v/>
      </c>
      <c r="G2383" s="37" t="n"/>
      <c r="H2383" s="37" t="n"/>
      <c r="I2383" s="37" t="n"/>
      <c r="J2383" s="40" t="str">
        <f>IF(OR(C2383="",NOT(ISNUMBER(E2383))),"",IFERROR(E2383*N(INDEX(art_price,MATCH(C2383,art_ref,0))),""))</f>
        <v/>
      </c>
      <c r="K2383" s="39" t="str">
        <f>IF(OR(C2383="",NOT(ISNUMBER(E2383))),"",IFERROR(ROUND(N(INDEX(art_init,MATCH(C2383,art_ref,0)))+SUMIFS($E$5:E2383,$C$5:C2383,C2383,$B$5:B2383,"Entrée")-SUMIFS($E$5:E2383,$C$5:C2383,C2383,$B$5:B2383,"Sortie"),6),""))</f>
        <v/>
      </c>
      <c r="L2383" s="39" t="str">
        <f>IF(COUNTA(A2383:C2383,E2383)=0,"",IF(COUNTA(A2383:C2383,E2383)&lt;4,"Ligne incomplète",IF(NOT(ISNUMBER(A2383)),"Date invalide",IF(AND(B2383&lt;&gt;"Entrée",B2383&lt;&gt;"Sortie"),"Type inconnu",IF(ISNA(MATCH(C2383,art_ref,0)),"Référence inconnue",IF(OR(NOT(ISNUMBER(E2383)),N(E2383)&lt;=0),"Quantité invalide",IF(K2383&lt;0,"Stock négatif",IF(AND(ISNUMBER(A2382),A2383&lt;A2382),"Date hors ordre","OK"))))))))</f>
        <v/>
      </c>
      <c r="M2383" s="39" t="str">
        <f>IF(C2383="","",C2383&amp;"#"&amp;COUNTIF($C$5:C2383,C2383))</f>
        <v/>
      </c>
    </row>
    <row r="2384">
      <c r="A2384" s="41" t="n"/>
      <c r="B2384" s="37" t="n"/>
      <c r="C2384" s="37" t="n"/>
      <c r="D2384" s="39" t="str">
        <f>IF(C2384="","",IFERROR(INDEX(art_des,MATCH(C2384,art_ref,0))&amp;"","Référence inconnue"))</f>
        <v/>
      </c>
      <c r="E2384" s="37" t="n"/>
      <c r="F2384" s="39" t="str">
        <f>IF(C2384="","",IFERROR(INDEX(art_unit,MATCH(C2384,art_ref,0))&amp;"",""))</f>
        <v/>
      </c>
      <c r="G2384" s="37" t="n"/>
      <c r="H2384" s="37" t="n"/>
      <c r="I2384" s="37" t="n"/>
      <c r="J2384" s="40" t="str">
        <f>IF(OR(C2384="",NOT(ISNUMBER(E2384))),"",IFERROR(E2384*N(INDEX(art_price,MATCH(C2384,art_ref,0))),""))</f>
        <v/>
      </c>
      <c r="K2384" s="39" t="str">
        <f>IF(OR(C2384="",NOT(ISNUMBER(E2384))),"",IFERROR(ROUND(N(INDEX(art_init,MATCH(C2384,art_ref,0)))+SUMIFS($E$5:E2384,$C$5:C2384,C2384,$B$5:B2384,"Entrée")-SUMIFS($E$5:E2384,$C$5:C2384,C2384,$B$5:B2384,"Sortie"),6),""))</f>
        <v/>
      </c>
      <c r="L2384" s="39" t="str">
        <f>IF(COUNTA(A2384:C2384,E2384)=0,"",IF(COUNTA(A2384:C2384,E2384)&lt;4,"Ligne incomplète",IF(NOT(ISNUMBER(A2384)),"Date invalide",IF(AND(B2384&lt;&gt;"Entrée",B2384&lt;&gt;"Sortie"),"Type inconnu",IF(ISNA(MATCH(C2384,art_ref,0)),"Référence inconnue",IF(OR(NOT(ISNUMBER(E2384)),N(E2384)&lt;=0),"Quantité invalide",IF(K2384&lt;0,"Stock négatif",IF(AND(ISNUMBER(A2383),A2384&lt;A2383),"Date hors ordre","OK"))))))))</f>
        <v/>
      </c>
      <c r="M2384" s="39" t="str">
        <f>IF(C2384="","",C2384&amp;"#"&amp;COUNTIF($C$5:C2384,C2384))</f>
        <v/>
      </c>
    </row>
    <row r="2385">
      <c r="A2385" s="41" t="n"/>
      <c r="B2385" s="37" t="n"/>
      <c r="C2385" s="37" t="n"/>
      <c r="D2385" s="39" t="str">
        <f>IF(C2385="","",IFERROR(INDEX(art_des,MATCH(C2385,art_ref,0))&amp;"","Référence inconnue"))</f>
        <v/>
      </c>
      <c r="E2385" s="37" t="n"/>
      <c r="F2385" s="39" t="str">
        <f>IF(C2385="","",IFERROR(INDEX(art_unit,MATCH(C2385,art_ref,0))&amp;"",""))</f>
        <v/>
      </c>
      <c r="G2385" s="37" t="n"/>
      <c r="H2385" s="37" t="n"/>
      <c r="I2385" s="37" t="n"/>
      <c r="J2385" s="40" t="str">
        <f>IF(OR(C2385="",NOT(ISNUMBER(E2385))),"",IFERROR(E2385*N(INDEX(art_price,MATCH(C2385,art_ref,0))),""))</f>
        <v/>
      </c>
      <c r="K2385" s="39" t="str">
        <f>IF(OR(C2385="",NOT(ISNUMBER(E2385))),"",IFERROR(ROUND(N(INDEX(art_init,MATCH(C2385,art_ref,0)))+SUMIFS($E$5:E2385,$C$5:C2385,C2385,$B$5:B2385,"Entrée")-SUMIFS($E$5:E2385,$C$5:C2385,C2385,$B$5:B2385,"Sortie"),6),""))</f>
        <v/>
      </c>
      <c r="L2385" s="39" t="str">
        <f>IF(COUNTA(A2385:C2385,E2385)=0,"",IF(COUNTA(A2385:C2385,E2385)&lt;4,"Ligne incomplète",IF(NOT(ISNUMBER(A2385)),"Date invalide",IF(AND(B2385&lt;&gt;"Entrée",B2385&lt;&gt;"Sortie"),"Type inconnu",IF(ISNA(MATCH(C2385,art_ref,0)),"Référence inconnue",IF(OR(NOT(ISNUMBER(E2385)),N(E2385)&lt;=0),"Quantité invalide",IF(K2385&lt;0,"Stock négatif",IF(AND(ISNUMBER(A2384),A2385&lt;A2384),"Date hors ordre","OK"))))))))</f>
        <v/>
      </c>
      <c r="M2385" s="39" t="str">
        <f>IF(C2385="","",C2385&amp;"#"&amp;COUNTIF($C$5:C2385,C2385))</f>
        <v/>
      </c>
    </row>
    <row r="2386">
      <c r="A2386" s="41" t="n"/>
      <c r="B2386" s="37" t="n"/>
      <c r="C2386" s="37" t="n"/>
      <c r="D2386" s="39" t="str">
        <f>IF(C2386="","",IFERROR(INDEX(art_des,MATCH(C2386,art_ref,0))&amp;"","Référence inconnue"))</f>
        <v/>
      </c>
      <c r="E2386" s="37" t="n"/>
      <c r="F2386" s="39" t="str">
        <f>IF(C2386="","",IFERROR(INDEX(art_unit,MATCH(C2386,art_ref,0))&amp;"",""))</f>
        <v/>
      </c>
      <c r="G2386" s="37" t="n"/>
      <c r="H2386" s="37" t="n"/>
      <c r="I2386" s="37" t="n"/>
      <c r="J2386" s="40" t="str">
        <f>IF(OR(C2386="",NOT(ISNUMBER(E2386))),"",IFERROR(E2386*N(INDEX(art_price,MATCH(C2386,art_ref,0))),""))</f>
        <v/>
      </c>
      <c r="K2386" s="39" t="str">
        <f>IF(OR(C2386="",NOT(ISNUMBER(E2386))),"",IFERROR(ROUND(N(INDEX(art_init,MATCH(C2386,art_ref,0)))+SUMIFS($E$5:E2386,$C$5:C2386,C2386,$B$5:B2386,"Entrée")-SUMIFS($E$5:E2386,$C$5:C2386,C2386,$B$5:B2386,"Sortie"),6),""))</f>
        <v/>
      </c>
      <c r="L2386" s="39" t="str">
        <f>IF(COUNTA(A2386:C2386,E2386)=0,"",IF(COUNTA(A2386:C2386,E2386)&lt;4,"Ligne incomplète",IF(NOT(ISNUMBER(A2386)),"Date invalide",IF(AND(B2386&lt;&gt;"Entrée",B2386&lt;&gt;"Sortie"),"Type inconnu",IF(ISNA(MATCH(C2386,art_ref,0)),"Référence inconnue",IF(OR(NOT(ISNUMBER(E2386)),N(E2386)&lt;=0),"Quantité invalide",IF(K2386&lt;0,"Stock négatif",IF(AND(ISNUMBER(A2385),A2386&lt;A2385),"Date hors ordre","OK"))))))))</f>
        <v/>
      </c>
      <c r="M2386" s="39" t="str">
        <f>IF(C2386="","",C2386&amp;"#"&amp;COUNTIF($C$5:C2386,C2386))</f>
        <v/>
      </c>
    </row>
    <row r="2387">
      <c r="A2387" s="41" t="n"/>
      <c r="B2387" s="37" t="n"/>
      <c r="C2387" s="37" t="n"/>
      <c r="D2387" s="39" t="str">
        <f>IF(C2387="","",IFERROR(INDEX(art_des,MATCH(C2387,art_ref,0))&amp;"","Référence inconnue"))</f>
        <v/>
      </c>
      <c r="E2387" s="37" t="n"/>
      <c r="F2387" s="39" t="str">
        <f>IF(C2387="","",IFERROR(INDEX(art_unit,MATCH(C2387,art_ref,0))&amp;"",""))</f>
        <v/>
      </c>
      <c r="G2387" s="37" t="n"/>
      <c r="H2387" s="37" t="n"/>
      <c r="I2387" s="37" t="n"/>
      <c r="J2387" s="40" t="str">
        <f>IF(OR(C2387="",NOT(ISNUMBER(E2387))),"",IFERROR(E2387*N(INDEX(art_price,MATCH(C2387,art_ref,0))),""))</f>
        <v/>
      </c>
      <c r="K2387" s="39" t="str">
        <f>IF(OR(C2387="",NOT(ISNUMBER(E2387))),"",IFERROR(ROUND(N(INDEX(art_init,MATCH(C2387,art_ref,0)))+SUMIFS($E$5:E2387,$C$5:C2387,C2387,$B$5:B2387,"Entrée")-SUMIFS($E$5:E2387,$C$5:C2387,C2387,$B$5:B2387,"Sortie"),6),""))</f>
        <v/>
      </c>
      <c r="L2387" s="39" t="str">
        <f>IF(COUNTA(A2387:C2387,E2387)=0,"",IF(COUNTA(A2387:C2387,E2387)&lt;4,"Ligne incomplète",IF(NOT(ISNUMBER(A2387)),"Date invalide",IF(AND(B2387&lt;&gt;"Entrée",B2387&lt;&gt;"Sortie"),"Type inconnu",IF(ISNA(MATCH(C2387,art_ref,0)),"Référence inconnue",IF(OR(NOT(ISNUMBER(E2387)),N(E2387)&lt;=0),"Quantité invalide",IF(K2387&lt;0,"Stock négatif",IF(AND(ISNUMBER(A2386),A2387&lt;A2386),"Date hors ordre","OK"))))))))</f>
        <v/>
      </c>
      <c r="M2387" s="39" t="str">
        <f>IF(C2387="","",C2387&amp;"#"&amp;COUNTIF($C$5:C2387,C2387))</f>
        <v/>
      </c>
    </row>
    <row r="2388">
      <c r="A2388" s="41" t="n"/>
      <c r="B2388" s="37" t="n"/>
      <c r="C2388" s="37" t="n"/>
      <c r="D2388" s="39" t="str">
        <f>IF(C2388="","",IFERROR(INDEX(art_des,MATCH(C2388,art_ref,0))&amp;"","Référence inconnue"))</f>
        <v/>
      </c>
      <c r="E2388" s="37" t="n"/>
      <c r="F2388" s="39" t="str">
        <f>IF(C2388="","",IFERROR(INDEX(art_unit,MATCH(C2388,art_ref,0))&amp;"",""))</f>
        <v/>
      </c>
      <c r="G2388" s="37" t="n"/>
      <c r="H2388" s="37" t="n"/>
      <c r="I2388" s="37" t="n"/>
      <c r="J2388" s="40" t="str">
        <f>IF(OR(C2388="",NOT(ISNUMBER(E2388))),"",IFERROR(E2388*N(INDEX(art_price,MATCH(C2388,art_ref,0))),""))</f>
        <v/>
      </c>
      <c r="K2388" s="39" t="str">
        <f>IF(OR(C2388="",NOT(ISNUMBER(E2388))),"",IFERROR(ROUND(N(INDEX(art_init,MATCH(C2388,art_ref,0)))+SUMIFS($E$5:E2388,$C$5:C2388,C2388,$B$5:B2388,"Entrée")-SUMIFS($E$5:E2388,$C$5:C2388,C2388,$B$5:B2388,"Sortie"),6),""))</f>
        <v/>
      </c>
      <c r="L2388" s="39" t="str">
        <f>IF(COUNTA(A2388:C2388,E2388)=0,"",IF(COUNTA(A2388:C2388,E2388)&lt;4,"Ligne incomplète",IF(NOT(ISNUMBER(A2388)),"Date invalide",IF(AND(B2388&lt;&gt;"Entrée",B2388&lt;&gt;"Sortie"),"Type inconnu",IF(ISNA(MATCH(C2388,art_ref,0)),"Référence inconnue",IF(OR(NOT(ISNUMBER(E2388)),N(E2388)&lt;=0),"Quantité invalide",IF(K2388&lt;0,"Stock négatif",IF(AND(ISNUMBER(A2387),A2388&lt;A2387),"Date hors ordre","OK"))))))))</f>
        <v/>
      </c>
      <c r="M2388" s="39" t="str">
        <f>IF(C2388="","",C2388&amp;"#"&amp;COUNTIF($C$5:C2388,C2388))</f>
        <v/>
      </c>
    </row>
    <row r="2389">
      <c r="A2389" s="41" t="n"/>
      <c r="B2389" s="37" t="n"/>
      <c r="C2389" s="37" t="n"/>
      <c r="D2389" s="39" t="str">
        <f>IF(C2389="","",IFERROR(INDEX(art_des,MATCH(C2389,art_ref,0))&amp;"","Référence inconnue"))</f>
        <v/>
      </c>
      <c r="E2389" s="37" t="n"/>
      <c r="F2389" s="39" t="str">
        <f>IF(C2389="","",IFERROR(INDEX(art_unit,MATCH(C2389,art_ref,0))&amp;"",""))</f>
        <v/>
      </c>
      <c r="G2389" s="37" t="n"/>
      <c r="H2389" s="37" t="n"/>
      <c r="I2389" s="37" t="n"/>
      <c r="J2389" s="40" t="str">
        <f>IF(OR(C2389="",NOT(ISNUMBER(E2389))),"",IFERROR(E2389*N(INDEX(art_price,MATCH(C2389,art_ref,0))),""))</f>
        <v/>
      </c>
      <c r="K2389" s="39" t="str">
        <f>IF(OR(C2389="",NOT(ISNUMBER(E2389))),"",IFERROR(ROUND(N(INDEX(art_init,MATCH(C2389,art_ref,0)))+SUMIFS($E$5:E2389,$C$5:C2389,C2389,$B$5:B2389,"Entrée")-SUMIFS($E$5:E2389,$C$5:C2389,C2389,$B$5:B2389,"Sortie"),6),""))</f>
        <v/>
      </c>
      <c r="L2389" s="39" t="str">
        <f>IF(COUNTA(A2389:C2389,E2389)=0,"",IF(COUNTA(A2389:C2389,E2389)&lt;4,"Ligne incomplète",IF(NOT(ISNUMBER(A2389)),"Date invalide",IF(AND(B2389&lt;&gt;"Entrée",B2389&lt;&gt;"Sortie"),"Type inconnu",IF(ISNA(MATCH(C2389,art_ref,0)),"Référence inconnue",IF(OR(NOT(ISNUMBER(E2389)),N(E2389)&lt;=0),"Quantité invalide",IF(K2389&lt;0,"Stock négatif",IF(AND(ISNUMBER(A2388),A2389&lt;A2388),"Date hors ordre","OK"))))))))</f>
        <v/>
      </c>
      <c r="M2389" s="39" t="str">
        <f>IF(C2389="","",C2389&amp;"#"&amp;COUNTIF($C$5:C2389,C2389))</f>
        <v/>
      </c>
    </row>
    <row r="2390">
      <c r="A2390" s="41" t="n"/>
      <c r="B2390" s="37" t="n"/>
      <c r="C2390" s="37" t="n"/>
      <c r="D2390" s="39" t="str">
        <f>IF(C2390="","",IFERROR(INDEX(art_des,MATCH(C2390,art_ref,0))&amp;"","Référence inconnue"))</f>
        <v/>
      </c>
      <c r="E2390" s="37" t="n"/>
      <c r="F2390" s="39" t="str">
        <f>IF(C2390="","",IFERROR(INDEX(art_unit,MATCH(C2390,art_ref,0))&amp;"",""))</f>
        <v/>
      </c>
      <c r="G2390" s="37" t="n"/>
      <c r="H2390" s="37" t="n"/>
      <c r="I2390" s="37" t="n"/>
      <c r="J2390" s="40" t="str">
        <f>IF(OR(C2390="",NOT(ISNUMBER(E2390))),"",IFERROR(E2390*N(INDEX(art_price,MATCH(C2390,art_ref,0))),""))</f>
        <v/>
      </c>
      <c r="K2390" s="39" t="str">
        <f>IF(OR(C2390="",NOT(ISNUMBER(E2390))),"",IFERROR(ROUND(N(INDEX(art_init,MATCH(C2390,art_ref,0)))+SUMIFS($E$5:E2390,$C$5:C2390,C2390,$B$5:B2390,"Entrée")-SUMIFS($E$5:E2390,$C$5:C2390,C2390,$B$5:B2390,"Sortie"),6),""))</f>
        <v/>
      </c>
      <c r="L2390" s="39" t="str">
        <f>IF(COUNTA(A2390:C2390,E2390)=0,"",IF(COUNTA(A2390:C2390,E2390)&lt;4,"Ligne incomplète",IF(NOT(ISNUMBER(A2390)),"Date invalide",IF(AND(B2390&lt;&gt;"Entrée",B2390&lt;&gt;"Sortie"),"Type inconnu",IF(ISNA(MATCH(C2390,art_ref,0)),"Référence inconnue",IF(OR(NOT(ISNUMBER(E2390)),N(E2390)&lt;=0),"Quantité invalide",IF(K2390&lt;0,"Stock négatif",IF(AND(ISNUMBER(A2389),A2390&lt;A2389),"Date hors ordre","OK"))))))))</f>
        <v/>
      </c>
      <c r="M2390" s="39" t="str">
        <f>IF(C2390="","",C2390&amp;"#"&amp;COUNTIF($C$5:C2390,C2390))</f>
        <v/>
      </c>
    </row>
    <row r="2391">
      <c r="A2391" s="41" t="n"/>
      <c r="B2391" s="37" t="n"/>
      <c r="C2391" s="37" t="n"/>
      <c r="D2391" s="39" t="str">
        <f>IF(C2391="","",IFERROR(INDEX(art_des,MATCH(C2391,art_ref,0))&amp;"","Référence inconnue"))</f>
        <v/>
      </c>
      <c r="E2391" s="37" t="n"/>
      <c r="F2391" s="39" t="str">
        <f>IF(C2391="","",IFERROR(INDEX(art_unit,MATCH(C2391,art_ref,0))&amp;"",""))</f>
        <v/>
      </c>
      <c r="G2391" s="37" t="n"/>
      <c r="H2391" s="37" t="n"/>
      <c r="I2391" s="37" t="n"/>
      <c r="J2391" s="40" t="str">
        <f>IF(OR(C2391="",NOT(ISNUMBER(E2391))),"",IFERROR(E2391*N(INDEX(art_price,MATCH(C2391,art_ref,0))),""))</f>
        <v/>
      </c>
      <c r="K2391" s="39" t="str">
        <f>IF(OR(C2391="",NOT(ISNUMBER(E2391))),"",IFERROR(ROUND(N(INDEX(art_init,MATCH(C2391,art_ref,0)))+SUMIFS($E$5:E2391,$C$5:C2391,C2391,$B$5:B2391,"Entrée")-SUMIFS($E$5:E2391,$C$5:C2391,C2391,$B$5:B2391,"Sortie"),6),""))</f>
        <v/>
      </c>
      <c r="L2391" s="39" t="str">
        <f>IF(COUNTA(A2391:C2391,E2391)=0,"",IF(COUNTA(A2391:C2391,E2391)&lt;4,"Ligne incomplète",IF(NOT(ISNUMBER(A2391)),"Date invalide",IF(AND(B2391&lt;&gt;"Entrée",B2391&lt;&gt;"Sortie"),"Type inconnu",IF(ISNA(MATCH(C2391,art_ref,0)),"Référence inconnue",IF(OR(NOT(ISNUMBER(E2391)),N(E2391)&lt;=0),"Quantité invalide",IF(K2391&lt;0,"Stock négatif",IF(AND(ISNUMBER(A2390),A2391&lt;A2390),"Date hors ordre","OK"))))))))</f>
        <v/>
      </c>
      <c r="M2391" s="39" t="str">
        <f>IF(C2391="","",C2391&amp;"#"&amp;COUNTIF($C$5:C2391,C2391))</f>
        <v/>
      </c>
    </row>
    <row r="2392">
      <c r="A2392" s="41" t="n"/>
      <c r="B2392" s="37" t="n"/>
      <c r="C2392" s="37" t="n"/>
      <c r="D2392" s="39" t="str">
        <f>IF(C2392="","",IFERROR(INDEX(art_des,MATCH(C2392,art_ref,0))&amp;"","Référence inconnue"))</f>
        <v/>
      </c>
      <c r="E2392" s="37" t="n"/>
      <c r="F2392" s="39" t="str">
        <f>IF(C2392="","",IFERROR(INDEX(art_unit,MATCH(C2392,art_ref,0))&amp;"",""))</f>
        <v/>
      </c>
      <c r="G2392" s="37" t="n"/>
      <c r="H2392" s="37" t="n"/>
      <c r="I2392" s="37" t="n"/>
      <c r="J2392" s="40" t="str">
        <f>IF(OR(C2392="",NOT(ISNUMBER(E2392))),"",IFERROR(E2392*N(INDEX(art_price,MATCH(C2392,art_ref,0))),""))</f>
        <v/>
      </c>
      <c r="K2392" s="39" t="str">
        <f>IF(OR(C2392="",NOT(ISNUMBER(E2392))),"",IFERROR(ROUND(N(INDEX(art_init,MATCH(C2392,art_ref,0)))+SUMIFS($E$5:E2392,$C$5:C2392,C2392,$B$5:B2392,"Entrée")-SUMIFS($E$5:E2392,$C$5:C2392,C2392,$B$5:B2392,"Sortie"),6),""))</f>
        <v/>
      </c>
      <c r="L2392" s="39" t="str">
        <f>IF(COUNTA(A2392:C2392,E2392)=0,"",IF(COUNTA(A2392:C2392,E2392)&lt;4,"Ligne incomplète",IF(NOT(ISNUMBER(A2392)),"Date invalide",IF(AND(B2392&lt;&gt;"Entrée",B2392&lt;&gt;"Sortie"),"Type inconnu",IF(ISNA(MATCH(C2392,art_ref,0)),"Référence inconnue",IF(OR(NOT(ISNUMBER(E2392)),N(E2392)&lt;=0),"Quantité invalide",IF(K2392&lt;0,"Stock négatif",IF(AND(ISNUMBER(A2391),A2392&lt;A2391),"Date hors ordre","OK"))))))))</f>
        <v/>
      </c>
      <c r="M2392" s="39" t="str">
        <f>IF(C2392="","",C2392&amp;"#"&amp;COUNTIF($C$5:C2392,C2392))</f>
        <v/>
      </c>
    </row>
    <row r="2393">
      <c r="A2393" s="41" t="n"/>
      <c r="B2393" s="37" t="n"/>
      <c r="C2393" s="37" t="n"/>
      <c r="D2393" s="39" t="str">
        <f>IF(C2393="","",IFERROR(INDEX(art_des,MATCH(C2393,art_ref,0))&amp;"","Référence inconnue"))</f>
        <v/>
      </c>
      <c r="E2393" s="37" t="n"/>
      <c r="F2393" s="39" t="str">
        <f>IF(C2393="","",IFERROR(INDEX(art_unit,MATCH(C2393,art_ref,0))&amp;"",""))</f>
        <v/>
      </c>
      <c r="G2393" s="37" t="n"/>
      <c r="H2393" s="37" t="n"/>
      <c r="I2393" s="37" t="n"/>
      <c r="J2393" s="40" t="str">
        <f>IF(OR(C2393="",NOT(ISNUMBER(E2393))),"",IFERROR(E2393*N(INDEX(art_price,MATCH(C2393,art_ref,0))),""))</f>
        <v/>
      </c>
      <c r="K2393" s="39" t="str">
        <f>IF(OR(C2393="",NOT(ISNUMBER(E2393))),"",IFERROR(ROUND(N(INDEX(art_init,MATCH(C2393,art_ref,0)))+SUMIFS($E$5:E2393,$C$5:C2393,C2393,$B$5:B2393,"Entrée")-SUMIFS($E$5:E2393,$C$5:C2393,C2393,$B$5:B2393,"Sortie"),6),""))</f>
        <v/>
      </c>
      <c r="L2393" s="39" t="str">
        <f>IF(COUNTA(A2393:C2393,E2393)=0,"",IF(COUNTA(A2393:C2393,E2393)&lt;4,"Ligne incomplète",IF(NOT(ISNUMBER(A2393)),"Date invalide",IF(AND(B2393&lt;&gt;"Entrée",B2393&lt;&gt;"Sortie"),"Type inconnu",IF(ISNA(MATCH(C2393,art_ref,0)),"Référence inconnue",IF(OR(NOT(ISNUMBER(E2393)),N(E2393)&lt;=0),"Quantité invalide",IF(K2393&lt;0,"Stock négatif",IF(AND(ISNUMBER(A2392),A2393&lt;A2392),"Date hors ordre","OK"))))))))</f>
        <v/>
      </c>
      <c r="M2393" s="39" t="str">
        <f>IF(C2393="","",C2393&amp;"#"&amp;COUNTIF($C$5:C2393,C2393))</f>
        <v/>
      </c>
    </row>
    <row r="2394">
      <c r="A2394" s="41" t="n"/>
      <c r="B2394" s="37" t="n"/>
      <c r="C2394" s="37" t="n"/>
      <c r="D2394" s="39" t="str">
        <f>IF(C2394="","",IFERROR(INDEX(art_des,MATCH(C2394,art_ref,0))&amp;"","Référence inconnue"))</f>
        <v/>
      </c>
      <c r="E2394" s="37" t="n"/>
      <c r="F2394" s="39" t="str">
        <f>IF(C2394="","",IFERROR(INDEX(art_unit,MATCH(C2394,art_ref,0))&amp;"",""))</f>
        <v/>
      </c>
      <c r="G2394" s="37" t="n"/>
      <c r="H2394" s="37" t="n"/>
      <c r="I2394" s="37" t="n"/>
      <c r="J2394" s="40" t="str">
        <f>IF(OR(C2394="",NOT(ISNUMBER(E2394))),"",IFERROR(E2394*N(INDEX(art_price,MATCH(C2394,art_ref,0))),""))</f>
        <v/>
      </c>
      <c r="K2394" s="39" t="str">
        <f>IF(OR(C2394="",NOT(ISNUMBER(E2394))),"",IFERROR(ROUND(N(INDEX(art_init,MATCH(C2394,art_ref,0)))+SUMIFS($E$5:E2394,$C$5:C2394,C2394,$B$5:B2394,"Entrée")-SUMIFS($E$5:E2394,$C$5:C2394,C2394,$B$5:B2394,"Sortie"),6),""))</f>
        <v/>
      </c>
      <c r="L2394" s="39" t="str">
        <f>IF(COUNTA(A2394:C2394,E2394)=0,"",IF(COUNTA(A2394:C2394,E2394)&lt;4,"Ligne incomplète",IF(NOT(ISNUMBER(A2394)),"Date invalide",IF(AND(B2394&lt;&gt;"Entrée",B2394&lt;&gt;"Sortie"),"Type inconnu",IF(ISNA(MATCH(C2394,art_ref,0)),"Référence inconnue",IF(OR(NOT(ISNUMBER(E2394)),N(E2394)&lt;=0),"Quantité invalide",IF(K2394&lt;0,"Stock négatif",IF(AND(ISNUMBER(A2393),A2394&lt;A2393),"Date hors ordre","OK"))))))))</f>
        <v/>
      </c>
      <c r="M2394" s="39" t="str">
        <f>IF(C2394="","",C2394&amp;"#"&amp;COUNTIF($C$5:C2394,C2394))</f>
        <v/>
      </c>
    </row>
    <row r="2395">
      <c r="A2395" s="41" t="n"/>
      <c r="B2395" s="37" t="n"/>
      <c r="C2395" s="37" t="n"/>
      <c r="D2395" s="39" t="str">
        <f>IF(C2395="","",IFERROR(INDEX(art_des,MATCH(C2395,art_ref,0))&amp;"","Référence inconnue"))</f>
        <v/>
      </c>
      <c r="E2395" s="37" t="n"/>
      <c r="F2395" s="39" t="str">
        <f>IF(C2395="","",IFERROR(INDEX(art_unit,MATCH(C2395,art_ref,0))&amp;"",""))</f>
        <v/>
      </c>
      <c r="G2395" s="37" t="n"/>
      <c r="H2395" s="37" t="n"/>
      <c r="I2395" s="37" t="n"/>
      <c r="J2395" s="40" t="str">
        <f>IF(OR(C2395="",NOT(ISNUMBER(E2395))),"",IFERROR(E2395*N(INDEX(art_price,MATCH(C2395,art_ref,0))),""))</f>
        <v/>
      </c>
      <c r="K2395" s="39" t="str">
        <f>IF(OR(C2395="",NOT(ISNUMBER(E2395))),"",IFERROR(ROUND(N(INDEX(art_init,MATCH(C2395,art_ref,0)))+SUMIFS($E$5:E2395,$C$5:C2395,C2395,$B$5:B2395,"Entrée")-SUMIFS($E$5:E2395,$C$5:C2395,C2395,$B$5:B2395,"Sortie"),6),""))</f>
        <v/>
      </c>
      <c r="L2395" s="39" t="str">
        <f>IF(COUNTA(A2395:C2395,E2395)=0,"",IF(COUNTA(A2395:C2395,E2395)&lt;4,"Ligne incomplète",IF(NOT(ISNUMBER(A2395)),"Date invalide",IF(AND(B2395&lt;&gt;"Entrée",B2395&lt;&gt;"Sortie"),"Type inconnu",IF(ISNA(MATCH(C2395,art_ref,0)),"Référence inconnue",IF(OR(NOT(ISNUMBER(E2395)),N(E2395)&lt;=0),"Quantité invalide",IF(K2395&lt;0,"Stock négatif",IF(AND(ISNUMBER(A2394),A2395&lt;A2394),"Date hors ordre","OK"))))))))</f>
        <v/>
      </c>
      <c r="M2395" s="39" t="str">
        <f>IF(C2395="","",C2395&amp;"#"&amp;COUNTIF($C$5:C2395,C2395))</f>
        <v/>
      </c>
    </row>
    <row r="2396">
      <c r="A2396" s="41" t="n"/>
      <c r="B2396" s="37" t="n"/>
      <c r="C2396" s="37" t="n"/>
      <c r="D2396" s="39" t="str">
        <f>IF(C2396="","",IFERROR(INDEX(art_des,MATCH(C2396,art_ref,0))&amp;"","Référence inconnue"))</f>
        <v/>
      </c>
      <c r="E2396" s="37" t="n"/>
      <c r="F2396" s="39" t="str">
        <f>IF(C2396="","",IFERROR(INDEX(art_unit,MATCH(C2396,art_ref,0))&amp;"",""))</f>
        <v/>
      </c>
      <c r="G2396" s="37" t="n"/>
      <c r="H2396" s="37" t="n"/>
      <c r="I2396" s="37" t="n"/>
      <c r="J2396" s="40" t="str">
        <f>IF(OR(C2396="",NOT(ISNUMBER(E2396))),"",IFERROR(E2396*N(INDEX(art_price,MATCH(C2396,art_ref,0))),""))</f>
        <v/>
      </c>
      <c r="K2396" s="39" t="str">
        <f>IF(OR(C2396="",NOT(ISNUMBER(E2396))),"",IFERROR(ROUND(N(INDEX(art_init,MATCH(C2396,art_ref,0)))+SUMIFS($E$5:E2396,$C$5:C2396,C2396,$B$5:B2396,"Entrée")-SUMIFS($E$5:E2396,$C$5:C2396,C2396,$B$5:B2396,"Sortie"),6),""))</f>
        <v/>
      </c>
      <c r="L2396" s="39" t="str">
        <f>IF(COUNTA(A2396:C2396,E2396)=0,"",IF(COUNTA(A2396:C2396,E2396)&lt;4,"Ligne incomplète",IF(NOT(ISNUMBER(A2396)),"Date invalide",IF(AND(B2396&lt;&gt;"Entrée",B2396&lt;&gt;"Sortie"),"Type inconnu",IF(ISNA(MATCH(C2396,art_ref,0)),"Référence inconnue",IF(OR(NOT(ISNUMBER(E2396)),N(E2396)&lt;=0),"Quantité invalide",IF(K2396&lt;0,"Stock négatif",IF(AND(ISNUMBER(A2395),A2396&lt;A2395),"Date hors ordre","OK"))))))))</f>
        <v/>
      </c>
      <c r="M2396" s="39" t="str">
        <f>IF(C2396="","",C2396&amp;"#"&amp;COUNTIF($C$5:C2396,C2396))</f>
        <v/>
      </c>
    </row>
    <row r="2397">
      <c r="A2397" s="41" t="n"/>
      <c r="B2397" s="37" t="n"/>
      <c r="C2397" s="37" t="n"/>
      <c r="D2397" s="39" t="str">
        <f>IF(C2397="","",IFERROR(INDEX(art_des,MATCH(C2397,art_ref,0))&amp;"","Référence inconnue"))</f>
        <v/>
      </c>
      <c r="E2397" s="37" t="n"/>
      <c r="F2397" s="39" t="str">
        <f>IF(C2397="","",IFERROR(INDEX(art_unit,MATCH(C2397,art_ref,0))&amp;"",""))</f>
        <v/>
      </c>
      <c r="G2397" s="37" t="n"/>
      <c r="H2397" s="37" t="n"/>
      <c r="I2397" s="37" t="n"/>
      <c r="J2397" s="40" t="str">
        <f>IF(OR(C2397="",NOT(ISNUMBER(E2397))),"",IFERROR(E2397*N(INDEX(art_price,MATCH(C2397,art_ref,0))),""))</f>
        <v/>
      </c>
      <c r="K2397" s="39" t="str">
        <f>IF(OR(C2397="",NOT(ISNUMBER(E2397))),"",IFERROR(ROUND(N(INDEX(art_init,MATCH(C2397,art_ref,0)))+SUMIFS($E$5:E2397,$C$5:C2397,C2397,$B$5:B2397,"Entrée")-SUMIFS($E$5:E2397,$C$5:C2397,C2397,$B$5:B2397,"Sortie"),6),""))</f>
        <v/>
      </c>
      <c r="L2397" s="39" t="str">
        <f>IF(COUNTA(A2397:C2397,E2397)=0,"",IF(COUNTA(A2397:C2397,E2397)&lt;4,"Ligne incomplète",IF(NOT(ISNUMBER(A2397)),"Date invalide",IF(AND(B2397&lt;&gt;"Entrée",B2397&lt;&gt;"Sortie"),"Type inconnu",IF(ISNA(MATCH(C2397,art_ref,0)),"Référence inconnue",IF(OR(NOT(ISNUMBER(E2397)),N(E2397)&lt;=0),"Quantité invalide",IF(K2397&lt;0,"Stock négatif",IF(AND(ISNUMBER(A2396),A2397&lt;A2396),"Date hors ordre","OK"))))))))</f>
        <v/>
      </c>
      <c r="M2397" s="39" t="str">
        <f>IF(C2397="","",C2397&amp;"#"&amp;COUNTIF($C$5:C2397,C2397))</f>
        <v/>
      </c>
    </row>
    <row r="2398">
      <c r="A2398" s="41" t="n"/>
      <c r="B2398" s="37" t="n"/>
      <c r="C2398" s="37" t="n"/>
      <c r="D2398" s="39" t="str">
        <f>IF(C2398="","",IFERROR(INDEX(art_des,MATCH(C2398,art_ref,0))&amp;"","Référence inconnue"))</f>
        <v/>
      </c>
      <c r="E2398" s="37" t="n"/>
      <c r="F2398" s="39" t="str">
        <f>IF(C2398="","",IFERROR(INDEX(art_unit,MATCH(C2398,art_ref,0))&amp;"",""))</f>
        <v/>
      </c>
      <c r="G2398" s="37" t="n"/>
      <c r="H2398" s="37" t="n"/>
      <c r="I2398" s="37" t="n"/>
      <c r="J2398" s="40" t="str">
        <f>IF(OR(C2398="",NOT(ISNUMBER(E2398))),"",IFERROR(E2398*N(INDEX(art_price,MATCH(C2398,art_ref,0))),""))</f>
        <v/>
      </c>
      <c r="K2398" s="39" t="str">
        <f>IF(OR(C2398="",NOT(ISNUMBER(E2398))),"",IFERROR(ROUND(N(INDEX(art_init,MATCH(C2398,art_ref,0)))+SUMIFS($E$5:E2398,$C$5:C2398,C2398,$B$5:B2398,"Entrée")-SUMIFS($E$5:E2398,$C$5:C2398,C2398,$B$5:B2398,"Sortie"),6),""))</f>
        <v/>
      </c>
      <c r="L2398" s="39" t="str">
        <f>IF(COUNTA(A2398:C2398,E2398)=0,"",IF(COUNTA(A2398:C2398,E2398)&lt;4,"Ligne incomplète",IF(NOT(ISNUMBER(A2398)),"Date invalide",IF(AND(B2398&lt;&gt;"Entrée",B2398&lt;&gt;"Sortie"),"Type inconnu",IF(ISNA(MATCH(C2398,art_ref,0)),"Référence inconnue",IF(OR(NOT(ISNUMBER(E2398)),N(E2398)&lt;=0),"Quantité invalide",IF(K2398&lt;0,"Stock négatif",IF(AND(ISNUMBER(A2397),A2398&lt;A2397),"Date hors ordre","OK"))))))))</f>
        <v/>
      </c>
      <c r="M2398" s="39" t="str">
        <f>IF(C2398="","",C2398&amp;"#"&amp;COUNTIF($C$5:C2398,C2398))</f>
        <v/>
      </c>
    </row>
    <row r="2399">
      <c r="A2399" s="41" t="n"/>
      <c r="B2399" s="37" t="n"/>
      <c r="C2399" s="37" t="n"/>
      <c r="D2399" s="39" t="str">
        <f>IF(C2399="","",IFERROR(INDEX(art_des,MATCH(C2399,art_ref,0))&amp;"","Référence inconnue"))</f>
        <v/>
      </c>
      <c r="E2399" s="37" t="n"/>
      <c r="F2399" s="39" t="str">
        <f>IF(C2399="","",IFERROR(INDEX(art_unit,MATCH(C2399,art_ref,0))&amp;"",""))</f>
        <v/>
      </c>
      <c r="G2399" s="37" t="n"/>
      <c r="H2399" s="37" t="n"/>
      <c r="I2399" s="37" t="n"/>
      <c r="J2399" s="40" t="str">
        <f>IF(OR(C2399="",NOT(ISNUMBER(E2399))),"",IFERROR(E2399*N(INDEX(art_price,MATCH(C2399,art_ref,0))),""))</f>
        <v/>
      </c>
      <c r="K2399" s="39" t="str">
        <f>IF(OR(C2399="",NOT(ISNUMBER(E2399))),"",IFERROR(ROUND(N(INDEX(art_init,MATCH(C2399,art_ref,0)))+SUMIFS($E$5:E2399,$C$5:C2399,C2399,$B$5:B2399,"Entrée")-SUMIFS($E$5:E2399,$C$5:C2399,C2399,$B$5:B2399,"Sortie"),6),""))</f>
        <v/>
      </c>
      <c r="L2399" s="39" t="str">
        <f>IF(COUNTA(A2399:C2399,E2399)=0,"",IF(COUNTA(A2399:C2399,E2399)&lt;4,"Ligne incomplète",IF(NOT(ISNUMBER(A2399)),"Date invalide",IF(AND(B2399&lt;&gt;"Entrée",B2399&lt;&gt;"Sortie"),"Type inconnu",IF(ISNA(MATCH(C2399,art_ref,0)),"Référence inconnue",IF(OR(NOT(ISNUMBER(E2399)),N(E2399)&lt;=0),"Quantité invalide",IF(K2399&lt;0,"Stock négatif",IF(AND(ISNUMBER(A2398),A2399&lt;A2398),"Date hors ordre","OK"))))))))</f>
        <v/>
      </c>
      <c r="M2399" s="39" t="str">
        <f>IF(C2399="","",C2399&amp;"#"&amp;COUNTIF($C$5:C2399,C2399))</f>
        <v/>
      </c>
    </row>
    <row r="2400">
      <c r="A2400" s="41" t="n"/>
      <c r="B2400" s="37" t="n"/>
      <c r="C2400" s="37" t="n"/>
      <c r="D2400" s="39" t="str">
        <f>IF(C2400="","",IFERROR(INDEX(art_des,MATCH(C2400,art_ref,0))&amp;"","Référence inconnue"))</f>
        <v/>
      </c>
      <c r="E2400" s="37" t="n"/>
      <c r="F2400" s="39" t="str">
        <f>IF(C2400="","",IFERROR(INDEX(art_unit,MATCH(C2400,art_ref,0))&amp;"",""))</f>
        <v/>
      </c>
      <c r="G2400" s="37" t="n"/>
      <c r="H2400" s="37" t="n"/>
      <c r="I2400" s="37" t="n"/>
      <c r="J2400" s="40" t="str">
        <f>IF(OR(C2400="",NOT(ISNUMBER(E2400))),"",IFERROR(E2400*N(INDEX(art_price,MATCH(C2400,art_ref,0))),""))</f>
        <v/>
      </c>
      <c r="K2400" s="39" t="str">
        <f>IF(OR(C2400="",NOT(ISNUMBER(E2400))),"",IFERROR(ROUND(N(INDEX(art_init,MATCH(C2400,art_ref,0)))+SUMIFS($E$5:E2400,$C$5:C2400,C2400,$B$5:B2400,"Entrée")-SUMIFS($E$5:E2400,$C$5:C2400,C2400,$B$5:B2400,"Sortie"),6),""))</f>
        <v/>
      </c>
      <c r="L2400" s="39" t="str">
        <f>IF(COUNTA(A2400:C2400,E2400)=0,"",IF(COUNTA(A2400:C2400,E2400)&lt;4,"Ligne incomplète",IF(NOT(ISNUMBER(A2400)),"Date invalide",IF(AND(B2400&lt;&gt;"Entrée",B2400&lt;&gt;"Sortie"),"Type inconnu",IF(ISNA(MATCH(C2400,art_ref,0)),"Référence inconnue",IF(OR(NOT(ISNUMBER(E2400)),N(E2400)&lt;=0),"Quantité invalide",IF(K2400&lt;0,"Stock négatif",IF(AND(ISNUMBER(A2399),A2400&lt;A2399),"Date hors ordre","OK"))))))))</f>
        <v/>
      </c>
      <c r="M2400" s="39" t="str">
        <f>IF(C2400="","",C2400&amp;"#"&amp;COUNTIF($C$5:C2400,C2400))</f>
        <v/>
      </c>
    </row>
    <row r="2401">
      <c r="A2401" s="41" t="n"/>
      <c r="B2401" s="37" t="n"/>
      <c r="C2401" s="37" t="n"/>
      <c r="D2401" s="39" t="str">
        <f>IF(C2401="","",IFERROR(INDEX(art_des,MATCH(C2401,art_ref,0))&amp;"","Référence inconnue"))</f>
        <v/>
      </c>
      <c r="E2401" s="37" t="n"/>
      <c r="F2401" s="39" t="str">
        <f>IF(C2401="","",IFERROR(INDEX(art_unit,MATCH(C2401,art_ref,0))&amp;"",""))</f>
        <v/>
      </c>
      <c r="G2401" s="37" t="n"/>
      <c r="H2401" s="37" t="n"/>
      <c r="I2401" s="37" t="n"/>
      <c r="J2401" s="40" t="str">
        <f>IF(OR(C2401="",NOT(ISNUMBER(E2401))),"",IFERROR(E2401*N(INDEX(art_price,MATCH(C2401,art_ref,0))),""))</f>
        <v/>
      </c>
      <c r="K2401" s="39" t="str">
        <f>IF(OR(C2401="",NOT(ISNUMBER(E2401))),"",IFERROR(ROUND(N(INDEX(art_init,MATCH(C2401,art_ref,0)))+SUMIFS($E$5:E2401,$C$5:C2401,C2401,$B$5:B2401,"Entrée")-SUMIFS($E$5:E2401,$C$5:C2401,C2401,$B$5:B2401,"Sortie"),6),""))</f>
        <v/>
      </c>
      <c r="L2401" s="39" t="str">
        <f>IF(COUNTA(A2401:C2401,E2401)=0,"",IF(COUNTA(A2401:C2401,E2401)&lt;4,"Ligne incomplète",IF(NOT(ISNUMBER(A2401)),"Date invalide",IF(AND(B2401&lt;&gt;"Entrée",B2401&lt;&gt;"Sortie"),"Type inconnu",IF(ISNA(MATCH(C2401,art_ref,0)),"Référence inconnue",IF(OR(NOT(ISNUMBER(E2401)),N(E2401)&lt;=0),"Quantité invalide",IF(K2401&lt;0,"Stock négatif",IF(AND(ISNUMBER(A2400),A2401&lt;A2400),"Date hors ordre","OK"))))))))</f>
        <v/>
      </c>
      <c r="M2401" s="39" t="str">
        <f>IF(C2401="","",C2401&amp;"#"&amp;COUNTIF($C$5:C2401,C2401))</f>
        <v/>
      </c>
    </row>
    <row r="2402">
      <c r="A2402" s="41" t="n"/>
      <c r="B2402" s="37" t="n"/>
      <c r="C2402" s="37" t="n"/>
      <c r="D2402" s="39" t="str">
        <f>IF(C2402="","",IFERROR(INDEX(art_des,MATCH(C2402,art_ref,0))&amp;"","Référence inconnue"))</f>
        <v/>
      </c>
      <c r="E2402" s="37" t="n"/>
      <c r="F2402" s="39" t="str">
        <f>IF(C2402="","",IFERROR(INDEX(art_unit,MATCH(C2402,art_ref,0))&amp;"",""))</f>
        <v/>
      </c>
      <c r="G2402" s="37" t="n"/>
      <c r="H2402" s="37" t="n"/>
      <c r="I2402" s="37" t="n"/>
      <c r="J2402" s="40" t="str">
        <f>IF(OR(C2402="",NOT(ISNUMBER(E2402))),"",IFERROR(E2402*N(INDEX(art_price,MATCH(C2402,art_ref,0))),""))</f>
        <v/>
      </c>
      <c r="K2402" s="39" t="str">
        <f>IF(OR(C2402="",NOT(ISNUMBER(E2402))),"",IFERROR(ROUND(N(INDEX(art_init,MATCH(C2402,art_ref,0)))+SUMIFS($E$5:E2402,$C$5:C2402,C2402,$B$5:B2402,"Entrée")-SUMIFS($E$5:E2402,$C$5:C2402,C2402,$B$5:B2402,"Sortie"),6),""))</f>
        <v/>
      </c>
      <c r="L2402" s="39" t="str">
        <f>IF(COUNTA(A2402:C2402,E2402)=0,"",IF(COUNTA(A2402:C2402,E2402)&lt;4,"Ligne incomplète",IF(NOT(ISNUMBER(A2402)),"Date invalide",IF(AND(B2402&lt;&gt;"Entrée",B2402&lt;&gt;"Sortie"),"Type inconnu",IF(ISNA(MATCH(C2402,art_ref,0)),"Référence inconnue",IF(OR(NOT(ISNUMBER(E2402)),N(E2402)&lt;=0),"Quantité invalide",IF(K2402&lt;0,"Stock négatif",IF(AND(ISNUMBER(A2401),A2402&lt;A2401),"Date hors ordre","OK"))))))))</f>
        <v/>
      </c>
      <c r="M2402" s="39" t="str">
        <f>IF(C2402="","",C2402&amp;"#"&amp;COUNTIF($C$5:C2402,C2402))</f>
        <v/>
      </c>
    </row>
    <row r="2403">
      <c r="A2403" s="41" t="n"/>
      <c r="B2403" s="37" t="n"/>
      <c r="C2403" s="37" t="n"/>
      <c r="D2403" s="39" t="str">
        <f>IF(C2403="","",IFERROR(INDEX(art_des,MATCH(C2403,art_ref,0))&amp;"","Référence inconnue"))</f>
        <v/>
      </c>
      <c r="E2403" s="37" t="n"/>
      <c r="F2403" s="39" t="str">
        <f>IF(C2403="","",IFERROR(INDEX(art_unit,MATCH(C2403,art_ref,0))&amp;"",""))</f>
        <v/>
      </c>
      <c r="G2403" s="37" t="n"/>
      <c r="H2403" s="37" t="n"/>
      <c r="I2403" s="37" t="n"/>
      <c r="J2403" s="40" t="str">
        <f>IF(OR(C2403="",NOT(ISNUMBER(E2403))),"",IFERROR(E2403*N(INDEX(art_price,MATCH(C2403,art_ref,0))),""))</f>
        <v/>
      </c>
      <c r="K2403" s="39" t="str">
        <f>IF(OR(C2403="",NOT(ISNUMBER(E2403))),"",IFERROR(ROUND(N(INDEX(art_init,MATCH(C2403,art_ref,0)))+SUMIFS($E$5:E2403,$C$5:C2403,C2403,$B$5:B2403,"Entrée")-SUMIFS($E$5:E2403,$C$5:C2403,C2403,$B$5:B2403,"Sortie"),6),""))</f>
        <v/>
      </c>
      <c r="L2403" s="39" t="str">
        <f>IF(COUNTA(A2403:C2403,E2403)=0,"",IF(COUNTA(A2403:C2403,E2403)&lt;4,"Ligne incomplète",IF(NOT(ISNUMBER(A2403)),"Date invalide",IF(AND(B2403&lt;&gt;"Entrée",B2403&lt;&gt;"Sortie"),"Type inconnu",IF(ISNA(MATCH(C2403,art_ref,0)),"Référence inconnue",IF(OR(NOT(ISNUMBER(E2403)),N(E2403)&lt;=0),"Quantité invalide",IF(K2403&lt;0,"Stock négatif",IF(AND(ISNUMBER(A2402),A2403&lt;A2402),"Date hors ordre","OK"))))))))</f>
        <v/>
      </c>
      <c r="M2403" s="39" t="str">
        <f>IF(C2403="","",C2403&amp;"#"&amp;COUNTIF($C$5:C2403,C2403))</f>
        <v/>
      </c>
    </row>
    <row r="2404">
      <c r="A2404" s="41" t="n"/>
      <c r="B2404" s="37" t="n"/>
      <c r="C2404" s="37" t="n"/>
      <c r="D2404" s="39" t="str">
        <f>IF(C2404="","",IFERROR(INDEX(art_des,MATCH(C2404,art_ref,0))&amp;"","Référence inconnue"))</f>
        <v/>
      </c>
      <c r="E2404" s="37" t="n"/>
      <c r="F2404" s="39" t="str">
        <f>IF(C2404="","",IFERROR(INDEX(art_unit,MATCH(C2404,art_ref,0))&amp;"",""))</f>
        <v/>
      </c>
      <c r="G2404" s="37" t="n"/>
      <c r="H2404" s="37" t="n"/>
      <c r="I2404" s="37" t="n"/>
      <c r="J2404" s="40" t="str">
        <f>IF(OR(C2404="",NOT(ISNUMBER(E2404))),"",IFERROR(E2404*N(INDEX(art_price,MATCH(C2404,art_ref,0))),""))</f>
        <v/>
      </c>
      <c r="K2404" s="39" t="str">
        <f>IF(OR(C2404="",NOT(ISNUMBER(E2404))),"",IFERROR(ROUND(N(INDEX(art_init,MATCH(C2404,art_ref,0)))+SUMIFS($E$5:E2404,$C$5:C2404,C2404,$B$5:B2404,"Entrée")-SUMIFS($E$5:E2404,$C$5:C2404,C2404,$B$5:B2404,"Sortie"),6),""))</f>
        <v/>
      </c>
      <c r="L2404" s="39" t="str">
        <f>IF(COUNTA(A2404:C2404,E2404)=0,"",IF(COUNTA(A2404:C2404,E2404)&lt;4,"Ligne incomplète",IF(NOT(ISNUMBER(A2404)),"Date invalide",IF(AND(B2404&lt;&gt;"Entrée",B2404&lt;&gt;"Sortie"),"Type inconnu",IF(ISNA(MATCH(C2404,art_ref,0)),"Référence inconnue",IF(OR(NOT(ISNUMBER(E2404)),N(E2404)&lt;=0),"Quantité invalide",IF(K2404&lt;0,"Stock négatif",IF(AND(ISNUMBER(A2403),A2404&lt;A2403),"Date hors ordre","OK"))))))))</f>
        <v/>
      </c>
      <c r="M2404" s="39" t="str">
        <f>IF(C2404="","",C2404&amp;"#"&amp;COUNTIF($C$5:C2404,C2404))</f>
        <v/>
      </c>
    </row>
    <row r="2405">
      <c r="A2405" s="41" t="n"/>
      <c r="B2405" s="37" t="n"/>
      <c r="C2405" s="37" t="n"/>
      <c r="D2405" s="39" t="str">
        <f>IF(C2405="","",IFERROR(INDEX(art_des,MATCH(C2405,art_ref,0))&amp;"","Référence inconnue"))</f>
        <v/>
      </c>
      <c r="E2405" s="37" t="n"/>
      <c r="F2405" s="39" t="str">
        <f>IF(C2405="","",IFERROR(INDEX(art_unit,MATCH(C2405,art_ref,0))&amp;"",""))</f>
        <v/>
      </c>
      <c r="G2405" s="37" t="n"/>
      <c r="H2405" s="37" t="n"/>
      <c r="I2405" s="37" t="n"/>
      <c r="J2405" s="40" t="str">
        <f>IF(OR(C2405="",NOT(ISNUMBER(E2405))),"",IFERROR(E2405*N(INDEX(art_price,MATCH(C2405,art_ref,0))),""))</f>
        <v/>
      </c>
      <c r="K2405" s="39" t="str">
        <f>IF(OR(C2405="",NOT(ISNUMBER(E2405))),"",IFERROR(ROUND(N(INDEX(art_init,MATCH(C2405,art_ref,0)))+SUMIFS($E$5:E2405,$C$5:C2405,C2405,$B$5:B2405,"Entrée")-SUMIFS($E$5:E2405,$C$5:C2405,C2405,$B$5:B2405,"Sortie"),6),""))</f>
        <v/>
      </c>
      <c r="L2405" s="39" t="str">
        <f>IF(COUNTA(A2405:C2405,E2405)=0,"",IF(COUNTA(A2405:C2405,E2405)&lt;4,"Ligne incomplète",IF(NOT(ISNUMBER(A2405)),"Date invalide",IF(AND(B2405&lt;&gt;"Entrée",B2405&lt;&gt;"Sortie"),"Type inconnu",IF(ISNA(MATCH(C2405,art_ref,0)),"Référence inconnue",IF(OR(NOT(ISNUMBER(E2405)),N(E2405)&lt;=0),"Quantité invalide",IF(K2405&lt;0,"Stock négatif",IF(AND(ISNUMBER(A2404),A2405&lt;A2404),"Date hors ordre","OK"))))))))</f>
        <v/>
      </c>
      <c r="M2405" s="39" t="str">
        <f>IF(C2405="","",C2405&amp;"#"&amp;COUNTIF($C$5:C2405,C2405))</f>
        <v/>
      </c>
    </row>
    <row r="2406">
      <c r="A2406" s="41" t="n"/>
      <c r="B2406" s="37" t="n"/>
      <c r="C2406" s="37" t="n"/>
      <c r="D2406" s="39" t="str">
        <f>IF(C2406="","",IFERROR(INDEX(art_des,MATCH(C2406,art_ref,0))&amp;"","Référence inconnue"))</f>
        <v/>
      </c>
      <c r="E2406" s="37" t="n"/>
      <c r="F2406" s="39" t="str">
        <f>IF(C2406="","",IFERROR(INDEX(art_unit,MATCH(C2406,art_ref,0))&amp;"",""))</f>
        <v/>
      </c>
      <c r="G2406" s="37" t="n"/>
      <c r="H2406" s="37" t="n"/>
      <c r="I2406" s="37" t="n"/>
      <c r="J2406" s="40" t="str">
        <f>IF(OR(C2406="",NOT(ISNUMBER(E2406))),"",IFERROR(E2406*N(INDEX(art_price,MATCH(C2406,art_ref,0))),""))</f>
        <v/>
      </c>
      <c r="K2406" s="39" t="str">
        <f>IF(OR(C2406="",NOT(ISNUMBER(E2406))),"",IFERROR(ROUND(N(INDEX(art_init,MATCH(C2406,art_ref,0)))+SUMIFS($E$5:E2406,$C$5:C2406,C2406,$B$5:B2406,"Entrée")-SUMIFS($E$5:E2406,$C$5:C2406,C2406,$B$5:B2406,"Sortie"),6),""))</f>
        <v/>
      </c>
      <c r="L2406" s="39" t="str">
        <f>IF(COUNTA(A2406:C2406,E2406)=0,"",IF(COUNTA(A2406:C2406,E2406)&lt;4,"Ligne incomplète",IF(NOT(ISNUMBER(A2406)),"Date invalide",IF(AND(B2406&lt;&gt;"Entrée",B2406&lt;&gt;"Sortie"),"Type inconnu",IF(ISNA(MATCH(C2406,art_ref,0)),"Référence inconnue",IF(OR(NOT(ISNUMBER(E2406)),N(E2406)&lt;=0),"Quantité invalide",IF(K2406&lt;0,"Stock négatif",IF(AND(ISNUMBER(A2405),A2406&lt;A2405),"Date hors ordre","OK"))))))))</f>
        <v/>
      </c>
      <c r="M2406" s="39" t="str">
        <f>IF(C2406="","",C2406&amp;"#"&amp;COUNTIF($C$5:C2406,C2406))</f>
        <v/>
      </c>
    </row>
    <row r="2407">
      <c r="A2407" s="41" t="n"/>
      <c r="B2407" s="37" t="n"/>
      <c r="C2407" s="37" t="n"/>
      <c r="D2407" s="39" t="str">
        <f>IF(C2407="","",IFERROR(INDEX(art_des,MATCH(C2407,art_ref,0))&amp;"","Référence inconnue"))</f>
        <v/>
      </c>
      <c r="E2407" s="37" t="n"/>
      <c r="F2407" s="39" t="str">
        <f>IF(C2407="","",IFERROR(INDEX(art_unit,MATCH(C2407,art_ref,0))&amp;"",""))</f>
        <v/>
      </c>
      <c r="G2407" s="37" t="n"/>
      <c r="H2407" s="37" t="n"/>
      <c r="I2407" s="37" t="n"/>
      <c r="J2407" s="40" t="str">
        <f>IF(OR(C2407="",NOT(ISNUMBER(E2407))),"",IFERROR(E2407*N(INDEX(art_price,MATCH(C2407,art_ref,0))),""))</f>
        <v/>
      </c>
      <c r="K2407" s="39" t="str">
        <f>IF(OR(C2407="",NOT(ISNUMBER(E2407))),"",IFERROR(ROUND(N(INDEX(art_init,MATCH(C2407,art_ref,0)))+SUMIFS($E$5:E2407,$C$5:C2407,C2407,$B$5:B2407,"Entrée")-SUMIFS($E$5:E2407,$C$5:C2407,C2407,$B$5:B2407,"Sortie"),6),""))</f>
        <v/>
      </c>
      <c r="L2407" s="39" t="str">
        <f>IF(COUNTA(A2407:C2407,E2407)=0,"",IF(COUNTA(A2407:C2407,E2407)&lt;4,"Ligne incomplète",IF(NOT(ISNUMBER(A2407)),"Date invalide",IF(AND(B2407&lt;&gt;"Entrée",B2407&lt;&gt;"Sortie"),"Type inconnu",IF(ISNA(MATCH(C2407,art_ref,0)),"Référence inconnue",IF(OR(NOT(ISNUMBER(E2407)),N(E2407)&lt;=0),"Quantité invalide",IF(K2407&lt;0,"Stock négatif",IF(AND(ISNUMBER(A2406),A2407&lt;A2406),"Date hors ordre","OK"))))))))</f>
        <v/>
      </c>
      <c r="M2407" s="39" t="str">
        <f>IF(C2407="","",C2407&amp;"#"&amp;COUNTIF($C$5:C2407,C2407))</f>
        <v/>
      </c>
    </row>
    <row r="2408">
      <c r="A2408" s="41" t="n"/>
      <c r="B2408" s="37" t="n"/>
      <c r="C2408" s="37" t="n"/>
      <c r="D2408" s="39" t="str">
        <f>IF(C2408="","",IFERROR(INDEX(art_des,MATCH(C2408,art_ref,0))&amp;"","Référence inconnue"))</f>
        <v/>
      </c>
      <c r="E2408" s="37" t="n"/>
      <c r="F2408" s="39" t="str">
        <f>IF(C2408="","",IFERROR(INDEX(art_unit,MATCH(C2408,art_ref,0))&amp;"",""))</f>
        <v/>
      </c>
      <c r="G2408" s="37" t="n"/>
      <c r="H2408" s="37" t="n"/>
      <c r="I2408" s="37" t="n"/>
      <c r="J2408" s="40" t="str">
        <f>IF(OR(C2408="",NOT(ISNUMBER(E2408))),"",IFERROR(E2408*N(INDEX(art_price,MATCH(C2408,art_ref,0))),""))</f>
        <v/>
      </c>
      <c r="K2408" s="39" t="str">
        <f>IF(OR(C2408="",NOT(ISNUMBER(E2408))),"",IFERROR(ROUND(N(INDEX(art_init,MATCH(C2408,art_ref,0)))+SUMIFS($E$5:E2408,$C$5:C2408,C2408,$B$5:B2408,"Entrée")-SUMIFS($E$5:E2408,$C$5:C2408,C2408,$B$5:B2408,"Sortie"),6),""))</f>
        <v/>
      </c>
      <c r="L2408" s="39" t="str">
        <f>IF(COUNTA(A2408:C2408,E2408)=0,"",IF(COUNTA(A2408:C2408,E2408)&lt;4,"Ligne incomplète",IF(NOT(ISNUMBER(A2408)),"Date invalide",IF(AND(B2408&lt;&gt;"Entrée",B2408&lt;&gt;"Sortie"),"Type inconnu",IF(ISNA(MATCH(C2408,art_ref,0)),"Référence inconnue",IF(OR(NOT(ISNUMBER(E2408)),N(E2408)&lt;=0),"Quantité invalide",IF(K2408&lt;0,"Stock négatif",IF(AND(ISNUMBER(A2407),A2408&lt;A2407),"Date hors ordre","OK"))))))))</f>
        <v/>
      </c>
      <c r="M2408" s="39" t="str">
        <f>IF(C2408="","",C2408&amp;"#"&amp;COUNTIF($C$5:C2408,C2408))</f>
        <v/>
      </c>
    </row>
    <row r="2409">
      <c r="A2409" s="41" t="n"/>
      <c r="B2409" s="37" t="n"/>
      <c r="C2409" s="37" t="n"/>
      <c r="D2409" s="39" t="str">
        <f>IF(C2409="","",IFERROR(INDEX(art_des,MATCH(C2409,art_ref,0))&amp;"","Référence inconnue"))</f>
        <v/>
      </c>
      <c r="E2409" s="37" t="n"/>
      <c r="F2409" s="39" t="str">
        <f>IF(C2409="","",IFERROR(INDEX(art_unit,MATCH(C2409,art_ref,0))&amp;"",""))</f>
        <v/>
      </c>
      <c r="G2409" s="37" t="n"/>
      <c r="H2409" s="37" t="n"/>
      <c r="I2409" s="37" t="n"/>
      <c r="J2409" s="40" t="str">
        <f>IF(OR(C2409="",NOT(ISNUMBER(E2409))),"",IFERROR(E2409*N(INDEX(art_price,MATCH(C2409,art_ref,0))),""))</f>
        <v/>
      </c>
      <c r="K2409" s="39" t="str">
        <f>IF(OR(C2409="",NOT(ISNUMBER(E2409))),"",IFERROR(ROUND(N(INDEX(art_init,MATCH(C2409,art_ref,0)))+SUMIFS($E$5:E2409,$C$5:C2409,C2409,$B$5:B2409,"Entrée")-SUMIFS($E$5:E2409,$C$5:C2409,C2409,$B$5:B2409,"Sortie"),6),""))</f>
        <v/>
      </c>
      <c r="L2409" s="39" t="str">
        <f>IF(COUNTA(A2409:C2409,E2409)=0,"",IF(COUNTA(A2409:C2409,E2409)&lt;4,"Ligne incomplète",IF(NOT(ISNUMBER(A2409)),"Date invalide",IF(AND(B2409&lt;&gt;"Entrée",B2409&lt;&gt;"Sortie"),"Type inconnu",IF(ISNA(MATCH(C2409,art_ref,0)),"Référence inconnue",IF(OR(NOT(ISNUMBER(E2409)),N(E2409)&lt;=0),"Quantité invalide",IF(K2409&lt;0,"Stock négatif",IF(AND(ISNUMBER(A2408),A2409&lt;A2408),"Date hors ordre","OK"))))))))</f>
        <v/>
      </c>
      <c r="M2409" s="39" t="str">
        <f>IF(C2409="","",C2409&amp;"#"&amp;COUNTIF($C$5:C2409,C2409))</f>
        <v/>
      </c>
    </row>
    <row r="2410">
      <c r="A2410" s="41" t="n"/>
      <c r="B2410" s="37" t="n"/>
      <c r="C2410" s="37" t="n"/>
      <c r="D2410" s="39" t="str">
        <f>IF(C2410="","",IFERROR(INDEX(art_des,MATCH(C2410,art_ref,0))&amp;"","Référence inconnue"))</f>
        <v/>
      </c>
      <c r="E2410" s="37" t="n"/>
      <c r="F2410" s="39" t="str">
        <f>IF(C2410="","",IFERROR(INDEX(art_unit,MATCH(C2410,art_ref,0))&amp;"",""))</f>
        <v/>
      </c>
      <c r="G2410" s="37" t="n"/>
      <c r="H2410" s="37" t="n"/>
      <c r="I2410" s="37" t="n"/>
      <c r="J2410" s="40" t="str">
        <f>IF(OR(C2410="",NOT(ISNUMBER(E2410))),"",IFERROR(E2410*N(INDEX(art_price,MATCH(C2410,art_ref,0))),""))</f>
        <v/>
      </c>
      <c r="K2410" s="39" t="str">
        <f>IF(OR(C2410="",NOT(ISNUMBER(E2410))),"",IFERROR(ROUND(N(INDEX(art_init,MATCH(C2410,art_ref,0)))+SUMIFS($E$5:E2410,$C$5:C2410,C2410,$B$5:B2410,"Entrée")-SUMIFS($E$5:E2410,$C$5:C2410,C2410,$B$5:B2410,"Sortie"),6),""))</f>
        <v/>
      </c>
      <c r="L2410" s="39" t="str">
        <f>IF(COUNTA(A2410:C2410,E2410)=0,"",IF(COUNTA(A2410:C2410,E2410)&lt;4,"Ligne incomplète",IF(NOT(ISNUMBER(A2410)),"Date invalide",IF(AND(B2410&lt;&gt;"Entrée",B2410&lt;&gt;"Sortie"),"Type inconnu",IF(ISNA(MATCH(C2410,art_ref,0)),"Référence inconnue",IF(OR(NOT(ISNUMBER(E2410)),N(E2410)&lt;=0),"Quantité invalide",IF(K2410&lt;0,"Stock négatif",IF(AND(ISNUMBER(A2409),A2410&lt;A2409),"Date hors ordre","OK"))))))))</f>
        <v/>
      </c>
      <c r="M2410" s="39" t="str">
        <f>IF(C2410="","",C2410&amp;"#"&amp;COUNTIF($C$5:C2410,C2410))</f>
        <v/>
      </c>
    </row>
    <row r="2411">
      <c r="A2411" s="41" t="n"/>
      <c r="B2411" s="37" t="n"/>
      <c r="C2411" s="37" t="n"/>
      <c r="D2411" s="39" t="str">
        <f>IF(C2411="","",IFERROR(INDEX(art_des,MATCH(C2411,art_ref,0))&amp;"","Référence inconnue"))</f>
        <v/>
      </c>
      <c r="E2411" s="37" t="n"/>
      <c r="F2411" s="39" t="str">
        <f>IF(C2411="","",IFERROR(INDEX(art_unit,MATCH(C2411,art_ref,0))&amp;"",""))</f>
        <v/>
      </c>
      <c r="G2411" s="37" t="n"/>
      <c r="H2411" s="37" t="n"/>
      <c r="I2411" s="37" t="n"/>
      <c r="J2411" s="40" t="str">
        <f>IF(OR(C2411="",NOT(ISNUMBER(E2411))),"",IFERROR(E2411*N(INDEX(art_price,MATCH(C2411,art_ref,0))),""))</f>
        <v/>
      </c>
      <c r="K2411" s="39" t="str">
        <f>IF(OR(C2411="",NOT(ISNUMBER(E2411))),"",IFERROR(ROUND(N(INDEX(art_init,MATCH(C2411,art_ref,0)))+SUMIFS($E$5:E2411,$C$5:C2411,C2411,$B$5:B2411,"Entrée")-SUMIFS($E$5:E2411,$C$5:C2411,C2411,$B$5:B2411,"Sortie"),6),""))</f>
        <v/>
      </c>
      <c r="L2411" s="39" t="str">
        <f>IF(COUNTA(A2411:C2411,E2411)=0,"",IF(COUNTA(A2411:C2411,E2411)&lt;4,"Ligne incomplète",IF(NOT(ISNUMBER(A2411)),"Date invalide",IF(AND(B2411&lt;&gt;"Entrée",B2411&lt;&gt;"Sortie"),"Type inconnu",IF(ISNA(MATCH(C2411,art_ref,0)),"Référence inconnue",IF(OR(NOT(ISNUMBER(E2411)),N(E2411)&lt;=0),"Quantité invalide",IF(K2411&lt;0,"Stock négatif",IF(AND(ISNUMBER(A2410),A2411&lt;A2410),"Date hors ordre","OK"))))))))</f>
        <v/>
      </c>
      <c r="M2411" s="39" t="str">
        <f>IF(C2411="","",C2411&amp;"#"&amp;COUNTIF($C$5:C2411,C2411))</f>
        <v/>
      </c>
    </row>
    <row r="2412">
      <c r="A2412" s="41" t="n"/>
      <c r="B2412" s="37" t="n"/>
      <c r="C2412" s="37" t="n"/>
      <c r="D2412" s="39" t="str">
        <f>IF(C2412="","",IFERROR(INDEX(art_des,MATCH(C2412,art_ref,0))&amp;"","Référence inconnue"))</f>
        <v/>
      </c>
      <c r="E2412" s="37" t="n"/>
      <c r="F2412" s="39" t="str">
        <f>IF(C2412="","",IFERROR(INDEX(art_unit,MATCH(C2412,art_ref,0))&amp;"",""))</f>
        <v/>
      </c>
      <c r="G2412" s="37" t="n"/>
      <c r="H2412" s="37" t="n"/>
      <c r="I2412" s="37" t="n"/>
      <c r="J2412" s="40" t="str">
        <f>IF(OR(C2412="",NOT(ISNUMBER(E2412))),"",IFERROR(E2412*N(INDEX(art_price,MATCH(C2412,art_ref,0))),""))</f>
        <v/>
      </c>
      <c r="K2412" s="39" t="str">
        <f>IF(OR(C2412="",NOT(ISNUMBER(E2412))),"",IFERROR(ROUND(N(INDEX(art_init,MATCH(C2412,art_ref,0)))+SUMIFS($E$5:E2412,$C$5:C2412,C2412,$B$5:B2412,"Entrée")-SUMIFS($E$5:E2412,$C$5:C2412,C2412,$B$5:B2412,"Sortie"),6),""))</f>
        <v/>
      </c>
      <c r="L2412" s="39" t="str">
        <f>IF(COUNTA(A2412:C2412,E2412)=0,"",IF(COUNTA(A2412:C2412,E2412)&lt;4,"Ligne incomplète",IF(NOT(ISNUMBER(A2412)),"Date invalide",IF(AND(B2412&lt;&gt;"Entrée",B2412&lt;&gt;"Sortie"),"Type inconnu",IF(ISNA(MATCH(C2412,art_ref,0)),"Référence inconnue",IF(OR(NOT(ISNUMBER(E2412)),N(E2412)&lt;=0),"Quantité invalide",IF(K2412&lt;0,"Stock négatif",IF(AND(ISNUMBER(A2411),A2412&lt;A2411),"Date hors ordre","OK"))))))))</f>
        <v/>
      </c>
      <c r="M2412" s="39" t="str">
        <f>IF(C2412="","",C2412&amp;"#"&amp;COUNTIF($C$5:C2412,C2412))</f>
        <v/>
      </c>
    </row>
    <row r="2413">
      <c r="A2413" s="41" t="n"/>
      <c r="B2413" s="37" t="n"/>
      <c r="C2413" s="37" t="n"/>
      <c r="D2413" s="39" t="str">
        <f>IF(C2413="","",IFERROR(INDEX(art_des,MATCH(C2413,art_ref,0))&amp;"","Référence inconnue"))</f>
        <v/>
      </c>
      <c r="E2413" s="37" t="n"/>
      <c r="F2413" s="39" t="str">
        <f>IF(C2413="","",IFERROR(INDEX(art_unit,MATCH(C2413,art_ref,0))&amp;"",""))</f>
        <v/>
      </c>
      <c r="G2413" s="37" t="n"/>
      <c r="H2413" s="37" t="n"/>
      <c r="I2413" s="37" t="n"/>
      <c r="J2413" s="40" t="str">
        <f>IF(OR(C2413="",NOT(ISNUMBER(E2413))),"",IFERROR(E2413*N(INDEX(art_price,MATCH(C2413,art_ref,0))),""))</f>
        <v/>
      </c>
      <c r="K2413" s="39" t="str">
        <f>IF(OR(C2413="",NOT(ISNUMBER(E2413))),"",IFERROR(ROUND(N(INDEX(art_init,MATCH(C2413,art_ref,0)))+SUMIFS($E$5:E2413,$C$5:C2413,C2413,$B$5:B2413,"Entrée")-SUMIFS($E$5:E2413,$C$5:C2413,C2413,$B$5:B2413,"Sortie"),6),""))</f>
        <v/>
      </c>
      <c r="L2413" s="39" t="str">
        <f>IF(COUNTA(A2413:C2413,E2413)=0,"",IF(COUNTA(A2413:C2413,E2413)&lt;4,"Ligne incomplète",IF(NOT(ISNUMBER(A2413)),"Date invalide",IF(AND(B2413&lt;&gt;"Entrée",B2413&lt;&gt;"Sortie"),"Type inconnu",IF(ISNA(MATCH(C2413,art_ref,0)),"Référence inconnue",IF(OR(NOT(ISNUMBER(E2413)),N(E2413)&lt;=0),"Quantité invalide",IF(K2413&lt;0,"Stock négatif",IF(AND(ISNUMBER(A2412),A2413&lt;A2412),"Date hors ordre","OK"))))))))</f>
        <v/>
      </c>
      <c r="M2413" s="39" t="str">
        <f>IF(C2413="","",C2413&amp;"#"&amp;COUNTIF($C$5:C2413,C2413))</f>
        <v/>
      </c>
    </row>
    <row r="2414">
      <c r="A2414" s="41" t="n"/>
      <c r="B2414" s="37" t="n"/>
      <c r="C2414" s="37" t="n"/>
      <c r="D2414" s="39" t="str">
        <f>IF(C2414="","",IFERROR(INDEX(art_des,MATCH(C2414,art_ref,0))&amp;"","Référence inconnue"))</f>
        <v/>
      </c>
      <c r="E2414" s="37" t="n"/>
      <c r="F2414" s="39" t="str">
        <f>IF(C2414="","",IFERROR(INDEX(art_unit,MATCH(C2414,art_ref,0))&amp;"",""))</f>
        <v/>
      </c>
      <c r="G2414" s="37" t="n"/>
      <c r="H2414" s="37" t="n"/>
      <c r="I2414" s="37" t="n"/>
      <c r="J2414" s="40" t="str">
        <f>IF(OR(C2414="",NOT(ISNUMBER(E2414))),"",IFERROR(E2414*N(INDEX(art_price,MATCH(C2414,art_ref,0))),""))</f>
        <v/>
      </c>
      <c r="K2414" s="39" t="str">
        <f>IF(OR(C2414="",NOT(ISNUMBER(E2414))),"",IFERROR(ROUND(N(INDEX(art_init,MATCH(C2414,art_ref,0)))+SUMIFS($E$5:E2414,$C$5:C2414,C2414,$B$5:B2414,"Entrée")-SUMIFS($E$5:E2414,$C$5:C2414,C2414,$B$5:B2414,"Sortie"),6),""))</f>
        <v/>
      </c>
      <c r="L2414" s="39" t="str">
        <f>IF(COUNTA(A2414:C2414,E2414)=0,"",IF(COUNTA(A2414:C2414,E2414)&lt;4,"Ligne incomplète",IF(NOT(ISNUMBER(A2414)),"Date invalide",IF(AND(B2414&lt;&gt;"Entrée",B2414&lt;&gt;"Sortie"),"Type inconnu",IF(ISNA(MATCH(C2414,art_ref,0)),"Référence inconnue",IF(OR(NOT(ISNUMBER(E2414)),N(E2414)&lt;=0),"Quantité invalide",IF(K2414&lt;0,"Stock négatif",IF(AND(ISNUMBER(A2413),A2414&lt;A2413),"Date hors ordre","OK"))))))))</f>
        <v/>
      </c>
      <c r="M2414" s="39" t="str">
        <f>IF(C2414="","",C2414&amp;"#"&amp;COUNTIF($C$5:C2414,C2414))</f>
        <v/>
      </c>
    </row>
    <row r="2415">
      <c r="A2415" s="41" t="n"/>
      <c r="B2415" s="37" t="n"/>
      <c r="C2415" s="37" t="n"/>
      <c r="D2415" s="39" t="str">
        <f>IF(C2415="","",IFERROR(INDEX(art_des,MATCH(C2415,art_ref,0))&amp;"","Référence inconnue"))</f>
        <v/>
      </c>
      <c r="E2415" s="37" t="n"/>
      <c r="F2415" s="39" t="str">
        <f>IF(C2415="","",IFERROR(INDEX(art_unit,MATCH(C2415,art_ref,0))&amp;"",""))</f>
        <v/>
      </c>
      <c r="G2415" s="37" t="n"/>
      <c r="H2415" s="37" t="n"/>
      <c r="I2415" s="37" t="n"/>
      <c r="J2415" s="40" t="str">
        <f>IF(OR(C2415="",NOT(ISNUMBER(E2415))),"",IFERROR(E2415*N(INDEX(art_price,MATCH(C2415,art_ref,0))),""))</f>
        <v/>
      </c>
      <c r="K2415" s="39" t="str">
        <f>IF(OR(C2415="",NOT(ISNUMBER(E2415))),"",IFERROR(ROUND(N(INDEX(art_init,MATCH(C2415,art_ref,0)))+SUMIFS($E$5:E2415,$C$5:C2415,C2415,$B$5:B2415,"Entrée")-SUMIFS($E$5:E2415,$C$5:C2415,C2415,$B$5:B2415,"Sortie"),6),""))</f>
        <v/>
      </c>
      <c r="L2415" s="39" t="str">
        <f>IF(COUNTA(A2415:C2415,E2415)=0,"",IF(COUNTA(A2415:C2415,E2415)&lt;4,"Ligne incomplète",IF(NOT(ISNUMBER(A2415)),"Date invalide",IF(AND(B2415&lt;&gt;"Entrée",B2415&lt;&gt;"Sortie"),"Type inconnu",IF(ISNA(MATCH(C2415,art_ref,0)),"Référence inconnue",IF(OR(NOT(ISNUMBER(E2415)),N(E2415)&lt;=0),"Quantité invalide",IF(K2415&lt;0,"Stock négatif",IF(AND(ISNUMBER(A2414),A2415&lt;A2414),"Date hors ordre","OK"))))))))</f>
        <v/>
      </c>
      <c r="M2415" s="39" t="str">
        <f>IF(C2415="","",C2415&amp;"#"&amp;COUNTIF($C$5:C2415,C2415))</f>
        <v/>
      </c>
    </row>
    <row r="2416">
      <c r="A2416" s="41" t="n"/>
      <c r="B2416" s="37" t="n"/>
      <c r="C2416" s="37" t="n"/>
      <c r="D2416" s="39" t="str">
        <f>IF(C2416="","",IFERROR(INDEX(art_des,MATCH(C2416,art_ref,0))&amp;"","Référence inconnue"))</f>
        <v/>
      </c>
      <c r="E2416" s="37" t="n"/>
      <c r="F2416" s="39" t="str">
        <f>IF(C2416="","",IFERROR(INDEX(art_unit,MATCH(C2416,art_ref,0))&amp;"",""))</f>
        <v/>
      </c>
      <c r="G2416" s="37" t="n"/>
      <c r="H2416" s="37" t="n"/>
      <c r="I2416" s="37" t="n"/>
      <c r="J2416" s="40" t="str">
        <f>IF(OR(C2416="",NOT(ISNUMBER(E2416))),"",IFERROR(E2416*N(INDEX(art_price,MATCH(C2416,art_ref,0))),""))</f>
        <v/>
      </c>
      <c r="K2416" s="39" t="str">
        <f>IF(OR(C2416="",NOT(ISNUMBER(E2416))),"",IFERROR(ROUND(N(INDEX(art_init,MATCH(C2416,art_ref,0)))+SUMIFS($E$5:E2416,$C$5:C2416,C2416,$B$5:B2416,"Entrée")-SUMIFS($E$5:E2416,$C$5:C2416,C2416,$B$5:B2416,"Sortie"),6),""))</f>
        <v/>
      </c>
      <c r="L2416" s="39" t="str">
        <f>IF(COUNTA(A2416:C2416,E2416)=0,"",IF(COUNTA(A2416:C2416,E2416)&lt;4,"Ligne incomplète",IF(NOT(ISNUMBER(A2416)),"Date invalide",IF(AND(B2416&lt;&gt;"Entrée",B2416&lt;&gt;"Sortie"),"Type inconnu",IF(ISNA(MATCH(C2416,art_ref,0)),"Référence inconnue",IF(OR(NOT(ISNUMBER(E2416)),N(E2416)&lt;=0),"Quantité invalide",IF(K2416&lt;0,"Stock négatif",IF(AND(ISNUMBER(A2415),A2416&lt;A2415),"Date hors ordre","OK"))))))))</f>
        <v/>
      </c>
      <c r="M2416" s="39" t="str">
        <f>IF(C2416="","",C2416&amp;"#"&amp;COUNTIF($C$5:C2416,C2416))</f>
        <v/>
      </c>
    </row>
    <row r="2417">
      <c r="A2417" s="41" t="n"/>
      <c r="B2417" s="37" t="n"/>
      <c r="C2417" s="37" t="n"/>
      <c r="D2417" s="39" t="str">
        <f>IF(C2417="","",IFERROR(INDEX(art_des,MATCH(C2417,art_ref,0))&amp;"","Référence inconnue"))</f>
        <v/>
      </c>
      <c r="E2417" s="37" t="n"/>
      <c r="F2417" s="39" t="str">
        <f>IF(C2417="","",IFERROR(INDEX(art_unit,MATCH(C2417,art_ref,0))&amp;"",""))</f>
        <v/>
      </c>
      <c r="G2417" s="37" t="n"/>
      <c r="H2417" s="37" t="n"/>
      <c r="I2417" s="37" t="n"/>
      <c r="J2417" s="40" t="str">
        <f>IF(OR(C2417="",NOT(ISNUMBER(E2417))),"",IFERROR(E2417*N(INDEX(art_price,MATCH(C2417,art_ref,0))),""))</f>
        <v/>
      </c>
      <c r="K2417" s="39" t="str">
        <f>IF(OR(C2417="",NOT(ISNUMBER(E2417))),"",IFERROR(ROUND(N(INDEX(art_init,MATCH(C2417,art_ref,0)))+SUMIFS($E$5:E2417,$C$5:C2417,C2417,$B$5:B2417,"Entrée")-SUMIFS($E$5:E2417,$C$5:C2417,C2417,$B$5:B2417,"Sortie"),6),""))</f>
        <v/>
      </c>
      <c r="L2417" s="39" t="str">
        <f>IF(COUNTA(A2417:C2417,E2417)=0,"",IF(COUNTA(A2417:C2417,E2417)&lt;4,"Ligne incomplète",IF(NOT(ISNUMBER(A2417)),"Date invalide",IF(AND(B2417&lt;&gt;"Entrée",B2417&lt;&gt;"Sortie"),"Type inconnu",IF(ISNA(MATCH(C2417,art_ref,0)),"Référence inconnue",IF(OR(NOT(ISNUMBER(E2417)),N(E2417)&lt;=0),"Quantité invalide",IF(K2417&lt;0,"Stock négatif",IF(AND(ISNUMBER(A2416),A2417&lt;A2416),"Date hors ordre","OK"))))))))</f>
        <v/>
      </c>
      <c r="M2417" s="39" t="str">
        <f>IF(C2417="","",C2417&amp;"#"&amp;COUNTIF($C$5:C2417,C2417))</f>
        <v/>
      </c>
    </row>
    <row r="2418">
      <c r="A2418" s="41" t="n"/>
      <c r="B2418" s="37" t="n"/>
      <c r="C2418" s="37" t="n"/>
      <c r="D2418" s="39" t="str">
        <f>IF(C2418="","",IFERROR(INDEX(art_des,MATCH(C2418,art_ref,0))&amp;"","Référence inconnue"))</f>
        <v/>
      </c>
      <c r="E2418" s="37" t="n"/>
      <c r="F2418" s="39" t="str">
        <f>IF(C2418="","",IFERROR(INDEX(art_unit,MATCH(C2418,art_ref,0))&amp;"",""))</f>
        <v/>
      </c>
      <c r="G2418" s="37" t="n"/>
      <c r="H2418" s="37" t="n"/>
      <c r="I2418" s="37" t="n"/>
      <c r="J2418" s="40" t="str">
        <f>IF(OR(C2418="",NOT(ISNUMBER(E2418))),"",IFERROR(E2418*N(INDEX(art_price,MATCH(C2418,art_ref,0))),""))</f>
        <v/>
      </c>
      <c r="K2418" s="39" t="str">
        <f>IF(OR(C2418="",NOT(ISNUMBER(E2418))),"",IFERROR(ROUND(N(INDEX(art_init,MATCH(C2418,art_ref,0)))+SUMIFS($E$5:E2418,$C$5:C2418,C2418,$B$5:B2418,"Entrée")-SUMIFS($E$5:E2418,$C$5:C2418,C2418,$B$5:B2418,"Sortie"),6),""))</f>
        <v/>
      </c>
      <c r="L2418" s="39" t="str">
        <f>IF(COUNTA(A2418:C2418,E2418)=0,"",IF(COUNTA(A2418:C2418,E2418)&lt;4,"Ligne incomplète",IF(NOT(ISNUMBER(A2418)),"Date invalide",IF(AND(B2418&lt;&gt;"Entrée",B2418&lt;&gt;"Sortie"),"Type inconnu",IF(ISNA(MATCH(C2418,art_ref,0)),"Référence inconnue",IF(OR(NOT(ISNUMBER(E2418)),N(E2418)&lt;=0),"Quantité invalide",IF(K2418&lt;0,"Stock négatif",IF(AND(ISNUMBER(A2417),A2418&lt;A2417),"Date hors ordre","OK"))))))))</f>
        <v/>
      </c>
      <c r="M2418" s="39" t="str">
        <f>IF(C2418="","",C2418&amp;"#"&amp;COUNTIF($C$5:C2418,C2418))</f>
        <v/>
      </c>
    </row>
    <row r="2419">
      <c r="A2419" s="41" t="n"/>
      <c r="B2419" s="37" t="n"/>
      <c r="C2419" s="37" t="n"/>
      <c r="D2419" s="39" t="str">
        <f>IF(C2419="","",IFERROR(INDEX(art_des,MATCH(C2419,art_ref,0))&amp;"","Référence inconnue"))</f>
        <v/>
      </c>
      <c r="E2419" s="37" t="n"/>
      <c r="F2419" s="39" t="str">
        <f>IF(C2419="","",IFERROR(INDEX(art_unit,MATCH(C2419,art_ref,0))&amp;"",""))</f>
        <v/>
      </c>
      <c r="G2419" s="37" t="n"/>
      <c r="H2419" s="37" t="n"/>
      <c r="I2419" s="37" t="n"/>
      <c r="J2419" s="40" t="str">
        <f>IF(OR(C2419="",NOT(ISNUMBER(E2419))),"",IFERROR(E2419*N(INDEX(art_price,MATCH(C2419,art_ref,0))),""))</f>
        <v/>
      </c>
      <c r="K2419" s="39" t="str">
        <f>IF(OR(C2419="",NOT(ISNUMBER(E2419))),"",IFERROR(ROUND(N(INDEX(art_init,MATCH(C2419,art_ref,0)))+SUMIFS($E$5:E2419,$C$5:C2419,C2419,$B$5:B2419,"Entrée")-SUMIFS($E$5:E2419,$C$5:C2419,C2419,$B$5:B2419,"Sortie"),6),""))</f>
        <v/>
      </c>
      <c r="L2419" s="39" t="str">
        <f>IF(COUNTA(A2419:C2419,E2419)=0,"",IF(COUNTA(A2419:C2419,E2419)&lt;4,"Ligne incomplète",IF(NOT(ISNUMBER(A2419)),"Date invalide",IF(AND(B2419&lt;&gt;"Entrée",B2419&lt;&gt;"Sortie"),"Type inconnu",IF(ISNA(MATCH(C2419,art_ref,0)),"Référence inconnue",IF(OR(NOT(ISNUMBER(E2419)),N(E2419)&lt;=0),"Quantité invalide",IF(K2419&lt;0,"Stock négatif",IF(AND(ISNUMBER(A2418),A2419&lt;A2418),"Date hors ordre","OK"))))))))</f>
        <v/>
      </c>
      <c r="M2419" s="39" t="str">
        <f>IF(C2419="","",C2419&amp;"#"&amp;COUNTIF($C$5:C2419,C2419))</f>
        <v/>
      </c>
    </row>
    <row r="2420">
      <c r="A2420" s="41" t="n"/>
      <c r="B2420" s="37" t="n"/>
      <c r="C2420" s="37" t="n"/>
      <c r="D2420" s="39" t="str">
        <f>IF(C2420="","",IFERROR(INDEX(art_des,MATCH(C2420,art_ref,0))&amp;"","Référence inconnue"))</f>
        <v/>
      </c>
      <c r="E2420" s="37" t="n"/>
      <c r="F2420" s="39" t="str">
        <f>IF(C2420="","",IFERROR(INDEX(art_unit,MATCH(C2420,art_ref,0))&amp;"",""))</f>
        <v/>
      </c>
      <c r="G2420" s="37" t="n"/>
      <c r="H2420" s="37" t="n"/>
      <c r="I2420" s="37" t="n"/>
      <c r="J2420" s="40" t="str">
        <f>IF(OR(C2420="",NOT(ISNUMBER(E2420))),"",IFERROR(E2420*N(INDEX(art_price,MATCH(C2420,art_ref,0))),""))</f>
        <v/>
      </c>
      <c r="K2420" s="39" t="str">
        <f>IF(OR(C2420="",NOT(ISNUMBER(E2420))),"",IFERROR(ROUND(N(INDEX(art_init,MATCH(C2420,art_ref,0)))+SUMIFS($E$5:E2420,$C$5:C2420,C2420,$B$5:B2420,"Entrée")-SUMIFS($E$5:E2420,$C$5:C2420,C2420,$B$5:B2420,"Sortie"),6),""))</f>
        <v/>
      </c>
      <c r="L2420" s="39" t="str">
        <f>IF(COUNTA(A2420:C2420,E2420)=0,"",IF(COUNTA(A2420:C2420,E2420)&lt;4,"Ligne incomplète",IF(NOT(ISNUMBER(A2420)),"Date invalide",IF(AND(B2420&lt;&gt;"Entrée",B2420&lt;&gt;"Sortie"),"Type inconnu",IF(ISNA(MATCH(C2420,art_ref,0)),"Référence inconnue",IF(OR(NOT(ISNUMBER(E2420)),N(E2420)&lt;=0),"Quantité invalide",IF(K2420&lt;0,"Stock négatif",IF(AND(ISNUMBER(A2419),A2420&lt;A2419),"Date hors ordre","OK"))))))))</f>
        <v/>
      </c>
      <c r="M2420" s="39" t="str">
        <f>IF(C2420="","",C2420&amp;"#"&amp;COUNTIF($C$5:C2420,C2420))</f>
        <v/>
      </c>
    </row>
    <row r="2421">
      <c r="A2421" s="41" t="n"/>
      <c r="B2421" s="37" t="n"/>
      <c r="C2421" s="37" t="n"/>
      <c r="D2421" s="39" t="str">
        <f>IF(C2421="","",IFERROR(INDEX(art_des,MATCH(C2421,art_ref,0))&amp;"","Référence inconnue"))</f>
        <v/>
      </c>
      <c r="E2421" s="37" t="n"/>
      <c r="F2421" s="39" t="str">
        <f>IF(C2421="","",IFERROR(INDEX(art_unit,MATCH(C2421,art_ref,0))&amp;"",""))</f>
        <v/>
      </c>
      <c r="G2421" s="37" t="n"/>
      <c r="H2421" s="37" t="n"/>
      <c r="I2421" s="37" t="n"/>
      <c r="J2421" s="40" t="str">
        <f>IF(OR(C2421="",NOT(ISNUMBER(E2421))),"",IFERROR(E2421*N(INDEX(art_price,MATCH(C2421,art_ref,0))),""))</f>
        <v/>
      </c>
      <c r="K2421" s="39" t="str">
        <f>IF(OR(C2421="",NOT(ISNUMBER(E2421))),"",IFERROR(ROUND(N(INDEX(art_init,MATCH(C2421,art_ref,0)))+SUMIFS($E$5:E2421,$C$5:C2421,C2421,$B$5:B2421,"Entrée")-SUMIFS($E$5:E2421,$C$5:C2421,C2421,$B$5:B2421,"Sortie"),6),""))</f>
        <v/>
      </c>
      <c r="L2421" s="39" t="str">
        <f>IF(COUNTA(A2421:C2421,E2421)=0,"",IF(COUNTA(A2421:C2421,E2421)&lt;4,"Ligne incomplète",IF(NOT(ISNUMBER(A2421)),"Date invalide",IF(AND(B2421&lt;&gt;"Entrée",B2421&lt;&gt;"Sortie"),"Type inconnu",IF(ISNA(MATCH(C2421,art_ref,0)),"Référence inconnue",IF(OR(NOT(ISNUMBER(E2421)),N(E2421)&lt;=0),"Quantité invalide",IF(K2421&lt;0,"Stock négatif",IF(AND(ISNUMBER(A2420),A2421&lt;A2420),"Date hors ordre","OK"))))))))</f>
        <v/>
      </c>
      <c r="M2421" s="39" t="str">
        <f>IF(C2421="","",C2421&amp;"#"&amp;COUNTIF($C$5:C2421,C2421))</f>
        <v/>
      </c>
    </row>
    <row r="2422">
      <c r="A2422" s="41" t="n"/>
      <c r="B2422" s="37" t="n"/>
      <c r="C2422" s="37" t="n"/>
      <c r="D2422" s="39" t="str">
        <f>IF(C2422="","",IFERROR(INDEX(art_des,MATCH(C2422,art_ref,0))&amp;"","Référence inconnue"))</f>
        <v/>
      </c>
      <c r="E2422" s="37" t="n"/>
      <c r="F2422" s="39" t="str">
        <f>IF(C2422="","",IFERROR(INDEX(art_unit,MATCH(C2422,art_ref,0))&amp;"",""))</f>
        <v/>
      </c>
      <c r="G2422" s="37" t="n"/>
      <c r="H2422" s="37" t="n"/>
      <c r="I2422" s="37" t="n"/>
      <c r="J2422" s="40" t="str">
        <f>IF(OR(C2422="",NOT(ISNUMBER(E2422))),"",IFERROR(E2422*N(INDEX(art_price,MATCH(C2422,art_ref,0))),""))</f>
        <v/>
      </c>
      <c r="K2422" s="39" t="str">
        <f>IF(OR(C2422="",NOT(ISNUMBER(E2422))),"",IFERROR(ROUND(N(INDEX(art_init,MATCH(C2422,art_ref,0)))+SUMIFS($E$5:E2422,$C$5:C2422,C2422,$B$5:B2422,"Entrée")-SUMIFS($E$5:E2422,$C$5:C2422,C2422,$B$5:B2422,"Sortie"),6),""))</f>
        <v/>
      </c>
      <c r="L2422" s="39" t="str">
        <f>IF(COUNTA(A2422:C2422,E2422)=0,"",IF(COUNTA(A2422:C2422,E2422)&lt;4,"Ligne incomplète",IF(NOT(ISNUMBER(A2422)),"Date invalide",IF(AND(B2422&lt;&gt;"Entrée",B2422&lt;&gt;"Sortie"),"Type inconnu",IF(ISNA(MATCH(C2422,art_ref,0)),"Référence inconnue",IF(OR(NOT(ISNUMBER(E2422)),N(E2422)&lt;=0),"Quantité invalide",IF(K2422&lt;0,"Stock négatif",IF(AND(ISNUMBER(A2421),A2422&lt;A2421),"Date hors ordre","OK"))))))))</f>
        <v/>
      </c>
      <c r="M2422" s="39" t="str">
        <f>IF(C2422="","",C2422&amp;"#"&amp;COUNTIF($C$5:C2422,C2422))</f>
        <v/>
      </c>
    </row>
    <row r="2423">
      <c r="A2423" s="41" t="n"/>
      <c r="B2423" s="37" t="n"/>
      <c r="C2423" s="37" t="n"/>
      <c r="D2423" s="39" t="str">
        <f>IF(C2423="","",IFERROR(INDEX(art_des,MATCH(C2423,art_ref,0))&amp;"","Référence inconnue"))</f>
        <v/>
      </c>
      <c r="E2423" s="37" t="n"/>
      <c r="F2423" s="39" t="str">
        <f>IF(C2423="","",IFERROR(INDEX(art_unit,MATCH(C2423,art_ref,0))&amp;"",""))</f>
        <v/>
      </c>
      <c r="G2423" s="37" t="n"/>
      <c r="H2423" s="37" t="n"/>
      <c r="I2423" s="37" t="n"/>
      <c r="J2423" s="40" t="str">
        <f>IF(OR(C2423="",NOT(ISNUMBER(E2423))),"",IFERROR(E2423*N(INDEX(art_price,MATCH(C2423,art_ref,0))),""))</f>
        <v/>
      </c>
      <c r="K2423" s="39" t="str">
        <f>IF(OR(C2423="",NOT(ISNUMBER(E2423))),"",IFERROR(ROUND(N(INDEX(art_init,MATCH(C2423,art_ref,0)))+SUMIFS($E$5:E2423,$C$5:C2423,C2423,$B$5:B2423,"Entrée")-SUMIFS($E$5:E2423,$C$5:C2423,C2423,$B$5:B2423,"Sortie"),6),""))</f>
        <v/>
      </c>
      <c r="L2423" s="39" t="str">
        <f>IF(COUNTA(A2423:C2423,E2423)=0,"",IF(COUNTA(A2423:C2423,E2423)&lt;4,"Ligne incomplète",IF(NOT(ISNUMBER(A2423)),"Date invalide",IF(AND(B2423&lt;&gt;"Entrée",B2423&lt;&gt;"Sortie"),"Type inconnu",IF(ISNA(MATCH(C2423,art_ref,0)),"Référence inconnue",IF(OR(NOT(ISNUMBER(E2423)),N(E2423)&lt;=0),"Quantité invalide",IF(K2423&lt;0,"Stock négatif",IF(AND(ISNUMBER(A2422),A2423&lt;A2422),"Date hors ordre","OK"))))))))</f>
        <v/>
      </c>
      <c r="M2423" s="39" t="str">
        <f>IF(C2423="","",C2423&amp;"#"&amp;COUNTIF($C$5:C2423,C2423))</f>
        <v/>
      </c>
    </row>
    <row r="2424">
      <c r="A2424" s="41" t="n"/>
      <c r="B2424" s="37" t="n"/>
      <c r="C2424" s="37" t="n"/>
      <c r="D2424" s="39" t="str">
        <f>IF(C2424="","",IFERROR(INDEX(art_des,MATCH(C2424,art_ref,0))&amp;"","Référence inconnue"))</f>
        <v/>
      </c>
      <c r="E2424" s="37" t="n"/>
      <c r="F2424" s="39" t="str">
        <f>IF(C2424="","",IFERROR(INDEX(art_unit,MATCH(C2424,art_ref,0))&amp;"",""))</f>
        <v/>
      </c>
      <c r="G2424" s="37" t="n"/>
      <c r="H2424" s="37" t="n"/>
      <c r="I2424" s="37" t="n"/>
      <c r="J2424" s="40" t="str">
        <f>IF(OR(C2424="",NOT(ISNUMBER(E2424))),"",IFERROR(E2424*N(INDEX(art_price,MATCH(C2424,art_ref,0))),""))</f>
        <v/>
      </c>
      <c r="K2424" s="39" t="str">
        <f>IF(OR(C2424="",NOT(ISNUMBER(E2424))),"",IFERROR(ROUND(N(INDEX(art_init,MATCH(C2424,art_ref,0)))+SUMIFS($E$5:E2424,$C$5:C2424,C2424,$B$5:B2424,"Entrée")-SUMIFS($E$5:E2424,$C$5:C2424,C2424,$B$5:B2424,"Sortie"),6),""))</f>
        <v/>
      </c>
      <c r="L2424" s="39" t="str">
        <f>IF(COUNTA(A2424:C2424,E2424)=0,"",IF(COUNTA(A2424:C2424,E2424)&lt;4,"Ligne incomplète",IF(NOT(ISNUMBER(A2424)),"Date invalide",IF(AND(B2424&lt;&gt;"Entrée",B2424&lt;&gt;"Sortie"),"Type inconnu",IF(ISNA(MATCH(C2424,art_ref,0)),"Référence inconnue",IF(OR(NOT(ISNUMBER(E2424)),N(E2424)&lt;=0),"Quantité invalide",IF(K2424&lt;0,"Stock négatif",IF(AND(ISNUMBER(A2423),A2424&lt;A2423),"Date hors ordre","OK"))))))))</f>
        <v/>
      </c>
      <c r="M2424" s="39" t="str">
        <f>IF(C2424="","",C2424&amp;"#"&amp;COUNTIF($C$5:C2424,C2424))</f>
        <v/>
      </c>
    </row>
    <row r="2425">
      <c r="A2425" s="41" t="n"/>
      <c r="B2425" s="37" t="n"/>
      <c r="C2425" s="37" t="n"/>
      <c r="D2425" s="39" t="str">
        <f>IF(C2425="","",IFERROR(INDEX(art_des,MATCH(C2425,art_ref,0))&amp;"","Référence inconnue"))</f>
        <v/>
      </c>
      <c r="E2425" s="37" t="n"/>
      <c r="F2425" s="39" t="str">
        <f>IF(C2425="","",IFERROR(INDEX(art_unit,MATCH(C2425,art_ref,0))&amp;"",""))</f>
        <v/>
      </c>
      <c r="G2425" s="37" t="n"/>
      <c r="H2425" s="37" t="n"/>
      <c r="I2425" s="37" t="n"/>
      <c r="J2425" s="40" t="str">
        <f>IF(OR(C2425="",NOT(ISNUMBER(E2425))),"",IFERROR(E2425*N(INDEX(art_price,MATCH(C2425,art_ref,0))),""))</f>
        <v/>
      </c>
      <c r="K2425" s="39" t="str">
        <f>IF(OR(C2425="",NOT(ISNUMBER(E2425))),"",IFERROR(ROUND(N(INDEX(art_init,MATCH(C2425,art_ref,0)))+SUMIFS($E$5:E2425,$C$5:C2425,C2425,$B$5:B2425,"Entrée")-SUMIFS($E$5:E2425,$C$5:C2425,C2425,$B$5:B2425,"Sortie"),6),""))</f>
        <v/>
      </c>
      <c r="L2425" s="39" t="str">
        <f>IF(COUNTA(A2425:C2425,E2425)=0,"",IF(COUNTA(A2425:C2425,E2425)&lt;4,"Ligne incomplète",IF(NOT(ISNUMBER(A2425)),"Date invalide",IF(AND(B2425&lt;&gt;"Entrée",B2425&lt;&gt;"Sortie"),"Type inconnu",IF(ISNA(MATCH(C2425,art_ref,0)),"Référence inconnue",IF(OR(NOT(ISNUMBER(E2425)),N(E2425)&lt;=0),"Quantité invalide",IF(K2425&lt;0,"Stock négatif",IF(AND(ISNUMBER(A2424),A2425&lt;A2424),"Date hors ordre","OK"))))))))</f>
        <v/>
      </c>
      <c r="M2425" s="39" t="str">
        <f>IF(C2425="","",C2425&amp;"#"&amp;COUNTIF($C$5:C2425,C2425))</f>
        <v/>
      </c>
    </row>
    <row r="2426">
      <c r="A2426" s="41" t="n"/>
      <c r="B2426" s="37" t="n"/>
      <c r="C2426" s="37" t="n"/>
      <c r="D2426" s="39" t="str">
        <f>IF(C2426="","",IFERROR(INDEX(art_des,MATCH(C2426,art_ref,0))&amp;"","Référence inconnue"))</f>
        <v/>
      </c>
      <c r="E2426" s="37" t="n"/>
      <c r="F2426" s="39" t="str">
        <f>IF(C2426="","",IFERROR(INDEX(art_unit,MATCH(C2426,art_ref,0))&amp;"",""))</f>
        <v/>
      </c>
      <c r="G2426" s="37" t="n"/>
      <c r="H2426" s="37" t="n"/>
      <c r="I2426" s="37" t="n"/>
      <c r="J2426" s="40" t="str">
        <f>IF(OR(C2426="",NOT(ISNUMBER(E2426))),"",IFERROR(E2426*N(INDEX(art_price,MATCH(C2426,art_ref,0))),""))</f>
        <v/>
      </c>
      <c r="K2426" s="39" t="str">
        <f>IF(OR(C2426="",NOT(ISNUMBER(E2426))),"",IFERROR(ROUND(N(INDEX(art_init,MATCH(C2426,art_ref,0)))+SUMIFS($E$5:E2426,$C$5:C2426,C2426,$B$5:B2426,"Entrée")-SUMIFS($E$5:E2426,$C$5:C2426,C2426,$B$5:B2426,"Sortie"),6),""))</f>
        <v/>
      </c>
      <c r="L2426" s="39" t="str">
        <f>IF(COUNTA(A2426:C2426,E2426)=0,"",IF(COUNTA(A2426:C2426,E2426)&lt;4,"Ligne incomplète",IF(NOT(ISNUMBER(A2426)),"Date invalide",IF(AND(B2426&lt;&gt;"Entrée",B2426&lt;&gt;"Sortie"),"Type inconnu",IF(ISNA(MATCH(C2426,art_ref,0)),"Référence inconnue",IF(OR(NOT(ISNUMBER(E2426)),N(E2426)&lt;=0),"Quantité invalide",IF(K2426&lt;0,"Stock négatif",IF(AND(ISNUMBER(A2425),A2426&lt;A2425),"Date hors ordre","OK"))))))))</f>
        <v/>
      </c>
      <c r="M2426" s="39" t="str">
        <f>IF(C2426="","",C2426&amp;"#"&amp;COUNTIF($C$5:C2426,C2426))</f>
        <v/>
      </c>
    </row>
    <row r="2427">
      <c r="A2427" s="41" t="n"/>
      <c r="B2427" s="37" t="n"/>
      <c r="C2427" s="37" t="n"/>
      <c r="D2427" s="39" t="str">
        <f>IF(C2427="","",IFERROR(INDEX(art_des,MATCH(C2427,art_ref,0))&amp;"","Référence inconnue"))</f>
        <v/>
      </c>
      <c r="E2427" s="37" t="n"/>
      <c r="F2427" s="39" t="str">
        <f>IF(C2427="","",IFERROR(INDEX(art_unit,MATCH(C2427,art_ref,0))&amp;"",""))</f>
        <v/>
      </c>
      <c r="G2427" s="37" t="n"/>
      <c r="H2427" s="37" t="n"/>
      <c r="I2427" s="37" t="n"/>
      <c r="J2427" s="40" t="str">
        <f>IF(OR(C2427="",NOT(ISNUMBER(E2427))),"",IFERROR(E2427*N(INDEX(art_price,MATCH(C2427,art_ref,0))),""))</f>
        <v/>
      </c>
      <c r="K2427" s="39" t="str">
        <f>IF(OR(C2427="",NOT(ISNUMBER(E2427))),"",IFERROR(ROUND(N(INDEX(art_init,MATCH(C2427,art_ref,0)))+SUMIFS($E$5:E2427,$C$5:C2427,C2427,$B$5:B2427,"Entrée")-SUMIFS($E$5:E2427,$C$5:C2427,C2427,$B$5:B2427,"Sortie"),6),""))</f>
        <v/>
      </c>
      <c r="L2427" s="39" t="str">
        <f>IF(COUNTA(A2427:C2427,E2427)=0,"",IF(COUNTA(A2427:C2427,E2427)&lt;4,"Ligne incomplète",IF(NOT(ISNUMBER(A2427)),"Date invalide",IF(AND(B2427&lt;&gt;"Entrée",B2427&lt;&gt;"Sortie"),"Type inconnu",IF(ISNA(MATCH(C2427,art_ref,0)),"Référence inconnue",IF(OR(NOT(ISNUMBER(E2427)),N(E2427)&lt;=0),"Quantité invalide",IF(K2427&lt;0,"Stock négatif",IF(AND(ISNUMBER(A2426),A2427&lt;A2426),"Date hors ordre","OK"))))))))</f>
        <v/>
      </c>
      <c r="M2427" s="39" t="str">
        <f>IF(C2427="","",C2427&amp;"#"&amp;COUNTIF($C$5:C2427,C2427))</f>
        <v/>
      </c>
    </row>
    <row r="2428">
      <c r="A2428" s="41" t="n"/>
      <c r="B2428" s="37" t="n"/>
      <c r="C2428" s="37" t="n"/>
      <c r="D2428" s="39" t="str">
        <f>IF(C2428="","",IFERROR(INDEX(art_des,MATCH(C2428,art_ref,0))&amp;"","Référence inconnue"))</f>
        <v/>
      </c>
      <c r="E2428" s="37" t="n"/>
      <c r="F2428" s="39" t="str">
        <f>IF(C2428="","",IFERROR(INDEX(art_unit,MATCH(C2428,art_ref,0))&amp;"",""))</f>
        <v/>
      </c>
      <c r="G2428" s="37" t="n"/>
      <c r="H2428" s="37" t="n"/>
      <c r="I2428" s="37" t="n"/>
      <c r="J2428" s="40" t="str">
        <f>IF(OR(C2428="",NOT(ISNUMBER(E2428))),"",IFERROR(E2428*N(INDEX(art_price,MATCH(C2428,art_ref,0))),""))</f>
        <v/>
      </c>
      <c r="K2428" s="39" t="str">
        <f>IF(OR(C2428="",NOT(ISNUMBER(E2428))),"",IFERROR(ROUND(N(INDEX(art_init,MATCH(C2428,art_ref,0)))+SUMIFS($E$5:E2428,$C$5:C2428,C2428,$B$5:B2428,"Entrée")-SUMIFS($E$5:E2428,$C$5:C2428,C2428,$B$5:B2428,"Sortie"),6),""))</f>
        <v/>
      </c>
      <c r="L2428" s="39" t="str">
        <f>IF(COUNTA(A2428:C2428,E2428)=0,"",IF(COUNTA(A2428:C2428,E2428)&lt;4,"Ligne incomplète",IF(NOT(ISNUMBER(A2428)),"Date invalide",IF(AND(B2428&lt;&gt;"Entrée",B2428&lt;&gt;"Sortie"),"Type inconnu",IF(ISNA(MATCH(C2428,art_ref,0)),"Référence inconnue",IF(OR(NOT(ISNUMBER(E2428)),N(E2428)&lt;=0),"Quantité invalide",IF(K2428&lt;0,"Stock négatif",IF(AND(ISNUMBER(A2427),A2428&lt;A2427),"Date hors ordre","OK"))))))))</f>
        <v/>
      </c>
      <c r="M2428" s="39" t="str">
        <f>IF(C2428="","",C2428&amp;"#"&amp;COUNTIF($C$5:C2428,C2428))</f>
        <v/>
      </c>
    </row>
    <row r="2429">
      <c r="A2429" s="41" t="n"/>
      <c r="B2429" s="37" t="n"/>
      <c r="C2429" s="37" t="n"/>
      <c r="D2429" s="39" t="str">
        <f>IF(C2429="","",IFERROR(INDEX(art_des,MATCH(C2429,art_ref,0))&amp;"","Référence inconnue"))</f>
        <v/>
      </c>
      <c r="E2429" s="37" t="n"/>
      <c r="F2429" s="39" t="str">
        <f>IF(C2429="","",IFERROR(INDEX(art_unit,MATCH(C2429,art_ref,0))&amp;"",""))</f>
        <v/>
      </c>
      <c r="G2429" s="37" t="n"/>
      <c r="H2429" s="37" t="n"/>
      <c r="I2429" s="37" t="n"/>
      <c r="J2429" s="40" t="str">
        <f>IF(OR(C2429="",NOT(ISNUMBER(E2429))),"",IFERROR(E2429*N(INDEX(art_price,MATCH(C2429,art_ref,0))),""))</f>
        <v/>
      </c>
      <c r="K2429" s="39" t="str">
        <f>IF(OR(C2429="",NOT(ISNUMBER(E2429))),"",IFERROR(ROUND(N(INDEX(art_init,MATCH(C2429,art_ref,0)))+SUMIFS($E$5:E2429,$C$5:C2429,C2429,$B$5:B2429,"Entrée")-SUMIFS($E$5:E2429,$C$5:C2429,C2429,$B$5:B2429,"Sortie"),6),""))</f>
        <v/>
      </c>
      <c r="L2429" s="39" t="str">
        <f>IF(COUNTA(A2429:C2429,E2429)=0,"",IF(COUNTA(A2429:C2429,E2429)&lt;4,"Ligne incomplète",IF(NOT(ISNUMBER(A2429)),"Date invalide",IF(AND(B2429&lt;&gt;"Entrée",B2429&lt;&gt;"Sortie"),"Type inconnu",IF(ISNA(MATCH(C2429,art_ref,0)),"Référence inconnue",IF(OR(NOT(ISNUMBER(E2429)),N(E2429)&lt;=0),"Quantité invalide",IF(K2429&lt;0,"Stock négatif",IF(AND(ISNUMBER(A2428),A2429&lt;A2428),"Date hors ordre","OK"))))))))</f>
        <v/>
      </c>
      <c r="M2429" s="39" t="str">
        <f>IF(C2429="","",C2429&amp;"#"&amp;COUNTIF($C$5:C2429,C2429))</f>
        <v/>
      </c>
    </row>
    <row r="2430">
      <c r="A2430" s="41" t="n"/>
      <c r="B2430" s="37" t="n"/>
      <c r="C2430" s="37" t="n"/>
      <c r="D2430" s="39" t="str">
        <f>IF(C2430="","",IFERROR(INDEX(art_des,MATCH(C2430,art_ref,0))&amp;"","Référence inconnue"))</f>
        <v/>
      </c>
      <c r="E2430" s="37" t="n"/>
      <c r="F2430" s="39" t="str">
        <f>IF(C2430="","",IFERROR(INDEX(art_unit,MATCH(C2430,art_ref,0))&amp;"",""))</f>
        <v/>
      </c>
      <c r="G2430" s="37" t="n"/>
      <c r="H2430" s="37" t="n"/>
      <c r="I2430" s="37" t="n"/>
      <c r="J2430" s="40" t="str">
        <f>IF(OR(C2430="",NOT(ISNUMBER(E2430))),"",IFERROR(E2430*N(INDEX(art_price,MATCH(C2430,art_ref,0))),""))</f>
        <v/>
      </c>
      <c r="K2430" s="39" t="str">
        <f>IF(OR(C2430="",NOT(ISNUMBER(E2430))),"",IFERROR(ROUND(N(INDEX(art_init,MATCH(C2430,art_ref,0)))+SUMIFS($E$5:E2430,$C$5:C2430,C2430,$B$5:B2430,"Entrée")-SUMIFS($E$5:E2430,$C$5:C2430,C2430,$B$5:B2430,"Sortie"),6),""))</f>
        <v/>
      </c>
      <c r="L2430" s="39" t="str">
        <f>IF(COUNTA(A2430:C2430,E2430)=0,"",IF(COUNTA(A2430:C2430,E2430)&lt;4,"Ligne incomplète",IF(NOT(ISNUMBER(A2430)),"Date invalide",IF(AND(B2430&lt;&gt;"Entrée",B2430&lt;&gt;"Sortie"),"Type inconnu",IF(ISNA(MATCH(C2430,art_ref,0)),"Référence inconnue",IF(OR(NOT(ISNUMBER(E2430)),N(E2430)&lt;=0),"Quantité invalide",IF(K2430&lt;0,"Stock négatif",IF(AND(ISNUMBER(A2429),A2430&lt;A2429),"Date hors ordre","OK"))))))))</f>
        <v/>
      </c>
      <c r="M2430" s="39" t="str">
        <f>IF(C2430="","",C2430&amp;"#"&amp;COUNTIF($C$5:C2430,C2430))</f>
        <v/>
      </c>
    </row>
    <row r="2431">
      <c r="A2431" s="41" t="n"/>
      <c r="B2431" s="37" t="n"/>
      <c r="C2431" s="37" t="n"/>
      <c r="D2431" s="39" t="str">
        <f>IF(C2431="","",IFERROR(INDEX(art_des,MATCH(C2431,art_ref,0))&amp;"","Référence inconnue"))</f>
        <v/>
      </c>
      <c r="E2431" s="37" t="n"/>
      <c r="F2431" s="39" t="str">
        <f>IF(C2431="","",IFERROR(INDEX(art_unit,MATCH(C2431,art_ref,0))&amp;"",""))</f>
        <v/>
      </c>
      <c r="G2431" s="37" t="n"/>
      <c r="H2431" s="37" t="n"/>
      <c r="I2431" s="37" t="n"/>
      <c r="J2431" s="40" t="str">
        <f>IF(OR(C2431="",NOT(ISNUMBER(E2431))),"",IFERROR(E2431*N(INDEX(art_price,MATCH(C2431,art_ref,0))),""))</f>
        <v/>
      </c>
      <c r="K2431" s="39" t="str">
        <f>IF(OR(C2431="",NOT(ISNUMBER(E2431))),"",IFERROR(ROUND(N(INDEX(art_init,MATCH(C2431,art_ref,0)))+SUMIFS($E$5:E2431,$C$5:C2431,C2431,$B$5:B2431,"Entrée")-SUMIFS($E$5:E2431,$C$5:C2431,C2431,$B$5:B2431,"Sortie"),6),""))</f>
        <v/>
      </c>
      <c r="L2431" s="39" t="str">
        <f>IF(COUNTA(A2431:C2431,E2431)=0,"",IF(COUNTA(A2431:C2431,E2431)&lt;4,"Ligne incomplète",IF(NOT(ISNUMBER(A2431)),"Date invalide",IF(AND(B2431&lt;&gt;"Entrée",B2431&lt;&gt;"Sortie"),"Type inconnu",IF(ISNA(MATCH(C2431,art_ref,0)),"Référence inconnue",IF(OR(NOT(ISNUMBER(E2431)),N(E2431)&lt;=0),"Quantité invalide",IF(K2431&lt;0,"Stock négatif",IF(AND(ISNUMBER(A2430),A2431&lt;A2430),"Date hors ordre","OK"))))))))</f>
        <v/>
      </c>
      <c r="M2431" s="39" t="str">
        <f>IF(C2431="","",C2431&amp;"#"&amp;COUNTIF($C$5:C2431,C2431))</f>
        <v/>
      </c>
    </row>
    <row r="2432">
      <c r="A2432" s="41" t="n"/>
      <c r="B2432" s="37" t="n"/>
      <c r="C2432" s="37" t="n"/>
      <c r="D2432" s="39" t="str">
        <f>IF(C2432="","",IFERROR(INDEX(art_des,MATCH(C2432,art_ref,0))&amp;"","Référence inconnue"))</f>
        <v/>
      </c>
      <c r="E2432" s="37" t="n"/>
      <c r="F2432" s="39" t="str">
        <f>IF(C2432="","",IFERROR(INDEX(art_unit,MATCH(C2432,art_ref,0))&amp;"",""))</f>
        <v/>
      </c>
      <c r="G2432" s="37" t="n"/>
      <c r="H2432" s="37" t="n"/>
      <c r="I2432" s="37" t="n"/>
      <c r="J2432" s="40" t="str">
        <f>IF(OR(C2432="",NOT(ISNUMBER(E2432))),"",IFERROR(E2432*N(INDEX(art_price,MATCH(C2432,art_ref,0))),""))</f>
        <v/>
      </c>
      <c r="K2432" s="39" t="str">
        <f>IF(OR(C2432="",NOT(ISNUMBER(E2432))),"",IFERROR(ROUND(N(INDEX(art_init,MATCH(C2432,art_ref,0)))+SUMIFS($E$5:E2432,$C$5:C2432,C2432,$B$5:B2432,"Entrée")-SUMIFS($E$5:E2432,$C$5:C2432,C2432,$B$5:B2432,"Sortie"),6),""))</f>
        <v/>
      </c>
      <c r="L2432" s="39" t="str">
        <f>IF(COUNTA(A2432:C2432,E2432)=0,"",IF(COUNTA(A2432:C2432,E2432)&lt;4,"Ligne incomplète",IF(NOT(ISNUMBER(A2432)),"Date invalide",IF(AND(B2432&lt;&gt;"Entrée",B2432&lt;&gt;"Sortie"),"Type inconnu",IF(ISNA(MATCH(C2432,art_ref,0)),"Référence inconnue",IF(OR(NOT(ISNUMBER(E2432)),N(E2432)&lt;=0),"Quantité invalide",IF(K2432&lt;0,"Stock négatif",IF(AND(ISNUMBER(A2431),A2432&lt;A2431),"Date hors ordre","OK"))))))))</f>
        <v/>
      </c>
      <c r="M2432" s="39" t="str">
        <f>IF(C2432="","",C2432&amp;"#"&amp;COUNTIF($C$5:C2432,C2432))</f>
        <v/>
      </c>
    </row>
    <row r="2433">
      <c r="A2433" s="41" t="n"/>
      <c r="B2433" s="37" t="n"/>
      <c r="C2433" s="37" t="n"/>
      <c r="D2433" s="39" t="str">
        <f>IF(C2433="","",IFERROR(INDEX(art_des,MATCH(C2433,art_ref,0))&amp;"","Référence inconnue"))</f>
        <v/>
      </c>
      <c r="E2433" s="37" t="n"/>
      <c r="F2433" s="39" t="str">
        <f>IF(C2433="","",IFERROR(INDEX(art_unit,MATCH(C2433,art_ref,0))&amp;"",""))</f>
        <v/>
      </c>
      <c r="G2433" s="37" t="n"/>
      <c r="H2433" s="37" t="n"/>
      <c r="I2433" s="37" t="n"/>
      <c r="J2433" s="40" t="str">
        <f>IF(OR(C2433="",NOT(ISNUMBER(E2433))),"",IFERROR(E2433*N(INDEX(art_price,MATCH(C2433,art_ref,0))),""))</f>
        <v/>
      </c>
      <c r="K2433" s="39" t="str">
        <f>IF(OR(C2433="",NOT(ISNUMBER(E2433))),"",IFERROR(ROUND(N(INDEX(art_init,MATCH(C2433,art_ref,0)))+SUMIFS($E$5:E2433,$C$5:C2433,C2433,$B$5:B2433,"Entrée")-SUMIFS($E$5:E2433,$C$5:C2433,C2433,$B$5:B2433,"Sortie"),6),""))</f>
        <v/>
      </c>
      <c r="L2433" s="39" t="str">
        <f>IF(COUNTA(A2433:C2433,E2433)=0,"",IF(COUNTA(A2433:C2433,E2433)&lt;4,"Ligne incomplète",IF(NOT(ISNUMBER(A2433)),"Date invalide",IF(AND(B2433&lt;&gt;"Entrée",B2433&lt;&gt;"Sortie"),"Type inconnu",IF(ISNA(MATCH(C2433,art_ref,0)),"Référence inconnue",IF(OR(NOT(ISNUMBER(E2433)),N(E2433)&lt;=0),"Quantité invalide",IF(K2433&lt;0,"Stock négatif",IF(AND(ISNUMBER(A2432),A2433&lt;A2432),"Date hors ordre","OK"))))))))</f>
        <v/>
      </c>
      <c r="M2433" s="39" t="str">
        <f>IF(C2433="","",C2433&amp;"#"&amp;COUNTIF($C$5:C2433,C2433))</f>
        <v/>
      </c>
    </row>
    <row r="2434">
      <c r="A2434" s="41" t="n"/>
      <c r="B2434" s="37" t="n"/>
      <c r="C2434" s="37" t="n"/>
      <c r="D2434" s="39" t="str">
        <f>IF(C2434="","",IFERROR(INDEX(art_des,MATCH(C2434,art_ref,0))&amp;"","Référence inconnue"))</f>
        <v/>
      </c>
      <c r="E2434" s="37" t="n"/>
      <c r="F2434" s="39" t="str">
        <f>IF(C2434="","",IFERROR(INDEX(art_unit,MATCH(C2434,art_ref,0))&amp;"",""))</f>
        <v/>
      </c>
      <c r="G2434" s="37" t="n"/>
      <c r="H2434" s="37" t="n"/>
      <c r="I2434" s="37" t="n"/>
      <c r="J2434" s="40" t="str">
        <f>IF(OR(C2434="",NOT(ISNUMBER(E2434))),"",IFERROR(E2434*N(INDEX(art_price,MATCH(C2434,art_ref,0))),""))</f>
        <v/>
      </c>
      <c r="K2434" s="39" t="str">
        <f>IF(OR(C2434="",NOT(ISNUMBER(E2434))),"",IFERROR(ROUND(N(INDEX(art_init,MATCH(C2434,art_ref,0)))+SUMIFS($E$5:E2434,$C$5:C2434,C2434,$B$5:B2434,"Entrée")-SUMIFS($E$5:E2434,$C$5:C2434,C2434,$B$5:B2434,"Sortie"),6),""))</f>
        <v/>
      </c>
      <c r="L2434" s="39" t="str">
        <f>IF(COUNTA(A2434:C2434,E2434)=0,"",IF(COUNTA(A2434:C2434,E2434)&lt;4,"Ligne incomplète",IF(NOT(ISNUMBER(A2434)),"Date invalide",IF(AND(B2434&lt;&gt;"Entrée",B2434&lt;&gt;"Sortie"),"Type inconnu",IF(ISNA(MATCH(C2434,art_ref,0)),"Référence inconnue",IF(OR(NOT(ISNUMBER(E2434)),N(E2434)&lt;=0),"Quantité invalide",IF(K2434&lt;0,"Stock négatif",IF(AND(ISNUMBER(A2433),A2434&lt;A2433),"Date hors ordre","OK"))))))))</f>
        <v/>
      </c>
      <c r="M2434" s="39" t="str">
        <f>IF(C2434="","",C2434&amp;"#"&amp;COUNTIF($C$5:C2434,C2434))</f>
        <v/>
      </c>
    </row>
    <row r="2435">
      <c r="A2435" s="41" t="n"/>
      <c r="B2435" s="37" t="n"/>
      <c r="C2435" s="37" t="n"/>
      <c r="D2435" s="39" t="str">
        <f>IF(C2435="","",IFERROR(INDEX(art_des,MATCH(C2435,art_ref,0))&amp;"","Référence inconnue"))</f>
        <v/>
      </c>
      <c r="E2435" s="37" t="n"/>
      <c r="F2435" s="39" t="str">
        <f>IF(C2435="","",IFERROR(INDEX(art_unit,MATCH(C2435,art_ref,0))&amp;"",""))</f>
        <v/>
      </c>
      <c r="G2435" s="37" t="n"/>
      <c r="H2435" s="37" t="n"/>
      <c r="I2435" s="37" t="n"/>
      <c r="J2435" s="40" t="str">
        <f>IF(OR(C2435="",NOT(ISNUMBER(E2435))),"",IFERROR(E2435*N(INDEX(art_price,MATCH(C2435,art_ref,0))),""))</f>
        <v/>
      </c>
      <c r="K2435" s="39" t="str">
        <f>IF(OR(C2435="",NOT(ISNUMBER(E2435))),"",IFERROR(ROUND(N(INDEX(art_init,MATCH(C2435,art_ref,0)))+SUMIFS($E$5:E2435,$C$5:C2435,C2435,$B$5:B2435,"Entrée")-SUMIFS($E$5:E2435,$C$5:C2435,C2435,$B$5:B2435,"Sortie"),6),""))</f>
        <v/>
      </c>
      <c r="L2435" s="39" t="str">
        <f>IF(COUNTA(A2435:C2435,E2435)=0,"",IF(COUNTA(A2435:C2435,E2435)&lt;4,"Ligne incomplète",IF(NOT(ISNUMBER(A2435)),"Date invalide",IF(AND(B2435&lt;&gt;"Entrée",B2435&lt;&gt;"Sortie"),"Type inconnu",IF(ISNA(MATCH(C2435,art_ref,0)),"Référence inconnue",IF(OR(NOT(ISNUMBER(E2435)),N(E2435)&lt;=0),"Quantité invalide",IF(K2435&lt;0,"Stock négatif",IF(AND(ISNUMBER(A2434),A2435&lt;A2434),"Date hors ordre","OK"))))))))</f>
        <v/>
      </c>
      <c r="M2435" s="39" t="str">
        <f>IF(C2435="","",C2435&amp;"#"&amp;COUNTIF($C$5:C2435,C2435))</f>
        <v/>
      </c>
    </row>
    <row r="2436">
      <c r="A2436" s="41" t="n"/>
      <c r="B2436" s="37" t="n"/>
      <c r="C2436" s="37" t="n"/>
      <c r="D2436" s="39" t="str">
        <f>IF(C2436="","",IFERROR(INDEX(art_des,MATCH(C2436,art_ref,0))&amp;"","Référence inconnue"))</f>
        <v/>
      </c>
      <c r="E2436" s="37" t="n"/>
      <c r="F2436" s="39" t="str">
        <f>IF(C2436="","",IFERROR(INDEX(art_unit,MATCH(C2436,art_ref,0))&amp;"",""))</f>
        <v/>
      </c>
      <c r="G2436" s="37" t="n"/>
      <c r="H2436" s="37" t="n"/>
      <c r="I2436" s="37" t="n"/>
      <c r="J2436" s="40" t="str">
        <f>IF(OR(C2436="",NOT(ISNUMBER(E2436))),"",IFERROR(E2436*N(INDEX(art_price,MATCH(C2436,art_ref,0))),""))</f>
        <v/>
      </c>
      <c r="K2436" s="39" t="str">
        <f>IF(OR(C2436="",NOT(ISNUMBER(E2436))),"",IFERROR(ROUND(N(INDEX(art_init,MATCH(C2436,art_ref,0)))+SUMIFS($E$5:E2436,$C$5:C2436,C2436,$B$5:B2436,"Entrée")-SUMIFS($E$5:E2436,$C$5:C2436,C2436,$B$5:B2436,"Sortie"),6),""))</f>
        <v/>
      </c>
      <c r="L2436" s="39" t="str">
        <f>IF(COUNTA(A2436:C2436,E2436)=0,"",IF(COUNTA(A2436:C2436,E2436)&lt;4,"Ligne incomplète",IF(NOT(ISNUMBER(A2436)),"Date invalide",IF(AND(B2436&lt;&gt;"Entrée",B2436&lt;&gt;"Sortie"),"Type inconnu",IF(ISNA(MATCH(C2436,art_ref,0)),"Référence inconnue",IF(OR(NOT(ISNUMBER(E2436)),N(E2436)&lt;=0),"Quantité invalide",IF(K2436&lt;0,"Stock négatif",IF(AND(ISNUMBER(A2435),A2436&lt;A2435),"Date hors ordre","OK"))))))))</f>
        <v/>
      </c>
      <c r="M2436" s="39" t="str">
        <f>IF(C2436="","",C2436&amp;"#"&amp;COUNTIF($C$5:C2436,C2436))</f>
        <v/>
      </c>
    </row>
    <row r="2437">
      <c r="A2437" s="41" t="n"/>
      <c r="B2437" s="37" t="n"/>
      <c r="C2437" s="37" t="n"/>
      <c r="D2437" s="39" t="str">
        <f>IF(C2437="","",IFERROR(INDEX(art_des,MATCH(C2437,art_ref,0))&amp;"","Référence inconnue"))</f>
        <v/>
      </c>
      <c r="E2437" s="37" t="n"/>
      <c r="F2437" s="39" t="str">
        <f>IF(C2437="","",IFERROR(INDEX(art_unit,MATCH(C2437,art_ref,0))&amp;"",""))</f>
        <v/>
      </c>
      <c r="G2437" s="37" t="n"/>
      <c r="H2437" s="37" t="n"/>
      <c r="I2437" s="37" t="n"/>
      <c r="J2437" s="40" t="str">
        <f>IF(OR(C2437="",NOT(ISNUMBER(E2437))),"",IFERROR(E2437*N(INDEX(art_price,MATCH(C2437,art_ref,0))),""))</f>
        <v/>
      </c>
      <c r="K2437" s="39" t="str">
        <f>IF(OR(C2437="",NOT(ISNUMBER(E2437))),"",IFERROR(ROUND(N(INDEX(art_init,MATCH(C2437,art_ref,0)))+SUMIFS($E$5:E2437,$C$5:C2437,C2437,$B$5:B2437,"Entrée")-SUMIFS($E$5:E2437,$C$5:C2437,C2437,$B$5:B2437,"Sortie"),6),""))</f>
        <v/>
      </c>
      <c r="L2437" s="39" t="str">
        <f>IF(COUNTA(A2437:C2437,E2437)=0,"",IF(COUNTA(A2437:C2437,E2437)&lt;4,"Ligne incomplète",IF(NOT(ISNUMBER(A2437)),"Date invalide",IF(AND(B2437&lt;&gt;"Entrée",B2437&lt;&gt;"Sortie"),"Type inconnu",IF(ISNA(MATCH(C2437,art_ref,0)),"Référence inconnue",IF(OR(NOT(ISNUMBER(E2437)),N(E2437)&lt;=0),"Quantité invalide",IF(K2437&lt;0,"Stock négatif",IF(AND(ISNUMBER(A2436),A2437&lt;A2436),"Date hors ordre","OK"))))))))</f>
        <v/>
      </c>
      <c r="M2437" s="39" t="str">
        <f>IF(C2437="","",C2437&amp;"#"&amp;COUNTIF($C$5:C2437,C2437))</f>
        <v/>
      </c>
    </row>
    <row r="2438">
      <c r="A2438" s="41" t="n"/>
      <c r="B2438" s="37" t="n"/>
      <c r="C2438" s="37" t="n"/>
      <c r="D2438" s="39" t="str">
        <f>IF(C2438="","",IFERROR(INDEX(art_des,MATCH(C2438,art_ref,0))&amp;"","Référence inconnue"))</f>
        <v/>
      </c>
      <c r="E2438" s="37" t="n"/>
      <c r="F2438" s="39" t="str">
        <f>IF(C2438="","",IFERROR(INDEX(art_unit,MATCH(C2438,art_ref,0))&amp;"",""))</f>
        <v/>
      </c>
      <c r="G2438" s="37" t="n"/>
      <c r="H2438" s="37" t="n"/>
      <c r="I2438" s="37" t="n"/>
      <c r="J2438" s="40" t="str">
        <f>IF(OR(C2438="",NOT(ISNUMBER(E2438))),"",IFERROR(E2438*N(INDEX(art_price,MATCH(C2438,art_ref,0))),""))</f>
        <v/>
      </c>
      <c r="K2438" s="39" t="str">
        <f>IF(OR(C2438="",NOT(ISNUMBER(E2438))),"",IFERROR(ROUND(N(INDEX(art_init,MATCH(C2438,art_ref,0)))+SUMIFS($E$5:E2438,$C$5:C2438,C2438,$B$5:B2438,"Entrée")-SUMIFS($E$5:E2438,$C$5:C2438,C2438,$B$5:B2438,"Sortie"),6),""))</f>
        <v/>
      </c>
      <c r="L2438" s="39" t="str">
        <f>IF(COUNTA(A2438:C2438,E2438)=0,"",IF(COUNTA(A2438:C2438,E2438)&lt;4,"Ligne incomplète",IF(NOT(ISNUMBER(A2438)),"Date invalide",IF(AND(B2438&lt;&gt;"Entrée",B2438&lt;&gt;"Sortie"),"Type inconnu",IF(ISNA(MATCH(C2438,art_ref,0)),"Référence inconnue",IF(OR(NOT(ISNUMBER(E2438)),N(E2438)&lt;=0),"Quantité invalide",IF(K2438&lt;0,"Stock négatif",IF(AND(ISNUMBER(A2437),A2438&lt;A2437),"Date hors ordre","OK"))))))))</f>
        <v/>
      </c>
      <c r="M2438" s="39" t="str">
        <f>IF(C2438="","",C2438&amp;"#"&amp;COUNTIF($C$5:C2438,C2438))</f>
        <v/>
      </c>
    </row>
    <row r="2439">
      <c r="A2439" s="41" t="n"/>
      <c r="B2439" s="37" t="n"/>
      <c r="C2439" s="37" t="n"/>
      <c r="D2439" s="39" t="str">
        <f>IF(C2439="","",IFERROR(INDEX(art_des,MATCH(C2439,art_ref,0))&amp;"","Référence inconnue"))</f>
        <v/>
      </c>
      <c r="E2439" s="37" t="n"/>
      <c r="F2439" s="39" t="str">
        <f>IF(C2439="","",IFERROR(INDEX(art_unit,MATCH(C2439,art_ref,0))&amp;"",""))</f>
        <v/>
      </c>
      <c r="G2439" s="37" t="n"/>
      <c r="H2439" s="37" t="n"/>
      <c r="I2439" s="37" t="n"/>
      <c r="J2439" s="40" t="str">
        <f>IF(OR(C2439="",NOT(ISNUMBER(E2439))),"",IFERROR(E2439*N(INDEX(art_price,MATCH(C2439,art_ref,0))),""))</f>
        <v/>
      </c>
      <c r="K2439" s="39" t="str">
        <f>IF(OR(C2439="",NOT(ISNUMBER(E2439))),"",IFERROR(ROUND(N(INDEX(art_init,MATCH(C2439,art_ref,0)))+SUMIFS($E$5:E2439,$C$5:C2439,C2439,$B$5:B2439,"Entrée")-SUMIFS($E$5:E2439,$C$5:C2439,C2439,$B$5:B2439,"Sortie"),6),""))</f>
        <v/>
      </c>
      <c r="L2439" s="39" t="str">
        <f>IF(COUNTA(A2439:C2439,E2439)=0,"",IF(COUNTA(A2439:C2439,E2439)&lt;4,"Ligne incomplète",IF(NOT(ISNUMBER(A2439)),"Date invalide",IF(AND(B2439&lt;&gt;"Entrée",B2439&lt;&gt;"Sortie"),"Type inconnu",IF(ISNA(MATCH(C2439,art_ref,0)),"Référence inconnue",IF(OR(NOT(ISNUMBER(E2439)),N(E2439)&lt;=0),"Quantité invalide",IF(K2439&lt;0,"Stock négatif",IF(AND(ISNUMBER(A2438),A2439&lt;A2438),"Date hors ordre","OK"))))))))</f>
        <v/>
      </c>
      <c r="M2439" s="39" t="str">
        <f>IF(C2439="","",C2439&amp;"#"&amp;COUNTIF($C$5:C2439,C2439))</f>
        <v/>
      </c>
    </row>
    <row r="2440">
      <c r="A2440" s="41" t="n"/>
      <c r="B2440" s="37" t="n"/>
      <c r="C2440" s="37" t="n"/>
      <c r="D2440" s="39" t="str">
        <f>IF(C2440="","",IFERROR(INDEX(art_des,MATCH(C2440,art_ref,0))&amp;"","Référence inconnue"))</f>
        <v/>
      </c>
      <c r="E2440" s="37" t="n"/>
      <c r="F2440" s="39" t="str">
        <f>IF(C2440="","",IFERROR(INDEX(art_unit,MATCH(C2440,art_ref,0))&amp;"",""))</f>
        <v/>
      </c>
      <c r="G2440" s="37" t="n"/>
      <c r="H2440" s="37" t="n"/>
      <c r="I2440" s="37" t="n"/>
      <c r="J2440" s="40" t="str">
        <f>IF(OR(C2440="",NOT(ISNUMBER(E2440))),"",IFERROR(E2440*N(INDEX(art_price,MATCH(C2440,art_ref,0))),""))</f>
        <v/>
      </c>
      <c r="K2440" s="39" t="str">
        <f>IF(OR(C2440="",NOT(ISNUMBER(E2440))),"",IFERROR(ROUND(N(INDEX(art_init,MATCH(C2440,art_ref,0)))+SUMIFS($E$5:E2440,$C$5:C2440,C2440,$B$5:B2440,"Entrée")-SUMIFS($E$5:E2440,$C$5:C2440,C2440,$B$5:B2440,"Sortie"),6),""))</f>
        <v/>
      </c>
      <c r="L2440" s="39" t="str">
        <f>IF(COUNTA(A2440:C2440,E2440)=0,"",IF(COUNTA(A2440:C2440,E2440)&lt;4,"Ligne incomplète",IF(NOT(ISNUMBER(A2440)),"Date invalide",IF(AND(B2440&lt;&gt;"Entrée",B2440&lt;&gt;"Sortie"),"Type inconnu",IF(ISNA(MATCH(C2440,art_ref,0)),"Référence inconnue",IF(OR(NOT(ISNUMBER(E2440)),N(E2440)&lt;=0),"Quantité invalide",IF(K2440&lt;0,"Stock négatif",IF(AND(ISNUMBER(A2439),A2440&lt;A2439),"Date hors ordre","OK"))))))))</f>
        <v/>
      </c>
      <c r="M2440" s="39" t="str">
        <f>IF(C2440="","",C2440&amp;"#"&amp;COUNTIF($C$5:C2440,C2440))</f>
        <v/>
      </c>
    </row>
    <row r="2441">
      <c r="A2441" s="41" t="n"/>
      <c r="B2441" s="37" t="n"/>
      <c r="C2441" s="37" t="n"/>
      <c r="D2441" s="39" t="str">
        <f>IF(C2441="","",IFERROR(INDEX(art_des,MATCH(C2441,art_ref,0))&amp;"","Référence inconnue"))</f>
        <v/>
      </c>
      <c r="E2441" s="37" t="n"/>
      <c r="F2441" s="39" t="str">
        <f>IF(C2441="","",IFERROR(INDEX(art_unit,MATCH(C2441,art_ref,0))&amp;"",""))</f>
        <v/>
      </c>
      <c r="G2441" s="37" t="n"/>
      <c r="H2441" s="37" t="n"/>
      <c r="I2441" s="37" t="n"/>
      <c r="J2441" s="40" t="str">
        <f>IF(OR(C2441="",NOT(ISNUMBER(E2441))),"",IFERROR(E2441*N(INDEX(art_price,MATCH(C2441,art_ref,0))),""))</f>
        <v/>
      </c>
      <c r="K2441" s="39" t="str">
        <f>IF(OR(C2441="",NOT(ISNUMBER(E2441))),"",IFERROR(ROUND(N(INDEX(art_init,MATCH(C2441,art_ref,0)))+SUMIFS($E$5:E2441,$C$5:C2441,C2441,$B$5:B2441,"Entrée")-SUMIFS($E$5:E2441,$C$5:C2441,C2441,$B$5:B2441,"Sortie"),6),""))</f>
        <v/>
      </c>
      <c r="L2441" s="39" t="str">
        <f>IF(COUNTA(A2441:C2441,E2441)=0,"",IF(COUNTA(A2441:C2441,E2441)&lt;4,"Ligne incomplète",IF(NOT(ISNUMBER(A2441)),"Date invalide",IF(AND(B2441&lt;&gt;"Entrée",B2441&lt;&gt;"Sortie"),"Type inconnu",IF(ISNA(MATCH(C2441,art_ref,0)),"Référence inconnue",IF(OR(NOT(ISNUMBER(E2441)),N(E2441)&lt;=0),"Quantité invalide",IF(K2441&lt;0,"Stock négatif",IF(AND(ISNUMBER(A2440),A2441&lt;A2440),"Date hors ordre","OK"))))))))</f>
        <v/>
      </c>
      <c r="M2441" s="39" t="str">
        <f>IF(C2441="","",C2441&amp;"#"&amp;COUNTIF($C$5:C2441,C2441))</f>
        <v/>
      </c>
    </row>
    <row r="2442">
      <c r="A2442" s="41" t="n"/>
      <c r="B2442" s="37" t="n"/>
      <c r="C2442" s="37" t="n"/>
      <c r="D2442" s="39" t="str">
        <f>IF(C2442="","",IFERROR(INDEX(art_des,MATCH(C2442,art_ref,0))&amp;"","Référence inconnue"))</f>
        <v/>
      </c>
      <c r="E2442" s="37" t="n"/>
      <c r="F2442" s="39" t="str">
        <f>IF(C2442="","",IFERROR(INDEX(art_unit,MATCH(C2442,art_ref,0))&amp;"",""))</f>
        <v/>
      </c>
      <c r="G2442" s="37" t="n"/>
      <c r="H2442" s="37" t="n"/>
      <c r="I2442" s="37" t="n"/>
      <c r="J2442" s="40" t="str">
        <f>IF(OR(C2442="",NOT(ISNUMBER(E2442))),"",IFERROR(E2442*N(INDEX(art_price,MATCH(C2442,art_ref,0))),""))</f>
        <v/>
      </c>
      <c r="K2442" s="39" t="str">
        <f>IF(OR(C2442="",NOT(ISNUMBER(E2442))),"",IFERROR(ROUND(N(INDEX(art_init,MATCH(C2442,art_ref,0)))+SUMIFS($E$5:E2442,$C$5:C2442,C2442,$B$5:B2442,"Entrée")-SUMIFS($E$5:E2442,$C$5:C2442,C2442,$B$5:B2442,"Sortie"),6),""))</f>
        <v/>
      </c>
      <c r="L2442" s="39" t="str">
        <f>IF(COUNTA(A2442:C2442,E2442)=0,"",IF(COUNTA(A2442:C2442,E2442)&lt;4,"Ligne incomplète",IF(NOT(ISNUMBER(A2442)),"Date invalide",IF(AND(B2442&lt;&gt;"Entrée",B2442&lt;&gt;"Sortie"),"Type inconnu",IF(ISNA(MATCH(C2442,art_ref,0)),"Référence inconnue",IF(OR(NOT(ISNUMBER(E2442)),N(E2442)&lt;=0),"Quantité invalide",IF(K2442&lt;0,"Stock négatif",IF(AND(ISNUMBER(A2441),A2442&lt;A2441),"Date hors ordre","OK"))))))))</f>
        <v/>
      </c>
      <c r="M2442" s="39" t="str">
        <f>IF(C2442="","",C2442&amp;"#"&amp;COUNTIF($C$5:C2442,C2442))</f>
        <v/>
      </c>
    </row>
    <row r="2443">
      <c r="A2443" s="41" t="n"/>
      <c r="B2443" s="37" t="n"/>
      <c r="C2443" s="37" t="n"/>
      <c r="D2443" s="39" t="str">
        <f>IF(C2443="","",IFERROR(INDEX(art_des,MATCH(C2443,art_ref,0))&amp;"","Référence inconnue"))</f>
        <v/>
      </c>
      <c r="E2443" s="37" t="n"/>
      <c r="F2443" s="39" t="str">
        <f>IF(C2443="","",IFERROR(INDEX(art_unit,MATCH(C2443,art_ref,0))&amp;"",""))</f>
        <v/>
      </c>
      <c r="G2443" s="37" t="n"/>
      <c r="H2443" s="37" t="n"/>
      <c r="I2443" s="37" t="n"/>
      <c r="J2443" s="40" t="str">
        <f>IF(OR(C2443="",NOT(ISNUMBER(E2443))),"",IFERROR(E2443*N(INDEX(art_price,MATCH(C2443,art_ref,0))),""))</f>
        <v/>
      </c>
      <c r="K2443" s="39" t="str">
        <f>IF(OR(C2443="",NOT(ISNUMBER(E2443))),"",IFERROR(ROUND(N(INDEX(art_init,MATCH(C2443,art_ref,0)))+SUMIFS($E$5:E2443,$C$5:C2443,C2443,$B$5:B2443,"Entrée")-SUMIFS($E$5:E2443,$C$5:C2443,C2443,$B$5:B2443,"Sortie"),6),""))</f>
        <v/>
      </c>
      <c r="L2443" s="39" t="str">
        <f>IF(COUNTA(A2443:C2443,E2443)=0,"",IF(COUNTA(A2443:C2443,E2443)&lt;4,"Ligne incomplète",IF(NOT(ISNUMBER(A2443)),"Date invalide",IF(AND(B2443&lt;&gt;"Entrée",B2443&lt;&gt;"Sortie"),"Type inconnu",IF(ISNA(MATCH(C2443,art_ref,0)),"Référence inconnue",IF(OR(NOT(ISNUMBER(E2443)),N(E2443)&lt;=0),"Quantité invalide",IF(K2443&lt;0,"Stock négatif",IF(AND(ISNUMBER(A2442),A2443&lt;A2442),"Date hors ordre","OK"))))))))</f>
        <v/>
      </c>
      <c r="M2443" s="39" t="str">
        <f>IF(C2443="","",C2443&amp;"#"&amp;COUNTIF($C$5:C2443,C2443))</f>
        <v/>
      </c>
    </row>
    <row r="2444">
      <c r="A2444" s="41" t="n"/>
      <c r="B2444" s="37" t="n"/>
      <c r="C2444" s="37" t="n"/>
      <c r="D2444" s="39" t="str">
        <f>IF(C2444="","",IFERROR(INDEX(art_des,MATCH(C2444,art_ref,0))&amp;"","Référence inconnue"))</f>
        <v/>
      </c>
      <c r="E2444" s="37" t="n"/>
      <c r="F2444" s="39" t="str">
        <f>IF(C2444="","",IFERROR(INDEX(art_unit,MATCH(C2444,art_ref,0))&amp;"",""))</f>
        <v/>
      </c>
      <c r="G2444" s="37" t="n"/>
      <c r="H2444" s="37" t="n"/>
      <c r="I2444" s="37" t="n"/>
      <c r="J2444" s="40" t="str">
        <f>IF(OR(C2444="",NOT(ISNUMBER(E2444))),"",IFERROR(E2444*N(INDEX(art_price,MATCH(C2444,art_ref,0))),""))</f>
        <v/>
      </c>
      <c r="K2444" s="39" t="str">
        <f>IF(OR(C2444="",NOT(ISNUMBER(E2444))),"",IFERROR(ROUND(N(INDEX(art_init,MATCH(C2444,art_ref,0)))+SUMIFS($E$5:E2444,$C$5:C2444,C2444,$B$5:B2444,"Entrée")-SUMIFS($E$5:E2444,$C$5:C2444,C2444,$B$5:B2444,"Sortie"),6),""))</f>
        <v/>
      </c>
      <c r="L2444" s="39" t="str">
        <f>IF(COUNTA(A2444:C2444,E2444)=0,"",IF(COUNTA(A2444:C2444,E2444)&lt;4,"Ligne incomplète",IF(NOT(ISNUMBER(A2444)),"Date invalide",IF(AND(B2444&lt;&gt;"Entrée",B2444&lt;&gt;"Sortie"),"Type inconnu",IF(ISNA(MATCH(C2444,art_ref,0)),"Référence inconnue",IF(OR(NOT(ISNUMBER(E2444)),N(E2444)&lt;=0),"Quantité invalide",IF(K2444&lt;0,"Stock négatif",IF(AND(ISNUMBER(A2443),A2444&lt;A2443),"Date hors ordre","OK"))))))))</f>
        <v/>
      </c>
      <c r="M2444" s="39" t="str">
        <f>IF(C2444="","",C2444&amp;"#"&amp;COUNTIF($C$5:C2444,C2444))</f>
        <v/>
      </c>
    </row>
    <row r="2445">
      <c r="A2445" s="41" t="n"/>
      <c r="B2445" s="37" t="n"/>
      <c r="C2445" s="37" t="n"/>
      <c r="D2445" s="39" t="str">
        <f>IF(C2445="","",IFERROR(INDEX(art_des,MATCH(C2445,art_ref,0))&amp;"","Référence inconnue"))</f>
        <v/>
      </c>
      <c r="E2445" s="37" t="n"/>
      <c r="F2445" s="39" t="str">
        <f>IF(C2445="","",IFERROR(INDEX(art_unit,MATCH(C2445,art_ref,0))&amp;"",""))</f>
        <v/>
      </c>
      <c r="G2445" s="37" t="n"/>
      <c r="H2445" s="37" t="n"/>
      <c r="I2445" s="37" t="n"/>
      <c r="J2445" s="40" t="str">
        <f>IF(OR(C2445="",NOT(ISNUMBER(E2445))),"",IFERROR(E2445*N(INDEX(art_price,MATCH(C2445,art_ref,0))),""))</f>
        <v/>
      </c>
      <c r="K2445" s="39" t="str">
        <f>IF(OR(C2445="",NOT(ISNUMBER(E2445))),"",IFERROR(ROUND(N(INDEX(art_init,MATCH(C2445,art_ref,0)))+SUMIFS($E$5:E2445,$C$5:C2445,C2445,$B$5:B2445,"Entrée")-SUMIFS($E$5:E2445,$C$5:C2445,C2445,$B$5:B2445,"Sortie"),6),""))</f>
        <v/>
      </c>
      <c r="L2445" s="39" t="str">
        <f>IF(COUNTA(A2445:C2445,E2445)=0,"",IF(COUNTA(A2445:C2445,E2445)&lt;4,"Ligne incomplète",IF(NOT(ISNUMBER(A2445)),"Date invalide",IF(AND(B2445&lt;&gt;"Entrée",B2445&lt;&gt;"Sortie"),"Type inconnu",IF(ISNA(MATCH(C2445,art_ref,0)),"Référence inconnue",IF(OR(NOT(ISNUMBER(E2445)),N(E2445)&lt;=0),"Quantité invalide",IF(K2445&lt;0,"Stock négatif",IF(AND(ISNUMBER(A2444),A2445&lt;A2444),"Date hors ordre","OK"))))))))</f>
        <v/>
      </c>
      <c r="M2445" s="39" t="str">
        <f>IF(C2445="","",C2445&amp;"#"&amp;COUNTIF($C$5:C2445,C2445))</f>
        <v/>
      </c>
    </row>
    <row r="2446">
      <c r="A2446" s="41" t="n"/>
      <c r="B2446" s="37" t="n"/>
      <c r="C2446" s="37" t="n"/>
      <c r="D2446" s="39" t="str">
        <f>IF(C2446="","",IFERROR(INDEX(art_des,MATCH(C2446,art_ref,0))&amp;"","Référence inconnue"))</f>
        <v/>
      </c>
      <c r="E2446" s="37" t="n"/>
      <c r="F2446" s="39" t="str">
        <f>IF(C2446="","",IFERROR(INDEX(art_unit,MATCH(C2446,art_ref,0))&amp;"",""))</f>
        <v/>
      </c>
      <c r="G2446" s="37" t="n"/>
      <c r="H2446" s="37" t="n"/>
      <c r="I2446" s="37" t="n"/>
      <c r="J2446" s="40" t="str">
        <f>IF(OR(C2446="",NOT(ISNUMBER(E2446))),"",IFERROR(E2446*N(INDEX(art_price,MATCH(C2446,art_ref,0))),""))</f>
        <v/>
      </c>
      <c r="K2446" s="39" t="str">
        <f>IF(OR(C2446="",NOT(ISNUMBER(E2446))),"",IFERROR(ROUND(N(INDEX(art_init,MATCH(C2446,art_ref,0)))+SUMIFS($E$5:E2446,$C$5:C2446,C2446,$B$5:B2446,"Entrée")-SUMIFS($E$5:E2446,$C$5:C2446,C2446,$B$5:B2446,"Sortie"),6),""))</f>
        <v/>
      </c>
      <c r="L2446" s="39" t="str">
        <f>IF(COUNTA(A2446:C2446,E2446)=0,"",IF(COUNTA(A2446:C2446,E2446)&lt;4,"Ligne incomplète",IF(NOT(ISNUMBER(A2446)),"Date invalide",IF(AND(B2446&lt;&gt;"Entrée",B2446&lt;&gt;"Sortie"),"Type inconnu",IF(ISNA(MATCH(C2446,art_ref,0)),"Référence inconnue",IF(OR(NOT(ISNUMBER(E2446)),N(E2446)&lt;=0),"Quantité invalide",IF(K2446&lt;0,"Stock négatif",IF(AND(ISNUMBER(A2445),A2446&lt;A2445),"Date hors ordre","OK"))))))))</f>
        <v/>
      </c>
      <c r="M2446" s="39" t="str">
        <f>IF(C2446="","",C2446&amp;"#"&amp;COUNTIF($C$5:C2446,C2446))</f>
        <v/>
      </c>
    </row>
    <row r="2447">
      <c r="A2447" s="41" t="n"/>
      <c r="B2447" s="37" t="n"/>
      <c r="C2447" s="37" t="n"/>
      <c r="D2447" s="39" t="str">
        <f>IF(C2447="","",IFERROR(INDEX(art_des,MATCH(C2447,art_ref,0))&amp;"","Référence inconnue"))</f>
        <v/>
      </c>
      <c r="E2447" s="37" t="n"/>
      <c r="F2447" s="39" t="str">
        <f>IF(C2447="","",IFERROR(INDEX(art_unit,MATCH(C2447,art_ref,0))&amp;"",""))</f>
        <v/>
      </c>
      <c r="G2447" s="37" t="n"/>
      <c r="H2447" s="37" t="n"/>
      <c r="I2447" s="37" t="n"/>
      <c r="J2447" s="40" t="str">
        <f>IF(OR(C2447="",NOT(ISNUMBER(E2447))),"",IFERROR(E2447*N(INDEX(art_price,MATCH(C2447,art_ref,0))),""))</f>
        <v/>
      </c>
      <c r="K2447" s="39" t="str">
        <f>IF(OR(C2447="",NOT(ISNUMBER(E2447))),"",IFERROR(ROUND(N(INDEX(art_init,MATCH(C2447,art_ref,0)))+SUMIFS($E$5:E2447,$C$5:C2447,C2447,$B$5:B2447,"Entrée")-SUMIFS($E$5:E2447,$C$5:C2447,C2447,$B$5:B2447,"Sortie"),6),""))</f>
        <v/>
      </c>
      <c r="L2447" s="39" t="str">
        <f>IF(COUNTA(A2447:C2447,E2447)=0,"",IF(COUNTA(A2447:C2447,E2447)&lt;4,"Ligne incomplète",IF(NOT(ISNUMBER(A2447)),"Date invalide",IF(AND(B2447&lt;&gt;"Entrée",B2447&lt;&gt;"Sortie"),"Type inconnu",IF(ISNA(MATCH(C2447,art_ref,0)),"Référence inconnue",IF(OR(NOT(ISNUMBER(E2447)),N(E2447)&lt;=0),"Quantité invalide",IF(K2447&lt;0,"Stock négatif",IF(AND(ISNUMBER(A2446),A2447&lt;A2446),"Date hors ordre","OK"))))))))</f>
        <v/>
      </c>
      <c r="M2447" s="39" t="str">
        <f>IF(C2447="","",C2447&amp;"#"&amp;COUNTIF($C$5:C2447,C2447))</f>
        <v/>
      </c>
    </row>
    <row r="2448">
      <c r="A2448" s="41" t="n"/>
      <c r="B2448" s="37" t="n"/>
      <c r="C2448" s="37" t="n"/>
      <c r="D2448" s="39" t="str">
        <f>IF(C2448="","",IFERROR(INDEX(art_des,MATCH(C2448,art_ref,0))&amp;"","Référence inconnue"))</f>
        <v/>
      </c>
      <c r="E2448" s="37" t="n"/>
      <c r="F2448" s="39" t="str">
        <f>IF(C2448="","",IFERROR(INDEX(art_unit,MATCH(C2448,art_ref,0))&amp;"",""))</f>
        <v/>
      </c>
      <c r="G2448" s="37" t="n"/>
      <c r="H2448" s="37" t="n"/>
      <c r="I2448" s="37" t="n"/>
      <c r="J2448" s="40" t="str">
        <f>IF(OR(C2448="",NOT(ISNUMBER(E2448))),"",IFERROR(E2448*N(INDEX(art_price,MATCH(C2448,art_ref,0))),""))</f>
        <v/>
      </c>
      <c r="K2448" s="39" t="str">
        <f>IF(OR(C2448="",NOT(ISNUMBER(E2448))),"",IFERROR(ROUND(N(INDEX(art_init,MATCH(C2448,art_ref,0)))+SUMIFS($E$5:E2448,$C$5:C2448,C2448,$B$5:B2448,"Entrée")-SUMIFS($E$5:E2448,$C$5:C2448,C2448,$B$5:B2448,"Sortie"),6),""))</f>
        <v/>
      </c>
      <c r="L2448" s="39" t="str">
        <f>IF(COUNTA(A2448:C2448,E2448)=0,"",IF(COUNTA(A2448:C2448,E2448)&lt;4,"Ligne incomplète",IF(NOT(ISNUMBER(A2448)),"Date invalide",IF(AND(B2448&lt;&gt;"Entrée",B2448&lt;&gt;"Sortie"),"Type inconnu",IF(ISNA(MATCH(C2448,art_ref,0)),"Référence inconnue",IF(OR(NOT(ISNUMBER(E2448)),N(E2448)&lt;=0),"Quantité invalide",IF(K2448&lt;0,"Stock négatif",IF(AND(ISNUMBER(A2447),A2448&lt;A2447),"Date hors ordre","OK"))))))))</f>
        <v/>
      </c>
      <c r="M2448" s="39" t="str">
        <f>IF(C2448="","",C2448&amp;"#"&amp;COUNTIF($C$5:C2448,C2448))</f>
        <v/>
      </c>
    </row>
    <row r="2449">
      <c r="A2449" s="41" t="n"/>
      <c r="B2449" s="37" t="n"/>
      <c r="C2449" s="37" t="n"/>
      <c r="D2449" s="39" t="str">
        <f>IF(C2449="","",IFERROR(INDEX(art_des,MATCH(C2449,art_ref,0))&amp;"","Référence inconnue"))</f>
        <v/>
      </c>
      <c r="E2449" s="37" t="n"/>
      <c r="F2449" s="39" t="str">
        <f>IF(C2449="","",IFERROR(INDEX(art_unit,MATCH(C2449,art_ref,0))&amp;"",""))</f>
        <v/>
      </c>
      <c r="G2449" s="37" t="n"/>
      <c r="H2449" s="37" t="n"/>
      <c r="I2449" s="37" t="n"/>
      <c r="J2449" s="40" t="str">
        <f>IF(OR(C2449="",NOT(ISNUMBER(E2449))),"",IFERROR(E2449*N(INDEX(art_price,MATCH(C2449,art_ref,0))),""))</f>
        <v/>
      </c>
      <c r="K2449" s="39" t="str">
        <f>IF(OR(C2449="",NOT(ISNUMBER(E2449))),"",IFERROR(ROUND(N(INDEX(art_init,MATCH(C2449,art_ref,0)))+SUMIFS($E$5:E2449,$C$5:C2449,C2449,$B$5:B2449,"Entrée")-SUMIFS($E$5:E2449,$C$5:C2449,C2449,$B$5:B2449,"Sortie"),6),""))</f>
        <v/>
      </c>
      <c r="L2449" s="39" t="str">
        <f>IF(COUNTA(A2449:C2449,E2449)=0,"",IF(COUNTA(A2449:C2449,E2449)&lt;4,"Ligne incomplète",IF(NOT(ISNUMBER(A2449)),"Date invalide",IF(AND(B2449&lt;&gt;"Entrée",B2449&lt;&gt;"Sortie"),"Type inconnu",IF(ISNA(MATCH(C2449,art_ref,0)),"Référence inconnue",IF(OR(NOT(ISNUMBER(E2449)),N(E2449)&lt;=0),"Quantité invalide",IF(K2449&lt;0,"Stock négatif",IF(AND(ISNUMBER(A2448),A2449&lt;A2448),"Date hors ordre","OK"))))))))</f>
        <v/>
      </c>
      <c r="M2449" s="39" t="str">
        <f>IF(C2449="","",C2449&amp;"#"&amp;COUNTIF($C$5:C2449,C2449))</f>
        <v/>
      </c>
    </row>
    <row r="2450">
      <c r="A2450" s="41" t="n"/>
      <c r="B2450" s="37" t="n"/>
      <c r="C2450" s="37" t="n"/>
      <c r="D2450" s="39" t="str">
        <f>IF(C2450="","",IFERROR(INDEX(art_des,MATCH(C2450,art_ref,0))&amp;"","Référence inconnue"))</f>
        <v/>
      </c>
      <c r="E2450" s="37" t="n"/>
      <c r="F2450" s="39" t="str">
        <f>IF(C2450="","",IFERROR(INDEX(art_unit,MATCH(C2450,art_ref,0))&amp;"",""))</f>
        <v/>
      </c>
      <c r="G2450" s="37" t="n"/>
      <c r="H2450" s="37" t="n"/>
      <c r="I2450" s="37" t="n"/>
      <c r="J2450" s="40" t="str">
        <f>IF(OR(C2450="",NOT(ISNUMBER(E2450))),"",IFERROR(E2450*N(INDEX(art_price,MATCH(C2450,art_ref,0))),""))</f>
        <v/>
      </c>
      <c r="K2450" s="39" t="str">
        <f>IF(OR(C2450="",NOT(ISNUMBER(E2450))),"",IFERROR(ROUND(N(INDEX(art_init,MATCH(C2450,art_ref,0)))+SUMIFS($E$5:E2450,$C$5:C2450,C2450,$B$5:B2450,"Entrée")-SUMIFS($E$5:E2450,$C$5:C2450,C2450,$B$5:B2450,"Sortie"),6),""))</f>
        <v/>
      </c>
      <c r="L2450" s="39" t="str">
        <f>IF(COUNTA(A2450:C2450,E2450)=0,"",IF(COUNTA(A2450:C2450,E2450)&lt;4,"Ligne incomplète",IF(NOT(ISNUMBER(A2450)),"Date invalide",IF(AND(B2450&lt;&gt;"Entrée",B2450&lt;&gt;"Sortie"),"Type inconnu",IF(ISNA(MATCH(C2450,art_ref,0)),"Référence inconnue",IF(OR(NOT(ISNUMBER(E2450)),N(E2450)&lt;=0),"Quantité invalide",IF(K2450&lt;0,"Stock négatif",IF(AND(ISNUMBER(A2449),A2450&lt;A2449),"Date hors ordre","OK"))))))))</f>
        <v/>
      </c>
      <c r="M2450" s="39" t="str">
        <f>IF(C2450="","",C2450&amp;"#"&amp;COUNTIF($C$5:C2450,C2450))</f>
        <v/>
      </c>
    </row>
    <row r="2451">
      <c r="A2451" s="41" t="n"/>
      <c r="B2451" s="37" t="n"/>
      <c r="C2451" s="37" t="n"/>
      <c r="D2451" s="39" t="str">
        <f>IF(C2451="","",IFERROR(INDEX(art_des,MATCH(C2451,art_ref,0))&amp;"","Référence inconnue"))</f>
        <v/>
      </c>
      <c r="E2451" s="37" t="n"/>
      <c r="F2451" s="39" t="str">
        <f>IF(C2451="","",IFERROR(INDEX(art_unit,MATCH(C2451,art_ref,0))&amp;"",""))</f>
        <v/>
      </c>
      <c r="G2451" s="37" t="n"/>
      <c r="H2451" s="37" t="n"/>
      <c r="I2451" s="37" t="n"/>
      <c r="J2451" s="40" t="str">
        <f>IF(OR(C2451="",NOT(ISNUMBER(E2451))),"",IFERROR(E2451*N(INDEX(art_price,MATCH(C2451,art_ref,0))),""))</f>
        <v/>
      </c>
      <c r="K2451" s="39" t="str">
        <f>IF(OR(C2451="",NOT(ISNUMBER(E2451))),"",IFERROR(ROUND(N(INDEX(art_init,MATCH(C2451,art_ref,0)))+SUMIFS($E$5:E2451,$C$5:C2451,C2451,$B$5:B2451,"Entrée")-SUMIFS($E$5:E2451,$C$5:C2451,C2451,$B$5:B2451,"Sortie"),6),""))</f>
        <v/>
      </c>
      <c r="L2451" s="39" t="str">
        <f>IF(COUNTA(A2451:C2451,E2451)=0,"",IF(COUNTA(A2451:C2451,E2451)&lt;4,"Ligne incomplète",IF(NOT(ISNUMBER(A2451)),"Date invalide",IF(AND(B2451&lt;&gt;"Entrée",B2451&lt;&gt;"Sortie"),"Type inconnu",IF(ISNA(MATCH(C2451,art_ref,0)),"Référence inconnue",IF(OR(NOT(ISNUMBER(E2451)),N(E2451)&lt;=0),"Quantité invalide",IF(K2451&lt;0,"Stock négatif",IF(AND(ISNUMBER(A2450),A2451&lt;A2450),"Date hors ordre","OK"))))))))</f>
        <v/>
      </c>
      <c r="M2451" s="39" t="str">
        <f>IF(C2451="","",C2451&amp;"#"&amp;COUNTIF($C$5:C2451,C2451))</f>
        <v/>
      </c>
    </row>
    <row r="2452">
      <c r="A2452" s="41" t="n"/>
      <c r="B2452" s="37" t="n"/>
      <c r="C2452" s="37" t="n"/>
      <c r="D2452" s="39" t="str">
        <f>IF(C2452="","",IFERROR(INDEX(art_des,MATCH(C2452,art_ref,0))&amp;"","Référence inconnue"))</f>
        <v/>
      </c>
      <c r="E2452" s="37" t="n"/>
      <c r="F2452" s="39" t="str">
        <f>IF(C2452="","",IFERROR(INDEX(art_unit,MATCH(C2452,art_ref,0))&amp;"",""))</f>
        <v/>
      </c>
      <c r="G2452" s="37" t="n"/>
      <c r="H2452" s="37" t="n"/>
      <c r="I2452" s="37" t="n"/>
      <c r="J2452" s="40" t="str">
        <f>IF(OR(C2452="",NOT(ISNUMBER(E2452))),"",IFERROR(E2452*N(INDEX(art_price,MATCH(C2452,art_ref,0))),""))</f>
        <v/>
      </c>
      <c r="K2452" s="39" t="str">
        <f>IF(OR(C2452="",NOT(ISNUMBER(E2452))),"",IFERROR(ROUND(N(INDEX(art_init,MATCH(C2452,art_ref,0)))+SUMIFS($E$5:E2452,$C$5:C2452,C2452,$B$5:B2452,"Entrée")-SUMIFS($E$5:E2452,$C$5:C2452,C2452,$B$5:B2452,"Sortie"),6),""))</f>
        <v/>
      </c>
      <c r="L2452" s="39" t="str">
        <f>IF(COUNTA(A2452:C2452,E2452)=0,"",IF(COUNTA(A2452:C2452,E2452)&lt;4,"Ligne incomplète",IF(NOT(ISNUMBER(A2452)),"Date invalide",IF(AND(B2452&lt;&gt;"Entrée",B2452&lt;&gt;"Sortie"),"Type inconnu",IF(ISNA(MATCH(C2452,art_ref,0)),"Référence inconnue",IF(OR(NOT(ISNUMBER(E2452)),N(E2452)&lt;=0),"Quantité invalide",IF(K2452&lt;0,"Stock négatif",IF(AND(ISNUMBER(A2451),A2452&lt;A2451),"Date hors ordre","OK"))))))))</f>
        <v/>
      </c>
      <c r="M2452" s="39" t="str">
        <f>IF(C2452="","",C2452&amp;"#"&amp;COUNTIF($C$5:C2452,C2452))</f>
        <v/>
      </c>
    </row>
    <row r="2453">
      <c r="A2453" s="41" t="n"/>
      <c r="B2453" s="37" t="n"/>
      <c r="C2453" s="37" t="n"/>
      <c r="D2453" s="39" t="str">
        <f>IF(C2453="","",IFERROR(INDEX(art_des,MATCH(C2453,art_ref,0))&amp;"","Référence inconnue"))</f>
        <v/>
      </c>
      <c r="E2453" s="37" t="n"/>
      <c r="F2453" s="39" t="str">
        <f>IF(C2453="","",IFERROR(INDEX(art_unit,MATCH(C2453,art_ref,0))&amp;"",""))</f>
        <v/>
      </c>
      <c r="G2453" s="37" t="n"/>
      <c r="H2453" s="37" t="n"/>
      <c r="I2453" s="37" t="n"/>
      <c r="J2453" s="40" t="str">
        <f>IF(OR(C2453="",NOT(ISNUMBER(E2453))),"",IFERROR(E2453*N(INDEX(art_price,MATCH(C2453,art_ref,0))),""))</f>
        <v/>
      </c>
      <c r="K2453" s="39" t="str">
        <f>IF(OR(C2453="",NOT(ISNUMBER(E2453))),"",IFERROR(ROUND(N(INDEX(art_init,MATCH(C2453,art_ref,0)))+SUMIFS($E$5:E2453,$C$5:C2453,C2453,$B$5:B2453,"Entrée")-SUMIFS($E$5:E2453,$C$5:C2453,C2453,$B$5:B2453,"Sortie"),6),""))</f>
        <v/>
      </c>
      <c r="L2453" s="39" t="str">
        <f>IF(COUNTA(A2453:C2453,E2453)=0,"",IF(COUNTA(A2453:C2453,E2453)&lt;4,"Ligne incomplète",IF(NOT(ISNUMBER(A2453)),"Date invalide",IF(AND(B2453&lt;&gt;"Entrée",B2453&lt;&gt;"Sortie"),"Type inconnu",IF(ISNA(MATCH(C2453,art_ref,0)),"Référence inconnue",IF(OR(NOT(ISNUMBER(E2453)),N(E2453)&lt;=0),"Quantité invalide",IF(K2453&lt;0,"Stock négatif",IF(AND(ISNUMBER(A2452),A2453&lt;A2452),"Date hors ordre","OK"))))))))</f>
        <v/>
      </c>
      <c r="M2453" s="39" t="str">
        <f>IF(C2453="","",C2453&amp;"#"&amp;COUNTIF($C$5:C2453,C2453))</f>
        <v/>
      </c>
    </row>
    <row r="2454">
      <c r="A2454" s="41" t="n"/>
      <c r="B2454" s="37" t="n"/>
      <c r="C2454" s="37" t="n"/>
      <c r="D2454" s="39" t="str">
        <f>IF(C2454="","",IFERROR(INDEX(art_des,MATCH(C2454,art_ref,0))&amp;"","Référence inconnue"))</f>
        <v/>
      </c>
      <c r="E2454" s="37" t="n"/>
      <c r="F2454" s="39" t="str">
        <f>IF(C2454="","",IFERROR(INDEX(art_unit,MATCH(C2454,art_ref,0))&amp;"",""))</f>
        <v/>
      </c>
      <c r="G2454" s="37" t="n"/>
      <c r="H2454" s="37" t="n"/>
      <c r="I2454" s="37" t="n"/>
      <c r="J2454" s="40" t="str">
        <f>IF(OR(C2454="",NOT(ISNUMBER(E2454))),"",IFERROR(E2454*N(INDEX(art_price,MATCH(C2454,art_ref,0))),""))</f>
        <v/>
      </c>
      <c r="K2454" s="39" t="str">
        <f>IF(OR(C2454="",NOT(ISNUMBER(E2454))),"",IFERROR(ROUND(N(INDEX(art_init,MATCH(C2454,art_ref,0)))+SUMIFS($E$5:E2454,$C$5:C2454,C2454,$B$5:B2454,"Entrée")-SUMIFS($E$5:E2454,$C$5:C2454,C2454,$B$5:B2454,"Sortie"),6),""))</f>
        <v/>
      </c>
      <c r="L2454" s="39" t="str">
        <f>IF(COUNTA(A2454:C2454,E2454)=0,"",IF(COUNTA(A2454:C2454,E2454)&lt;4,"Ligne incomplète",IF(NOT(ISNUMBER(A2454)),"Date invalide",IF(AND(B2454&lt;&gt;"Entrée",B2454&lt;&gt;"Sortie"),"Type inconnu",IF(ISNA(MATCH(C2454,art_ref,0)),"Référence inconnue",IF(OR(NOT(ISNUMBER(E2454)),N(E2454)&lt;=0),"Quantité invalide",IF(K2454&lt;0,"Stock négatif",IF(AND(ISNUMBER(A2453),A2454&lt;A2453),"Date hors ordre","OK"))))))))</f>
        <v/>
      </c>
      <c r="M2454" s="39" t="str">
        <f>IF(C2454="","",C2454&amp;"#"&amp;COUNTIF($C$5:C2454,C2454))</f>
        <v/>
      </c>
    </row>
    <row r="2455">
      <c r="A2455" s="41" t="n"/>
      <c r="B2455" s="37" t="n"/>
      <c r="C2455" s="37" t="n"/>
      <c r="D2455" s="39" t="str">
        <f>IF(C2455="","",IFERROR(INDEX(art_des,MATCH(C2455,art_ref,0))&amp;"","Référence inconnue"))</f>
        <v/>
      </c>
      <c r="E2455" s="37" t="n"/>
      <c r="F2455" s="39" t="str">
        <f>IF(C2455="","",IFERROR(INDEX(art_unit,MATCH(C2455,art_ref,0))&amp;"",""))</f>
        <v/>
      </c>
      <c r="G2455" s="37" t="n"/>
      <c r="H2455" s="37" t="n"/>
      <c r="I2455" s="37" t="n"/>
      <c r="J2455" s="40" t="str">
        <f>IF(OR(C2455="",NOT(ISNUMBER(E2455))),"",IFERROR(E2455*N(INDEX(art_price,MATCH(C2455,art_ref,0))),""))</f>
        <v/>
      </c>
      <c r="K2455" s="39" t="str">
        <f>IF(OR(C2455="",NOT(ISNUMBER(E2455))),"",IFERROR(ROUND(N(INDEX(art_init,MATCH(C2455,art_ref,0)))+SUMIFS($E$5:E2455,$C$5:C2455,C2455,$B$5:B2455,"Entrée")-SUMIFS($E$5:E2455,$C$5:C2455,C2455,$B$5:B2455,"Sortie"),6),""))</f>
        <v/>
      </c>
      <c r="L2455" s="39" t="str">
        <f>IF(COUNTA(A2455:C2455,E2455)=0,"",IF(COUNTA(A2455:C2455,E2455)&lt;4,"Ligne incomplète",IF(NOT(ISNUMBER(A2455)),"Date invalide",IF(AND(B2455&lt;&gt;"Entrée",B2455&lt;&gt;"Sortie"),"Type inconnu",IF(ISNA(MATCH(C2455,art_ref,0)),"Référence inconnue",IF(OR(NOT(ISNUMBER(E2455)),N(E2455)&lt;=0),"Quantité invalide",IF(K2455&lt;0,"Stock négatif",IF(AND(ISNUMBER(A2454),A2455&lt;A2454),"Date hors ordre","OK"))))))))</f>
        <v/>
      </c>
      <c r="M2455" s="39" t="str">
        <f>IF(C2455="","",C2455&amp;"#"&amp;COUNTIF($C$5:C2455,C2455))</f>
        <v/>
      </c>
    </row>
    <row r="2456">
      <c r="A2456" s="41" t="n"/>
      <c r="B2456" s="37" t="n"/>
      <c r="C2456" s="37" t="n"/>
      <c r="D2456" s="39" t="str">
        <f>IF(C2456="","",IFERROR(INDEX(art_des,MATCH(C2456,art_ref,0))&amp;"","Référence inconnue"))</f>
        <v/>
      </c>
      <c r="E2456" s="37" t="n"/>
      <c r="F2456" s="39" t="str">
        <f>IF(C2456="","",IFERROR(INDEX(art_unit,MATCH(C2456,art_ref,0))&amp;"",""))</f>
        <v/>
      </c>
      <c r="G2456" s="37" t="n"/>
      <c r="H2456" s="37" t="n"/>
      <c r="I2456" s="37" t="n"/>
      <c r="J2456" s="40" t="str">
        <f>IF(OR(C2456="",NOT(ISNUMBER(E2456))),"",IFERROR(E2456*N(INDEX(art_price,MATCH(C2456,art_ref,0))),""))</f>
        <v/>
      </c>
      <c r="K2456" s="39" t="str">
        <f>IF(OR(C2456="",NOT(ISNUMBER(E2456))),"",IFERROR(ROUND(N(INDEX(art_init,MATCH(C2456,art_ref,0)))+SUMIFS($E$5:E2456,$C$5:C2456,C2456,$B$5:B2456,"Entrée")-SUMIFS($E$5:E2456,$C$5:C2456,C2456,$B$5:B2456,"Sortie"),6),""))</f>
        <v/>
      </c>
      <c r="L2456" s="39" t="str">
        <f>IF(COUNTA(A2456:C2456,E2456)=0,"",IF(COUNTA(A2456:C2456,E2456)&lt;4,"Ligne incomplète",IF(NOT(ISNUMBER(A2456)),"Date invalide",IF(AND(B2456&lt;&gt;"Entrée",B2456&lt;&gt;"Sortie"),"Type inconnu",IF(ISNA(MATCH(C2456,art_ref,0)),"Référence inconnue",IF(OR(NOT(ISNUMBER(E2456)),N(E2456)&lt;=0),"Quantité invalide",IF(K2456&lt;0,"Stock négatif",IF(AND(ISNUMBER(A2455),A2456&lt;A2455),"Date hors ordre","OK"))))))))</f>
        <v/>
      </c>
      <c r="M2456" s="39" t="str">
        <f>IF(C2456="","",C2456&amp;"#"&amp;COUNTIF($C$5:C2456,C2456))</f>
        <v/>
      </c>
    </row>
    <row r="2457">
      <c r="A2457" s="41" t="n"/>
      <c r="B2457" s="37" t="n"/>
      <c r="C2457" s="37" t="n"/>
      <c r="D2457" s="39" t="str">
        <f>IF(C2457="","",IFERROR(INDEX(art_des,MATCH(C2457,art_ref,0))&amp;"","Référence inconnue"))</f>
        <v/>
      </c>
      <c r="E2457" s="37" t="n"/>
      <c r="F2457" s="39" t="str">
        <f>IF(C2457="","",IFERROR(INDEX(art_unit,MATCH(C2457,art_ref,0))&amp;"",""))</f>
        <v/>
      </c>
      <c r="G2457" s="37" t="n"/>
      <c r="H2457" s="37" t="n"/>
      <c r="I2457" s="37" t="n"/>
      <c r="J2457" s="40" t="str">
        <f>IF(OR(C2457="",NOT(ISNUMBER(E2457))),"",IFERROR(E2457*N(INDEX(art_price,MATCH(C2457,art_ref,0))),""))</f>
        <v/>
      </c>
      <c r="K2457" s="39" t="str">
        <f>IF(OR(C2457="",NOT(ISNUMBER(E2457))),"",IFERROR(ROUND(N(INDEX(art_init,MATCH(C2457,art_ref,0)))+SUMIFS($E$5:E2457,$C$5:C2457,C2457,$B$5:B2457,"Entrée")-SUMIFS($E$5:E2457,$C$5:C2457,C2457,$B$5:B2457,"Sortie"),6),""))</f>
        <v/>
      </c>
      <c r="L2457" s="39" t="str">
        <f>IF(COUNTA(A2457:C2457,E2457)=0,"",IF(COUNTA(A2457:C2457,E2457)&lt;4,"Ligne incomplète",IF(NOT(ISNUMBER(A2457)),"Date invalide",IF(AND(B2457&lt;&gt;"Entrée",B2457&lt;&gt;"Sortie"),"Type inconnu",IF(ISNA(MATCH(C2457,art_ref,0)),"Référence inconnue",IF(OR(NOT(ISNUMBER(E2457)),N(E2457)&lt;=0),"Quantité invalide",IF(K2457&lt;0,"Stock négatif",IF(AND(ISNUMBER(A2456),A2457&lt;A2456),"Date hors ordre","OK"))))))))</f>
        <v/>
      </c>
      <c r="M2457" s="39" t="str">
        <f>IF(C2457="","",C2457&amp;"#"&amp;COUNTIF($C$5:C2457,C2457))</f>
        <v/>
      </c>
    </row>
    <row r="2458">
      <c r="A2458" s="41" t="n"/>
      <c r="B2458" s="37" t="n"/>
      <c r="C2458" s="37" t="n"/>
      <c r="D2458" s="39" t="str">
        <f>IF(C2458="","",IFERROR(INDEX(art_des,MATCH(C2458,art_ref,0))&amp;"","Référence inconnue"))</f>
        <v/>
      </c>
      <c r="E2458" s="37" t="n"/>
      <c r="F2458" s="39" t="str">
        <f>IF(C2458="","",IFERROR(INDEX(art_unit,MATCH(C2458,art_ref,0))&amp;"",""))</f>
        <v/>
      </c>
      <c r="G2458" s="37" t="n"/>
      <c r="H2458" s="37" t="n"/>
      <c r="I2458" s="37" t="n"/>
      <c r="J2458" s="40" t="str">
        <f>IF(OR(C2458="",NOT(ISNUMBER(E2458))),"",IFERROR(E2458*N(INDEX(art_price,MATCH(C2458,art_ref,0))),""))</f>
        <v/>
      </c>
      <c r="K2458" s="39" t="str">
        <f>IF(OR(C2458="",NOT(ISNUMBER(E2458))),"",IFERROR(ROUND(N(INDEX(art_init,MATCH(C2458,art_ref,0)))+SUMIFS($E$5:E2458,$C$5:C2458,C2458,$B$5:B2458,"Entrée")-SUMIFS($E$5:E2458,$C$5:C2458,C2458,$B$5:B2458,"Sortie"),6),""))</f>
        <v/>
      </c>
      <c r="L2458" s="39" t="str">
        <f>IF(COUNTA(A2458:C2458,E2458)=0,"",IF(COUNTA(A2458:C2458,E2458)&lt;4,"Ligne incomplète",IF(NOT(ISNUMBER(A2458)),"Date invalide",IF(AND(B2458&lt;&gt;"Entrée",B2458&lt;&gt;"Sortie"),"Type inconnu",IF(ISNA(MATCH(C2458,art_ref,0)),"Référence inconnue",IF(OR(NOT(ISNUMBER(E2458)),N(E2458)&lt;=0),"Quantité invalide",IF(K2458&lt;0,"Stock négatif",IF(AND(ISNUMBER(A2457),A2458&lt;A2457),"Date hors ordre","OK"))))))))</f>
        <v/>
      </c>
      <c r="M2458" s="39" t="str">
        <f>IF(C2458="","",C2458&amp;"#"&amp;COUNTIF($C$5:C2458,C2458))</f>
        <v/>
      </c>
    </row>
    <row r="2459">
      <c r="A2459" s="41" t="n"/>
      <c r="B2459" s="37" t="n"/>
      <c r="C2459" s="37" t="n"/>
      <c r="D2459" s="39" t="str">
        <f>IF(C2459="","",IFERROR(INDEX(art_des,MATCH(C2459,art_ref,0))&amp;"","Référence inconnue"))</f>
        <v/>
      </c>
      <c r="E2459" s="37" t="n"/>
      <c r="F2459" s="39" t="str">
        <f>IF(C2459="","",IFERROR(INDEX(art_unit,MATCH(C2459,art_ref,0))&amp;"",""))</f>
        <v/>
      </c>
      <c r="G2459" s="37" t="n"/>
      <c r="H2459" s="37" t="n"/>
      <c r="I2459" s="37" t="n"/>
      <c r="J2459" s="40" t="str">
        <f>IF(OR(C2459="",NOT(ISNUMBER(E2459))),"",IFERROR(E2459*N(INDEX(art_price,MATCH(C2459,art_ref,0))),""))</f>
        <v/>
      </c>
      <c r="K2459" s="39" t="str">
        <f>IF(OR(C2459="",NOT(ISNUMBER(E2459))),"",IFERROR(ROUND(N(INDEX(art_init,MATCH(C2459,art_ref,0)))+SUMIFS($E$5:E2459,$C$5:C2459,C2459,$B$5:B2459,"Entrée")-SUMIFS($E$5:E2459,$C$5:C2459,C2459,$B$5:B2459,"Sortie"),6),""))</f>
        <v/>
      </c>
      <c r="L2459" s="39" t="str">
        <f>IF(COUNTA(A2459:C2459,E2459)=0,"",IF(COUNTA(A2459:C2459,E2459)&lt;4,"Ligne incomplète",IF(NOT(ISNUMBER(A2459)),"Date invalide",IF(AND(B2459&lt;&gt;"Entrée",B2459&lt;&gt;"Sortie"),"Type inconnu",IF(ISNA(MATCH(C2459,art_ref,0)),"Référence inconnue",IF(OR(NOT(ISNUMBER(E2459)),N(E2459)&lt;=0),"Quantité invalide",IF(K2459&lt;0,"Stock négatif",IF(AND(ISNUMBER(A2458),A2459&lt;A2458),"Date hors ordre","OK"))))))))</f>
        <v/>
      </c>
      <c r="M2459" s="39" t="str">
        <f>IF(C2459="","",C2459&amp;"#"&amp;COUNTIF($C$5:C2459,C2459))</f>
        <v/>
      </c>
    </row>
    <row r="2460">
      <c r="A2460" s="41" t="n"/>
      <c r="B2460" s="37" t="n"/>
      <c r="C2460" s="37" t="n"/>
      <c r="D2460" s="39" t="str">
        <f>IF(C2460="","",IFERROR(INDEX(art_des,MATCH(C2460,art_ref,0))&amp;"","Référence inconnue"))</f>
        <v/>
      </c>
      <c r="E2460" s="37" t="n"/>
      <c r="F2460" s="39" t="str">
        <f>IF(C2460="","",IFERROR(INDEX(art_unit,MATCH(C2460,art_ref,0))&amp;"",""))</f>
        <v/>
      </c>
      <c r="G2460" s="37" t="n"/>
      <c r="H2460" s="37" t="n"/>
      <c r="I2460" s="37" t="n"/>
      <c r="J2460" s="40" t="str">
        <f>IF(OR(C2460="",NOT(ISNUMBER(E2460))),"",IFERROR(E2460*N(INDEX(art_price,MATCH(C2460,art_ref,0))),""))</f>
        <v/>
      </c>
      <c r="K2460" s="39" t="str">
        <f>IF(OR(C2460="",NOT(ISNUMBER(E2460))),"",IFERROR(ROUND(N(INDEX(art_init,MATCH(C2460,art_ref,0)))+SUMIFS($E$5:E2460,$C$5:C2460,C2460,$B$5:B2460,"Entrée")-SUMIFS($E$5:E2460,$C$5:C2460,C2460,$B$5:B2460,"Sortie"),6),""))</f>
        <v/>
      </c>
      <c r="L2460" s="39" t="str">
        <f>IF(COUNTA(A2460:C2460,E2460)=0,"",IF(COUNTA(A2460:C2460,E2460)&lt;4,"Ligne incomplète",IF(NOT(ISNUMBER(A2460)),"Date invalide",IF(AND(B2460&lt;&gt;"Entrée",B2460&lt;&gt;"Sortie"),"Type inconnu",IF(ISNA(MATCH(C2460,art_ref,0)),"Référence inconnue",IF(OR(NOT(ISNUMBER(E2460)),N(E2460)&lt;=0),"Quantité invalide",IF(K2460&lt;0,"Stock négatif",IF(AND(ISNUMBER(A2459),A2460&lt;A2459),"Date hors ordre","OK"))))))))</f>
        <v/>
      </c>
      <c r="M2460" s="39" t="str">
        <f>IF(C2460="","",C2460&amp;"#"&amp;COUNTIF($C$5:C2460,C2460))</f>
        <v/>
      </c>
    </row>
    <row r="2461">
      <c r="A2461" s="41" t="n"/>
      <c r="B2461" s="37" t="n"/>
      <c r="C2461" s="37" t="n"/>
      <c r="D2461" s="39" t="str">
        <f>IF(C2461="","",IFERROR(INDEX(art_des,MATCH(C2461,art_ref,0))&amp;"","Référence inconnue"))</f>
        <v/>
      </c>
      <c r="E2461" s="37" t="n"/>
      <c r="F2461" s="39" t="str">
        <f>IF(C2461="","",IFERROR(INDEX(art_unit,MATCH(C2461,art_ref,0))&amp;"",""))</f>
        <v/>
      </c>
      <c r="G2461" s="37" t="n"/>
      <c r="H2461" s="37" t="n"/>
      <c r="I2461" s="37" t="n"/>
      <c r="J2461" s="40" t="str">
        <f>IF(OR(C2461="",NOT(ISNUMBER(E2461))),"",IFERROR(E2461*N(INDEX(art_price,MATCH(C2461,art_ref,0))),""))</f>
        <v/>
      </c>
      <c r="K2461" s="39" t="str">
        <f>IF(OR(C2461="",NOT(ISNUMBER(E2461))),"",IFERROR(ROUND(N(INDEX(art_init,MATCH(C2461,art_ref,0)))+SUMIFS($E$5:E2461,$C$5:C2461,C2461,$B$5:B2461,"Entrée")-SUMIFS($E$5:E2461,$C$5:C2461,C2461,$B$5:B2461,"Sortie"),6),""))</f>
        <v/>
      </c>
      <c r="L2461" s="39" t="str">
        <f>IF(COUNTA(A2461:C2461,E2461)=0,"",IF(COUNTA(A2461:C2461,E2461)&lt;4,"Ligne incomplète",IF(NOT(ISNUMBER(A2461)),"Date invalide",IF(AND(B2461&lt;&gt;"Entrée",B2461&lt;&gt;"Sortie"),"Type inconnu",IF(ISNA(MATCH(C2461,art_ref,0)),"Référence inconnue",IF(OR(NOT(ISNUMBER(E2461)),N(E2461)&lt;=0),"Quantité invalide",IF(K2461&lt;0,"Stock négatif",IF(AND(ISNUMBER(A2460),A2461&lt;A2460),"Date hors ordre","OK"))))))))</f>
        <v/>
      </c>
      <c r="M2461" s="39" t="str">
        <f>IF(C2461="","",C2461&amp;"#"&amp;COUNTIF($C$5:C2461,C2461))</f>
        <v/>
      </c>
    </row>
    <row r="2462">
      <c r="A2462" s="41" t="n"/>
      <c r="B2462" s="37" t="n"/>
      <c r="C2462" s="37" t="n"/>
      <c r="D2462" s="39" t="str">
        <f>IF(C2462="","",IFERROR(INDEX(art_des,MATCH(C2462,art_ref,0))&amp;"","Référence inconnue"))</f>
        <v/>
      </c>
      <c r="E2462" s="37" t="n"/>
      <c r="F2462" s="39" t="str">
        <f>IF(C2462="","",IFERROR(INDEX(art_unit,MATCH(C2462,art_ref,0))&amp;"",""))</f>
        <v/>
      </c>
      <c r="G2462" s="37" t="n"/>
      <c r="H2462" s="37" t="n"/>
      <c r="I2462" s="37" t="n"/>
      <c r="J2462" s="40" t="str">
        <f>IF(OR(C2462="",NOT(ISNUMBER(E2462))),"",IFERROR(E2462*N(INDEX(art_price,MATCH(C2462,art_ref,0))),""))</f>
        <v/>
      </c>
      <c r="K2462" s="39" t="str">
        <f>IF(OR(C2462="",NOT(ISNUMBER(E2462))),"",IFERROR(ROUND(N(INDEX(art_init,MATCH(C2462,art_ref,0)))+SUMIFS($E$5:E2462,$C$5:C2462,C2462,$B$5:B2462,"Entrée")-SUMIFS($E$5:E2462,$C$5:C2462,C2462,$B$5:B2462,"Sortie"),6),""))</f>
        <v/>
      </c>
      <c r="L2462" s="39" t="str">
        <f>IF(COUNTA(A2462:C2462,E2462)=0,"",IF(COUNTA(A2462:C2462,E2462)&lt;4,"Ligne incomplète",IF(NOT(ISNUMBER(A2462)),"Date invalide",IF(AND(B2462&lt;&gt;"Entrée",B2462&lt;&gt;"Sortie"),"Type inconnu",IF(ISNA(MATCH(C2462,art_ref,0)),"Référence inconnue",IF(OR(NOT(ISNUMBER(E2462)),N(E2462)&lt;=0),"Quantité invalide",IF(K2462&lt;0,"Stock négatif",IF(AND(ISNUMBER(A2461),A2462&lt;A2461),"Date hors ordre","OK"))))))))</f>
        <v/>
      </c>
      <c r="M2462" s="39" t="str">
        <f>IF(C2462="","",C2462&amp;"#"&amp;COUNTIF($C$5:C2462,C2462))</f>
        <v/>
      </c>
    </row>
    <row r="2463">
      <c r="A2463" s="41" t="n"/>
      <c r="B2463" s="37" t="n"/>
      <c r="C2463" s="37" t="n"/>
      <c r="D2463" s="39" t="str">
        <f>IF(C2463="","",IFERROR(INDEX(art_des,MATCH(C2463,art_ref,0))&amp;"","Référence inconnue"))</f>
        <v/>
      </c>
      <c r="E2463" s="37" t="n"/>
      <c r="F2463" s="39" t="str">
        <f>IF(C2463="","",IFERROR(INDEX(art_unit,MATCH(C2463,art_ref,0))&amp;"",""))</f>
        <v/>
      </c>
      <c r="G2463" s="37" t="n"/>
      <c r="H2463" s="37" t="n"/>
      <c r="I2463" s="37" t="n"/>
      <c r="J2463" s="40" t="str">
        <f>IF(OR(C2463="",NOT(ISNUMBER(E2463))),"",IFERROR(E2463*N(INDEX(art_price,MATCH(C2463,art_ref,0))),""))</f>
        <v/>
      </c>
      <c r="K2463" s="39" t="str">
        <f>IF(OR(C2463="",NOT(ISNUMBER(E2463))),"",IFERROR(ROUND(N(INDEX(art_init,MATCH(C2463,art_ref,0)))+SUMIFS($E$5:E2463,$C$5:C2463,C2463,$B$5:B2463,"Entrée")-SUMIFS($E$5:E2463,$C$5:C2463,C2463,$B$5:B2463,"Sortie"),6),""))</f>
        <v/>
      </c>
      <c r="L2463" s="39" t="str">
        <f>IF(COUNTA(A2463:C2463,E2463)=0,"",IF(COUNTA(A2463:C2463,E2463)&lt;4,"Ligne incomplète",IF(NOT(ISNUMBER(A2463)),"Date invalide",IF(AND(B2463&lt;&gt;"Entrée",B2463&lt;&gt;"Sortie"),"Type inconnu",IF(ISNA(MATCH(C2463,art_ref,0)),"Référence inconnue",IF(OR(NOT(ISNUMBER(E2463)),N(E2463)&lt;=0),"Quantité invalide",IF(K2463&lt;0,"Stock négatif",IF(AND(ISNUMBER(A2462),A2463&lt;A2462),"Date hors ordre","OK"))))))))</f>
        <v/>
      </c>
      <c r="M2463" s="39" t="str">
        <f>IF(C2463="","",C2463&amp;"#"&amp;COUNTIF($C$5:C2463,C2463))</f>
        <v/>
      </c>
    </row>
    <row r="2464">
      <c r="A2464" s="41" t="n"/>
      <c r="B2464" s="37" t="n"/>
      <c r="C2464" s="37" t="n"/>
      <c r="D2464" s="39" t="str">
        <f>IF(C2464="","",IFERROR(INDEX(art_des,MATCH(C2464,art_ref,0))&amp;"","Référence inconnue"))</f>
        <v/>
      </c>
      <c r="E2464" s="37" t="n"/>
      <c r="F2464" s="39" t="str">
        <f>IF(C2464="","",IFERROR(INDEX(art_unit,MATCH(C2464,art_ref,0))&amp;"",""))</f>
        <v/>
      </c>
      <c r="G2464" s="37" t="n"/>
      <c r="H2464" s="37" t="n"/>
      <c r="I2464" s="37" t="n"/>
      <c r="J2464" s="40" t="str">
        <f>IF(OR(C2464="",NOT(ISNUMBER(E2464))),"",IFERROR(E2464*N(INDEX(art_price,MATCH(C2464,art_ref,0))),""))</f>
        <v/>
      </c>
      <c r="K2464" s="39" t="str">
        <f>IF(OR(C2464="",NOT(ISNUMBER(E2464))),"",IFERROR(ROUND(N(INDEX(art_init,MATCH(C2464,art_ref,0)))+SUMIFS($E$5:E2464,$C$5:C2464,C2464,$B$5:B2464,"Entrée")-SUMIFS($E$5:E2464,$C$5:C2464,C2464,$B$5:B2464,"Sortie"),6),""))</f>
        <v/>
      </c>
      <c r="L2464" s="39" t="str">
        <f>IF(COUNTA(A2464:C2464,E2464)=0,"",IF(COUNTA(A2464:C2464,E2464)&lt;4,"Ligne incomplète",IF(NOT(ISNUMBER(A2464)),"Date invalide",IF(AND(B2464&lt;&gt;"Entrée",B2464&lt;&gt;"Sortie"),"Type inconnu",IF(ISNA(MATCH(C2464,art_ref,0)),"Référence inconnue",IF(OR(NOT(ISNUMBER(E2464)),N(E2464)&lt;=0),"Quantité invalide",IF(K2464&lt;0,"Stock négatif",IF(AND(ISNUMBER(A2463),A2464&lt;A2463),"Date hors ordre","OK"))))))))</f>
        <v/>
      </c>
      <c r="M2464" s="39" t="str">
        <f>IF(C2464="","",C2464&amp;"#"&amp;COUNTIF($C$5:C2464,C2464))</f>
        <v/>
      </c>
    </row>
    <row r="2465">
      <c r="A2465" s="41" t="n"/>
      <c r="B2465" s="37" t="n"/>
      <c r="C2465" s="37" t="n"/>
      <c r="D2465" s="39" t="str">
        <f>IF(C2465="","",IFERROR(INDEX(art_des,MATCH(C2465,art_ref,0))&amp;"","Référence inconnue"))</f>
        <v/>
      </c>
      <c r="E2465" s="37" t="n"/>
      <c r="F2465" s="39" t="str">
        <f>IF(C2465="","",IFERROR(INDEX(art_unit,MATCH(C2465,art_ref,0))&amp;"",""))</f>
        <v/>
      </c>
      <c r="G2465" s="37" t="n"/>
      <c r="H2465" s="37" t="n"/>
      <c r="I2465" s="37" t="n"/>
      <c r="J2465" s="40" t="str">
        <f>IF(OR(C2465="",NOT(ISNUMBER(E2465))),"",IFERROR(E2465*N(INDEX(art_price,MATCH(C2465,art_ref,0))),""))</f>
        <v/>
      </c>
      <c r="K2465" s="39" t="str">
        <f>IF(OR(C2465="",NOT(ISNUMBER(E2465))),"",IFERROR(ROUND(N(INDEX(art_init,MATCH(C2465,art_ref,0)))+SUMIFS($E$5:E2465,$C$5:C2465,C2465,$B$5:B2465,"Entrée")-SUMIFS($E$5:E2465,$C$5:C2465,C2465,$B$5:B2465,"Sortie"),6),""))</f>
        <v/>
      </c>
      <c r="L2465" s="39" t="str">
        <f>IF(COUNTA(A2465:C2465,E2465)=0,"",IF(COUNTA(A2465:C2465,E2465)&lt;4,"Ligne incomplète",IF(NOT(ISNUMBER(A2465)),"Date invalide",IF(AND(B2465&lt;&gt;"Entrée",B2465&lt;&gt;"Sortie"),"Type inconnu",IF(ISNA(MATCH(C2465,art_ref,0)),"Référence inconnue",IF(OR(NOT(ISNUMBER(E2465)),N(E2465)&lt;=0),"Quantité invalide",IF(K2465&lt;0,"Stock négatif",IF(AND(ISNUMBER(A2464),A2465&lt;A2464),"Date hors ordre","OK"))))))))</f>
        <v/>
      </c>
      <c r="M2465" s="39" t="str">
        <f>IF(C2465="","",C2465&amp;"#"&amp;COUNTIF($C$5:C2465,C2465))</f>
        <v/>
      </c>
    </row>
    <row r="2466">
      <c r="A2466" s="41" t="n"/>
      <c r="B2466" s="37" t="n"/>
      <c r="C2466" s="37" t="n"/>
      <c r="D2466" s="39" t="str">
        <f>IF(C2466="","",IFERROR(INDEX(art_des,MATCH(C2466,art_ref,0))&amp;"","Référence inconnue"))</f>
        <v/>
      </c>
      <c r="E2466" s="37" t="n"/>
      <c r="F2466" s="39" t="str">
        <f>IF(C2466="","",IFERROR(INDEX(art_unit,MATCH(C2466,art_ref,0))&amp;"",""))</f>
        <v/>
      </c>
      <c r="G2466" s="37" t="n"/>
      <c r="H2466" s="37" t="n"/>
      <c r="I2466" s="37" t="n"/>
      <c r="J2466" s="40" t="str">
        <f>IF(OR(C2466="",NOT(ISNUMBER(E2466))),"",IFERROR(E2466*N(INDEX(art_price,MATCH(C2466,art_ref,0))),""))</f>
        <v/>
      </c>
      <c r="K2466" s="39" t="str">
        <f>IF(OR(C2466="",NOT(ISNUMBER(E2466))),"",IFERROR(ROUND(N(INDEX(art_init,MATCH(C2466,art_ref,0)))+SUMIFS($E$5:E2466,$C$5:C2466,C2466,$B$5:B2466,"Entrée")-SUMIFS($E$5:E2466,$C$5:C2466,C2466,$B$5:B2466,"Sortie"),6),""))</f>
        <v/>
      </c>
      <c r="L2466" s="39" t="str">
        <f>IF(COUNTA(A2466:C2466,E2466)=0,"",IF(COUNTA(A2466:C2466,E2466)&lt;4,"Ligne incomplète",IF(NOT(ISNUMBER(A2466)),"Date invalide",IF(AND(B2466&lt;&gt;"Entrée",B2466&lt;&gt;"Sortie"),"Type inconnu",IF(ISNA(MATCH(C2466,art_ref,0)),"Référence inconnue",IF(OR(NOT(ISNUMBER(E2466)),N(E2466)&lt;=0),"Quantité invalide",IF(K2466&lt;0,"Stock négatif",IF(AND(ISNUMBER(A2465),A2466&lt;A2465),"Date hors ordre","OK"))))))))</f>
        <v/>
      </c>
      <c r="M2466" s="39" t="str">
        <f>IF(C2466="","",C2466&amp;"#"&amp;COUNTIF($C$5:C2466,C2466))</f>
        <v/>
      </c>
    </row>
    <row r="2467">
      <c r="A2467" s="41" t="n"/>
      <c r="B2467" s="37" t="n"/>
      <c r="C2467" s="37" t="n"/>
      <c r="D2467" s="39" t="str">
        <f>IF(C2467="","",IFERROR(INDEX(art_des,MATCH(C2467,art_ref,0))&amp;"","Référence inconnue"))</f>
        <v/>
      </c>
      <c r="E2467" s="37" t="n"/>
      <c r="F2467" s="39" t="str">
        <f>IF(C2467="","",IFERROR(INDEX(art_unit,MATCH(C2467,art_ref,0))&amp;"",""))</f>
        <v/>
      </c>
      <c r="G2467" s="37" t="n"/>
      <c r="H2467" s="37" t="n"/>
      <c r="I2467" s="37" t="n"/>
      <c r="J2467" s="40" t="str">
        <f>IF(OR(C2467="",NOT(ISNUMBER(E2467))),"",IFERROR(E2467*N(INDEX(art_price,MATCH(C2467,art_ref,0))),""))</f>
        <v/>
      </c>
      <c r="K2467" s="39" t="str">
        <f>IF(OR(C2467="",NOT(ISNUMBER(E2467))),"",IFERROR(ROUND(N(INDEX(art_init,MATCH(C2467,art_ref,0)))+SUMIFS($E$5:E2467,$C$5:C2467,C2467,$B$5:B2467,"Entrée")-SUMIFS($E$5:E2467,$C$5:C2467,C2467,$B$5:B2467,"Sortie"),6),""))</f>
        <v/>
      </c>
      <c r="L2467" s="39" t="str">
        <f>IF(COUNTA(A2467:C2467,E2467)=0,"",IF(COUNTA(A2467:C2467,E2467)&lt;4,"Ligne incomplète",IF(NOT(ISNUMBER(A2467)),"Date invalide",IF(AND(B2467&lt;&gt;"Entrée",B2467&lt;&gt;"Sortie"),"Type inconnu",IF(ISNA(MATCH(C2467,art_ref,0)),"Référence inconnue",IF(OR(NOT(ISNUMBER(E2467)),N(E2467)&lt;=0),"Quantité invalide",IF(K2467&lt;0,"Stock négatif",IF(AND(ISNUMBER(A2466),A2467&lt;A2466),"Date hors ordre","OK"))))))))</f>
        <v/>
      </c>
      <c r="M2467" s="39" t="str">
        <f>IF(C2467="","",C2467&amp;"#"&amp;COUNTIF($C$5:C2467,C2467))</f>
        <v/>
      </c>
    </row>
    <row r="2468">
      <c r="A2468" s="41" t="n"/>
      <c r="B2468" s="37" t="n"/>
      <c r="C2468" s="37" t="n"/>
      <c r="D2468" s="39" t="str">
        <f>IF(C2468="","",IFERROR(INDEX(art_des,MATCH(C2468,art_ref,0))&amp;"","Référence inconnue"))</f>
        <v/>
      </c>
      <c r="E2468" s="37" t="n"/>
      <c r="F2468" s="39" t="str">
        <f>IF(C2468="","",IFERROR(INDEX(art_unit,MATCH(C2468,art_ref,0))&amp;"",""))</f>
        <v/>
      </c>
      <c r="G2468" s="37" t="n"/>
      <c r="H2468" s="37" t="n"/>
      <c r="I2468" s="37" t="n"/>
      <c r="J2468" s="40" t="str">
        <f>IF(OR(C2468="",NOT(ISNUMBER(E2468))),"",IFERROR(E2468*N(INDEX(art_price,MATCH(C2468,art_ref,0))),""))</f>
        <v/>
      </c>
      <c r="K2468" s="39" t="str">
        <f>IF(OR(C2468="",NOT(ISNUMBER(E2468))),"",IFERROR(ROUND(N(INDEX(art_init,MATCH(C2468,art_ref,0)))+SUMIFS($E$5:E2468,$C$5:C2468,C2468,$B$5:B2468,"Entrée")-SUMIFS($E$5:E2468,$C$5:C2468,C2468,$B$5:B2468,"Sortie"),6),""))</f>
        <v/>
      </c>
      <c r="L2468" s="39" t="str">
        <f>IF(COUNTA(A2468:C2468,E2468)=0,"",IF(COUNTA(A2468:C2468,E2468)&lt;4,"Ligne incomplète",IF(NOT(ISNUMBER(A2468)),"Date invalide",IF(AND(B2468&lt;&gt;"Entrée",B2468&lt;&gt;"Sortie"),"Type inconnu",IF(ISNA(MATCH(C2468,art_ref,0)),"Référence inconnue",IF(OR(NOT(ISNUMBER(E2468)),N(E2468)&lt;=0),"Quantité invalide",IF(K2468&lt;0,"Stock négatif",IF(AND(ISNUMBER(A2467),A2468&lt;A2467),"Date hors ordre","OK"))))))))</f>
        <v/>
      </c>
      <c r="M2468" s="39" t="str">
        <f>IF(C2468="","",C2468&amp;"#"&amp;COUNTIF($C$5:C2468,C2468))</f>
        <v/>
      </c>
    </row>
    <row r="2469">
      <c r="A2469" s="41" t="n"/>
      <c r="B2469" s="37" t="n"/>
      <c r="C2469" s="37" t="n"/>
      <c r="D2469" s="39" t="str">
        <f>IF(C2469="","",IFERROR(INDEX(art_des,MATCH(C2469,art_ref,0))&amp;"","Référence inconnue"))</f>
        <v/>
      </c>
      <c r="E2469" s="37" t="n"/>
      <c r="F2469" s="39" t="str">
        <f>IF(C2469="","",IFERROR(INDEX(art_unit,MATCH(C2469,art_ref,0))&amp;"",""))</f>
        <v/>
      </c>
      <c r="G2469" s="37" t="n"/>
      <c r="H2469" s="37" t="n"/>
      <c r="I2469" s="37" t="n"/>
      <c r="J2469" s="40" t="str">
        <f>IF(OR(C2469="",NOT(ISNUMBER(E2469))),"",IFERROR(E2469*N(INDEX(art_price,MATCH(C2469,art_ref,0))),""))</f>
        <v/>
      </c>
      <c r="K2469" s="39" t="str">
        <f>IF(OR(C2469="",NOT(ISNUMBER(E2469))),"",IFERROR(ROUND(N(INDEX(art_init,MATCH(C2469,art_ref,0)))+SUMIFS($E$5:E2469,$C$5:C2469,C2469,$B$5:B2469,"Entrée")-SUMIFS($E$5:E2469,$C$5:C2469,C2469,$B$5:B2469,"Sortie"),6),""))</f>
        <v/>
      </c>
      <c r="L2469" s="39" t="str">
        <f>IF(COUNTA(A2469:C2469,E2469)=0,"",IF(COUNTA(A2469:C2469,E2469)&lt;4,"Ligne incomplète",IF(NOT(ISNUMBER(A2469)),"Date invalide",IF(AND(B2469&lt;&gt;"Entrée",B2469&lt;&gt;"Sortie"),"Type inconnu",IF(ISNA(MATCH(C2469,art_ref,0)),"Référence inconnue",IF(OR(NOT(ISNUMBER(E2469)),N(E2469)&lt;=0),"Quantité invalide",IF(K2469&lt;0,"Stock négatif",IF(AND(ISNUMBER(A2468),A2469&lt;A2468),"Date hors ordre","OK"))))))))</f>
        <v/>
      </c>
      <c r="M2469" s="39" t="str">
        <f>IF(C2469="","",C2469&amp;"#"&amp;COUNTIF($C$5:C2469,C2469))</f>
        <v/>
      </c>
    </row>
    <row r="2470">
      <c r="A2470" s="41" t="n"/>
      <c r="B2470" s="37" t="n"/>
      <c r="C2470" s="37" t="n"/>
      <c r="D2470" s="39" t="str">
        <f>IF(C2470="","",IFERROR(INDEX(art_des,MATCH(C2470,art_ref,0))&amp;"","Référence inconnue"))</f>
        <v/>
      </c>
      <c r="E2470" s="37" t="n"/>
      <c r="F2470" s="39" t="str">
        <f>IF(C2470="","",IFERROR(INDEX(art_unit,MATCH(C2470,art_ref,0))&amp;"",""))</f>
        <v/>
      </c>
      <c r="G2470" s="37" t="n"/>
      <c r="H2470" s="37" t="n"/>
      <c r="I2470" s="37" t="n"/>
      <c r="J2470" s="40" t="str">
        <f>IF(OR(C2470="",NOT(ISNUMBER(E2470))),"",IFERROR(E2470*N(INDEX(art_price,MATCH(C2470,art_ref,0))),""))</f>
        <v/>
      </c>
      <c r="K2470" s="39" t="str">
        <f>IF(OR(C2470="",NOT(ISNUMBER(E2470))),"",IFERROR(ROUND(N(INDEX(art_init,MATCH(C2470,art_ref,0)))+SUMIFS($E$5:E2470,$C$5:C2470,C2470,$B$5:B2470,"Entrée")-SUMIFS($E$5:E2470,$C$5:C2470,C2470,$B$5:B2470,"Sortie"),6),""))</f>
        <v/>
      </c>
      <c r="L2470" s="39" t="str">
        <f>IF(COUNTA(A2470:C2470,E2470)=0,"",IF(COUNTA(A2470:C2470,E2470)&lt;4,"Ligne incomplète",IF(NOT(ISNUMBER(A2470)),"Date invalide",IF(AND(B2470&lt;&gt;"Entrée",B2470&lt;&gt;"Sortie"),"Type inconnu",IF(ISNA(MATCH(C2470,art_ref,0)),"Référence inconnue",IF(OR(NOT(ISNUMBER(E2470)),N(E2470)&lt;=0),"Quantité invalide",IF(K2470&lt;0,"Stock négatif",IF(AND(ISNUMBER(A2469),A2470&lt;A2469),"Date hors ordre","OK"))))))))</f>
        <v/>
      </c>
      <c r="M2470" s="39" t="str">
        <f>IF(C2470="","",C2470&amp;"#"&amp;COUNTIF($C$5:C2470,C2470))</f>
        <v/>
      </c>
    </row>
    <row r="2471">
      <c r="A2471" s="41" t="n"/>
      <c r="B2471" s="37" t="n"/>
      <c r="C2471" s="37" t="n"/>
      <c r="D2471" s="39" t="str">
        <f>IF(C2471="","",IFERROR(INDEX(art_des,MATCH(C2471,art_ref,0))&amp;"","Référence inconnue"))</f>
        <v/>
      </c>
      <c r="E2471" s="37" t="n"/>
      <c r="F2471" s="39" t="str">
        <f>IF(C2471="","",IFERROR(INDEX(art_unit,MATCH(C2471,art_ref,0))&amp;"",""))</f>
        <v/>
      </c>
      <c r="G2471" s="37" t="n"/>
      <c r="H2471" s="37" t="n"/>
      <c r="I2471" s="37" t="n"/>
      <c r="J2471" s="40" t="str">
        <f>IF(OR(C2471="",NOT(ISNUMBER(E2471))),"",IFERROR(E2471*N(INDEX(art_price,MATCH(C2471,art_ref,0))),""))</f>
        <v/>
      </c>
      <c r="K2471" s="39" t="str">
        <f>IF(OR(C2471="",NOT(ISNUMBER(E2471))),"",IFERROR(ROUND(N(INDEX(art_init,MATCH(C2471,art_ref,0)))+SUMIFS($E$5:E2471,$C$5:C2471,C2471,$B$5:B2471,"Entrée")-SUMIFS($E$5:E2471,$C$5:C2471,C2471,$B$5:B2471,"Sortie"),6),""))</f>
        <v/>
      </c>
      <c r="L2471" s="39" t="str">
        <f>IF(COUNTA(A2471:C2471,E2471)=0,"",IF(COUNTA(A2471:C2471,E2471)&lt;4,"Ligne incomplète",IF(NOT(ISNUMBER(A2471)),"Date invalide",IF(AND(B2471&lt;&gt;"Entrée",B2471&lt;&gt;"Sortie"),"Type inconnu",IF(ISNA(MATCH(C2471,art_ref,0)),"Référence inconnue",IF(OR(NOT(ISNUMBER(E2471)),N(E2471)&lt;=0),"Quantité invalide",IF(K2471&lt;0,"Stock négatif",IF(AND(ISNUMBER(A2470),A2471&lt;A2470),"Date hors ordre","OK"))))))))</f>
        <v/>
      </c>
      <c r="M2471" s="39" t="str">
        <f>IF(C2471="","",C2471&amp;"#"&amp;COUNTIF($C$5:C2471,C2471))</f>
        <v/>
      </c>
    </row>
    <row r="2472">
      <c r="A2472" s="41" t="n"/>
      <c r="B2472" s="37" t="n"/>
      <c r="C2472" s="37" t="n"/>
      <c r="D2472" s="39" t="str">
        <f>IF(C2472="","",IFERROR(INDEX(art_des,MATCH(C2472,art_ref,0))&amp;"","Référence inconnue"))</f>
        <v/>
      </c>
      <c r="E2472" s="37" t="n"/>
      <c r="F2472" s="39" t="str">
        <f>IF(C2472="","",IFERROR(INDEX(art_unit,MATCH(C2472,art_ref,0))&amp;"",""))</f>
        <v/>
      </c>
      <c r="G2472" s="37" t="n"/>
      <c r="H2472" s="37" t="n"/>
      <c r="I2472" s="37" t="n"/>
      <c r="J2472" s="40" t="str">
        <f>IF(OR(C2472="",NOT(ISNUMBER(E2472))),"",IFERROR(E2472*N(INDEX(art_price,MATCH(C2472,art_ref,0))),""))</f>
        <v/>
      </c>
      <c r="K2472" s="39" t="str">
        <f>IF(OR(C2472="",NOT(ISNUMBER(E2472))),"",IFERROR(ROUND(N(INDEX(art_init,MATCH(C2472,art_ref,0)))+SUMIFS($E$5:E2472,$C$5:C2472,C2472,$B$5:B2472,"Entrée")-SUMIFS($E$5:E2472,$C$5:C2472,C2472,$B$5:B2472,"Sortie"),6),""))</f>
        <v/>
      </c>
      <c r="L2472" s="39" t="str">
        <f>IF(COUNTA(A2472:C2472,E2472)=0,"",IF(COUNTA(A2472:C2472,E2472)&lt;4,"Ligne incomplète",IF(NOT(ISNUMBER(A2472)),"Date invalide",IF(AND(B2472&lt;&gt;"Entrée",B2472&lt;&gt;"Sortie"),"Type inconnu",IF(ISNA(MATCH(C2472,art_ref,0)),"Référence inconnue",IF(OR(NOT(ISNUMBER(E2472)),N(E2472)&lt;=0),"Quantité invalide",IF(K2472&lt;0,"Stock négatif",IF(AND(ISNUMBER(A2471),A2472&lt;A2471),"Date hors ordre","OK"))))))))</f>
        <v/>
      </c>
      <c r="M2472" s="39" t="str">
        <f>IF(C2472="","",C2472&amp;"#"&amp;COUNTIF($C$5:C2472,C2472))</f>
        <v/>
      </c>
    </row>
    <row r="2473">
      <c r="A2473" s="41" t="n"/>
      <c r="B2473" s="37" t="n"/>
      <c r="C2473" s="37" t="n"/>
      <c r="D2473" s="39" t="str">
        <f>IF(C2473="","",IFERROR(INDEX(art_des,MATCH(C2473,art_ref,0))&amp;"","Référence inconnue"))</f>
        <v/>
      </c>
      <c r="E2473" s="37" t="n"/>
      <c r="F2473" s="39" t="str">
        <f>IF(C2473="","",IFERROR(INDEX(art_unit,MATCH(C2473,art_ref,0))&amp;"",""))</f>
        <v/>
      </c>
      <c r="G2473" s="37" t="n"/>
      <c r="H2473" s="37" t="n"/>
      <c r="I2473" s="37" t="n"/>
      <c r="J2473" s="40" t="str">
        <f>IF(OR(C2473="",NOT(ISNUMBER(E2473))),"",IFERROR(E2473*N(INDEX(art_price,MATCH(C2473,art_ref,0))),""))</f>
        <v/>
      </c>
      <c r="K2473" s="39" t="str">
        <f>IF(OR(C2473="",NOT(ISNUMBER(E2473))),"",IFERROR(ROUND(N(INDEX(art_init,MATCH(C2473,art_ref,0)))+SUMIFS($E$5:E2473,$C$5:C2473,C2473,$B$5:B2473,"Entrée")-SUMIFS($E$5:E2473,$C$5:C2473,C2473,$B$5:B2473,"Sortie"),6),""))</f>
        <v/>
      </c>
      <c r="L2473" s="39" t="str">
        <f>IF(COUNTA(A2473:C2473,E2473)=0,"",IF(COUNTA(A2473:C2473,E2473)&lt;4,"Ligne incomplète",IF(NOT(ISNUMBER(A2473)),"Date invalide",IF(AND(B2473&lt;&gt;"Entrée",B2473&lt;&gt;"Sortie"),"Type inconnu",IF(ISNA(MATCH(C2473,art_ref,0)),"Référence inconnue",IF(OR(NOT(ISNUMBER(E2473)),N(E2473)&lt;=0),"Quantité invalide",IF(K2473&lt;0,"Stock négatif",IF(AND(ISNUMBER(A2472),A2473&lt;A2472),"Date hors ordre","OK"))))))))</f>
        <v/>
      </c>
      <c r="M2473" s="39" t="str">
        <f>IF(C2473="","",C2473&amp;"#"&amp;COUNTIF($C$5:C2473,C2473))</f>
        <v/>
      </c>
    </row>
    <row r="2474">
      <c r="A2474" s="41" t="n"/>
      <c r="B2474" s="37" t="n"/>
      <c r="C2474" s="37" t="n"/>
      <c r="D2474" s="39" t="str">
        <f>IF(C2474="","",IFERROR(INDEX(art_des,MATCH(C2474,art_ref,0))&amp;"","Référence inconnue"))</f>
        <v/>
      </c>
      <c r="E2474" s="37" t="n"/>
      <c r="F2474" s="39" t="str">
        <f>IF(C2474="","",IFERROR(INDEX(art_unit,MATCH(C2474,art_ref,0))&amp;"",""))</f>
        <v/>
      </c>
      <c r="G2474" s="37" t="n"/>
      <c r="H2474" s="37" t="n"/>
      <c r="I2474" s="37" t="n"/>
      <c r="J2474" s="40" t="str">
        <f>IF(OR(C2474="",NOT(ISNUMBER(E2474))),"",IFERROR(E2474*N(INDEX(art_price,MATCH(C2474,art_ref,0))),""))</f>
        <v/>
      </c>
      <c r="K2474" s="39" t="str">
        <f>IF(OR(C2474="",NOT(ISNUMBER(E2474))),"",IFERROR(ROUND(N(INDEX(art_init,MATCH(C2474,art_ref,0)))+SUMIFS($E$5:E2474,$C$5:C2474,C2474,$B$5:B2474,"Entrée")-SUMIFS($E$5:E2474,$C$5:C2474,C2474,$B$5:B2474,"Sortie"),6),""))</f>
        <v/>
      </c>
      <c r="L2474" s="39" t="str">
        <f>IF(COUNTA(A2474:C2474,E2474)=0,"",IF(COUNTA(A2474:C2474,E2474)&lt;4,"Ligne incomplète",IF(NOT(ISNUMBER(A2474)),"Date invalide",IF(AND(B2474&lt;&gt;"Entrée",B2474&lt;&gt;"Sortie"),"Type inconnu",IF(ISNA(MATCH(C2474,art_ref,0)),"Référence inconnue",IF(OR(NOT(ISNUMBER(E2474)),N(E2474)&lt;=0),"Quantité invalide",IF(K2474&lt;0,"Stock négatif",IF(AND(ISNUMBER(A2473),A2474&lt;A2473),"Date hors ordre","OK"))))))))</f>
        <v/>
      </c>
      <c r="M2474" s="39" t="str">
        <f>IF(C2474="","",C2474&amp;"#"&amp;COUNTIF($C$5:C2474,C2474))</f>
        <v/>
      </c>
    </row>
    <row r="2475">
      <c r="A2475" s="41" t="n"/>
      <c r="B2475" s="37" t="n"/>
      <c r="C2475" s="37" t="n"/>
      <c r="D2475" s="39" t="str">
        <f>IF(C2475="","",IFERROR(INDEX(art_des,MATCH(C2475,art_ref,0))&amp;"","Référence inconnue"))</f>
        <v/>
      </c>
      <c r="E2475" s="37" t="n"/>
      <c r="F2475" s="39" t="str">
        <f>IF(C2475="","",IFERROR(INDEX(art_unit,MATCH(C2475,art_ref,0))&amp;"",""))</f>
        <v/>
      </c>
      <c r="G2475" s="37" t="n"/>
      <c r="H2475" s="37" t="n"/>
      <c r="I2475" s="37" t="n"/>
      <c r="J2475" s="40" t="str">
        <f>IF(OR(C2475="",NOT(ISNUMBER(E2475))),"",IFERROR(E2475*N(INDEX(art_price,MATCH(C2475,art_ref,0))),""))</f>
        <v/>
      </c>
      <c r="K2475" s="39" t="str">
        <f>IF(OR(C2475="",NOT(ISNUMBER(E2475))),"",IFERROR(ROUND(N(INDEX(art_init,MATCH(C2475,art_ref,0)))+SUMIFS($E$5:E2475,$C$5:C2475,C2475,$B$5:B2475,"Entrée")-SUMIFS($E$5:E2475,$C$5:C2475,C2475,$B$5:B2475,"Sortie"),6),""))</f>
        <v/>
      </c>
      <c r="L2475" s="39" t="str">
        <f>IF(COUNTA(A2475:C2475,E2475)=0,"",IF(COUNTA(A2475:C2475,E2475)&lt;4,"Ligne incomplète",IF(NOT(ISNUMBER(A2475)),"Date invalide",IF(AND(B2475&lt;&gt;"Entrée",B2475&lt;&gt;"Sortie"),"Type inconnu",IF(ISNA(MATCH(C2475,art_ref,0)),"Référence inconnue",IF(OR(NOT(ISNUMBER(E2475)),N(E2475)&lt;=0),"Quantité invalide",IF(K2475&lt;0,"Stock négatif",IF(AND(ISNUMBER(A2474),A2475&lt;A2474),"Date hors ordre","OK"))))))))</f>
        <v/>
      </c>
      <c r="M2475" s="39" t="str">
        <f>IF(C2475="","",C2475&amp;"#"&amp;COUNTIF($C$5:C2475,C2475))</f>
        <v/>
      </c>
    </row>
    <row r="2476">
      <c r="A2476" s="41" t="n"/>
      <c r="B2476" s="37" t="n"/>
      <c r="C2476" s="37" t="n"/>
      <c r="D2476" s="39" t="str">
        <f>IF(C2476="","",IFERROR(INDEX(art_des,MATCH(C2476,art_ref,0))&amp;"","Référence inconnue"))</f>
        <v/>
      </c>
      <c r="E2476" s="37" t="n"/>
      <c r="F2476" s="39" t="str">
        <f>IF(C2476="","",IFERROR(INDEX(art_unit,MATCH(C2476,art_ref,0))&amp;"",""))</f>
        <v/>
      </c>
      <c r="G2476" s="37" t="n"/>
      <c r="H2476" s="37" t="n"/>
      <c r="I2476" s="37" t="n"/>
      <c r="J2476" s="40" t="str">
        <f>IF(OR(C2476="",NOT(ISNUMBER(E2476))),"",IFERROR(E2476*N(INDEX(art_price,MATCH(C2476,art_ref,0))),""))</f>
        <v/>
      </c>
      <c r="K2476" s="39" t="str">
        <f>IF(OR(C2476="",NOT(ISNUMBER(E2476))),"",IFERROR(ROUND(N(INDEX(art_init,MATCH(C2476,art_ref,0)))+SUMIFS($E$5:E2476,$C$5:C2476,C2476,$B$5:B2476,"Entrée")-SUMIFS($E$5:E2476,$C$5:C2476,C2476,$B$5:B2476,"Sortie"),6),""))</f>
        <v/>
      </c>
      <c r="L2476" s="39" t="str">
        <f>IF(COUNTA(A2476:C2476,E2476)=0,"",IF(COUNTA(A2476:C2476,E2476)&lt;4,"Ligne incomplète",IF(NOT(ISNUMBER(A2476)),"Date invalide",IF(AND(B2476&lt;&gt;"Entrée",B2476&lt;&gt;"Sortie"),"Type inconnu",IF(ISNA(MATCH(C2476,art_ref,0)),"Référence inconnue",IF(OR(NOT(ISNUMBER(E2476)),N(E2476)&lt;=0),"Quantité invalide",IF(K2476&lt;0,"Stock négatif",IF(AND(ISNUMBER(A2475),A2476&lt;A2475),"Date hors ordre","OK"))))))))</f>
        <v/>
      </c>
      <c r="M2476" s="39" t="str">
        <f>IF(C2476="","",C2476&amp;"#"&amp;COUNTIF($C$5:C2476,C2476))</f>
        <v/>
      </c>
    </row>
    <row r="2477">
      <c r="A2477" s="41" t="n"/>
      <c r="B2477" s="37" t="n"/>
      <c r="C2477" s="37" t="n"/>
      <c r="D2477" s="39" t="str">
        <f>IF(C2477="","",IFERROR(INDEX(art_des,MATCH(C2477,art_ref,0))&amp;"","Référence inconnue"))</f>
        <v/>
      </c>
      <c r="E2477" s="37" t="n"/>
      <c r="F2477" s="39" t="str">
        <f>IF(C2477="","",IFERROR(INDEX(art_unit,MATCH(C2477,art_ref,0))&amp;"",""))</f>
        <v/>
      </c>
      <c r="G2477" s="37" t="n"/>
      <c r="H2477" s="37" t="n"/>
      <c r="I2477" s="37" t="n"/>
      <c r="J2477" s="40" t="str">
        <f>IF(OR(C2477="",NOT(ISNUMBER(E2477))),"",IFERROR(E2477*N(INDEX(art_price,MATCH(C2477,art_ref,0))),""))</f>
        <v/>
      </c>
      <c r="K2477" s="39" t="str">
        <f>IF(OR(C2477="",NOT(ISNUMBER(E2477))),"",IFERROR(ROUND(N(INDEX(art_init,MATCH(C2477,art_ref,0)))+SUMIFS($E$5:E2477,$C$5:C2477,C2477,$B$5:B2477,"Entrée")-SUMIFS($E$5:E2477,$C$5:C2477,C2477,$B$5:B2477,"Sortie"),6),""))</f>
        <v/>
      </c>
      <c r="L2477" s="39" t="str">
        <f>IF(COUNTA(A2477:C2477,E2477)=0,"",IF(COUNTA(A2477:C2477,E2477)&lt;4,"Ligne incomplète",IF(NOT(ISNUMBER(A2477)),"Date invalide",IF(AND(B2477&lt;&gt;"Entrée",B2477&lt;&gt;"Sortie"),"Type inconnu",IF(ISNA(MATCH(C2477,art_ref,0)),"Référence inconnue",IF(OR(NOT(ISNUMBER(E2477)),N(E2477)&lt;=0),"Quantité invalide",IF(K2477&lt;0,"Stock négatif",IF(AND(ISNUMBER(A2476),A2477&lt;A2476),"Date hors ordre","OK"))))))))</f>
        <v/>
      </c>
      <c r="M2477" s="39" t="str">
        <f>IF(C2477="","",C2477&amp;"#"&amp;COUNTIF($C$5:C2477,C2477))</f>
        <v/>
      </c>
    </row>
    <row r="2478">
      <c r="A2478" s="41" t="n"/>
      <c r="B2478" s="37" t="n"/>
      <c r="C2478" s="37" t="n"/>
      <c r="D2478" s="39" t="str">
        <f>IF(C2478="","",IFERROR(INDEX(art_des,MATCH(C2478,art_ref,0))&amp;"","Référence inconnue"))</f>
        <v/>
      </c>
      <c r="E2478" s="37" t="n"/>
      <c r="F2478" s="39" t="str">
        <f>IF(C2478="","",IFERROR(INDEX(art_unit,MATCH(C2478,art_ref,0))&amp;"",""))</f>
        <v/>
      </c>
      <c r="G2478" s="37" t="n"/>
      <c r="H2478" s="37" t="n"/>
      <c r="I2478" s="37" t="n"/>
      <c r="J2478" s="40" t="str">
        <f>IF(OR(C2478="",NOT(ISNUMBER(E2478))),"",IFERROR(E2478*N(INDEX(art_price,MATCH(C2478,art_ref,0))),""))</f>
        <v/>
      </c>
      <c r="K2478" s="39" t="str">
        <f>IF(OR(C2478="",NOT(ISNUMBER(E2478))),"",IFERROR(ROUND(N(INDEX(art_init,MATCH(C2478,art_ref,0)))+SUMIFS($E$5:E2478,$C$5:C2478,C2478,$B$5:B2478,"Entrée")-SUMIFS($E$5:E2478,$C$5:C2478,C2478,$B$5:B2478,"Sortie"),6),""))</f>
        <v/>
      </c>
      <c r="L2478" s="39" t="str">
        <f>IF(COUNTA(A2478:C2478,E2478)=0,"",IF(COUNTA(A2478:C2478,E2478)&lt;4,"Ligne incomplète",IF(NOT(ISNUMBER(A2478)),"Date invalide",IF(AND(B2478&lt;&gt;"Entrée",B2478&lt;&gt;"Sortie"),"Type inconnu",IF(ISNA(MATCH(C2478,art_ref,0)),"Référence inconnue",IF(OR(NOT(ISNUMBER(E2478)),N(E2478)&lt;=0),"Quantité invalide",IF(K2478&lt;0,"Stock négatif",IF(AND(ISNUMBER(A2477),A2478&lt;A2477),"Date hors ordre","OK"))))))))</f>
        <v/>
      </c>
      <c r="M2478" s="39" t="str">
        <f>IF(C2478="","",C2478&amp;"#"&amp;COUNTIF($C$5:C2478,C2478))</f>
        <v/>
      </c>
    </row>
    <row r="2479">
      <c r="A2479" s="41" t="n"/>
      <c r="B2479" s="37" t="n"/>
      <c r="C2479" s="37" t="n"/>
      <c r="D2479" s="39" t="str">
        <f>IF(C2479="","",IFERROR(INDEX(art_des,MATCH(C2479,art_ref,0))&amp;"","Référence inconnue"))</f>
        <v/>
      </c>
      <c r="E2479" s="37" t="n"/>
      <c r="F2479" s="39" t="str">
        <f>IF(C2479="","",IFERROR(INDEX(art_unit,MATCH(C2479,art_ref,0))&amp;"",""))</f>
        <v/>
      </c>
      <c r="G2479" s="37" t="n"/>
      <c r="H2479" s="37" t="n"/>
      <c r="I2479" s="37" t="n"/>
      <c r="J2479" s="40" t="str">
        <f>IF(OR(C2479="",NOT(ISNUMBER(E2479))),"",IFERROR(E2479*N(INDEX(art_price,MATCH(C2479,art_ref,0))),""))</f>
        <v/>
      </c>
      <c r="K2479" s="39" t="str">
        <f>IF(OR(C2479="",NOT(ISNUMBER(E2479))),"",IFERROR(ROUND(N(INDEX(art_init,MATCH(C2479,art_ref,0)))+SUMIFS($E$5:E2479,$C$5:C2479,C2479,$B$5:B2479,"Entrée")-SUMIFS($E$5:E2479,$C$5:C2479,C2479,$B$5:B2479,"Sortie"),6),""))</f>
        <v/>
      </c>
      <c r="L2479" s="39" t="str">
        <f>IF(COUNTA(A2479:C2479,E2479)=0,"",IF(COUNTA(A2479:C2479,E2479)&lt;4,"Ligne incomplète",IF(NOT(ISNUMBER(A2479)),"Date invalide",IF(AND(B2479&lt;&gt;"Entrée",B2479&lt;&gt;"Sortie"),"Type inconnu",IF(ISNA(MATCH(C2479,art_ref,0)),"Référence inconnue",IF(OR(NOT(ISNUMBER(E2479)),N(E2479)&lt;=0),"Quantité invalide",IF(K2479&lt;0,"Stock négatif",IF(AND(ISNUMBER(A2478),A2479&lt;A2478),"Date hors ordre","OK"))))))))</f>
        <v/>
      </c>
      <c r="M2479" s="39" t="str">
        <f>IF(C2479="","",C2479&amp;"#"&amp;COUNTIF($C$5:C2479,C2479))</f>
        <v/>
      </c>
    </row>
    <row r="2480">
      <c r="A2480" s="41" t="n"/>
      <c r="B2480" s="37" t="n"/>
      <c r="C2480" s="37" t="n"/>
      <c r="D2480" s="39" t="str">
        <f>IF(C2480="","",IFERROR(INDEX(art_des,MATCH(C2480,art_ref,0))&amp;"","Référence inconnue"))</f>
        <v/>
      </c>
      <c r="E2480" s="37" t="n"/>
      <c r="F2480" s="39" t="str">
        <f>IF(C2480="","",IFERROR(INDEX(art_unit,MATCH(C2480,art_ref,0))&amp;"",""))</f>
        <v/>
      </c>
      <c r="G2480" s="37" t="n"/>
      <c r="H2480" s="37" t="n"/>
      <c r="I2480" s="37" t="n"/>
      <c r="J2480" s="40" t="str">
        <f>IF(OR(C2480="",NOT(ISNUMBER(E2480))),"",IFERROR(E2480*N(INDEX(art_price,MATCH(C2480,art_ref,0))),""))</f>
        <v/>
      </c>
      <c r="K2480" s="39" t="str">
        <f>IF(OR(C2480="",NOT(ISNUMBER(E2480))),"",IFERROR(ROUND(N(INDEX(art_init,MATCH(C2480,art_ref,0)))+SUMIFS($E$5:E2480,$C$5:C2480,C2480,$B$5:B2480,"Entrée")-SUMIFS($E$5:E2480,$C$5:C2480,C2480,$B$5:B2480,"Sortie"),6),""))</f>
        <v/>
      </c>
      <c r="L2480" s="39" t="str">
        <f>IF(COUNTA(A2480:C2480,E2480)=0,"",IF(COUNTA(A2480:C2480,E2480)&lt;4,"Ligne incomplète",IF(NOT(ISNUMBER(A2480)),"Date invalide",IF(AND(B2480&lt;&gt;"Entrée",B2480&lt;&gt;"Sortie"),"Type inconnu",IF(ISNA(MATCH(C2480,art_ref,0)),"Référence inconnue",IF(OR(NOT(ISNUMBER(E2480)),N(E2480)&lt;=0),"Quantité invalide",IF(K2480&lt;0,"Stock négatif",IF(AND(ISNUMBER(A2479),A2480&lt;A2479),"Date hors ordre","OK"))))))))</f>
        <v/>
      </c>
      <c r="M2480" s="39" t="str">
        <f>IF(C2480="","",C2480&amp;"#"&amp;COUNTIF($C$5:C2480,C2480))</f>
        <v/>
      </c>
    </row>
    <row r="2481">
      <c r="A2481" s="41" t="n"/>
      <c r="B2481" s="37" t="n"/>
      <c r="C2481" s="37" t="n"/>
      <c r="D2481" s="39" t="str">
        <f>IF(C2481="","",IFERROR(INDEX(art_des,MATCH(C2481,art_ref,0))&amp;"","Référence inconnue"))</f>
        <v/>
      </c>
      <c r="E2481" s="37" t="n"/>
      <c r="F2481" s="39" t="str">
        <f>IF(C2481="","",IFERROR(INDEX(art_unit,MATCH(C2481,art_ref,0))&amp;"",""))</f>
        <v/>
      </c>
      <c r="G2481" s="37" t="n"/>
      <c r="H2481" s="37" t="n"/>
      <c r="I2481" s="37" t="n"/>
      <c r="J2481" s="40" t="str">
        <f>IF(OR(C2481="",NOT(ISNUMBER(E2481))),"",IFERROR(E2481*N(INDEX(art_price,MATCH(C2481,art_ref,0))),""))</f>
        <v/>
      </c>
      <c r="K2481" s="39" t="str">
        <f>IF(OR(C2481="",NOT(ISNUMBER(E2481))),"",IFERROR(ROUND(N(INDEX(art_init,MATCH(C2481,art_ref,0)))+SUMIFS($E$5:E2481,$C$5:C2481,C2481,$B$5:B2481,"Entrée")-SUMIFS($E$5:E2481,$C$5:C2481,C2481,$B$5:B2481,"Sortie"),6),""))</f>
        <v/>
      </c>
      <c r="L2481" s="39" t="str">
        <f>IF(COUNTA(A2481:C2481,E2481)=0,"",IF(COUNTA(A2481:C2481,E2481)&lt;4,"Ligne incomplète",IF(NOT(ISNUMBER(A2481)),"Date invalide",IF(AND(B2481&lt;&gt;"Entrée",B2481&lt;&gt;"Sortie"),"Type inconnu",IF(ISNA(MATCH(C2481,art_ref,0)),"Référence inconnue",IF(OR(NOT(ISNUMBER(E2481)),N(E2481)&lt;=0),"Quantité invalide",IF(K2481&lt;0,"Stock négatif",IF(AND(ISNUMBER(A2480),A2481&lt;A2480),"Date hors ordre","OK"))))))))</f>
        <v/>
      </c>
      <c r="M2481" s="39" t="str">
        <f>IF(C2481="","",C2481&amp;"#"&amp;COUNTIF($C$5:C2481,C2481))</f>
        <v/>
      </c>
    </row>
    <row r="2482">
      <c r="A2482" s="41" t="n"/>
      <c r="B2482" s="37" t="n"/>
      <c r="C2482" s="37" t="n"/>
      <c r="D2482" s="39" t="str">
        <f>IF(C2482="","",IFERROR(INDEX(art_des,MATCH(C2482,art_ref,0))&amp;"","Référence inconnue"))</f>
        <v/>
      </c>
      <c r="E2482" s="37" t="n"/>
      <c r="F2482" s="39" t="str">
        <f>IF(C2482="","",IFERROR(INDEX(art_unit,MATCH(C2482,art_ref,0))&amp;"",""))</f>
        <v/>
      </c>
      <c r="G2482" s="37" t="n"/>
      <c r="H2482" s="37" t="n"/>
      <c r="I2482" s="37" t="n"/>
      <c r="J2482" s="40" t="str">
        <f>IF(OR(C2482="",NOT(ISNUMBER(E2482))),"",IFERROR(E2482*N(INDEX(art_price,MATCH(C2482,art_ref,0))),""))</f>
        <v/>
      </c>
      <c r="K2482" s="39" t="str">
        <f>IF(OR(C2482="",NOT(ISNUMBER(E2482))),"",IFERROR(ROUND(N(INDEX(art_init,MATCH(C2482,art_ref,0)))+SUMIFS($E$5:E2482,$C$5:C2482,C2482,$B$5:B2482,"Entrée")-SUMIFS($E$5:E2482,$C$5:C2482,C2482,$B$5:B2482,"Sortie"),6),""))</f>
        <v/>
      </c>
      <c r="L2482" s="39" t="str">
        <f>IF(COUNTA(A2482:C2482,E2482)=0,"",IF(COUNTA(A2482:C2482,E2482)&lt;4,"Ligne incomplète",IF(NOT(ISNUMBER(A2482)),"Date invalide",IF(AND(B2482&lt;&gt;"Entrée",B2482&lt;&gt;"Sortie"),"Type inconnu",IF(ISNA(MATCH(C2482,art_ref,0)),"Référence inconnue",IF(OR(NOT(ISNUMBER(E2482)),N(E2482)&lt;=0),"Quantité invalide",IF(K2482&lt;0,"Stock négatif",IF(AND(ISNUMBER(A2481),A2482&lt;A2481),"Date hors ordre","OK"))))))))</f>
        <v/>
      </c>
      <c r="M2482" s="39" t="str">
        <f>IF(C2482="","",C2482&amp;"#"&amp;COUNTIF($C$5:C2482,C2482))</f>
        <v/>
      </c>
    </row>
    <row r="2483">
      <c r="A2483" s="41" t="n"/>
      <c r="B2483" s="37" t="n"/>
      <c r="C2483" s="37" t="n"/>
      <c r="D2483" s="39" t="str">
        <f>IF(C2483="","",IFERROR(INDEX(art_des,MATCH(C2483,art_ref,0))&amp;"","Référence inconnue"))</f>
        <v/>
      </c>
      <c r="E2483" s="37" t="n"/>
      <c r="F2483" s="39" t="str">
        <f>IF(C2483="","",IFERROR(INDEX(art_unit,MATCH(C2483,art_ref,0))&amp;"",""))</f>
        <v/>
      </c>
      <c r="G2483" s="37" t="n"/>
      <c r="H2483" s="37" t="n"/>
      <c r="I2483" s="37" t="n"/>
      <c r="J2483" s="40" t="str">
        <f>IF(OR(C2483="",NOT(ISNUMBER(E2483))),"",IFERROR(E2483*N(INDEX(art_price,MATCH(C2483,art_ref,0))),""))</f>
        <v/>
      </c>
      <c r="K2483" s="39" t="str">
        <f>IF(OR(C2483="",NOT(ISNUMBER(E2483))),"",IFERROR(ROUND(N(INDEX(art_init,MATCH(C2483,art_ref,0)))+SUMIFS($E$5:E2483,$C$5:C2483,C2483,$B$5:B2483,"Entrée")-SUMIFS($E$5:E2483,$C$5:C2483,C2483,$B$5:B2483,"Sortie"),6),""))</f>
        <v/>
      </c>
      <c r="L2483" s="39" t="str">
        <f>IF(COUNTA(A2483:C2483,E2483)=0,"",IF(COUNTA(A2483:C2483,E2483)&lt;4,"Ligne incomplète",IF(NOT(ISNUMBER(A2483)),"Date invalide",IF(AND(B2483&lt;&gt;"Entrée",B2483&lt;&gt;"Sortie"),"Type inconnu",IF(ISNA(MATCH(C2483,art_ref,0)),"Référence inconnue",IF(OR(NOT(ISNUMBER(E2483)),N(E2483)&lt;=0),"Quantité invalide",IF(K2483&lt;0,"Stock négatif",IF(AND(ISNUMBER(A2482),A2483&lt;A2482),"Date hors ordre","OK"))))))))</f>
        <v/>
      </c>
      <c r="M2483" s="39" t="str">
        <f>IF(C2483="","",C2483&amp;"#"&amp;COUNTIF($C$5:C2483,C2483))</f>
        <v/>
      </c>
    </row>
    <row r="2484">
      <c r="A2484" s="41" t="n"/>
      <c r="B2484" s="37" t="n"/>
      <c r="C2484" s="37" t="n"/>
      <c r="D2484" s="39" t="str">
        <f>IF(C2484="","",IFERROR(INDEX(art_des,MATCH(C2484,art_ref,0))&amp;"","Référence inconnue"))</f>
        <v/>
      </c>
      <c r="E2484" s="37" t="n"/>
      <c r="F2484" s="39" t="str">
        <f>IF(C2484="","",IFERROR(INDEX(art_unit,MATCH(C2484,art_ref,0))&amp;"",""))</f>
        <v/>
      </c>
      <c r="G2484" s="37" t="n"/>
      <c r="H2484" s="37" t="n"/>
      <c r="I2484" s="37" t="n"/>
      <c r="J2484" s="40" t="str">
        <f>IF(OR(C2484="",NOT(ISNUMBER(E2484))),"",IFERROR(E2484*N(INDEX(art_price,MATCH(C2484,art_ref,0))),""))</f>
        <v/>
      </c>
      <c r="K2484" s="39" t="str">
        <f>IF(OR(C2484="",NOT(ISNUMBER(E2484))),"",IFERROR(ROUND(N(INDEX(art_init,MATCH(C2484,art_ref,0)))+SUMIFS($E$5:E2484,$C$5:C2484,C2484,$B$5:B2484,"Entrée")-SUMIFS($E$5:E2484,$C$5:C2484,C2484,$B$5:B2484,"Sortie"),6),""))</f>
        <v/>
      </c>
      <c r="L2484" s="39" t="str">
        <f>IF(COUNTA(A2484:C2484,E2484)=0,"",IF(COUNTA(A2484:C2484,E2484)&lt;4,"Ligne incomplète",IF(NOT(ISNUMBER(A2484)),"Date invalide",IF(AND(B2484&lt;&gt;"Entrée",B2484&lt;&gt;"Sortie"),"Type inconnu",IF(ISNA(MATCH(C2484,art_ref,0)),"Référence inconnue",IF(OR(NOT(ISNUMBER(E2484)),N(E2484)&lt;=0),"Quantité invalide",IF(K2484&lt;0,"Stock négatif",IF(AND(ISNUMBER(A2483),A2484&lt;A2483),"Date hors ordre","OK"))))))))</f>
        <v/>
      </c>
      <c r="M2484" s="39" t="str">
        <f>IF(C2484="","",C2484&amp;"#"&amp;COUNTIF($C$5:C2484,C2484))</f>
        <v/>
      </c>
    </row>
    <row r="2485">
      <c r="A2485" s="41" t="n"/>
      <c r="B2485" s="37" t="n"/>
      <c r="C2485" s="37" t="n"/>
      <c r="D2485" s="39" t="str">
        <f>IF(C2485="","",IFERROR(INDEX(art_des,MATCH(C2485,art_ref,0))&amp;"","Référence inconnue"))</f>
        <v/>
      </c>
      <c r="E2485" s="37" t="n"/>
      <c r="F2485" s="39" t="str">
        <f>IF(C2485="","",IFERROR(INDEX(art_unit,MATCH(C2485,art_ref,0))&amp;"",""))</f>
        <v/>
      </c>
      <c r="G2485" s="37" t="n"/>
      <c r="H2485" s="37" t="n"/>
      <c r="I2485" s="37" t="n"/>
      <c r="J2485" s="40" t="str">
        <f>IF(OR(C2485="",NOT(ISNUMBER(E2485))),"",IFERROR(E2485*N(INDEX(art_price,MATCH(C2485,art_ref,0))),""))</f>
        <v/>
      </c>
      <c r="K2485" s="39" t="str">
        <f>IF(OR(C2485="",NOT(ISNUMBER(E2485))),"",IFERROR(ROUND(N(INDEX(art_init,MATCH(C2485,art_ref,0)))+SUMIFS($E$5:E2485,$C$5:C2485,C2485,$B$5:B2485,"Entrée")-SUMIFS($E$5:E2485,$C$5:C2485,C2485,$B$5:B2485,"Sortie"),6),""))</f>
        <v/>
      </c>
      <c r="L2485" s="39" t="str">
        <f>IF(COUNTA(A2485:C2485,E2485)=0,"",IF(COUNTA(A2485:C2485,E2485)&lt;4,"Ligne incomplète",IF(NOT(ISNUMBER(A2485)),"Date invalide",IF(AND(B2485&lt;&gt;"Entrée",B2485&lt;&gt;"Sortie"),"Type inconnu",IF(ISNA(MATCH(C2485,art_ref,0)),"Référence inconnue",IF(OR(NOT(ISNUMBER(E2485)),N(E2485)&lt;=0),"Quantité invalide",IF(K2485&lt;0,"Stock négatif",IF(AND(ISNUMBER(A2484),A2485&lt;A2484),"Date hors ordre","OK"))))))))</f>
        <v/>
      </c>
      <c r="M2485" s="39" t="str">
        <f>IF(C2485="","",C2485&amp;"#"&amp;COUNTIF($C$5:C2485,C2485))</f>
        <v/>
      </c>
    </row>
    <row r="2486">
      <c r="A2486" s="41" t="n"/>
      <c r="B2486" s="37" t="n"/>
      <c r="C2486" s="37" t="n"/>
      <c r="D2486" s="39" t="str">
        <f>IF(C2486="","",IFERROR(INDEX(art_des,MATCH(C2486,art_ref,0))&amp;"","Référence inconnue"))</f>
        <v/>
      </c>
      <c r="E2486" s="37" t="n"/>
      <c r="F2486" s="39" t="str">
        <f>IF(C2486="","",IFERROR(INDEX(art_unit,MATCH(C2486,art_ref,0))&amp;"",""))</f>
        <v/>
      </c>
      <c r="G2486" s="37" t="n"/>
      <c r="H2486" s="37" t="n"/>
      <c r="I2486" s="37" t="n"/>
      <c r="J2486" s="40" t="str">
        <f>IF(OR(C2486="",NOT(ISNUMBER(E2486))),"",IFERROR(E2486*N(INDEX(art_price,MATCH(C2486,art_ref,0))),""))</f>
        <v/>
      </c>
      <c r="K2486" s="39" t="str">
        <f>IF(OR(C2486="",NOT(ISNUMBER(E2486))),"",IFERROR(ROUND(N(INDEX(art_init,MATCH(C2486,art_ref,0)))+SUMIFS($E$5:E2486,$C$5:C2486,C2486,$B$5:B2486,"Entrée")-SUMIFS($E$5:E2486,$C$5:C2486,C2486,$B$5:B2486,"Sortie"),6),""))</f>
        <v/>
      </c>
      <c r="L2486" s="39" t="str">
        <f>IF(COUNTA(A2486:C2486,E2486)=0,"",IF(COUNTA(A2486:C2486,E2486)&lt;4,"Ligne incomplète",IF(NOT(ISNUMBER(A2486)),"Date invalide",IF(AND(B2486&lt;&gt;"Entrée",B2486&lt;&gt;"Sortie"),"Type inconnu",IF(ISNA(MATCH(C2486,art_ref,0)),"Référence inconnue",IF(OR(NOT(ISNUMBER(E2486)),N(E2486)&lt;=0),"Quantité invalide",IF(K2486&lt;0,"Stock négatif",IF(AND(ISNUMBER(A2485),A2486&lt;A2485),"Date hors ordre","OK"))))))))</f>
        <v/>
      </c>
      <c r="M2486" s="39" t="str">
        <f>IF(C2486="","",C2486&amp;"#"&amp;COUNTIF($C$5:C2486,C2486))</f>
        <v/>
      </c>
    </row>
    <row r="2487">
      <c r="A2487" s="41" t="n"/>
      <c r="B2487" s="37" t="n"/>
      <c r="C2487" s="37" t="n"/>
      <c r="D2487" s="39" t="str">
        <f>IF(C2487="","",IFERROR(INDEX(art_des,MATCH(C2487,art_ref,0))&amp;"","Référence inconnue"))</f>
        <v/>
      </c>
      <c r="E2487" s="37" t="n"/>
      <c r="F2487" s="39" t="str">
        <f>IF(C2487="","",IFERROR(INDEX(art_unit,MATCH(C2487,art_ref,0))&amp;"",""))</f>
        <v/>
      </c>
      <c r="G2487" s="37" t="n"/>
      <c r="H2487" s="37" t="n"/>
      <c r="I2487" s="37" t="n"/>
      <c r="J2487" s="40" t="str">
        <f>IF(OR(C2487="",NOT(ISNUMBER(E2487))),"",IFERROR(E2487*N(INDEX(art_price,MATCH(C2487,art_ref,0))),""))</f>
        <v/>
      </c>
      <c r="K2487" s="39" t="str">
        <f>IF(OR(C2487="",NOT(ISNUMBER(E2487))),"",IFERROR(ROUND(N(INDEX(art_init,MATCH(C2487,art_ref,0)))+SUMIFS($E$5:E2487,$C$5:C2487,C2487,$B$5:B2487,"Entrée")-SUMIFS($E$5:E2487,$C$5:C2487,C2487,$B$5:B2487,"Sortie"),6),""))</f>
        <v/>
      </c>
      <c r="L2487" s="39" t="str">
        <f>IF(COUNTA(A2487:C2487,E2487)=0,"",IF(COUNTA(A2487:C2487,E2487)&lt;4,"Ligne incomplète",IF(NOT(ISNUMBER(A2487)),"Date invalide",IF(AND(B2487&lt;&gt;"Entrée",B2487&lt;&gt;"Sortie"),"Type inconnu",IF(ISNA(MATCH(C2487,art_ref,0)),"Référence inconnue",IF(OR(NOT(ISNUMBER(E2487)),N(E2487)&lt;=0),"Quantité invalide",IF(K2487&lt;0,"Stock négatif",IF(AND(ISNUMBER(A2486),A2487&lt;A2486),"Date hors ordre","OK"))))))))</f>
        <v/>
      </c>
      <c r="M2487" s="39" t="str">
        <f>IF(C2487="","",C2487&amp;"#"&amp;COUNTIF($C$5:C2487,C2487))</f>
        <v/>
      </c>
    </row>
    <row r="2488">
      <c r="A2488" s="41" t="n"/>
      <c r="B2488" s="37" t="n"/>
      <c r="C2488" s="37" t="n"/>
      <c r="D2488" s="39" t="str">
        <f>IF(C2488="","",IFERROR(INDEX(art_des,MATCH(C2488,art_ref,0))&amp;"","Référence inconnue"))</f>
        <v/>
      </c>
      <c r="E2488" s="37" t="n"/>
      <c r="F2488" s="39" t="str">
        <f>IF(C2488="","",IFERROR(INDEX(art_unit,MATCH(C2488,art_ref,0))&amp;"",""))</f>
        <v/>
      </c>
      <c r="G2488" s="37" t="n"/>
      <c r="H2488" s="37" t="n"/>
      <c r="I2488" s="37" t="n"/>
      <c r="J2488" s="40" t="str">
        <f>IF(OR(C2488="",NOT(ISNUMBER(E2488))),"",IFERROR(E2488*N(INDEX(art_price,MATCH(C2488,art_ref,0))),""))</f>
        <v/>
      </c>
      <c r="K2488" s="39" t="str">
        <f>IF(OR(C2488="",NOT(ISNUMBER(E2488))),"",IFERROR(ROUND(N(INDEX(art_init,MATCH(C2488,art_ref,0)))+SUMIFS($E$5:E2488,$C$5:C2488,C2488,$B$5:B2488,"Entrée")-SUMIFS($E$5:E2488,$C$5:C2488,C2488,$B$5:B2488,"Sortie"),6),""))</f>
        <v/>
      </c>
      <c r="L2488" s="39" t="str">
        <f>IF(COUNTA(A2488:C2488,E2488)=0,"",IF(COUNTA(A2488:C2488,E2488)&lt;4,"Ligne incomplète",IF(NOT(ISNUMBER(A2488)),"Date invalide",IF(AND(B2488&lt;&gt;"Entrée",B2488&lt;&gt;"Sortie"),"Type inconnu",IF(ISNA(MATCH(C2488,art_ref,0)),"Référence inconnue",IF(OR(NOT(ISNUMBER(E2488)),N(E2488)&lt;=0),"Quantité invalide",IF(K2488&lt;0,"Stock négatif",IF(AND(ISNUMBER(A2487),A2488&lt;A2487),"Date hors ordre","OK"))))))))</f>
        <v/>
      </c>
      <c r="M2488" s="39" t="str">
        <f>IF(C2488="","",C2488&amp;"#"&amp;COUNTIF($C$5:C2488,C2488))</f>
        <v/>
      </c>
    </row>
    <row r="2489">
      <c r="A2489" s="41" t="n"/>
      <c r="B2489" s="37" t="n"/>
      <c r="C2489" s="37" t="n"/>
      <c r="D2489" s="39" t="str">
        <f>IF(C2489="","",IFERROR(INDEX(art_des,MATCH(C2489,art_ref,0))&amp;"","Référence inconnue"))</f>
        <v/>
      </c>
      <c r="E2489" s="37" t="n"/>
      <c r="F2489" s="39" t="str">
        <f>IF(C2489="","",IFERROR(INDEX(art_unit,MATCH(C2489,art_ref,0))&amp;"",""))</f>
        <v/>
      </c>
      <c r="G2489" s="37" t="n"/>
      <c r="H2489" s="37" t="n"/>
      <c r="I2489" s="37" t="n"/>
      <c r="J2489" s="40" t="str">
        <f>IF(OR(C2489="",NOT(ISNUMBER(E2489))),"",IFERROR(E2489*N(INDEX(art_price,MATCH(C2489,art_ref,0))),""))</f>
        <v/>
      </c>
      <c r="K2489" s="39" t="str">
        <f>IF(OR(C2489="",NOT(ISNUMBER(E2489))),"",IFERROR(ROUND(N(INDEX(art_init,MATCH(C2489,art_ref,0)))+SUMIFS($E$5:E2489,$C$5:C2489,C2489,$B$5:B2489,"Entrée")-SUMIFS($E$5:E2489,$C$5:C2489,C2489,$B$5:B2489,"Sortie"),6),""))</f>
        <v/>
      </c>
      <c r="L2489" s="39" t="str">
        <f>IF(COUNTA(A2489:C2489,E2489)=0,"",IF(COUNTA(A2489:C2489,E2489)&lt;4,"Ligne incomplète",IF(NOT(ISNUMBER(A2489)),"Date invalide",IF(AND(B2489&lt;&gt;"Entrée",B2489&lt;&gt;"Sortie"),"Type inconnu",IF(ISNA(MATCH(C2489,art_ref,0)),"Référence inconnue",IF(OR(NOT(ISNUMBER(E2489)),N(E2489)&lt;=0),"Quantité invalide",IF(K2489&lt;0,"Stock négatif",IF(AND(ISNUMBER(A2488),A2489&lt;A2488),"Date hors ordre","OK"))))))))</f>
        <v/>
      </c>
      <c r="M2489" s="39" t="str">
        <f>IF(C2489="","",C2489&amp;"#"&amp;COUNTIF($C$5:C2489,C2489))</f>
        <v/>
      </c>
    </row>
    <row r="2490">
      <c r="A2490" s="41" t="n"/>
      <c r="B2490" s="37" t="n"/>
      <c r="C2490" s="37" t="n"/>
      <c r="D2490" s="39" t="str">
        <f>IF(C2490="","",IFERROR(INDEX(art_des,MATCH(C2490,art_ref,0))&amp;"","Référence inconnue"))</f>
        <v/>
      </c>
      <c r="E2490" s="37" t="n"/>
      <c r="F2490" s="39" t="str">
        <f>IF(C2490="","",IFERROR(INDEX(art_unit,MATCH(C2490,art_ref,0))&amp;"",""))</f>
        <v/>
      </c>
      <c r="G2490" s="37" t="n"/>
      <c r="H2490" s="37" t="n"/>
      <c r="I2490" s="37" t="n"/>
      <c r="J2490" s="40" t="str">
        <f>IF(OR(C2490="",NOT(ISNUMBER(E2490))),"",IFERROR(E2490*N(INDEX(art_price,MATCH(C2490,art_ref,0))),""))</f>
        <v/>
      </c>
      <c r="K2490" s="39" t="str">
        <f>IF(OR(C2490="",NOT(ISNUMBER(E2490))),"",IFERROR(ROUND(N(INDEX(art_init,MATCH(C2490,art_ref,0)))+SUMIFS($E$5:E2490,$C$5:C2490,C2490,$B$5:B2490,"Entrée")-SUMIFS($E$5:E2490,$C$5:C2490,C2490,$B$5:B2490,"Sortie"),6),""))</f>
        <v/>
      </c>
      <c r="L2490" s="39" t="str">
        <f>IF(COUNTA(A2490:C2490,E2490)=0,"",IF(COUNTA(A2490:C2490,E2490)&lt;4,"Ligne incomplète",IF(NOT(ISNUMBER(A2490)),"Date invalide",IF(AND(B2490&lt;&gt;"Entrée",B2490&lt;&gt;"Sortie"),"Type inconnu",IF(ISNA(MATCH(C2490,art_ref,0)),"Référence inconnue",IF(OR(NOT(ISNUMBER(E2490)),N(E2490)&lt;=0),"Quantité invalide",IF(K2490&lt;0,"Stock négatif",IF(AND(ISNUMBER(A2489),A2490&lt;A2489),"Date hors ordre","OK"))))))))</f>
        <v/>
      </c>
      <c r="M2490" s="39" t="str">
        <f>IF(C2490="","",C2490&amp;"#"&amp;COUNTIF($C$5:C2490,C2490))</f>
        <v/>
      </c>
    </row>
    <row r="2491">
      <c r="A2491" s="41" t="n"/>
      <c r="B2491" s="37" t="n"/>
      <c r="C2491" s="37" t="n"/>
      <c r="D2491" s="39" t="str">
        <f>IF(C2491="","",IFERROR(INDEX(art_des,MATCH(C2491,art_ref,0))&amp;"","Référence inconnue"))</f>
        <v/>
      </c>
      <c r="E2491" s="37" t="n"/>
      <c r="F2491" s="39" t="str">
        <f>IF(C2491="","",IFERROR(INDEX(art_unit,MATCH(C2491,art_ref,0))&amp;"",""))</f>
        <v/>
      </c>
      <c r="G2491" s="37" t="n"/>
      <c r="H2491" s="37" t="n"/>
      <c r="I2491" s="37" t="n"/>
      <c r="J2491" s="40" t="str">
        <f>IF(OR(C2491="",NOT(ISNUMBER(E2491))),"",IFERROR(E2491*N(INDEX(art_price,MATCH(C2491,art_ref,0))),""))</f>
        <v/>
      </c>
      <c r="K2491" s="39" t="str">
        <f>IF(OR(C2491="",NOT(ISNUMBER(E2491))),"",IFERROR(ROUND(N(INDEX(art_init,MATCH(C2491,art_ref,0)))+SUMIFS($E$5:E2491,$C$5:C2491,C2491,$B$5:B2491,"Entrée")-SUMIFS($E$5:E2491,$C$5:C2491,C2491,$B$5:B2491,"Sortie"),6),""))</f>
        <v/>
      </c>
      <c r="L2491" s="39" t="str">
        <f>IF(COUNTA(A2491:C2491,E2491)=0,"",IF(COUNTA(A2491:C2491,E2491)&lt;4,"Ligne incomplète",IF(NOT(ISNUMBER(A2491)),"Date invalide",IF(AND(B2491&lt;&gt;"Entrée",B2491&lt;&gt;"Sortie"),"Type inconnu",IF(ISNA(MATCH(C2491,art_ref,0)),"Référence inconnue",IF(OR(NOT(ISNUMBER(E2491)),N(E2491)&lt;=0),"Quantité invalide",IF(K2491&lt;0,"Stock négatif",IF(AND(ISNUMBER(A2490),A2491&lt;A2490),"Date hors ordre","OK"))))))))</f>
        <v/>
      </c>
      <c r="M2491" s="39" t="str">
        <f>IF(C2491="","",C2491&amp;"#"&amp;COUNTIF($C$5:C2491,C2491))</f>
        <v/>
      </c>
    </row>
    <row r="2492">
      <c r="A2492" s="41" t="n"/>
      <c r="B2492" s="37" t="n"/>
      <c r="C2492" s="37" t="n"/>
      <c r="D2492" s="39" t="str">
        <f>IF(C2492="","",IFERROR(INDEX(art_des,MATCH(C2492,art_ref,0))&amp;"","Référence inconnue"))</f>
        <v/>
      </c>
      <c r="E2492" s="37" t="n"/>
      <c r="F2492" s="39" t="str">
        <f>IF(C2492="","",IFERROR(INDEX(art_unit,MATCH(C2492,art_ref,0))&amp;"",""))</f>
        <v/>
      </c>
      <c r="G2492" s="37" t="n"/>
      <c r="H2492" s="37" t="n"/>
      <c r="I2492" s="37" t="n"/>
      <c r="J2492" s="40" t="str">
        <f>IF(OR(C2492="",NOT(ISNUMBER(E2492))),"",IFERROR(E2492*N(INDEX(art_price,MATCH(C2492,art_ref,0))),""))</f>
        <v/>
      </c>
      <c r="K2492" s="39" t="str">
        <f>IF(OR(C2492="",NOT(ISNUMBER(E2492))),"",IFERROR(ROUND(N(INDEX(art_init,MATCH(C2492,art_ref,0)))+SUMIFS($E$5:E2492,$C$5:C2492,C2492,$B$5:B2492,"Entrée")-SUMIFS($E$5:E2492,$C$5:C2492,C2492,$B$5:B2492,"Sortie"),6),""))</f>
        <v/>
      </c>
      <c r="L2492" s="39" t="str">
        <f>IF(COUNTA(A2492:C2492,E2492)=0,"",IF(COUNTA(A2492:C2492,E2492)&lt;4,"Ligne incomplète",IF(NOT(ISNUMBER(A2492)),"Date invalide",IF(AND(B2492&lt;&gt;"Entrée",B2492&lt;&gt;"Sortie"),"Type inconnu",IF(ISNA(MATCH(C2492,art_ref,0)),"Référence inconnue",IF(OR(NOT(ISNUMBER(E2492)),N(E2492)&lt;=0),"Quantité invalide",IF(K2492&lt;0,"Stock négatif",IF(AND(ISNUMBER(A2491),A2492&lt;A2491),"Date hors ordre","OK"))))))))</f>
        <v/>
      </c>
      <c r="M2492" s="39" t="str">
        <f>IF(C2492="","",C2492&amp;"#"&amp;COUNTIF($C$5:C2492,C2492))</f>
        <v/>
      </c>
    </row>
    <row r="2493">
      <c r="A2493" s="41" t="n"/>
      <c r="B2493" s="37" t="n"/>
      <c r="C2493" s="37" t="n"/>
      <c r="D2493" s="39" t="str">
        <f>IF(C2493="","",IFERROR(INDEX(art_des,MATCH(C2493,art_ref,0))&amp;"","Référence inconnue"))</f>
        <v/>
      </c>
      <c r="E2493" s="37" t="n"/>
      <c r="F2493" s="39" t="str">
        <f>IF(C2493="","",IFERROR(INDEX(art_unit,MATCH(C2493,art_ref,0))&amp;"",""))</f>
        <v/>
      </c>
      <c r="G2493" s="37" t="n"/>
      <c r="H2493" s="37" t="n"/>
      <c r="I2493" s="37" t="n"/>
      <c r="J2493" s="40" t="str">
        <f>IF(OR(C2493="",NOT(ISNUMBER(E2493))),"",IFERROR(E2493*N(INDEX(art_price,MATCH(C2493,art_ref,0))),""))</f>
        <v/>
      </c>
      <c r="K2493" s="39" t="str">
        <f>IF(OR(C2493="",NOT(ISNUMBER(E2493))),"",IFERROR(ROUND(N(INDEX(art_init,MATCH(C2493,art_ref,0)))+SUMIFS($E$5:E2493,$C$5:C2493,C2493,$B$5:B2493,"Entrée")-SUMIFS($E$5:E2493,$C$5:C2493,C2493,$B$5:B2493,"Sortie"),6),""))</f>
        <v/>
      </c>
      <c r="L2493" s="39" t="str">
        <f>IF(COUNTA(A2493:C2493,E2493)=0,"",IF(COUNTA(A2493:C2493,E2493)&lt;4,"Ligne incomplète",IF(NOT(ISNUMBER(A2493)),"Date invalide",IF(AND(B2493&lt;&gt;"Entrée",B2493&lt;&gt;"Sortie"),"Type inconnu",IF(ISNA(MATCH(C2493,art_ref,0)),"Référence inconnue",IF(OR(NOT(ISNUMBER(E2493)),N(E2493)&lt;=0),"Quantité invalide",IF(K2493&lt;0,"Stock négatif",IF(AND(ISNUMBER(A2492),A2493&lt;A2492),"Date hors ordre","OK"))))))))</f>
        <v/>
      </c>
      <c r="M2493" s="39" t="str">
        <f>IF(C2493="","",C2493&amp;"#"&amp;COUNTIF($C$5:C2493,C2493))</f>
        <v/>
      </c>
    </row>
    <row r="2494">
      <c r="A2494" s="41" t="n"/>
      <c r="B2494" s="37" t="n"/>
      <c r="C2494" s="37" t="n"/>
      <c r="D2494" s="39" t="str">
        <f>IF(C2494="","",IFERROR(INDEX(art_des,MATCH(C2494,art_ref,0))&amp;"","Référence inconnue"))</f>
        <v/>
      </c>
      <c r="E2494" s="37" t="n"/>
      <c r="F2494" s="39" t="str">
        <f>IF(C2494="","",IFERROR(INDEX(art_unit,MATCH(C2494,art_ref,0))&amp;"",""))</f>
        <v/>
      </c>
      <c r="G2494" s="37" t="n"/>
      <c r="H2494" s="37" t="n"/>
      <c r="I2494" s="37" t="n"/>
      <c r="J2494" s="40" t="str">
        <f>IF(OR(C2494="",NOT(ISNUMBER(E2494))),"",IFERROR(E2494*N(INDEX(art_price,MATCH(C2494,art_ref,0))),""))</f>
        <v/>
      </c>
      <c r="K2494" s="39" t="str">
        <f>IF(OR(C2494="",NOT(ISNUMBER(E2494))),"",IFERROR(ROUND(N(INDEX(art_init,MATCH(C2494,art_ref,0)))+SUMIFS($E$5:E2494,$C$5:C2494,C2494,$B$5:B2494,"Entrée")-SUMIFS($E$5:E2494,$C$5:C2494,C2494,$B$5:B2494,"Sortie"),6),""))</f>
        <v/>
      </c>
      <c r="L2494" s="39" t="str">
        <f>IF(COUNTA(A2494:C2494,E2494)=0,"",IF(COUNTA(A2494:C2494,E2494)&lt;4,"Ligne incomplète",IF(NOT(ISNUMBER(A2494)),"Date invalide",IF(AND(B2494&lt;&gt;"Entrée",B2494&lt;&gt;"Sortie"),"Type inconnu",IF(ISNA(MATCH(C2494,art_ref,0)),"Référence inconnue",IF(OR(NOT(ISNUMBER(E2494)),N(E2494)&lt;=0),"Quantité invalide",IF(K2494&lt;0,"Stock négatif",IF(AND(ISNUMBER(A2493),A2494&lt;A2493),"Date hors ordre","OK"))))))))</f>
        <v/>
      </c>
      <c r="M2494" s="39" t="str">
        <f>IF(C2494="","",C2494&amp;"#"&amp;COUNTIF($C$5:C2494,C2494))</f>
        <v/>
      </c>
    </row>
    <row r="2495">
      <c r="A2495" s="41" t="n"/>
      <c r="B2495" s="37" t="n"/>
      <c r="C2495" s="37" t="n"/>
      <c r="D2495" s="39" t="str">
        <f>IF(C2495="","",IFERROR(INDEX(art_des,MATCH(C2495,art_ref,0))&amp;"","Référence inconnue"))</f>
        <v/>
      </c>
      <c r="E2495" s="37" t="n"/>
      <c r="F2495" s="39" t="str">
        <f>IF(C2495="","",IFERROR(INDEX(art_unit,MATCH(C2495,art_ref,0))&amp;"",""))</f>
        <v/>
      </c>
      <c r="G2495" s="37" t="n"/>
      <c r="H2495" s="37" t="n"/>
      <c r="I2495" s="37" t="n"/>
      <c r="J2495" s="40" t="str">
        <f>IF(OR(C2495="",NOT(ISNUMBER(E2495))),"",IFERROR(E2495*N(INDEX(art_price,MATCH(C2495,art_ref,0))),""))</f>
        <v/>
      </c>
      <c r="K2495" s="39" t="str">
        <f>IF(OR(C2495="",NOT(ISNUMBER(E2495))),"",IFERROR(ROUND(N(INDEX(art_init,MATCH(C2495,art_ref,0)))+SUMIFS($E$5:E2495,$C$5:C2495,C2495,$B$5:B2495,"Entrée")-SUMIFS($E$5:E2495,$C$5:C2495,C2495,$B$5:B2495,"Sortie"),6),""))</f>
        <v/>
      </c>
      <c r="L2495" s="39" t="str">
        <f>IF(COUNTA(A2495:C2495,E2495)=0,"",IF(COUNTA(A2495:C2495,E2495)&lt;4,"Ligne incomplète",IF(NOT(ISNUMBER(A2495)),"Date invalide",IF(AND(B2495&lt;&gt;"Entrée",B2495&lt;&gt;"Sortie"),"Type inconnu",IF(ISNA(MATCH(C2495,art_ref,0)),"Référence inconnue",IF(OR(NOT(ISNUMBER(E2495)),N(E2495)&lt;=0),"Quantité invalide",IF(K2495&lt;0,"Stock négatif",IF(AND(ISNUMBER(A2494),A2495&lt;A2494),"Date hors ordre","OK"))))))))</f>
        <v/>
      </c>
      <c r="M2495" s="39" t="str">
        <f>IF(C2495="","",C2495&amp;"#"&amp;COUNTIF($C$5:C2495,C2495))</f>
        <v/>
      </c>
    </row>
    <row r="2496">
      <c r="A2496" s="41" t="n"/>
      <c r="B2496" s="37" t="n"/>
      <c r="C2496" s="37" t="n"/>
      <c r="D2496" s="39" t="str">
        <f>IF(C2496="","",IFERROR(INDEX(art_des,MATCH(C2496,art_ref,0))&amp;"","Référence inconnue"))</f>
        <v/>
      </c>
      <c r="E2496" s="37" t="n"/>
      <c r="F2496" s="39" t="str">
        <f>IF(C2496="","",IFERROR(INDEX(art_unit,MATCH(C2496,art_ref,0))&amp;"",""))</f>
        <v/>
      </c>
      <c r="G2496" s="37" t="n"/>
      <c r="H2496" s="37" t="n"/>
      <c r="I2496" s="37" t="n"/>
      <c r="J2496" s="40" t="str">
        <f>IF(OR(C2496="",NOT(ISNUMBER(E2496))),"",IFERROR(E2496*N(INDEX(art_price,MATCH(C2496,art_ref,0))),""))</f>
        <v/>
      </c>
      <c r="K2496" s="39" t="str">
        <f>IF(OR(C2496="",NOT(ISNUMBER(E2496))),"",IFERROR(ROUND(N(INDEX(art_init,MATCH(C2496,art_ref,0)))+SUMIFS($E$5:E2496,$C$5:C2496,C2496,$B$5:B2496,"Entrée")-SUMIFS($E$5:E2496,$C$5:C2496,C2496,$B$5:B2496,"Sortie"),6),""))</f>
        <v/>
      </c>
      <c r="L2496" s="39" t="str">
        <f>IF(COUNTA(A2496:C2496,E2496)=0,"",IF(COUNTA(A2496:C2496,E2496)&lt;4,"Ligne incomplète",IF(NOT(ISNUMBER(A2496)),"Date invalide",IF(AND(B2496&lt;&gt;"Entrée",B2496&lt;&gt;"Sortie"),"Type inconnu",IF(ISNA(MATCH(C2496,art_ref,0)),"Référence inconnue",IF(OR(NOT(ISNUMBER(E2496)),N(E2496)&lt;=0),"Quantité invalide",IF(K2496&lt;0,"Stock négatif",IF(AND(ISNUMBER(A2495),A2496&lt;A2495),"Date hors ordre","OK"))))))))</f>
        <v/>
      </c>
      <c r="M2496" s="39" t="str">
        <f>IF(C2496="","",C2496&amp;"#"&amp;COUNTIF($C$5:C2496,C2496))</f>
        <v/>
      </c>
    </row>
    <row r="2497">
      <c r="A2497" s="41" t="n"/>
      <c r="B2497" s="37" t="n"/>
      <c r="C2497" s="37" t="n"/>
      <c r="D2497" s="39" t="str">
        <f>IF(C2497="","",IFERROR(INDEX(art_des,MATCH(C2497,art_ref,0))&amp;"","Référence inconnue"))</f>
        <v/>
      </c>
      <c r="E2497" s="37" t="n"/>
      <c r="F2497" s="39" t="str">
        <f>IF(C2497="","",IFERROR(INDEX(art_unit,MATCH(C2497,art_ref,0))&amp;"",""))</f>
        <v/>
      </c>
      <c r="G2497" s="37" t="n"/>
      <c r="H2497" s="37" t="n"/>
      <c r="I2497" s="37" t="n"/>
      <c r="J2497" s="40" t="str">
        <f>IF(OR(C2497="",NOT(ISNUMBER(E2497))),"",IFERROR(E2497*N(INDEX(art_price,MATCH(C2497,art_ref,0))),""))</f>
        <v/>
      </c>
      <c r="K2497" s="39" t="str">
        <f>IF(OR(C2497="",NOT(ISNUMBER(E2497))),"",IFERROR(ROUND(N(INDEX(art_init,MATCH(C2497,art_ref,0)))+SUMIFS($E$5:E2497,$C$5:C2497,C2497,$B$5:B2497,"Entrée")-SUMIFS($E$5:E2497,$C$5:C2497,C2497,$B$5:B2497,"Sortie"),6),""))</f>
        <v/>
      </c>
      <c r="L2497" s="39" t="str">
        <f>IF(COUNTA(A2497:C2497,E2497)=0,"",IF(COUNTA(A2497:C2497,E2497)&lt;4,"Ligne incomplète",IF(NOT(ISNUMBER(A2497)),"Date invalide",IF(AND(B2497&lt;&gt;"Entrée",B2497&lt;&gt;"Sortie"),"Type inconnu",IF(ISNA(MATCH(C2497,art_ref,0)),"Référence inconnue",IF(OR(NOT(ISNUMBER(E2497)),N(E2497)&lt;=0),"Quantité invalide",IF(K2497&lt;0,"Stock négatif",IF(AND(ISNUMBER(A2496),A2497&lt;A2496),"Date hors ordre","OK"))))))))</f>
        <v/>
      </c>
      <c r="M2497" s="39" t="str">
        <f>IF(C2497="","",C2497&amp;"#"&amp;COUNTIF($C$5:C2497,C2497))</f>
        <v/>
      </c>
    </row>
    <row r="2498">
      <c r="A2498" s="41" t="n"/>
      <c r="B2498" s="37" t="n"/>
      <c r="C2498" s="37" t="n"/>
      <c r="D2498" s="39" t="str">
        <f>IF(C2498="","",IFERROR(INDEX(art_des,MATCH(C2498,art_ref,0))&amp;"","Référence inconnue"))</f>
        <v/>
      </c>
      <c r="E2498" s="37" t="n"/>
      <c r="F2498" s="39" t="str">
        <f>IF(C2498="","",IFERROR(INDEX(art_unit,MATCH(C2498,art_ref,0))&amp;"",""))</f>
        <v/>
      </c>
      <c r="G2498" s="37" t="n"/>
      <c r="H2498" s="37" t="n"/>
      <c r="I2498" s="37" t="n"/>
      <c r="J2498" s="40" t="str">
        <f>IF(OR(C2498="",NOT(ISNUMBER(E2498))),"",IFERROR(E2498*N(INDEX(art_price,MATCH(C2498,art_ref,0))),""))</f>
        <v/>
      </c>
      <c r="K2498" s="39" t="str">
        <f>IF(OR(C2498="",NOT(ISNUMBER(E2498))),"",IFERROR(ROUND(N(INDEX(art_init,MATCH(C2498,art_ref,0)))+SUMIFS($E$5:E2498,$C$5:C2498,C2498,$B$5:B2498,"Entrée")-SUMIFS($E$5:E2498,$C$5:C2498,C2498,$B$5:B2498,"Sortie"),6),""))</f>
        <v/>
      </c>
      <c r="L2498" s="39" t="str">
        <f>IF(COUNTA(A2498:C2498,E2498)=0,"",IF(COUNTA(A2498:C2498,E2498)&lt;4,"Ligne incomplète",IF(NOT(ISNUMBER(A2498)),"Date invalide",IF(AND(B2498&lt;&gt;"Entrée",B2498&lt;&gt;"Sortie"),"Type inconnu",IF(ISNA(MATCH(C2498,art_ref,0)),"Référence inconnue",IF(OR(NOT(ISNUMBER(E2498)),N(E2498)&lt;=0),"Quantité invalide",IF(K2498&lt;0,"Stock négatif",IF(AND(ISNUMBER(A2497),A2498&lt;A2497),"Date hors ordre","OK"))))))))</f>
        <v/>
      </c>
      <c r="M2498" s="39" t="str">
        <f>IF(C2498="","",C2498&amp;"#"&amp;COUNTIF($C$5:C2498,C2498))</f>
        <v/>
      </c>
    </row>
    <row r="2499">
      <c r="A2499" s="41" t="n"/>
      <c r="B2499" s="37" t="n"/>
      <c r="C2499" s="37" t="n"/>
      <c r="D2499" s="39" t="str">
        <f>IF(C2499="","",IFERROR(INDEX(art_des,MATCH(C2499,art_ref,0))&amp;"","Référence inconnue"))</f>
        <v/>
      </c>
      <c r="E2499" s="37" t="n"/>
      <c r="F2499" s="39" t="str">
        <f>IF(C2499="","",IFERROR(INDEX(art_unit,MATCH(C2499,art_ref,0))&amp;"",""))</f>
        <v/>
      </c>
      <c r="G2499" s="37" t="n"/>
      <c r="H2499" s="37" t="n"/>
      <c r="I2499" s="37" t="n"/>
      <c r="J2499" s="40" t="str">
        <f>IF(OR(C2499="",NOT(ISNUMBER(E2499))),"",IFERROR(E2499*N(INDEX(art_price,MATCH(C2499,art_ref,0))),""))</f>
        <v/>
      </c>
      <c r="K2499" s="39" t="str">
        <f>IF(OR(C2499="",NOT(ISNUMBER(E2499))),"",IFERROR(ROUND(N(INDEX(art_init,MATCH(C2499,art_ref,0)))+SUMIFS($E$5:E2499,$C$5:C2499,C2499,$B$5:B2499,"Entrée")-SUMIFS($E$5:E2499,$C$5:C2499,C2499,$B$5:B2499,"Sortie"),6),""))</f>
        <v/>
      </c>
      <c r="L2499" s="39" t="str">
        <f>IF(COUNTA(A2499:C2499,E2499)=0,"",IF(COUNTA(A2499:C2499,E2499)&lt;4,"Ligne incomplète",IF(NOT(ISNUMBER(A2499)),"Date invalide",IF(AND(B2499&lt;&gt;"Entrée",B2499&lt;&gt;"Sortie"),"Type inconnu",IF(ISNA(MATCH(C2499,art_ref,0)),"Référence inconnue",IF(OR(NOT(ISNUMBER(E2499)),N(E2499)&lt;=0),"Quantité invalide",IF(K2499&lt;0,"Stock négatif",IF(AND(ISNUMBER(A2498),A2499&lt;A2498),"Date hors ordre","OK"))))))))</f>
        <v/>
      </c>
      <c r="M2499" s="39" t="str">
        <f>IF(C2499="","",C2499&amp;"#"&amp;COUNTIF($C$5:C2499,C2499))</f>
        <v/>
      </c>
    </row>
    <row r="2500">
      <c r="A2500" s="41" t="n"/>
      <c r="B2500" s="37" t="n"/>
      <c r="C2500" s="37" t="n"/>
      <c r="D2500" s="39" t="str">
        <f>IF(C2500="","",IFERROR(INDEX(art_des,MATCH(C2500,art_ref,0))&amp;"","Référence inconnue"))</f>
        <v/>
      </c>
      <c r="E2500" s="37" t="n"/>
      <c r="F2500" s="39" t="str">
        <f>IF(C2500="","",IFERROR(INDEX(art_unit,MATCH(C2500,art_ref,0))&amp;"",""))</f>
        <v/>
      </c>
      <c r="G2500" s="37" t="n"/>
      <c r="H2500" s="37" t="n"/>
      <c r="I2500" s="37" t="n"/>
      <c r="J2500" s="40" t="str">
        <f>IF(OR(C2500="",NOT(ISNUMBER(E2500))),"",IFERROR(E2500*N(INDEX(art_price,MATCH(C2500,art_ref,0))),""))</f>
        <v/>
      </c>
      <c r="K2500" s="39" t="str">
        <f>IF(OR(C2500="",NOT(ISNUMBER(E2500))),"",IFERROR(ROUND(N(INDEX(art_init,MATCH(C2500,art_ref,0)))+SUMIFS($E$5:E2500,$C$5:C2500,C2500,$B$5:B2500,"Entrée")-SUMIFS($E$5:E2500,$C$5:C2500,C2500,$B$5:B2500,"Sortie"),6),""))</f>
        <v/>
      </c>
      <c r="L2500" s="39" t="str">
        <f>IF(COUNTA(A2500:C2500,E2500)=0,"",IF(COUNTA(A2500:C2500,E2500)&lt;4,"Ligne incomplète",IF(NOT(ISNUMBER(A2500)),"Date invalide",IF(AND(B2500&lt;&gt;"Entrée",B2500&lt;&gt;"Sortie"),"Type inconnu",IF(ISNA(MATCH(C2500,art_ref,0)),"Référence inconnue",IF(OR(NOT(ISNUMBER(E2500)),N(E2500)&lt;=0),"Quantité invalide",IF(K2500&lt;0,"Stock négatif",IF(AND(ISNUMBER(A2499),A2500&lt;A2499),"Date hors ordre","OK"))))))))</f>
        <v/>
      </c>
      <c r="M2500" s="39" t="str">
        <f>IF(C2500="","",C2500&amp;"#"&amp;COUNTIF($C$5:C2500,C2500))</f>
        <v/>
      </c>
    </row>
    <row r="2501">
      <c r="A2501" s="41" t="n"/>
      <c r="B2501" s="37" t="n"/>
      <c r="C2501" s="37" t="n"/>
      <c r="D2501" s="39" t="str">
        <f>IF(C2501="","",IFERROR(INDEX(art_des,MATCH(C2501,art_ref,0))&amp;"","Référence inconnue"))</f>
        <v/>
      </c>
      <c r="E2501" s="37" t="n"/>
      <c r="F2501" s="39" t="str">
        <f>IF(C2501="","",IFERROR(INDEX(art_unit,MATCH(C2501,art_ref,0))&amp;"",""))</f>
        <v/>
      </c>
      <c r="G2501" s="37" t="n"/>
      <c r="H2501" s="37" t="n"/>
      <c r="I2501" s="37" t="n"/>
      <c r="J2501" s="40" t="str">
        <f>IF(OR(C2501="",NOT(ISNUMBER(E2501))),"",IFERROR(E2501*N(INDEX(art_price,MATCH(C2501,art_ref,0))),""))</f>
        <v/>
      </c>
      <c r="K2501" s="39" t="str">
        <f>IF(OR(C2501="",NOT(ISNUMBER(E2501))),"",IFERROR(ROUND(N(INDEX(art_init,MATCH(C2501,art_ref,0)))+SUMIFS($E$5:E2501,$C$5:C2501,C2501,$B$5:B2501,"Entrée")-SUMIFS($E$5:E2501,$C$5:C2501,C2501,$B$5:B2501,"Sortie"),6),""))</f>
        <v/>
      </c>
      <c r="L2501" s="39" t="str">
        <f>IF(COUNTA(A2501:C2501,E2501)=0,"",IF(COUNTA(A2501:C2501,E2501)&lt;4,"Ligne incomplète",IF(NOT(ISNUMBER(A2501)),"Date invalide",IF(AND(B2501&lt;&gt;"Entrée",B2501&lt;&gt;"Sortie"),"Type inconnu",IF(ISNA(MATCH(C2501,art_ref,0)),"Référence inconnue",IF(OR(NOT(ISNUMBER(E2501)),N(E2501)&lt;=0),"Quantité invalide",IF(K2501&lt;0,"Stock négatif",IF(AND(ISNUMBER(A2500),A2501&lt;A2500),"Date hors ordre","OK"))))))))</f>
        <v/>
      </c>
      <c r="M2501" s="39" t="str">
        <f>IF(C2501="","",C2501&amp;"#"&amp;COUNTIF($C$5:C2501,C2501))</f>
        <v/>
      </c>
    </row>
    <row r="2502">
      <c r="A2502" s="41" t="n"/>
      <c r="B2502" s="37" t="n"/>
      <c r="C2502" s="37" t="n"/>
      <c r="D2502" s="39" t="str">
        <f>IF(C2502="","",IFERROR(INDEX(art_des,MATCH(C2502,art_ref,0))&amp;"","Référence inconnue"))</f>
        <v/>
      </c>
      <c r="E2502" s="37" t="n"/>
      <c r="F2502" s="39" t="str">
        <f>IF(C2502="","",IFERROR(INDEX(art_unit,MATCH(C2502,art_ref,0))&amp;"",""))</f>
        <v/>
      </c>
      <c r="G2502" s="37" t="n"/>
      <c r="H2502" s="37" t="n"/>
      <c r="I2502" s="37" t="n"/>
      <c r="J2502" s="40" t="str">
        <f>IF(OR(C2502="",NOT(ISNUMBER(E2502))),"",IFERROR(E2502*N(INDEX(art_price,MATCH(C2502,art_ref,0))),""))</f>
        <v/>
      </c>
      <c r="K2502" s="39" t="str">
        <f>IF(OR(C2502="",NOT(ISNUMBER(E2502))),"",IFERROR(ROUND(N(INDEX(art_init,MATCH(C2502,art_ref,0)))+SUMIFS($E$5:E2502,$C$5:C2502,C2502,$B$5:B2502,"Entrée")-SUMIFS($E$5:E2502,$C$5:C2502,C2502,$B$5:B2502,"Sortie"),6),""))</f>
        <v/>
      </c>
      <c r="L2502" s="39" t="str">
        <f>IF(COUNTA(A2502:C2502,E2502)=0,"",IF(COUNTA(A2502:C2502,E2502)&lt;4,"Ligne incomplète",IF(NOT(ISNUMBER(A2502)),"Date invalide",IF(AND(B2502&lt;&gt;"Entrée",B2502&lt;&gt;"Sortie"),"Type inconnu",IF(ISNA(MATCH(C2502,art_ref,0)),"Référence inconnue",IF(OR(NOT(ISNUMBER(E2502)),N(E2502)&lt;=0),"Quantité invalide",IF(K2502&lt;0,"Stock négatif",IF(AND(ISNUMBER(A2501),A2502&lt;A2501),"Date hors ordre","OK"))))))))</f>
        <v/>
      </c>
      <c r="M2502" s="39" t="str">
        <f>IF(C2502="","",C2502&amp;"#"&amp;COUNTIF($C$5:C2502,C2502))</f>
        <v/>
      </c>
    </row>
    <row r="2503">
      <c r="A2503" s="41" t="n"/>
      <c r="B2503" s="37" t="n"/>
      <c r="C2503" s="37" t="n"/>
      <c r="D2503" s="39" t="str">
        <f>IF(C2503="","",IFERROR(INDEX(art_des,MATCH(C2503,art_ref,0))&amp;"","Référence inconnue"))</f>
        <v/>
      </c>
      <c r="E2503" s="37" t="n"/>
      <c r="F2503" s="39" t="str">
        <f>IF(C2503="","",IFERROR(INDEX(art_unit,MATCH(C2503,art_ref,0))&amp;"",""))</f>
        <v/>
      </c>
      <c r="G2503" s="37" t="n"/>
      <c r="H2503" s="37" t="n"/>
      <c r="I2503" s="37" t="n"/>
      <c r="J2503" s="40" t="str">
        <f>IF(OR(C2503="",NOT(ISNUMBER(E2503))),"",IFERROR(E2503*N(INDEX(art_price,MATCH(C2503,art_ref,0))),""))</f>
        <v/>
      </c>
      <c r="K2503" s="39" t="str">
        <f>IF(OR(C2503="",NOT(ISNUMBER(E2503))),"",IFERROR(ROUND(N(INDEX(art_init,MATCH(C2503,art_ref,0)))+SUMIFS($E$5:E2503,$C$5:C2503,C2503,$B$5:B2503,"Entrée")-SUMIFS($E$5:E2503,$C$5:C2503,C2503,$B$5:B2503,"Sortie"),6),""))</f>
        <v/>
      </c>
      <c r="L2503" s="39" t="str">
        <f>IF(COUNTA(A2503:C2503,E2503)=0,"",IF(COUNTA(A2503:C2503,E2503)&lt;4,"Ligne incomplète",IF(NOT(ISNUMBER(A2503)),"Date invalide",IF(AND(B2503&lt;&gt;"Entrée",B2503&lt;&gt;"Sortie"),"Type inconnu",IF(ISNA(MATCH(C2503,art_ref,0)),"Référence inconnue",IF(OR(NOT(ISNUMBER(E2503)),N(E2503)&lt;=0),"Quantité invalide",IF(K2503&lt;0,"Stock négatif",IF(AND(ISNUMBER(A2502),A2503&lt;A2502),"Date hors ordre","OK"))))))))</f>
        <v/>
      </c>
      <c r="M2503" s="39" t="str">
        <f>IF(C2503="","",C2503&amp;"#"&amp;COUNTIF($C$5:C2503,C2503))</f>
        <v/>
      </c>
    </row>
    <row r="2504">
      <c r="A2504" s="41" t="n"/>
      <c r="B2504" s="37" t="n"/>
      <c r="C2504" s="37" t="n"/>
      <c r="D2504" s="39" t="str">
        <f>IF(C2504="","",IFERROR(INDEX(art_des,MATCH(C2504,art_ref,0))&amp;"","Référence inconnue"))</f>
        <v/>
      </c>
      <c r="E2504" s="37" t="n"/>
      <c r="F2504" s="39" t="str">
        <f>IF(C2504="","",IFERROR(INDEX(art_unit,MATCH(C2504,art_ref,0))&amp;"",""))</f>
        <v/>
      </c>
      <c r="G2504" s="37" t="n"/>
      <c r="H2504" s="37" t="n"/>
      <c r="I2504" s="37" t="n"/>
      <c r="J2504" s="40" t="str">
        <f>IF(OR(C2504="",NOT(ISNUMBER(E2504))),"",IFERROR(E2504*N(INDEX(art_price,MATCH(C2504,art_ref,0))),""))</f>
        <v/>
      </c>
      <c r="K2504" s="39" t="str">
        <f>IF(OR(C2504="",NOT(ISNUMBER(E2504))),"",IFERROR(ROUND(N(INDEX(art_init,MATCH(C2504,art_ref,0)))+SUMIFS($E$5:E2504,$C$5:C2504,C2504,$B$5:B2504,"Entrée")-SUMIFS($E$5:E2504,$C$5:C2504,C2504,$B$5:B2504,"Sortie"),6),""))</f>
        <v/>
      </c>
      <c r="L2504" s="39" t="str">
        <f>IF(COUNTA(A2504:C2504,E2504)=0,"",IF(COUNTA(A2504:C2504,E2504)&lt;4,"Ligne incomplète",IF(NOT(ISNUMBER(A2504)),"Date invalide",IF(AND(B2504&lt;&gt;"Entrée",B2504&lt;&gt;"Sortie"),"Type inconnu",IF(ISNA(MATCH(C2504,art_ref,0)),"Référence inconnue",IF(OR(NOT(ISNUMBER(E2504)),N(E2504)&lt;=0),"Quantité invalide",IF(K2504&lt;0,"Stock négatif",IF(AND(ISNUMBER(A2503),A2504&lt;A2503),"Date hors ordre","OK"))))))))</f>
        <v/>
      </c>
      <c r="M2504" s="39" t="str">
        <f>IF(C2504="","",C2504&amp;"#"&amp;COUNTIF($C$5:C2504,C2504))</f>
        <v/>
      </c>
    </row>
    <row r="2505">
      <c r="A2505" s="41" t="n"/>
      <c r="B2505" s="37" t="n"/>
      <c r="C2505" s="37" t="n"/>
      <c r="D2505" s="39" t="str">
        <f>IF(C2505="","",IFERROR(INDEX(art_des,MATCH(C2505,art_ref,0))&amp;"","Référence inconnue"))</f>
        <v/>
      </c>
      <c r="E2505" s="37" t="n"/>
      <c r="F2505" s="39" t="str">
        <f>IF(C2505="","",IFERROR(INDEX(art_unit,MATCH(C2505,art_ref,0))&amp;"",""))</f>
        <v/>
      </c>
      <c r="G2505" s="37" t="n"/>
      <c r="H2505" s="37" t="n"/>
      <c r="I2505" s="37" t="n"/>
      <c r="J2505" s="40" t="str">
        <f>IF(OR(C2505="",NOT(ISNUMBER(E2505))),"",IFERROR(E2505*N(INDEX(art_price,MATCH(C2505,art_ref,0))),""))</f>
        <v/>
      </c>
      <c r="K2505" s="39" t="str">
        <f>IF(OR(C2505="",NOT(ISNUMBER(E2505))),"",IFERROR(ROUND(N(INDEX(art_init,MATCH(C2505,art_ref,0)))+SUMIFS($E$5:E2505,$C$5:C2505,C2505,$B$5:B2505,"Entrée")-SUMIFS($E$5:E2505,$C$5:C2505,C2505,$B$5:B2505,"Sortie"),6),""))</f>
        <v/>
      </c>
      <c r="L2505" s="39" t="str">
        <f>IF(COUNTA(A2505:C2505,E2505)=0,"",IF(COUNTA(A2505:C2505,E2505)&lt;4,"Ligne incomplète",IF(NOT(ISNUMBER(A2505)),"Date invalide",IF(AND(B2505&lt;&gt;"Entrée",B2505&lt;&gt;"Sortie"),"Type inconnu",IF(ISNA(MATCH(C2505,art_ref,0)),"Référence inconnue",IF(OR(NOT(ISNUMBER(E2505)),N(E2505)&lt;=0),"Quantité invalide",IF(K2505&lt;0,"Stock négatif",IF(AND(ISNUMBER(A2504),A2505&lt;A2504),"Date hors ordre","OK"))))))))</f>
        <v/>
      </c>
      <c r="M2505" s="39" t="str">
        <f>IF(C2505="","",C2505&amp;"#"&amp;COUNTIF($C$5:C2505,C2505))</f>
        <v/>
      </c>
    </row>
    <row r="2506">
      <c r="A2506" s="41" t="n"/>
      <c r="B2506" s="37" t="n"/>
      <c r="C2506" s="37" t="n"/>
      <c r="D2506" s="39" t="str">
        <f>IF(C2506="","",IFERROR(INDEX(art_des,MATCH(C2506,art_ref,0))&amp;"","Référence inconnue"))</f>
        <v/>
      </c>
      <c r="E2506" s="37" t="n"/>
      <c r="F2506" s="39" t="str">
        <f>IF(C2506="","",IFERROR(INDEX(art_unit,MATCH(C2506,art_ref,0))&amp;"",""))</f>
        <v/>
      </c>
      <c r="G2506" s="37" t="n"/>
      <c r="H2506" s="37" t="n"/>
      <c r="I2506" s="37" t="n"/>
      <c r="J2506" s="40" t="str">
        <f>IF(OR(C2506="",NOT(ISNUMBER(E2506))),"",IFERROR(E2506*N(INDEX(art_price,MATCH(C2506,art_ref,0))),""))</f>
        <v/>
      </c>
      <c r="K2506" s="39" t="str">
        <f>IF(OR(C2506="",NOT(ISNUMBER(E2506))),"",IFERROR(ROUND(N(INDEX(art_init,MATCH(C2506,art_ref,0)))+SUMIFS($E$5:E2506,$C$5:C2506,C2506,$B$5:B2506,"Entrée")-SUMIFS($E$5:E2506,$C$5:C2506,C2506,$B$5:B2506,"Sortie"),6),""))</f>
        <v/>
      </c>
      <c r="L2506" s="39" t="str">
        <f>IF(COUNTA(A2506:C2506,E2506)=0,"",IF(COUNTA(A2506:C2506,E2506)&lt;4,"Ligne incomplète",IF(NOT(ISNUMBER(A2506)),"Date invalide",IF(AND(B2506&lt;&gt;"Entrée",B2506&lt;&gt;"Sortie"),"Type inconnu",IF(ISNA(MATCH(C2506,art_ref,0)),"Référence inconnue",IF(OR(NOT(ISNUMBER(E2506)),N(E2506)&lt;=0),"Quantité invalide",IF(K2506&lt;0,"Stock négatif",IF(AND(ISNUMBER(A2505),A2506&lt;A2505),"Date hors ordre","OK"))))))))</f>
        <v/>
      </c>
      <c r="M2506" s="39" t="str">
        <f>IF(C2506="","",C2506&amp;"#"&amp;COUNTIF($C$5:C2506,C2506))</f>
        <v/>
      </c>
    </row>
    <row r="2507">
      <c r="A2507" s="41" t="n"/>
      <c r="B2507" s="37" t="n"/>
      <c r="C2507" s="37" t="n"/>
      <c r="D2507" s="39" t="str">
        <f>IF(C2507="","",IFERROR(INDEX(art_des,MATCH(C2507,art_ref,0))&amp;"","Référence inconnue"))</f>
        <v/>
      </c>
      <c r="E2507" s="37" t="n"/>
      <c r="F2507" s="39" t="str">
        <f>IF(C2507="","",IFERROR(INDEX(art_unit,MATCH(C2507,art_ref,0))&amp;"",""))</f>
        <v/>
      </c>
      <c r="G2507" s="37" t="n"/>
      <c r="H2507" s="37" t="n"/>
      <c r="I2507" s="37" t="n"/>
      <c r="J2507" s="40" t="str">
        <f>IF(OR(C2507="",NOT(ISNUMBER(E2507))),"",IFERROR(E2507*N(INDEX(art_price,MATCH(C2507,art_ref,0))),""))</f>
        <v/>
      </c>
      <c r="K2507" s="39" t="str">
        <f>IF(OR(C2507="",NOT(ISNUMBER(E2507))),"",IFERROR(ROUND(N(INDEX(art_init,MATCH(C2507,art_ref,0)))+SUMIFS($E$5:E2507,$C$5:C2507,C2507,$B$5:B2507,"Entrée")-SUMIFS($E$5:E2507,$C$5:C2507,C2507,$B$5:B2507,"Sortie"),6),""))</f>
        <v/>
      </c>
      <c r="L2507" s="39" t="str">
        <f>IF(COUNTA(A2507:C2507,E2507)=0,"",IF(COUNTA(A2507:C2507,E2507)&lt;4,"Ligne incomplète",IF(NOT(ISNUMBER(A2507)),"Date invalide",IF(AND(B2507&lt;&gt;"Entrée",B2507&lt;&gt;"Sortie"),"Type inconnu",IF(ISNA(MATCH(C2507,art_ref,0)),"Référence inconnue",IF(OR(NOT(ISNUMBER(E2507)),N(E2507)&lt;=0),"Quantité invalide",IF(K2507&lt;0,"Stock négatif",IF(AND(ISNUMBER(A2506),A2507&lt;A2506),"Date hors ordre","OK"))))))))</f>
        <v/>
      </c>
      <c r="M2507" s="39" t="str">
        <f>IF(C2507="","",C2507&amp;"#"&amp;COUNTIF($C$5:C2507,C2507))</f>
        <v/>
      </c>
    </row>
    <row r="2508">
      <c r="A2508" s="41" t="n"/>
      <c r="B2508" s="37" t="n"/>
      <c r="C2508" s="37" t="n"/>
      <c r="D2508" s="39" t="str">
        <f>IF(C2508="","",IFERROR(INDEX(art_des,MATCH(C2508,art_ref,0))&amp;"","Référence inconnue"))</f>
        <v/>
      </c>
      <c r="E2508" s="37" t="n"/>
      <c r="F2508" s="39" t="str">
        <f>IF(C2508="","",IFERROR(INDEX(art_unit,MATCH(C2508,art_ref,0))&amp;"",""))</f>
        <v/>
      </c>
      <c r="G2508" s="37" t="n"/>
      <c r="H2508" s="37" t="n"/>
      <c r="I2508" s="37" t="n"/>
      <c r="J2508" s="40" t="str">
        <f>IF(OR(C2508="",NOT(ISNUMBER(E2508))),"",IFERROR(E2508*N(INDEX(art_price,MATCH(C2508,art_ref,0))),""))</f>
        <v/>
      </c>
      <c r="K2508" s="39" t="str">
        <f>IF(OR(C2508="",NOT(ISNUMBER(E2508))),"",IFERROR(ROUND(N(INDEX(art_init,MATCH(C2508,art_ref,0)))+SUMIFS($E$5:E2508,$C$5:C2508,C2508,$B$5:B2508,"Entrée")-SUMIFS($E$5:E2508,$C$5:C2508,C2508,$B$5:B2508,"Sortie"),6),""))</f>
        <v/>
      </c>
      <c r="L2508" s="39" t="str">
        <f>IF(COUNTA(A2508:C2508,E2508)=0,"",IF(COUNTA(A2508:C2508,E2508)&lt;4,"Ligne incomplète",IF(NOT(ISNUMBER(A2508)),"Date invalide",IF(AND(B2508&lt;&gt;"Entrée",B2508&lt;&gt;"Sortie"),"Type inconnu",IF(ISNA(MATCH(C2508,art_ref,0)),"Référence inconnue",IF(OR(NOT(ISNUMBER(E2508)),N(E2508)&lt;=0),"Quantité invalide",IF(K2508&lt;0,"Stock négatif",IF(AND(ISNUMBER(A2507),A2508&lt;A2507),"Date hors ordre","OK"))))))))</f>
        <v/>
      </c>
      <c r="M2508" s="39" t="str">
        <f>IF(C2508="","",C2508&amp;"#"&amp;COUNTIF($C$5:C2508,C2508))</f>
        <v/>
      </c>
    </row>
    <row r="2509">
      <c r="A2509" s="41" t="n"/>
      <c r="B2509" s="37" t="n"/>
      <c r="C2509" s="37" t="n"/>
      <c r="D2509" s="39" t="str">
        <f>IF(C2509="","",IFERROR(INDEX(art_des,MATCH(C2509,art_ref,0))&amp;"","Référence inconnue"))</f>
        <v/>
      </c>
      <c r="E2509" s="37" t="n"/>
      <c r="F2509" s="39" t="str">
        <f>IF(C2509="","",IFERROR(INDEX(art_unit,MATCH(C2509,art_ref,0))&amp;"",""))</f>
        <v/>
      </c>
      <c r="G2509" s="37" t="n"/>
      <c r="H2509" s="37" t="n"/>
      <c r="I2509" s="37" t="n"/>
      <c r="J2509" s="40" t="str">
        <f>IF(OR(C2509="",NOT(ISNUMBER(E2509))),"",IFERROR(E2509*N(INDEX(art_price,MATCH(C2509,art_ref,0))),""))</f>
        <v/>
      </c>
      <c r="K2509" s="39" t="str">
        <f>IF(OR(C2509="",NOT(ISNUMBER(E2509))),"",IFERROR(ROUND(N(INDEX(art_init,MATCH(C2509,art_ref,0)))+SUMIFS($E$5:E2509,$C$5:C2509,C2509,$B$5:B2509,"Entrée")-SUMIFS($E$5:E2509,$C$5:C2509,C2509,$B$5:B2509,"Sortie"),6),""))</f>
        <v/>
      </c>
      <c r="L2509" s="39" t="str">
        <f>IF(COUNTA(A2509:C2509,E2509)=0,"",IF(COUNTA(A2509:C2509,E2509)&lt;4,"Ligne incomplète",IF(NOT(ISNUMBER(A2509)),"Date invalide",IF(AND(B2509&lt;&gt;"Entrée",B2509&lt;&gt;"Sortie"),"Type inconnu",IF(ISNA(MATCH(C2509,art_ref,0)),"Référence inconnue",IF(OR(NOT(ISNUMBER(E2509)),N(E2509)&lt;=0),"Quantité invalide",IF(K2509&lt;0,"Stock négatif",IF(AND(ISNUMBER(A2508),A2509&lt;A2508),"Date hors ordre","OK"))))))))</f>
        <v/>
      </c>
      <c r="M2509" s="39" t="str">
        <f>IF(C2509="","",C2509&amp;"#"&amp;COUNTIF($C$5:C2509,C2509))</f>
        <v/>
      </c>
    </row>
    <row r="2510">
      <c r="A2510" s="41" t="n"/>
      <c r="B2510" s="37" t="n"/>
      <c r="C2510" s="37" t="n"/>
      <c r="D2510" s="39" t="str">
        <f>IF(C2510="","",IFERROR(INDEX(art_des,MATCH(C2510,art_ref,0))&amp;"","Référence inconnue"))</f>
        <v/>
      </c>
      <c r="E2510" s="37" t="n"/>
      <c r="F2510" s="39" t="str">
        <f>IF(C2510="","",IFERROR(INDEX(art_unit,MATCH(C2510,art_ref,0))&amp;"",""))</f>
        <v/>
      </c>
      <c r="G2510" s="37" t="n"/>
      <c r="H2510" s="37" t="n"/>
      <c r="I2510" s="37" t="n"/>
      <c r="J2510" s="40" t="str">
        <f>IF(OR(C2510="",NOT(ISNUMBER(E2510))),"",IFERROR(E2510*N(INDEX(art_price,MATCH(C2510,art_ref,0))),""))</f>
        <v/>
      </c>
      <c r="K2510" s="39" t="str">
        <f>IF(OR(C2510="",NOT(ISNUMBER(E2510))),"",IFERROR(ROUND(N(INDEX(art_init,MATCH(C2510,art_ref,0)))+SUMIFS($E$5:E2510,$C$5:C2510,C2510,$B$5:B2510,"Entrée")-SUMIFS($E$5:E2510,$C$5:C2510,C2510,$B$5:B2510,"Sortie"),6),""))</f>
        <v/>
      </c>
      <c r="L2510" s="39" t="str">
        <f>IF(COUNTA(A2510:C2510,E2510)=0,"",IF(COUNTA(A2510:C2510,E2510)&lt;4,"Ligne incomplète",IF(NOT(ISNUMBER(A2510)),"Date invalide",IF(AND(B2510&lt;&gt;"Entrée",B2510&lt;&gt;"Sortie"),"Type inconnu",IF(ISNA(MATCH(C2510,art_ref,0)),"Référence inconnue",IF(OR(NOT(ISNUMBER(E2510)),N(E2510)&lt;=0),"Quantité invalide",IF(K2510&lt;0,"Stock négatif",IF(AND(ISNUMBER(A2509),A2510&lt;A2509),"Date hors ordre","OK"))))))))</f>
        <v/>
      </c>
      <c r="M2510" s="39" t="str">
        <f>IF(C2510="","",C2510&amp;"#"&amp;COUNTIF($C$5:C2510,C2510))</f>
        <v/>
      </c>
    </row>
    <row r="2511">
      <c r="A2511" s="41" t="n"/>
      <c r="B2511" s="37" t="n"/>
      <c r="C2511" s="37" t="n"/>
      <c r="D2511" s="39" t="str">
        <f>IF(C2511="","",IFERROR(INDEX(art_des,MATCH(C2511,art_ref,0))&amp;"","Référence inconnue"))</f>
        <v/>
      </c>
      <c r="E2511" s="37" t="n"/>
      <c r="F2511" s="39" t="str">
        <f>IF(C2511="","",IFERROR(INDEX(art_unit,MATCH(C2511,art_ref,0))&amp;"",""))</f>
        <v/>
      </c>
      <c r="G2511" s="37" t="n"/>
      <c r="H2511" s="37" t="n"/>
      <c r="I2511" s="37" t="n"/>
      <c r="J2511" s="40" t="str">
        <f>IF(OR(C2511="",NOT(ISNUMBER(E2511))),"",IFERROR(E2511*N(INDEX(art_price,MATCH(C2511,art_ref,0))),""))</f>
        <v/>
      </c>
      <c r="K2511" s="39" t="str">
        <f>IF(OR(C2511="",NOT(ISNUMBER(E2511))),"",IFERROR(ROUND(N(INDEX(art_init,MATCH(C2511,art_ref,0)))+SUMIFS($E$5:E2511,$C$5:C2511,C2511,$B$5:B2511,"Entrée")-SUMIFS($E$5:E2511,$C$5:C2511,C2511,$B$5:B2511,"Sortie"),6),""))</f>
        <v/>
      </c>
      <c r="L2511" s="39" t="str">
        <f>IF(COUNTA(A2511:C2511,E2511)=0,"",IF(COUNTA(A2511:C2511,E2511)&lt;4,"Ligne incomplète",IF(NOT(ISNUMBER(A2511)),"Date invalide",IF(AND(B2511&lt;&gt;"Entrée",B2511&lt;&gt;"Sortie"),"Type inconnu",IF(ISNA(MATCH(C2511,art_ref,0)),"Référence inconnue",IF(OR(NOT(ISNUMBER(E2511)),N(E2511)&lt;=0),"Quantité invalide",IF(K2511&lt;0,"Stock négatif",IF(AND(ISNUMBER(A2510),A2511&lt;A2510),"Date hors ordre","OK"))))))))</f>
        <v/>
      </c>
      <c r="M2511" s="39" t="str">
        <f>IF(C2511="","",C2511&amp;"#"&amp;COUNTIF($C$5:C2511,C2511))</f>
        <v/>
      </c>
    </row>
    <row r="2512">
      <c r="A2512" s="41" t="n"/>
      <c r="B2512" s="37" t="n"/>
      <c r="C2512" s="37" t="n"/>
      <c r="D2512" s="39" t="str">
        <f>IF(C2512="","",IFERROR(INDEX(art_des,MATCH(C2512,art_ref,0))&amp;"","Référence inconnue"))</f>
        <v/>
      </c>
      <c r="E2512" s="37" t="n"/>
      <c r="F2512" s="39" t="str">
        <f>IF(C2512="","",IFERROR(INDEX(art_unit,MATCH(C2512,art_ref,0))&amp;"",""))</f>
        <v/>
      </c>
      <c r="G2512" s="37" t="n"/>
      <c r="H2512" s="37" t="n"/>
      <c r="I2512" s="37" t="n"/>
      <c r="J2512" s="40" t="str">
        <f>IF(OR(C2512="",NOT(ISNUMBER(E2512))),"",IFERROR(E2512*N(INDEX(art_price,MATCH(C2512,art_ref,0))),""))</f>
        <v/>
      </c>
      <c r="K2512" s="39" t="str">
        <f>IF(OR(C2512="",NOT(ISNUMBER(E2512))),"",IFERROR(ROUND(N(INDEX(art_init,MATCH(C2512,art_ref,0)))+SUMIFS($E$5:E2512,$C$5:C2512,C2512,$B$5:B2512,"Entrée")-SUMIFS($E$5:E2512,$C$5:C2512,C2512,$B$5:B2512,"Sortie"),6),""))</f>
        <v/>
      </c>
      <c r="L2512" s="39" t="str">
        <f>IF(COUNTA(A2512:C2512,E2512)=0,"",IF(COUNTA(A2512:C2512,E2512)&lt;4,"Ligne incomplète",IF(NOT(ISNUMBER(A2512)),"Date invalide",IF(AND(B2512&lt;&gt;"Entrée",B2512&lt;&gt;"Sortie"),"Type inconnu",IF(ISNA(MATCH(C2512,art_ref,0)),"Référence inconnue",IF(OR(NOT(ISNUMBER(E2512)),N(E2512)&lt;=0),"Quantité invalide",IF(K2512&lt;0,"Stock négatif",IF(AND(ISNUMBER(A2511),A2512&lt;A2511),"Date hors ordre","OK"))))))))</f>
        <v/>
      </c>
      <c r="M2512" s="39" t="str">
        <f>IF(C2512="","",C2512&amp;"#"&amp;COUNTIF($C$5:C2512,C2512))</f>
        <v/>
      </c>
    </row>
    <row r="2513">
      <c r="A2513" s="41" t="n"/>
      <c r="B2513" s="37" t="n"/>
      <c r="C2513" s="37" t="n"/>
      <c r="D2513" s="39" t="str">
        <f>IF(C2513="","",IFERROR(INDEX(art_des,MATCH(C2513,art_ref,0))&amp;"","Référence inconnue"))</f>
        <v/>
      </c>
      <c r="E2513" s="37" t="n"/>
      <c r="F2513" s="39" t="str">
        <f>IF(C2513="","",IFERROR(INDEX(art_unit,MATCH(C2513,art_ref,0))&amp;"",""))</f>
        <v/>
      </c>
      <c r="G2513" s="37" t="n"/>
      <c r="H2513" s="37" t="n"/>
      <c r="I2513" s="37" t="n"/>
      <c r="J2513" s="40" t="str">
        <f>IF(OR(C2513="",NOT(ISNUMBER(E2513))),"",IFERROR(E2513*N(INDEX(art_price,MATCH(C2513,art_ref,0))),""))</f>
        <v/>
      </c>
      <c r="K2513" s="39" t="str">
        <f>IF(OR(C2513="",NOT(ISNUMBER(E2513))),"",IFERROR(ROUND(N(INDEX(art_init,MATCH(C2513,art_ref,0)))+SUMIFS($E$5:E2513,$C$5:C2513,C2513,$B$5:B2513,"Entrée")-SUMIFS($E$5:E2513,$C$5:C2513,C2513,$B$5:B2513,"Sortie"),6),""))</f>
        <v/>
      </c>
      <c r="L2513" s="39" t="str">
        <f>IF(COUNTA(A2513:C2513,E2513)=0,"",IF(COUNTA(A2513:C2513,E2513)&lt;4,"Ligne incomplète",IF(NOT(ISNUMBER(A2513)),"Date invalide",IF(AND(B2513&lt;&gt;"Entrée",B2513&lt;&gt;"Sortie"),"Type inconnu",IF(ISNA(MATCH(C2513,art_ref,0)),"Référence inconnue",IF(OR(NOT(ISNUMBER(E2513)),N(E2513)&lt;=0),"Quantité invalide",IF(K2513&lt;0,"Stock négatif",IF(AND(ISNUMBER(A2512),A2513&lt;A2512),"Date hors ordre","OK"))))))))</f>
        <v/>
      </c>
      <c r="M2513" s="39" t="str">
        <f>IF(C2513="","",C2513&amp;"#"&amp;COUNTIF($C$5:C2513,C2513))</f>
        <v/>
      </c>
    </row>
    <row r="2514">
      <c r="A2514" s="41" t="n"/>
      <c r="B2514" s="37" t="n"/>
      <c r="C2514" s="37" t="n"/>
      <c r="D2514" s="39" t="str">
        <f>IF(C2514="","",IFERROR(INDEX(art_des,MATCH(C2514,art_ref,0))&amp;"","Référence inconnue"))</f>
        <v/>
      </c>
      <c r="E2514" s="37" t="n"/>
      <c r="F2514" s="39" t="str">
        <f>IF(C2514="","",IFERROR(INDEX(art_unit,MATCH(C2514,art_ref,0))&amp;"",""))</f>
        <v/>
      </c>
      <c r="G2514" s="37" t="n"/>
      <c r="H2514" s="37" t="n"/>
      <c r="I2514" s="37" t="n"/>
      <c r="J2514" s="40" t="str">
        <f>IF(OR(C2514="",NOT(ISNUMBER(E2514))),"",IFERROR(E2514*N(INDEX(art_price,MATCH(C2514,art_ref,0))),""))</f>
        <v/>
      </c>
      <c r="K2514" s="39" t="str">
        <f>IF(OR(C2514="",NOT(ISNUMBER(E2514))),"",IFERROR(ROUND(N(INDEX(art_init,MATCH(C2514,art_ref,0)))+SUMIFS($E$5:E2514,$C$5:C2514,C2514,$B$5:B2514,"Entrée")-SUMIFS($E$5:E2514,$C$5:C2514,C2514,$B$5:B2514,"Sortie"),6),""))</f>
        <v/>
      </c>
      <c r="L2514" s="39" t="str">
        <f>IF(COUNTA(A2514:C2514,E2514)=0,"",IF(COUNTA(A2514:C2514,E2514)&lt;4,"Ligne incomplète",IF(NOT(ISNUMBER(A2514)),"Date invalide",IF(AND(B2514&lt;&gt;"Entrée",B2514&lt;&gt;"Sortie"),"Type inconnu",IF(ISNA(MATCH(C2514,art_ref,0)),"Référence inconnue",IF(OR(NOT(ISNUMBER(E2514)),N(E2514)&lt;=0),"Quantité invalide",IF(K2514&lt;0,"Stock négatif",IF(AND(ISNUMBER(A2513),A2514&lt;A2513),"Date hors ordre","OK"))))))))</f>
        <v/>
      </c>
      <c r="M2514" s="39" t="str">
        <f>IF(C2514="","",C2514&amp;"#"&amp;COUNTIF($C$5:C2514,C2514))</f>
        <v/>
      </c>
    </row>
    <row r="2515">
      <c r="A2515" s="41" t="n"/>
      <c r="B2515" s="37" t="n"/>
      <c r="C2515" s="37" t="n"/>
      <c r="D2515" s="39" t="str">
        <f>IF(C2515="","",IFERROR(INDEX(art_des,MATCH(C2515,art_ref,0))&amp;"","Référence inconnue"))</f>
        <v/>
      </c>
      <c r="E2515" s="37" t="n"/>
      <c r="F2515" s="39" t="str">
        <f>IF(C2515="","",IFERROR(INDEX(art_unit,MATCH(C2515,art_ref,0))&amp;"",""))</f>
        <v/>
      </c>
      <c r="G2515" s="37" t="n"/>
      <c r="H2515" s="37" t="n"/>
      <c r="I2515" s="37" t="n"/>
      <c r="J2515" s="40" t="str">
        <f>IF(OR(C2515="",NOT(ISNUMBER(E2515))),"",IFERROR(E2515*N(INDEX(art_price,MATCH(C2515,art_ref,0))),""))</f>
        <v/>
      </c>
      <c r="K2515" s="39" t="str">
        <f>IF(OR(C2515="",NOT(ISNUMBER(E2515))),"",IFERROR(ROUND(N(INDEX(art_init,MATCH(C2515,art_ref,0)))+SUMIFS($E$5:E2515,$C$5:C2515,C2515,$B$5:B2515,"Entrée")-SUMIFS($E$5:E2515,$C$5:C2515,C2515,$B$5:B2515,"Sortie"),6),""))</f>
        <v/>
      </c>
      <c r="L2515" s="39" t="str">
        <f>IF(COUNTA(A2515:C2515,E2515)=0,"",IF(COUNTA(A2515:C2515,E2515)&lt;4,"Ligne incomplète",IF(NOT(ISNUMBER(A2515)),"Date invalide",IF(AND(B2515&lt;&gt;"Entrée",B2515&lt;&gt;"Sortie"),"Type inconnu",IF(ISNA(MATCH(C2515,art_ref,0)),"Référence inconnue",IF(OR(NOT(ISNUMBER(E2515)),N(E2515)&lt;=0),"Quantité invalide",IF(K2515&lt;0,"Stock négatif",IF(AND(ISNUMBER(A2514),A2515&lt;A2514),"Date hors ordre","OK"))))))))</f>
        <v/>
      </c>
      <c r="M2515" s="39" t="str">
        <f>IF(C2515="","",C2515&amp;"#"&amp;COUNTIF($C$5:C2515,C2515))</f>
        <v/>
      </c>
    </row>
    <row r="2516">
      <c r="A2516" s="41" t="n"/>
      <c r="B2516" s="37" t="n"/>
      <c r="C2516" s="37" t="n"/>
      <c r="D2516" s="39" t="str">
        <f>IF(C2516="","",IFERROR(INDEX(art_des,MATCH(C2516,art_ref,0))&amp;"","Référence inconnue"))</f>
        <v/>
      </c>
      <c r="E2516" s="37" t="n"/>
      <c r="F2516" s="39" t="str">
        <f>IF(C2516="","",IFERROR(INDEX(art_unit,MATCH(C2516,art_ref,0))&amp;"",""))</f>
        <v/>
      </c>
      <c r="G2516" s="37" t="n"/>
      <c r="H2516" s="37" t="n"/>
      <c r="I2516" s="37" t="n"/>
      <c r="J2516" s="40" t="str">
        <f>IF(OR(C2516="",NOT(ISNUMBER(E2516))),"",IFERROR(E2516*N(INDEX(art_price,MATCH(C2516,art_ref,0))),""))</f>
        <v/>
      </c>
      <c r="K2516" s="39" t="str">
        <f>IF(OR(C2516="",NOT(ISNUMBER(E2516))),"",IFERROR(ROUND(N(INDEX(art_init,MATCH(C2516,art_ref,0)))+SUMIFS($E$5:E2516,$C$5:C2516,C2516,$B$5:B2516,"Entrée")-SUMIFS($E$5:E2516,$C$5:C2516,C2516,$B$5:B2516,"Sortie"),6),""))</f>
        <v/>
      </c>
      <c r="L2516" s="39" t="str">
        <f>IF(COUNTA(A2516:C2516,E2516)=0,"",IF(COUNTA(A2516:C2516,E2516)&lt;4,"Ligne incomplète",IF(NOT(ISNUMBER(A2516)),"Date invalide",IF(AND(B2516&lt;&gt;"Entrée",B2516&lt;&gt;"Sortie"),"Type inconnu",IF(ISNA(MATCH(C2516,art_ref,0)),"Référence inconnue",IF(OR(NOT(ISNUMBER(E2516)),N(E2516)&lt;=0),"Quantité invalide",IF(K2516&lt;0,"Stock négatif",IF(AND(ISNUMBER(A2515),A2516&lt;A2515),"Date hors ordre","OK"))))))))</f>
        <v/>
      </c>
      <c r="M2516" s="39" t="str">
        <f>IF(C2516="","",C2516&amp;"#"&amp;COUNTIF($C$5:C2516,C2516))</f>
        <v/>
      </c>
    </row>
    <row r="2517">
      <c r="A2517" s="41" t="n"/>
      <c r="B2517" s="37" t="n"/>
      <c r="C2517" s="37" t="n"/>
      <c r="D2517" s="39" t="str">
        <f>IF(C2517="","",IFERROR(INDEX(art_des,MATCH(C2517,art_ref,0))&amp;"","Référence inconnue"))</f>
        <v/>
      </c>
      <c r="E2517" s="37" t="n"/>
      <c r="F2517" s="39" t="str">
        <f>IF(C2517="","",IFERROR(INDEX(art_unit,MATCH(C2517,art_ref,0))&amp;"",""))</f>
        <v/>
      </c>
      <c r="G2517" s="37" t="n"/>
      <c r="H2517" s="37" t="n"/>
      <c r="I2517" s="37" t="n"/>
      <c r="J2517" s="40" t="str">
        <f>IF(OR(C2517="",NOT(ISNUMBER(E2517))),"",IFERROR(E2517*N(INDEX(art_price,MATCH(C2517,art_ref,0))),""))</f>
        <v/>
      </c>
      <c r="K2517" s="39" t="str">
        <f>IF(OR(C2517="",NOT(ISNUMBER(E2517))),"",IFERROR(ROUND(N(INDEX(art_init,MATCH(C2517,art_ref,0)))+SUMIFS($E$5:E2517,$C$5:C2517,C2517,$B$5:B2517,"Entrée")-SUMIFS($E$5:E2517,$C$5:C2517,C2517,$B$5:B2517,"Sortie"),6),""))</f>
        <v/>
      </c>
      <c r="L2517" s="39" t="str">
        <f>IF(COUNTA(A2517:C2517,E2517)=0,"",IF(COUNTA(A2517:C2517,E2517)&lt;4,"Ligne incomplète",IF(NOT(ISNUMBER(A2517)),"Date invalide",IF(AND(B2517&lt;&gt;"Entrée",B2517&lt;&gt;"Sortie"),"Type inconnu",IF(ISNA(MATCH(C2517,art_ref,0)),"Référence inconnue",IF(OR(NOT(ISNUMBER(E2517)),N(E2517)&lt;=0),"Quantité invalide",IF(K2517&lt;0,"Stock négatif",IF(AND(ISNUMBER(A2516),A2517&lt;A2516),"Date hors ordre","OK"))))))))</f>
        <v/>
      </c>
      <c r="M2517" s="39" t="str">
        <f>IF(C2517="","",C2517&amp;"#"&amp;COUNTIF($C$5:C2517,C2517))</f>
        <v/>
      </c>
    </row>
    <row r="2518">
      <c r="A2518" s="41" t="n"/>
      <c r="B2518" s="37" t="n"/>
      <c r="C2518" s="37" t="n"/>
      <c r="D2518" s="39" t="str">
        <f>IF(C2518="","",IFERROR(INDEX(art_des,MATCH(C2518,art_ref,0))&amp;"","Référence inconnue"))</f>
        <v/>
      </c>
      <c r="E2518" s="37" t="n"/>
      <c r="F2518" s="39" t="str">
        <f>IF(C2518="","",IFERROR(INDEX(art_unit,MATCH(C2518,art_ref,0))&amp;"",""))</f>
        <v/>
      </c>
      <c r="G2518" s="37" t="n"/>
      <c r="H2518" s="37" t="n"/>
      <c r="I2518" s="37" t="n"/>
      <c r="J2518" s="40" t="str">
        <f>IF(OR(C2518="",NOT(ISNUMBER(E2518))),"",IFERROR(E2518*N(INDEX(art_price,MATCH(C2518,art_ref,0))),""))</f>
        <v/>
      </c>
      <c r="K2518" s="39" t="str">
        <f>IF(OR(C2518="",NOT(ISNUMBER(E2518))),"",IFERROR(ROUND(N(INDEX(art_init,MATCH(C2518,art_ref,0)))+SUMIFS($E$5:E2518,$C$5:C2518,C2518,$B$5:B2518,"Entrée")-SUMIFS($E$5:E2518,$C$5:C2518,C2518,$B$5:B2518,"Sortie"),6),""))</f>
        <v/>
      </c>
      <c r="L2518" s="39" t="str">
        <f>IF(COUNTA(A2518:C2518,E2518)=0,"",IF(COUNTA(A2518:C2518,E2518)&lt;4,"Ligne incomplète",IF(NOT(ISNUMBER(A2518)),"Date invalide",IF(AND(B2518&lt;&gt;"Entrée",B2518&lt;&gt;"Sortie"),"Type inconnu",IF(ISNA(MATCH(C2518,art_ref,0)),"Référence inconnue",IF(OR(NOT(ISNUMBER(E2518)),N(E2518)&lt;=0),"Quantité invalide",IF(K2518&lt;0,"Stock négatif",IF(AND(ISNUMBER(A2517),A2518&lt;A2517),"Date hors ordre","OK"))))))))</f>
        <v/>
      </c>
      <c r="M2518" s="39" t="str">
        <f>IF(C2518="","",C2518&amp;"#"&amp;COUNTIF($C$5:C2518,C2518))</f>
        <v/>
      </c>
    </row>
    <row r="2519">
      <c r="A2519" s="41" t="n"/>
      <c r="B2519" s="37" t="n"/>
      <c r="C2519" s="37" t="n"/>
      <c r="D2519" s="39" t="str">
        <f>IF(C2519="","",IFERROR(INDEX(art_des,MATCH(C2519,art_ref,0))&amp;"","Référence inconnue"))</f>
        <v/>
      </c>
      <c r="E2519" s="37" t="n"/>
      <c r="F2519" s="39" t="str">
        <f>IF(C2519="","",IFERROR(INDEX(art_unit,MATCH(C2519,art_ref,0))&amp;"",""))</f>
        <v/>
      </c>
      <c r="G2519" s="37" t="n"/>
      <c r="H2519" s="37" t="n"/>
      <c r="I2519" s="37" t="n"/>
      <c r="J2519" s="40" t="str">
        <f>IF(OR(C2519="",NOT(ISNUMBER(E2519))),"",IFERROR(E2519*N(INDEX(art_price,MATCH(C2519,art_ref,0))),""))</f>
        <v/>
      </c>
      <c r="K2519" s="39" t="str">
        <f>IF(OR(C2519="",NOT(ISNUMBER(E2519))),"",IFERROR(ROUND(N(INDEX(art_init,MATCH(C2519,art_ref,0)))+SUMIFS($E$5:E2519,$C$5:C2519,C2519,$B$5:B2519,"Entrée")-SUMIFS($E$5:E2519,$C$5:C2519,C2519,$B$5:B2519,"Sortie"),6),""))</f>
        <v/>
      </c>
      <c r="L2519" s="39" t="str">
        <f>IF(COUNTA(A2519:C2519,E2519)=0,"",IF(COUNTA(A2519:C2519,E2519)&lt;4,"Ligne incomplète",IF(NOT(ISNUMBER(A2519)),"Date invalide",IF(AND(B2519&lt;&gt;"Entrée",B2519&lt;&gt;"Sortie"),"Type inconnu",IF(ISNA(MATCH(C2519,art_ref,0)),"Référence inconnue",IF(OR(NOT(ISNUMBER(E2519)),N(E2519)&lt;=0),"Quantité invalide",IF(K2519&lt;0,"Stock négatif",IF(AND(ISNUMBER(A2518),A2519&lt;A2518),"Date hors ordre","OK"))))))))</f>
        <v/>
      </c>
      <c r="M2519" s="39" t="str">
        <f>IF(C2519="","",C2519&amp;"#"&amp;COUNTIF($C$5:C2519,C2519))</f>
        <v/>
      </c>
    </row>
    <row r="2520">
      <c r="A2520" s="41" t="n"/>
      <c r="B2520" s="37" t="n"/>
      <c r="C2520" s="37" t="n"/>
      <c r="D2520" s="39" t="str">
        <f>IF(C2520="","",IFERROR(INDEX(art_des,MATCH(C2520,art_ref,0))&amp;"","Référence inconnue"))</f>
        <v/>
      </c>
      <c r="E2520" s="37" t="n"/>
      <c r="F2520" s="39" t="str">
        <f>IF(C2520="","",IFERROR(INDEX(art_unit,MATCH(C2520,art_ref,0))&amp;"",""))</f>
        <v/>
      </c>
      <c r="G2520" s="37" t="n"/>
      <c r="H2520" s="37" t="n"/>
      <c r="I2520" s="37" t="n"/>
      <c r="J2520" s="40" t="str">
        <f>IF(OR(C2520="",NOT(ISNUMBER(E2520))),"",IFERROR(E2520*N(INDEX(art_price,MATCH(C2520,art_ref,0))),""))</f>
        <v/>
      </c>
      <c r="K2520" s="39" t="str">
        <f>IF(OR(C2520="",NOT(ISNUMBER(E2520))),"",IFERROR(ROUND(N(INDEX(art_init,MATCH(C2520,art_ref,0)))+SUMIFS($E$5:E2520,$C$5:C2520,C2520,$B$5:B2520,"Entrée")-SUMIFS($E$5:E2520,$C$5:C2520,C2520,$B$5:B2520,"Sortie"),6),""))</f>
        <v/>
      </c>
      <c r="L2520" s="39" t="str">
        <f>IF(COUNTA(A2520:C2520,E2520)=0,"",IF(COUNTA(A2520:C2520,E2520)&lt;4,"Ligne incomplète",IF(NOT(ISNUMBER(A2520)),"Date invalide",IF(AND(B2520&lt;&gt;"Entrée",B2520&lt;&gt;"Sortie"),"Type inconnu",IF(ISNA(MATCH(C2520,art_ref,0)),"Référence inconnue",IF(OR(NOT(ISNUMBER(E2520)),N(E2520)&lt;=0),"Quantité invalide",IF(K2520&lt;0,"Stock négatif",IF(AND(ISNUMBER(A2519),A2520&lt;A2519),"Date hors ordre","OK"))))))))</f>
        <v/>
      </c>
      <c r="M2520" s="39" t="str">
        <f>IF(C2520="","",C2520&amp;"#"&amp;COUNTIF($C$5:C2520,C2520))</f>
        <v/>
      </c>
    </row>
    <row r="2521">
      <c r="A2521" s="41" t="n"/>
      <c r="B2521" s="37" t="n"/>
      <c r="C2521" s="37" t="n"/>
      <c r="D2521" s="39" t="str">
        <f>IF(C2521="","",IFERROR(INDEX(art_des,MATCH(C2521,art_ref,0))&amp;"","Référence inconnue"))</f>
        <v/>
      </c>
      <c r="E2521" s="37" t="n"/>
      <c r="F2521" s="39" t="str">
        <f>IF(C2521="","",IFERROR(INDEX(art_unit,MATCH(C2521,art_ref,0))&amp;"",""))</f>
        <v/>
      </c>
      <c r="G2521" s="37" t="n"/>
      <c r="H2521" s="37" t="n"/>
      <c r="I2521" s="37" t="n"/>
      <c r="J2521" s="40" t="str">
        <f>IF(OR(C2521="",NOT(ISNUMBER(E2521))),"",IFERROR(E2521*N(INDEX(art_price,MATCH(C2521,art_ref,0))),""))</f>
        <v/>
      </c>
      <c r="K2521" s="39" t="str">
        <f>IF(OR(C2521="",NOT(ISNUMBER(E2521))),"",IFERROR(ROUND(N(INDEX(art_init,MATCH(C2521,art_ref,0)))+SUMIFS($E$5:E2521,$C$5:C2521,C2521,$B$5:B2521,"Entrée")-SUMIFS($E$5:E2521,$C$5:C2521,C2521,$B$5:B2521,"Sortie"),6),""))</f>
        <v/>
      </c>
      <c r="L2521" s="39" t="str">
        <f>IF(COUNTA(A2521:C2521,E2521)=0,"",IF(COUNTA(A2521:C2521,E2521)&lt;4,"Ligne incomplète",IF(NOT(ISNUMBER(A2521)),"Date invalide",IF(AND(B2521&lt;&gt;"Entrée",B2521&lt;&gt;"Sortie"),"Type inconnu",IF(ISNA(MATCH(C2521,art_ref,0)),"Référence inconnue",IF(OR(NOT(ISNUMBER(E2521)),N(E2521)&lt;=0),"Quantité invalide",IF(K2521&lt;0,"Stock négatif",IF(AND(ISNUMBER(A2520),A2521&lt;A2520),"Date hors ordre","OK"))))))))</f>
        <v/>
      </c>
      <c r="M2521" s="39" t="str">
        <f>IF(C2521="","",C2521&amp;"#"&amp;COUNTIF($C$5:C2521,C2521))</f>
        <v/>
      </c>
    </row>
    <row r="2522">
      <c r="A2522" s="41" t="n"/>
      <c r="B2522" s="37" t="n"/>
      <c r="C2522" s="37" t="n"/>
      <c r="D2522" s="39" t="str">
        <f>IF(C2522="","",IFERROR(INDEX(art_des,MATCH(C2522,art_ref,0))&amp;"","Référence inconnue"))</f>
        <v/>
      </c>
      <c r="E2522" s="37" t="n"/>
      <c r="F2522" s="39" t="str">
        <f>IF(C2522="","",IFERROR(INDEX(art_unit,MATCH(C2522,art_ref,0))&amp;"",""))</f>
        <v/>
      </c>
      <c r="G2522" s="37" t="n"/>
      <c r="H2522" s="37" t="n"/>
      <c r="I2522" s="37" t="n"/>
      <c r="J2522" s="40" t="str">
        <f>IF(OR(C2522="",NOT(ISNUMBER(E2522))),"",IFERROR(E2522*N(INDEX(art_price,MATCH(C2522,art_ref,0))),""))</f>
        <v/>
      </c>
      <c r="K2522" s="39" t="str">
        <f>IF(OR(C2522="",NOT(ISNUMBER(E2522))),"",IFERROR(ROUND(N(INDEX(art_init,MATCH(C2522,art_ref,0)))+SUMIFS($E$5:E2522,$C$5:C2522,C2522,$B$5:B2522,"Entrée")-SUMIFS($E$5:E2522,$C$5:C2522,C2522,$B$5:B2522,"Sortie"),6),""))</f>
        <v/>
      </c>
      <c r="L2522" s="39" t="str">
        <f>IF(COUNTA(A2522:C2522,E2522)=0,"",IF(COUNTA(A2522:C2522,E2522)&lt;4,"Ligne incomplète",IF(NOT(ISNUMBER(A2522)),"Date invalide",IF(AND(B2522&lt;&gt;"Entrée",B2522&lt;&gt;"Sortie"),"Type inconnu",IF(ISNA(MATCH(C2522,art_ref,0)),"Référence inconnue",IF(OR(NOT(ISNUMBER(E2522)),N(E2522)&lt;=0),"Quantité invalide",IF(K2522&lt;0,"Stock négatif",IF(AND(ISNUMBER(A2521),A2522&lt;A2521),"Date hors ordre","OK"))))))))</f>
        <v/>
      </c>
      <c r="M2522" s="39" t="str">
        <f>IF(C2522="","",C2522&amp;"#"&amp;COUNTIF($C$5:C2522,C2522))</f>
        <v/>
      </c>
    </row>
    <row r="2523">
      <c r="A2523" s="41" t="n"/>
      <c r="B2523" s="37" t="n"/>
      <c r="C2523" s="37" t="n"/>
      <c r="D2523" s="39" t="str">
        <f>IF(C2523="","",IFERROR(INDEX(art_des,MATCH(C2523,art_ref,0))&amp;"","Référence inconnue"))</f>
        <v/>
      </c>
      <c r="E2523" s="37" t="n"/>
      <c r="F2523" s="39" t="str">
        <f>IF(C2523="","",IFERROR(INDEX(art_unit,MATCH(C2523,art_ref,0))&amp;"",""))</f>
        <v/>
      </c>
      <c r="G2523" s="37" t="n"/>
      <c r="H2523" s="37" t="n"/>
      <c r="I2523" s="37" t="n"/>
      <c r="J2523" s="40" t="str">
        <f>IF(OR(C2523="",NOT(ISNUMBER(E2523))),"",IFERROR(E2523*N(INDEX(art_price,MATCH(C2523,art_ref,0))),""))</f>
        <v/>
      </c>
      <c r="K2523" s="39" t="str">
        <f>IF(OR(C2523="",NOT(ISNUMBER(E2523))),"",IFERROR(ROUND(N(INDEX(art_init,MATCH(C2523,art_ref,0)))+SUMIFS($E$5:E2523,$C$5:C2523,C2523,$B$5:B2523,"Entrée")-SUMIFS($E$5:E2523,$C$5:C2523,C2523,$B$5:B2523,"Sortie"),6),""))</f>
        <v/>
      </c>
      <c r="L2523" s="39" t="str">
        <f>IF(COUNTA(A2523:C2523,E2523)=0,"",IF(COUNTA(A2523:C2523,E2523)&lt;4,"Ligne incomplète",IF(NOT(ISNUMBER(A2523)),"Date invalide",IF(AND(B2523&lt;&gt;"Entrée",B2523&lt;&gt;"Sortie"),"Type inconnu",IF(ISNA(MATCH(C2523,art_ref,0)),"Référence inconnue",IF(OR(NOT(ISNUMBER(E2523)),N(E2523)&lt;=0),"Quantité invalide",IF(K2523&lt;0,"Stock négatif",IF(AND(ISNUMBER(A2522),A2523&lt;A2522),"Date hors ordre","OK"))))))))</f>
        <v/>
      </c>
      <c r="M2523" s="39" t="str">
        <f>IF(C2523="","",C2523&amp;"#"&amp;COUNTIF($C$5:C2523,C2523))</f>
        <v/>
      </c>
    </row>
    <row r="2524">
      <c r="A2524" s="41" t="n"/>
      <c r="B2524" s="37" t="n"/>
      <c r="C2524" s="37" t="n"/>
      <c r="D2524" s="39" t="str">
        <f>IF(C2524="","",IFERROR(INDEX(art_des,MATCH(C2524,art_ref,0))&amp;"","Référence inconnue"))</f>
        <v/>
      </c>
      <c r="E2524" s="37" t="n"/>
      <c r="F2524" s="39" t="str">
        <f>IF(C2524="","",IFERROR(INDEX(art_unit,MATCH(C2524,art_ref,0))&amp;"",""))</f>
        <v/>
      </c>
      <c r="G2524" s="37" t="n"/>
      <c r="H2524" s="37" t="n"/>
      <c r="I2524" s="37" t="n"/>
      <c r="J2524" s="40" t="str">
        <f>IF(OR(C2524="",NOT(ISNUMBER(E2524))),"",IFERROR(E2524*N(INDEX(art_price,MATCH(C2524,art_ref,0))),""))</f>
        <v/>
      </c>
      <c r="K2524" s="39" t="str">
        <f>IF(OR(C2524="",NOT(ISNUMBER(E2524))),"",IFERROR(ROUND(N(INDEX(art_init,MATCH(C2524,art_ref,0)))+SUMIFS($E$5:E2524,$C$5:C2524,C2524,$B$5:B2524,"Entrée")-SUMIFS($E$5:E2524,$C$5:C2524,C2524,$B$5:B2524,"Sortie"),6),""))</f>
        <v/>
      </c>
      <c r="L2524" s="39" t="str">
        <f>IF(COUNTA(A2524:C2524,E2524)=0,"",IF(COUNTA(A2524:C2524,E2524)&lt;4,"Ligne incomplète",IF(NOT(ISNUMBER(A2524)),"Date invalide",IF(AND(B2524&lt;&gt;"Entrée",B2524&lt;&gt;"Sortie"),"Type inconnu",IF(ISNA(MATCH(C2524,art_ref,0)),"Référence inconnue",IF(OR(NOT(ISNUMBER(E2524)),N(E2524)&lt;=0),"Quantité invalide",IF(K2524&lt;0,"Stock négatif",IF(AND(ISNUMBER(A2523),A2524&lt;A2523),"Date hors ordre","OK"))))))))</f>
        <v/>
      </c>
      <c r="M2524" s="39" t="str">
        <f>IF(C2524="","",C2524&amp;"#"&amp;COUNTIF($C$5:C2524,C2524))</f>
        <v/>
      </c>
    </row>
    <row r="2525">
      <c r="A2525" s="41" t="n"/>
      <c r="B2525" s="37" t="n"/>
      <c r="C2525" s="37" t="n"/>
      <c r="D2525" s="39" t="str">
        <f>IF(C2525="","",IFERROR(INDEX(art_des,MATCH(C2525,art_ref,0))&amp;"","Référence inconnue"))</f>
        <v/>
      </c>
      <c r="E2525" s="37" t="n"/>
      <c r="F2525" s="39" t="str">
        <f>IF(C2525="","",IFERROR(INDEX(art_unit,MATCH(C2525,art_ref,0))&amp;"",""))</f>
        <v/>
      </c>
      <c r="G2525" s="37" t="n"/>
      <c r="H2525" s="37" t="n"/>
      <c r="I2525" s="37" t="n"/>
      <c r="J2525" s="40" t="str">
        <f>IF(OR(C2525="",NOT(ISNUMBER(E2525))),"",IFERROR(E2525*N(INDEX(art_price,MATCH(C2525,art_ref,0))),""))</f>
        <v/>
      </c>
      <c r="K2525" s="39" t="str">
        <f>IF(OR(C2525="",NOT(ISNUMBER(E2525))),"",IFERROR(ROUND(N(INDEX(art_init,MATCH(C2525,art_ref,0)))+SUMIFS($E$5:E2525,$C$5:C2525,C2525,$B$5:B2525,"Entrée")-SUMIFS($E$5:E2525,$C$5:C2525,C2525,$B$5:B2525,"Sortie"),6),""))</f>
        <v/>
      </c>
      <c r="L2525" s="39" t="str">
        <f>IF(COUNTA(A2525:C2525,E2525)=0,"",IF(COUNTA(A2525:C2525,E2525)&lt;4,"Ligne incomplète",IF(NOT(ISNUMBER(A2525)),"Date invalide",IF(AND(B2525&lt;&gt;"Entrée",B2525&lt;&gt;"Sortie"),"Type inconnu",IF(ISNA(MATCH(C2525,art_ref,0)),"Référence inconnue",IF(OR(NOT(ISNUMBER(E2525)),N(E2525)&lt;=0),"Quantité invalide",IF(K2525&lt;0,"Stock négatif",IF(AND(ISNUMBER(A2524),A2525&lt;A2524),"Date hors ordre","OK"))))))))</f>
        <v/>
      </c>
      <c r="M2525" s="39" t="str">
        <f>IF(C2525="","",C2525&amp;"#"&amp;COUNTIF($C$5:C2525,C2525))</f>
        <v/>
      </c>
    </row>
    <row r="2526">
      <c r="A2526" s="41" t="n"/>
      <c r="B2526" s="37" t="n"/>
      <c r="C2526" s="37" t="n"/>
      <c r="D2526" s="39" t="str">
        <f>IF(C2526="","",IFERROR(INDEX(art_des,MATCH(C2526,art_ref,0))&amp;"","Référence inconnue"))</f>
        <v/>
      </c>
      <c r="E2526" s="37" t="n"/>
      <c r="F2526" s="39" t="str">
        <f>IF(C2526="","",IFERROR(INDEX(art_unit,MATCH(C2526,art_ref,0))&amp;"",""))</f>
        <v/>
      </c>
      <c r="G2526" s="37" t="n"/>
      <c r="H2526" s="37" t="n"/>
      <c r="I2526" s="37" t="n"/>
      <c r="J2526" s="40" t="str">
        <f>IF(OR(C2526="",NOT(ISNUMBER(E2526))),"",IFERROR(E2526*N(INDEX(art_price,MATCH(C2526,art_ref,0))),""))</f>
        <v/>
      </c>
      <c r="K2526" s="39" t="str">
        <f>IF(OR(C2526="",NOT(ISNUMBER(E2526))),"",IFERROR(ROUND(N(INDEX(art_init,MATCH(C2526,art_ref,0)))+SUMIFS($E$5:E2526,$C$5:C2526,C2526,$B$5:B2526,"Entrée")-SUMIFS($E$5:E2526,$C$5:C2526,C2526,$B$5:B2526,"Sortie"),6),""))</f>
        <v/>
      </c>
      <c r="L2526" s="39" t="str">
        <f>IF(COUNTA(A2526:C2526,E2526)=0,"",IF(COUNTA(A2526:C2526,E2526)&lt;4,"Ligne incomplète",IF(NOT(ISNUMBER(A2526)),"Date invalide",IF(AND(B2526&lt;&gt;"Entrée",B2526&lt;&gt;"Sortie"),"Type inconnu",IF(ISNA(MATCH(C2526,art_ref,0)),"Référence inconnue",IF(OR(NOT(ISNUMBER(E2526)),N(E2526)&lt;=0),"Quantité invalide",IF(K2526&lt;0,"Stock négatif",IF(AND(ISNUMBER(A2525),A2526&lt;A2525),"Date hors ordre","OK"))))))))</f>
        <v/>
      </c>
      <c r="M2526" s="39" t="str">
        <f>IF(C2526="","",C2526&amp;"#"&amp;COUNTIF($C$5:C2526,C2526))</f>
        <v/>
      </c>
    </row>
    <row r="2527">
      <c r="A2527" s="41" t="n"/>
      <c r="B2527" s="37" t="n"/>
      <c r="C2527" s="37" t="n"/>
      <c r="D2527" s="39" t="str">
        <f>IF(C2527="","",IFERROR(INDEX(art_des,MATCH(C2527,art_ref,0))&amp;"","Référence inconnue"))</f>
        <v/>
      </c>
      <c r="E2527" s="37" t="n"/>
      <c r="F2527" s="39" t="str">
        <f>IF(C2527="","",IFERROR(INDEX(art_unit,MATCH(C2527,art_ref,0))&amp;"",""))</f>
        <v/>
      </c>
      <c r="G2527" s="37" t="n"/>
      <c r="H2527" s="37" t="n"/>
      <c r="I2527" s="37" t="n"/>
      <c r="J2527" s="40" t="str">
        <f>IF(OR(C2527="",NOT(ISNUMBER(E2527))),"",IFERROR(E2527*N(INDEX(art_price,MATCH(C2527,art_ref,0))),""))</f>
        <v/>
      </c>
      <c r="K2527" s="39" t="str">
        <f>IF(OR(C2527="",NOT(ISNUMBER(E2527))),"",IFERROR(ROUND(N(INDEX(art_init,MATCH(C2527,art_ref,0)))+SUMIFS($E$5:E2527,$C$5:C2527,C2527,$B$5:B2527,"Entrée")-SUMIFS($E$5:E2527,$C$5:C2527,C2527,$B$5:B2527,"Sortie"),6),""))</f>
        <v/>
      </c>
      <c r="L2527" s="39" t="str">
        <f>IF(COUNTA(A2527:C2527,E2527)=0,"",IF(COUNTA(A2527:C2527,E2527)&lt;4,"Ligne incomplète",IF(NOT(ISNUMBER(A2527)),"Date invalide",IF(AND(B2527&lt;&gt;"Entrée",B2527&lt;&gt;"Sortie"),"Type inconnu",IF(ISNA(MATCH(C2527,art_ref,0)),"Référence inconnue",IF(OR(NOT(ISNUMBER(E2527)),N(E2527)&lt;=0),"Quantité invalide",IF(K2527&lt;0,"Stock négatif",IF(AND(ISNUMBER(A2526),A2527&lt;A2526),"Date hors ordre","OK"))))))))</f>
        <v/>
      </c>
      <c r="M2527" s="39" t="str">
        <f>IF(C2527="","",C2527&amp;"#"&amp;COUNTIF($C$5:C2527,C2527))</f>
        <v/>
      </c>
    </row>
    <row r="2528">
      <c r="A2528" s="41" t="n"/>
      <c r="B2528" s="37" t="n"/>
      <c r="C2528" s="37" t="n"/>
      <c r="D2528" s="39" t="str">
        <f>IF(C2528="","",IFERROR(INDEX(art_des,MATCH(C2528,art_ref,0))&amp;"","Référence inconnue"))</f>
        <v/>
      </c>
      <c r="E2528" s="37" t="n"/>
      <c r="F2528" s="39" t="str">
        <f>IF(C2528="","",IFERROR(INDEX(art_unit,MATCH(C2528,art_ref,0))&amp;"",""))</f>
        <v/>
      </c>
      <c r="G2528" s="37" t="n"/>
      <c r="H2528" s="37" t="n"/>
      <c r="I2528" s="37" t="n"/>
      <c r="J2528" s="40" t="str">
        <f>IF(OR(C2528="",NOT(ISNUMBER(E2528))),"",IFERROR(E2528*N(INDEX(art_price,MATCH(C2528,art_ref,0))),""))</f>
        <v/>
      </c>
      <c r="K2528" s="39" t="str">
        <f>IF(OR(C2528="",NOT(ISNUMBER(E2528))),"",IFERROR(ROUND(N(INDEX(art_init,MATCH(C2528,art_ref,0)))+SUMIFS($E$5:E2528,$C$5:C2528,C2528,$B$5:B2528,"Entrée")-SUMIFS($E$5:E2528,$C$5:C2528,C2528,$B$5:B2528,"Sortie"),6),""))</f>
        <v/>
      </c>
      <c r="L2528" s="39" t="str">
        <f>IF(COUNTA(A2528:C2528,E2528)=0,"",IF(COUNTA(A2528:C2528,E2528)&lt;4,"Ligne incomplète",IF(NOT(ISNUMBER(A2528)),"Date invalide",IF(AND(B2528&lt;&gt;"Entrée",B2528&lt;&gt;"Sortie"),"Type inconnu",IF(ISNA(MATCH(C2528,art_ref,0)),"Référence inconnue",IF(OR(NOT(ISNUMBER(E2528)),N(E2528)&lt;=0),"Quantité invalide",IF(K2528&lt;0,"Stock négatif",IF(AND(ISNUMBER(A2527),A2528&lt;A2527),"Date hors ordre","OK"))))))))</f>
        <v/>
      </c>
      <c r="M2528" s="39" t="str">
        <f>IF(C2528="","",C2528&amp;"#"&amp;COUNTIF($C$5:C2528,C2528))</f>
        <v/>
      </c>
    </row>
    <row r="2529">
      <c r="A2529" s="41" t="n"/>
      <c r="B2529" s="37" t="n"/>
      <c r="C2529" s="37" t="n"/>
      <c r="D2529" s="39" t="str">
        <f>IF(C2529="","",IFERROR(INDEX(art_des,MATCH(C2529,art_ref,0))&amp;"","Référence inconnue"))</f>
        <v/>
      </c>
      <c r="E2529" s="37" t="n"/>
      <c r="F2529" s="39" t="str">
        <f>IF(C2529="","",IFERROR(INDEX(art_unit,MATCH(C2529,art_ref,0))&amp;"",""))</f>
        <v/>
      </c>
      <c r="G2529" s="37" t="n"/>
      <c r="H2529" s="37" t="n"/>
      <c r="I2529" s="37" t="n"/>
      <c r="J2529" s="40" t="str">
        <f>IF(OR(C2529="",NOT(ISNUMBER(E2529))),"",IFERROR(E2529*N(INDEX(art_price,MATCH(C2529,art_ref,0))),""))</f>
        <v/>
      </c>
      <c r="K2529" s="39" t="str">
        <f>IF(OR(C2529="",NOT(ISNUMBER(E2529))),"",IFERROR(ROUND(N(INDEX(art_init,MATCH(C2529,art_ref,0)))+SUMIFS($E$5:E2529,$C$5:C2529,C2529,$B$5:B2529,"Entrée")-SUMIFS($E$5:E2529,$C$5:C2529,C2529,$B$5:B2529,"Sortie"),6),""))</f>
        <v/>
      </c>
      <c r="L2529" s="39" t="str">
        <f>IF(COUNTA(A2529:C2529,E2529)=0,"",IF(COUNTA(A2529:C2529,E2529)&lt;4,"Ligne incomplète",IF(NOT(ISNUMBER(A2529)),"Date invalide",IF(AND(B2529&lt;&gt;"Entrée",B2529&lt;&gt;"Sortie"),"Type inconnu",IF(ISNA(MATCH(C2529,art_ref,0)),"Référence inconnue",IF(OR(NOT(ISNUMBER(E2529)),N(E2529)&lt;=0),"Quantité invalide",IF(K2529&lt;0,"Stock négatif",IF(AND(ISNUMBER(A2528),A2529&lt;A2528),"Date hors ordre","OK"))))))))</f>
        <v/>
      </c>
      <c r="M2529" s="39" t="str">
        <f>IF(C2529="","",C2529&amp;"#"&amp;COUNTIF($C$5:C2529,C2529))</f>
        <v/>
      </c>
    </row>
    <row r="2530">
      <c r="A2530" s="41" t="n"/>
      <c r="B2530" s="37" t="n"/>
      <c r="C2530" s="37" t="n"/>
      <c r="D2530" s="39" t="str">
        <f>IF(C2530="","",IFERROR(INDEX(art_des,MATCH(C2530,art_ref,0))&amp;"","Référence inconnue"))</f>
        <v/>
      </c>
      <c r="E2530" s="37" t="n"/>
      <c r="F2530" s="39" t="str">
        <f>IF(C2530="","",IFERROR(INDEX(art_unit,MATCH(C2530,art_ref,0))&amp;"",""))</f>
        <v/>
      </c>
      <c r="G2530" s="37" t="n"/>
      <c r="H2530" s="37" t="n"/>
      <c r="I2530" s="37" t="n"/>
      <c r="J2530" s="40" t="str">
        <f>IF(OR(C2530="",NOT(ISNUMBER(E2530))),"",IFERROR(E2530*N(INDEX(art_price,MATCH(C2530,art_ref,0))),""))</f>
        <v/>
      </c>
      <c r="K2530" s="39" t="str">
        <f>IF(OR(C2530="",NOT(ISNUMBER(E2530))),"",IFERROR(ROUND(N(INDEX(art_init,MATCH(C2530,art_ref,0)))+SUMIFS($E$5:E2530,$C$5:C2530,C2530,$B$5:B2530,"Entrée")-SUMIFS($E$5:E2530,$C$5:C2530,C2530,$B$5:B2530,"Sortie"),6),""))</f>
        <v/>
      </c>
      <c r="L2530" s="39" t="str">
        <f>IF(COUNTA(A2530:C2530,E2530)=0,"",IF(COUNTA(A2530:C2530,E2530)&lt;4,"Ligne incomplète",IF(NOT(ISNUMBER(A2530)),"Date invalide",IF(AND(B2530&lt;&gt;"Entrée",B2530&lt;&gt;"Sortie"),"Type inconnu",IF(ISNA(MATCH(C2530,art_ref,0)),"Référence inconnue",IF(OR(NOT(ISNUMBER(E2530)),N(E2530)&lt;=0),"Quantité invalide",IF(K2530&lt;0,"Stock négatif",IF(AND(ISNUMBER(A2529),A2530&lt;A2529),"Date hors ordre","OK"))))))))</f>
        <v/>
      </c>
      <c r="M2530" s="39" t="str">
        <f>IF(C2530="","",C2530&amp;"#"&amp;COUNTIF($C$5:C2530,C2530))</f>
        <v/>
      </c>
    </row>
    <row r="2531">
      <c r="A2531" s="41" t="n"/>
      <c r="B2531" s="37" t="n"/>
      <c r="C2531" s="37" t="n"/>
      <c r="D2531" s="39" t="str">
        <f>IF(C2531="","",IFERROR(INDEX(art_des,MATCH(C2531,art_ref,0))&amp;"","Référence inconnue"))</f>
        <v/>
      </c>
      <c r="E2531" s="37" t="n"/>
      <c r="F2531" s="39" t="str">
        <f>IF(C2531="","",IFERROR(INDEX(art_unit,MATCH(C2531,art_ref,0))&amp;"",""))</f>
        <v/>
      </c>
      <c r="G2531" s="37" t="n"/>
      <c r="H2531" s="37" t="n"/>
      <c r="I2531" s="37" t="n"/>
      <c r="J2531" s="40" t="str">
        <f>IF(OR(C2531="",NOT(ISNUMBER(E2531))),"",IFERROR(E2531*N(INDEX(art_price,MATCH(C2531,art_ref,0))),""))</f>
        <v/>
      </c>
      <c r="K2531" s="39" t="str">
        <f>IF(OR(C2531="",NOT(ISNUMBER(E2531))),"",IFERROR(ROUND(N(INDEX(art_init,MATCH(C2531,art_ref,0)))+SUMIFS($E$5:E2531,$C$5:C2531,C2531,$B$5:B2531,"Entrée")-SUMIFS($E$5:E2531,$C$5:C2531,C2531,$B$5:B2531,"Sortie"),6),""))</f>
        <v/>
      </c>
      <c r="L2531" s="39" t="str">
        <f>IF(COUNTA(A2531:C2531,E2531)=0,"",IF(COUNTA(A2531:C2531,E2531)&lt;4,"Ligne incomplète",IF(NOT(ISNUMBER(A2531)),"Date invalide",IF(AND(B2531&lt;&gt;"Entrée",B2531&lt;&gt;"Sortie"),"Type inconnu",IF(ISNA(MATCH(C2531,art_ref,0)),"Référence inconnue",IF(OR(NOT(ISNUMBER(E2531)),N(E2531)&lt;=0),"Quantité invalide",IF(K2531&lt;0,"Stock négatif",IF(AND(ISNUMBER(A2530),A2531&lt;A2530),"Date hors ordre","OK"))))))))</f>
        <v/>
      </c>
      <c r="M2531" s="39" t="str">
        <f>IF(C2531="","",C2531&amp;"#"&amp;COUNTIF($C$5:C2531,C2531))</f>
        <v/>
      </c>
    </row>
    <row r="2532">
      <c r="A2532" s="41" t="n"/>
      <c r="B2532" s="37" t="n"/>
      <c r="C2532" s="37" t="n"/>
      <c r="D2532" s="39" t="str">
        <f>IF(C2532="","",IFERROR(INDEX(art_des,MATCH(C2532,art_ref,0))&amp;"","Référence inconnue"))</f>
        <v/>
      </c>
      <c r="E2532" s="37" t="n"/>
      <c r="F2532" s="39" t="str">
        <f>IF(C2532="","",IFERROR(INDEX(art_unit,MATCH(C2532,art_ref,0))&amp;"",""))</f>
        <v/>
      </c>
      <c r="G2532" s="37" t="n"/>
      <c r="H2532" s="37" t="n"/>
      <c r="I2532" s="37" t="n"/>
      <c r="J2532" s="40" t="str">
        <f>IF(OR(C2532="",NOT(ISNUMBER(E2532))),"",IFERROR(E2532*N(INDEX(art_price,MATCH(C2532,art_ref,0))),""))</f>
        <v/>
      </c>
      <c r="K2532" s="39" t="str">
        <f>IF(OR(C2532="",NOT(ISNUMBER(E2532))),"",IFERROR(ROUND(N(INDEX(art_init,MATCH(C2532,art_ref,0)))+SUMIFS($E$5:E2532,$C$5:C2532,C2532,$B$5:B2532,"Entrée")-SUMIFS($E$5:E2532,$C$5:C2532,C2532,$B$5:B2532,"Sortie"),6),""))</f>
        <v/>
      </c>
      <c r="L2532" s="39" t="str">
        <f>IF(COUNTA(A2532:C2532,E2532)=0,"",IF(COUNTA(A2532:C2532,E2532)&lt;4,"Ligne incomplète",IF(NOT(ISNUMBER(A2532)),"Date invalide",IF(AND(B2532&lt;&gt;"Entrée",B2532&lt;&gt;"Sortie"),"Type inconnu",IF(ISNA(MATCH(C2532,art_ref,0)),"Référence inconnue",IF(OR(NOT(ISNUMBER(E2532)),N(E2532)&lt;=0),"Quantité invalide",IF(K2532&lt;0,"Stock négatif",IF(AND(ISNUMBER(A2531),A2532&lt;A2531),"Date hors ordre","OK"))))))))</f>
        <v/>
      </c>
      <c r="M2532" s="39" t="str">
        <f>IF(C2532="","",C2532&amp;"#"&amp;COUNTIF($C$5:C2532,C2532))</f>
        <v/>
      </c>
    </row>
    <row r="2533">
      <c r="A2533" s="41" t="n"/>
      <c r="B2533" s="37" t="n"/>
      <c r="C2533" s="37" t="n"/>
      <c r="D2533" s="39" t="str">
        <f>IF(C2533="","",IFERROR(INDEX(art_des,MATCH(C2533,art_ref,0))&amp;"","Référence inconnue"))</f>
        <v/>
      </c>
      <c r="E2533" s="37" t="n"/>
      <c r="F2533" s="39" t="str">
        <f>IF(C2533="","",IFERROR(INDEX(art_unit,MATCH(C2533,art_ref,0))&amp;"",""))</f>
        <v/>
      </c>
      <c r="G2533" s="37" t="n"/>
      <c r="H2533" s="37" t="n"/>
      <c r="I2533" s="37" t="n"/>
      <c r="J2533" s="40" t="str">
        <f>IF(OR(C2533="",NOT(ISNUMBER(E2533))),"",IFERROR(E2533*N(INDEX(art_price,MATCH(C2533,art_ref,0))),""))</f>
        <v/>
      </c>
      <c r="K2533" s="39" t="str">
        <f>IF(OR(C2533="",NOT(ISNUMBER(E2533))),"",IFERROR(ROUND(N(INDEX(art_init,MATCH(C2533,art_ref,0)))+SUMIFS($E$5:E2533,$C$5:C2533,C2533,$B$5:B2533,"Entrée")-SUMIFS($E$5:E2533,$C$5:C2533,C2533,$B$5:B2533,"Sortie"),6),""))</f>
        <v/>
      </c>
      <c r="L2533" s="39" t="str">
        <f>IF(COUNTA(A2533:C2533,E2533)=0,"",IF(COUNTA(A2533:C2533,E2533)&lt;4,"Ligne incomplète",IF(NOT(ISNUMBER(A2533)),"Date invalide",IF(AND(B2533&lt;&gt;"Entrée",B2533&lt;&gt;"Sortie"),"Type inconnu",IF(ISNA(MATCH(C2533,art_ref,0)),"Référence inconnue",IF(OR(NOT(ISNUMBER(E2533)),N(E2533)&lt;=0),"Quantité invalide",IF(K2533&lt;0,"Stock négatif",IF(AND(ISNUMBER(A2532),A2533&lt;A2532),"Date hors ordre","OK"))))))))</f>
        <v/>
      </c>
      <c r="M2533" s="39" t="str">
        <f>IF(C2533="","",C2533&amp;"#"&amp;COUNTIF($C$5:C2533,C2533))</f>
        <v/>
      </c>
    </row>
    <row r="2534">
      <c r="A2534" s="41" t="n"/>
      <c r="B2534" s="37" t="n"/>
      <c r="C2534" s="37" t="n"/>
      <c r="D2534" s="39" t="str">
        <f>IF(C2534="","",IFERROR(INDEX(art_des,MATCH(C2534,art_ref,0))&amp;"","Référence inconnue"))</f>
        <v/>
      </c>
      <c r="E2534" s="37" t="n"/>
      <c r="F2534" s="39" t="str">
        <f>IF(C2534="","",IFERROR(INDEX(art_unit,MATCH(C2534,art_ref,0))&amp;"",""))</f>
        <v/>
      </c>
      <c r="G2534" s="37" t="n"/>
      <c r="H2534" s="37" t="n"/>
      <c r="I2534" s="37" t="n"/>
      <c r="J2534" s="40" t="str">
        <f>IF(OR(C2534="",NOT(ISNUMBER(E2534))),"",IFERROR(E2534*N(INDEX(art_price,MATCH(C2534,art_ref,0))),""))</f>
        <v/>
      </c>
      <c r="K2534" s="39" t="str">
        <f>IF(OR(C2534="",NOT(ISNUMBER(E2534))),"",IFERROR(ROUND(N(INDEX(art_init,MATCH(C2534,art_ref,0)))+SUMIFS($E$5:E2534,$C$5:C2534,C2534,$B$5:B2534,"Entrée")-SUMIFS($E$5:E2534,$C$5:C2534,C2534,$B$5:B2534,"Sortie"),6),""))</f>
        <v/>
      </c>
      <c r="L2534" s="39" t="str">
        <f>IF(COUNTA(A2534:C2534,E2534)=0,"",IF(COUNTA(A2534:C2534,E2534)&lt;4,"Ligne incomplète",IF(NOT(ISNUMBER(A2534)),"Date invalide",IF(AND(B2534&lt;&gt;"Entrée",B2534&lt;&gt;"Sortie"),"Type inconnu",IF(ISNA(MATCH(C2534,art_ref,0)),"Référence inconnue",IF(OR(NOT(ISNUMBER(E2534)),N(E2534)&lt;=0),"Quantité invalide",IF(K2534&lt;0,"Stock négatif",IF(AND(ISNUMBER(A2533),A2534&lt;A2533),"Date hors ordre","OK"))))))))</f>
        <v/>
      </c>
      <c r="M2534" s="39" t="str">
        <f>IF(C2534="","",C2534&amp;"#"&amp;COUNTIF($C$5:C2534,C2534))</f>
        <v/>
      </c>
    </row>
    <row r="2535">
      <c r="A2535" s="41" t="n"/>
      <c r="B2535" s="37" t="n"/>
      <c r="C2535" s="37" t="n"/>
      <c r="D2535" s="39" t="str">
        <f>IF(C2535="","",IFERROR(INDEX(art_des,MATCH(C2535,art_ref,0))&amp;"","Référence inconnue"))</f>
        <v/>
      </c>
      <c r="E2535" s="37" t="n"/>
      <c r="F2535" s="39" t="str">
        <f>IF(C2535="","",IFERROR(INDEX(art_unit,MATCH(C2535,art_ref,0))&amp;"",""))</f>
        <v/>
      </c>
      <c r="G2535" s="37" t="n"/>
      <c r="H2535" s="37" t="n"/>
      <c r="I2535" s="37" t="n"/>
      <c r="J2535" s="40" t="str">
        <f>IF(OR(C2535="",NOT(ISNUMBER(E2535))),"",IFERROR(E2535*N(INDEX(art_price,MATCH(C2535,art_ref,0))),""))</f>
        <v/>
      </c>
      <c r="K2535" s="39" t="str">
        <f>IF(OR(C2535="",NOT(ISNUMBER(E2535))),"",IFERROR(ROUND(N(INDEX(art_init,MATCH(C2535,art_ref,0)))+SUMIFS($E$5:E2535,$C$5:C2535,C2535,$B$5:B2535,"Entrée")-SUMIFS($E$5:E2535,$C$5:C2535,C2535,$B$5:B2535,"Sortie"),6),""))</f>
        <v/>
      </c>
      <c r="L2535" s="39" t="str">
        <f>IF(COUNTA(A2535:C2535,E2535)=0,"",IF(COUNTA(A2535:C2535,E2535)&lt;4,"Ligne incomplète",IF(NOT(ISNUMBER(A2535)),"Date invalide",IF(AND(B2535&lt;&gt;"Entrée",B2535&lt;&gt;"Sortie"),"Type inconnu",IF(ISNA(MATCH(C2535,art_ref,0)),"Référence inconnue",IF(OR(NOT(ISNUMBER(E2535)),N(E2535)&lt;=0),"Quantité invalide",IF(K2535&lt;0,"Stock négatif",IF(AND(ISNUMBER(A2534),A2535&lt;A2534),"Date hors ordre","OK"))))))))</f>
        <v/>
      </c>
      <c r="M2535" s="39" t="str">
        <f>IF(C2535="","",C2535&amp;"#"&amp;COUNTIF($C$5:C2535,C2535))</f>
        <v/>
      </c>
    </row>
    <row r="2536">
      <c r="A2536" s="41" t="n"/>
      <c r="B2536" s="37" t="n"/>
      <c r="C2536" s="37" t="n"/>
      <c r="D2536" s="39" t="str">
        <f>IF(C2536="","",IFERROR(INDEX(art_des,MATCH(C2536,art_ref,0))&amp;"","Référence inconnue"))</f>
        <v/>
      </c>
      <c r="E2536" s="37" t="n"/>
      <c r="F2536" s="39" t="str">
        <f>IF(C2536="","",IFERROR(INDEX(art_unit,MATCH(C2536,art_ref,0))&amp;"",""))</f>
        <v/>
      </c>
      <c r="G2536" s="37" t="n"/>
      <c r="H2536" s="37" t="n"/>
      <c r="I2536" s="37" t="n"/>
      <c r="J2536" s="40" t="str">
        <f>IF(OR(C2536="",NOT(ISNUMBER(E2536))),"",IFERROR(E2536*N(INDEX(art_price,MATCH(C2536,art_ref,0))),""))</f>
        <v/>
      </c>
      <c r="K2536" s="39" t="str">
        <f>IF(OR(C2536="",NOT(ISNUMBER(E2536))),"",IFERROR(ROUND(N(INDEX(art_init,MATCH(C2536,art_ref,0)))+SUMIFS($E$5:E2536,$C$5:C2536,C2536,$B$5:B2536,"Entrée")-SUMIFS($E$5:E2536,$C$5:C2536,C2536,$B$5:B2536,"Sortie"),6),""))</f>
        <v/>
      </c>
      <c r="L2536" s="39" t="str">
        <f>IF(COUNTA(A2536:C2536,E2536)=0,"",IF(COUNTA(A2536:C2536,E2536)&lt;4,"Ligne incomplète",IF(NOT(ISNUMBER(A2536)),"Date invalide",IF(AND(B2536&lt;&gt;"Entrée",B2536&lt;&gt;"Sortie"),"Type inconnu",IF(ISNA(MATCH(C2536,art_ref,0)),"Référence inconnue",IF(OR(NOT(ISNUMBER(E2536)),N(E2536)&lt;=0),"Quantité invalide",IF(K2536&lt;0,"Stock négatif",IF(AND(ISNUMBER(A2535),A2536&lt;A2535),"Date hors ordre","OK"))))))))</f>
        <v/>
      </c>
      <c r="M2536" s="39" t="str">
        <f>IF(C2536="","",C2536&amp;"#"&amp;COUNTIF($C$5:C2536,C2536))</f>
        <v/>
      </c>
    </row>
    <row r="2537">
      <c r="A2537" s="41" t="n"/>
      <c r="B2537" s="37" t="n"/>
      <c r="C2537" s="37" t="n"/>
      <c r="D2537" s="39" t="str">
        <f>IF(C2537="","",IFERROR(INDEX(art_des,MATCH(C2537,art_ref,0))&amp;"","Référence inconnue"))</f>
        <v/>
      </c>
      <c r="E2537" s="37" t="n"/>
      <c r="F2537" s="39" t="str">
        <f>IF(C2537="","",IFERROR(INDEX(art_unit,MATCH(C2537,art_ref,0))&amp;"",""))</f>
        <v/>
      </c>
      <c r="G2537" s="37" t="n"/>
      <c r="H2537" s="37" t="n"/>
      <c r="I2537" s="37" t="n"/>
      <c r="J2537" s="40" t="str">
        <f>IF(OR(C2537="",NOT(ISNUMBER(E2537))),"",IFERROR(E2537*N(INDEX(art_price,MATCH(C2537,art_ref,0))),""))</f>
        <v/>
      </c>
      <c r="K2537" s="39" t="str">
        <f>IF(OR(C2537="",NOT(ISNUMBER(E2537))),"",IFERROR(ROUND(N(INDEX(art_init,MATCH(C2537,art_ref,0)))+SUMIFS($E$5:E2537,$C$5:C2537,C2537,$B$5:B2537,"Entrée")-SUMIFS($E$5:E2537,$C$5:C2537,C2537,$B$5:B2537,"Sortie"),6),""))</f>
        <v/>
      </c>
      <c r="L2537" s="39" t="str">
        <f>IF(COUNTA(A2537:C2537,E2537)=0,"",IF(COUNTA(A2537:C2537,E2537)&lt;4,"Ligne incomplète",IF(NOT(ISNUMBER(A2537)),"Date invalide",IF(AND(B2537&lt;&gt;"Entrée",B2537&lt;&gt;"Sortie"),"Type inconnu",IF(ISNA(MATCH(C2537,art_ref,0)),"Référence inconnue",IF(OR(NOT(ISNUMBER(E2537)),N(E2537)&lt;=0),"Quantité invalide",IF(K2537&lt;0,"Stock négatif",IF(AND(ISNUMBER(A2536),A2537&lt;A2536),"Date hors ordre","OK"))))))))</f>
        <v/>
      </c>
      <c r="M2537" s="39" t="str">
        <f>IF(C2537="","",C2537&amp;"#"&amp;COUNTIF($C$5:C2537,C2537))</f>
        <v/>
      </c>
    </row>
    <row r="2538">
      <c r="A2538" s="41" t="n"/>
      <c r="B2538" s="37" t="n"/>
      <c r="C2538" s="37" t="n"/>
      <c r="D2538" s="39" t="str">
        <f>IF(C2538="","",IFERROR(INDEX(art_des,MATCH(C2538,art_ref,0))&amp;"","Référence inconnue"))</f>
        <v/>
      </c>
      <c r="E2538" s="37" t="n"/>
      <c r="F2538" s="39" t="str">
        <f>IF(C2538="","",IFERROR(INDEX(art_unit,MATCH(C2538,art_ref,0))&amp;"",""))</f>
        <v/>
      </c>
      <c r="G2538" s="37" t="n"/>
      <c r="H2538" s="37" t="n"/>
      <c r="I2538" s="37" t="n"/>
      <c r="J2538" s="40" t="str">
        <f>IF(OR(C2538="",NOT(ISNUMBER(E2538))),"",IFERROR(E2538*N(INDEX(art_price,MATCH(C2538,art_ref,0))),""))</f>
        <v/>
      </c>
      <c r="K2538" s="39" t="str">
        <f>IF(OR(C2538="",NOT(ISNUMBER(E2538))),"",IFERROR(ROUND(N(INDEX(art_init,MATCH(C2538,art_ref,0)))+SUMIFS($E$5:E2538,$C$5:C2538,C2538,$B$5:B2538,"Entrée")-SUMIFS($E$5:E2538,$C$5:C2538,C2538,$B$5:B2538,"Sortie"),6),""))</f>
        <v/>
      </c>
      <c r="L2538" s="39" t="str">
        <f>IF(COUNTA(A2538:C2538,E2538)=0,"",IF(COUNTA(A2538:C2538,E2538)&lt;4,"Ligne incomplète",IF(NOT(ISNUMBER(A2538)),"Date invalide",IF(AND(B2538&lt;&gt;"Entrée",B2538&lt;&gt;"Sortie"),"Type inconnu",IF(ISNA(MATCH(C2538,art_ref,0)),"Référence inconnue",IF(OR(NOT(ISNUMBER(E2538)),N(E2538)&lt;=0),"Quantité invalide",IF(K2538&lt;0,"Stock négatif",IF(AND(ISNUMBER(A2537),A2538&lt;A2537),"Date hors ordre","OK"))))))))</f>
        <v/>
      </c>
      <c r="M2538" s="39" t="str">
        <f>IF(C2538="","",C2538&amp;"#"&amp;COUNTIF($C$5:C2538,C2538))</f>
        <v/>
      </c>
    </row>
    <row r="2539">
      <c r="A2539" s="41" t="n"/>
      <c r="B2539" s="37" t="n"/>
      <c r="C2539" s="37" t="n"/>
      <c r="D2539" s="39" t="str">
        <f>IF(C2539="","",IFERROR(INDEX(art_des,MATCH(C2539,art_ref,0))&amp;"","Référence inconnue"))</f>
        <v/>
      </c>
      <c r="E2539" s="37" t="n"/>
      <c r="F2539" s="39" t="str">
        <f>IF(C2539="","",IFERROR(INDEX(art_unit,MATCH(C2539,art_ref,0))&amp;"",""))</f>
        <v/>
      </c>
      <c r="G2539" s="37" t="n"/>
      <c r="H2539" s="37" t="n"/>
      <c r="I2539" s="37" t="n"/>
      <c r="J2539" s="40" t="str">
        <f>IF(OR(C2539="",NOT(ISNUMBER(E2539))),"",IFERROR(E2539*N(INDEX(art_price,MATCH(C2539,art_ref,0))),""))</f>
        <v/>
      </c>
      <c r="K2539" s="39" t="str">
        <f>IF(OR(C2539="",NOT(ISNUMBER(E2539))),"",IFERROR(ROUND(N(INDEX(art_init,MATCH(C2539,art_ref,0)))+SUMIFS($E$5:E2539,$C$5:C2539,C2539,$B$5:B2539,"Entrée")-SUMIFS($E$5:E2539,$C$5:C2539,C2539,$B$5:B2539,"Sortie"),6),""))</f>
        <v/>
      </c>
      <c r="L2539" s="39" t="str">
        <f>IF(COUNTA(A2539:C2539,E2539)=0,"",IF(COUNTA(A2539:C2539,E2539)&lt;4,"Ligne incomplète",IF(NOT(ISNUMBER(A2539)),"Date invalide",IF(AND(B2539&lt;&gt;"Entrée",B2539&lt;&gt;"Sortie"),"Type inconnu",IF(ISNA(MATCH(C2539,art_ref,0)),"Référence inconnue",IF(OR(NOT(ISNUMBER(E2539)),N(E2539)&lt;=0),"Quantité invalide",IF(K2539&lt;0,"Stock négatif",IF(AND(ISNUMBER(A2538),A2539&lt;A2538),"Date hors ordre","OK"))))))))</f>
        <v/>
      </c>
      <c r="M2539" s="39" t="str">
        <f>IF(C2539="","",C2539&amp;"#"&amp;COUNTIF($C$5:C2539,C2539))</f>
        <v/>
      </c>
    </row>
    <row r="2540">
      <c r="A2540" s="41" t="n"/>
      <c r="B2540" s="37" t="n"/>
      <c r="C2540" s="37" t="n"/>
      <c r="D2540" s="39" t="str">
        <f>IF(C2540="","",IFERROR(INDEX(art_des,MATCH(C2540,art_ref,0))&amp;"","Référence inconnue"))</f>
        <v/>
      </c>
      <c r="E2540" s="37" t="n"/>
      <c r="F2540" s="39" t="str">
        <f>IF(C2540="","",IFERROR(INDEX(art_unit,MATCH(C2540,art_ref,0))&amp;"",""))</f>
        <v/>
      </c>
      <c r="G2540" s="37" t="n"/>
      <c r="H2540" s="37" t="n"/>
      <c r="I2540" s="37" t="n"/>
      <c r="J2540" s="40" t="str">
        <f>IF(OR(C2540="",NOT(ISNUMBER(E2540))),"",IFERROR(E2540*N(INDEX(art_price,MATCH(C2540,art_ref,0))),""))</f>
        <v/>
      </c>
      <c r="K2540" s="39" t="str">
        <f>IF(OR(C2540="",NOT(ISNUMBER(E2540))),"",IFERROR(ROUND(N(INDEX(art_init,MATCH(C2540,art_ref,0)))+SUMIFS($E$5:E2540,$C$5:C2540,C2540,$B$5:B2540,"Entrée")-SUMIFS($E$5:E2540,$C$5:C2540,C2540,$B$5:B2540,"Sortie"),6),""))</f>
        <v/>
      </c>
      <c r="L2540" s="39" t="str">
        <f>IF(COUNTA(A2540:C2540,E2540)=0,"",IF(COUNTA(A2540:C2540,E2540)&lt;4,"Ligne incomplète",IF(NOT(ISNUMBER(A2540)),"Date invalide",IF(AND(B2540&lt;&gt;"Entrée",B2540&lt;&gt;"Sortie"),"Type inconnu",IF(ISNA(MATCH(C2540,art_ref,0)),"Référence inconnue",IF(OR(NOT(ISNUMBER(E2540)),N(E2540)&lt;=0),"Quantité invalide",IF(K2540&lt;0,"Stock négatif",IF(AND(ISNUMBER(A2539),A2540&lt;A2539),"Date hors ordre","OK"))))))))</f>
        <v/>
      </c>
      <c r="M2540" s="39" t="str">
        <f>IF(C2540="","",C2540&amp;"#"&amp;COUNTIF($C$5:C2540,C2540))</f>
        <v/>
      </c>
    </row>
    <row r="2541">
      <c r="A2541" s="41" t="n"/>
      <c r="B2541" s="37" t="n"/>
      <c r="C2541" s="37" t="n"/>
      <c r="D2541" s="39" t="str">
        <f>IF(C2541="","",IFERROR(INDEX(art_des,MATCH(C2541,art_ref,0))&amp;"","Référence inconnue"))</f>
        <v/>
      </c>
      <c r="E2541" s="37" t="n"/>
      <c r="F2541" s="39" t="str">
        <f>IF(C2541="","",IFERROR(INDEX(art_unit,MATCH(C2541,art_ref,0))&amp;"",""))</f>
        <v/>
      </c>
      <c r="G2541" s="37" t="n"/>
      <c r="H2541" s="37" t="n"/>
      <c r="I2541" s="37" t="n"/>
      <c r="J2541" s="40" t="str">
        <f>IF(OR(C2541="",NOT(ISNUMBER(E2541))),"",IFERROR(E2541*N(INDEX(art_price,MATCH(C2541,art_ref,0))),""))</f>
        <v/>
      </c>
      <c r="K2541" s="39" t="str">
        <f>IF(OR(C2541="",NOT(ISNUMBER(E2541))),"",IFERROR(ROUND(N(INDEX(art_init,MATCH(C2541,art_ref,0)))+SUMIFS($E$5:E2541,$C$5:C2541,C2541,$B$5:B2541,"Entrée")-SUMIFS($E$5:E2541,$C$5:C2541,C2541,$B$5:B2541,"Sortie"),6),""))</f>
        <v/>
      </c>
      <c r="L2541" s="39" t="str">
        <f>IF(COUNTA(A2541:C2541,E2541)=0,"",IF(COUNTA(A2541:C2541,E2541)&lt;4,"Ligne incomplète",IF(NOT(ISNUMBER(A2541)),"Date invalide",IF(AND(B2541&lt;&gt;"Entrée",B2541&lt;&gt;"Sortie"),"Type inconnu",IF(ISNA(MATCH(C2541,art_ref,0)),"Référence inconnue",IF(OR(NOT(ISNUMBER(E2541)),N(E2541)&lt;=0),"Quantité invalide",IF(K2541&lt;0,"Stock négatif",IF(AND(ISNUMBER(A2540),A2541&lt;A2540),"Date hors ordre","OK"))))))))</f>
        <v/>
      </c>
      <c r="M2541" s="39" t="str">
        <f>IF(C2541="","",C2541&amp;"#"&amp;COUNTIF($C$5:C2541,C2541))</f>
        <v/>
      </c>
    </row>
    <row r="2542">
      <c r="A2542" s="41" t="n"/>
      <c r="B2542" s="37" t="n"/>
      <c r="C2542" s="37" t="n"/>
      <c r="D2542" s="39" t="str">
        <f>IF(C2542="","",IFERROR(INDEX(art_des,MATCH(C2542,art_ref,0))&amp;"","Référence inconnue"))</f>
        <v/>
      </c>
      <c r="E2542" s="37" t="n"/>
      <c r="F2542" s="39" t="str">
        <f>IF(C2542="","",IFERROR(INDEX(art_unit,MATCH(C2542,art_ref,0))&amp;"",""))</f>
        <v/>
      </c>
      <c r="G2542" s="37" t="n"/>
      <c r="H2542" s="37" t="n"/>
      <c r="I2542" s="37" t="n"/>
      <c r="J2542" s="40" t="str">
        <f>IF(OR(C2542="",NOT(ISNUMBER(E2542))),"",IFERROR(E2542*N(INDEX(art_price,MATCH(C2542,art_ref,0))),""))</f>
        <v/>
      </c>
      <c r="K2542" s="39" t="str">
        <f>IF(OR(C2542="",NOT(ISNUMBER(E2542))),"",IFERROR(ROUND(N(INDEX(art_init,MATCH(C2542,art_ref,0)))+SUMIFS($E$5:E2542,$C$5:C2542,C2542,$B$5:B2542,"Entrée")-SUMIFS($E$5:E2542,$C$5:C2542,C2542,$B$5:B2542,"Sortie"),6),""))</f>
        <v/>
      </c>
      <c r="L2542" s="39" t="str">
        <f>IF(COUNTA(A2542:C2542,E2542)=0,"",IF(COUNTA(A2542:C2542,E2542)&lt;4,"Ligne incomplète",IF(NOT(ISNUMBER(A2542)),"Date invalide",IF(AND(B2542&lt;&gt;"Entrée",B2542&lt;&gt;"Sortie"),"Type inconnu",IF(ISNA(MATCH(C2542,art_ref,0)),"Référence inconnue",IF(OR(NOT(ISNUMBER(E2542)),N(E2542)&lt;=0),"Quantité invalide",IF(K2542&lt;0,"Stock négatif",IF(AND(ISNUMBER(A2541),A2542&lt;A2541),"Date hors ordre","OK"))))))))</f>
        <v/>
      </c>
      <c r="M2542" s="39" t="str">
        <f>IF(C2542="","",C2542&amp;"#"&amp;COUNTIF($C$5:C2542,C2542))</f>
        <v/>
      </c>
    </row>
    <row r="2543">
      <c r="A2543" s="41" t="n"/>
      <c r="B2543" s="37" t="n"/>
      <c r="C2543" s="37" t="n"/>
      <c r="D2543" s="39" t="str">
        <f>IF(C2543="","",IFERROR(INDEX(art_des,MATCH(C2543,art_ref,0))&amp;"","Référence inconnue"))</f>
        <v/>
      </c>
      <c r="E2543" s="37" t="n"/>
      <c r="F2543" s="39" t="str">
        <f>IF(C2543="","",IFERROR(INDEX(art_unit,MATCH(C2543,art_ref,0))&amp;"",""))</f>
        <v/>
      </c>
      <c r="G2543" s="37" t="n"/>
      <c r="H2543" s="37" t="n"/>
      <c r="I2543" s="37" t="n"/>
      <c r="J2543" s="40" t="str">
        <f>IF(OR(C2543="",NOT(ISNUMBER(E2543))),"",IFERROR(E2543*N(INDEX(art_price,MATCH(C2543,art_ref,0))),""))</f>
        <v/>
      </c>
      <c r="K2543" s="39" t="str">
        <f>IF(OR(C2543="",NOT(ISNUMBER(E2543))),"",IFERROR(ROUND(N(INDEX(art_init,MATCH(C2543,art_ref,0)))+SUMIFS($E$5:E2543,$C$5:C2543,C2543,$B$5:B2543,"Entrée")-SUMIFS($E$5:E2543,$C$5:C2543,C2543,$B$5:B2543,"Sortie"),6),""))</f>
        <v/>
      </c>
      <c r="L2543" s="39" t="str">
        <f>IF(COUNTA(A2543:C2543,E2543)=0,"",IF(COUNTA(A2543:C2543,E2543)&lt;4,"Ligne incomplète",IF(NOT(ISNUMBER(A2543)),"Date invalide",IF(AND(B2543&lt;&gt;"Entrée",B2543&lt;&gt;"Sortie"),"Type inconnu",IF(ISNA(MATCH(C2543,art_ref,0)),"Référence inconnue",IF(OR(NOT(ISNUMBER(E2543)),N(E2543)&lt;=0),"Quantité invalide",IF(K2543&lt;0,"Stock négatif",IF(AND(ISNUMBER(A2542),A2543&lt;A2542),"Date hors ordre","OK"))))))))</f>
        <v/>
      </c>
      <c r="M2543" s="39" t="str">
        <f>IF(C2543="","",C2543&amp;"#"&amp;COUNTIF($C$5:C2543,C2543))</f>
        <v/>
      </c>
    </row>
    <row r="2544">
      <c r="A2544" s="41" t="n"/>
      <c r="B2544" s="37" t="n"/>
      <c r="C2544" s="37" t="n"/>
      <c r="D2544" s="39" t="str">
        <f>IF(C2544="","",IFERROR(INDEX(art_des,MATCH(C2544,art_ref,0))&amp;"","Référence inconnue"))</f>
        <v/>
      </c>
      <c r="E2544" s="37" t="n"/>
      <c r="F2544" s="39" t="str">
        <f>IF(C2544="","",IFERROR(INDEX(art_unit,MATCH(C2544,art_ref,0))&amp;"",""))</f>
        <v/>
      </c>
      <c r="G2544" s="37" t="n"/>
      <c r="H2544" s="37" t="n"/>
      <c r="I2544" s="37" t="n"/>
      <c r="J2544" s="40" t="str">
        <f>IF(OR(C2544="",NOT(ISNUMBER(E2544))),"",IFERROR(E2544*N(INDEX(art_price,MATCH(C2544,art_ref,0))),""))</f>
        <v/>
      </c>
      <c r="K2544" s="39" t="str">
        <f>IF(OR(C2544="",NOT(ISNUMBER(E2544))),"",IFERROR(ROUND(N(INDEX(art_init,MATCH(C2544,art_ref,0)))+SUMIFS($E$5:E2544,$C$5:C2544,C2544,$B$5:B2544,"Entrée")-SUMIFS($E$5:E2544,$C$5:C2544,C2544,$B$5:B2544,"Sortie"),6),""))</f>
        <v/>
      </c>
      <c r="L2544" s="39" t="str">
        <f>IF(COUNTA(A2544:C2544,E2544)=0,"",IF(COUNTA(A2544:C2544,E2544)&lt;4,"Ligne incomplète",IF(NOT(ISNUMBER(A2544)),"Date invalide",IF(AND(B2544&lt;&gt;"Entrée",B2544&lt;&gt;"Sortie"),"Type inconnu",IF(ISNA(MATCH(C2544,art_ref,0)),"Référence inconnue",IF(OR(NOT(ISNUMBER(E2544)),N(E2544)&lt;=0),"Quantité invalide",IF(K2544&lt;0,"Stock négatif",IF(AND(ISNUMBER(A2543),A2544&lt;A2543),"Date hors ordre","OK"))))))))</f>
        <v/>
      </c>
      <c r="M2544" s="39" t="str">
        <f>IF(C2544="","",C2544&amp;"#"&amp;COUNTIF($C$5:C2544,C2544))</f>
        <v/>
      </c>
    </row>
    <row r="2545">
      <c r="A2545" s="41" t="n"/>
      <c r="B2545" s="37" t="n"/>
      <c r="C2545" s="37" t="n"/>
      <c r="D2545" s="39" t="str">
        <f>IF(C2545="","",IFERROR(INDEX(art_des,MATCH(C2545,art_ref,0))&amp;"","Référence inconnue"))</f>
        <v/>
      </c>
      <c r="E2545" s="37" t="n"/>
      <c r="F2545" s="39" t="str">
        <f>IF(C2545="","",IFERROR(INDEX(art_unit,MATCH(C2545,art_ref,0))&amp;"",""))</f>
        <v/>
      </c>
      <c r="G2545" s="37" t="n"/>
      <c r="H2545" s="37" t="n"/>
      <c r="I2545" s="37" t="n"/>
      <c r="J2545" s="40" t="str">
        <f>IF(OR(C2545="",NOT(ISNUMBER(E2545))),"",IFERROR(E2545*N(INDEX(art_price,MATCH(C2545,art_ref,0))),""))</f>
        <v/>
      </c>
      <c r="K2545" s="39" t="str">
        <f>IF(OR(C2545="",NOT(ISNUMBER(E2545))),"",IFERROR(ROUND(N(INDEX(art_init,MATCH(C2545,art_ref,0)))+SUMIFS($E$5:E2545,$C$5:C2545,C2545,$B$5:B2545,"Entrée")-SUMIFS($E$5:E2545,$C$5:C2545,C2545,$B$5:B2545,"Sortie"),6),""))</f>
        <v/>
      </c>
      <c r="L2545" s="39" t="str">
        <f>IF(COUNTA(A2545:C2545,E2545)=0,"",IF(COUNTA(A2545:C2545,E2545)&lt;4,"Ligne incomplète",IF(NOT(ISNUMBER(A2545)),"Date invalide",IF(AND(B2545&lt;&gt;"Entrée",B2545&lt;&gt;"Sortie"),"Type inconnu",IF(ISNA(MATCH(C2545,art_ref,0)),"Référence inconnue",IF(OR(NOT(ISNUMBER(E2545)),N(E2545)&lt;=0),"Quantité invalide",IF(K2545&lt;0,"Stock négatif",IF(AND(ISNUMBER(A2544),A2545&lt;A2544),"Date hors ordre","OK"))))))))</f>
        <v/>
      </c>
      <c r="M2545" s="39" t="str">
        <f>IF(C2545="","",C2545&amp;"#"&amp;COUNTIF($C$5:C2545,C2545))</f>
        <v/>
      </c>
    </row>
    <row r="2546">
      <c r="A2546" s="41" t="n"/>
      <c r="B2546" s="37" t="n"/>
      <c r="C2546" s="37" t="n"/>
      <c r="D2546" s="39" t="str">
        <f>IF(C2546="","",IFERROR(INDEX(art_des,MATCH(C2546,art_ref,0))&amp;"","Référence inconnue"))</f>
        <v/>
      </c>
      <c r="E2546" s="37" t="n"/>
      <c r="F2546" s="39" t="str">
        <f>IF(C2546="","",IFERROR(INDEX(art_unit,MATCH(C2546,art_ref,0))&amp;"",""))</f>
        <v/>
      </c>
      <c r="G2546" s="37" t="n"/>
      <c r="H2546" s="37" t="n"/>
      <c r="I2546" s="37" t="n"/>
      <c r="J2546" s="40" t="str">
        <f>IF(OR(C2546="",NOT(ISNUMBER(E2546))),"",IFERROR(E2546*N(INDEX(art_price,MATCH(C2546,art_ref,0))),""))</f>
        <v/>
      </c>
      <c r="K2546" s="39" t="str">
        <f>IF(OR(C2546="",NOT(ISNUMBER(E2546))),"",IFERROR(ROUND(N(INDEX(art_init,MATCH(C2546,art_ref,0)))+SUMIFS($E$5:E2546,$C$5:C2546,C2546,$B$5:B2546,"Entrée")-SUMIFS($E$5:E2546,$C$5:C2546,C2546,$B$5:B2546,"Sortie"),6),""))</f>
        <v/>
      </c>
      <c r="L2546" s="39" t="str">
        <f>IF(COUNTA(A2546:C2546,E2546)=0,"",IF(COUNTA(A2546:C2546,E2546)&lt;4,"Ligne incomplète",IF(NOT(ISNUMBER(A2546)),"Date invalide",IF(AND(B2546&lt;&gt;"Entrée",B2546&lt;&gt;"Sortie"),"Type inconnu",IF(ISNA(MATCH(C2546,art_ref,0)),"Référence inconnue",IF(OR(NOT(ISNUMBER(E2546)),N(E2546)&lt;=0),"Quantité invalide",IF(K2546&lt;0,"Stock négatif",IF(AND(ISNUMBER(A2545),A2546&lt;A2545),"Date hors ordre","OK"))))))))</f>
        <v/>
      </c>
      <c r="M2546" s="39" t="str">
        <f>IF(C2546="","",C2546&amp;"#"&amp;COUNTIF($C$5:C2546,C2546))</f>
        <v/>
      </c>
    </row>
    <row r="2547">
      <c r="A2547" s="41" t="n"/>
      <c r="B2547" s="37" t="n"/>
      <c r="C2547" s="37" t="n"/>
      <c r="D2547" s="39" t="str">
        <f>IF(C2547="","",IFERROR(INDEX(art_des,MATCH(C2547,art_ref,0))&amp;"","Référence inconnue"))</f>
        <v/>
      </c>
      <c r="E2547" s="37" t="n"/>
      <c r="F2547" s="39" t="str">
        <f>IF(C2547="","",IFERROR(INDEX(art_unit,MATCH(C2547,art_ref,0))&amp;"",""))</f>
        <v/>
      </c>
      <c r="G2547" s="37" t="n"/>
      <c r="H2547" s="37" t="n"/>
      <c r="I2547" s="37" t="n"/>
      <c r="J2547" s="40" t="str">
        <f>IF(OR(C2547="",NOT(ISNUMBER(E2547))),"",IFERROR(E2547*N(INDEX(art_price,MATCH(C2547,art_ref,0))),""))</f>
        <v/>
      </c>
      <c r="K2547" s="39" t="str">
        <f>IF(OR(C2547="",NOT(ISNUMBER(E2547))),"",IFERROR(ROUND(N(INDEX(art_init,MATCH(C2547,art_ref,0)))+SUMIFS($E$5:E2547,$C$5:C2547,C2547,$B$5:B2547,"Entrée")-SUMIFS($E$5:E2547,$C$5:C2547,C2547,$B$5:B2547,"Sortie"),6),""))</f>
        <v/>
      </c>
      <c r="L2547" s="39" t="str">
        <f>IF(COUNTA(A2547:C2547,E2547)=0,"",IF(COUNTA(A2547:C2547,E2547)&lt;4,"Ligne incomplète",IF(NOT(ISNUMBER(A2547)),"Date invalide",IF(AND(B2547&lt;&gt;"Entrée",B2547&lt;&gt;"Sortie"),"Type inconnu",IF(ISNA(MATCH(C2547,art_ref,0)),"Référence inconnue",IF(OR(NOT(ISNUMBER(E2547)),N(E2547)&lt;=0),"Quantité invalide",IF(K2547&lt;0,"Stock négatif",IF(AND(ISNUMBER(A2546),A2547&lt;A2546),"Date hors ordre","OK"))))))))</f>
        <v/>
      </c>
      <c r="M2547" s="39" t="str">
        <f>IF(C2547="","",C2547&amp;"#"&amp;COUNTIF($C$5:C2547,C2547))</f>
        <v/>
      </c>
    </row>
    <row r="2548">
      <c r="A2548" s="41" t="n"/>
      <c r="B2548" s="37" t="n"/>
      <c r="C2548" s="37" t="n"/>
      <c r="D2548" s="39" t="str">
        <f>IF(C2548="","",IFERROR(INDEX(art_des,MATCH(C2548,art_ref,0))&amp;"","Référence inconnue"))</f>
        <v/>
      </c>
      <c r="E2548" s="37" t="n"/>
      <c r="F2548" s="39" t="str">
        <f>IF(C2548="","",IFERROR(INDEX(art_unit,MATCH(C2548,art_ref,0))&amp;"",""))</f>
        <v/>
      </c>
      <c r="G2548" s="37" t="n"/>
      <c r="H2548" s="37" t="n"/>
      <c r="I2548" s="37" t="n"/>
      <c r="J2548" s="40" t="str">
        <f>IF(OR(C2548="",NOT(ISNUMBER(E2548))),"",IFERROR(E2548*N(INDEX(art_price,MATCH(C2548,art_ref,0))),""))</f>
        <v/>
      </c>
      <c r="K2548" s="39" t="str">
        <f>IF(OR(C2548="",NOT(ISNUMBER(E2548))),"",IFERROR(ROUND(N(INDEX(art_init,MATCH(C2548,art_ref,0)))+SUMIFS($E$5:E2548,$C$5:C2548,C2548,$B$5:B2548,"Entrée")-SUMIFS($E$5:E2548,$C$5:C2548,C2548,$B$5:B2548,"Sortie"),6),""))</f>
        <v/>
      </c>
      <c r="L2548" s="39" t="str">
        <f>IF(COUNTA(A2548:C2548,E2548)=0,"",IF(COUNTA(A2548:C2548,E2548)&lt;4,"Ligne incomplète",IF(NOT(ISNUMBER(A2548)),"Date invalide",IF(AND(B2548&lt;&gt;"Entrée",B2548&lt;&gt;"Sortie"),"Type inconnu",IF(ISNA(MATCH(C2548,art_ref,0)),"Référence inconnue",IF(OR(NOT(ISNUMBER(E2548)),N(E2548)&lt;=0),"Quantité invalide",IF(K2548&lt;0,"Stock négatif",IF(AND(ISNUMBER(A2547),A2548&lt;A2547),"Date hors ordre","OK"))))))))</f>
        <v/>
      </c>
      <c r="M2548" s="39" t="str">
        <f>IF(C2548="","",C2548&amp;"#"&amp;COUNTIF($C$5:C2548,C2548))</f>
        <v/>
      </c>
    </row>
    <row r="2549">
      <c r="A2549" s="41" t="n"/>
      <c r="B2549" s="37" t="n"/>
      <c r="C2549" s="37" t="n"/>
      <c r="D2549" s="39" t="str">
        <f>IF(C2549="","",IFERROR(INDEX(art_des,MATCH(C2549,art_ref,0))&amp;"","Référence inconnue"))</f>
        <v/>
      </c>
      <c r="E2549" s="37" t="n"/>
      <c r="F2549" s="39" t="str">
        <f>IF(C2549="","",IFERROR(INDEX(art_unit,MATCH(C2549,art_ref,0))&amp;"",""))</f>
        <v/>
      </c>
      <c r="G2549" s="37" t="n"/>
      <c r="H2549" s="37" t="n"/>
      <c r="I2549" s="37" t="n"/>
      <c r="J2549" s="40" t="str">
        <f>IF(OR(C2549="",NOT(ISNUMBER(E2549))),"",IFERROR(E2549*N(INDEX(art_price,MATCH(C2549,art_ref,0))),""))</f>
        <v/>
      </c>
      <c r="K2549" s="39" t="str">
        <f>IF(OR(C2549="",NOT(ISNUMBER(E2549))),"",IFERROR(ROUND(N(INDEX(art_init,MATCH(C2549,art_ref,0)))+SUMIFS($E$5:E2549,$C$5:C2549,C2549,$B$5:B2549,"Entrée")-SUMIFS($E$5:E2549,$C$5:C2549,C2549,$B$5:B2549,"Sortie"),6),""))</f>
        <v/>
      </c>
      <c r="L2549" s="39" t="str">
        <f>IF(COUNTA(A2549:C2549,E2549)=0,"",IF(COUNTA(A2549:C2549,E2549)&lt;4,"Ligne incomplète",IF(NOT(ISNUMBER(A2549)),"Date invalide",IF(AND(B2549&lt;&gt;"Entrée",B2549&lt;&gt;"Sortie"),"Type inconnu",IF(ISNA(MATCH(C2549,art_ref,0)),"Référence inconnue",IF(OR(NOT(ISNUMBER(E2549)),N(E2549)&lt;=0),"Quantité invalide",IF(K2549&lt;0,"Stock négatif",IF(AND(ISNUMBER(A2548),A2549&lt;A2548),"Date hors ordre","OK"))))))))</f>
        <v/>
      </c>
      <c r="M2549" s="39" t="str">
        <f>IF(C2549="","",C2549&amp;"#"&amp;COUNTIF($C$5:C2549,C2549))</f>
        <v/>
      </c>
    </row>
    <row r="2550">
      <c r="A2550" s="41" t="n"/>
      <c r="B2550" s="37" t="n"/>
      <c r="C2550" s="37" t="n"/>
      <c r="D2550" s="39" t="str">
        <f>IF(C2550="","",IFERROR(INDEX(art_des,MATCH(C2550,art_ref,0))&amp;"","Référence inconnue"))</f>
        <v/>
      </c>
      <c r="E2550" s="37" t="n"/>
      <c r="F2550" s="39" t="str">
        <f>IF(C2550="","",IFERROR(INDEX(art_unit,MATCH(C2550,art_ref,0))&amp;"",""))</f>
        <v/>
      </c>
      <c r="G2550" s="37" t="n"/>
      <c r="H2550" s="37" t="n"/>
      <c r="I2550" s="37" t="n"/>
      <c r="J2550" s="40" t="str">
        <f>IF(OR(C2550="",NOT(ISNUMBER(E2550))),"",IFERROR(E2550*N(INDEX(art_price,MATCH(C2550,art_ref,0))),""))</f>
        <v/>
      </c>
      <c r="K2550" s="39" t="str">
        <f>IF(OR(C2550="",NOT(ISNUMBER(E2550))),"",IFERROR(ROUND(N(INDEX(art_init,MATCH(C2550,art_ref,0)))+SUMIFS($E$5:E2550,$C$5:C2550,C2550,$B$5:B2550,"Entrée")-SUMIFS($E$5:E2550,$C$5:C2550,C2550,$B$5:B2550,"Sortie"),6),""))</f>
        <v/>
      </c>
      <c r="L2550" s="39" t="str">
        <f>IF(COUNTA(A2550:C2550,E2550)=0,"",IF(COUNTA(A2550:C2550,E2550)&lt;4,"Ligne incomplète",IF(NOT(ISNUMBER(A2550)),"Date invalide",IF(AND(B2550&lt;&gt;"Entrée",B2550&lt;&gt;"Sortie"),"Type inconnu",IF(ISNA(MATCH(C2550,art_ref,0)),"Référence inconnue",IF(OR(NOT(ISNUMBER(E2550)),N(E2550)&lt;=0),"Quantité invalide",IF(K2550&lt;0,"Stock négatif",IF(AND(ISNUMBER(A2549),A2550&lt;A2549),"Date hors ordre","OK"))))))))</f>
        <v/>
      </c>
      <c r="M2550" s="39" t="str">
        <f>IF(C2550="","",C2550&amp;"#"&amp;COUNTIF($C$5:C2550,C2550))</f>
        <v/>
      </c>
    </row>
    <row r="2551">
      <c r="A2551" s="41" t="n"/>
      <c r="B2551" s="37" t="n"/>
      <c r="C2551" s="37" t="n"/>
      <c r="D2551" s="39" t="str">
        <f>IF(C2551="","",IFERROR(INDEX(art_des,MATCH(C2551,art_ref,0))&amp;"","Référence inconnue"))</f>
        <v/>
      </c>
      <c r="E2551" s="37" t="n"/>
      <c r="F2551" s="39" t="str">
        <f>IF(C2551="","",IFERROR(INDEX(art_unit,MATCH(C2551,art_ref,0))&amp;"",""))</f>
        <v/>
      </c>
      <c r="G2551" s="37" t="n"/>
      <c r="H2551" s="37" t="n"/>
      <c r="I2551" s="37" t="n"/>
      <c r="J2551" s="40" t="str">
        <f>IF(OR(C2551="",NOT(ISNUMBER(E2551))),"",IFERROR(E2551*N(INDEX(art_price,MATCH(C2551,art_ref,0))),""))</f>
        <v/>
      </c>
      <c r="K2551" s="39" t="str">
        <f>IF(OR(C2551="",NOT(ISNUMBER(E2551))),"",IFERROR(ROUND(N(INDEX(art_init,MATCH(C2551,art_ref,0)))+SUMIFS($E$5:E2551,$C$5:C2551,C2551,$B$5:B2551,"Entrée")-SUMIFS($E$5:E2551,$C$5:C2551,C2551,$B$5:B2551,"Sortie"),6),""))</f>
        <v/>
      </c>
      <c r="L2551" s="39" t="str">
        <f>IF(COUNTA(A2551:C2551,E2551)=0,"",IF(COUNTA(A2551:C2551,E2551)&lt;4,"Ligne incomplète",IF(NOT(ISNUMBER(A2551)),"Date invalide",IF(AND(B2551&lt;&gt;"Entrée",B2551&lt;&gt;"Sortie"),"Type inconnu",IF(ISNA(MATCH(C2551,art_ref,0)),"Référence inconnue",IF(OR(NOT(ISNUMBER(E2551)),N(E2551)&lt;=0),"Quantité invalide",IF(K2551&lt;0,"Stock négatif",IF(AND(ISNUMBER(A2550),A2551&lt;A2550),"Date hors ordre","OK"))))))))</f>
        <v/>
      </c>
      <c r="M2551" s="39" t="str">
        <f>IF(C2551="","",C2551&amp;"#"&amp;COUNTIF($C$5:C2551,C2551))</f>
        <v/>
      </c>
    </row>
    <row r="2552">
      <c r="A2552" s="41" t="n"/>
      <c r="B2552" s="37" t="n"/>
      <c r="C2552" s="37" t="n"/>
      <c r="D2552" s="39" t="str">
        <f>IF(C2552="","",IFERROR(INDEX(art_des,MATCH(C2552,art_ref,0))&amp;"","Référence inconnue"))</f>
        <v/>
      </c>
      <c r="E2552" s="37" t="n"/>
      <c r="F2552" s="39" t="str">
        <f>IF(C2552="","",IFERROR(INDEX(art_unit,MATCH(C2552,art_ref,0))&amp;"",""))</f>
        <v/>
      </c>
      <c r="G2552" s="37" t="n"/>
      <c r="H2552" s="37" t="n"/>
      <c r="I2552" s="37" t="n"/>
      <c r="J2552" s="40" t="str">
        <f>IF(OR(C2552="",NOT(ISNUMBER(E2552))),"",IFERROR(E2552*N(INDEX(art_price,MATCH(C2552,art_ref,0))),""))</f>
        <v/>
      </c>
      <c r="K2552" s="39" t="str">
        <f>IF(OR(C2552="",NOT(ISNUMBER(E2552))),"",IFERROR(ROUND(N(INDEX(art_init,MATCH(C2552,art_ref,0)))+SUMIFS($E$5:E2552,$C$5:C2552,C2552,$B$5:B2552,"Entrée")-SUMIFS($E$5:E2552,$C$5:C2552,C2552,$B$5:B2552,"Sortie"),6),""))</f>
        <v/>
      </c>
      <c r="L2552" s="39" t="str">
        <f>IF(COUNTA(A2552:C2552,E2552)=0,"",IF(COUNTA(A2552:C2552,E2552)&lt;4,"Ligne incomplète",IF(NOT(ISNUMBER(A2552)),"Date invalide",IF(AND(B2552&lt;&gt;"Entrée",B2552&lt;&gt;"Sortie"),"Type inconnu",IF(ISNA(MATCH(C2552,art_ref,0)),"Référence inconnue",IF(OR(NOT(ISNUMBER(E2552)),N(E2552)&lt;=0),"Quantité invalide",IF(K2552&lt;0,"Stock négatif",IF(AND(ISNUMBER(A2551),A2552&lt;A2551),"Date hors ordre","OK"))))))))</f>
        <v/>
      </c>
      <c r="M2552" s="39" t="str">
        <f>IF(C2552="","",C2552&amp;"#"&amp;COUNTIF($C$5:C2552,C2552))</f>
        <v/>
      </c>
    </row>
    <row r="2553">
      <c r="A2553" s="41" t="n"/>
      <c r="B2553" s="37" t="n"/>
      <c r="C2553" s="37" t="n"/>
      <c r="D2553" s="39" t="str">
        <f>IF(C2553="","",IFERROR(INDEX(art_des,MATCH(C2553,art_ref,0))&amp;"","Référence inconnue"))</f>
        <v/>
      </c>
      <c r="E2553" s="37" t="n"/>
      <c r="F2553" s="39" t="str">
        <f>IF(C2553="","",IFERROR(INDEX(art_unit,MATCH(C2553,art_ref,0))&amp;"",""))</f>
        <v/>
      </c>
      <c r="G2553" s="37" t="n"/>
      <c r="H2553" s="37" t="n"/>
      <c r="I2553" s="37" t="n"/>
      <c r="J2553" s="40" t="str">
        <f>IF(OR(C2553="",NOT(ISNUMBER(E2553))),"",IFERROR(E2553*N(INDEX(art_price,MATCH(C2553,art_ref,0))),""))</f>
        <v/>
      </c>
      <c r="K2553" s="39" t="str">
        <f>IF(OR(C2553="",NOT(ISNUMBER(E2553))),"",IFERROR(ROUND(N(INDEX(art_init,MATCH(C2553,art_ref,0)))+SUMIFS($E$5:E2553,$C$5:C2553,C2553,$B$5:B2553,"Entrée")-SUMIFS($E$5:E2553,$C$5:C2553,C2553,$B$5:B2553,"Sortie"),6),""))</f>
        <v/>
      </c>
      <c r="L2553" s="39" t="str">
        <f>IF(COUNTA(A2553:C2553,E2553)=0,"",IF(COUNTA(A2553:C2553,E2553)&lt;4,"Ligne incomplète",IF(NOT(ISNUMBER(A2553)),"Date invalide",IF(AND(B2553&lt;&gt;"Entrée",B2553&lt;&gt;"Sortie"),"Type inconnu",IF(ISNA(MATCH(C2553,art_ref,0)),"Référence inconnue",IF(OR(NOT(ISNUMBER(E2553)),N(E2553)&lt;=0),"Quantité invalide",IF(K2553&lt;0,"Stock négatif",IF(AND(ISNUMBER(A2552),A2553&lt;A2552),"Date hors ordre","OK"))))))))</f>
        <v/>
      </c>
      <c r="M2553" s="39" t="str">
        <f>IF(C2553="","",C2553&amp;"#"&amp;COUNTIF($C$5:C2553,C2553))</f>
        <v/>
      </c>
    </row>
    <row r="2554">
      <c r="A2554" s="41" t="n"/>
      <c r="B2554" s="37" t="n"/>
      <c r="C2554" s="37" t="n"/>
      <c r="D2554" s="39" t="str">
        <f>IF(C2554="","",IFERROR(INDEX(art_des,MATCH(C2554,art_ref,0))&amp;"","Référence inconnue"))</f>
        <v/>
      </c>
      <c r="E2554" s="37" t="n"/>
      <c r="F2554" s="39" t="str">
        <f>IF(C2554="","",IFERROR(INDEX(art_unit,MATCH(C2554,art_ref,0))&amp;"",""))</f>
        <v/>
      </c>
      <c r="G2554" s="37" t="n"/>
      <c r="H2554" s="37" t="n"/>
      <c r="I2554" s="37" t="n"/>
      <c r="J2554" s="40" t="str">
        <f>IF(OR(C2554="",NOT(ISNUMBER(E2554))),"",IFERROR(E2554*N(INDEX(art_price,MATCH(C2554,art_ref,0))),""))</f>
        <v/>
      </c>
      <c r="K2554" s="39" t="str">
        <f>IF(OR(C2554="",NOT(ISNUMBER(E2554))),"",IFERROR(ROUND(N(INDEX(art_init,MATCH(C2554,art_ref,0)))+SUMIFS($E$5:E2554,$C$5:C2554,C2554,$B$5:B2554,"Entrée")-SUMIFS($E$5:E2554,$C$5:C2554,C2554,$B$5:B2554,"Sortie"),6),""))</f>
        <v/>
      </c>
      <c r="L2554" s="39" t="str">
        <f>IF(COUNTA(A2554:C2554,E2554)=0,"",IF(COUNTA(A2554:C2554,E2554)&lt;4,"Ligne incomplète",IF(NOT(ISNUMBER(A2554)),"Date invalide",IF(AND(B2554&lt;&gt;"Entrée",B2554&lt;&gt;"Sortie"),"Type inconnu",IF(ISNA(MATCH(C2554,art_ref,0)),"Référence inconnue",IF(OR(NOT(ISNUMBER(E2554)),N(E2554)&lt;=0),"Quantité invalide",IF(K2554&lt;0,"Stock négatif",IF(AND(ISNUMBER(A2553),A2554&lt;A2553),"Date hors ordre","OK"))))))))</f>
        <v/>
      </c>
      <c r="M2554" s="39" t="str">
        <f>IF(C2554="","",C2554&amp;"#"&amp;COUNTIF($C$5:C2554,C2554))</f>
        <v/>
      </c>
    </row>
    <row r="2555">
      <c r="A2555" s="41" t="n"/>
      <c r="B2555" s="37" t="n"/>
      <c r="C2555" s="37" t="n"/>
      <c r="D2555" s="39" t="str">
        <f>IF(C2555="","",IFERROR(INDEX(art_des,MATCH(C2555,art_ref,0))&amp;"","Référence inconnue"))</f>
        <v/>
      </c>
      <c r="E2555" s="37" t="n"/>
      <c r="F2555" s="39" t="str">
        <f>IF(C2555="","",IFERROR(INDEX(art_unit,MATCH(C2555,art_ref,0))&amp;"",""))</f>
        <v/>
      </c>
      <c r="G2555" s="37" t="n"/>
      <c r="H2555" s="37" t="n"/>
      <c r="I2555" s="37" t="n"/>
      <c r="J2555" s="40" t="str">
        <f>IF(OR(C2555="",NOT(ISNUMBER(E2555))),"",IFERROR(E2555*N(INDEX(art_price,MATCH(C2555,art_ref,0))),""))</f>
        <v/>
      </c>
      <c r="K2555" s="39" t="str">
        <f>IF(OR(C2555="",NOT(ISNUMBER(E2555))),"",IFERROR(ROUND(N(INDEX(art_init,MATCH(C2555,art_ref,0)))+SUMIFS($E$5:E2555,$C$5:C2555,C2555,$B$5:B2555,"Entrée")-SUMIFS($E$5:E2555,$C$5:C2555,C2555,$B$5:B2555,"Sortie"),6),""))</f>
        <v/>
      </c>
      <c r="L2555" s="39" t="str">
        <f>IF(COUNTA(A2555:C2555,E2555)=0,"",IF(COUNTA(A2555:C2555,E2555)&lt;4,"Ligne incomplète",IF(NOT(ISNUMBER(A2555)),"Date invalide",IF(AND(B2555&lt;&gt;"Entrée",B2555&lt;&gt;"Sortie"),"Type inconnu",IF(ISNA(MATCH(C2555,art_ref,0)),"Référence inconnue",IF(OR(NOT(ISNUMBER(E2555)),N(E2555)&lt;=0),"Quantité invalide",IF(K2555&lt;0,"Stock négatif",IF(AND(ISNUMBER(A2554),A2555&lt;A2554),"Date hors ordre","OK"))))))))</f>
        <v/>
      </c>
      <c r="M2555" s="39" t="str">
        <f>IF(C2555="","",C2555&amp;"#"&amp;COUNTIF($C$5:C2555,C2555))</f>
        <v/>
      </c>
    </row>
    <row r="2556">
      <c r="A2556" s="41" t="n"/>
      <c r="B2556" s="37" t="n"/>
      <c r="C2556" s="37" t="n"/>
      <c r="D2556" s="39" t="str">
        <f>IF(C2556="","",IFERROR(INDEX(art_des,MATCH(C2556,art_ref,0))&amp;"","Référence inconnue"))</f>
        <v/>
      </c>
      <c r="E2556" s="37" t="n"/>
      <c r="F2556" s="39" t="str">
        <f>IF(C2556="","",IFERROR(INDEX(art_unit,MATCH(C2556,art_ref,0))&amp;"",""))</f>
        <v/>
      </c>
      <c r="G2556" s="37" t="n"/>
      <c r="H2556" s="37" t="n"/>
      <c r="I2556" s="37" t="n"/>
      <c r="J2556" s="40" t="str">
        <f>IF(OR(C2556="",NOT(ISNUMBER(E2556))),"",IFERROR(E2556*N(INDEX(art_price,MATCH(C2556,art_ref,0))),""))</f>
        <v/>
      </c>
      <c r="K2556" s="39" t="str">
        <f>IF(OR(C2556="",NOT(ISNUMBER(E2556))),"",IFERROR(ROUND(N(INDEX(art_init,MATCH(C2556,art_ref,0)))+SUMIFS($E$5:E2556,$C$5:C2556,C2556,$B$5:B2556,"Entrée")-SUMIFS($E$5:E2556,$C$5:C2556,C2556,$B$5:B2556,"Sortie"),6),""))</f>
        <v/>
      </c>
      <c r="L2556" s="39" t="str">
        <f>IF(COUNTA(A2556:C2556,E2556)=0,"",IF(COUNTA(A2556:C2556,E2556)&lt;4,"Ligne incomplète",IF(NOT(ISNUMBER(A2556)),"Date invalide",IF(AND(B2556&lt;&gt;"Entrée",B2556&lt;&gt;"Sortie"),"Type inconnu",IF(ISNA(MATCH(C2556,art_ref,0)),"Référence inconnue",IF(OR(NOT(ISNUMBER(E2556)),N(E2556)&lt;=0),"Quantité invalide",IF(K2556&lt;0,"Stock négatif",IF(AND(ISNUMBER(A2555),A2556&lt;A2555),"Date hors ordre","OK"))))))))</f>
        <v/>
      </c>
      <c r="M2556" s="39" t="str">
        <f>IF(C2556="","",C2556&amp;"#"&amp;COUNTIF($C$5:C2556,C2556))</f>
        <v/>
      </c>
    </row>
    <row r="2557">
      <c r="A2557" s="41" t="n"/>
      <c r="B2557" s="37" t="n"/>
      <c r="C2557" s="37" t="n"/>
      <c r="D2557" s="39" t="str">
        <f>IF(C2557="","",IFERROR(INDEX(art_des,MATCH(C2557,art_ref,0))&amp;"","Référence inconnue"))</f>
        <v/>
      </c>
      <c r="E2557" s="37" t="n"/>
      <c r="F2557" s="39" t="str">
        <f>IF(C2557="","",IFERROR(INDEX(art_unit,MATCH(C2557,art_ref,0))&amp;"",""))</f>
        <v/>
      </c>
      <c r="G2557" s="37" t="n"/>
      <c r="H2557" s="37" t="n"/>
      <c r="I2557" s="37" t="n"/>
      <c r="J2557" s="40" t="str">
        <f>IF(OR(C2557="",NOT(ISNUMBER(E2557))),"",IFERROR(E2557*N(INDEX(art_price,MATCH(C2557,art_ref,0))),""))</f>
        <v/>
      </c>
      <c r="K2557" s="39" t="str">
        <f>IF(OR(C2557="",NOT(ISNUMBER(E2557))),"",IFERROR(ROUND(N(INDEX(art_init,MATCH(C2557,art_ref,0)))+SUMIFS($E$5:E2557,$C$5:C2557,C2557,$B$5:B2557,"Entrée")-SUMIFS($E$5:E2557,$C$5:C2557,C2557,$B$5:B2557,"Sortie"),6),""))</f>
        <v/>
      </c>
      <c r="L2557" s="39" t="str">
        <f>IF(COUNTA(A2557:C2557,E2557)=0,"",IF(COUNTA(A2557:C2557,E2557)&lt;4,"Ligne incomplète",IF(NOT(ISNUMBER(A2557)),"Date invalide",IF(AND(B2557&lt;&gt;"Entrée",B2557&lt;&gt;"Sortie"),"Type inconnu",IF(ISNA(MATCH(C2557,art_ref,0)),"Référence inconnue",IF(OR(NOT(ISNUMBER(E2557)),N(E2557)&lt;=0),"Quantité invalide",IF(K2557&lt;0,"Stock négatif",IF(AND(ISNUMBER(A2556),A2557&lt;A2556),"Date hors ordre","OK"))))))))</f>
        <v/>
      </c>
      <c r="M2557" s="39" t="str">
        <f>IF(C2557="","",C2557&amp;"#"&amp;COUNTIF($C$5:C2557,C2557))</f>
        <v/>
      </c>
    </row>
    <row r="2558">
      <c r="A2558" s="41" t="n"/>
      <c r="B2558" s="37" t="n"/>
      <c r="C2558" s="37" t="n"/>
      <c r="D2558" s="39" t="str">
        <f>IF(C2558="","",IFERROR(INDEX(art_des,MATCH(C2558,art_ref,0))&amp;"","Référence inconnue"))</f>
        <v/>
      </c>
      <c r="E2558" s="37" t="n"/>
      <c r="F2558" s="39" t="str">
        <f>IF(C2558="","",IFERROR(INDEX(art_unit,MATCH(C2558,art_ref,0))&amp;"",""))</f>
        <v/>
      </c>
      <c r="G2558" s="37" t="n"/>
      <c r="H2558" s="37" t="n"/>
      <c r="I2558" s="37" t="n"/>
      <c r="J2558" s="40" t="str">
        <f>IF(OR(C2558="",NOT(ISNUMBER(E2558))),"",IFERROR(E2558*N(INDEX(art_price,MATCH(C2558,art_ref,0))),""))</f>
        <v/>
      </c>
      <c r="K2558" s="39" t="str">
        <f>IF(OR(C2558="",NOT(ISNUMBER(E2558))),"",IFERROR(ROUND(N(INDEX(art_init,MATCH(C2558,art_ref,0)))+SUMIFS($E$5:E2558,$C$5:C2558,C2558,$B$5:B2558,"Entrée")-SUMIFS($E$5:E2558,$C$5:C2558,C2558,$B$5:B2558,"Sortie"),6),""))</f>
        <v/>
      </c>
      <c r="L2558" s="39" t="str">
        <f>IF(COUNTA(A2558:C2558,E2558)=0,"",IF(COUNTA(A2558:C2558,E2558)&lt;4,"Ligne incomplète",IF(NOT(ISNUMBER(A2558)),"Date invalide",IF(AND(B2558&lt;&gt;"Entrée",B2558&lt;&gt;"Sortie"),"Type inconnu",IF(ISNA(MATCH(C2558,art_ref,0)),"Référence inconnue",IF(OR(NOT(ISNUMBER(E2558)),N(E2558)&lt;=0),"Quantité invalide",IF(K2558&lt;0,"Stock négatif",IF(AND(ISNUMBER(A2557),A2558&lt;A2557),"Date hors ordre","OK"))))))))</f>
        <v/>
      </c>
      <c r="M2558" s="39" t="str">
        <f>IF(C2558="","",C2558&amp;"#"&amp;COUNTIF($C$5:C2558,C2558))</f>
        <v/>
      </c>
    </row>
    <row r="2559">
      <c r="A2559" s="41" t="n"/>
      <c r="B2559" s="37" t="n"/>
      <c r="C2559" s="37" t="n"/>
      <c r="D2559" s="39" t="str">
        <f>IF(C2559="","",IFERROR(INDEX(art_des,MATCH(C2559,art_ref,0))&amp;"","Référence inconnue"))</f>
        <v/>
      </c>
      <c r="E2559" s="37" t="n"/>
      <c r="F2559" s="39" t="str">
        <f>IF(C2559="","",IFERROR(INDEX(art_unit,MATCH(C2559,art_ref,0))&amp;"",""))</f>
        <v/>
      </c>
      <c r="G2559" s="37" t="n"/>
      <c r="H2559" s="37" t="n"/>
      <c r="I2559" s="37" t="n"/>
      <c r="J2559" s="40" t="str">
        <f>IF(OR(C2559="",NOT(ISNUMBER(E2559))),"",IFERROR(E2559*N(INDEX(art_price,MATCH(C2559,art_ref,0))),""))</f>
        <v/>
      </c>
      <c r="K2559" s="39" t="str">
        <f>IF(OR(C2559="",NOT(ISNUMBER(E2559))),"",IFERROR(ROUND(N(INDEX(art_init,MATCH(C2559,art_ref,0)))+SUMIFS($E$5:E2559,$C$5:C2559,C2559,$B$5:B2559,"Entrée")-SUMIFS($E$5:E2559,$C$5:C2559,C2559,$B$5:B2559,"Sortie"),6),""))</f>
        <v/>
      </c>
      <c r="L2559" s="39" t="str">
        <f>IF(COUNTA(A2559:C2559,E2559)=0,"",IF(COUNTA(A2559:C2559,E2559)&lt;4,"Ligne incomplète",IF(NOT(ISNUMBER(A2559)),"Date invalide",IF(AND(B2559&lt;&gt;"Entrée",B2559&lt;&gt;"Sortie"),"Type inconnu",IF(ISNA(MATCH(C2559,art_ref,0)),"Référence inconnue",IF(OR(NOT(ISNUMBER(E2559)),N(E2559)&lt;=0),"Quantité invalide",IF(K2559&lt;0,"Stock négatif",IF(AND(ISNUMBER(A2558),A2559&lt;A2558),"Date hors ordre","OK"))))))))</f>
        <v/>
      </c>
      <c r="M2559" s="39" t="str">
        <f>IF(C2559="","",C2559&amp;"#"&amp;COUNTIF($C$5:C2559,C2559))</f>
        <v/>
      </c>
    </row>
    <row r="2560">
      <c r="A2560" s="41" t="n"/>
      <c r="B2560" s="37" t="n"/>
      <c r="C2560" s="37" t="n"/>
      <c r="D2560" s="39" t="str">
        <f>IF(C2560="","",IFERROR(INDEX(art_des,MATCH(C2560,art_ref,0))&amp;"","Référence inconnue"))</f>
        <v/>
      </c>
      <c r="E2560" s="37" t="n"/>
      <c r="F2560" s="39" t="str">
        <f>IF(C2560="","",IFERROR(INDEX(art_unit,MATCH(C2560,art_ref,0))&amp;"",""))</f>
        <v/>
      </c>
      <c r="G2560" s="37" t="n"/>
      <c r="H2560" s="37" t="n"/>
      <c r="I2560" s="37" t="n"/>
      <c r="J2560" s="40" t="str">
        <f>IF(OR(C2560="",NOT(ISNUMBER(E2560))),"",IFERROR(E2560*N(INDEX(art_price,MATCH(C2560,art_ref,0))),""))</f>
        <v/>
      </c>
      <c r="K2560" s="39" t="str">
        <f>IF(OR(C2560="",NOT(ISNUMBER(E2560))),"",IFERROR(ROUND(N(INDEX(art_init,MATCH(C2560,art_ref,0)))+SUMIFS($E$5:E2560,$C$5:C2560,C2560,$B$5:B2560,"Entrée")-SUMIFS($E$5:E2560,$C$5:C2560,C2560,$B$5:B2560,"Sortie"),6),""))</f>
        <v/>
      </c>
      <c r="L2560" s="39" t="str">
        <f>IF(COUNTA(A2560:C2560,E2560)=0,"",IF(COUNTA(A2560:C2560,E2560)&lt;4,"Ligne incomplète",IF(NOT(ISNUMBER(A2560)),"Date invalide",IF(AND(B2560&lt;&gt;"Entrée",B2560&lt;&gt;"Sortie"),"Type inconnu",IF(ISNA(MATCH(C2560,art_ref,0)),"Référence inconnue",IF(OR(NOT(ISNUMBER(E2560)),N(E2560)&lt;=0),"Quantité invalide",IF(K2560&lt;0,"Stock négatif",IF(AND(ISNUMBER(A2559),A2560&lt;A2559),"Date hors ordre","OK"))))))))</f>
        <v/>
      </c>
      <c r="M2560" s="39" t="str">
        <f>IF(C2560="","",C2560&amp;"#"&amp;COUNTIF($C$5:C2560,C2560))</f>
        <v/>
      </c>
    </row>
    <row r="2561">
      <c r="A2561" s="41" t="n"/>
      <c r="B2561" s="37" t="n"/>
      <c r="C2561" s="37" t="n"/>
      <c r="D2561" s="39" t="str">
        <f>IF(C2561="","",IFERROR(INDEX(art_des,MATCH(C2561,art_ref,0))&amp;"","Référence inconnue"))</f>
        <v/>
      </c>
      <c r="E2561" s="37" t="n"/>
      <c r="F2561" s="39" t="str">
        <f>IF(C2561="","",IFERROR(INDEX(art_unit,MATCH(C2561,art_ref,0))&amp;"",""))</f>
        <v/>
      </c>
      <c r="G2561" s="37" t="n"/>
      <c r="H2561" s="37" t="n"/>
      <c r="I2561" s="37" t="n"/>
      <c r="J2561" s="40" t="str">
        <f>IF(OR(C2561="",NOT(ISNUMBER(E2561))),"",IFERROR(E2561*N(INDEX(art_price,MATCH(C2561,art_ref,0))),""))</f>
        <v/>
      </c>
      <c r="K2561" s="39" t="str">
        <f>IF(OR(C2561="",NOT(ISNUMBER(E2561))),"",IFERROR(ROUND(N(INDEX(art_init,MATCH(C2561,art_ref,0)))+SUMIFS($E$5:E2561,$C$5:C2561,C2561,$B$5:B2561,"Entrée")-SUMIFS($E$5:E2561,$C$5:C2561,C2561,$B$5:B2561,"Sortie"),6),""))</f>
        <v/>
      </c>
      <c r="L2561" s="39" t="str">
        <f>IF(COUNTA(A2561:C2561,E2561)=0,"",IF(COUNTA(A2561:C2561,E2561)&lt;4,"Ligne incomplète",IF(NOT(ISNUMBER(A2561)),"Date invalide",IF(AND(B2561&lt;&gt;"Entrée",B2561&lt;&gt;"Sortie"),"Type inconnu",IF(ISNA(MATCH(C2561,art_ref,0)),"Référence inconnue",IF(OR(NOT(ISNUMBER(E2561)),N(E2561)&lt;=0),"Quantité invalide",IF(K2561&lt;0,"Stock négatif",IF(AND(ISNUMBER(A2560),A2561&lt;A2560),"Date hors ordre","OK"))))))))</f>
        <v/>
      </c>
      <c r="M2561" s="39" t="str">
        <f>IF(C2561="","",C2561&amp;"#"&amp;COUNTIF($C$5:C2561,C2561))</f>
        <v/>
      </c>
    </row>
    <row r="2562">
      <c r="A2562" s="41" t="n"/>
      <c r="B2562" s="37" t="n"/>
      <c r="C2562" s="37" t="n"/>
      <c r="D2562" s="39" t="str">
        <f>IF(C2562="","",IFERROR(INDEX(art_des,MATCH(C2562,art_ref,0))&amp;"","Référence inconnue"))</f>
        <v/>
      </c>
      <c r="E2562" s="37" t="n"/>
      <c r="F2562" s="39" t="str">
        <f>IF(C2562="","",IFERROR(INDEX(art_unit,MATCH(C2562,art_ref,0))&amp;"",""))</f>
        <v/>
      </c>
      <c r="G2562" s="37" t="n"/>
      <c r="H2562" s="37" t="n"/>
      <c r="I2562" s="37" t="n"/>
      <c r="J2562" s="40" t="str">
        <f>IF(OR(C2562="",NOT(ISNUMBER(E2562))),"",IFERROR(E2562*N(INDEX(art_price,MATCH(C2562,art_ref,0))),""))</f>
        <v/>
      </c>
      <c r="K2562" s="39" t="str">
        <f>IF(OR(C2562="",NOT(ISNUMBER(E2562))),"",IFERROR(ROUND(N(INDEX(art_init,MATCH(C2562,art_ref,0)))+SUMIFS($E$5:E2562,$C$5:C2562,C2562,$B$5:B2562,"Entrée")-SUMIFS($E$5:E2562,$C$5:C2562,C2562,$B$5:B2562,"Sortie"),6),""))</f>
        <v/>
      </c>
      <c r="L2562" s="39" t="str">
        <f>IF(COUNTA(A2562:C2562,E2562)=0,"",IF(COUNTA(A2562:C2562,E2562)&lt;4,"Ligne incomplète",IF(NOT(ISNUMBER(A2562)),"Date invalide",IF(AND(B2562&lt;&gt;"Entrée",B2562&lt;&gt;"Sortie"),"Type inconnu",IF(ISNA(MATCH(C2562,art_ref,0)),"Référence inconnue",IF(OR(NOT(ISNUMBER(E2562)),N(E2562)&lt;=0),"Quantité invalide",IF(K2562&lt;0,"Stock négatif",IF(AND(ISNUMBER(A2561),A2562&lt;A2561),"Date hors ordre","OK"))))))))</f>
        <v/>
      </c>
      <c r="M2562" s="39" t="str">
        <f>IF(C2562="","",C2562&amp;"#"&amp;COUNTIF($C$5:C2562,C2562))</f>
        <v/>
      </c>
    </row>
    <row r="2563">
      <c r="A2563" s="41" t="n"/>
      <c r="B2563" s="37" t="n"/>
      <c r="C2563" s="37" t="n"/>
      <c r="D2563" s="39" t="str">
        <f>IF(C2563="","",IFERROR(INDEX(art_des,MATCH(C2563,art_ref,0))&amp;"","Référence inconnue"))</f>
        <v/>
      </c>
      <c r="E2563" s="37" t="n"/>
      <c r="F2563" s="39" t="str">
        <f>IF(C2563="","",IFERROR(INDEX(art_unit,MATCH(C2563,art_ref,0))&amp;"",""))</f>
        <v/>
      </c>
      <c r="G2563" s="37" t="n"/>
      <c r="H2563" s="37" t="n"/>
      <c r="I2563" s="37" t="n"/>
      <c r="J2563" s="40" t="str">
        <f>IF(OR(C2563="",NOT(ISNUMBER(E2563))),"",IFERROR(E2563*N(INDEX(art_price,MATCH(C2563,art_ref,0))),""))</f>
        <v/>
      </c>
      <c r="K2563" s="39" t="str">
        <f>IF(OR(C2563="",NOT(ISNUMBER(E2563))),"",IFERROR(ROUND(N(INDEX(art_init,MATCH(C2563,art_ref,0)))+SUMIFS($E$5:E2563,$C$5:C2563,C2563,$B$5:B2563,"Entrée")-SUMIFS($E$5:E2563,$C$5:C2563,C2563,$B$5:B2563,"Sortie"),6),""))</f>
        <v/>
      </c>
      <c r="L2563" s="39" t="str">
        <f>IF(COUNTA(A2563:C2563,E2563)=0,"",IF(COUNTA(A2563:C2563,E2563)&lt;4,"Ligne incomplète",IF(NOT(ISNUMBER(A2563)),"Date invalide",IF(AND(B2563&lt;&gt;"Entrée",B2563&lt;&gt;"Sortie"),"Type inconnu",IF(ISNA(MATCH(C2563,art_ref,0)),"Référence inconnue",IF(OR(NOT(ISNUMBER(E2563)),N(E2563)&lt;=0),"Quantité invalide",IF(K2563&lt;0,"Stock négatif",IF(AND(ISNUMBER(A2562),A2563&lt;A2562),"Date hors ordre","OK"))))))))</f>
        <v/>
      </c>
      <c r="M2563" s="39" t="str">
        <f>IF(C2563="","",C2563&amp;"#"&amp;COUNTIF($C$5:C2563,C2563))</f>
        <v/>
      </c>
    </row>
    <row r="2564">
      <c r="A2564" s="41" t="n"/>
      <c r="B2564" s="37" t="n"/>
      <c r="C2564" s="37" t="n"/>
      <c r="D2564" s="39" t="str">
        <f>IF(C2564="","",IFERROR(INDEX(art_des,MATCH(C2564,art_ref,0))&amp;"","Référence inconnue"))</f>
        <v/>
      </c>
      <c r="E2564" s="37" t="n"/>
      <c r="F2564" s="39" t="str">
        <f>IF(C2564="","",IFERROR(INDEX(art_unit,MATCH(C2564,art_ref,0))&amp;"",""))</f>
        <v/>
      </c>
      <c r="G2564" s="37" t="n"/>
      <c r="H2564" s="37" t="n"/>
      <c r="I2564" s="37" t="n"/>
      <c r="J2564" s="40" t="str">
        <f>IF(OR(C2564="",NOT(ISNUMBER(E2564))),"",IFERROR(E2564*N(INDEX(art_price,MATCH(C2564,art_ref,0))),""))</f>
        <v/>
      </c>
      <c r="K2564" s="39" t="str">
        <f>IF(OR(C2564="",NOT(ISNUMBER(E2564))),"",IFERROR(ROUND(N(INDEX(art_init,MATCH(C2564,art_ref,0)))+SUMIFS($E$5:E2564,$C$5:C2564,C2564,$B$5:B2564,"Entrée")-SUMIFS($E$5:E2564,$C$5:C2564,C2564,$B$5:B2564,"Sortie"),6),""))</f>
        <v/>
      </c>
      <c r="L2564" s="39" t="str">
        <f>IF(COUNTA(A2564:C2564,E2564)=0,"",IF(COUNTA(A2564:C2564,E2564)&lt;4,"Ligne incomplète",IF(NOT(ISNUMBER(A2564)),"Date invalide",IF(AND(B2564&lt;&gt;"Entrée",B2564&lt;&gt;"Sortie"),"Type inconnu",IF(ISNA(MATCH(C2564,art_ref,0)),"Référence inconnue",IF(OR(NOT(ISNUMBER(E2564)),N(E2564)&lt;=0),"Quantité invalide",IF(K2564&lt;0,"Stock négatif",IF(AND(ISNUMBER(A2563),A2564&lt;A2563),"Date hors ordre","OK"))))))))</f>
        <v/>
      </c>
      <c r="M2564" s="39" t="str">
        <f>IF(C2564="","",C2564&amp;"#"&amp;COUNTIF($C$5:C2564,C2564))</f>
        <v/>
      </c>
    </row>
    <row r="2565">
      <c r="A2565" s="41" t="n"/>
      <c r="B2565" s="37" t="n"/>
      <c r="C2565" s="37" t="n"/>
      <c r="D2565" s="39" t="str">
        <f>IF(C2565="","",IFERROR(INDEX(art_des,MATCH(C2565,art_ref,0))&amp;"","Référence inconnue"))</f>
        <v/>
      </c>
      <c r="E2565" s="37" t="n"/>
      <c r="F2565" s="39" t="str">
        <f>IF(C2565="","",IFERROR(INDEX(art_unit,MATCH(C2565,art_ref,0))&amp;"",""))</f>
        <v/>
      </c>
      <c r="G2565" s="37" t="n"/>
      <c r="H2565" s="37" t="n"/>
      <c r="I2565" s="37" t="n"/>
      <c r="J2565" s="40" t="str">
        <f>IF(OR(C2565="",NOT(ISNUMBER(E2565))),"",IFERROR(E2565*N(INDEX(art_price,MATCH(C2565,art_ref,0))),""))</f>
        <v/>
      </c>
      <c r="K2565" s="39" t="str">
        <f>IF(OR(C2565="",NOT(ISNUMBER(E2565))),"",IFERROR(ROUND(N(INDEX(art_init,MATCH(C2565,art_ref,0)))+SUMIFS($E$5:E2565,$C$5:C2565,C2565,$B$5:B2565,"Entrée")-SUMIFS($E$5:E2565,$C$5:C2565,C2565,$B$5:B2565,"Sortie"),6),""))</f>
        <v/>
      </c>
      <c r="L2565" s="39" t="str">
        <f>IF(COUNTA(A2565:C2565,E2565)=0,"",IF(COUNTA(A2565:C2565,E2565)&lt;4,"Ligne incomplète",IF(NOT(ISNUMBER(A2565)),"Date invalide",IF(AND(B2565&lt;&gt;"Entrée",B2565&lt;&gt;"Sortie"),"Type inconnu",IF(ISNA(MATCH(C2565,art_ref,0)),"Référence inconnue",IF(OR(NOT(ISNUMBER(E2565)),N(E2565)&lt;=0),"Quantité invalide",IF(K2565&lt;0,"Stock négatif",IF(AND(ISNUMBER(A2564),A2565&lt;A2564),"Date hors ordre","OK"))))))))</f>
        <v/>
      </c>
      <c r="M2565" s="39" t="str">
        <f>IF(C2565="","",C2565&amp;"#"&amp;COUNTIF($C$5:C2565,C2565))</f>
        <v/>
      </c>
    </row>
    <row r="2566">
      <c r="A2566" s="41" t="n"/>
      <c r="B2566" s="37" t="n"/>
      <c r="C2566" s="37" t="n"/>
      <c r="D2566" s="39" t="str">
        <f>IF(C2566="","",IFERROR(INDEX(art_des,MATCH(C2566,art_ref,0))&amp;"","Référence inconnue"))</f>
        <v/>
      </c>
      <c r="E2566" s="37" t="n"/>
      <c r="F2566" s="39" t="str">
        <f>IF(C2566="","",IFERROR(INDEX(art_unit,MATCH(C2566,art_ref,0))&amp;"",""))</f>
        <v/>
      </c>
      <c r="G2566" s="37" t="n"/>
      <c r="H2566" s="37" t="n"/>
      <c r="I2566" s="37" t="n"/>
      <c r="J2566" s="40" t="str">
        <f>IF(OR(C2566="",NOT(ISNUMBER(E2566))),"",IFERROR(E2566*N(INDEX(art_price,MATCH(C2566,art_ref,0))),""))</f>
        <v/>
      </c>
      <c r="K2566" s="39" t="str">
        <f>IF(OR(C2566="",NOT(ISNUMBER(E2566))),"",IFERROR(ROUND(N(INDEX(art_init,MATCH(C2566,art_ref,0)))+SUMIFS($E$5:E2566,$C$5:C2566,C2566,$B$5:B2566,"Entrée")-SUMIFS($E$5:E2566,$C$5:C2566,C2566,$B$5:B2566,"Sortie"),6),""))</f>
        <v/>
      </c>
      <c r="L2566" s="39" t="str">
        <f>IF(COUNTA(A2566:C2566,E2566)=0,"",IF(COUNTA(A2566:C2566,E2566)&lt;4,"Ligne incomplète",IF(NOT(ISNUMBER(A2566)),"Date invalide",IF(AND(B2566&lt;&gt;"Entrée",B2566&lt;&gt;"Sortie"),"Type inconnu",IF(ISNA(MATCH(C2566,art_ref,0)),"Référence inconnue",IF(OR(NOT(ISNUMBER(E2566)),N(E2566)&lt;=0),"Quantité invalide",IF(K2566&lt;0,"Stock négatif",IF(AND(ISNUMBER(A2565),A2566&lt;A2565),"Date hors ordre","OK"))))))))</f>
        <v/>
      </c>
      <c r="M2566" s="39" t="str">
        <f>IF(C2566="","",C2566&amp;"#"&amp;COUNTIF($C$5:C2566,C2566))</f>
        <v/>
      </c>
    </row>
    <row r="2567">
      <c r="A2567" s="41" t="n"/>
      <c r="B2567" s="37" t="n"/>
      <c r="C2567" s="37" t="n"/>
      <c r="D2567" s="39" t="str">
        <f>IF(C2567="","",IFERROR(INDEX(art_des,MATCH(C2567,art_ref,0))&amp;"","Référence inconnue"))</f>
        <v/>
      </c>
      <c r="E2567" s="37" t="n"/>
      <c r="F2567" s="39" t="str">
        <f>IF(C2567="","",IFERROR(INDEX(art_unit,MATCH(C2567,art_ref,0))&amp;"",""))</f>
        <v/>
      </c>
      <c r="G2567" s="37" t="n"/>
      <c r="H2567" s="37" t="n"/>
      <c r="I2567" s="37" t="n"/>
      <c r="J2567" s="40" t="str">
        <f>IF(OR(C2567="",NOT(ISNUMBER(E2567))),"",IFERROR(E2567*N(INDEX(art_price,MATCH(C2567,art_ref,0))),""))</f>
        <v/>
      </c>
      <c r="K2567" s="39" t="str">
        <f>IF(OR(C2567="",NOT(ISNUMBER(E2567))),"",IFERROR(ROUND(N(INDEX(art_init,MATCH(C2567,art_ref,0)))+SUMIFS($E$5:E2567,$C$5:C2567,C2567,$B$5:B2567,"Entrée")-SUMIFS($E$5:E2567,$C$5:C2567,C2567,$B$5:B2567,"Sortie"),6),""))</f>
        <v/>
      </c>
      <c r="L2567" s="39" t="str">
        <f>IF(COUNTA(A2567:C2567,E2567)=0,"",IF(COUNTA(A2567:C2567,E2567)&lt;4,"Ligne incomplète",IF(NOT(ISNUMBER(A2567)),"Date invalide",IF(AND(B2567&lt;&gt;"Entrée",B2567&lt;&gt;"Sortie"),"Type inconnu",IF(ISNA(MATCH(C2567,art_ref,0)),"Référence inconnue",IF(OR(NOT(ISNUMBER(E2567)),N(E2567)&lt;=0),"Quantité invalide",IF(K2567&lt;0,"Stock négatif",IF(AND(ISNUMBER(A2566),A2567&lt;A2566),"Date hors ordre","OK"))))))))</f>
        <v/>
      </c>
      <c r="M2567" s="39" t="str">
        <f>IF(C2567="","",C2567&amp;"#"&amp;COUNTIF($C$5:C2567,C2567))</f>
        <v/>
      </c>
    </row>
    <row r="2568">
      <c r="A2568" s="41" t="n"/>
      <c r="B2568" s="37" t="n"/>
      <c r="C2568" s="37" t="n"/>
      <c r="D2568" s="39" t="str">
        <f>IF(C2568="","",IFERROR(INDEX(art_des,MATCH(C2568,art_ref,0))&amp;"","Référence inconnue"))</f>
        <v/>
      </c>
      <c r="E2568" s="37" t="n"/>
      <c r="F2568" s="39" t="str">
        <f>IF(C2568="","",IFERROR(INDEX(art_unit,MATCH(C2568,art_ref,0))&amp;"",""))</f>
        <v/>
      </c>
      <c r="G2568" s="37" t="n"/>
      <c r="H2568" s="37" t="n"/>
      <c r="I2568" s="37" t="n"/>
      <c r="J2568" s="40" t="str">
        <f>IF(OR(C2568="",NOT(ISNUMBER(E2568))),"",IFERROR(E2568*N(INDEX(art_price,MATCH(C2568,art_ref,0))),""))</f>
        <v/>
      </c>
      <c r="K2568" s="39" t="str">
        <f>IF(OR(C2568="",NOT(ISNUMBER(E2568))),"",IFERROR(ROUND(N(INDEX(art_init,MATCH(C2568,art_ref,0)))+SUMIFS($E$5:E2568,$C$5:C2568,C2568,$B$5:B2568,"Entrée")-SUMIFS($E$5:E2568,$C$5:C2568,C2568,$B$5:B2568,"Sortie"),6),""))</f>
        <v/>
      </c>
      <c r="L2568" s="39" t="str">
        <f>IF(COUNTA(A2568:C2568,E2568)=0,"",IF(COUNTA(A2568:C2568,E2568)&lt;4,"Ligne incomplète",IF(NOT(ISNUMBER(A2568)),"Date invalide",IF(AND(B2568&lt;&gt;"Entrée",B2568&lt;&gt;"Sortie"),"Type inconnu",IF(ISNA(MATCH(C2568,art_ref,0)),"Référence inconnue",IF(OR(NOT(ISNUMBER(E2568)),N(E2568)&lt;=0),"Quantité invalide",IF(K2568&lt;0,"Stock négatif",IF(AND(ISNUMBER(A2567),A2568&lt;A2567),"Date hors ordre","OK"))))))))</f>
        <v/>
      </c>
      <c r="M2568" s="39" t="str">
        <f>IF(C2568="","",C2568&amp;"#"&amp;COUNTIF($C$5:C2568,C2568))</f>
        <v/>
      </c>
    </row>
    <row r="2569">
      <c r="A2569" s="41" t="n"/>
      <c r="B2569" s="37" t="n"/>
      <c r="C2569" s="37" t="n"/>
      <c r="D2569" s="39" t="str">
        <f>IF(C2569="","",IFERROR(INDEX(art_des,MATCH(C2569,art_ref,0))&amp;"","Référence inconnue"))</f>
        <v/>
      </c>
      <c r="E2569" s="37" t="n"/>
      <c r="F2569" s="39" t="str">
        <f>IF(C2569="","",IFERROR(INDEX(art_unit,MATCH(C2569,art_ref,0))&amp;"",""))</f>
        <v/>
      </c>
      <c r="G2569" s="37" t="n"/>
      <c r="H2569" s="37" t="n"/>
      <c r="I2569" s="37" t="n"/>
      <c r="J2569" s="40" t="str">
        <f>IF(OR(C2569="",NOT(ISNUMBER(E2569))),"",IFERROR(E2569*N(INDEX(art_price,MATCH(C2569,art_ref,0))),""))</f>
        <v/>
      </c>
      <c r="K2569" s="39" t="str">
        <f>IF(OR(C2569="",NOT(ISNUMBER(E2569))),"",IFERROR(ROUND(N(INDEX(art_init,MATCH(C2569,art_ref,0)))+SUMIFS($E$5:E2569,$C$5:C2569,C2569,$B$5:B2569,"Entrée")-SUMIFS($E$5:E2569,$C$5:C2569,C2569,$B$5:B2569,"Sortie"),6),""))</f>
        <v/>
      </c>
      <c r="L2569" s="39" t="str">
        <f>IF(COUNTA(A2569:C2569,E2569)=0,"",IF(COUNTA(A2569:C2569,E2569)&lt;4,"Ligne incomplète",IF(NOT(ISNUMBER(A2569)),"Date invalide",IF(AND(B2569&lt;&gt;"Entrée",B2569&lt;&gt;"Sortie"),"Type inconnu",IF(ISNA(MATCH(C2569,art_ref,0)),"Référence inconnue",IF(OR(NOT(ISNUMBER(E2569)),N(E2569)&lt;=0),"Quantité invalide",IF(K2569&lt;0,"Stock négatif",IF(AND(ISNUMBER(A2568),A2569&lt;A2568),"Date hors ordre","OK"))))))))</f>
        <v/>
      </c>
      <c r="M2569" s="39" t="str">
        <f>IF(C2569="","",C2569&amp;"#"&amp;COUNTIF($C$5:C2569,C2569))</f>
        <v/>
      </c>
    </row>
    <row r="2570">
      <c r="A2570" s="41" t="n"/>
      <c r="B2570" s="37" t="n"/>
      <c r="C2570" s="37" t="n"/>
      <c r="D2570" s="39" t="str">
        <f>IF(C2570="","",IFERROR(INDEX(art_des,MATCH(C2570,art_ref,0))&amp;"","Référence inconnue"))</f>
        <v/>
      </c>
      <c r="E2570" s="37" t="n"/>
      <c r="F2570" s="39" t="str">
        <f>IF(C2570="","",IFERROR(INDEX(art_unit,MATCH(C2570,art_ref,0))&amp;"",""))</f>
        <v/>
      </c>
      <c r="G2570" s="37" t="n"/>
      <c r="H2570" s="37" t="n"/>
      <c r="I2570" s="37" t="n"/>
      <c r="J2570" s="40" t="str">
        <f>IF(OR(C2570="",NOT(ISNUMBER(E2570))),"",IFERROR(E2570*N(INDEX(art_price,MATCH(C2570,art_ref,0))),""))</f>
        <v/>
      </c>
      <c r="K2570" s="39" t="str">
        <f>IF(OR(C2570="",NOT(ISNUMBER(E2570))),"",IFERROR(ROUND(N(INDEX(art_init,MATCH(C2570,art_ref,0)))+SUMIFS($E$5:E2570,$C$5:C2570,C2570,$B$5:B2570,"Entrée")-SUMIFS($E$5:E2570,$C$5:C2570,C2570,$B$5:B2570,"Sortie"),6),""))</f>
        <v/>
      </c>
      <c r="L2570" s="39" t="str">
        <f>IF(COUNTA(A2570:C2570,E2570)=0,"",IF(COUNTA(A2570:C2570,E2570)&lt;4,"Ligne incomplète",IF(NOT(ISNUMBER(A2570)),"Date invalide",IF(AND(B2570&lt;&gt;"Entrée",B2570&lt;&gt;"Sortie"),"Type inconnu",IF(ISNA(MATCH(C2570,art_ref,0)),"Référence inconnue",IF(OR(NOT(ISNUMBER(E2570)),N(E2570)&lt;=0),"Quantité invalide",IF(K2570&lt;0,"Stock négatif",IF(AND(ISNUMBER(A2569),A2570&lt;A2569),"Date hors ordre","OK"))))))))</f>
        <v/>
      </c>
      <c r="M2570" s="39" t="str">
        <f>IF(C2570="","",C2570&amp;"#"&amp;COUNTIF($C$5:C2570,C2570))</f>
        <v/>
      </c>
    </row>
    <row r="2571">
      <c r="A2571" s="41" t="n"/>
      <c r="B2571" s="37" t="n"/>
      <c r="C2571" s="37" t="n"/>
      <c r="D2571" s="39" t="str">
        <f>IF(C2571="","",IFERROR(INDEX(art_des,MATCH(C2571,art_ref,0))&amp;"","Référence inconnue"))</f>
        <v/>
      </c>
      <c r="E2571" s="37" t="n"/>
      <c r="F2571" s="39" t="str">
        <f>IF(C2571="","",IFERROR(INDEX(art_unit,MATCH(C2571,art_ref,0))&amp;"",""))</f>
        <v/>
      </c>
      <c r="G2571" s="37" t="n"/>
      <c r="H2571" s="37" t="n"/>
      <c r="I2571" s="37" t="n"/>
      <c r="J2571" s="40" t="str">
        <f>IF(OR(C2571="",NOT(ISNUMBER(E2571))),"",IFERROR(E2571*N(INDEX(art_price,MATCH(C2571,art_ref,0))),""))</f>
        <v/>
      </c>
      <c r="K2571" s="39" t="str">
        <f>IF(OR(C2571="",NOT(ISNUMBER(E2571))),"",IFERROR(ROUND(N(INDEX(art_init,MATCH(C2571,art_ref,0)))+SUMIFS($E$5:E2571,$C$5:C2571,C2571,$B$5:B2571,"Entrée")-SUMIFS($E$5:E2571,$C$5:C2571,C2571,$B$5:B2571,"Sortie"),6),""))</f>
        <v/>
      </c>
      <c r="L2571" s="39" t="str">
        <f>IF(COUNTA(A2571:C2571,E2571)=0,"",IF(COUNTA(A2571:C2571,E2571)&lt;4,"Ligne incomplète",IF(NOT(ISNUMBER(A2571)),"Date invalide",IF(AND(B2571&lt;&gt;"Entrée",B2571&lt;&gt;"Sortie"),"Type inconnu",IF(ISNA(MATCH(C2571,art_ref,0)),"Référence inconnue",IF(OR(NOT(ISNUMBER(E2571)),N(E2571)&lt;=0),"Quantité invalide",IF(K2571&lt;0,"Stock négatif",IF(AND(ISNUMBER(A2570),A2571&lt;A2570),"Date hors ordre","OK"))))))))</f>
        <v/>
      </c>
      <c r="M2571" s="39" t="str">
        <f>IF(C2571="","",C2571&amp;"#"&amp;COUNTIF($C$5:C2571,C2571))</f>
        <v/>
      </c>
    </row>
    <row r="2572">
      <c r="A2572" s="41" t="n"/>
      <c r="B2572" s="37" t="n"/>
      <c r="C2572" s="37" t="n"/>
      <c r="D2572" s="39" t="str">
        <f>IF(C2572="","",IFERROR(INDEX(art_des,MATCH(C2572,art_ref,0))&amp;"","Référence inconnue"))</f>
        <v/>
      </c>
      <c r="E2572" s="37" t="n"/>
      <c r="F2572" s="39" t="str">
        <f>IF(C2572="","",IFERROR(INDEX(art_unit,MATCH(C2572,art_ref,0))&amp;"",""))</f>
        <v/>
      </c>
      <c r="G2572" s="37" t="n"/>
      <c r="H2572" s="37" t="n"/>
      <c r="I2572" s="37" t="n"/>
      <c r="J2572" s="40" t="str">
        <f>IF(OR(C2572="",NOT(ISNUMBER(E2572))),"",IFERROR(E2572*N(INDEX(art_price,MATCH(C2572,art_ref,0))),""))</f>
        <v/>
      </c>
      <c r="K2572" s="39" t="str">
        <f>IF(OR(C2572="",NOT(ISNUMBER(E2572))),"",IFERROR(ROUND(N(INDEX(art_init,MATCH(C2572,art_ref,0)))+SUMIFS($E$5:E2572,$C$5:C2572,C2572,$B$5:B2572,"Entrée")-SUMIFS($E$5:E2572,$C$5:C2572,C2572,$B$5:B2572,"Sortie"),6),""))</f>
        <v/>
      </c>
      <c r="L2572" s="39" t="str">
        <f>IF(COUNTA(A2572:C2572,E2572)=0,"",IF(COUNTA(A2572:C2572,E2572)&lt;4,"Ligne incomplète",IF(NOT(ISNUMBER(A2572)),"Date invalide",IF(AND(B2572&lt;&gt;"Entrée",B2572&lt;&gt;"Sortie"),"Type inconnu",IF(ISNA(MATCH(C2572,art_ref,0)),"Référence inconnue",IF(OR(NOT(ISNUMBER(E2572)),N(E2572)&lt;=0),"Quantité invalide",IF(K2572&lt;0,"Stock négatif",IF(AND(ISNUMBER(A2571),A2572&lt;A2571),"Date hors ordre","OK"))))))))</f>
        <v/>
      </c>
      <c r="M2572" s="39" t="str">
        <f>IF(C2572="","",C2572&amp;"#"&amp;COUNTIF($C$5:C2572,C2572))</f>
        <v/>
      </c>
    </row>
    <row r="2573">
      <c r="A2573" s="41" t="n"/>
      <c r="B2573" s="37" t="n"/>
      <c r="C2573" s="37" t="n"/>
      <c r="D2573" s="39" t="str">
        <f>IF(C2573="","",IFERROR(INDEX(art_des,MATCH(C2573,art_ref,0))&amp;"","Référence inconnue"))</f>
        <v/>
      </c>
      <c r="E2573" s="37" t="n"/>
      <c r="F2573" s="39" t="str">
        <f>IF(C2573="","",IFERROR(INDEX(art_unit,MATCH(C2573,art_ref,0))&amp;"",""))</f>
        <v/>
      </c>
      <c r="G2573" s="37" t="n"/>
      <c r="H2573" s="37" t="n"/>
      <c r="I2573" s="37" t="n"/>
      <c r="J2573" s="40" t="str">
        <f>IF(OR(C2573="",NOT(ISNUMBER(E2573))),"",IFERROR(E2573*N(INDEX(art_price,MATCH(C2573,art_ref,0))),""))</f>
        <v/>
      </c>
      <c r="K2573" s="39" t="str">
        <f>IF(OR(C2573="",NOT(ISNUMBER(E2573))),"",IFERROR(ROUND(N(INDEX(art_init,MATCH(C2573,art_ref,0)))+SUMIFS($E$5:E2573,$C$5:C2573,C2573,$B$5:B2573,"Entrée")-SUMIFS($E$5:E2573,$C$5:C2573,C2573,$B$5:B2573,"Sortie"),6),""))</f>
        <v/>
      </c>
      <c r="L2573" s="39" t="str">
        <f>IF(COUNTA(A2573:C2573,E2573)=0,"",IF(COUNTA(A2573:C2573,E2573)&lt;4,"Ligne incomplète",IF(NOT(ISNUMBER(A2573)),"Date invalide",IF(AND(B2573&lt;&gt;"Entrée",B2573&lt;&gt;"Sortie"),"Type inconnu",IF(ISNA(MATCH(C2573,art_ref,0)),"Référence inconnue",IF(OR(NOT(ISNUMBER(E2573)),N(E2573)&lt;=0),"Quantité invalide",IF(K2573&lt;0,"Stock négatif",IF(AND(ISNUMBER(A2572),A2573&lt;A2572),"Date hors ordre","OK"))))))))</f>
        <v/>
      </c>
      <c r="M2573" s="39" t="str">
        <f>IF(C2573="","",C2573&amp;"#"&amp;COUNTIF($C$5:C2573,C2573))</f>
        <v/>
      </c>
    </row>
    <row r="2574">
      <c r="A2574" s="41" t="n"/>
      <c r="B2574" s="37" t="n"/>
      <c r="C2574" s="37" t="n"/>
      <c r="D2574" s="39" t="str">
        <f>IF(C2574="","",IFERROR(INDEX(art_des,MATCH(C2574,art_ref,0))&amp;"","Référence inconnue"))</f>
        <v/>
      </c>
      <c r="E2574" s="37" t="n"/>
      <c r="F2574" s="39" t="str">
        <f>IF(C2574="","",IFERROR(INDEX(art_unit,MATCH(C2574,art_ref,0))&amp;"",""))</f>
        <v/>
      </c>
      <c r="G2574" s="37" t="n"/>
      <c r="H2574" s="37" t="n"/>
      <c r="I2574" s="37" t="n"/>
      <c r="J2574" s="40" t="str">
        <f>IF(OR(C2574="",NOT(ISNUMBER(E2574))),"",IFERROR(E2574*N(INDEX(art_price,MATCH(C2574,art_ref,0))),""))</f>
        <v/>
      </c>
      <c r="K2574" s="39" t="str">
        <f>IF(OR(C2574="",NOT(ISNUMBER(E2574))),"",IFERROR(ROUND(N(INDEX(art_init,MATCH(C2574,art_ref,0)))+SUMIFS($E$5:E2574,$C$5:C2574,C2574,$B$5:B2574,"Entrée")-SUMIFS($E$5:E2574,$C$5:C2574,C2574,$B$5:B2574,"Sortie"),6),""))</f>
        <v/>
      </c>
      <c r="L2574" s="39" t="str">
        <f>IF(COUNTA(A2574:C2574,E2574)=0,"",IF(COUNTA(A2574:C2574,E2574)&lt;4,"Ligne incomplète",IF(NOT(ISNUMBER(A2574)),"Date invalide",IF(AND(B2574&lt;&gt;"Entrée",B2574&lt;&gt;"Sortie"),"Type inconnu",IF(ISNA(MATCH(C2574,art_ref,0)),"Référence inconnue",IF(OR(NOT(ISNUMBER(E2574)),N(E2574)&lt;=0),"Quantité invalide",IF(K2574&lt;0,"Stock négatif",IF(AND(ISNUMBER(A2573),A2574&lt;A2573),"Date hors ordre","OK"))))))))</f>
        <v/>
      </c>
      <c r="M2574" s="39" t="str">
        <f>IF(C2574="","",C2574&amp;"#"&amp;COUNTIF($C$5:C2574,C2574))</f>
        <v/>
      </c>
    </row>
    <row r="2575">
      <c r="A2575" s="41" t="n"/>
      <c r="B2575" s="37" t="n"/>
      <c r="C2575" s="37" t="n"/>
      <c r="D2575" s="39" t="str">
        <f>IF(C2575="","",IFERROR(INDEX(art_des,MATCH(C2575,art_ref,0))&amp;"","Référence inconnue"))</f>
        <v/>
      </c>
      <c r="E2575" s="37" t="n"/>
      <c r="F2575" s="39" t="str">
        <f>IF(C2575="","",IFERROR(INDEX(art_unit,MATCH(C2575,art_ref,0))&amp;"",""))</f>
        <v/>
      </c>
      <c r="G2575" s="37" t="n"/>
      <c r="H2575" s="37" t="n"/>
      <c r="I2575" s="37" t="n"/>
      <c r="J2575" s="40" t="str">
        <f>IF(OR(C2575="",NOT(ISNUMBER(E2575))),"",IFERROR(E2575*N(INDEX(art_price,MATCH(C2575,art_ref,0))),""))</f>
        <v/>
      </c>
      <c r="K2575" s="39" t="str">
        <f>IF(OR(C2575="",NOT(ISNUMBER(E2575))),"",IFERROR(ROUND(N(INDEX(art_init,MATCH(C2575,art_ref,0)))+SUMIFS($E$5:E2575,$C$5:C2575,C2575,$B$5:B2575,"Entrée")-SUMIFS($E$5:E2575,$C$5:C2575,C2575,$B$5:B2575,"Sortie"),6),""))</f>
        <v/>
      </c>
      <c r="L2575" s="39" t="str">
        <f>IF(COUNTA(A2575:C2575,E2575)=0,"",IF(COUNTA(A2575:C2575,E2575)&lt;4,"Ligne incomplète",IF(NOT(ISNUMBER(A2575)),"Date invalide",IF(AND(B2575&lt;&gt;"Entrée",B2575&lt;&gt;"Sortie"),"Type inconnu",IF(ISNA(MATCH(C2575,art_ref,0)),"Référence inconnue",IF(OR(NOT(ISNUMBER(E2575)),N(E2575)&lt;=0),"Quantité invalide",IF(K2575&lt;0,"Stock négatif",IF(AND(ISNUMBER(A2574),A2575&lt;A2574),"Date hors ordre","OK"))))))))</f>
        <v/>
      </c>
      <c r="M2575" s="39" t="str">
        <f>IF(C2575="","",C2575&amp;"#"&amp;COUNTIF($C$5:C2575,C2575))</f>
        <v/>
      </c>
    </row>
    <row r="2576">
      <c r="A2576" s="41" t="n"/>
      <c r="B2576" s="37" t="n"/>
      <c r="C2576" s="37" t="n"/>
      <c r="D2576" s="39" t="str">
        <f>IF(C2576="","",IFERROR(INDEX(art_des,MATCH(C2576,art_ref,0))&amp;"","Référence inconnue"))</f>
        <v/>
      </c>
      <c r="E2576" s="37" t="n"/>
      <c r="F2576" s="39" t="str">
        <f>IF(C2576="","",IFERROR(INDEX(art_unit,MATCH(C2576,art_ref,0))&amp;"",""))</f>
        <v/>
      </c>
      <c r="G2576" s="37" t="n"/>
      <c r="H2576" s="37" t="n"/>
      <c r="I2576" s="37" t="n"/>
      <c r="J2576" s="40" t="str">
        <f>IF(OR(C2576="",NOT(ISNUMBER(E2576))),"",IFERROR(E2576*N(INDEX(art_price,MATCH(C2576,art_ref,0))),""))</f>
        <v/>
      </c>
      <c r="K2576" s="39" t="str">
        <f>IF(OR(C2576="",NOT(ISNUMBER(E2576))),"",IFERROR(ROUND(N(INDEX(art_init,MATCH(C2576,art_ref,0)))+SUMIFS($E$5:E2576,$C$5:C2576,C2576,$B$5:B2576,"Entrée")-SUMIFS($E$5:E2576,$C$5:C2576,C2576,$B$5:B2576,"Sortie"),6),""))</f>
        <v/>
      </c>
      <c r="L2576" s="39" t="str">
        <f>IF(COUNTA(A2576:C2576,E2576)=0,"",IF(COUNTA(A2576:C2576,E2576)&lt;4,"Ligne incomplète",IF(NOT(ISNUMBER(A2576)),"Date invalide",IF(AND(B2576&lt;&gt;"Entrée",B2576&lt;&gt;"Sortie"),"Type inconnu",IF(ISNA(MATCH(C2576,art_ref,0)),"Référence inconnue",IF(OR(NOT(ISNUMBER(E2576)),N(E2576)&lt;=0),"Quantité invalide",IF(K2576&lt;0,"Stock négatif",IF(AND(ISNUMBER(A2575),A2576&lt;A2575),"Date hors ordre","OK"))))))))</f>
        <v/>
      </c>
      <c r="M2576" s="39" t="str">
        <f>IF(C2576="","",C2576&amp;"#"&amp;COUNTIF($C$5:C2576,C2576))</f>
        <v/>
      </c>
    </row>
    <row r="2577">
      <c r="A2577" s="41" t="n"/>
      <c r="B2577" s="37" t="n"/>
      <c r="C2577" s="37" t="n"/>
      <c r="D2577" s="39" t="str">
        <f>IF(C2577="","",IFERROR(INDEX(art_des,MATCH(C2577,art_ref,0))&amp;"","Référence inconnue"))</f>
        <v/>
      </c>
      <c r="E2577" s="37" t="n"/>
      <c r="F2577" s="39" t="str">
        <f>IF(C2577="","",IFERROR(INDEX(art_unit,MATCH(C2577,art_ref,0))&amp;"",""))</f>
        <v/>
      </c>
      <c r="G2577" s="37" t="n"/>
      <c r="H2577" s="37" t="n"/>
      <c r="I2577" s="37" t="n"/>
      <c r="J2577" s="40" t="str">
        <f>IF(OR(C2577="",NOT(ISNUMBER(E2577))),"",IFERROR(E2577*N(INDEX(art_price,MATCH(C2577,art_ref,0))),""))</f>
        <v/>
      </c>
      <c r="K2577" s="39" t="str">
        <f>IF(OR(C2577="",NOT(ISNUMBER(E2577))),"",IFERROR(ROUND(N(INDEX(art_init,MATCH(C2577,art_ref,0)))+SUMIFS($E$5:E2577,$C$5:C2577,C2577,$B$5:B2577,"Entrée")-SUMIFS($E$5:E2577,$C$5:C2577,C2577,$B$5:B2577,"Sortie"),6),""))</f>
        <v/>
      </c>
      <c r="L2577" s="39" t="str">
        <f>IF(COUNTA(A2577:C2577,E2577)=0,"",IF(COUNTA(A2577:C2577,E2577)&lt;4,"Ligne incomplète",IF(NOT(ISNUMBER(A2577)),"Date invalide",IF(AND(B2577&lt;&gt;"Entrée",B2577&lt;&gt;"Sortie"),"Type inconnu",IF(ISNA(MATCH(C2577,art_ref,0)),"Référence inconnue",IF(OR(NOT(ISNUMBER(E2577)),N(E2577)&lt;=0),"Quantité invalide",IF(K2577&lt;0,"Stock négatif",IF(AND(ISNUMBER(A2576),A2577&lt;A2576),"Date hors ordre","OK"))))))))</f>
        <v/>
      </c>
      <c r="M2577" s="39" t="str">
        <f>IF(C2577="","",C2577&amp;"#"&amp;COUNTIF($C$5:C2577,C2577))</f>
        <v/>
      </c>
    </row>
    <row r="2578">
      <c r="A2578" s="41" t="n"/>
      <c r="B2578" s="37" t="n"/>
      <c r="C2578" s="37" t="n"/>
      <c r="D2578" s="39" t="str">
        <f>IF(C2578="","",IFERROR(INDEX(art_des,MATCH(C2578,art_ref,0))&amp;"","Référence inconnue"))</f>
        <v/>
      </c>
      <c r="E2578" s="37" t="n"/>
      <c r="F2578" s="39" t="str">
        <f>IF(C2578="","",IFERROR(INDEX(art_unit,MATCH(C2578,art_ref,0))&amp;"",""))</f>
        <v/>
      </c>
      <c r="G2578" s="37" t="n"/>
      <c r="H2578" s="37" t="n"/>
      <c r="I2578" s="37" t="n"/>
      <c r="J2578" s="40" t="str">
        <f>IF(OR(C2578="",NOT(ISNUMBER(E2578))),"",IFERROR(E2578*N(INDEX(art_price,MATCH(C2578,art_ref,0))),""))</f>
        <v/>
      </c>
      <c r="K2578" s="39" t="str">
        <f>IF(OR(C2578="",NOT(ISNUMBER(E2578))),"",IFERROR(ROUND(N(INDEX(art_init,MATCH(C2578,art_ref,0)))+SUMIFS($E$5:E2578,$C$5:C2578,C2578,$B$5:B2578,"Entrée")-SUMIFS($E$5:E2578,$C$5:C2578,C2578,$B$5:B2578,"Sortie"),6),""))</f>
        <v/>
      </c>
      <c r="L2578" s="39" t="str">
        <f>IF(COUNTA(A2578:C2578,E2578)=0,"",IF(COUNTA(A2578:C2578,E2578)&lt;4,"Ligne incomplète",IF(NOT(ISNUMBER(A2578)),"Date invalide",IF(AND(B2578&lt;&gt;"Entrée",B2578&lt;&gt;"Sortie"),"Type inconnu",IF(ISNA(MATCH(C2578,art_ref,0)),"Référence inconnue",IF(OR(NOT(ISNUMBER(E2578)),N(E2578)&lt;=0),"Quantité invalide",IF(K2578&lt;0,"Stock négatif",IF(AND(ISNUMBER(A2577),A2578&lt;A2577),"Date hors ordre","OK"))))))))</f>
        <v/>
      </c>
      <c r="M2578" s="39" t="str">
        <f>IF(C2578="","",C2578&amp;"#"&amp;COUNTIF($C$5:C2578,C2578))</f>
        <v/>
      </c>
    </row>
    <row r="2579">
      <c r="A2579" s="41" t="n"/>
      <c r="B2579" s="37" t="n"/>
      <c r="C2579" s="37" t="n"/>
      <c r="D2579" s="39" t="str">
        <f>IF(C2579="","",IFERROR(INDEX(art_des,MATCH(C2579,art_ref,0))&amp;"","Référence inconnue"))</f>
        <v/>
      </c>
      <c r="E2579" s="37" t="n"/>
      <c r="F2579" s="39" t="str">
        <f>IF(C2579="","",IFERROR(INDEX(art_unit,MATCH(C2579,art_ref,0))&amp;"",""))</f>
        <v/>
      </c>
      <c r="G2579" s="37" t="n"/>
      <c r="H2579" s="37" t="n"/>
      <c r="I2579" s="37" t="n"/>
      <c r="J2579" s="40" t="str">
        <f>IF(OR(C2579="",NOT(ISNUMBER(E2579))),"",IFERROR(E2579*N(INDEX(art_price,MATCH(C2579,art_ref,0))),""))</f>
        <v/>
      </c>
      <c r="K2579" s="39" t="str">
        <f>IF(OR(C2579="",NOT(ISNUMBER(E2579))),"",IFERROR(ROUND(N(INDEX(art_init,MATCH(C2579,art_ref,0)))+SUMIFS($E$5:E2579,$C$5:C2579,C2579,$B$5:B2579,"Entrée")-SUMIFS($E$5:E2579,$C$5:C2579,C2579,$B$5:B2579,"Sortie"),6),""))</f>
        <v/>
      </c>
      <c r="L2579" s="39" t="str">
        <f>IF(COUNTA(A2579:C2579,E2579)=0,"",IF(COUNTA(A2579:C2579,E2579)&lt;4,"Ligne incomplète",IF(NOT(ISNUMBER(A2579)),"Date invalide",IF(AND(B2579&lt;&gt;"Entrée",B2579&lt;&gt;"Sortie"),"Type inconnu",IF(ISNA(MATCH(C2579,art_ref,0)),"Référence inconnue",IF(OR(NOT(ISNUMBER(E2579)),N(E2579)&lt;=0),"Quantité invalide",IF(K2579&lt;0,"Stock négatif",IF(AND(ISNUMBER(A2578),A2579&lt;A2578),"Date hors ordre","OK"))))))))</f>
        <v/>
      </c>
      <c r="M2579" s="39" t="str">
        <f>IF(C2579="","",C2579&amp;"#"&amp;COUNTIF($C$5:C2579,C2579))</f>
        <v/>
      </c>
    </row>
    <row r="2580">
      <c r="A2580" s="41" t="n"/>
      <c r="B2580" s="37" t="n"/>
      <c r="C2580" s="37" t="n"/>
      <c r="D2580" s="39" t="str">
        <f>IF(C2580="","",IFERROR(INDEX(art_des,MATCH(C2580,art_ref,0))&amp;"","Référence inconnue"))</f>
        <v/>
      </c>
      <c r="E2580" s="37" t="n"/>
      <c r="F2580" s="39" t="str">
        <f>IF(C2580="","",IFERROR(INDEX(art_unit,MATCH(C2580,art_ref,0))&amp;"",""))</f>
        <v/>
      </c>
      <c r="G2580" s="37" t="n"/>
      <c r="H2580" s="37" t="n"/>
      <c r="I2580" s="37" t="n"/>
      <c r="J2580" s="40" t="str">
        <f>IF(OR(C2580="",NOT(ISNUMBER(E2580))),"",IFERROR(E2580*N(INDEX(art_price,MATCH(C2580,art_ref,0))),""))</f>
        <v/>
      </c>
      <c r="K2580" s="39" t="str">
        <f>IF(OR(C2580="",NOT(ISNUMBER(E2580))),"",IFERROR(ROUND(N(INDEX(art_init,MATCH(C2580,art_ref,0)))+SUMIFS($E$5:E2580,$C$5:C2580,C2580,$B$5:B2580,"Entrée")-SUMIFS($E$5:E2580,$C$5:C2580,C2580,$B$5:B2580,"Sortie"),6),""))</f>
        <v/>
      </c>
      <c r="L2580" s="39" t="str">
        <f>IF(COUNTA(A2580:C2580,E2580)=0,"",IF(COUNTA(A2580:C2580,E2580)&lt;4,"Ligne incomplète",IF(NOT(ISNUMBER(A2580)),"Date invalide",IF(AND(B2580&lt;&gt;"Entrée",B2580&lt;&gt;"Sortie"),"Type inconnu",IF(ISNA(MATCH(C2580,art_ref,0)),"Référence inconnue",IF(OR(NOT(ISNUMBER(E2580)),N(E2580)&lt;=0),"Quantité invalide",IF(K2580&lt;0,"Stock négatif",IF(AND(ISNUMBER(A2579),A2580&lt;A2579),"Date hors ordre","OK"))))))))</f>
        <v/>
      </c>
      <c r="M2580" s="39" t="str">
        <f>IF(C2580="","",C2580&amp;"#"&amp;COUNTIF($C$5:C2580,C2580))</f>
        <v/>
      </c>
    </row>
    <row r="2581">
      <c r="A2581" s="41" t="n"/>
      <c r="B2581" s="37" t="n"/>
      <c r="C2581" s="37" t="n"/>
      <c r="D2581" s="39" t="str">
        <f>IF(C2581="","",IFERROR(INDEX(art_des,MATCH(C2581,art_ref,0))&amp;"","Référence inconnue"))</f>
        <v/>
      </c>
      <c r="E2581" s="37" t="n"/>
      <c r="F2581" s="39" t="str">
        <f>IF(C2581="","",IFERROR(INDEX(art_unit,MATCH(C2581,art_ref,0))&amp;"",""))</f>
        <v/>
      </c>
      <c r="G2581" s="37" t="n"/>
      <c r="H2581" s="37" t="n"/>
      <c r="I2581" s="37" t="n"/>
      <c r="J2581" s="40" t="str">
        <f>IF(OR(C2581="",NOT(ISNUMBER(E2581))),"",IFERROR(E2581*N(INDEX(art_price,MATCH(C2581,art_ref,0))),""))</f>
        <v/>
      </c>
      <c r="K2581" s="39" t="str">
        <f>IF(OR(C2581="",NOT(ISNUMBER(E2581))),"",IFERROR(ROUND(N(INDEX(art_init,MATCH(C2581,art_ref,0)))+SUMIFS($E$5:E2581,$C$5:C2581,C2581,$B$5:B2581,"Entrée")-SUMIFS($E$5:E2581,$C$5:C2581,C2581,$B$5:B2581,"Sortie"),6),""))</f>
        <v/>
      </c>
      <c r="L2581" s="39" t="str">
        <f>IF(COUNTA(A2581:C2581,E2581)=0,"",IF(COUNTA(A2581:C2581,E2581)&lt;4,"Ligne incomplète",IF(NOT(ISNUMBER(A2581)),"Date invalide",IF(AND(B2581&lt;&gt;"Entrée",B2581&lt;&gt;"Sortie"),"Type inconnu",IF(ISNA(MATCH(C2581,art_ref,0)),"Référence inconnue",IF(OR(NOT(ISNUMBER(E2581)),N(E2581)&lt;=0),"Quantité invalide",IF(K2581&lt;0,"Stock négatif",IF(AND(ISNUMBER(A2580),A2581&lt;A2580),"Date hors ordre","OK"))))))))</f>
        <v/>
      </c>
      <c r="M2581" s="39" t="str">
        <f>IF(C2581="","",C2581&amp;"#"&amp;COUNTIF($C$5:C2581,C2581))</f>
        <v/>
      </c>
    </row>
    <row r="2582">
      <c r="A2582" s="41" t="n"/>
      <c r="B2582" s="37" t="n"/>
      <c r="C2582" s="37" t="n"/>
      <c r="D2582" s="39" t="str">
        <f>IF(C2582="","",IFERROR(INDEX(art_des,MATCH(C2582,art_ref,0))&amp;"","Référence inconnue"))</f>
        <v/>
      </c>
      <c r="E2582" s="37" t="n"/>
      <c r="F2582" s="39" t="str">
        <f>IF(C2582="","",IFERROR(INDEX(art_unit,MATCH(C2582,art_ref,0))&amp;"",""))</f>
        <v/>
      </c>
      <c r="G2582" s="37" t="n"/>
      <c r="H2582" s="37" t="n"/>
      <c r="I2582" s="37" t="n"/>
      <c r="J2582" s="40" t="str">
        <f>IF(OR(C2582="",NOT(ISNUMBER(E2582))),"",IFERROR(E2582*N(INDEX(art_price,MATCH(C2582,art_ref,0))),""))</f>
        <v/>
      </c>
      <c r="K2582" s="39" t="str">
        <f>IF(OR(C2582="",NOT(ISNUMBER(E2582))),"",IFERROR(ROUND(N(INDEX(art_init,MATCH(C2582,art_ref,0)))+SUMIFS($E$5:E2582,$C$5:C2582,C2582,$B$5:B2582,"Entrée")-SUMIFS($E$5:E2582,$C$5:C2582,C2582,$B$5:B2582,"Sortie"),6),""))</f>
        <v/>
      </c>
      <c r="L2582" s="39" t="str">
        <f>IF(COUNTA(A2582:C2582,E2582)=0,"",IF(COUNTA(A2582:C2582,E2582)&lt;4,"Ligne incomplète",IF(NOT(ISNUMBER(A2582)),"Date invalide",IF(AND(B2582&lt;&gt;"Entrée",B2582&lt;&gt;"Sortie"),"Type inconnu",IF(ISNA(MATCH(C2582,art_ref,0)),"Référence inconnue",IF(OR(NOT(ISNUMBER(E2582)),N(E2582)&lt;=0),"Quantité invalide",IF(K2582&lt;0,"Stock négatif",IF(AND(ISNUMBER(A2581),A2582&lt;A2581),"Date hors ordre","OK"))))))))</f>
        <v/>
      </c>
      <c r="M2582" s="39" t="str">
        <f>IF(C2582="","",C2582&amp;"#"&amp;COUNTIF($C$5:C2582,C2582))</f>
        <v/>
      </c>
    </row>
    <row r="2583">
      <c r="A2583" s="41" t="n"/>
      <c r="B2583" s="37" t="n"/>
      <c r="C2583" s="37" t="n"/>
      <c r="D2583" s="39" t="str">
        <f>IF(C2583="","",IFERROR(INDEX(art_des,MATCH(C2583,art_ref,0))&amp;"","Référence inconnue"))</f>
        <v/>
      </c>
      <c r="E2583" s="37" t="n"/>
      <c r="F2583" s="39" t="str">
        <f>IF(C2583="","",IFERROR(INDEX(art_unit,MATCH(C2583,art_ref,0))&amp;"",""))</f>
        <v/>
      </c>
      <c r="G2583" s="37" t="n"/>
      <c r="H2583" s="37" t="n"/>
      <c r="I2583" s="37" t="n"/>
      <c r="J2583" s="40" t="str">
        <f>IF(OR(C2583="",NOT(ISNUMBER(E2583))),"",IFERROR(E2583*N(INDEX(art_price,MATCH(C2583,art_ref,0))),""))</f>
        <v/>
      </c>
      <c r="K2583" s="39" t="str">
        <f>IF(OR(C2583="",NOT(ISNUMBER(E2583))),"",IFERROR(ROUND(N(INDEX(art_init,MATCH(C2583,art_ref,0)))+SUMIFS($E$5:E2583,$C$5:C2583,C2583,$B$5:B2583,"Entrée")-SUMIFS($E$5:E2583,$C$5:C2583,C2583,$B$5:B2583,"Sortie"),6),""))</f>
        <v/>
      </c>
      <c r="L2583" s="39" t="str">
        <f>IF(COUNTA(A2583:C2583,E2583)=0,"",IF(COUNTA(A2583:C2583,E2583)&lt;4,"Ligne incomplète",IF(NOT(ISNUMBER(A2583)),"Date invalide",IF(AND(B2583&lt;&gt;"Entrée",B2583&lt;&gt;"Sortie"),"Type inconnu",IF(ISNA(MATCH(C2583,art_ref,0)),"Référence inconnue",IF(OR(NOT(ISNUMBER(E2583)),N(E2583)&lt;=0),"Quantité invalide",IF(K2583&lt;0,"Stock négatif",IF(AND(ISNUMBER(A2582),A2583&lt;A2582),"Date hors ordre","OK"))))))))</f>
        <v/>
      </c>
      <c r="M2583" s="39" t="str">
        <f>IF(C2583="","",C2583&amp;"#"&amp;COUNTIF($C$5:C2583,C2583))</f>
        <v/>
      </c>
    </row>
    <row r="2584">
      <c r="A2584" s="41" t="n"/>
      <c r="B2584" s="37" t="n"/>
      <c r="C2584" s="37" t="n"/>
      <c r="D2584" s="39" t="str">
        <f>IF(C2584="","",IFERROR(INDEX(art_des,MATCH(C2584,art_ref,0))&amp;"","Référence inconnue"))</f>
        <v/>
      </c>
      <c r="E2584" s="37" t="n"/>
      <c r="F2584" s="39" t="str">
        <f>IF(C2584="","",IFERROR(INDEX(art_unit,MATCH(C2584,art_ref,0))&amp;"",""))</f>
        <v/>
      </c>
      <c r="G2584" s="37" t="n"/>
      <c r="H2584" s="37" t="n"/>
      <c r="I2584" s="37" t="n"/>
      <c r="J2584" s="40" t="str">
        <f>IF(OR(C2584="",NOT(ISNUMBER(E2584))),"",IFERROR(E2584*N(INDEX(art_price,MATCH(C2584,art_ref,0))),""))</f>
        <v/>
      </c>
      <c r="K2584" s="39" t="str">
        <f>IF(OR(C2584="",NOT(ISNUMBER(E2584))),"",IFERROR(ROUND(N(INDEX(art_init,MATCH(C2584,art_ref,0)))+SUMIFS($E$5:E2584,$C$5:C2584,C2584,$B$5:B2584,"Entrée")-SUMIFS($E$5:E2584,$C$5:C2584,C2584,$B$5:B2584,"Sortie"),6),""))</f>
        <v/>
      </c>
      <c r="L2584" s="39" t="str">
        <f>IF(COUNTA(A2584:C2584,E2584)=0,"",IF(COUNTA(A2584:C2584,E2584)&lt;4,"Ligne incomplète",IF(NOT(ISNUMBER(A2584)),"Date invalide",IF(AND(B2584&lt;&gt;"Entrée",B2584&lt;&gt;"Sortie"),"Type inconnu",IF(ISNA(MATCH(C2584,art_ref,0)),"Référence inconnue",IF(OR(NOT(ISNUMBER(E2584)),N(E2584)&lt;=0),"Quantité invalide",IF(K2584&lt;0,"Stock négatif",IF(AND(ISNUMBER(A2583),A2584&lt;A2583),"Date hors ordre","OK"))))))))</f>
        <v/>
      </c>
      <c r="M2584" s="39" t="str">
        <f>IF(C2584="","",C2584&amp;"#"&amp;COUNTIF($C$5:C2584,C2584))</f>
        <v/>
      </c>
    </row>
    <row r="2585">
      <c r="A2585" s="41" t="n"/>
      <c r="B2585" s="37" t="n"/>
      <c r="C2585" s="37" t="n"/>
      <c r="D2585" s="39" t="str">
        <f>IF(C2585="","",IFERROR(INDEX(art_des,MATCH(C2585,art_ref,0))&amp;"","Référence inconnue"))</f>
        <v/>
      </c>
      <c r="E2585" s="37" t="n"/>
      <c r="F2585" s="39" t="str">
        <f>IF(C2585="","",IFERROR(INDEX(art_unit,MATCH(C2585,art_ref,0))&amp;"",""))</f>
        <v/>
      </c>
      <c r="G2585" s="37" t="n"/>
      <c r="H2585" s="37" t="n"/>
      <c r="I2585" s="37" t="n"/>
      <c r="J2585" s="40" t="str">
        <f>IF(OR(C2585="",NOT(ISNUMBER(E2585))),"",IFERROR(E2585*N(INDEX(art_price,MATCH(C2585,art_ref,0))),""))</f>
        <v/>
      </c>
      <c r="K2585" s="39" t="str">
        <f>IF(OR(C2585="",NOT(ISNUMBER(E2585))),"",IFERROR(ROUND(N(INDEX(art_init,MATCH(C2585,art_ref,0)))+SUMIFS($E$5:E2585,$C$5:C2585,C2585,$B$5:B2585,"Entrée")-SUMIFS($E$5:E2585,$C$5:C2585,C2585,$B$5:B2585,"Sortie"),6),""))</f>
        <v/>
      </c>
      <c r="L2585" s="39" t="str">
        <f>IF(COUNTA(A2585:C2585,E2585)=0,"",IF(COUNTA(A2585:C2585,E2585)&lt;4,"Ligne incomplète",IF(NOT(ISNUMBER(A2585)),"Date invalide",IF(AND(B2585&lt;&gt;"Entrée",B2585&lt;&gt;"Sortie"),"Type inconnu",IF(ISNA(MATCH(C2585,art_ref,0)),"Référence inconnue",IF(OR(NOT(ISNUMBER(E2585)),N(E2585)&lt;=0),"Quantité invalide",IF(K2585&lt;0,"Stock négatif",IF(AND(ISNUMBER(A2584),A2585&lt;A2584),"Date hors ordre","OK"))))))))</f>
        <v/>
      </c>
      <c r="M2585" s="39" t="str">
        <f>IF(C2585="","",C2585&amp;"#"&amp;COUNTIF($C$5:C2585,C2585))</f>
        <v/>
      </c>
    </row>
    <row r="2586">
      <c r="A2586" s="41" t="n"/>
      <c r="B2586" s="37" t="n"/>
      <c r="C2586" s="37" t="n"/>
      <c r="D2586" s="39" t="str">
        <f>IF(C2586="","",IFERROR(INDEX(art_des,MATCH(C2586,art_ref,0))&amp;"","Référence inconnue"))</f>
        <v/>
      </c>
      <c r="E2586" s="37" t="n"/>
      <c r="F2586" s="39" t="str">
        <f>IF(C2586="","",IFERROR(INDEX(art_unit,MATCH(C2586,art_ref,0))&amp;"",""))</f>
        <v/>
      </c>
      <c r="G2586" s="37" t="n"/>
      <c r="H2586" s="37" t="n"/>
      <c r="I2586" s="37" t="n"/>
      <c r="J2586" s="40" t="str">
        <f>IF(OR(C2586="",NOT(ISNUMBER(E2586))),"",IFERROR(E2586*N(INDEX(art_price,MATCH(C2586,art_ref,0))),""))</f>
        <v/>
      </c>
      <c r="K2586" s="39" t="str">
        <f>IF(OR(C2586="",NOT(ISNUMBER(E2586))),"",IFERROR(ROUND(N(INDEX(art_init,MATCH(C2586,art_ref,0)))+SUMIFS($E$5:E2586,$C$5:C2586,C2586,$B$5:B2586,"Entrée")-SUMIFS($E$5:E2586,$C$5:C2586,C2586,$B$5:B2586,"Sortie"),6),""))</f>
        <v/>
      </c>
      <c r="L2586" s="39" t="str">
        <f>IF(COUNTA(A2586:C2586,E2586)=0,"",IF(COUNTA(A2586:C2586,E2586)&lt;4,"Ligne incomplète",IF(NOT(ISNUMBER(A2586)),"Date invalide",IF(AND(B2586&lt;&gt;"Entrée",B2586&lt;&gt;"Sortie"),"Type inconnu",IF(ISNA(MATCH(C2586,art_ref,0)),"Référence inconnue",IF(OR(NOT(ISNUMBER(E2586)),N(E2586)&lt;=0),"Quantité invalide",IF(K2586&lt;0,"Stock négatif",IF(AND(ISNUMBER(A2585),A2586&lt;A2585),"Date hors ordre","OK"))))))))</f>
        <v/>
      </c>
      <c r="M2586" s="39" t="str">
        <f>IF(C2586="","",C2586&amp;"#"&amp;COUNTIF($C$5:C2586,C2586))</f>
        <v/>
      </c>
    </row>
    <row r="2587">
      <c r="A2587" s="41" t="n"/>
      <c r="B2587" s="37" t="n"/>
      <c r="C2587" s="37" t="n"/>
      <c r="D2587" s="39" t="str">
        <f>IF(C2587="","",IFERROR(INDEX(art_des,MATCH(C2587,art_ref,0))&amp;"","Référence inconnue"))</f>
        <v/>
      </c>
      <c r="E2587" s="37" t="n"/>
      <c r="F2587" s="39" t="str">
        <f>IF(C2587="","",IFERROR(INDEX(art_unit,MATCH(C2587,art_ref,0))&amp;"",""))</f>
        <v/>
      </c>
      <c r="G2587" s="37" t="n"/>
      <c r="H2587" s="37" t="n"/>
      <c r="I2587" s="37" t="n"/>
      <c r="J2587" s="40" t="str">
        <f>IF(OR(C2587="",NOT(ISNUMBER(E2587))),"",IFERROR(E2587*N(INDEX(art_price,MATCH(C2587,art_ref,0))),""))</f>
        <v/>
      </c>
      <c r="K2587" s="39" t="str">
        <f>IF(OR(C2587="",NOT(ISNUMBER(E2587))),"",IFERROR(ROUND(N(INDEX(art_init,MATCH(C2587,art_ref,0)))+SUMIFS($E$5:E2587,$C$5:C2587,C2587,$B$5:B2587,"Entrée")-SUMIFS($E$5:E2587,$C$5:C2587,C2587,$B$5:B2587,"Sortie"),6),""))</f>
        <v/>
      </c>
      <c r="L2587" s="39" t="str">
        <f>IF(COUNTA(A2587:C2587,E2587)=0,"",IF(COUNTA(A2587:C2587,E2587)&lt;4,"Ligne incomplète",IF(NOT(ISNUMBER(A2587)),"Date invalide",IF(AND(B2587&lt;&gt;"Entrée",B2587&lt;&gt;"Sortie"),"Type inconnu",IF(ISNA(MATCH(C2587,art_ref,0)),"Référence inconnue",IF(OR(NOT(ISNUMBER(E2587)),N(E2587)&lt;=0),"Quantité invalide",IF(K2587&lt;0,"Stock négatif",IF(AND(ISNUMBER(A2586),A2587&lt;A2586),"Date hors ordre","OK"))))))))</f>
        <v/>
      </c>
      <c r="M2587" s="39" t="str">
        <f>IF(C2587="","",C2587&amp;"#"&amp;COUNTIF($C$5:C2587,C2587))</f>
        <v/>
      </c>
    </row>
    <row r="2588">
      <c r="A2588" s="41" t="n"/>
      <c r="B2588" s="37" t="n"/>
      <c r="C2588" s="37" t="n"/>
      <c r="D2588" s="39" t="str">
        <f>IF(C2588="","",IFERROR(INDEX(art_des,MATCH(C2588,art_ref,0))&amp;"","Référence inconnue"))</f>
        <v/>
      </c>
      <c r="E2588" s="37" t="n"/>
      <c r="F2588" s="39" t="str">
        <f>IF(C2588="","",IFERROR(INDEX(art_unit,MATCH(C2588,art_ref,0))&amp;"",""))</f>
        <v/>
      </c>
      <c r="G2588" s="37" t="n"/>
      <c r="H2588" s="37" t="n"/>
      <c r="I2588" s="37" t="n"/>
      <c r="J2588" s="40" t="str">
        <f>IF(OR(C2588="",NOT(ISNUMBER(E2588))),"",IFERROR(E2588*N(INDEX(art_price,MATCH(C2588,art_ref,0))),""))</f>
        <v/>
      </c>
      <c r="K2588" s="39" t="str">
        <f>IF(OR(C2588="",NOT(ISNUMBER(E2588))),"",IFERROR(ROUND(N(INDEX(art_init,MATCH(C2588,art_ref,0)))+SUMIFS($E$5:E2588,$C$5:C2588,C2588,$B$5:B2588,"Entrée")-SUMIFS($E$5:E2588,$C$5:C2588,C2588,$B$5:B2588,"Sortie"),6),""))</f>
        <v/>
      </c>
      <c r="L2588" s="39" t="str">
        <f>IF(COUNTA(A2588:C2588,E2588)=0,"",IF(COUNTA(A2588:C2588,E2588)&lt;4,"Ligne incomplète",IF(NOT(ISNUMBER(A2588)),"Date invalide",IF(AND(B2588&lt;&gt;"Entrée",B2588&lt;&gt;"Sortie"),"Type inconnu",IF(ISNA(MATCH(C2588,art_ref,0)),"Référence inconnue",IF(OR(NOT(ISNUMBER(E2588)),N(E2588)&lt;=0),"Quantité invalide",IF(K2588&lt;0,"Stock négatif",IF(AND(ISNUMBER(A2587),A2588&lt;A2587),"Date hors ordre","OK"))))))))</f>
        <v/>
      </c>
      <c r="M2588" s="39" t="str">
        <f>IF(C2588="","",C2588&amp;"#"&amp;COUNTIF($C$5:C2588,C2588))</f>
        <v/>
      </c>
    </row>
    <row r="2589">
      <c r="A2589" s="41" t="n"/>
      <c r="B2589" s="37" t="n"/>
      <c r="C2589" s="37" t="n"/>
      <c r="D2589" s="39" t="str">
        <f>IF(C2589="","",IFERROR(INDEX(art_des,MATCH(C2589,art_ref,0))&amp;"","Référence inconnue"))</f>
        <v/>
      </c>
      <c r="E2589" s="37" t="n"/>
      <c r="F2589" s="39" t="str">
        <f>IF(C2589="","",IFERROR(INDEX(art_unit,MATCH(C2589,art_ref,0))&amp;"",""))</f>
        <v/>
      </c>
      <c r="G2589" s="37" t="n"/>
      <c r="H2589" s="37" t="n"/>
      <c r="I2589" s="37" t="n"/>
      <c r="J2589" s="40" t="str">
        <f>IF(OR(C2589="",NOT(ISNUMBER(E2589))),"",IFERROR(E2589*N(INDEX(art_price,MATCH(C2589,art_ref,0))),""))</f>
        <v/>
      </c>
      <c r="K2589" s="39" t="str">
        <f>IF(OR(C2589="",NOT(ISNUMBER(E2589))),"",IFERROR(ROUND(N(INDEX(art_init,MATCH(C2589,art_ref,0)))+SUMIFS($E$5:E2589,$C$5:C2589,C2589,$B$5:B2589,"Entrée")-SUMIFS($E$5:E2589,$C$5:C2589,C2589,$B$5:B2589,"Sortie"),6),""))</f>
        <v/>
      </c>
      <c r="L2589" s="39" t="str">
        <f>IF(COUNTA(A2589:C2589,E2589)=0,"",IF(COUNTA(A2589:C2589,E2589)&lt;4,"Ligne incomplète",IF(NOT(ISNUMBER(A2589)),"Date invalide",IF(AND(B2589&lt;&gt;"Entrée",B2589&lt;&gt;"Sortie"),"Type inconnu",IF(ISNA(MATCH(C2589,art_ref,0)),"Référence inconnue",IF(OR(NOT(ISNUMBER(E2589)),N(E2589)&lt;=0),"Quantité invalide",IF(K2589&lt;0,"Stock négatif",IF(AND(ISNUMBER(A2588),A2589&lt;A2588),"Date hors ordre","OK"))))))))</f>
        <v/>
      </c>
      <c r="M2589" s="39" t="str">
        <f>IF(C2589="","",C2589&amp;"#"&amp;COUNTIF($C$5:C2589,C2589))</f>
        <v/>
      </c>
    </row>
    <row r="2590">
      <c r="A2590" s="41" t="n"/>
      <c r="B2590" s="37" t="n"/>
      <c r="C2590" s="37" t="n"/>
      <c r="D2590" s="39" t="str">
        <f>IF(C2590="","",IFERROR(INDEX(art_des,MATCH(C2590,art_ref,0))&amp;"","Référence inconnue"))</f>
        <v/>
      </c>
      <c r="E2590" s="37" t="n"/>
      <c r="F2590" s="39" t="str">
        <f>IF(C2590="","",IFERROR(INDEX(art_unit,MATCH(C2590,art_ref,0))&amp;"",""))</f>
        <v/>
      </c>
      <c r="G2590" s="37" t="n"/>
      <c r="H2590" s="37" t="n"/>
      <c r="I2590" s="37" t="n"/>
      <c r="J2590" s="40" t="str">
        <f>IF(OR(C2590="",NOT(ISNUMBER(E2590))),"",IFERROR(E2590*N(INDEX(art_price,MATCH(C2590,art_ref,0))),""))</f>
        <v/>
      </c>
      <c r="K2590" s="39" t="str">
        <f>IF(OR(C2590="",NOT(ISNUMBER(E2590))),"",IFERROR(ROUND(N(INDEX(art_init,MATCH(C2590,art_ref,0)))+SUMIFS($E$5:E2590,$C$5:C2590,C2590,$B$5:B2590,"Entrée")-SUMIFS($E$5:E2590,$C$5:C2590,C2590,$B$5:B2590,"Sortie"),6),""))</f>
        <v/>
      </c>
      <c r="L2590" s="39" t="str">
        <f>IF(COUNTA(A2590:C2590,E2590)=0,"",IF(COUNTA(A2590:C2590,E2590)&lt;4,"Ligne incomplète",IF(NOT(ISNUMBER(A2590)),"Date invalide",IF(AND(B2590&lt;&gt;"Entrée",B2590&lt;&gt;"Sortie"),"Type inconnu",IF(ISNA(MATCH(C2590,art_ref,0)),"Référence inconnue",IF(OR(NOT(ISNUMBER(E2590)),N(E2590)&lt;=0),"Quantité invalide",IF(K2590&lt;0,"Stock négatif",IF(AND(ISNUMBER(A2589),A2590&lt;A2589),"Date hors ordre","OK"))))))))</f>
        <v/>
      </c>
      <c r="M2590" s="39" t="str">
        <f>IF(C2590="","",C2590&amp;"#"&amp;COUNTIF($C$5:C2590,C2590))</f>
        <v/>
      </c>
    </row>
    <row r="2591">
      <c r="A2591" s="41" t="n"/>
      <c r="B2591" s="37" t="n"/>
      <c r="C2591" s="37" t="n"/>
      <c r="D2591" s="39" t="str">
        <f>IF(C2591="","",IFERROR(INDEX(art_des,MATCH(C2591,art_ref,0))&amp;"","Référence inconnue"))</f>
        <v/>
      </c>
      <c r="E2591" s="37" t="n"/>
      <c r="F2591" s="39" t="str">
        <f>IF(C2591="","",IFERROR(INDEX(art_unit,MATCH(C2591,art_ref,0))&amp;"",""))</f>
        <v/>
      </c>
      <c r="G2591" s="37" t="n"/>
      <c r="H2591" s="37" t="n"/>
      <c r="I2591" s="37" t="n"/>
      <c r="J2591" s="40" t="str">
        <f>IF(OR(C2591="",NOT(ISNUMBER(E2591))),"",IFERROR(E2591*N(INDEX(art_price,MATCH(C2591,art_ref,0))),""))</f>
        <v/>
      </c>
      <c r="K2591" s="39" t="str">
        <f>IF(OR(C2591="",NOT(ISNUMBER(E2591))),"",IFERROR(ROUND(N(INDEX(art_init,MATCH(C2591,art_ref,0)))+SUMIFS($E$5:E2591,$C$5:C2591,C2591,$B$5:B2591,"Entrée")-SUMIFS($E$5:E2591,$C$5:C2591,C2591,$B$5:B2591,"Sortie"),6),""))</f>
        <v/>
      </c>
      <c r="L2591" s="39" t="str">
        <f>IF(COUNTA(A2591:C2591,E2591)=0,"",IF(COUNTA(A2591:C2591,E2591)&lt;4,"Ligne incomplète",IF(NOT(ISNUMBER(A2591)),"Date invalide",IF(AND(B2591&lt;&gt;"Entrée",B2591&lt;&gt;"Sortie"),"Type inconnu",IF(ISNA(MATCH(C2591,art_ref,0)),"Référence inconnue",IF(OR(NOT(ISNUMBER(E2591)),N(E2591)&lt;=0),"Quantité invalide",IF(K2591&lt;0,"Stock négatif",IF(AND(ISNUMBER(A2590),A2591&lt;A2590),"Date hors ordre","OK"))))))))</f>
        <v/>
      </c>
      <c r="M2591" s="39" t="str">
        <f>IF(C2591="","",C2591&amp;"#"&amp;COUNTIF($C$5:C2591,C2591))</f>
        <v/>
      </c>
    </row>
    <row r="2592">
      <c r="A2592" s="41" t="n"/>
      <c r="B2592" s="37" t="n"/>
      <c r="C2592" s="37" t="n"/>
      <c r="D2592" s="39" t="str">
        <f>IF(C2592="","",IFERROR(INDEX(art_des,MATCH(C2592,art_ref,0))&amp;"","Référence inconnue"))</f>
        <v/>
      </c>
      <c r="E2592" s="37" t="n"/>
      <c r="F2592" s="39" t="str">
        <f>IF(C2592="","",IFERROR(INDEX(art_unit,MATCH(C2592,art_ref,0))&amp;"",""))</f>
        <v/>
      </c>
      <c r="G2592" s="37" t="n"/>
      <c r="H2592" s="37" t="n"/>
      <c r="I2592" s="37" t="n"/>
      <c r="J2592" s="40" t="str">
        <f>IF(OR(C2592="",NOT(ISNUMBER(E2592))),"",IFERROR(E2592*N(INDEX(art_price,MATCH(C2592,art_ref,0))),""))</f>
        <v/>
      </c>
      <c r="K2592" s="39" t="str">
        <f>IF(OR(C2592="",NOT(ISNUMBER(E2592))),"",IFERROR(ROUND(N(INDEX(art_init,MATCH(C2592,art_ref,0)))+SUMIFS($E$5:E2592,$C$5:C2592,C2592,$B$5:B2592,"Entrée")-SUMIFS($E$5:E2592,$C$5:C2592,C2592,$B$5:B2592,"Sortie"),6),""))</f>
        <v/>
      </c>
      <c r="L2592" s="39" t="str">
        <f>IF(COUNTA(A2592:C2592,E2592)=0,"",IF(COUNTA(A2592:C2592,E2592)&lt;4,"Ligne incomplète",IF(NOT(ISNUMBER(A2592)),"Date invalide",IF(AND(B2592&lt;&gt;"Entrée",B2592&lt;&gt;"Sortie"),"Type inconnu",IF(ISNA(MATCH(C2592,art_ref,0)),"Référence inconnue",IF(OR(NOT(ISNUMBER(E2592)),N(E2592)&lt;=0),"Quantité invalide",IF(K2592&lt;0,"Stock négatif",IF(AND(ISNUMBER(A2591),A2592&lt;A2591),"Date hors ordre","OK"))))))))</f>
        <v/>
      </c>
      <c r="M2592" s="39" t="str">
        <f>IF(C2592="","",C2592&amp;"#"&amp;COUNTIF($C$5:C2592,C2592))</f>
        <v/>
      </c>
    </row>
    <row r="2593">
      <c r="A2593" s="41" t="n"/>
      <c r="B2593" s="37" t="n"/>
      <c r="C2593" s="37" t="n"/>
      <c r="D2593" s="39" t="str">
        <f>IF(C2593="","",IFERROR(INDEX(art_des,MATCH(C2593,art_ref,0))&amp;"","Référence inconnue"))</f>
        <v/>
      </c>
      <c r="E2593" s="37" t="n"/>
      <c r="F2593" s="39" t="str">
        <f>IF(C2593="","",IFERROR(INDEX(art_unit,MATCH(C2593,art_ref,0))&amp;"",""))</f>
        <v/>
      </c>
      <c r="G2593" s="37" t="n"/>
      <c r="H2593" s="37" t="n"/>
      <c r="I2593" s="37" t="n"/>
      <c r="J2593" s="40" t="str">
        <f>IF(OR(C2593="",NOT(ISNUMBER(E2593))),"",IFERROR(E2593*N(INDEX(art_price,MATCH(C2593,art_ref,0))),""))</f>
        <v/>
      </c>
      <c r="K2593" s="39" t="str">
        <f>IF(OR(C2593="",NOT(ISNUMBER(E2593))),"",IFERROR(ROUND(N(INDEX(art_init,MATCH(C2593,art_ref,0)))+SUMIFS($E$5:E2593,$C$5:C2593,C2593,$B$5:B2593,"Entrée")-SUMIFS($E$5:E2593,$C$5:C2593,C2593,$B$5:B2593,"Sortie"),6),""))</f>
        <v/>
      </c>
      <c r="L2593" s="39" t="str">
        <f>IF(COUNTA(A2593:C2593,E2593)=0,"",IF(COUNTA(A2593:C2593,E2593)&lt;4,"Ligne incomplète",IF(NOT(ISNUMBER(A2593)),"Date invalide",IF(AND(B2593&lt;&gt;"Entrée",B2593&lt;&gt;"Sortie"),"Type inconnu",IF(ISNA(MATCH(C2593,art_ref,0)),"Référence inconnue",IF(OR(NOT(ISNUMBER(E2593)),N(E2593)&lt;=0),"Quantité invalide",IF(K2593&lt;0,"Stock négatif",IF(AND(ISNUMBER(A2592),A2593&lt;A2592),"Date hors ordre","OK"))))))))</f>
        <v/>
      </c>
      <c r="M2593" s="39" t="str">
        <f>IF(C2593="","",C2593&amp;"#"&amp;COUNTIF($C$5:C2593,C2593))</f>
        <v/>
      </c>
    </row>
    <row r="2594">
      <c r="A2594" s="41" t="n"/>
      <c r="B2594" s="37" t="n"/>
      <c r="C2594" s="37" t="n"/>
      <c r="D2594" s="39" t="str">
        <f>IF(C2594="","",IFERROR(INDEX(art_des,MATCH(C2594,art_ref,0))&amp;"","Référence inconnue"))</f>
        <v/>
      </c>
      <c r="E2594" s="37" t="n"/>
      <c r="F2594" s="39" t="str">
        <f>IF(C2594="","",IFERROR(INDEX(art_unit,MATCH(C2594,art_ref,0))&amp;"",""))</f>
        <v/>
      </c>
      <c r="G2594" s="37" t="n"/>
      <c r="H2594" s="37" t="n"/>
      <c r="I2594" s="37" t="n"/>
      <c r="J2594" s="40" t="str">
        <f>IF(OR(C2594="",NOT(ISNUMBER(E2594))),"",IFERROR(E2594*N(INDEX(art_price,MATCH(C2594,art_ref,0))),""))</f>
        <v/>
      </c>
      <c r="K2594" s="39" t="str">
        <f>IF(OR(C2594="",NOT(ISNUMBER(E2594))),"",IFERROR(ROUND(N(INDEX(art_init,MATCH(C2594,art_ref,0)))+SUMIFS($E$5:E2594,$C$5:C2594,C2594,$B$5:B2594,"Entrée")-SUMIFS($E$5:E2594,$C$5:C2594,C2594,$B$5:B2594,"Sortie"),6),""))</f>
        <v/>
      </c>
      <c r="L2594" s="39" t="str">
        <f>IF(COUNTA(A2594:C2594,E2594)=0,"",IF(COUNTA(A2594:C2594,E2594)&lt;4,"Ligne incomplète",IF(NOT(ISNUMBER(A2594)),"Date invalide",IF(AND(B2594&lt;&gt;"Entrée",B2594&lt;&gt;"Sortie"),"Type inconnu",IF(ISNA(MATCH(C2594,art_ref,0)),"Référence inconnue",IF(OR(NOT(ISNUMBER(E2594)),N(E2594)&lt;=0),"Quantité invalide",IF(K2594&lt;0,"Stock négatif",IF(AND(ISNUMBER(A2593),A2594&lt;A2593),"Date hors ordre","OK"))))))))</f>
        <v/>
      </c>
      <c r="M2594" s="39" t="str">
        <f>IF(C2594="","",C2594&amp;"#"&amp;COUNTIF($C$5:C2594,C2594))</f>
        <v/>
      </c>
    </row>
    <row r="2595">
      <c r="A2595" s="41" t="n"/>
      <c r="B2595" s="37" t="n"/>
      <c r="C2595" s="37" t="n"/>
      <c r="D2595" s="39" t="str">
        <f>IF(C2595="","",IFERROR(INDEX(art_des,MATCH(C2595,art_ref,0))&amp;"","Référence inconnue"))</f>
        <v/>
      </c>
      <c r="E2595" s="37" t="n"/>
      <c r="F2595" s="39" t="str">
        <f>IF(C2595="","",IFERROR(INDEX(art_unit,MATCH(C2595,art_ref,0))&amp;"",""))</f>
        <v/>
      </c>
      <c r="G2595" s="37" t="n"/>
      <c r="H2595" s="37" t="n"/>
      <c r="I2595" s="37" t="n"/>
      <c r="J2595" s="40" t="str">
        <f>IF(OR(C2595="",NOT(ISNUMBER(E2595))),"",IFERROR(E2595*N(INDEX(art_price,MATCH(C2595,art_ref,0))),""))</f>
        <v/>
      </c>
      <c r="K2595" s="39" t="str">
        <f>IF(OR(C2595="",NOT(ISNUMBER(E2595))),"",IFERROR(ROUND(N(INDEX(art_init,MATCH(C2595,art_ref,0)))+SUMIFS($E$5:E2595,$C$5:C2595,C2595,$B$5:B2595,"Entrée")-SUMIFS($E$5:E2595,$C$5:C2595,C2595,$B$5:B2595,"Sortie"),6),""))</f>
        <v/>
      </c>
      <c r="L2595" s="39" t="str">
        <f>IF(COUNTA(A2595:C2595,E2595)=0,"",IF(COUNTA(A2595:C2595,E2595)&lt;4,"Ligne incomplète",IF(NOT(ISNUMBER(A2595)),"Date invalide",IF(AND(B2595&lt;&gt;"Entrée",B2595&lt;&gt;"Sortie"),"Type inconnu",IF(ISNA(MATCH(C2595,art_ref,0)),"Référence inconnue",IF(OR(NOT(ISNUMBER(E2595)),N(E2595)&lt;=0),"Quantité invalide",IF(K2595&lt;0,"Stock négatif",IF(AND(ISNUMBER(A2594),A2595&lt;A2594),"Date hors ordre","OK"))))))))</f>
        <v/>
      </c>
      <c r="M2595" s="39" t="str">
        <f>IF(C2595="","",C2595&amp;"#"&amp;COUNTIF($C$5:C2595,C2595))</f>
        <v/>
      </c>
    </row>
    <row r="2596">
      <c r="A2596" s="41" t="n"/>
      <c r="B2596" s="37" t="n"/>
      <c r="C2596" s="37" t="n"/>
      <c r="D2596" s="39" t="str">
        <f>IF(C2596="","",IFERROR(INDEX(art_des,MATCH(C2596,art_ref,0))&amp;"","Référence inconnue"))</f>
        <v/>
      </c>
      <c r="E2596" s="37" t="n"/>
      <c r="F2596" s="39" t="str">
        <f>IF(C2596="","",IFERROR(INDEX(art_unit,MATCH(C2596,art_ref,0))&amp;"",""))</f>
        <v/>
      </c>
      <c r="G2596" s="37" t="n"/>
      <c r="H2596" s="37" t="n"/>
      <c r="I2596" s="37" t="n"/>
      <c r="J2596" s="40" t="str">
        <f>IF(OR(C2596="",NOT(ISNUMBER(E2596))),"",IFERROR(E2596*N(INDEX(art_price,MATCH(C2596,art_ref,0))),""))</f>
        <v/>
      </c>
      <c r="K2596" s="39" t="str">
        <f>IF(OR(C2596="",NOT(ISNUMBER(E2596))),"",IFERROR(ROUND(N(INDEX(art_init,MATCH(C2596,art_ref,0)))+SUMIFS($E$5:E2596,$C$5:C2596,C2596,$B$5:B2596,"Entrée")-SUMIFS($E$5:E2596,$C$5:C2596,C2596,$B$5:B2596,"Sortie"),6),""))</f>
        <v/>
      </c>
      <c r="L2596" s="39" t="str">
        <f>IF(COUNTA(A2596:C2596,E2596)=0,"",IF(COUNTA(A2596:C2596,E2596)&lt;4,"Ligne incomplète",IF(NOT(ISNUMBER(A2596)),"Date invalide",IF(AND(B2596&lt;&gt;"Entrée",B2596&lt;&gt;"Sortie"),"Type inconnu",IF(ISNA(MATCH(C2596,art_ref,0)),"Référence inconnue",IF(OR(NOT(ISNUMBER(E2596)),N(E2596)&lt;=0),"Quantité invalide",IF(K2596&lt;0,"Stock négatif",IF(AND(ISNUMBER(A2595),A2596&lt;A2595),"Date hors ordre","OK"))))))))</f>
        <v/>
      </c>
      <c r="M2596" s="39" t="str">
        <f>IF(C2596="","",C2596&amp;"#"&amp;COUNTIF($C$5:C2596,C2596))</f>
        <v/>
      </c>
    </row>
    <row r="2597">
      <c r="A2597" s="41" t="n"/>
      <c r="B2597" s="37" t="n"/>
      <c r="C2597" s="37" t="n"/>
      <c r="D2597" s="39" t="str">
        <f>IF(C2597="","",IFERROR(INDEX(art_des,MATCH(C2597,art_ref,0))&amp;"","Référence inconnue"))</f>
        <v/>
      </c>
      <c r="E2597" s="37" t="n"/>
      <c r="F2597" s="39" t="str">
        <f>IF(C2597="","",IFERROR(INDEX(art_unit,MATCH(C2597,art_ref,0))&amp;"",""))</f>
        <v/>
      </c>
      <c r="G2597" s="37" t="n"/>
      <c r="H2597" s="37" t="n"/>
      <c r="I2597" s="37" t="n"/>
      <c r="J2597" s="40" t="str">
        <f>IF(OR(C2597="",NOT(ISNUMBER(E2597))),"",IFERROR(E2597*N(INDEX(art_price,MATCH(C2597,art_ref,0))),""))</f>
        <v/>
      </c>
      <c r="K2597" s="39" t="str">
        <f>IF(OR(C2597="",NOT(ISNUMBER(E2597))),"",IFERROR(ROUND(N(INDEX(art_init,MATCH(C2597,art_ref,0)))+SUMIFS($E$5:E2597,$C$5:C2597,C2597,$B$5:B2597,"Entrée")-SUMIFS($E$5:E2597,$C$5:C2597,C2597,$B$5:B2597,"Sortie"),6),""))</f>
        <v/>
      </c>
      <c r="L2597" s="39" t="str">
        <f>IF(COUNTA(A2597:C2597,E2597)=0,"",IF(COUNTA(A2597:C2597,E2597)&lt;4,"Ligne incomplète",IF(NOT(ISNUMBER(A2597)),"Date invalide",IF(AND(B2597&lt;&gt;"Entrée",B2597&lt;&gt;"Sortie"),"Type inconnu",IF(ISNA(MATCH(C2597,art_ref,0)),"Référence inconnue",IF(OR(NOT(ISNUMBER(E2597)),N(E2597)&lt;=0),"Quantité invalide",IF(K2597&lt;0,"Stock négatif",IF(AND(ISNUMBER(A2596),A2597&lt;A2596),"Date hors ordre","OK"))))))))</f>
        <v/>
      </c>
      <c r="M2597" s="39" t="str">
        <f>IF(C2597="","",C2597&amp;"#"&amp;COUNTIF($C$5:C2597,C2597))</f>
        <v/>
      </c>
    </row>
    <row r="2598">
      <c r="A2598" s="41" t="n"/>
      <c r="B2598" s="37" t="n"/>
      <c r="C2598" s="37" t="n"/>
      <c r="D2598" s="39" t="str">
        <f>IF(C2598="","",IFERROR(INDEX(art_des,MATCH(C2598,art_ref,0))&amp;"","Référence inconnue"))</f>
        <v/>
      </c>
      <c r="E2598" s="37" t="n"/>
      <c r="F2598" s="39" t="str">
        <f>IF(C2598="","",IFERROR(INDEX(art_unit,MATCH(C2598,art_ref,0))&amp;"",""))</f>
        <v/>
      </c>
      <c r="G2598" s="37" t="n"/>
      <c r="H2598" s="37" t="n"/>
      <c r="I2598" s="37" t="n"/>
      <c r="J2598" s="40" t="str">
        <f>IF(OR(C2598="",NOT(ISNUMBER(E2598))),"",IFERROR(E2598*N(INDEX(art_price,MATCH(C2598,art_ref,0))),""))</f>
        <v/>
      </c>
      <c r="K2598" s="39" t="str">
        <f>IF(OR(C2598="",NOT(ISNUMBER(E2598))),"",IFERROR(ROUND(N(INDEX(art_init,MATCH(C2598,art_ref,0)))+SUMIFS($E$5:E2598,$C$5:C2598,C2598,$B$5:B2598,"Entrée")-SUMIFS($E$5:E2598,$C$5:C2598,C2598,$B$5:B2598,"Sortie"),6),""))</f>
        <v/>
      </c>
      <c r="L2598" s="39" t="str">
        <f>IF(COUNTA(A2598:C2598,E2598)=0,"",IF(COUNTA(A2598:C2598,E2598)&lt;4,"Ligne incomplète",IF(NOT(ISNUMBER(A2598)),"Date invalide",IF(AND(B2598&lt;&gt;"Entrée",B2598&lt;&gt;"Sortie"),"Type inconnu",IF(ISNA(MATCH(C2598,art_ref,0)),"Référence inconnue",IF(OR(NOT(ISNUMBER(E2598)),N(E2598)&lt;=0),"Quantité invalide",IF(K2598&lt;0,"Stock négatif",IF(AND(ISNUMBER(A2597),A2598&lt;A2597),"Date hors ordre","OK"))))))))</f>
        <v/>
      </c>
      <c r="M2598" s="39" t="str">
        <f>IF(C2598="","",C2598&amp;"#"&amp;COUNTIF($C$5:C2598,C2598))</f>
        <v/>
      </c>
    </row>
    <row r="2599">
      <c r="A2599" s="41" t="n"/>
      <c r="B2599" s="37" t="n"/>
      <c r="C2599" s="37" t="n"/>
      <c r="D2599" s="39" t="str">
        <f>IF(C2599="","",IFERROR(INDEX(art_des,MATCH(C2599,art_ref,0))&amp;"","Référence inconnue"))</f>
        <v/>
      </c>
      <c r="E2599" s="37" t="n"/>
      <c r="F2599" s="39" t="str">
        <f>IF(C2599="","",IFERROR(INDEX(art_unit,MATCH(C2599,art_ref,0))&amp;"",""))</f>
        <v/>
      </c>
      <c r="G2599" s="37" t="n"/>
      <c r="H2599" s="37" t="n"/>
      <c r="I2599" s="37" t="n"/>
      <c r="J2599" s="40" t="str">
        <f>IF(OR(C2599="",NOT(ISNUMBER(E2599))),"",IFERROR(E2599*N(INDEX(art_price,MATCH(C2599,art_ref,0))),""))</f>
        <v/>
      </c>
      <c r="K2599" s="39" t="str">
        <f>IF(OR(C2599="",NOT(ISNUMBER(E2599))),"",IFERROR(ROUND(N(INDEX(art_init,MATCH(C2599,art_ref,0)))+SUMIFS($E$5:E2599,$C$5:C2599,C2599,$B$5:B2599,"Entrée")-SUMIFS($E$5:E2599,$C$5:C2599,C2599,$B$5:B2599,"Sortie"),6),""))</f>
        <v/>
      </c>
      <c r="L2599" s="39" t="str">
        <f>IF(COUNTA(A2599:C2599,E2599)=0,"",IF(COUNTA(A2599:C2599,E2599)&lt;4,"Ligne incomplète",IF(NOT(ISNUMBER(A2599)),"Date invalide",IF(AND(B2599&lt;&gt;"Entrée",B2599&lt;&gt;"Sortie"),"Type inconnu",IF(ISNA(MATCH(C2599,art_ref,0)),"Référence inconnue",IF(OR(NOT(ISNUMBER(E2599)),N(E2599)&lt;=0),"Quantité invalide",IF(K2599&lt;0,"Stock négatif",IF(AND(ISNUMBER(A2598),A2599&lt;A2598),"Date hors ordre","OK"))))))))</f>
        <v/>
      </c>
      <c r="M2599" s="39" t="str">
        <f>IF(C2599="","",C2599&amp;"#"&amp;COUNTIF($C$5:C2599,C2599))</f>
        <v/>
      </c>
    </row>
    <row r="2600">
      <c r="A2600" s="41" t="n"/>
      <c r="B2600" s="37" t="n"/>
      <c r="C2600" s="37" t="n"/>
      <c r="D2600" s="39" t="str">
        <f>IF(C2600="","",IFERROR(INDEX(art_des,MATCH(C2600,art_ref,0))&amp;"","Référence inconnue"))</f>
        <v/>
      </c>
      <c r="E2600" s="37" t="n"/>
      <c r="F2600" s="39" t="str">
        <f>IF(C2600="","",IFERROR(INDEX(art_unit,MATCH(C2600,art_ref,0))&amp;"",""))</f>
        <v/>
      </c>
      <c r="G2600" s="37" t="n"/>
      <c r="H2600" s="37" t="n"/>
      <c r="I2600" s="37" t="n"/>
      <c r="J2600" s="40" t="str">
        <f>IF(OR(C2600="",NOT(ISNUMBER(E2600))),"",IFERROR(E2600*N(INDEX(art_price,MATCH(C2600,art_ref,0))),""))</f>
        <v/>
      </c>
      <c r="K2600" s="39" t="str">
        <f>IF(OR(C2600="",NOT(ISNUMBER(E2600))),"",IFERROR(ROUND(N(INDEX(art_init,MATCH(C2600,art_ref,0)))+SUMIFS($E$5:E2600,$C$5:C2600,C2600,$B$5:B2600,"Entrée")-SUMIFS($E$5:E2600,$C$5:C2600,C2600,$B$5:B2600,"Sortie"),6),""))</f>
        <v/>
      </c>
      <c r="L2600" s="39" t="str">
        <f>IF(COUNTA(A2600:C2600,E2600)=0,"",IF(COUNTA(A2600:C2600,E2600)&lt;4,"Ligne incomplète",IF(NOT(ISNUMBER(A2600)),"Date invalide",IF(AND(B2600&lt;&gt;"Entrée",B2600&lt;&gt;"Sortie"),"Type inconnu",IF(ISNA(MATCH(C2600,art_ref,0)),"Référence inconnue",IF(OR(NOT(ISNUMBER(E2600)),N(E2600)&lt;=0),"Quantité invalide",IF(K2600&lt;0,"Stock négatif",IF(AND(ISNUMBER(A2599),A2600&lt;A2599),"Date hors ordre","OK"))))))))</f>
        <v/>
      </c>
      <c r="M2600" s="39" t="str">
        <f>IF(C2600="","",C2600&amp;"#"&amp;COUNTIF($C$5:C2600,C2600))</f>
        <v/>
      </c>
    </row>
    <row r="2601">
      <c r="A2601" s="41" t="n"/>
      <c r="B2601" s="37" t="n"/>
      <c r="C2601" s="37" t="n"/>
      <c r="D2601" s="39" t="str">
        <f>IF(C2601="","",IFERROR(INDEX(art_des,MATCH(C2601,art_ref,0))&amp;"","Référence inconnue"))</f>
        <v/>
      </c>
      <c r="E2601" s="37" t="n"/>
      <c r="F2601" s="39" t="str">
        <f>IF(C2601="","",IFERROR(INDEX(art_unit,MATCH(C2601,art_ref,0))&amp;"",""))</f>
        <v/>
      </c>
      <c r="G2601" s="37" t="n"/>
      <c r="H2601" s="37" t="n"/>
      <c r="I2601" s="37" t="n"/>
      <c r="J2601" s="40" t="str">
        <f>IF(OR(C2601="",NOT(ISNUMBER(E2601))),"",IFERROR(E2601*N(INDEX(art_price,MATCH(C2601,art_ref,0))),""))</f>
        <v/>
      </c>
      <c r="K2601" s="39" t="str">
        <f>IF(OR(C2601="",NOT(ISNUMBER(E2601))),"",IFERROR(ROUND(N(INDEX(art_init,MATCH(C2601,art_ref,0)))+SUMIFS($E$5:E2601,$C$5:C2601,C2601,$B$5:B2601,"Entrée")-SUMIFS($E$5:E2601,$C$5:C2601,C2601,$B$5:B2601,"Sortie"),6),""))</f>
        <v/>
      </c>
      <c r="L2601" s="39" t="str">
        <f>IF(COUNTA(A2601:C2601,E2601)=0,"",IF(COUNTA(A2601:C2601,E2601)&lt;4,"Ligne incomplète",IF(NOT(ISNUMBER(A2601)),"Date invalide",IF(AND(B2601&lt;&gt;"Entrée",B2601&lt;&gt;"Sortie"),"Type inconnu",IF(ISNA(MATCH(C2601,art_ref,0)),"Référence inconnue",IF(OR(NOT(ISNUMBER(E2601)),N(E2601)&lt;=0),"Quantité invalide",IF(K2601&lt;0,"Stock négatif",IF(AND(ISNUMBER(A2600),A2601&lt;A2600),"Date hors ordre","OK"))))))))</f>
        <v/>
      </c>
      <c r="M2601" s="39" t="str">
        <f>IF(C2601="","",C2601&amp;"#"&amp;COUNTIF($C$5:C2601,C2601))</f>
        <v/>
      </c>
    </row>
    <row r="2602">
      <c r="A2602" s="41" t="n"/>
      <c r="B2602" s="37" t="n"/>
      <c r="C2602" s="37" t="n"/>
      <c r="D2602" s="39" t="str">
        <f>IF(C2602="","",IFERROR(INDEX(art_des,MATCH(C2602,art_ref,0))&amp;"","Référence inconnue"))</f>
        <v/>
      </c>
      <c r="E2602" s="37" t="n"/>
      <c r="F2602" s="39" t="str">
        <f>IF(C2602="","",IFERROR(INDEX(art_unit,MATCH(C2602,art_ref,0))&amp;"",""))</f>
        <v/>
      </c>
      <c r="G2602" s="37" t="n"/>
      <c r="H2602" s="37" t="n"/>
      <c r="I2602" s="37" t="n"/>
      <c r="J2602" s="40" t="str">
        <f>IF(OR(C2602="",NOT(ISNUMBER(E2602))),"",IFERROR(E2602*N(INDEX(art_price,MATCH(C2602,art_ref,0))),""))</f>
        <v/>
      </c>
      <c r="K2602" s="39" t="str">
        <f>IF(OR(C2602="",NOT(ISNUMBER(E2602))),"",IFERROR(ROUND(N(INDEX(art_init,MATCH(C2602,art_ref,0)))+SUMIFS($E$5:E2602,$C$5:C2602,C2602,$B$5:B2602,"Entrée")-SUMIFS($E$5:E2602,$C$5:C2602,C2602,$B$5:B2602,"Sortie"),6),""))</f>
        <v/>
      </c>
      <c r="L2602" s="39" t="str">
        <f>IF(COUNTA(A2602:C2602,E2602)=0,"",IF(COUNTA(A2602:C2602,E2602)&lt;4,"Ligne incomplète",IF(NOT(ISNUMBER(A2602)),"Date invalide",IF(AND(B2602&lt;&gt;"Entrée",B2602&lt;&gt;"Sortie"),"Type inconnu",IF(ISNA(MATCH(C2602,art_ref,0)),"Référence inconnue",IF(OR(NOT(ISNUMBER(E2602)),N(E2602)&lt;=0),"Quantité invalide",IF(K2602&lt;0,"Stock négatif",IF(AND(ISNUMBER(A2601),A2602&lt;A2601),"Date hors ordre","OK"))))))))</f>
        <v/>
      </c>
      <c r="M2602" s="39" t="str">
        <f>IF(C2602="","",C2602&amp;"#"&amp;COUNTIF($C$5:C2602,C2602))</f>
        <v/>
      </c>
    </row>
    <row r="2603">
      <c r="A2603" s="41" t="n"/>
      <c r="B2603" s="37" t="n"/>
      <c r="C2603" s="37" t="n"/>
      <c r="D2603" s="39" t="str">
        <f>IF(C2603="","",IFERROR(INDEX(art_des,MATCH(C2603,art_ref,0))&amp;"","Référence inconnue"))</f>
        <v/>
      </c>
      <c r="E2603" s="37" t="n"/>
      <c r="F2603" s="39" t="str">
        <f>IF(C2603="","",IFERROR(INDEX(art_unit,MATCH(C2603,art_ref,0))&amp;"",""))</f>
        <v/>
      </c>
      <c r="G2603" s="37" t="n"/>
      <c r="H2603" s="37" t="n"/>
      <c r="I2603" s="37" t="n"/>
      <c r="J2603" s="40" t="str">
        <f>IF(OR(C2603="",NOT(ISNUMBER(E2603))),"",IFERROR(E2603*N(INDEX(art_price,MATCH(C2603,art_ref,0))),""))</f>
        <v/>
      </c>
      <c r="K2603" s="39" t="str">
        <f>IF(OR(C2603="",NOT(ISNUMBER(E2603))),"",IFERROR(ROUND(N(INDEX(art_init,MATCH(C2603,art_ref,0)))+SUMIFS($E$5:E2603,$C$5:C2603,C2603,$B$5:B2603,"Entrée")-SUMIFS($E$5:E2603,$C$5:C2603,C2603,$B$5:B2603,"Sortie"),6),""))</f>
        <v/>
      </c>
      <c r="L2603" s="39" t="str">
        <f>IF(COUNTA(A2603:C2603,E2603)=0,"",IF(COUNTA(A2603:C2603,E2603)&lt;4,"Ligne incomplète",IF(NOT(ISNUMBER(A2603)),"Date invalide",IF(AND(B2603&lt;&gt;"Entrée",B2603&lt;&gt;"Sortie"),"Type inconnu",IF(ISNA(MATCH(C2603,art_ref,0)),"Référence inconnue",IF(OR(NOT(ISNUMBER(E2603)),N(E2603)&lt;=0),"Quantité invalide",IF(K2603&lt;0,"Stock négatif",IF(AND(ISNUMBER(A2602),A2603&lt;A2602),"Date hors ordre","OK"))))))))</f>
        <v/>
      </c>
      <c r="M2603" s="39" t="str">
        <f>IF(C2603="","",C2603&amp;"#"&amp;COUNTIF($C$5:C2603,C2603))</f>
        <v/>
      </c>
    </row>
    <row r="2604">
      <c r="A2604" s="41" t="n"/>
      <c r="B2604" s="37" t="n"/>
      <c r="C2604" s="37" t="n"/>
      <c r="D2604" s="39" t="str">
        <f>IF(C2604="","",IFERROR(INDEX(art_des,MATCH(C2604,art_ref,0))&amp;"","Référence inconnue"))</f>
        <v/>
      </c>
      <c r="E2604" s="37" t="n"/>
      <c r="F2604" s="39" t="str">
        <f>IF(C2604="","",IFERROR(INDEX(art_unit,MATCH(C2604,art_ref,0))&amp;"",""))</f>
        <v/>
      </c>
      <c r="G2604" s="37" t="n"/>
      <c r="H2604" s="37" t="n"/>
      <c r="I2604" s="37" t="n"/>
      <c r="J2604" s="40" t="str">
        <f>IF(OR(C2604="",NOT(ISNUMBER(E2604))),"",IFERROR(E2604*N(INDEX(art_price,MATCH(C2604,art_ref,0))),""))</f>
        <v/>
      </c>
      <c r="K2604" s="39" t="str">
        <f>IF(OR(C2604="",NOT(ISNUMBER(E2604))),"",IFERROR(ROUND(N(INDEX(art_init,MATCH(C2604,art_ref,0)))+SUMIFS($E$5:E2604,$C$5:C2604,C2604,$B$5:B2604,"Entrée")-SUMIFS($E$5:E2604,$C$5:C2604,C2604,$B$5:B2604,"Sortie"),6),""))</f>
        <v/>
      </c>
      <c r="L2604" s="39" t="str">
        <f>IF(COUNTA(A2604:C2604,E2604)=0,"",IF(COUNTA(A2604:C2604,E2604)&lt;4,"Ligne incomplète",IF(NOT(ISNUMBER(A2604)),"Date invalide",IF(AND(B2604&lt;&gt;"Entrée",B2604&lt;&gt;"Sortie"),"Type inconnu",IF(ISNA(MATCH(C2604,art_ref,0)),"Référence inconnue",IF(OR(NOT(ISNUMBER(E2604)),N(E2604)&lt;=0),"Quantité invalide",IF(K2604&lt;0,"Stock négatif",IF(AND(ISNUMBER(A2603),A2604&lt;A2603),"Date hors ordre","OK"))))))))</f>
        <v/>
      </c>
      <c r="M2604" s="39" t="str">
        <f>IF(C2604="","",C2604&amp;"#"&amp;COUNTIF($C$5:C2604,C2604))</f>
        <v/>
      </c>
    </row>
    <row r="2605">
      <c r="A2605" s="41" t="n"/>
      <c r="B2605" s="37" t="n"/>
      <c r="C2605" s="37" t="n"/>
      <c r="D2605" s="39" t="str">
        <f>IF(C2605="","",IFERROR(INDEX(art_des,MATCH(C2605,art_ref,0))&amp;"","Référence inconnue"))</f>
        <v/>
      </c>
      <c r="E2605" s="37" t="n"/>
      <c r="F2605" s="39" t="str">
        <f>IF(C2605="","",IFERROR(INDEX(art_unit,MATCH(C2605,art_ref,0))&amp;"",""))</f>
        <v/>
      </c>
      <c r="G2605" s="37" t="n"/>
      <c r="H2605" s="37" t="n"/>
      <c r="I2605" s="37" t="n"/>
      <c r="J2605" s="40" t="str">
        <f>IF(OR(C2605="",NOT(ISNUMBER(E2605))),"",IFERROR(E2605*N(INDEX(art_price,MATCH(C2605,art_ref,0))),""))</f>
        <v/>
      </c>
      <c r="K2605" s="39" t="str">
        <f>IF(OR(C2605="",NOT(ISNUMBER(E2605))),"",IFERROR(ROUND(N(INDEX(art_init,MATCH(C2605,art_ref,0)))+SUMIFS($E$5:E2605,$C$5:C2605,C2605,$B$5:B2605,"Entrée")-SUMIFS($E$5:E2605,$C$5:C2605,C2605,$B$5:B2605,"Sortie"),6),""))</f>
        <v/>
      </c>
      <c r="L2605" s="39" t="str">
        <f>IF(COUNTA(A2605:C2605,E2605)=0,"",IF(COUNTA(A2605:C2605,E2605)&lt;4,"Ligne incomplète",IF(NOT(ISNUMBER(A2605)),"Date invalide",IF(AND(B2605&lt;&gt;"Entrée",B2605&lt;&gt;"Sortie"),"Type inconnu",IF(ISNA(MATCH(C2605,art_ref,0)),"Référence inconnue",IF(OR(NOT(ISNUMBER(E2605)),N(E2605)&lt;=0),"Quantité invalide",IF(K2605&lt;0,"Stock négatif",IF(AND(ISNUMBER(A2604),A2605&lt;A2604),"Date hors ordre","OK"))))))))</f>
        <v/>
      </c>
      <c r="M2605" s="39" t="str">
        <f>IF(C2605="","",C2605&amp;"#"&amp;COUNTIF($C$5:C2605,C2605))</f>
        <v/>
      </c>
    </row>
    <row r="2606">
      <c r="A2606" s="41" t="n"/>
      <c r="B2606" s="37" t="n"/>
      <c r="C2606" s="37" t="n"/>
      <c r="D2606" s="39" t="str">
        <f>IF(C2606="","",IFERROR(INDEX(art_des,MATCH(C2606,art_ref,0))&amp;"","Référence inconnue"))</f>
        <v/>
      </c>
      <c r="E2606" s="37" t="n"/>
      <c r="F2606" s="39" t="str">
        <f>IF(C2606="","",IFERROR(INDEX(art_unit,MATCH(C2606,art_ref,0))&amp;"",""))</f>
        <v/>
      </c>
      <c r="G2606" s="37" t="n"/>
      <c r="H2606" s="37" t="n"/>
      <c r="I2606" s="37" t="n"/>
      <c r="J2606" s="40" t="str">
        <f>IF(OR(C2606="",NOT(ISNUMBER(E2606))),"",IFERROR(E2606*N(INDEX(art_price,MATCH(C2606,art_ref,0))),""))</f>
        <v/>
      </c>
      <c r="K2606" s="39" t="str">
        <f>IF(OR(C2606="",NOT(ISNUMBER(E2606))),"",IFERROR(ROUND(N(INDEX(art_init,MATCH(C2606,art_ref,0)))+SUMIFS($E$5:E2606,$C$5:C2606,C2606,$B$5:B2606,"Entrée")-SUMIFS($E$5:E2606,$C$5:C2606,C2606,$B$5:B2606,"Sortie"),6),""))</f>
        <v/>
      </c>
      <c r="L2606" s="39" t="str">
        <f>IF(COUNTA(A2606:C2606,E2606)=0,"",IF(COUNTA(A2606:C2606,E2606)&lt;4,"Ligne incomplète",IF(NOT(ISNUMBER(A2606)),"Date invalide",IF(AND(B2606&lt;&gt;"Entrée",B2606&lt;&gt;"Sortie"),"Type inconnu",IF(ISNA(MATCH(C2606,art_ref,0)),"Référence inconnue",IF(OR(NOT(ISNUMBER(E2606)),N(E2606)&lt;=0),"Quantité invalide",IF(K2606&lt;0,"Stock négatif",IF(AND(ISNUMBER(A2605),A2606&lt;A2605),"Date hors ordre","OK"))))))))</f>
        <v/>
      </c>
      <c r="M2606" s="39" t="str">
        <f>IF(C2606="","",C2606&amp;"#"&amp;COUNTIF($C$5:C2606,C2606))</f>
        <v/>
      </c>
    </row>
    <row r="2607">
      <c r="A2607" s="41" t="n"/>
      <c r="B2607" s="37" t="n"/>
      <c r="C2607" s="37" t="n"/>
      <c r="D2607" s="39" t="str">
        <f>IF(C2607="","",IFERROR(INDEX(art_des,MATCH(C2607,art_ref,0))&amp;"","Référence inconnue"))</f>
        <v/>
      </c>
      <c r="E2607" s="37" t="n"/>
      <c r="F2607" s="39" t="str">
        <f>IF(C2607="","",IFERROR(INDEX(art_unit,MATCH(C2607,art_ref,0))&amp;"",""))</f>
        <v/>
      </c>
      <c r="G2607" s="37" t="n"/>
      <c r="H2607" s="37" t="n"/>
      <c r="I2607" s="37" t="n"/>
      <c r="J2607" s="40" t="str">
        <f>IF(OR(C2607="",NOT(ISNUMBER(E2607))),"",IFERROR(E2607*N(INDEX(art_price,MATCH(C2607,art_ref,0))),""))</f>
        <v/>
      </c>
      <c r="K2607" s="39" t="str">
        <f>IF(OR(C2607="",NOT(ISNUMBER(E2607))),"",IFERROR(ROUND(N(INDEX(art_init,MATCH(C2607,art_ref,0)))+SUMIFS($E$5:E2607,$C$5:C2607,C2607,$B$5:B2607,"Entrée")-SUMIFS($E$5:E2607,$C$5:C2607,C2607,$B$5:B2607,"Sortie"),6),""))</f>
        <v/>
      </c>
      <c r="L2607" s="39" t="str">
        <f>IF(COUNTA(A2607:C2607,E2607)=0,"",IF(COUNTA(A2607:C2607,E2607)&lt;4,"Ligne incomplète",IF(NOT(ISNUMBER(A2607)),"Date invalide",IF(AND(B2607&lt;&gt;"Entrée",B2607&lt;&gt;"Sortie"),"Type inconnu",IF(ISNA(MATCH(C2607,art_ref,0)),"Référence inconnue",IF(OR(NOT(ISNUMBER(E2607)),N(E2607)&lt;=0),"Quantité invalide",IF(K2607&lt;0,"Stock négatif",IF(AND(ISNUMBER(A2606),A2607&lt;A2606),"Date hors ordre","OK"))))))))</f>
        <v/>
      </c>
      <c r="M2607" s="39" t="str">
        <f>IF(C2607="","",C2607&amp;"#"&amp;COUNTIF($C$5:C2607,C2607))</f>
        <v/>
      </c>
    </row>
    <row r="2608">
      <c r="A2608" s="41" t="n"/>
      <c r="B2608" s="37" t="n"/>
      <c r="C2608" s="37" t="n"/>
      <c r="D2608" s="39" t="str">
        <f>IF(C2608="","",IFERROR(INDEX(art_des,MATCH(C2608,art_ref,0))&amp;"","Référence inconnue"))</f>
        <v/>
      </c>
      <c r="E2608" s="37" t="n"/>
      <c r="F2608" s="39" t="str">
        <f>IF(C2608="","",IFERROR(INDEX(art_unit,MATCH(C2608,art_ref,0))&amp;"",""))</f>
        <v/>
      </c>
      <c r="G2608" s="37" t="n"/>
      <c r="H2608" s="37" t="n"/>
      <c r="I2608" s="37" t="n"/>
      <c r="J2608" s="40" t="str">
        <f>IF(OR(C2608="",NOT(ISNUMBER(E2608))),"",IFERROR(E2608*N(INDEX(art_price,MATCH(C2608,art_ref,0))),""))</f>
        <v/>
      </c>
      <c r="K2608" s="39" t="str">
        <f>IF(OR(C2608="",NOT(ISNUMBER(E2608))),"",IFERROR(ROUND(N(INDEX(art_init,MATCH(C2608,art_ref,0)))+SUMIFS($E$5:E2608,$C$5:C2608,C2608,$B$5:B2608,"Entrée")-SUMIFS($E$5:E2608,$C$5:C2608,C2608,$B$5:B2608,"Sortie"),6),""))</f>
        <v/>
      </c>
      <c r="L2608" s="39" t="str">
        <f>IF(COUNTA(A2608:C2608,E2608)=0,"",IF(COUNTA(A2608:C2608,E2608)&lt;4,"Ligne incomplète",IF(NOT(ISNUMBER(A2608)),"Date invalide",IF(AND(B2608&lt;&gt;"Entrée",B2608&lt;&gt;"Sortie"),"Type inconnu",IF(ISNA(MATCH(C2608,art_ref,0)),"Référence inconnue",IF(OR(NOT(ISNUMBER(E2608)),N(E2608)&lt;=0),"Quantité invalide",IF(K2608&lt;0,"Stock négatif",IF(AND(ISNUMBER(A2607),A2608&lt;A2607),"Date hors ordre","OK"))))))))</f>
        <v/>
      </c>
      <c r="M2608" s="39" t="str">
        <f>IF(C2608="","",C2608&amp;"#"&amp;COUNTIF($C$5:C2608,C2608))</f>
        <v/>
      </c>
    </row>
    <row r="2609">
      <c r="A2609" s="41" t="n"/>
      <c r="B2609" s="37" t="n"/>
      <c r="C2609" s="37" t="n"/>
      <c r="D2609" s="39" t="str">
        <f>IF(C2609="","",IFERROR(INDEX(art_des,MATCH(C2609,art_ref,0))&amp;"","Référence inconnue"))</f>
        <v/>
      </c>
      <c r="E2609" s="37" t="n"/>
      <c r="F2609" s="39" t="str">
        <f>IF(C2609="","",IFERROR(INDEX(art_unit,MATCH(C2609,art_ref,0))&amp;"",""))</f>
        <v/>
      </c>
      <c r="G2609" s="37" t="n"/>
      <c r="H2609" s="37" t="n"/>
      <c r="I2609" s="37" t="n"/>
      <c r="J2609" s="40" t="str">
        <f>IF(OR(C2609="",NOT(ISNUMBER(E2609))),"",IFERROR(E2609*N(INDEX(art_price,MATCH(C2609,art_ref,0))),""))</f>
        <v/>
      </c>
      <c r="K2609" s="39" t="str">
        <f>IF(OR(C2609="",NOT(ISNUMBER(E2609))),"",IFERROR(ROUND(N(INDEX(art_init,MATCH(C2609,art_ref,0)))+SUMIFS($E$5:E2609,$C$5:C2609,C2609,$B$5:B2609,"Entrée")-SUMIFS($E$5:E2609,$C$5:C2609,C2609,$B$5:B2609,"Sortie"),6),""))</f>
        <v/>
      </c>
      <c r="L2609" s="39" t="str">
        <f>IF(COUNTA(A2609:C2609,E2609)=0,"",IF(COUNTA(A2609:C2609,E2609)&lt;4,"Ligne incomplète",IF(NOT(ISNUMBER(A2609)),"Date invalide",IF(AND(B2609&lt;&gt;"Entrée",B2609&lt;&gt;"Sortie"),"Type inconnu",IF(ISNA(MATCH(C2609,art_ref,0)),"Référence inconnue",IF(OR(NOT(ISNUMBER(E2609)),N(E2609)&lt;=0),"Quantité invalide",IF(K2609&lt;0,"Stock négatif",IF(AND(ISNUMBER(A2608),A2609&lt;A2608),"Date hors ordre","OK"))))))))</f>
        <v/>
      </c>
      <c r="M2609" s="39" t="str">
        <f>IF(C2609="","",C2609&amp;"#"&amp;COUNTIF($C$5:C2609,C2609))</f>
        <v/>
      </c>
    </row>
    <row r="2610">
      <c r="A2610" s="41" t="n"/>
      <c r="B2610" s="37" t="n"/>
      <c r="C2610" s="37" t="n"/>
      <c r="D2610" s="39" t="str">
        <f>IF(C2610="","",IFERROR(INDEX(art_des,MATCH(C2610,art_ref,0))&amp;"","Référence inconnue"))</f>
        <v/>
      </c>
      <c r="E2610" s="37" t="n"/>
      <c r="F2610" s="39" t="str">
        <f>IF(C2610="","",IFERROR(INDEX(art_unit,MATCH(C2610,art_ref,0))&amp;"",""))</f>
        <v/>
      </c>
      <c r="G2610" s="37" t="n"/>
      <c r="H2610" s="37" t="n"/>
      <c r="I2610" s="37" t="n"/>
      <c r="J2610" s="40" t="str">
        <f>IF(OR(C2610="",NOT(ISNUMBER(E2610))),"",IFERROR(E2610*N(INDEX(art_price,MATCH(C2610,art_ref,0))),""))</f>
        <v/>
      </c>
      <c r="K2610" s="39" t="str">
        <f>IF(OR(C2610="",NOT(ISNUMBER(E2610))),"",IFERROR(ROUND(N(INDEX(art_init,MATCH(C2610,art_ref,0)))+SUMIFS($E$5:E2610,$C$5:C2610,C2610,$B$5:B2610,"Entrée")-SUMIFS($E$5:E2610,$C$5:C2610,C2610,$B$5:B2610,"Sortie"),6),""))</f>
        <v/>
      </c>
      <c r="L2610" s="39" t="str">
        <f>IF(COUNTA(A2610:C2610,E2610)=0,"",IF(COUNTA(A2610:C2610,E2610)&lt;4,"Ligne incomplète",IF(NOT(ISNUMBER(A2610)),"Date invalide",IF(AND(B2610&lt;&gt;"Entrée",B2610&lt;&gt;"Sortie"),"Type inconnu",IF(ISNA(MATCH(C2610,art_ref,0)),"Référence inconnue",IF(OR(NOT(ISNUMBER(E2610)),N(E2610)&lt;=0),"Quantité invalide",IF(K2610&lt;0,"Stock négatif",IF(AND(ISNUMBER(A2609),A2610&lt;A2609),"Date hors ordre","OK"))))))))</f>
        <v/>
      </c>
      <c r="M2610" s="39" t="str">
        <f>IF(C2610="","",C2610&amp;"#"&amp;COUNTIF($C$5:C2610,C2610))</f>
        <v/>
      </c>
    </row>
    <row r="2611">
      <c r="A2611" s="41" t="n"/>
      <c r="B2611" s="37" t="n"/>
      <c r="C2611" s="37" t="n"/>
      <c r="D2611" s="39" t="str">
        <f>IF(C2611="","",IFERROR(INDEX(art_des,MATCH(C2611,art_ref,0))&amp;"","Référence inconnue"))</f>
        <v/>
      </c>
      <c r="E2611" s="37" t="n"/>
      <c r="F2611" s="39" t="str">
        <f>IF(C2611="","",IFERROR(INDEX(art_unit,MATCH(C2611,art_ref,0))&amp;"",""))</f>
        <v/>
      </c>
      <c r="G2611" s="37" t="n"/>
      <c r="H2611" s="37" t="n"/>
      <c r="I2611" s="37" t="n"/>
      <c r="J2611" s="40" t="str">
        <f>IF(OR(C2611="",NOT(ISNUMBER(E2611))),"",IFERROR(E2611*N(INDEX(art_price,MATCH(C2611,art_ref,0))),""))</f>
        <v/>
      </c>
      <c r="K2611" s="39" t="str">
        <f>IF(OR(C2611="",NOT(ISNUMBER(E2611))),"",IFERROR(ROUND(N(INDEX(art_init,MATCH(C2611,art_ref,0)))+SUMIFS($E$5:E2611,$C$5:C2611,C2611,$B$5:B2611,"Entrée")-SUMIFS($E$5:E2611,$C$5:C2611,C2611,$B$5:B2611,"Sortie"),6),""))</f>
        <v/>
      </c>
      <c r="L2611" s="39" t="str">
        <f>IF(COUNTA(A2611:C2611,E2611)=0,"",IF(COUNTA(A2611:C2611,E2611)&lt;4,"Ligne incomplète",IF(NOT(ISNUMBER(A2611)),"Date invalide",IF(AND(B2611&lt;&gt;"Entrée",B2611&lt;&gt;"Sortie"),"Type inconnu",IF(ISNA(MATCH(C2611,art_ref,0)),"Référence inconnue",IF(OR(NOT(ISNUMBER(E2611)),N(E2611)&lt;=0),"Quantité invalide",IF(K2611&lt;0,"Stock négatif",IF(AND(ISNUMBER(A2610),A2611&lt;A2610),"Date hors ordre","OK"))))))))</f>
        <v/>
      </c>
      <c r="M2611" s="39" t="str">
        <f>IF(C2611="","",C2611&amp;"#"&amp;COUNTIF($C$5:C2611,C2611))</f>
        <v/>
      </c>
    </row>
    <row r="2612">
      <c r="A2612" s="41" t="n"/>
      <c r="B2612" s="37" t="n"/>
      <c r="C2612" s="37" t="n"/>
      <c r="D2612" s="39" t="str">
        <f>IF(C2612="","",IFERROR(INDEX(art_des,MATCH(C2612,art_ref,0))&amp;"","Référence inconnue"))</f>
        <v/>
      </c>
      <c r="E2612" s="37" t="n"/>
      <c r="F2612" s="39" t="str">
        <f>IF(C2612="","",IFERROR(INDEX(art_unit,MATCH(C2612,art_ref,0))&amp;"",""))</f>
        <v/>
      </c>
      <c r="G2612" s="37" t="n"/>
      <c r="H2612" s="37" t="n"/>
      <c r="I2612" s="37" t="n"/>
      <c r="J2612" s="40" t="str">
        <f>IF(OR(C2612="",NOT(ISNUMBER(E2612))),"",IFERROR(E2612*N(INDEX(art_price,MATCH(C2612,art_ref,0))),""))</f>
        <v/>
      </c>
      <c r="K2612" s="39" t="str">
        <f>IF(OR(C2612="",NOT(ISNUMBER(E2612))),"",IFERROR(ROUND(N(INDEX(art_init,MATCH(C2612,art_ref,0)))+SUMIFS($E$5:E2612,$C$5:C2612,C2612,$B$5:B2612,"Entrée")-SUMIFS($E$5:E2612,$C$5:C2612,C2612,$B$5:B2612,"Sortie"),6),""))</f>
        <v/>
      </c>
      <c r="L2612" s="39" t="str">
        <f>IF(COUNTA(A2612:C2612,E2612)=0,"",IF(COUNTA(A2612:C2612,E2612)&lt;4,"Ligne incomplète",IF(NOT(ISNUMBER(A2612)),"Date invalide",IF(AND(B2612&lt;&gt;"Entrée",B2612&lt;&gt;"Sortie"),"Type inconnu",IF(ISNA(MATCH(C2612,art_ref,0)),"Référence inconnue",IF(OR(NOT(ISNUMBER(E2612)),N(E2612)&lt;=0),"Quantité invalide",IF(K2612&lt;0,"Stock négatif",IF(AND(ISNUMBER(A2611),A2612&lt;A2611),"Date hors ordre","OK"))))))))</f>
        <v/>
      </c>
      <c r="M2612" s="39" t="str">
        <f>IF(C2612="","",C2612&amp;"#"&amp;COUNTIF($C$5:C2612,C2612))</f>
        <v/>
      </c>
    </row>
    <row r="2613">
      <c r="A2613" s="41" t="n"/>
      <c r="B2613" s="37" t="n"/>
      <c r="C2613" s="37" t="n"/>
      <c r="D2613" s="39" t="str">
        <f>IF(C2613="","",IFERROR(INDEX(art_des,MATCH(C2613,art_ref,0))&amp;"","Référence inconnue"))</f>
        <v/>
      </c>
      <c r="E2613" s="37" t="n"/>
      <c r="F2613" s="39" t="str">
        <f>IF(C2613="","",IFERROR(INDEX(art_unit,MATCH(C2613,art_ref,0))&amp;"",""))</f>
        <v/>
      </c>
      <c r="G2613" s="37" t="n"/>
      <c r="H2613" s="37" t="n"/>
      <c r="I2613" s="37" t="n"/>
      <c r="J2613" s="40" t="str">
        <f>IF(OR(C2613="",NOT(ISNUMBER(E2613))),"",IFERROR(E2613*N(INDEX(art_price,MATCH(C2613,art_ref,0))),""))</f>
        <v/>
      </c>
      <c r="K2613" s="39" t="str">
        <f>IF(OR(C2613="",NOT(ISNUMBER(E2613))),"",IFERROR(ROUND(N(INDEX(art_init,MATCH(C2613,art_ref,0)))+SUMIFS($E$5:E2613,$C$5:C2613,C2613,$B$5:B2613,"Entrée")-SUMIFS($E$5:E2613,$C$5:C2613,C2613,$B$5:B2613,"Sortie"),6),""))</f>
        <v/>
      </c>
      <c r="L2613" s="39" t="str">
        <f>IF(COUNTA(A2613:C2613,E2613)=0,"",IF(COUNTA(A2613:C2613,E2613)&lt;4,"Ligne incomplète",IF(NOT(ISNUMBER(A2613)),"Date invalide",IF(AND(B2613&lt;&gt;"Entrée",B2613&lt;&gt;"Sortie"),"Type inconnu",IF(ISNA(MATCH(C2613,art_ref,0)),"Référence inconnue",IF(OR(NOT(ISNUMBER(E2613)),N(E2613)&lt;=0),"Quantité invalide",IF(K2613&lt;0,"Stock négatif",IF(AND(ISNUMBER(A2612),A2613&lt;A2612),"Date hors ordre","OK"))))))))</f>
        <v/>
      </c>
      <c r="M2613" s="39" t="str">
        <f>IF(C2613="","",C2613&amp;"#"&amp;COUNTIF($C$5:C2613,C2613))</f>
        <v/>
      </c>
    </row>
    <row r="2614">
      <c r="A2614" s="41" t="n"/>
      <c r="B2614" s="37" t="n"/>
      <c r="C2614" s="37" t="n"/>
      <c r="D2614" s="39" t="str">
        <f>IF(C2614="","",IFERROR(INDEX(art_des,MATCH(C2614,art_ref,0))&amp;"","Référence inconnue"))</f>
        <v/>
      </c>
      <c r="E2614" s="37" t="n"/>
      <c r="F2614" s="39" t="str">
        <f>IF(C2614="","",IFERROR(INDEX(art_unit,MATCH(C2614,art_ref,0))&amp;"",""))</f>
        <v/>
      </c>
      <c r="G2614" s="37" t="n"/>
      <c r="H2614" s="37" t="n"/>
      <c r="I2614" s="37" t="n"/>
      <c r="J2614" s="40" t="str">
        <f>IF(OR(C2614="",NOT(ISNUMBER(E2614))),"",IFERROR(E2614*N(INDEX(art_price,MATCH(C2614,art_ref,0))),""))</f>
        <v/>
      </c>
      <c r="K2614" s="39" t="str">
        <f>IF(OR(C2614="",NOT(ISNUMBER(E2614))),"",IFERROR(ROUND(N(INDEX(art_init,MATCH(C2614,art_ref,0)))+SUMIFS($E$5:E2614,$C$5:C2614,C2614,$B$5:B2614,"Entrée")-SUMIFS($E$5:E2614,$C$5:C2614,C2614,$B$5:B2614,"Sortie"),6),""))</f>
        <v/>
      </c>
      <c r="L2614" s="39" t="str">
        <f>IF(COUNTA(A2614:C2614,E2614)=0,"",IF(COUNTA(A2614:C2614,E2614)&lt;4,"Ligne incomplète",IF(NOT(ISNUMBER(A2614)),"Date invalide",IF(AND(B2614&lt;&gt;"Entrée",B2614&lt;&gt;"Sortie"),"Type inconnu",IF(ISNA(MATCH(C2614,art_ref,0)),"Référence inconnue",IF(OR(NOT(ISNUMBER(E2614)),N(E2614)&lt;=0),"Quantité invalide",IF(K2614&lt;0,"Stock négatif",IF(AND(ISNUMBER(A2613),A2614&lt;A2613),"Date hors ordre","OK"))))))))</f>
        <v/>
      </c>
      <c r="M2614" s="39" t="str">
        <f>IF(C2614="","",C2614&amp;"#"&amp;COUNTIF($C$5:C2614,C2614))</f>
        <v/>
      </c>
    </row>
    <row r="2615">
      <c r="A2615" s="41" t="n"/>
      <c r="B2615" s="37" t="n"/>
      <c r="C2615" s="37" t="n"/>
      <c r="D2615" s="39" t="str">
        <f>IF(C2615="","",IFERROR(INDEX(art_des,MATCH(C2615,art_ref,0))&amp;"","Référence inconnue"))</f>
        <v/>
      </c>
      <c r="E2615" s="37" t="n"/>
      <c r="F2615" s="39" t="str">
        <f>IF(C2615="","",IFERROR(INDEX(art_unit,MATCH(C2615,art_ref,0))&amp;"",""))</f>
        <v/>
      </c>
      <c r="G2615" s="37" t="n"/>
      <c r="H2615" s="37" t="n"/>
      <c r="I2615" s="37" t="n"/>
      <c r="J2615" s="40" t="str">
        <f>IF(OR(C2615="",NOT(ISNUMBER(E2615))),"",IFERROR(E2615*N(INDEX(art_price,MATCH(C2615,art_ref,0))),""))</f>
        <v/>
      </c>
      <c r="K2615" s="39" t="str">
        <f>IF(OR(C2615="",NOT(ISNUMBER(E2615))),"",IFERROR(ROUND(N(INDEX(art_init,MATCH(C2615,art_ref,0)))+SUMIFS($E$5:E2615,$C$5:C2615,C2615,$B$5:B2615,"Entrée")-SUMIFS($E$5:E2615,$C$5:C2615,C2615,$B$5:B2615,"Sortie"),6),""))</f>
        <v/>
      </c>
      <c r="L2615" s="39" t="str">
        <f>IF(COUNTA(A2615:C2615,E2615)=0,"",IF(COUNTA(A2615:C2615,E2615)&lt;4,"Ligne incomplète",IF(NOT(ISNUMBER(A2615)),"Date invalide",IF(AND(B2615&lt;&gt;"Entrée",B2615&lt;&gt;"Sortie"),"Type inconnu",IF(ISNA(MATCH(C2615,art_ref,0)),"Référence inconnue",IF(OR(NOT(ISNUMBER(E2615)),N(E2615)&lt;=0),"Quantité invalide",IF(K2615&lt;0,"Stock négatif",IF(AND(ISNUMBER(A2614),A2615&lt;A2614),"Date hors ordre","OK"))))))))</f>
        <v/>
      </c>
      <c r="M2615" s="39" t="str">
        <f>IF(C2615="","",C2615&amp;"#"&amp;COUNTIF($C$5:C2615,C2615))</f>
        <v/>
      </c>
    </row>
    <row r="2616">
      <c r="A2616" s="41" t="n"/>
      <c r="B2616" s="37" t="n"/>
      <c r="C2616" s="37" t="n"/>
      <c r="D2616" s="39" t="str">
        <f>IF(C2616="","",IFERROR(INDEX(art_des,MATCH(C2616,art_ref,0))&amp;"","Référence inconnue"))</f>
        <v/>
      </c>
      <c r="E2616" s="37" t="n"/>
      <c r="F2616" s="39" t="str">
        <f>IF(C2616="","",IFERROR(INDEX(art_unit,MATCH(C2616,art_ref,0))&amp;"",""))</f>
        <v/>
      </c>
      <c r="G2616" s="37" t="n"/>
      <c r="H2616" s="37" t="n"/>
      <c r="I2616" s="37" t="n"/>
      <c r="J2616" s="40" t="str">
        <f>IF(OR(C2616="",NOT(ISNUMBER(E2616))),"",IFERROR(E2616*N(INDEX(art_price,MATCH(C2616,art_ref,0))),""))</f>
        <v/>
      </c>
      <c r="K2616" s="39" t="str">
        <f>IF(OR(C2616="",NOT(ISNUMBER(E2616))),"",IFERROR(ROUND(N(INDEX(art_init,MATCH(C2616,art_ref,0)))+SUMIFS($E$5:E2616,$C$5:C2616,C2616,$B$5:B2616,"Entrée")-SUMIFS($E$5:E2616,$C$5:C2616,C2616,$B$5:B2616,"Sortie"),6),""))</f>
        <v/>
      </c>
      <c r="L2616" s="39" t="str">
        <f>IF(COUNTA(A2616:C2616,E2616)=0,"",IF(COUNTA(A2616:C2616,E2616)&lt;4,"Ligne incomplète",IF(NOT(ISNUMBER(A2616)),"Date invalide",IF(AND(B2616&lt;&gt;"Entrée",B2616&lt;&gt;"Sortie"),"Type inconnu",IF(ISNA(MATCH(C2616,art_ref,0)),"Référence inconnue",IF(OR(NOT(ISNUMBER(E2616)),N(E2616)&lt;=0),"Quantité invalide",IF(K2616&lt;0,"Stock négatif",IF(AND(ISNUMBER(A2615),A2616&lt;A2615),"Date hors ordre","OK"))))))))</f>
        <v/>
      </c>
      <c r="M2616" s="39" t="str">
        <f>IF(C2616="","",C2616&amp;"#"&amp;COUNTIF($C$5:C2616,C2616))</f>
        <v/>
      </c>
    </row>
    <row r="2617">
      <c r="A2617" s="41" t="n"/>
      <c r="B2617" s="37" t="n"/>
      <c r="C2617" s="37" t="n"/>
      <c r="D2617" s="39" t="str">
        <f>IF(C2617="","",IFERROR(INDEX(art_des,MATCH(C2617,art_ref,0))&amp;"","Référence inconnue"))</f>
        <v/>
      </c>
      <c r="E2617" s="37" t="n"/>
      <c r="F2617" s="39" t="str">
        <f>IF(C2617="","",IFERROR(INDEX(art_unit,MATCH(C2617,art_ref,0))&amp;"",""))</f>
        <v/>
      </c>
      <c r="G2617" s="37" t="n"/>
      <c r="H2617" s="37" t="n"/>
      <c r="I2617" s="37" t="n"/>
      <c r="J2617" s="40" t="str">
        <f>IF(OR(C2617="",NOT(ISNUMBER(E2617))),"",IFERROR(E2617*N(INDEX(art_price,MATCH(C2617,art_ref,0))),""))</f>
        <v/>
      </c>
      <c r="K2617" s="39" t="str">
        <f>IF(OR(C2617="",NOT(ISNUMBER(E2617))),"",IFERROR(ROUND(N(INDEX(art_init,MATCH(C2617,art_ref,0)))+SUMIFS($E$5:E2617,$C$5:C2617,C2617,$B$5:B2617,"Entrée")-SUMIFS($E$5:E2617,$C$5:C2617,C2617,$B$5:B2617,"Sortie"),6),""))</f>
        <v/>
      </c>
      <c r="L2617" s="39" t="str">
        <f>IF(COUNTA(A2617:C2617,E2617)=0,"",IF(COUNTA(A2617:C2617,E2617)&lt;4,"Ligne incomplète",IF(NOT(ISNUMBER(A2617)),"Date invalide",IF(AND(B2617&lt;&gt;"Entrée",B2617&lt;&gt;"Sortie"),"Type inconnu",IF(ISNA(MATCH(C2617,art_ref,0)),"Référence inconnue",IF(OR(NOT(ISNUMBER(E2617)),N(E2617)&lt;=0),"Quantité invalide",IF(K2617&lt;0,"Stock négatif",IF(AND(ISNUMBER(A2616),A2617&lt;A2616),"Date hors ordre","OK"))))))))</f>
        <v/>
      </c>
      <c r="M2617" s="39" t="str">
        <f>IF(C2617="","",C2617&amp;"#"&amp;COUNTIF($C$5:C2617,C2617))</f>
        <v/>
      </c>
    </row>
    <row r="2618">
      <c r="A2618" s="41" t="n"/>
      <c r="B2618" s="37" t="n"/>
      <c r="C2618" s="37" t="n"/>
      <c r="D2618" s="39" t="str">
        <f>IF(C2618="","",IFERROR(INDEX(art_des,MATCH(C2618,art_ref,0))&amp;"","Référence inconnue"))</f>
        <v/>
      </c>
      <c r="E2618" s="37" t="n"/>
      <c r="F2618" s="39" t="str">
        <f>IF(C2618="","",IFERROR(INDEX(art_unit,MATCH(C2618,art_ref,0))&amp;"",""))</f>
        <v/>
      </c>
      <c r="G2618" s="37" t="n"/>
      <c r="H2618" s="37" t="n"/>
      <c r="I2618" s="37" t="n"/>
      <c r="J2618" s="40" t="str">
        <f>IF(OR(C2618="",NOT(ISNUMBER(E2618))),"",IFERROR(E2618*N(INDEX(art_price,MATCH(C2618,art_ref,0))),""))</f>
        <v/>
      </c>
      <c r="K2618" s="39" t="str">
        <f>IF(OR(C2618="",NOT(ISNUMBER(E2618))),"",IFERROR(ROUND(N(INDEX(art_init,MATCH(C2618,art_ref,0)))+SUMIFS($E$5:E2618,$C$5:C2618,C2618,$B$5:B2618,"Entrée")-SUMIFS($E$5:E2618,$C$5:C2618,C2618,$B$5:B2618,"Sortie"),6),""))</f>
        <v/>
      </c>
      <c r="L2618" s="39" t="str">
        <f>IF(COUNTA(A2618:C2618,E2618)=0,"",IF(COUNTA(A2618:C2618,E2618)&lt;4,"Ligne incomplète",IF(NOT(ISNUMBER(A2618)),"Date invalide",IF(AND(B2618&lt;&gt;"Entrée",B2618&lt;&gt;"Sortie"),"Type inconnu",IF(ISNA(MATCH(C2618,art_ref,0)),"Référence inconnue",IF(OR(NOT(ISNUMBER(E2618)),N(E2618)&lt;=0),"Quantité invalide",IF(K2618&lt;0,"Stock négatif",IF(AND(ISNUMBER(A2617),A2618&lt;A2617),"Date hors ordre","OK"))))))))</f>
        <v/>
      </c>
      <c r="M2618" s="39" t="str">
        <f>IF(C2618="","",C2618&amp;"#"&amp;COUNTIF($C$5:C2618,C2618))</f>
        <v/>
      </c>
    </row>
    <row r="2619">
      <c r="A2619" s="41" t="n"/>
      <c r="B2619" s="37" t="n"/>
      <c r="C2619" s="37" t="n"/>
      <c r="D2619" s="39" t="str">
        <f>IF(C2619="","",IFERROR(INDEX(art_des,MATCH(C2619,art_ref,0))&amp;"","Référence inconnue"))</f>
        <v/>
      </c>
      <c r="E2619" s="37" t="n"/>
      <c r="F2619" s="39" t="str">
        <f>IF(C2619="","",IFERROR(INDEX(art_unit,MATCH(C2619,art_ref,0))&amp;"",""))</f>
        <v/>
      </c>
      <c r="G2619" s="37" t="n"/>
      <c r="H2619" s="37" t="n"/>
      <c r="I2619" s="37" t="n"/>
      <c r="J2619" s="40" t="str">
        <f>IF(OR(C2619="",NOT(ISNUMBER(E2619))),"",IFERROR(E2619*N(INDEX(art_price,MATCH(C2619,art_ref,0))),""))</f>
        <v/>
      </c>
      <c r="K2619" s="39" t="str">
        <f>IF(OR(C2619="",NOT(ISNUMBER(E2619))),"",IFERROR(ROUND(N(INDEX(art_init,MATCH(C2619,art_ref,0)))+SUMIFS($E$5:E2619,$C$5:C2619,C2619,$B$5:B2619,"Entrée")-SUMIFS($E$5:E2619,$C$5:C2619,C2619,$B$5:B2619,"Sortie"),6),""))</f>
        <v/>
      </c>
      <c r="L2619" s="39" t="str">
        <f>IF(COUNTA(A2619:C2619,E2619)=0,"",IF(COUNTA(A2619:C2619,E2619)&lt;4,"Ligne incomplète",IF(NOT(ISNUMBER(A2619)),"Date invalide",IF(AND(B2619&lt;&gt;"Entrée",B2619&lt;&gt;"Sortie"),"Type inconnu",IF(ISNA(MATCH(C2619,art_ref,0)),"Référence inconnue",IF(OR(NOT(ISNUMBER(E2619)),N(E2619)&lt;=0),"Quantité invalide",IF(K2619&lt;0,"Stock négatif",IF(AND(ISNUMBER(A2618),A2619&lt;A2618),"Date hors ordre","OK"))))))))</f>
        <v/>
      </c>
      <c r="M2619" s="39" t="str">
        <f>IF(C2619="","",C2619&amp;"#"&amp;COUNTIF($C$5:C2619,C2619))</f>
        <v/>
      </c>
    </row>
    <row r="2620">
      <c r="A2620" s="41" t="n"/>
      <c r="B2620" s="37" t="n"/>
      <c r="C2620" s="37" t="n"/>
      <c r="D2620" s="39" t="str">
        <f>IF(C2620="","",IFERROR(INDEX(art_des,MATCH(C2620,art_ref,0))&amp;"","Référence inconnue"))</f>
        <v/>
      </c>
      <c r="E2620" s="37" t="n"/>
      <c r="F2620" s="39" t="str">
        <f>IF(C2620="","",IFERROR(INDEX(art_unit,MATCH(C2620,art_ref,0))&amp;"",""))</f>
        <v/>
      </c>
      <c r="G2620" s="37" t="n"/>
      <c r="H2620" s="37" t="n"/>
      <c r="I2620" s="37" t="n"/>
      <c r="J2620" s="40" t="str">
        <f>IF(OR(C2620="",NOT(ISNUMBER(E2620))),"",IFERROR(E2620*N(INDEX(art_price,MATCH(C2620,art_ref,0))),""))</f>
        <v/>
      </c>
      <c r="K2620" s="39" t="str">
        <f>IF(OR(C2620="",NOT(ISNUMBER(E2620))),"",IFERROR(ROUND(N(INDEX(art_init,MATCH(C2620,art_ref,0)))+SUMIFS($E$5:E2620,$C$5:C2620,C2620,$B$5:B2620,"Entrée")-SUMIFS($E$5:E2620,$C$5:C2620,C2620,$B$5:B2620,"Sortie"),6),""))</f>
        <v/>
      </c>
      <c r="L2620" s="39" t="str">
        <f>IF(COUNTA(A2620:C2620,E2620)=0,"",IF(COUNTA(A2620:C2620,E2620)&lt;4,"Ligne incomplète",IF(NOT(ISNUMBER(A2620)),"Date invalide",IF(AND(B2620&lt;&gt;"Entrée",B2620&lt;&gt;"Sortie"),"Type inconnu",IF(ISNA(MATCH(C2620,art_ref,0)),"Référence inconnue",IF(OR(NOT(ISNUMBER(E2620)),N(E2620)&lt;=0),"Quantité invalide",IF(K2620&lt;0,"Stock négatif",IF(AND(ISNUMBER(A2619),A2620&lt;A2619),"Date hors ordre","OK"))))))))</f>
        <v/>
      </c>
      <c r="M2620" s="39" t="str">
        <f>IF(C2620="","",C2620&amp;"#"&amp;COUNTIF($C$5:C2620,C2620))</f>
        <v/>
      </c>
    </row>
    <row r="2621">
      <c r="A2621" s="41" t="n"/>
      <c r="B2621" s="37" t="n"/>
      <c r="C2621" s="37" t="n"/>
      <c r="D2621" s="39" t="str">
        <f>IF(C2621="","",IFERROR(INDEX(art_des,MATCH(C2621,art_ref,0))&amp;"","Référence inconnue"))</f>
        <v/>
      </c>
      <c r="E2621" s="37" t="n"/>
      <c r="F2621" s="39" t="str">
        <f>IF(C2621="","",IFERROR(INDEX(art_unit,MATCH(C2621,art_ref,0))&amp;"",""))</f>
        <v/>
      </c>
      <c r="G2621" s="37" t="n"/>
      <c r="H2621" s="37" t="n"/>
      <c r="I2621" s="37" t="n"/>
      <c r="J2621" s="40" t="str">
        <f>IF(OR(C2621="",NOT(ISNUMBER(E2621))),"",IFERROR(E2621*N(INDEX(art_price,MATCH(C2621,art_ref,0))),""))</f>
        <v/>
      </c>
      <c r="K2621" s="39" t="str">
        <f>IF(OR(C2621="",NOT(ISNUMBER(E2621))),"",IFERROR(ROUND(N(INDEX(art_init,MATCH(C2621,art_ref,0)))+SUMIFS($E$5:E2621,$C$5:C2621,C2621,$B$5:B2621,"Entrée")-SUMIFS($E$5:E2621,$C$5:C2621,C2621,$B$5:B2621,"Sortie"),6),""))</f>
        <v/>
      </c>
      <c r="L2621" s="39" t="str">
        <f>IF(COUNTA(A2621:C2621,E2621)=0,"",IF(COUNTA(A2621:C2621,E2621)&lt;4,"Ligne incomplète",IF(NOT(ISNUMBER(A2621)),"Date invalide",IF(AND(B2621&lt;&gt;"Entrée",B2621&lt;&gt;"Sortie"),"Type inconnu",IF(ISNA(MATCH(C2621,art_ref,0)),"Référence inconnue",IF(OR(NOT(ISNUMBER(E2621)),N(E2621)&lt;=0),"Quantité invalide",IF(K2621&lt;0,"Stock négatif",IF(AND(ISNUMBER(A2620),A2621&lt;A2620),"Date hors ordre","OK"))))))))</f>
        <v/>
      </c>
      <c r="M2621" s="39" t="str">
        <f>IF(C2621="","",C2621&amp;"#"&amp;COUNTIF($C$5:C2621,C2621))</f>
        <v/>
      </c>
    </row>
    <row r="2622">
      <c r="A2622" s="41" t="n"/>
      <c r="B2622" s="37" t="n"/>
      <c r="C2622" s="37" t="n"/>
      <c r="D2622" s="39" t="str">
        <f>IF(C2622="","",IFERROR(INDEX(art_des,MATCH(C2622,art_ref,0))&amp;"","Référence inconnue"))</f>
        <v/>
      </c>
      <c r="E2622" s="37" t="n"/>
      <c r="F2622" s="39" t="str">
        <f>IF(C2622="","",IFERROR(INDEX(art_unit,MATCH(C2622,art_ref,0))&amp;"",""))</f>
        <v/>
      </c>
      <c r="G2622" s="37" t="n"/>
      <c r="H2622" s="37" t="n"/>
      <c r="I2622" s="37" t="n"/>
      <c r="J2622" s="40" t="str">
        <f>IF(OR(C2622="",NOT(ISNUMBER(E2622))),"",IFERROR(E2622*N(INDEX(art_price,MATCH(C2622,art_ref,0))),""))</f>
        <v/>
      </c>
      <c r="K2622" s="39" t="str">
        <f>IF(OR(C2622="",NOT(ISNUMBER(E2622))),"",IFERROR(ROUND(N(INDEX(art_init,MATCH(C2622,art_ref,0)))+SUMIFS($E$5:E2622,$C$5:C2622,C2622,$B$5:B2622,"Entrée")-SUMIFS($E$5:E2622,$C$5:C2622,C2622,$B$5:B2622,"Sortie"),6),""))</f>
        <v/>
      </c>
      <c r="L2622" s="39" t="str">
        <f>IF(COUNTA(A2622:C2622,E2622)=0,"",IF(COUNTA(A2622:C2622,E2622)&lt;4,"Ligne incomplète",IF(NOT(ISNUMBER(A2622)),"Date invalide",IF(AND(B2622&lt;&gt;"Entrée",B2622&lt;&gt;"Sortie"),"Type inconnu",IF(ISNA(MATCH(C2622,art_ref,0)),"Référence inconnue",IF(OR(NOT(ISNUMBER(E2622)),N(E2622)&lt;=0),"Quantité invalide",IF(K2622&lt;0,"Stock négatif",IF(AND(ISNUMBER(A2621),A2622&lt;A2621),"Date hors ordre","OK"))))))))</f>
        <v/>
      </c>
      <c r="M2622" s="39" t="str">
        <f>IF(C2622="","",C2622&amp;"#"&amp;COUNTIF($C$5:C2622,C2622))</f>
        <v/>
      </c>
    </row>
    <row r="2623">
      <c r="A2623" s="41" t="n"/>
      <c r="B2623" s="37" t="n"/>
      <c r="C2623" s="37" t="n"/>
      <c r="D2623" s="39" t="str">
        <f>IF(C2623="","",IFERROR(INDEX(art_des,MATCH(C2623,art_ref,0))&amp;"","Référence inconnue"))</f>
        <v/>
      </c>
      <c r="E2623" s="37" t="n"/>
      <c r="F2623" s="39" t="str">
        <f>IF(C2623="","",IFERROR(INDEX(art_unit,MATCH(C2623,art_ref,0))&amp;"",""))</f>
        <v/>
      </c>
      <c r="G2623" s="37" t="n"/>
      <c r="H2623" s="37" t="n"/>
      <c r="I2623" s="37" t="n"/>
      <c r="J2623" s="40" t="str">
        <f>IF(OR(C2623="",NOT(ISNUMBER(E2623))),"",IFERROR(E2623*N(INDEX(art_price,MATCH(C2623,art_ref,0))),""))</f>
        <v/>
      </c>
      <c r="K2623" s="39" t="str">
        <f>IF(OR(C2623="",NOT(ISNUMBER(E2623))),"",IFERROR(ROUND(N(INDEX(art_init,MATCH(C2623,art_ref,0)))+SUMIFS($E$5:E2623,$C$5:C2623,C2623,$B$5:B2623,"Entrée")-SUMIFS($E$5:E2623,$C$5:C2623,C2623,$B$5:B2623,"Sortie"),6),""))</f>
        <v/>
      </c>
      <c r="L2623" s="39" t="str">
        <f>IF(COUNTA(A2623:C2623,E2623)=0,"",IF(COUNTA(A2623:C2623,E2623)&lt;4,"Ligne incomplète",IF(NOT(ISNUMBER(A2623)),"Date invalide",IF(AND(B2623&lt;&gt;"Entrée",B2623&lt;&gt;"Sortie"),"Type inconnu",IF(ISNA(MATCH(C2623,art_ref,0)),"Référence inconnue",IF(OR(NOT(ISNUMBER(E2623)),N(E2623)&lt;=0),"Quantité invalide",IF(K2623&lt;0,"Stock négatif",IF(AND(ISNUMBER(A2622),A2623&lt;A2622),"Date hors ordre","OK"))))))))</f>
        <v/>
      </c>
      <c r="M2623" s="39" t="str">
        <f>IF(C2623="","",C2623&amp;"#"&amp;COUNTIF($C$5:C2623,C2623))</f>
        <v/>
      </c>
    </row>
    <row r="2624">
      <c r="A2624" s="41" t="n"/>
      <c r="B2624" s="37" t="n"/>
      <c r="C2624" s="37" t="n"/>
      <c r="D2624" s="39" t="str">
        <f>IF(C2624="","",IFERROR(INDEX(art_des,MATCH(C2624,art_ref,0))&amp;"","Référence inconnue"))</f>
        <v/>
      </c>
      <c r="E2624" s="37" t="n"/>
      <c r="F2624" s="39" t="str">
        <f>IF(C2624="","",IFERROR(INDEX(art_unit,MATCH(C2624,art_ref,0))&amp;"",""))</f>
        <v/>
      </c>
      <c r="G2624" s="37" t="n"/>
      <c r="H2624" s="37" t="n"/>
      <c r="I2624" s="37" t="n"/>
      <c r="J2624" s="40" t="str">
        <f>IF(OR(C2624="",NOT(ISNUMBER(E2624))),"",IFERROR(E2624*N(INDEX(art_price,MATCH(C2624,art_ref,0))),""))</f>
        <v/>
      </c>
      <c r="K2624" s="39" t="str">
        <f>IF(OR(C2624="",NOT(ISNUMBER(E2624))),"",IFERROR(ROUND(N(INDEX(art_init,MATCH(C2624,art_ref,0)))+SUMIFS($E$5:E2624,$C$5:C2624,C2624,$B$5:B2624,"Entrée")-SUMIFS($E$5:E2624,$C$5:C2624,C2624,$B$5:B2624,"Sortie"),6),""))</f>
        <v/>
      </c>
      <c r="L2624" s="39" t="str">
        <f>IF(COUNTA(A2624:C2624,E2624)=0,"",IF(COUNTA(A2624:C2624,E2624)&lt;4,"Ligne incomplète",IF(NOT(ISNUMBER(A2624)),"Date invalide",IF(AND(B2624&lt;&gt;"Entrée",B2624&lt;&gt;"Sortie"),"Type inconnu",IF(ISNA(MATCH(C2624,art_ref,0)),"Référence inconnue",IF(OR(NOT(ISNUMBER(E2624)),N(E2624)&lt;=0),"Quantité invalide",IF(K2624&lt;0,"Stock négatif",IF(AND(ISNUMBER(A2623),A2624&lt;A2623),"Date hors ordre","OK"))))))))</f>
        <v/>
      </c>
      <c r="M2624" s="39" t="str">
        <f>IF(C2624="","",C2624&amp;"#"&amp;COUNTIF($C$5:C2624,C2624))</f>
        <v/>
      </c>
    </row>
    <row r="2625">
      <c r="A2625" s="41" t="n"/>
      <c r="B2625" s="37" t="n"/>
      <c r="C2625" s="37" t="n"/>
      <c r="D2625" s="39" t="str">
        <f>IF(C2625="","",IFERROR(INDEX(art_des,MATCH(C2625,art_ref,0))&amp;"","Référence inconnue"))</f>
        <v/>
      </c>
      <c r="E2625" s="37" t="n"/>
      <c r="F2625" s="39" t="str">
        <f>IF(C2625="","",IFERROR(INDEX(art_unit,MATCH(C2625,art_ref,0))&amp;"",""))</f>
        <v/>
      </c>
      <c r="G2625" s="37" t="n"/>
      <c r="H2625" s="37" t="n"/>
      <c r="I2625" s="37" t="n"/>
      <c r="J2625" s="40" t="str">
        <f>IF(OR(C2625="",NOT(ISNUMBER(E2625))),"",IFERROR(E2625*N(INDEX(art_price,MATCH(C2625,art_ref,0))),""))</f>
        <v/>
      </c>
      <c r="K2625" s="39" t="str">
        <f>IF(OR(C2625="",NOT(ISNUMBER(E2625))),"",IFERROR(ROUND(N(INDEX(art_init,MATCH(C2625,art_ref,0)))+SUMIFS($E$5:E2625,$C$5:C2625,C2625,$B$5:B2625,"Entrée")-SUMIFS($E$5:E2625,$C$5:C2625,C2625,$B$5:B2625,"Sortie"),6),""))</f>
        <v/>
      </c>
      <c r="L2625" s="39" t="str">
        <f>IF(COUNTA(A2625:C2625,E2625)=0,"",IF(COUNTA(A2625:C2625,E2625)&lt;4,"Ligne incomplète",IF(NOT(ISNUMBER(A2625)),"Date invalide",IF(AND(B2625&lt;&gt;"Entrée",B2625&lt;&gt;"Sortie"),"Type inconnu",IF(ISNA(MATCH(C2625,art_ref,0)),"Référence inconnue",IF(OR(NOT(ISNUMBER(E2625)),N(E2625)&lt;=0),"Quantité invalide",IF(K2625&lt;0,"Stock négatif",IF(AND(ISNUMBER(A2624),A2625&lt;A2624),"Date hors ordre","OK"))))))))</f>
        <v/>
      </c>
      <c r="M2625" s="39" t="str">
        <f>IF(C2625="","",C2625&amp;"#"&amp;COUNTIF($C$5:C2625,C2625))</f>
        <v/>
      </c>
    </row>
    <row r="2626">
      <c r="A2626" s="41" t="n"/>
      <c r="B2626" s="37" t="n"/>
      <c r="C2626" s="37" t="n"/>
      <c r="D2626" s="39" t="str">
        <f>IF(C2626="","",IFERROR(INDEX(art_des,MATCH(C2626,art_ref,0))&amp;"","Référence inconnue"))</f>
        <v/>
      </c>
      <c r="E2626" s="37" t="n"/>
      <c r="F2626" s="39" t="str">
        <f>IF(C2626="","",IFERROR(INDEX(art_unit,MATCH(C2626,art_ref,0))&amp;"",""))</f>
        <v/>
      </c>
      <c r="G2626" s="37" t="n"/>
      <c r="H2626" s="37" t="n"/>
      <c r="I2626" s="37" t="n"/>
      <c r="J2626" s="40" t="str">
        <f>IF(OR(C2626="",NOT(ISNUMBER(E2626))),"",IFERROR(E2626*N(INDEX(art_price,MATCH(C2626,art_ref,0))),""))</f>
        <v/>
      </c>
      <c r="K2626" s="39" t="str">
        <f>IF(OR(C2626="",NOT(ISNUMBER(E2626))),"",IFERROR(ROUND(N(INDEX(art_init,MATCH(C2626,art_ref,0)))+SUMIFS($E$5:E2626,$C$5:C2626,C2626,$B$5:B2626,"Entrée")-SUMIFS($E$5:E2626,$C$5:C2626,C2626,$B$5:B2626,"Sortie"),6),""))</f>
        <v/>
      </c>
      <c r="L2626" s="39" t="str">
        <f>IF(COUNTA(A2626:C2626,E2626)=0,"",IF(COUNTA(A2626:C2626,E2626)&lt;4,"Ligne incomplète",IF(NOT(ISNUMBER(A2626)),"Date invalide",IF(AND(B2626&lt;&gt;"Entrée",B2626&lt;&gt;"Sortie"),"Type inconnu",IF(ISNA(MATCH(C2626,art_ref,0)),"Référence inconnue",IF(OR(NOT(ISNUMBER(E2626)),N(E2626)&lt;=0),"Quantité invalide",IF(K2626&lt;0,"Stock négatif",IF(AND(ISNUMBER(A2625),A2626&lt;A2625),"Date hors ordre","OK"))))))))</f>
        <v/>
      </c>
      <c r="M2626" s="39" t="str">
        <f>IF(C2626="","",C2626&amp;"#"&amp;COUNTIF($C$5:C2626,C2626))</f>
        <v/>
      </c>
    </row>
    <row r="2627">
      <c r="A2627" s="41" t="n"/>
      <c r="B2627" s="37" t="n"/>
      <c r="C2627" s="37" t="n"/>
      <c r="D2627" s="39" t="str">
        <f>IF(C2627="","",IFERROR(INDEX(art_des,MATCH(C2627,art_ref,0))&amp;"","Référence inconnue"))</f>
        <v/>
      </c>
      <c r="E2627" s="37" t="n"/>
      <c r="F2627" s="39" t="str">
        <f>IF(C2627="","",IFERROR(INDEX(art_unit,MATCH(C2627,art_ref,0))&amp;"",""))</f>
        <v/>
      </c>
      <c r="G2627" s="37" t="n"/>
      <c r="H2627" s="37" t="n"/>
      <c r="I2627" s="37" t="n"/>
      <c r="J2627" s="40" t="str">
        <f>IF(OR(C2627="",NOT(ISNUMBER(E2627))),"",IFERROR(E2627*N(INDEX(art_price,MATCH(C2627,art_ref,0))),""))</f>
        <v/>
      </c>
      <c r="K2627" s="39" t="str">
        <f>IF(OR(C2627="",NOT(ISNUMBER(E2627))),"",IFERROR(ROUND(N(INDEX(art_init,MATCH(C2627,art_ref,0)))+SUMIFS($E$5:E2627,$C$5:C2627,C2627,$B$5:B2627,"Entrée")-SUMIFS($E$5:E2627,$C$5:C2627,C2627,$B$5:B2627,"Sortie"),6),""))</f>
        <v/>
      </c>
      <c r="L2627" s="39" t="str">
        <f>IF(COUNTA(A2627:C2627,E2627)=0,"",IF(COUNTA(A2627:C2627,E2627)&lt;4,"Ligne incomplète",IF(NOT(ISNUMBER(A2627)),"Date invalide",IF(AND(B2627&lt;&gt;"Entrée",B2627&lt;&gt;"Sortie"),"Type inconnu",IF(ISNA(MATCH(C2627,art_ref,0)),"Référence inconnue",IF(OR(NOT(ISNUMBER(E2627)),N(E2627)&lt;=0),"Quantité invalide",IF(K2627&lt;0,"Stock négatif",IF(AND(ISNUMBER(A2626),A2627&lt;A2626),"Date hors ordre","OK"))))))))</f>
        <v/>
      </c>
      <c r="M2627" s="39" t="str">
        <f>IF(C2627="","",C2627&amp;"#"&amp;COUNTIF($C$5:C2627,C2627))</f>
        <v/>
      </c>
    </row>
    <row r="2628">
      <c r="A2628" s="41" t="n"/>
      <c r="B2628" s="37" t="n"/>
      <c r="C2628" s="37" t="n"/>
      <c r="D2628" s="39" t="str">
        <f>IF(C2628="","",IFERROR(INDEX(art_des,MATCH(C2628,art_ref,0))&amp;"","Référence inconnue"))</f>
        <v/>
      </c>
      <c r="E2628" s="37" t="n"/>
      <c r="F2628" s="39" t="str">
        <f>IF(C2628="","",IFERROR(INDEX(art_unit,MATCH(C2628,art_ref,0))&amp;"",""))</f>
        <v/>
      </c>
      <c r="G2628" s="37" t="n"/>
      <c r="H2628" s="37" t="n"/>
      <c r="I2628" s="37" t="n"/>
      <c r="J2628" s="40" t="str">
        <f>IF(OR(C2628="",NOT(ISNUMBER(E2628))),"",IFERROR(E2628*N(INDEX(art_price,MATCH(C2628,art_ref,0))),""))</f>
        <v/>
      </c>
      <c r="K2628" s="39" t="str">
        <f>IF(OR(C2628="",NOT(ISNUMBER(E2628))),"",IFERROR(ROUND(N(INDEX(art_init,MATCH(C2628,art_ref,0)))+SUMIFS($E$5:E2628,$C$5:C2628,C2628,$B$5:B2628,"Entrée")-SUMIFS($E$5:E2628,$C$5:C2628,C2628,$B$5:B2628,"Sortie"),6),""))</f>
        <v/>
      </c>
      <c r="L2628" s="39" t="str">
        <f>IF(COUNTA(A2628:C2628,E2628)=0,"",IF(COUNTA(A2628:C2628,E2628)&lt;4,"Ligne incomplète",IF(NOT(ISNUMBER(A2628)),"Date invalide",IF(AND(B2628&lt;&gt;"Entrée",B2628&lt;&gt;"Sortie"),"Type inconnu",IF(ISNA(MATCH(C2628,art_ref,0)),"Référence inconnue",IF(OR(NOT(ISNUMBER(E2628)),N(E2628)&lt;=0),"Quantité invalide",IF(K2628&lt;0,"Stock négatif",IF(AND(ISNUMBER(A2627),A2628&lt;A2627),"Date hors ordre","OK"))))))))</f>
        <v/>
      </c>
      <c r="M2628" s="39" t="str">
        <f>IF(C2628="","",C2628&amp;"#"&amp;COUNTIF($C$5:C2628,C2628))</f>
        <v/>
      </c>
    </row>
    <row r="2629">
      <c r="A2629" s="41" t="n"/>
      <c r="B2629" s="37" t="n"/>
      <c r="C2629" s="37" t="n"/>
      <c r="D2629" s="39" t="str">
        <f>IF(C2629="","",IFERROR(INDEX(art_des,MATCH(C2629,art_ref,0))&amp;"","Référence inconnue"))</f>
        <v/>
      </c>
      <c r="E2629" s="37" t="n"/>
      <c r="F2629" s="39" t="str">
        <f>IF(C2629="","",IFERROR(INDEX(art_unit,MATCH(C2629,art_ref,0))&amp;"",""))</f>
        <v/>
      </c>
      <c r="G2629" s="37" t="n"/>
      <c r="H2629" s="37" t="n"/>
      <c r="I2629" s="37" t="n"/>
      <c r="J2629" s="40" t="str">
        <f>IF(OR(C2629="",NOT(ISNUMBER(E2629))),"",IFERROR(E2629*N(INDEX(art_price,MATCH(C2629,art_ref,0))),""))</f>
        <v/>
      </c>
      <c r="K2629" s="39" t="str">
        <f>IF(OR(C2629="",NOT(ISNUMBER(E2629))),"",IFERROR(ROUND(N(INDEX(art_init,MATCH(C2629,art_ref,0)))+SUMIFS($E$5:E2629,$C$5:C2629,C2629,$B$5:B2629,"Entrée")-SUMIFS($E$5:E2629,$C$5:C2629,C2629,$B$5:B2629,"Sortie"),6),""))</f>
        <v/>
      </c>
      <c r="L2629" s="39" t="str">
        <f>IF(COUNTA(A2629:C2629,E2629)=0,"",IF(COUNTA(A2629:C2629,E2629)&lt;4,"Ligne incomplète",IF(NOT(ISNUMBER(A2629)),"Date invalide",IF(AND(B2629&lt;&gt;"Entrée",B2629&lt;&gt;"Sortie"),"Type inconnu",IF(ISNA(MATCH(C2629,art_ref,0)),"Référence inconnue",IF(OR(NOT(ISNUMBER(E2629)),N(E2629)&lt;=0),"Quantité invalide",IF(K2629&lt;0,"Stock négatif",IF(AND(ISNUMBER(A2628),A2629&lt;A2628),"Date hors ordre","OK"))))))))</f>
        <v/>
      </c>
      <c r="M2629" s="39" t="str">
        <f>IF(C2629="","",C2629&amp;"#"&amp;COUNTIF($C$5:C2629,C2629))</f>
        <v/>
      </c>
    </row>
    <row r="2630">
      <c r="A2630" s="41" t="n"/>
      <c r="B2630" s="37" t="n"/>
      <c r="C2630" s="37" t="n"/>
      <c r="D2630" s="39" t="str">
        <f>IF(C2630="","",IFERROR(INDEX(art_des,MATCH(C2630,art_ref,0))&amp;"","Référence inconnue"))</f>
        <v/>
      </c>
      <c r="E2630" s="37" t="n"/>
      <c r="F2630" s="39" t="str">
        <f>IF(C2630="","",IFERROR(INDEX(art_unit,MATCH(C2630,art_ref,0))&amp;"",""))</f>
        <v/>
      </c>
      <c r="G2630" s="37" t="n"/>
      <c r="H2630" s="37" t="n"/>
      <c r="I2630" s="37" t="n"/>
      <c r="J2630" s="40" t="str">
        <f>IF(OR(C2630="",NOT(ISNUMBER(E2630))),"",IFERROR(E2630*N(INDEX(art_price,MATCH(C2630,art_ref,0))),""))</f>
        <v/>
      </c>
      <c r="K2630" s="39" t="str">
        <f>IF(OR(C2630="",NOT(ISNUMBER(E2630))),"",IFERROR(ROUND(N(INDEX(art_init,MATCH(C2630,art_ref,0)))+SUMIFS($E$5:E2630,$C$5:C2630,C2630,$B$5:B2630,"Entrée")-SUMIFS($E$5:E2630,$C$5:C2630,C2630,$B$5:B2630,"Sortie"),6),""))</f>
        <v/>
      </c>
      <c r="L2630" s="39" t="str">
        <f>IF(COUNTA(A2630:C2630,E2630)=0,"",IF(COUNTA(A2630:C2630,E2630)&lt;4,"Ligne incomplète",IF(NOT(ISNUMBER(A2630)),"Date invalide",IF(AND(B2630&lt;&gt;"Entrée",B2630&lt;&gt;"Sortie"),"Type inconnu",IF(ISNA(MATCH(C2630,art_ref,0)),"Référence inconnue",IF(OR(NOT(ISNUMBER(E2630)),N(E2630)&lt;=0),"Quantité invalide",IF(K2630&lt;0,"Stock négatif",IF(AND(ISNUMBER(A2629),A2630&lt;A2629),"Date hors ordre","OK"))))))))</f>
        <v/>
      </c>
      <c r="M2630" s="39" t="str">
        <f>IF(C2630="","",C2630&amp;"#"&amp;COUNTIF($C$5:C2630,C2630))</f>
        <v/>
      </c>
    </row>
    <row r="2631">
      <c r="A2631" s="41" t="n"/>
      <c r="B2631" s="37" t="n"/>
      <c r="C2631" s="37" t="n"/>
      <c r="D2631" s="39" t="str">
        <f>IF(C2631="","",IFERROR(INDEX(art_des,MATCH(C2631,art_ref,0))&amp;"","Référence inconnue"))</f>
        <v/>
      </c>
      <c r="E2631" s="37" t="n"/>
      <c r="F2631" s="39" t="str">
        <f>IF(C2631="","",IFERROR(INDEX(art_unit,MATCH(C2631,art_ref,0))&amp;"",""))</f>
        <v/>
      </c>
      <c r="G2631" s="37" t="n"/>
      <c r="H2631" s="37" t="n"/>
      <c r="I2631" s="37" t="n"/>
      <c r="J2631" s="40" t="str">
        <f>IF(OR(C2631="",NOT(ISNUMBER(E2631))),"",IFERROR(E2631*N(INDEX(art_price,MATCH(C2631,art_ref,0))),""))</f>
        <v/>
      </c>
      <c r="K2631" s="39" t="str">
        <f>IF(OR(C2631="",NOT(ISNUMBER(E2631))),"",IFERROR(ROUND(N(INDEX(art_init,MATCH(C2631,art_ref,0)))+SUMIFS($E$5:E2631,$C$5:C2631,C2631,$B$5:B2631,"Entrée")-SUMIFS($E$5:E2631,$C$5:C2631,C2631,$B$5:B2631,"Sortie"),6),""))</f>
        <v/>
      </c>
      <c r="L2631" s="39" t="str">
        <f>IF(COUNTA(A2631:C2631,E2631)=0,"",IF(COUNTA(A2631:C2631,E2631)&lt;4,"Ligne incomplète",IF(NOT(ISNUMBER(A2631)),"Date invalide",IF(AND(B2631&lt;&gt;"Entrée",B2631&lt;&gt;"Sortie"),"Type inconnu",IF(ISNA(MATCH(C2631,art_ref,0)),"Référence inconnue",IF(OR(NOT(ISNUMBER(E2631)),N(E2631)&lt;=0),"Quantité invalide",IF(K2631&lt;0,"Stock négatif",IF(AND(ISNUMBER(A2630),A2631&lt;A2630),"Date hors ordre","OK"))))))))</f>
        <v/>
      </c>
      <c r="M2631" s="39" t="str">
        <f>IF(C2631="","",C2631&amp;"#"&amp;COUNTIF($C$5:C2631,C2631))</f>
        <v/>
      </c>
    </row>
    <row r="2632">
      <c r="A2632" s="41" t="n"/>
      <c r="B2632" s="37" t="n"/>
      <c r="C2632" s="37" t="n"/>
      <c r="D2632" s="39" t="str">
        <f>IF(C2632="","",IFERROR(INDEX(art_des,MATCH(C2632,art_ref,0))&amp;"","Référence inconnue"))</f>
        <v/>
      </c>
      <c r="E2632" s="37" t="n"/>
      <c r="F2632" s="39" t="str">
        <f>IF(C2632="","",IFERROR(INDEX(art_unit,MATCH(C2632,art_ref,0))&amp;"",""))</f>
        <v/>
      </c>
      <c r="G2632" s="37" t="n"/>
      <c r="H2632" s="37" t="n"/>
      <c r="I2632" s="37" t="n"/>
      <c r="J2632" s="40" t="str">
        <f>IF(OR(C2632="",NOT(ISNUMBER(E2632))),"",IFERROR(E2632*N(INDEX(art_price,MATCH(C2632,art_ref,0))),""))</f>
        <v/>
      </c>
      <c r="K2632" s="39" t="str">
        <f>IF(OR(C2632="",NOT(ISNUMBER(E2632))),"",IFERROR(ROUND(N(INDEX(art_init,MATCH(C2632,art_ref,0)))+SUMIFS($E$5:E2632,$C$5:C2632,C2632,$B$5:B2632,"Entrée")-SUMIFS($E$5:E2632,$C$5:C2632,C2632,$B$5:B2632,"Sortie"),6),""))</f>
        <v/>
      </c>
      <c r="L2632" s="39" t="str">
        <f>IF(COUNTA(A2632:C2632,E2632)=0,"",IF(COUNTA(A2632:C2632,E2632)&lt;4,"Ligne incomplète",IF(NOT(ISNUMBER(A2632)),"Date invalide",IF(AND(B2632&lt;&gt;"Entrée",B2632&lt;&gt;"Sortie"),"Type inconnu",IF(ISNA(MATCH(C2632,art_ref,0)),"Référence inconnue",IF(OR(NOT(ISNUMBER(E2632)),N(E2632)&lt;=0),"Quantité invalide",IF(K2632&lt;0,"Stock négatif",IF(AND(ISNUMBER(A2631),A2632&lt;A2631),"Date hors ordre","OK"))))))))</f>
        <v/>
      </c>
      <c r="M2632" s="39" t="str">
        <f>IF(C2632="","",C2632&amp;"#"&amp;COUNTIF($C$5:C2632,C2632))</f>
        <v/>
      </c>
    </row>
    <row r="2633">
      <c r="A2633" s="41" t="n"/>
      <c r="B2633" s="37" t="n"/>
      <c r="C2633" s="37" t="n"/>
      <c r="D2633" s="39" t="str">
        <f>IF(C2633="","",IFERROR(INDEX(art_des,MATCH(C2633,art_ref,0))&amp;"","Référence inconnue"))</f>
        <v/>
      </c>
      <c r="E2633" s="37" t="n"/>
      <c r="F2633" s="39" t="str">
        <f>IF(C2633="","",IFERROR(INDEX(art_unit,MATCH(C2633,art_ref,0))&amp;"",""))</f>
        <v/>
      </c>
      <c r="G2633" s="37" t="n"/>
      <c r="H2633" s="37" t="n"/>
      <c r="I2633" s="37" t="n"/>
      <c r="J2633" s="40" t="str">
        <f>IF(OR(C2633="",NOT(ISNUMBER(E2633))),"",IFERROR(E2633*N(INDEX(art_price,MATCH(C2633,art_ref,0))),""))</f>
        <v/>
      </c>
      <c r="K2633" s="39" t="str">
        <f>IF(OR(C2633="",NOT(ISNUMBER(E2633))),"",IFERROR(ROUND(N(INDEX(art_init,MATCH(C2633,art_ref,0)))+SUMIFS($E$5:E2633,$C$5:C2633,C2633,$B$5:B2633,"Entrée")-SUMIFS($E$5:E2633,$C$5:C2633,C2633,$B$5:B2633,"Sortie"),6),""))</f>
        <v/>
      </c>
      <c r="L2633" s="39" t="str">
        <f>IF(COUNTA(A2633:C2633,E2633)=0,"",IF(COUNTA(A2633:C2633,E2633)&lt;4,"Ligne incomplète",IF(NOT(ISNUMBER(A2633)),"Date invalide",IF(AND(B2633&lt;&gt;"Entrée",B2633&lt;&gt;"Sortie"),"Type inconnu",IF(ISNA(MATCH(C2633,art_ref,0)),"Référence inconnue",IF(OR(NOT(ISNUMBER(E2633)),N(E2633)&lt;=0),"Quantité invalide",IF(K2633&lt;0,"Stock négatif",IF(AND(ISNUMBER(A2632),A2633&lt;A2632),"Date hors ordre","OK"))))))))</f>
        <v/>
      </c>
      <c r="M2633" s="39" t="str">
        <f>IF(C2633="","",C2633&amp;"#"&amp;COUNTIF($C$5:C2633,C2633))</f>
        <v/>
      </c>
    </row>
    <row r="2634">
      <c r="A2634" s="41" t="n"/>
      <c r="B2634" s="37" t="n"/>
      <c r="C2634" s="37" t="n"/>
      <c r="D2634" s="39" t="str">
        <f>IF(C2634="","",IFERROR(INDEX(art_des,MATCH(C2634,art_ref,0))&amp;"","Référence inconnue"))</f>
        <v/>
      </c>
      <c r="E2634" s="37" t="n"/>
      <c r="F2634" s="39" t="str">
        <f>IF(C2634="","",IFERROR(INDEX(art_unit,MATCH(C2634,art_ref,0))&amp;"",""))</f>
        <v/>
      </c>
      <c r="G2634" s="37" t="n"/>
      <c r="H2634" s="37" t="n"/>
      <c r="I2634" s="37" t="n"/>
      <c r="J2634" s="40" t="str">
        <f>IF(OR(C2634="",NOT(ISNUMBER(E2634))),"",IFERROR(E2634*N(INDEX(art_price,MATCH(C2634,art_ref,0))),""))</f>
        <v/>
      </c>
      <c r="K2634" s="39" t="str">
        <f>IF(OR(C2634="",NOT(ISNUMBER(E2634))),"",IFERROR(ROUND(N(INDEX(art_init,MATCH(C2634,art_ref,0)))+SUMIFS($E$5:E2634,$C$5:C2634,C2634,$B$5:B2634,"Entrée")-SUMIFS($E$5:E2634,$C$5:C2634,C2634,$B$5:B2634,"Sortie"),6),""))</f>
        <v/>
      </c>
      <c r="L2634" s="39" t="str">
        <f>IF(COUNTA(A2634:C2634,E2634)=0,"",IF(COUNTA(A2634:C2634,E2634)&lt;4,"Ligne incomplète",IF(NOT(ISNUMBER(A2634)),"Date invalide",IF(AND(B2634&lt;&gt;"Entrée",B2634&lt;&gt;"Sortie"),"Type inconnu",IF(ISNA(MATCH(C2634,art_ref,0)),"Référence inconnue",IF(OR(NOT(ISNUMBER(E2634)),N(E2634)&lt;=0),"Quantité invalide",IF(K2634&lt;0,"Stock négatif",IF(AND(ISNUMBER(A2633),A2634&lt;A2633),"Date hors ordre","OK"))))))))</f>
        <v/>
      </c>
      <c r="M2634" s="39" t="str">
        <f>IF(C2634="","",C2634&amp;"#"&amp;COUNTIF($C$5:C2634,C2634))</f>
        <v/>
      </c>
    </row>
    <row r="2635">
      <c r="A2635" s="41" t="n"/>
      <c r="B2635" s="37" t="n"/>
      <c r="C2635" s="37" t="n"/>
      <c r="D2635" s="39" t="str">
        <f>IF(C2635="","",IFERROR(INDEX(art_des,MATCH(C2635,art_ref,0))&amp;"","Référence inconnue"))</f>
        <v/>
      </c>
      <c r="E2635" s="37" t="n"/>
      <c r="F2635" s="39" t="str">
        <f>IF(C2635="","",IFERROR(INDEX(art_unit,MATCH(C2635,art_ref,0))&amp;"",""))</f>
        <v/>
      </c>
      <c r="G2635" s="37" t="n"/>
      <c r="H2635" s="37" t="n"/>
      <c r="I2635" s="37" t="n"/>
      <c r="J2635" s="40" t="str">
        <f>IF(OR(C2635="",NOT(ISNUMBER(E2635))),"",IFERROR(E2635*N(INDEX(art_price,MATCH(C2635,art_ref,0))),""))</f>
        <v/>
      </c>
      <c r="K2635" s="39" t="str">
        <f>IF(OR(C2635="",NOT(ISNUMBER(E2635))),"",IFERROR(ROUND(N(INDEX(art_init,MATCH(C2635,art_ref,0)))+SUMIFS($E$5:E2635,$C$5:C2635,C2635,$B$5:B2635,"Entrée")-SUMIFS($E$5:E2635,$C$5:C2635,C2635,$B$5:B2635,"Sortie"),6),""))</f>
        <v/>
      </c>
      <c r="L2635" s="39" t="str">
        <f>IF(COUNTA(A2635:C2635,E2635)=0,"",IF(COUNTA(A2635:C2635,E2635)&lt;4,"Ligne incomplète",IF(NOT(ISNUMBER(A2635)),"Date invalide",IF(AND(B2635&lt;&gt;"Entrée",B2635&lt;&gt;"Sortie"),"Type inconnu",IF(ISNA(MATCH(C2635,art_ref,0)),"Référence inconnue",IF(OR(NOT(ISNUMBER(E2635)),N(E2635)&lt;=0),"Quantité invalide",IF(K2635&lt;0,"Stock négatif",IF(AND(ISNUMBER(A2634),A2635&lt;A2634),"Date hors ordre","OK"))))))))</f>
        <v/>
      </c>
      <c r="M2635" s="39" t="str">
        <f>IF(C2635="","",C2635&amp;"#"&amp;COUNTIF($C$5:C2635,C2635))</f>
        <v/>
      </c>
    </row>
    <row r="2636">
      <c r="A2636" s="41" t="n"/>
      <c r="B2636" s="37" t="n"/>
      <c r="C2636" s="37" t="n"/>
      <c r="D2636" s="39" t="str">
        <f>IF(C2636="","",IFERROR(INDEX(art_des,MATCH(C2636,art_ref,0))&amp;"","Référence inconnue"))</f>
        <v/>
      </c>
      <c r="E2636" s="37" t="n"/>
      <c r="F2636" s="39" t="str">
        <f>IF(C2636="","",IFERROR(INDEX(art_unit,MATCH(C2636,art_ref,0))&amp;"",""))</f>
        <v/>
      </c>
      <c r="G2636" s="37" t="n"/>
      <c r="H2636" s="37" t="n"/>
      <c r="I2636" s="37" t="n"/>
      <c r="J2636" s="40" t="str">
        <f>IF(OR(C2636="",NOT(ISNUMBER(E2636))),"",IFERROR(E2636*N(INDEX(art_price,MATCH(C2636,art_ref,0))),""))</f>
        <v/>
      </c>
      <c r="K2636" s="39" t="str">
        <f>IF(OR(C2636="",NOT(ISNUMBER(E2636))),"",IFERROR(ROUND(N(INDEX(art_init,MATCH(C2636,art_ref,0)))+SUMIFS($E$5:E2636,$C$5:C2636,C2636,$B$5:B2636,"Entrée")-SUMIFS($E$5:E2636,$C$5:C2636,C2636,$B$5:B2636,"Sortie"),6),""))</f>
        <v/>
      </c>
      <c r="L2636" s="39" t="str">
        <f>IF(COUNTA(A2636:C2636,E2636)=0,"",IF(COUNTA(A2636:C2636,E2636)&lt;4,"Ligne incomplète",IF(NOT(ISNUMBER(A2636)),"Date invalide",IF(AND(B2636&lt;&gt;"Entrée",B2636&lt;&gt;"Sortie"),"Type inconnu",IF(ISNA(MATCH(C2636,art_ref,0)),"Référence inconnue",IF(OR(NOT(ISNUMBER(E2636)),N(E2636)&lt;=0),"Quantité invalide",IF(K2636&lt;0,"Stock négatif",IF(AND(ISNUMBER(A2635),A2636&lt;A2635),"Date hors ordre","OK"))))))))</f>
        <v/>
      </c>
      <c r="M2636" s="39" t="str">
        <f>IF(C2636="","",C2636&amp;"#"&amp;COUNTIF($C$5:C2636,C2636))</f>
        <v/>
      </c>
    </row>
    <row r="2637">
      <c r="A2637" s="41" t="n"/>
      <c r="B2637" s="37" t="n"/>
      <c r="C2637" s="37" t="n"/>
      <c r="D2637" s="39" t="str">
        <f>IF(C2637="","",IFERROR(INDEX(art_des,MATCH(C2637,art_ref,0))&amp;"","Référence inconnue"))</f>
        <v/>
      </c>
      <c r="E2637" s="37" t="n"/>
      <c r="F2637" s="39" t="str">
        <f>IF(C2637="","",IFERROR(INDEX(art_unit,MATCH(C2637,art_ref,0))&amp;"",""))</f>
        <v/>
      </c>
      <c r="G2637" s="37" t="n"/>
      <c r="H2637" s="37" t="n"/>
      <c r="I2637" s="37" t="n"/>
      <c r="J2637" s="40" t="str">
        <f>IF(OR(C2637="",NOT(ISNUMBER(E2637))),"",IFERROR(E2637*N(INDEX(art_price,MATCH(C2637,art_ref,0))),""))</f>
        <v/>
      </c>
      <c r="K2637" s="39" t="str">
        <f>IF(OR(C2637="",NOT(ISNUMBER(E2637))),"",IFERROR(ROUND(N(INDEX(art_init,MATCH(C2637,art_ref,0)))+SUMIFS($E$5:E2637,$C$5:C2637,C2637,$B$5:B2637,"Entrée")-SUMIFS($E$5:E2637,$C$5:C2637,C2637,$B$5:B2637,"Sortie"),6),""))</f>
        <v/>
      </c>
      <c r="L2637" s="39" t="str">
        <f>IF(COUNTA(A2637:C2637,E2637)=0,"",IF(COUNTA(A2637:C2637,E2637)&lt;4,"Ligne incomplète",IF(NOT(ISNUMBER(A2637)),"Date invalide",IF(AND(B2637&lt;&gt;"Entrée",B2637&lt;&gt;"Sortie"),"Type inconnu",IF(ISNA(MATCH(C2637,art_ref,0)),"Référence inconnue",IF(OR(NOT(ISNUMBER(E2637)),N(E2637)&lt;=0),"Quantité invalide",IF(K2637&lt;0,"Stock négatif",IF(AND(ISNUMBER(A2636),A2637&lt;A2636),"Date hors ordre","OK"))))))))</f>
        <v/>
      </c>
      <c r="M2637" s="39" t="str">
        <f>IF(C2637="","",C2637&amp;"#"&amp;COUNTIF($C$5:C2637,C2637))</f>
        <v/>
      </c>
    </row>
    <row r="2638">
      <c r="A2638" s="41" t="n"/>
      <c r="B2638" s="37" t="n"/>
      <c r="C2638" s="37" t="n"/>
      <c r="D2638" s="39" t="str">
        <f>IF(C2638="","",IFERROR(INDEX(art_des,MATCH(C2638,art_ref,0))&amp;"","Référence inconnue"))</f>
        <v/>
      </c>
      <c r="E2638" s="37" t="n"/>
      <c r="F2638" s="39" t="str">
        <f>IF(C2638="","",IFERROR(INDEX(art_unit,MATCH(C2638,art_ref,0))&amp;"",""))</f>
        <v/>
      </c>
      <c r="G2638" s="37" t="n"/>
      <c r="H2638" s="37" t="n"/>
      <c r="I2638" s="37" t="n"/>
      <c r="J2638" s="40" t="str">
        <f>IF(OR(C2638="",NOT(ISNUMBER(E2638))),"",IFERROR(E2638*N(INDEX(art_price,MATCH(C2638,art_ref,0))),""))</f>
        <v/>
      </c>
      <c r="K2638" s="39" t="str">
        <f>IF(OR(C2638="",NOT(ISNUMBER(E2638))),"",IFERROR(ROUND(N(INDEX(art_init,MATCH(C2638,art_ref,0)))+SUMIFS($E$5:E2638,$C$5:C2638,C2638,$B$5:B2638,"Entrée")-SUMIFS($E$5:E2638,$C$5:C2638,C2638,$B$5:B2638,"Sortie"),6),""))</f>
        <v/>
      </c>
      <c r="L2638" s="39" t="str">
        <f>IF(COUNTA(A2638:C2638,E2638)=0,"",IF(COUNTA(A2638:C2638,E2638)&lt;4,"Ligne incomplète",IF(NOT(ISNUMBER(A2638)),"Date invalide",IF(AND(B2638&lt;&gt;"Entrée",B2638&lt;&gt;"Sortie"),"Type inconnu",IF(ISNA(MATCH(C2638,art_ref,0)),"Référence inconnue",IF(OR(NOT(ISNUMBER(E2638)),N(E2638)&lt;=0),"Quantité invalide",IF(K2638&lt;0,"Stock négatif",IF(AND(ISNUMBER(A2637),A2638&lt;A2637),"Date hors ordre","OK"))))))))</f>
        <v/>
      </c>
      <c r="M2638" s="39" t="str">
        <f>IF(C2638="","",C2638&amp;"#"&amp;COUNTIF($C$5:C2638,C2638))</f>
        <v/>
      </c>
    </row>
    <row r="2639">
      <c r="A2639" s="41" t="n"/>
      <c r="B2639" s="37" t="n"/>
      <c r="C2639" s="37" t="n"/>
      <c r="D2639" s="39" t="str">
        <f>IF(C2639="","",IFERROR(INDEX(art_des,MATCH(C2639,art_ref,0))&amp;"","Référence inconnue"))</f>
        <v/>
      </c>
      <c r="E2639" s="37" t="n"/>
      <c r="F2639" s="39" t="str">
        <f>IF(C2639="","",IFERROR(INDEX(art_unit,MATCH(C2639,art_ref,0))&amp;"",""))</f>
        <v/>
      </c>
      <c r="G2639" s="37" t="n"/>
      <c r="H2639" s="37" t="n"/>
      <c r="I2639" s="37" t="n"/>
      <c r="J2639" s="40" t="str">
        <f>IF(OR(C2639="",NOT(ISNUMBER(E2639))),"",IFERROR(E2639*N(INDEX(art_price,MATCH(C2639,art_ref,0))),""))</f>
        <v/>
      </c>
      <c r="K2639" s="39" t="str">
        <f>IF(OR(C2639="",NOT(ISNUMBER(E2639))),"",IFERROR(ROUND(N(INDEX(art_init,MATCH(C2639,art_ref,0)))+SUMIFS($E$5:E2639,$C$5:C2639,C2639,$B$5:B2639,"Entrée")-SUMIFS($E$5:E2639,$C$5:C2639,C2639,$B$5:B2639,"Sortie"),6),""))</f>
        <v/>
      </c>
      <c r="L2639" s="39" t="str">
        <f>IF(COUNTA(A2639:C2639,E2639)=0,"",IF(COUNTA(A2639:C2639,E2639)&lt;4,"Ligne incomplète",IF(NOT(ISNUMBER(A2639)),"Date invalide",IF(AND(B2639&lt;&gt;"Entrée",B2639&lt;&gt;"Sortie"),"Type inconnu",IF(ISNA(MATCH(C2639,art_ref,0)),"Référence inconnue",IF(OR(NOT(ISNUMBER(E2639)),N(E2639)&lt;=0),"Quantité invalide",IF(K2639&lt;0,"Stock négatif",IF(AND(ISNUMBER(A2638),A2639&lt;A2638),"Date hors ordre","OK"))))))))</f>
        <v/>
      </c>
      <c r="M2639" s="39" t="str">
        <f>IF(C2639="","",C2639&amp;"#"&amp;COUNTIF($C$5:C2639,C2639))</f>
        <v/>
      </c>
    </row>
    <row r="2640">
      <c r="A2640" s="41" t="n"/>
      <c r="B2640" s="37" t="n"/>
      <c r="C2640" s="37" t="n"/>
      <c r="D2640" s="39" t="str">
        <f>IF(C2640="","",IFERROR(INDEX(art_des,MATCH(C2640,art_ref,0))&amp;"","Référence inconnue"))</f>
        <v/>
      </c>
      <c r="E2640" s="37" t="n"/>
      <c r="F2640" s="39" t="str">
        <f>IF(C2640="","",IFERROR(INDEX(art_unit,MATCH(C2640,art_ref,0))&amp;"",""))</f>
        <v/>
      </c>
      <c r="G2640" s="37" t="n"/>
      <c r="H2640" s="37" t="n"/>
      <c r="I2640" s="37" t="n"/>
      <c r="J2640" s="40" t="str">
        <f>IF(OR(C2640="",NOT(ISNUMBER(E2640))),"",IFERROR(E2640*N(INDEX(art_price,MATCH(C2640,art_ref,0))),""))</f>
        <v/>
      </c>
      <c r="K2640" s="39" t="str">
        <f>IF(OR(C2640="",NOT(ISNUMBER(E2640))),"",IFERROR(ROUND(N(INDEX(art_init,MATCH(C2640,art_ref,0)))+SUMIFS($E$5:E2640,$C$5:C2640,C2640,$B$5:B2640,"Entrée")-SUMIFS($E$5:E2640,$C$5:C2640,C2640,$B$5:B2640,"Sortie"),6),""))</f>
        <v/>
      </c>
      <c r="L2640" s="39" t="str">
        <f>IF(COUNTA(A2640:C2640,E2640)=0,"",IF(COUNTA(A2640:C2640,E2640)&lt;4,"Ligne incomplète",IF(NOT(ISNUMBER(A2640)),"Date invalide",IF(AND(B2640&lt;&gt;"Entrée",B2640&lt;&gt;"Sortie"),"Type inconnu",IF(ISNA(MATCH(C2640,art_ref,0)),"Référence inconnue",IF(OR(NOT(ISNUMBER(E2640)),N(E2640)&lt;=0),"Quantité invalide",IF(K2640&lt;0,"Stock négatif",IF(AND(ISNUMBER(A2639),A2640&lt;A2639),"Date hors ordre","OK"))))))))</f>
        <v/>
      </c>
      <c r="M2640" s="39" t="str">
        <f>IF(C2640="","",C2640&amp;"#"&amp;COUNTIF($C$5:C2640,C2640))</f>
        <v/>
      </c>
    </row>
    <row r="2641">
      <c r="A2641" s="41" t="n"/>
      <c r="B2641" s="37" t="n"/>
      <c r="C2641" s="37" t="n"/>
      <c r="D2641" s="39" t="str">
        <f>IF(C2641="","",IFERROR(INDEX(art_des,MATCH(C2641,art_ref,0))&amp;"","Référence inconnue"))</f>
        <v/>
      </c>
      <c r="E2641" s="37" t="n"/>
      <c r="F2641" s="39" t="str">
        <f>IF(C2641="","",IFERROR(INDEX(art_unit,MATCH(C2641,art_ref,0))&amp;"",""))</f>
        <v/>
      </c>
      <c r="G2641" s="37" t="n"/>
      <c r="H2641" s="37" t="n"/>
      <c r="I2641" s="37" t="n"/>
      <c r="J2641" s="40" t="str">
        <f>IF(OR(C2641="",NOT(ISNUMBER(E2641))),"",IFERROR(E2641*N(INDEX(art_price,MATCH(C2641,art_ref,0))),""))</f>
        <v/>
      </c>
      <c r="K2641" s="39" t="str">
        <f>IF(OR(C2641="",NOT(ISNUMBER(E2641))),"",IFERROR(ROUND(N(INDEX(art_init,MATCH(C2641,art_ref,0)))+SUMIFS($E$5:E2641,$C$5:C2641,C2641,$B$5:B2641,"Entrée")-SUMIFS($E$5:E2641,$C$5:C2641,C2641,$B$5:B2641,"Sortie"),6),""))</f>
        <v/>
      </c>
      <c r="L2641" s="39" t="str">
        <f>IF(COUNTA(A2641:C2641,E2641)=0,"",IF(COUNTA(A2641:C2641,E2641)&lt;4,"Ligne incomplète",IF(NOT(ISNUMBER(A2641)),"Date invalide",IF(AND(B2641&lt;&gt;"Entrée",B2641&lt;&gt;"Sortie"),"Type inconnu",IF(ISNA(MATCH(C2641,art_ref,0)),"Référence inconnue",IF(OR(NOT(ISNUMBER(E2641)),N(E2641)&lt;=0),"Quantité invalide",IF(K2641&lt;0,"Stock négatif",IF(AND(ISNUMBER(A2640),A2641&lt;A2640),"Date hors ordre","OK"))))))))</f>
        <v/>
      </c>
      <c r="M2641" s="39" t="str">
        <f>IF(C2641="","",C2641&amp;"#"&amp;COUNTIF($C$5:C2641,C2641))</f>
        <v/>
      </c>
    </row>
    <row r="2642">
      <c r="A2642" s="41" t="n"/>
      <c r="B2642" s="37" t="n"/>
      <c r="C2642" s="37" t="n"/>
      <c r="D2642" s="39" t="str">
        <f>IF(C2642="","",IFERROR(INDEX(art_des,MATCH(C2642,art_ref,0))&amp;"","Référence inconnue"))</f>
        <v/>
      </c>
      <c r="E2642" s="37" t="n"/>
      <c r="F2642" s="39" t="str">
        <f>IF(C2642="","",IFERROR(INDEX(art_unit,MATCH(C2642,art_ref,0))&amp;"",""))</f>
        <v/>
      </c>
      <c r="G2642" s="37" t="n"/>
      <c r="H2642" s="37" t="n"/>
      <c r="I2642" s="37" t="n"/>
      <c r="J2642" s="40" t="str">
        <f>IF(OR(C2642="",NOT(ISNUMBER(E2642))),"",IFERROR(E2642*N(INDEX(art_price,MATCH(C2642,art_ref,0))),""))</f>
        <v/>
      </c>
      <c r="K2642" s="39" t="str">
        <f>IF(OR(C2642="",NOT(ISNUMBER(E2642))),"",IFERROR(ROUND(N(INDEX(art_init,MATCH(C2642,art_ref,0)))+SUMIFS($E$5:E2642,$C$5:C2642,C2642,$B$5:B2642,"Entrée")-SUMIFS($E$5:E2642,$C$5:C2642,C2642,$B$5:B2642,"Sortie"),6),""))</f>
        <v/>
      </c>
      <c r="L2642" s="39" t="str">
        <f>IF(COUNTA(A2642:C2642,E2642)=0,"",IF(COUNTA(A2642:C2642,E2642)&lt;4,"Ligne incomplète",IF(NOT(ISNUMBER(A2642)),"Date invalide",IF(AND(B2642&lt;&gt;"Entrée",B2642&lt;&gt;"Sortie"),"Type inconnu",IF(ISNA(MATCH(C2642,art_ref,0)),"Référence inconnue",IF(OR(NOT(ISNUMBER(E2642)),N(E2642)&lt;=0),"Quantité invalide",IF(K2642&lt;0,"Stock négatif",IF(AND(ISNUMBER(A2641),A2642&lt;A2641),"Date hors ordre","OK"))))))))</f>
        <v/>
      </c>
      <c r="M2642" s="39" t="str">
        <f>IF(C2642="","",C2642&amp;"#"&amp;COUNTIF($C$5:C2642,C2642))</f>
        <v/>
      </c>
    </row>
    <row r="2643">
      <c r="A2643" s="41" t="n"/>
      <c r="B2643" s="37" t="n"/>
      <c r="C2643" s="37" t="n"/>
      <c r="D2643" s="39" t="str">
        <f>IF(C2643="","",IFERROR(INDEX(art_des,MATCH(C2643,art_ref,0))&amp;"","Référence inconnue"))</f>
        <v/>
      </c>
      <c r="E2643" s="37" t="n"/>
      <c r="F2643" s="39" t="str">
        <f>IF(C2643="","",IFERROR(INDEX(art_unit,MATCH(C2643,art_ref,0))&amp;"",""))</f>
        <v/>
      </c>
      <c r="G2643" s="37" t="n"/>
      <c r="H2643" s="37" t="n"/>
      <c r="I2643" s="37" t="n"/>
      <c r="J2643" s="40" t="str">
        <f>IF(OR(C2643="",NOT(ISNUMBER(E2643))),"",IFERROR(E2643*N(INDEX(art_price,MATCH(C2643,art_ref,0))),""))</f>
        <v/>
      </c>
      <c r="K2643" s="39" t="str">
        <f>IF(OR(C2643="",NOT(ISNUMBER(E2643))),"",IFERROR(ROUND(N(INDEX(art_init,MATCH(C2643,art_ref,0)))+SUMIFS($E$5:E2643,$C$5:C2643,C2643,$B$5:B2643,"Entrée")-SUMIFS($E$5:E2643,$C$5:C2643,C2643,$B$5:B2643,"Sortie"),6),""))</f>
        <v/>
      </c>
      <c r="L2643" s="39" t="str">
        <f>IF(COUNTA(A2643:C2643,E2643)=0,"",IF(COUNTA(A2643:C2643,E2643)&lt;4,"Ligne incomplète",IF(NOT(ISNUMBER(A2643)),"Date invalide",IF(AND(B2643&lt;&gt;"Entrée",B2643&lt;&gt;"Sortie"),"Type inconnu",IF(ISNA(MATCH(C2643,art_ref,0)),"Référence inconnue",IF(OR(NOT(ISNUMBER(E2643)),N(E2643)&lt;=0),"Quantité invalide",IF(K2643&lt;0,"Stock négatif",IF(AND(ISNUMBER(A2642),A2643&lt;A2642),"Date hors ordre","OK"))))))))</f>
        <v/>
      </c>
      <c r="M2643" s="39" t="str">
        <f>IF(C2643="","",C2643&amp;"#"&amp;COUNTIF($C$5:C2643,C2643))</f>
        <v/>
      </c>
    </row>
    <row r="2644">
      <c r="A2644" s="41" t="n"/>
      <c r="B2644" s="37" t="n"/>
      <c r="C2644" s="37" t="n"/>
      <c r="D2644" s="39" t="str">
        <f>IF(C2644="","",IFERROR(INDEX(art_des,MATCH(C2644,art_ref,0))&amp;"","Référence inconnue"))</f>
        <v/>
      </c>
      <c r="E2644" s="37" t="n"/>
      <c r="F2644" s="39" t="str">
        <f>IF(C2644="","",IFERROR(INDEX(art_unit,MATCH(C2644,art_ref,0))&amp;"",""))</f>
        <v/>
      </c>
      <c r="G2644" s="37" t="n"/>
      <c r="H2644" s="37" t="n"/>
      <c r="I2644" s="37" t="n"/>
      <c r="J2644" s="40" t="str">
        <f>IF(OR(C2644="",NOT(ISNUMBER(E2644))),"",IFERROR(E2644*N(INDEX(art_price,MATCH(C2644,art_ref,0))),""))</f>
        <v/>
      </c>
      <c r="K2644" s="39" t="str">
        <f>IF(OR(C2644="",NOT(ISNUMBER(E2644))),"",IFERROR(ROUND(N(INDEX(art_init,MATCH(C2644,art_ref,0)))+SUMIFS($E$5:E2644,$C$5:C2644,C2644,$B$5:B2644,"Entrée")-SUMIFS($E$5:E2644,$C$5:C2644,C2644,$B$5:B2644,"Sortie"),6),""))</f>
        <v/>
      </c>
      <c r="L2644" s="39" t="str">
        <f>IF(COUNTA(A2644:C2644,E2644)=0,"",IF(COUNTA(A2644:C2644,E2644)&lt;4,"Ligne incomplète",IF(NOT(ISNUMBER(A2644)),"Date invalide",IF(AND(B2644&lt;&gt;"Entrée",B2644&lt;&gt;"Sortie"),"Type inconnu",IF(ISNA(MATCH(C2644,art_ref,0)),"Référence inconnue",IF(OR(NOT(ISNUMBER(E2644)),N(E2644)&lt;=0),"Quantité invalide",IF(K2644&lt;0,"Stock négatif",IF(AND(ISNUMBER(A2643),A2644&lt;A2643),"Date hors ordre","OK"))))))))</f>
        <v/>
      </c>
      <c r="M2644" s="39" t="str">
        <f>IF(C2644="","",C2644&amp;"#"&amp;COUNTIF($C$5:C2644,C2644))</f>
        <v/>
      </c>
    </row>
    <row r="2645">
      <c r="A2645" s="41" t="n"/>
      <c r="B2645" s="37" t="n"/>
      <c r="C2645" s="37" t="n"/>
      <c r="D2645" s="39" t="str">
        <f>IF(C2645="","",IFERROR(INDEX(art_des,MATCH(C2645,art_ref,0))&amp;"","Référence inconnue"))</f>
        <v/>
      </c>
      <c r="E2645" s="37" t="n"/>
      <c r="F2645" s="39" t="str">
        <f>IF(C2645="","",IFERROR(INDEX(art_unit,MATCH(C2645,art_ref,0))&amp;"",""))</f>
        <v/>
      </c>
      <c r="G2645" s="37" t="n"/>
      <c r="H2645" s="37" t="n"/>
      <c r="I2645" s="37" t="n"/>
      <c r="J2645" s="40" t="str">
        <f>IF(OR(C2645="",NOT(ISNUMBER(E2645))),"",IFERROR(E2645*N(INDEX(art_price,MATCH(C2645,art_ref,0))),""))</f>
        <v/>
      </c>
      <c r="K2645" s="39" t="str">
        <f>IF(OR(C2645="",NOT(ISNUMBER(E2645))),"",IFERROR(ROUND(N(INDEX(art_init,MATCH(C2645,art_ref,0)))+SUMIFS($E$5:E2645,$C$5:C2645,C2645,$B$5:B2645,"Entrée")-SUMIFS($E$5:E2645,$C$5:C2645,C2645,$B$5:B2645,"Sortie"),6),""))</f>
        <v/>
      </c>
      <c r="L2645" s="39" t="str">
        <f>IF(COUNTA(A2645:C2645,E2645)=0,"",IF(COUNTA(A2645:C2645,E2645)&lt;4,"Ligne incomplète",IF(NOT(ISNUMBER(A2645)),"Date invalide",IF(AND(B2645&lt;&gt;"Entrée",B2645&lt;&gt;"Sortie"),"Type inconnu",IF(ISNA(MATCH(C2645,art_ref,0)),"Référence inconnue",IF(OR(NOT(ISNUMBER(E2645)),N(E2645)&lt;=0),"Quantité invalide",IF(K2645&lt;0,"Stock négatif",IF(AND(ISNUMBER(A2644),A2645&lt;A2644),"Date hors ordre","OK"))))))))</f>
        <v/>
      </c>
      <c r="M2645" s="39" t="str">
        <f>IF(C2645="","",C2645&amp;"#"&amp;COUNTIF($C$5:C2645,C2645))</f>
        <v/>
      </c>
    </row>
    <row r="2646">
      <c r="A2646" s="41" t="n"/>
      <c r="B2646" s="37" t="n"/>
      <c r="C2646" s="37" t="n"/>
      <c r="D2646" s="39" t="str">
        <f>IF(C2646="","",IFERROR(INDEX(art_des,MATCH(C2646,art_ref,0))&amp;"","Référence inconnue"))</f>
        <v/>
      </c>
      <c r="E2646" s="37" t="n"/>
      <c r="F2646" s="39" t="str">
        <f>IF(C2646="","",IFERROR(INDEX(art_unit,MATCH(C2646,art_ref,0))&amp;"",""))</f>
        <v/>
      </c>
      <c r="G2646" s="37" t="n"/>
      <c r="H2646" s="37" t="n"/>
      <c r="I2646" s="37" t="n"/>
      <c r="J2646" s="40" t="str">
        <f>IF(OR(C2646="",NOT(ISNUMBER(E2646))),"",IFERROR(E2646*N(INDEX(art_price,MATCH(C2646,art_ref,0))),""))</f>
        <v/>
      </c>
      <c r="K2646" s="39" t="str">
        <f>IF(OR(C2646="",NOT(ISNUMBER(E2646))),"",IFERROR(ROUND(N(INDEX(art_init,MATCH(C2646,art_ref,0)))+SUMIFS($E$5:E2646,$C$5:C2646,C2646,$B$5:B2646,"Entrée")-SUMIFS($E$5:E2646,$C$5:C2646,C2646,$B$5:B2646,"Sortie"),6),""))</f>
        <v/>
      </c>
      <c r="L2646" s="39" t="str">
        <f>IF(COUNTA(A2646:C2646,E2646)=0,"",IF(COUNTA(A2646:C2646,E2646)&lt;4,"Ligne incomplète",IF(NOT(ISNUMBER(A2646)),"Date invalide",IF(AND(B2646&lt;&gt;"Entrée",B2646&lt;&gt;"Sortie"),"Type inconnu",IF(ISNA(MATCH(C2646,art_ref,0)),"Référence inconnue",IF(OR(NOT(ISNUMBER(E2646)),N(E2646)&lt;=0),"Quantité invalide",IF(K2646&lt;0,"Stock négatif",IF(AND(ISNUMBER(A2645),A2646&lt;A2645),"Date hors ordre","OK"))))))))</f>
        <v/>
      </c>
      <c r="M2646" s="39" t="str">
        <f>IF(C2646="","",C2646&amp;"#"&amp;COUNTIF($C$5:C2646,C2646))</f>
        <v/>
      </c>
    </row>
    <row r="2647">
      <c r="A2647" s="41" t="n"/>
      <c r="B2647" s="37" t="n"/>
      <c r="C2647" s="37" t="n"/>
      <c r="D2647" s="39" t="str">
        <f>IF(C2647="","",IFERROR(INDEX(art_des,MATCH(C2647,art_ref,0))&amp;"","Référence inconnue"))</f>
        <v/>
      </c>
      <c r="E2647" s="37" t="n"/>
      <c r="F2647" s="39" t="str">
        <f>IF(C2647="","",IFERROR(INDEX(art_unit,MATCH(C2647,art_ref,0))&amp;"",""))</f>
        <v/>
      </c>
      <c r="G2647" s="37" t="n"/>
      <c r="H2647" s="37" t="n"/>
      <c r="I2647" s="37" t="n"/>
      <c r="J2647" s="40" t="str">
        <f>IF(OR(C2647="",NOT(ISNUMBER(E2647))),"",IFERROR(E2647*N(INDEX(art_price,MATCH(C2647,art_ref,0))),""))</f>
        <v/>
      </c>
      <c r="K2647" s="39" t="str">
        <f>IF(OR(C2647="",NOT(ISNUMBER(E2647))),"",IFERROR(ROUND(N(INDEX(art_init,MATCH(C2647,art_ref,0)))+SUMIFS($E$5:E2647,$C$5:C2647,C2647,$B$5:B2647,"Entrée")-SUMIFS($E$5:E2647,$C$5:C2647,C2647,$B$5:B2647,"Sortie"),6),""))</f>
        <v/>
      </c>
      <c r="L2647" s="39" t="str">
        <f>IF(COUNTA(A2647:C2647,E2647)=0,"",IF(COUNTA(A2647:C2647,E2647)&lt;4,"Ligne incomplète",IF(NOT(ISNUMBER(A2647)),"Date invalide",IF(AND(B2647&lt;&gt;"Entrée",B2647&lt;&gt;"Sortie"),"Type inconnu",IF(ISNA(MATCH(C2647,art_ref,0)),"Référence inconnue",IF(OR(NOT(ISNUMBER(E2647)),N(E2647)&lt;=0),"Quantité invalide",IF(K2647&lt;0,"Stock négatif",IF(AND(ISNUMBER(A2646),A2647&lt;A2646),"Date hors ordre","OK"))))))))</f>
        <v/>
      </c>
      <c r="M2647" s="39" t="str">
        <f>IF(C2647="","",C2647&amp;"#"&amp;COUNTIF($C$5:C2647,C2647))</f>
        <v/>
      </c>
    </row>
    <row r="2648">
      <c r="A2648" s="41" t="n"/>
      <c r="B2648" s="37" t="n"/>
      <c r="C2648" s="37" t="n"/>
      <c r="D2648" s="39" t="str">
        <f>IF(C2648="","",IFERROR(INDEX(art_des,MATCH(C2648,art_ref,0))&amp;"","Référence inconnue"))</f>
        <v/>
      </c>
      <c r="E2648" s="37" t="n"/>
      <c r="F2648" s="39" t="str">
        <f>IF(C2648="","",IFERROR(INDEX(art_unit,MATCH(C2648,art_ref,0))&amp;"",""))</f>
        <v/>
      </c>
      <c r="G2648" s="37" t="n"/>
      <c r="H2648" s="37" t="n"/>
      <c r="I2648" s="37" t="n"/>
      <c r="J2648" s="40" t="str">
        <f>IF(OR(C2648="",NOT(ISNUMBER(E2648))),"",IFERROR(E2648*N(INDEX(art_price,MATCH(C2648,art_ref,0))),""))</f>
        <v/>
      </c>
      <c r="K2648" s="39" t="str">
        <f>IF(OR(C2648="",NOT(ISNUMBER(E2648))),"",IFERROR(ROUND(N(INDEX(art_init,MATCH(C2648,art_ref,0)))+SUMIFS($E$5:E2648,$C$5:C2648,C2648,$B$5:B2648,"Entrée")-SUMIFS($E$5:E2648,$C$5:C2648,C2648,$B$5:B2648,"Sortie"),6),""))</f>
        <v/>
      </c>
      <c r="L2648" s="39" t="str">
        <f>IF(COUNTA(A2648:C2648,E2648)=0,"",IF(COUNTA(A2648:C2648,E2648)&lt;4,"Ligne incomplète",IF(NOT(ISNUMBER(A2648)),"Date invalide",IF(AND(B2648&lt;&gt;"Entrée",B2648&lt;&gt;"Sortie"),"Type inconnu",IF(ISNA(MATCH(C2648,art_ref,0)),"Référence inconnue",IF(OR(NOT(ISNUMBER(E2648)),N(E2648)&lt;=0),"Quantité invalide",IF(K2648&lt;0,"Stock négatif",IF(AND(ISNUMBER(A2647),A2648&lt;A2647),"Date hors ordre","OK"))))))))</f>
        <v/>
      </c>
      <c r="M2648" s="39" t="str">
        <f>IF(C2648="","",C2648&amp;"#"&amp;COUNTIF($C$5:C2648,C2648))</f>
        <v/>
      </c>
    </row>
    <row r="2649">
      <c r="A2649" s="41" t="n"/>
      <c r="B2649" s="37" t="n"/>
      <c r="C2649" s="37" t="n"/>
      <c r="D2649" s="39" t="str">
        <f>IF(C2649="","",IFERROR(INDEX(art_des,MATCH(C2649,art_ref,0))&amp;"","Référence inconnue"))</f>
        <v/>
      </c>
      <c r="E2649" s="37" t="n"/>
      <c r="F2649" s="39" t="str">
        <f>IF(C2649="","",IFERROR(INDEX(art_unit,MATCH(C2649,art_ref,0))&amp;"",""))</f>
        <v/>
      </c>
      <c r="G2649" s="37" t="n"/>
      <c r="H2649" s="37" t="n"/>
      <c r="I2649" s="37" t="n"/>
      <c r="J2649" s="40" t="str">
        <f>IF(OR(C2649="",NOT(ISNUMBER(E2649))),"",IFERROR(E2649*N(INDEX(art_price,MATCH(C2649,art_ref,0))),""))</f>
        <v/>
      </c>
      <c r="K2649" s="39" t="str">
        <f>IF(OR(C2649="",NOT(ISNUMBER(E2649))),"",IFERROR(ROUND(N(INDEX(art_init,MATCH(C2649,art_ref,0)))+SUMIFS($E$5:E2649,$C$5:C2649,C2649,$B$5:B2649,"Entrée")-SUMIFS($E$5:E2649,$C$5:C2649,C2649,$B$5:B2649,"Sortie"),6),""))</f>
        <v/>
      </c>
      <c r="L2649" s="39" t="str">
        <f>IF(COUNTA(A2649:C2649,E2649)=0,"",IF(COUNTA(A2649:C2649,E2649)&lt;4,"Ligne incomplète",IF(NOT(ISNUMBER(A2649)),"Date invalide",IF(AND(B2649&lt;&gt;"Entrée",B2649&lt;&gt;"Sortie"),"Type inconnu",IF(ISNA(MATCH(C2649,art_ref,0)),"Référence inconnue",IF(OR(NOT(ISNUMBER(E2649)),N(E2649)&lt;=0),"Quantité invalide",IF(K2649&lt;0,"Stock négatif",IF(AND(ISNUMBER(A2648),A2649&lt;A2648),"Date hors ordre","OK"))))))))</f>
        <v/>
      </c>
      <c r="M2649" s="39" t="str">
        <f>IF(C2649="","",C2649&amp;"#"&amp;COUNTIF($C$5:C2649,C2649))</f>
        <v/>
      </c>
    </row>
    <row r="2650">
      <c r="A2650" s="41" t="n"/>
      <c r="B2650" s="37" t="n"/>
      <c r="C2650" s="37" t="n"/>
      <c r="D2650" s="39" t="str">
        <f>IF(C2650="","",IFERROR(INDEX(art_des,MATCH(C2650,art_ref,0))&amp;"","Référence inconnue"))</f>
        <v/>
      </c>
      <c r="E2650" s="37" t="n"/>
      <c r="F2650" s="39" t="str">
        <f>IF(C2650="","",IFERROR(INDEX(art_unit,MATCH(C2650,art_ref,0))&amp;"",""))</f>
        <v/>
      </c>
      <c r="G2650" s="37" t="n"/>
      <c r="H2650" s="37" t="n"/>
      <c r="I2650" s="37" t="n"/>
      <c r="J2650" s="40" t="str">
        <f>IF(OR(C2650="",NOT(ISNUMBER(E2650))),"",IFERROR(E2650*N(INDEX(art_price,MATCH(C2650,art_ref,0))),""))</f>
        <v/>
      </c>
      <c r="K2650" s="39" t="str">
        <f>IF(OR(C2650="",NOT(ISNUMBER(E2650))),"",IFERROR(ROUND(N(INDEX(art_init,MATCH(C2650,art_ref,0)))+SUMIFS($E$5:E2650,$C$5:C2650,C2650,$B$5:B2650,"Entrée")-SUMIFS($E$5:E2650,$C$5:C2650,C2650,$B$5:B2650,"Sortie"),6),""))</f>
        <v/>
      </c>
      <c r="L2650" s="39" t="str">
        <f>IF(COUNTA(A2650:C2650,E2650)=0,"",IF(COUNTA(A2650:C2650,E2650)&lt;4,"Ligne incomplète",IF(NOT(ISNUMBER(A2650)),"Date invalide",IF(AND(B2650&lt;&gt;"Entrée",B2650&lt;&gt;"Sortie"),"Type inconnu",IF(ISNA(MATCH(C2650,art_ref,0)),"Référence inconnue",IF(OR(NOT(ISNUMBER(E2650)),N(E2650)&lt;=0),"Quantité invalide",IF(K2650&lt;0,"Stock négatif",IF(AND(ISNUMBER(A2649),A2650&lt;A2649),"Date hors ordre","OK"))))))))</f>
        <v/>
      </c>
      <c r="M2650" s="39" t="str">
        <f>IF(C2650="","",C2650&amp;"#"&amp;COUNTIF($C$5:C2650,C2650))</f>
        <v/>
      </c>
    </row>
    <row r="2651">
      <c r="A2651" s="41" t="n"/>
      <c r="B2651" s="37" t="n"/>
      <c r="C2651" s="37" t="n"/>
      <c r="D2651" s="39" t="str">
        <f>IF(C2651="","",IFERROR(INDEX(art_des,MATCH(C2651,art_ref,0))&amp;"","Référence inconnue"))</f>
        <v/>
      </c>
      <c r="E2651" s="37" t="n"/>
      <c r="F2651" s="39" t="str">
        <f>IF(C2651="","",IFERROR(INDEX(art_unit,MATCH(C2651,art_ref,0))&amp;"",""))</f>
        <v/>
      </c>
      <c r="G2651" s="37" t="n"/>
      <c r="H2651" s="37" t="n"/>
      <c r="I2651" s="37" t="n"/>
      <c r="J2651" s="40" t="str">
        <f>IF(OR(C2651="",NOT(ISNUMBER(E2651))),"",IFERROR(E2651*N(INDEX(art_price,MATCH(C2651,art_ref,0))),""))</f>
        <v/>
      </c>
      <c r="K2651" s="39" t="str">
        <f>IF(OR(C2651="",NOT(ISNUMBER(E2651))),"",IFERROR(ROUND(N(INDEX(art_init,MATCH(C2651,art_ref,0)))+SUMIFS($E$5:E2651,$C$5:C2651,C2651,$B$5:B2651,"Entrée")-SUMIFS($E$5:E2651,$C$5:C2651,C2651,$B$5:B2651,"Sortie"),6),""))</f>
        <v/>
      </c>
      <c r="L2651" s="39" t="str">
        <f>IF(COUNTA(A2651:C2651,E2651)=0,"",IF(COUNTA(A2651:C2651,E2651)&lt;4,"Ligne incomplète",IF(NOT(ISNUMBER(A2651)),"Date invalide",IF(AND(B2651&lt;&gt;"Entrée",B2651&lt;&gt;"Sortie"),"Type inconnu",IF(ISNA(MATCH(C2651,art_ref,0)),"Référence inconnue",IF(OR(NOT(ISNUMBER(E2651)),N(E2651)&lt;=0),"Quantité invalide",IF(K2651&lt;0,"Stock négatif",IF(AND(ISNUMBER(A2650),A2651&lt;A2650),"Date hors ordre","OK"))))))))</f>
        <v/>
      </c>
      <c r="M2651" s="39" t="str">
        <f>IF(C2651="","",C2651&amp;"#"&amp;COUNTIF($C$5:C2651,C2651))</f>
        <v/>
      </c>
    </row>
    <row r="2652">
      <c r="A2652" s="41" t="n"/>
      <c r="B2652" s="37" t="n"/>
      <c r="C2652" s="37" t="n"/>
      <c r="D2652" s="39" t="str">
        <f>IF(C2652="","",IFERROR(INDEX(art_des,MATCH(C2652,art_ref,0))&amp;"","Référence inconnue"))</f>
        <v/>
      </c>
      <c r="E2652" s="37" t="n"/>
      <c r="F2652" s="39" t="str">
        <f>IF(C2652="","",IFERROR(INDEX(art_unit,MATCH(C2652,art_ref,0))&amp;"",""))</f>
        <v/>
      </c>
      <c r="G2652" s="37" t="n"/>
      <c r="H2652" s="37" t="n"/>
      <c r="I2652" s="37" t="n"/>
      <c r="J2652" s="40" t="str">
        <f>IF(OR(C2652="",NOT(ISNUMBER(E2652))),"",IFERROR(E2652*N(INDEX(art_price,MATCH(C2652,art_ref,0))),""))</f>
        <v/>
      </c>
      <c r="K2652" s="39" t="str">
        <f>IF(OR(C2652="",NOT(ISNUMBER(E2652))),"",IFERROR(ROUND(N(INDEX(art_init,MATCH(C2652,art_ref,0)))+SUMIFS($E$5:E2652,$C$5:C2652,C2652,$B$5:B2652,"Entrée")-SUMIFS($E$5:E2652,$C$5:C2652,C2652,$B$5:B2652,"Sortie"),6),""))</f>
        <v/>
      </c>
      <c r="L2652" s="39" t="str">
        <f>IF(COUNTA(A2652:C2652,E2652)=0,"",IF(COUNTA(A2652:C2652,E2652)&lt;4,"Ligne incomplète",IF(NOT(ISNUMBER(A2652)),"Date invalide",IF(AND(B2652&lt;&gt;"Entrée",B2652&lt;&gt;"Sortie"),"Type inconnu",IF(ISNA(MATCH(C2652,art_ref,0)),"Référence inconnue",IF(OR(NOT(ISNUMBER(E2652)),N(E2652)&lt;=0),"Quantité invalide",IF(K2652&lt;0,"Stock négatif",IF(AND(ISNUMBER(A2651),A2652&lt;A2651),"Date hors ordre","OK"))))))))</f>
        <v/>
      </c>
      <c r="M2652" s="39" t="str">
        <f>IF(C2652="","",C2652&amp;"#"&amp;COUNTIF($C$5:C2652,C2652))</f>
        <v/>
      </c>
    </row>
    <row r="2653">
      <c r="A2653" s="41" t="n"/>
      <c r="B2653" s="37" t="n"/>
      <c r="C2653" s="37" t="n"/>
      <c r="D2653" s="39" t="str">
        <f>IF(C2653="","",IFERROR(INDEX(art_des,MATCH(C2653,art_ref,0))&amp;"","Référence inconnue"))</f>
        <v/>
      </c>
      <c r="E2653" s="37" t="n"/>
      <c r="F2653" s="39" t="str">
        <f>IF(C2653="","",IFERROR(INDEX(art_unit,MATCH(C2653,art_ref,0))&amp;"",""))</f>
        <v/>
      </c>
      <c r="G2653" s="37" t="n"/>
      <c r="H2653" s="37" t="n"/>
      <c r="I2653" s="37" t="n"/>
      <c r="J2653" s="40" t="str">
        <f>IF(OR(C2653="",NOT(ISNUMBER(E2653))),"",IFERROR(E2653*N(INDEX(art_price,MATCH(C2653,art_ref,0))),""))</f>
        <v/>
      </c>
      <c r="K2653" s="39" t="str">
        <f>IF(OR(C2653="",NOT(ISNUMBER(E2653))),"",IFERROR(ROUND(N(INDEX(art_init,MATCH(C2653,art_ref,0)))+SUMIFS($E$5:E2653,$C$5:C2653,C2653,$B$5:B2653,"Entrée")-SUMIFS($E$5:E2653,$C$5:C2653,C2653,$B$5:B2653,"Sortie"),6),""))</f>
        <v/>
      </c>
      <c r="L2653" s="39" t="str">
        <f>IF(COUNTA(A2653:C2653,E2653)=0,"",IF(COUNTA(A2653:C2653,E2653)&lt;4,"Ligne incomplète",IF(NOT(ISNUMBER(A2653)),"Date invalide",IF(AND(B2653&lt;&gt;"Entrée",B2653&lt;&gt;"Sortie"),"Type inconnu",IF(ISNA(MATCH(C2653,art_ref,0)),"Référence inconnue",IF(OR(NOT(ISNUMBER(E2653)),N(E2653)&lt;=0),"Quantité invalide",IF(K2653&lt;0,"Stock négatif",IF(AND(ISNUMBER(A2652),A2653&lt;A2652),"Date hors ordre","OK"))))))))</f>
        <v/>
      </c>
      <c r="M2653" s="39" t="str">
        <f>IF(C2653="","",C2653&amp;"#"&amp;COUNTIF($C$5:C2653,C2653))</f>
        <v/>
      </c>
    </row>
    <row r="2654">
      <c r="A2654" s="41" t="n"/>
      <c r="B2654" s="37" t="n"/>
      <c r="C2654" s="37" t="n"/>
      <c r="D2654" s="39" t="str">
        <f>IF(C2654="","",IFERROR(INDEX(art_des,MATCH(C2654,art_ref,0))&amp;"","Référence inconnue"))</f>
        <v/>
      </c>
      <c r="E2654" s="37" t="n"/>
      <c r="F2654" s="39" t="str">
        <f>IF(C2654="","",IFERROR(INDEX(art_unit,MATCH(C2654,art_ref,0))&amp;"",""))</f>
        <v/>
      </c>
      <c r="G2654" s="37" t="n"/>
      <c r="H2654" s="37" t="n"/>
      <c r="I2654" s="37" t="n"/>
      <c r="J2654" s="40" t="str">
        <f>IF(OR(C2654="",NOT(ISNUMBER(E2654))),"",IFERROR(E2654*N(INDEX(art_price,MATCH(C2654,art_ref,0))),""))</f>
        <v/>
      </c>
      <c r="K2654" s="39" t="str">
        <f>IF(OR(C2654="",NOT(ISNUMBER(E2654))),"",IFERROR(ROUND(N(INDEX(art_init,MATCH(C2654,art_ref,0)))+SUMIFS($E$5:E2654,$C$5:C2654,C2654,$B$5:B2654,"Entrée")-SUMIFS($E$5:E2654,$C$5:C2654,C2654,$B$5:B2654,"Sortie"),6),""))</f>
        <v/>
      </c>
      <c r="L2654" s="39" t="str">
        <f>IF(COUNTA(A2654:C2654,E2654)=0,"",IF(COUNTA(A2654:C2654,E2654)&lt;4,"Ligne incomplète",IF(NOT(ISNUMBER(A2654)),"Date invalide",IF(AND(B2654&lt;&gt;"Entrée",B2654&lt;&gt;"Sortie"),"Type inconnu",IF(ISNA(MATCH(C2654,art_ref,0)),"Référence inconnue",IF(OR(NOT(ISNUMBER(E2654)),N(E2654)&lt;=0),"Quantité invalide",IF(K2654&lt;0,"Stock négatif",IF(AND(ISNUMBER(A2653),A2654&lt;A2653),"Date hors ordre","OK"))))))))</f>
        <v/>
      </c>
      <c r="M2654" s="39" t="str">
        <f>IF(C2654="","",C2654&amp;"#"&amp;COUNTIF($C$5:C2654,C2654))</f>
        <v/>
      </c>
    </row>
    <row r="2655">
      <c r="A2655" s="41" t="n"/>
      <c r="B2655" s="37" t="n"/>
      <c r="C2655" s="37" t="n"/>
      <c r="D2655" s="39" t="str">
        <f>IF(C2655="","",IFERROR(INDEX(art_des,MATCH(C2655,art_ref,0))&amp;"","Référence inconnue"))</f>
        <v/>
      </c>
      <c r="E2655" s="37" t="n"/>
      <c r="F2655" s="39" t="str">
        <f>IF(C2655="","",IFERROR(INDEX(art_unit,MATCH(C2655,art_ref,0))&amp;"",""))</f>
        <v/>
      </c>
      <c r="G2655" s="37" t="n"/>
      <c r="H2655" s="37" t="n"/>
      <c r="I2655" s="37" t="n"/>
      <c r="J2655" s="40" t="str">
        <f>IF(OR(C2655="",NOT(ISNUMBER(E2655))),"",IFERROR(E2655*N(INDEX(art_price,MATCH(C2655,art_ref,0))),""))</f>
        <v/>
      </c>
      <c r="K2655" s="39" t="str">
        <f>IF(OR(C2655="",NOT(ISNUMBER(E2655))),"",IFERROR(ROUND(N(INDEX(art_init,MATCH(C2655,art_ref,0)))+SUMIFS($E$5:E2655,$C$5:C2655,C2655,$B$5:B2655,"Entrée")-SUMIFS($E$5:E2655,$C$5:C2655,C2655,$B$5:B2655,"Sortie"),6),""))</f>
        <v/>
      </c>
      <c r="L2655" s="39" t="str">
        <f>IF(COUNTA(A2655:C2655,E2655)=0,"",IF(COUNTA(A2655:C2655,E2655)&lt;4,"Ligne incomplète",IF(NOT(ISNUMBER(A2655)),"Date invalide",IF(AND(B2655&lt;&gt;"Entrée",B2655&lt;&gt;"Sortie"),"Type inconnu",IF(ISNA(MATCH(C2655,art_ref,0)),"Référence inconnue",IF(OR(NOT(ISNUMBER(E2655)),N(E2655)&lt;=0),"Quantité invalide",IF(K2655&lt;0,"Stock négatif",IF(AND(ISNUMBER(A2654),A2655&lt;A2654),"Date hors ordre","OK"))))))))</f>
        <v/>
      </c>
      <c r="M2655" s="39" t="str">
        <f>IF(C2655="","",C2655&amp;"#"&amp;COUNTIF($C$5:C2655,C2655))</f>
        <v/>
      </c>
    </row>
    <row r="2656">
      <c r="A2656" s="41" t="n"/>
      <c r="B2656" s="37" t="n"/>
      <c r="C2656" s="37" t="n"/>
      <c r="D2656" s="39" t="str">
        <f>IF(C2656="","",IFERROR(INDEX(art_des,MATCH(C2656,art_ref,0))&amp;"","Référence inconnue"))</f>
        <v/>
      </c>
      <c r="E2656" s="37" t="n"/>
      <c r="F2656" s="39" t="str">
        <f>IF(C2656="","",IFERROR(INDEX(art_unit,MATCH(C2656,art_ref,0))&amp;"",""))</f>
        <v/>
      </c>
      <c r="G2656" s="37" t="n"/>
      <c r="H2656" s="37" t="n"/>
      <c r="I2656" s="37" t="n"/>
      <c r="J2656" s="40" t="str">
        <f>IF(OR(C2656="",NOT(ISNUMBER(E2656))),"",IFERROR(E2656*N(INDEX(art_price,MATCH(C2656,art_ref,0))),""))</f>
        <v/>
      </c>
      <c r="K2656" s="39" t="str">
        <f>IF(OR(C2656="",NOT(ISNUMBER(E2656))),"",IFERROR(ROUND(N(INDEX(art_init,MATCH(C2656,art_ref,0)))+SUMIFS($E$5:E2656,$C$5:C2656,C2656,$B$5:B2656,"Entrée")-SUMIFS($E$5:E2656,$C$5:C2656,C2656,$B$5:B2656,"Sortie"),6),""))</f>
        <v/>
      </c>
      <c r="L2656" s="39" t="str">
        <f>IF(COUNTA(A2656:C2656,E2656)=0,"",IF(COUNTA(A2656:C2656,E2656)&lt;4,"Ligne incomplète",IF(NOT(ISNUMBER(A2656)),"Date invalide",IF(AND(B2656&lt;&gt;"Entrée",B2656&lt;&gt;"Sortie"),"Type inconnu",IF(ISNA(MATCH(C2656,art_ref,0)),"Référence inconnue",IF(OR(NOT(ISNUMBER(E2656)),N(E2656)&lt;=0),"Quantité invalide",IF(K2656&lt;0,"Stock négatif",IF(AND(ISNUMBER(A2655),A2656&lt;A2655),"Date hors ordre","OK"))))))))</f>
        <v/>
      </c>
      <c r="M2656" s="39" t="str">
        <f>IF(C2656="","",C2656&amp;"#"&amp;COUNTIF($C$5:C2656,C2656))</f>
        <v/>
      </c>
    </row>
    <row r="2657">
      <c r="A2657" s="41" t="n"/>
      <c r="B2657" s="37" t="n"/>
      <c r="C2657" s="37" t="n"/>
      <c r="D2657" s="39" t="str">
        <f>IF(C2657="","",IFERROR(INDEX(art_des,MATCH(C2657,art_ref,0))&amp;"","Référence inconnue"))</f>
        <v/>
      </c>
      <c r="E2657" s="37" t="n"/>
      <c r="F2657" s="39" t="str">
        <f>IF(C2657="","",IFERROR(INDEX(art_unit,MATCH(C2657,art_ref,0))&amp;"",""))</f>
        <v/>
      </c>
      <c r="G2657" s="37" t="n"/>
      <c r="H2657" s="37" t="n"/>
      <c r="I2657" s="37" t="n"/>
      <c r="J2657" s="40" t="str">
        <f>IF(OR(C2657="",NOT(ISNUMBER(E2657))),"",IFERROR(E2657*N(INDEX(art_price,MATCH(C2657,art_ref,0))),""))</f>
        <v/>
      </c>
      <c r="K2657" s="39" t="str">
        <f>IF(OR(C2657="",NOT(ISNUMBER(E2657))),"",IFERROR(ROUND(N(INDEX(art_init,MATCH(C2657,art_ref,0)))+SUMIFS($E$5:E2657,$C$5:C2657,C2657,$B$5:B2657,"Entrée")-SUMIFS($E$5:E2657,$C$5:C2657,C2657,$B$5:B2657,"Sortie"),6),""))</f>
        <v/>
      </c>
      <c r="L2657" s="39" t="str">
        <f>IF(COUNTA(A2657:C2657,E2657)=0,"",IF(COUNTA(A2657:C2657,E2657)&lt;4,"Ligne incomplète",IF(NOT(ISNUMBER(A2657)),"Date invalide",IF(AND(B2657&lt;&gt;"Entrée",B2657&lt;&gt;"Sortie"),"Type inconnu",IF(ISNA(MATCH(C2657,art_ref,0)),"Référence inconnue",IF(OR(NOT(ISNUMBER(E2657)),N(E2657)&lt;=0),"Quantité invalide",IF(K2657&lt;0,"Stock négatif",IF(AND(ISNUMBER(A2656),A2657&lt;A2656),"Date hors ordre","OK"))))))))</f>
        <v/>
      </c>
      <c r="M2657" s="39" t="str">
        <f>IF(C2657="","",C2657&amp;"#"&amp;COUNTIF($C$5:C2657,C2657))</f>
        <v/>
      </c>
    </row>
    <row r="2658">
      <c r="A2658" s="41" t="n"/>
      <c r="B2658" s="37" t="n"/>
      <c r="C2658" s="37" t="n"/>
      <c r="D2658" s="39" t="str">
        <f>IF(C2658="","",IFERROR(INDEX(art_des,MATCH(C2658,art_ref,0))&amp;"","Référence inconnue"))</f>
        <v/>
      </c>
      <c r="E2658" s="37" t="n"/>
      <c r="F2658" s="39" t="str">
        <f>IF(C2658="","",IFERROR(INDEX(art_unit,MATCH(C2658,art_ref,0))&amp;"",""))</f>
        <v/>
      </c>
      <c r="G2658" s="37" t="n"/>
      <c r="H2658" s="37" t="n"/>
      <c r="I2658" s="37" t="n"/>
      <c r="J2658" s="40" t="str">
        <f>IF(OR(C2658="",NOT(ISNUMBER(E2658))),"",IFERROR(E2658*N(INDEX(art_price,MATCH(C2658,art_ref,0))),""))</f>
        <v/>
      </c>
      <c r="K2658" s="39" t="str">
        <f>IF(OR(C2658="",NOT(ISNUMBER(E2658))),"",IFERROR(ROUND(N(INDEX(art_init,MATCH(C2658,art_ref,0)))+SUMIFS($E$5:E2658,$C$5:C2658,C2658,$B$5:B2658,"Entrée")-SUMIFS($E$5:E2658,$C$5:C2658,C2658,$B$5:B2658,"Sortie"),6),""))</f>
        <v/>
      </c>
      <c r="L2658" s="39" t="str">
        <f>IF(COUNTA(A2658:C2658,E2658)=0,"",IF(COUNTA(A2658:C2658,E2658)&lt;4,"Ligne incomplète",IF(NOT(ISNUMBER(A2658)),"Date invalide",IF(AND(B2658&lt;&gt;"Entrée",B2658&lt;&gt;"Sortie"),"Type inconnu",IF(ISNA(MATCH(C2658,art_ref,0)),"Référence inconnue",IF(OR(NOT(ISNUMBER(E2658)),N(E2658)&lt;=0),"Quantité invalide",IF(K2658&lt;0,"Stock négatif",IF(AND(ISNUMBER(A2657),A2658&lt;A2657),"Date hors ordre","OK"))))))))</f>
        <v/>
      </c>
      <c r="M2658" s="39" t="str">
        <f>IF(C2658="","",C2658&amp;"#"&amp;COUNTIF($C$5:C2658,C2658))</f>
        <v/>
      </c>
    </row>
    <row r="2659">
      <c r="A2659" s="41" t="n"/>
      <c r="B2659" s="37" t="n"/>
      <c r="C2659" s="37" t="n"/>
      <c r="D2659" s="39" t="str">
        <f>IF(C2659="","",IFERROR(INDEX(art_des,MATCH(C2659,art_ref,0))&amp;"","Référence inconnue"))</f>
        <v/>
      </c>
      <c r="E2659" s="37" t="n"/>
      <c r="F2659" s="39" t="str">
        <f>IF(C2659="","",IFERROR(INDEX(art_unit,MATCH(C2659,art_ref,0))&amp;"",""))</f>
        <v/>
      </c>
      <c r="G2659" s="37" t="n"/>
      <c r="H2659" s="37" t="n"/>
      <c r="I2659" s="37" t="n"/>
      <c r="J2659" s="40" t="str">
        <f>IF(OR(C2659="",NOT(ISNUMBER(E2659))),"",IFERROR(E2659*N(INDEX(art_price,MATCH(C2659,art_ref,0))),""))</f>
        <v/>
      </c>
      <c r="K2659" s="39" t="str">
        <f>IF(OR(C2659="",NOT(ISNUMBER(E2659))),"",IFERROR(ROUND(N(INDEX(art_init,MATCH(C2659,art_ref,0)))+SUMIFS($E$5:E2659,$C$5:C2659,C2659,$B$5:B2659,"Entrée")-SUMIFS($E$5:E2659,$C$5:C2659,C2659,$B$5:B2659,"Sortie"),6),""))</f>
        <v/>
      </c>
      <c r="L2659" s="39" t="str">
        <f>IF(COUNTA(A2659:C2659,E2659)=0,"",IF(COUNTA(A2659:C2659,E2659)&lt;4,"Ligne incomplète",IF(NOT(ISNUMBER(A2659)),"Date invalide",IF(AND(B2659&lt;&gt;"Entrée",B2659&lt;&gt;"Sortie"),"Type inconnu",IF(ISNA(MATCH(C2659,art_ref,0)),"Référence inconnue",IF(OR(NOT(ISNUMBER(E2659)),N(E2659)&lt;=0),"Quantité invalide",IF(K2659&lt;0,"Stock négatif",IF(AND(ISNUMBER(A2658),A2659&lt;A2658),"Date hors ordre","OK"))))))))</f>
        <v/>
      </c>
      <c r="M2659" s="39" t="str">
        <f>IF(C2659="","",C2659&amp;"#"&amp;COUNTIF($C$5:C2659,C2659))</f>
        <v/>
      </c>
    </row>
    <row r="2660">
      <c r="A2660" s="41" t="n"/>
      <c r="B2660" s="37" t="n"/>
      <c r="C2660" s="37" t="n"/>
      <c r="D2660" s="39" t="str">
        <f>IF(C2660="","",IFERROR(INDEX(art_des,MATCH(C2660,art_ref,0))&amp;"","Référence inconnue"))</f>
        <v/>
      </c>
      <c r="E2660" s="37" t="n"/>
      <c r="F2660" s="39" t="str">
        <f>IF(C2660="","",IFERROR(INDEX(art_unit,MATCH(C2660,art_ref,0))&amp;"",""))</f>
        <v/>
      </c>
      <c r="G2660" s="37" t="n"/>
      <c r="H2660" s="37" t="n"/>
      <c r="I2660" s="37" t="n"/>
      <c r="J2660" s="40" t="str">
        <f>IF(OR(C2660="",NOT(ISNUMBER(E2660))),"",IFERROR(E2660*N(INDEX(art_price,MATCH(C2660,art_ref,0))),""))</f>
        <v/>
      </c>
      <c r="K2660" s="39" t="str">
        <f>IF(OR(C2660="",NOT(ISNUMBER(E2660))),"",IFERROR(ROUND(N(INDEX(art_init,MATCH(C2660,art_ref,0)))+SUMIFS($E$5:E2660,$C$5:C2660,C2660,$B$5:B2660,"Entrée")-SUMIFS($E$5:E2660,$C$5:C2660,C2660,$B$5:B2660,"Sortie"),6),""))</f>
        <v/>
      </c>
      <c r="L2660" s="39" t="str">
        <f>IF(COUNTA(A2660:C2660,E2660)=0,"",IF(COUNTA(A2660:C2660,E2660)&lt;4,"Ligne incomplète",IF(NOT(ISNUMBER(A2660)),"Date invalide",IF(AND(B2660&lt;&gt;"Entrée",B2660&lt;&gt;"Sortie"),"Type inconnu",IF(ISNA(MATCH(C2660,art_ref,0)),"Référence inconnue",IF(OR(NOT(ISNUMBER(E2660)),N(E2660)&lt;=0),"Quantité invalide",IF(K2660&lt;0,"Stock négatif",IF(AND(ISNUMBER(A2659),A2660&lt;A2659),"Date hors ordre","OK"))))))))</f>
        <v/>
      </c>
      <c r="M2660" s="39" t="str">
        <f>IF(C2660="","",C2660&amp;"#"&amp;COUNTIF($C$5:C2660,C2660))</f>
        <v/>
      </c>
    </row>
    <row r="2661">
      <c r="A2661" s="41" t="n"/>
      <c r="B2661" s="37" t="n"/>
      <c r="C2661" s="37" t="n"/>
      <c r="D2661" s="39" t="str">
        <f>IF(C2661="","",IFERROR(INDEX(art_des,MATCH(C2661,art_ref,0))&amp;"","Référence inconnue"))</f>
        <v/>
      </c>
      <c r="E2661" s="37" t="n"/>
      <c r="F2661" s="39" t="str">
        <f>IF(C2661="","",IFERROR(INDEX(art_unit,MATCH(C2661,art_ref,0))&amp;"",""))</f>
        <v/>
      </c>
      <c r="G2661" s="37" t="n"/>
      <c r="H2661" s="37" t="n"/>
      <c r="I2661" s="37" t="n"/>
      <c r="J2661" s="40" t="str">
        <f>IF(OR(C2661="",NOT(ISNUMBER(E2661))),"",IFERROR(E2661*N(INDEX(art_price,MATCH(C2661,art_ref,0))),""))</f>
        <v/>
      </c>
      <c r="K2661" s="39" t="str">
        <f>IF(OR(C2661="",NOT(ISNUMBER(E2661))),"",IFERROR(ROUND(N(INDEX(art_init,MATCH(C2661,art_ref,0)))+SUMIFS($E$5:E2661,$C$5:C2661,C2661,$B$5:B2661,"Entrée")-SUMIFS($E$5:E2661,$C$5:C2661,C2661,$B$5:B2661,"Sortie"),6),""))</f>
        <v/>
      </c>
      <c r="L2661" s="39" t="str">
        <f>IF(COUNTA(A2661:C2661,E2661)=0,"",IF(COUNTA(A2661:C2661,E2661)&lt;4,"Ligne incomplète",IF(NOT(ISNUMBER(A2661)),"Date invalide",IF(AND(B2661&lt;&gt;"Entrée",B2661&lt;&gt;"Sortie"),"Type inconnu",IF(ISNA(MATCH(C2661,art_ref,0)),"Référence inconnue",IF(OR(NOT(ISNUMBER(E2661)),N(E2661)&lt;=0),"Quantité invalide",IF(K2661&lt;0,"Stock négatif",IF(AND(ISNUMBER(A2660),A2661&lt;A2660),"Date hors ordre","OK"))))))))</f>
        <v/>
      </c>
      <c r="M2661" s="39" t="str">
        <f>IF(C2661="","",C2661&amp;"#"&amp;COUNTIF($C$5:C2661,C2661))</f>
        <v/>
      </c>
    </row>
    <row r="2662">
      <c r="A2662" s="41" t="n"/>
      <c r="B2662" s="37" t="n"/>
      <c r="C2662" s="37" t="n"/>
      <c r="D2662" s="39" t="str">
        <f>IF(C2662="","",IFERROR(INDEX(art_des,MATCH(C2662,art_ref,0))&amp;"","Référence inconnue"))</f>
        <v/>
      </c>
      <c r="E2662" s="37" t="n"/>
      <c r="F2662" s="39" t="str">
        <f>IF(C2662="","",IFERROR(INDEX(art_unit,MATCH(C2662,art_ref,0))&amp;"",""))</f>
        <v/>
      </c>
      <c r="G2662" s="37" t="n"/>
      <c r="H2662" s="37" t="n"/>
      <c r="I2662" s="37" t="n"/>
      <c r="J2662" s="40" t="str">
        <f>IF(OR(C2662="",NOT(ISNUMBER(E2662))),"",IFERROR(E2662*N(INDEX(art_price,MATCH(C2662,art_ref,0))),""))</f>
        <v/>
      </c>
      <c r="K2662" s="39" t="str">
        <f>IF(OR(C2662="",NOT(ISNUMBER(E2662))),"",IFERROR(ROUND(N(INDEX(art_init,MATCH(C2662,art_ref,0)))+SUMIFS($E$5:E2662,$C$5:C2662,C2662,$B$5:B2662,"Entrée")-SUMIFS($E$5:E2662,$C$5:C2662,C2662,$B$5:B2662,"Sortie"),6),""))</f>
        <v/>
      </c>
      <c r="L2662" s="39" t="str">
        <f>IF(COUNTA(A2662:C2662,E2662)=0,"",IF(COUNTA(A2662:C2662,E2662)&lt;4,"Ligne incomplète",IF(NOT(ISNUMBER(A2662)),"Date invalide",IF(AND(B2662&lt;&gt;"Entrée",B2662&lt;&gt;"Sortie"),"Type inconnu",IF(ISNA(MATCH(C2662,art_ref,0)),"Référence inconnue",IF(OR(NOT(ISNUMBER(E2662)),N(E2662)&lt;=0),"Quantité invalide",IF(K2662&lt;0,"Stock négatif",IF(AND(ISNUMBER(A2661),A2662&lt;A2661),"Date hors ordre","OK"))))))))</f>
        <v/>
      </c>
      <c r="M2662" s="39" t="str">
        <f>IF(C2662="","",C2662&amp;"#"&amp;COUNTIF($C$5:C2662,C2662))</f>
        <v/>
      </c>
    </row>
    <row r="2663">
      <c r="A2663" s="41" t="n"/>
      <c r="B2663" s="37" t="n"/>
      <c r="C2663" s="37" t="n"/>
      <c r="D2663" s="39" t="str">
        <f>IF(C2663="","",IFERROR(INDEX(art_des,MATCH(C2663,art_ref,0))&amp;"","Référence inconnue"))</f>
        <v/>
      </c>
      <c r="E2663" s="37" t="n"/>
      <c r="F2663" s="39" t="str">
        <f>IF(C2663="","",IFERROR(INDEX(art_unit,MATCH(C2663,art_ref,0))&amp;"",""))</f>
        <v/>
      </c>
      <c r="G2663" s="37" t="n"/>
      <c r="H2663" s="37" t="n"/>
      <c r="I2663" s="37" t="n"/>
      <c r="J2663" s="40" t="str">
        <f>IF(OR(C2663="",NOT(ISNUMBER(E2663))),"",IFERROR(E2663*N(INDEX(art_price,MATCH(C2663,art_ref,0))),""))</f>
        <v/>
      </c>
      <c r="K2663" s="39" t="str">
        <f>IF(OR(C2663="",NOT(ISNUMBER(E2663))),"",IFERROR(ROUND(N(INDEX(art_init,MATCH(C2663,art_ref,0)))+SUMIFS($E$5:E2663,$C$5:C2663,C2663,$B$5:B2663,"Entrée")-SUMIFS($E$5:E2663,$C$5:C2663,C2663,$B$5:B2663,"Sortie"),6),""))</f>
        <v/>
      </c>
      <c r="L2663" s="39" t="str">
        <f>IF(COUNTA(A2663:C2663,E2663)=0,"",IF(COUNTA(A2663:C2663,E2663)&lt;4,"Ligne incomplète",IF(NOT(ISNUMBER(A2663)),"Date invalide",IF(AND(B2663&lt;&gt;"Entrée",B2663&lt;&gt;"Sortie"),"Type inconnu",IF(ISNA(MATCH(C2663,art_ref,0)),"Référence inconnue",IF(OR(NOT(ISNUMBER(E2663)),N(E2663)&lt;=0),"Quantité invalide",IF(K2663&lt;0,"Stock négatif",IF(AND(ISNUMBER(A2662),A2663&lt;A2662),"Date hors ordre","OK"))))))))</f>
        <v/>
      </c>
      <c r="M2663" s="39" t="str">
        <f>IF(C2663="","",C2663&amp;"#"&amp;COUNTIF($C$5:C2663,C2663))</f>
        <v/>
      </c>
    </row>
    <row r="2664">
      <c r="A2664" s="41" t="n"/>
      <c r="B2664" s="37" t="n"/>
      <c r="C2664" s="37" t="n"/>
      <c r="D2664" s="39" t="str">
        <f>IF(C2664="","",IFERROR(INDEX(art_des,MATCH(C2664,art_ref,0))&amp;"","Référence inconnue"))</f>
        <v/>
      </c>
      <c r="E2664" s="37" t="n"/>
      <c r="F2664" s="39" t="str">
        <f>IF(C2664="","",IFERROR(INDEX(art_unit,MATCH(C2664,art_ref,0))&amp;"",""))</f>
        <v/>
      </c>
      <c r="G2664" s="37" t="n"/>
      <c r="H2664" s="37" t="n"/>
      <c r="I2664" s="37" t="n"/>
      <c r="J2664" s="40" t="str">
        <f>IF(OR(C2664="",NOT(ISNUMBER(E2664))),"",IFERROR(E2664*N(INDEX(art_price,MATCH(C2664,art_ref,0))),""))</f>
        <v/>
      </c>
      <c r="K2664" s="39" t="str">
        <f>IF(OR(C2664="",NOT(ISNUMBER(E2664))),"",IFERROR(ROUND(N(INDEX(art_init,MATCH(C2664,art_ref,0)))+SUMIFS($E$5:E2664,$C$5:C2664,C2664,$B$5:B2664,"Entrée")-SUMIFS($E$5:E2664,$C$5:C2664,C2664,$B$5:B2664,"Sortie"),6),""))</f>
        <v/>
      </c>
      <c r="L2664" s="39" t="str">
        <f>IF(COUNTA(A2664:C2664,E2664)=0,"",IF(COUNTA(A2664:C2664,E2664)&lt;4,"Ligne incomplète",IF(NOT(ISNUMBER(A2664)),"Date invalide",IF(AND(B2664&lt;&gt;"Entrée",B2664&lt;&gt;"Sortie"),"Type inconnu",IF(ISNA(MATCH(C2664,art_ref,0)),"Référence inconnue",IF(OR(NOT(ISNUMBER(E2664)),N(E2664)&lt;=0),"Quantité invalide",IF(K2664&lt;0,"Stock négatif",IF(AND(ISNUMBER(A2663),A2664&lt;A2663),"Date hors ordre","OK"))))))))</f>
        <v/>
      </c>
      <c r="M2664" s="39" t="str">
        <f>IF(C2664="","",C2664&amp;"#"&amp;COUNTIF($C$5:C2664,C2664))</f>
        <v/>
      </c>
    </row>
    <row r="2665">
      <c r="A2665" s="41" t="n"/>
      <c r="B2665" s="37" t="n"/>
      <c r="C2665" s="37" t="n"/>
      <c r="D2665" s="39" t="str">
        <f>IF(C2665="","",IFERROR(INDEX(art_des,MATCH(C2665,art_ref,0))&amp;"","Référence inconnue"))</f>
        <v/>
      </c>
      <c r="E2665" s="37" t="n"/>
      <c r="F2665" s="39" t="str">
        <f>IF(C2665="","",IFERROR(INDEX(art_unit,MATCH(C2665,art_ref,0))&amp;"",""))</f>
        <v/>
      </c>
      <c r="G2665" s="37" t="n"/>
      <c r="H2665" s="37" t="n"/>
      <c r="I2665" s="37" t="n"/>
      <c r="J2665" s="40" t="str">
        <f>IF(OR(C2665="",NOT(ISNUMBER(E2665))),"",IFERROR(E2665*N(INDEX(art_price,MATCH(C2665,art_ref,0))),""))</f>
        <v/>
      </c>
      <c r="K2665" s="39" t="str">
        <f>IF(OR(C2665="",NOT(ISNUMBER(E2665))),"",IFERROR(ROUND(N(INDEX(art_init,MATCH(C2665,art_ref,0)))+SUMIFS($E$5:E2665,$C$5:C2665,C2665,$B$5:B2665,"Entrée")-SUMIFS($E$5:E2665,$C$5:C2665,C2665,$B$5:B2665,"Sortie"),6),""))</f>
        <v/>
      </c>
      <c r="L2665" s="39" t="str">
        <f>IF(COUNTA(A2665:C2665,E2665)=0,"",IF(COUNTA(A2665:C2665,E2665)&lt;4,"Ligne incomplète",IF(NOT(ISNUMBER(A2665)),"Date invalide",IF(AND(B2665&lt;&gt;"Entrée",B2665&lt;&gt;"Sortie"),"Type inconnu",IF(ISNA(MATCH(C2665,art_ref,0)),"Référence inconnue",IF(OR(NOT(ISNUMBER(E2665)),N(E2665)&lt;=0),"Quantité invalide",IF(K2665&lt;0,"Stock négatif",IF(AND(ISNUMBER(A2664),A2665&lt;A2664),"Date hors ordre","OK"))))))))</f>
        <v/>
      </c>
      <c r="M2665" s="39" t="str">
        <f>IF(C2665="","",C2665&amp;"#"&amp;COUNTIF($C$5:C2665,C2665))</f>
        <v/>
      </c>
    </row>
    <row r="2666">
      <c r="A2666" s="41" t="n"/>
      <c r="B2666" s="37" t="n"/>
      <c r="C2666" s="37" t="n"/>
      <c r="D2666" s="39" t="str">
        <f>IF(C2666="","",IFERROR(INDEX(art_des,MATCH(C2666,art_ref,0))&amp;"","Référence inconnue"))</f>
        <v/>
      </c>
      <c r="E2666" s="37" t="n"/>
      <c r="F2666" s="39" t="str">
        <f>IF(C2666="","",IFERROR(INDEX(art_unit,MATCH(C2666,art_ref,0))&amp;"",""))</f>
        <v/>
      </c>
      <c r="G2666" s="37" t="n"/>
      <c r="H2666" s="37" t="n"/>
      <c r="I2666" s="37" t="n"/>
      <c r="J2666" s="40" t="str">
        <f>IF(OR(C2666="",NOT(ISNUMBER(E2666))),"",IFERROR(E2666*N(INDEX(art_price,MATCH(C2666,art_ref,0))),""))</f>
        <v/>
      </c>
      <c r="K2666" s="39" t="str">
        <f>IF(OR(C2666="",NOT(ISNUMBER(E2666))),"",IFERROR(ROUND(N(INDEX(art_init,MATCH(C2666,art_ref,0)))+SUMIFS($E$5:E2666,$C$5:C2666,C2666,$B$5:B2666,"Entrée")-SUMIFS($E$5:E2666,$C$5:C2666,C2666,$B$5:B2666,"Sortie"),6),""))</f>
        <v/>
      </c>
      <c r="L2666" s="39" t="str">
        <f>IF(COUNTA(A2666:C2666,E2666)=0,"",IF(COUNTA(A2666:C2666,E2666)&lt;4,"Ligne incomplète",IF(NOT(ISNUMBER(A2666)),"Date invalide",IF(AND(B2666&lt;&gt;"Entrée",B2666&lt;&gt;"Sortie"),"Type inconnu",IF(ISNA(MATCH(C2666,art_ref,0)),"Référence inconnue",IF(OR(NOT(ISNUMBER(E2666)),N(E2666)&lt;=0),"Quantité invalide",IF(K2666&lt;0,"Stock négatif",IF(AND(ISNUMBER(A2665),A2666&lt;A2665),"Date hors ordre","OK"))))))))</f>
        <v/>
      </c>
      <c r="M2666" s="39" t="str">
        <f>IF(C2666="","",C2666&amp;"#"&amp;COUNTIF($C$5:C2666,C2666))</f>
        <v/>
      </c>
    </row>
    <row r="2667">
      <c r="A2667" s="41" t="n"/>
      <c r="B2667" s="37" t="n"/>
      <c r="C2667" s="37" t="n"/>
      <c r="D2667" s="39" t="str">
        <f>IF(C2667="","",IFERROR(INDEX(art_des,MATCH(C2667,art_ref,0))&amp;"","Référence inconnue"))</f>
        <v/>
      </c>
      <c r="E2667" s="37" t="n"/>
      <c r="F2667" s="39" t="str">
        <f>IF(C2667="","",IFERROR(INDEX(art_unit,MATCH(C2667,art_ref,0))&amp;"",""))</f>
        <v/>
      </c>
      <c r="G2667" s="37" t="n"/>
      <c r="H2667" s="37" t="n"/>
      <c r="I2667" s="37" t="n"/>
      <c r="J2667" s="40" t="str">
        <f>IF(OR(C2667="",NOT(ISNUMBER(E2667))),"",IFERROR(E2667*N(INDEX(art_price,MATCH(C2667,art_ref,0))),""))</f>
        <v/>
      </c>
      <c r="K2667" s="39" t="str">
        <f>IF(OR(C2667="",NOT(ISNUMBER(E2667))),"",IFERROR(ROUND(N(INDEX(art_init,MATCH(C2667,art_ref,0)))+SUMIFS($E$5:E2667,$C$5:C2667,C2667,$B$5:B2667,"Entrée")-SUMIFS($E$5:E2667,$C$5:C2667,C2667,$B$5:B2667,"Sortie"),6),""))</f>
        <v/>
      </c>
      <c r="L2667" s="39" t="str">
        <f>IF(COUNTA(A2667:C2667,E2667)=0,"",IF(COUNTA(A2667:C2667,E2667)&lt;4,"Ligne incomplète",IF(NOT(ISNUMBER(A2667)),"Date invalide",IF(AND(B2667&lt;&gt;"Entrée",B2667&lt;&gt;"Sortie"),"Type inconnu",IF(ISNA(MATCH(C2667,art_ref,0)),"Référence inconnue",IF(OR(NOT(ISNUMBER(E2667)),N(E2667)&lt;=0),"Quantité invalide",IF(K2667&lt;0,"Stock négatif",IF(AND(ISNUMBER(A2666),A2667&lt;A2666),"Date hors ordre","OK"))))))))</f>
        <v/>
      </c>
      <c r="M2667" s="39" t="str">
        <f>IF(C2667="","",C2667&amp;"#"&amp;COUNTIF($C$5:C2667,C2667))</f>
        <v/>
      </c>
    </row>
    <row r="2668">
      <c r="A2668" s="41" t="n"/>
      <c r="B2668" s="37" t="n"/>
      <c r="C2668" s="37" t="n"/>
      <c r="D2668" s="39" t="str">
        <f>IF(C2668="","",IFERROR(INDEX(art_des,MATCH(C2668,art_ref,0))&amp;"","Référence inconnue"))</f>
        <v/>
      </c>
      <c r="E2668" s="37" t="n"/>
      <c r="F2668" s="39" t="str">
        <f>IF(C2668="","",IFERROR(INDEX(art_unit,MATCH(C2668,art_ref,0))&amp;"",""))</f>
        <v/>
      </c>
      <c r="G2668" s="37" t="n"/>
      <c r="H2668" s="37" t="n"/>
      <c r="I2668" s="37" t="n"/>
      <c r="J2668" s="40" t="str">
        <f>IF(OR(C2668="",NOT(ISNUMBER(E2668))),"",IFERROR(E2668*N(INDEX(art_price,MATCH(C2668,art_ref,0))),""))</f>
        <v/>
      </c>
      <c r="K2668" s="39" t="str">
        <f>IF(OR(C2668="",NOT(ISNUMBER(E2668))),"",IFERROR(ROUND(N(INDEX(art_init,MATCH(C2668,art_ref,0)))+SUMIFS($E$5:E2668,$C$5:C2668,C2668,$B$5:B2668,"Entrée")-SUMIFS($E$5:E2668,$C$5:C2668,C2668,$B$5:B2668,"Sortie"),6),""))</f>
        <v/>
      </c>
      <c r="L2668" s="39" t="str">
        <f>IF(COUNTA(A2668:C2668,E2668)=0,"",IF(COUNTA(A2668:C2668,E2668)&lt;4,"Ligne incomplète",IF(NOT(ISNUMBER(A2668)),"Date invalide",IF(AND(B2668&lt;&gt;"Entrée",B2668&lt;&gt;"Sortie"),"Type inconnu",IF(ISNA(MATCH(C2668,art_ref,0)),"Référence inconnue",IF(OR(NOT(ISNUMBER(E2668)),N(E2668)&lt;=0),"Quantité invalide",IF(K2668&lt;0,"Stock négatif",IF(AND(ISNUMBER(A2667),A2668&lt;A2667),"Date hors ordre","OK"))))))))</f>
        <v/>
      </c>
      <c r="M2668" s="39" t="str">
        <f>IF(C2668="","",C2668&amp;"#"&amp;COUNTIF($C$5:C2668,C2668))</f>
        <v/>
      </c>
    </row>
    <row r="2669">
      <c r="A2669" s="41" t="n"/>
      <c r="B2669" s="37" t="n"/>
      <c r="C2669" s="37" t="n"/>
      <c r="D2669" s="39" t="str">
        <f>IF(C2669="","",IFERROR(INDEX(art_des,MATCH(C2669,art_ref,0))&amp;"","Référence inconnue"))</f>
        <v/>
      </c>
      <c r="E2669" s="37" t="n"/>
      <c r="F2669" s="39" t="str">
        <f>IF(C2669="","",IFERROR(INDEX(art_unit,MATCH(C2669,art_ref,0))&amp;"",""))</f>
        <v/>
      </c>
      <c r="G2669" s="37" t="n"/>
      <c r="H2669" s="37" t="n"/>
      <c r="I2669" s="37" t="n"/>
      <c r="J2669" s="40" t="str">
        <f>IF(OR(C2669="",NOT(ISNUMBER(E2669))),"",IFERROR(E2669*N(INDEX(art_price,MATCH(C2669,art_ref,0))),""))</f>
        <v/>
      </c>
      <c r="K2669" s="39" t="str">
        <f>IF(OR(C2669="",NOT(ISNUMBER(E2669))),"",IFERROR(ROUND(N(INDEX(art_init,MATCH(C2669,art_ref,0)))+SUMIFS($E$5:E2669,$C$5:C2669,C2669,$B$5:B2669,"Entrée")-SUMIFS($E$5:E2669,$C$5:C2669,C2669,$B$5:B2669,"Sortie"),6),""))</f>
        <v/>
      </c>
      <c r="L2669" s="39" t="str">
        <f>IF(COUNTA(A2669:C2669,E2669)=0,"",IF(COUNTA(A2669:C2669,E2669)&lt;4,"Ligne incomplète",IF(NOT(ISNUMBER(A2669)),"Date invalide",IF(AND(B2669&lt;&gt;"Entrée",B2669&lt;&gt;"Sortie"),"Type inconnu",IF(ISNA(MATCH(C2669,art_ref,0)),"Référence inconnue",IF(OR(NOT(ISNUMBER(E2669)),N(E2669)&lt;=0),"Quantité invalide",IF(K2669&lt;0,"Stock négatif",IF(AND(ISNUMBER(A2668),A2669&lt;A2668),"Date hors ordre","OK"))))))))</f>
        <v/>
      </c>
      <c r="M2669" s="39" t="str">
        <f>IF(C2669="","",C2669&amp;"#"&amp;COUNTIF($C$5:C2669,C2669))</f>
        <v/>
      </c>
    </row>
    <row r="2670">
      <c r="A2670" s="41" t="n"/>
      <c r="B2670" s="37" t="n"/>
      <c r="C2670" s="37" t="n"/>
      <c r="D2670" s="39" t="str">
        <f>IF(C2670="","",IFERROR(INDEX(art_des,MATCH(C2670,art_ref,0))&amp;"","Référence inconnue"))</f>
        <v/>
      </c>
      <c r="E2670" s="37" t="n"/>
      <c r="F2670" s="39" t="str">
        <f>IF(C2670="","",IFERROR(INDEX(art_unit,MATCH(C2670,art_ref,0))&amp;"",""))</f>
        <v/>
      </c>
      <c r="G2670" s="37" t="n"/>
      <c r="H2670" s="37" t="n"/>
      <c r="I2670" s="37" t="n"/>
      <c r="J2670" s="40" t="str">
        <f>IF(OR(C2670="",NOT(ISNUMBER(E2670))),"",IFERROR(E2670*N(INDEX(art_price,MATCH(C2670,art_ref,0))),""))</f>
        <v/>
      </c>
      <c r="K2670" s="39" t="str">
        <f>IF(OR(C2670="",NOT(ISNUMBER(E2670))),"",IFERROR(ROUND(N(INDEX(art_init,MATCH(C2670,art_ref,0)))+SUMIFS($E$5:E2670,$C$5:C2670,C2670,$B$5:B2670,"Entrée")-SUMIFS($E$5:E2670,$C$5:C2670,C2670,$B$5:B2670,"Sortie"),6),""))</f>
        <v/>
      </c>
      <c r="L2670" s="39" t="str">
        <f>IF(COUNTA(A2670:C2670,E2670)=0,"",IF(COUNTA(A2670:C2670,E2670)&lt;4,"Ligne incomplète",IF(NOT(ISNUMBER(A2670)),"Date invalide",IF(AND(B2670&lt;&gt;"Entrée",B2670&lt;&gt;"Sortie"),"Type inconnu",IF(ISNA(MATCH(C2670,art_ref,0)),"Référence inconnue",IF(OR(NOT(ISNUMBER(E2670)),N(E2670)&lt;=0),"Quantité invalide",IF(K2670&lt;0,"Stock négatif",IF(AND(ISNUMBER(A2669),A2670&lt;A2669),"Date hors ordre","OK"))))))))</f>
        <v/>
      </c>
      <c r="M2670" s="39" t="str">
        <f>IF(C2670="","",C2670&amp;"#"&amp;COUNTIF($C$5:C2670,C2670))</f>
        <v/>
      </c>
    </row>
    <row r="2671">
      <c r="A2671" s="41" t="n"/>
      <c r="B2671" s="37" t="n"/>
      <c r="C2671" s="37" t="n"/>
      <c r="D2671" s="39" t="str">
        <f>IF(C2671="","",IFERROR(INDEX(art_des,MATCH(C2671,art_ref,0))&amp;"","Référence inconnue"))</f>
        <v/>
      </c>
      <c r="E2671" s="37" t="n"/>
      <c r="F2671" s="39" t="str">
        <f>IF(C2671="","",IFERROR(INDEX(art_unit,MATCH(C2671,art_ref,0))&amp;"",""))</f>
        <v/>
      </c>
      <c r="G2671" s="37" t="n"/>
      <c r="H2671" s="37" t="n"/>
      <c r="I2671" s="37" t="n"/>
      <c r="J2671" s="40" t="str">
        <f>IF(OR(C2671="",NOT(ISNUMBER(E2671))),"",IFERROR(E2671*N(INDEX(art_price,MATCH(C2671,art_ref,0))),""))</f>
        <v/>
      </c>
      <c r="K2671" s="39" t="str">
        <f>IF(OR(C2671="",NOT(ISNUMBER(E2671))),"",IFERROR(ROUND(N(INDEX(art_init,MATCH(C2671,art_ref,0)))+SUMIFS($E$5:E2671,$C$5:C2671,C2671,$B$5:B2671,"Entrée")-SUMIFS($E$5:E2671,$C$5:C2671,C2671,$B$5:B2671,"Sortie"),6),""))</f>
        <v/>
      </c>
      <c r="L2671" s="39" t="str">
        <f>IF(COUNTA(A2671:C2671,E2671)=0,"",IF(COUNTA(A2671:C2671,E2671)&lt;4,"Ligne incomplète",IF(NOT(ISNUMBER(A2671)),"Date invalide",IF(AND(B2671&lt;&gt;"Entrée",B2671&lt;&gt;"Sortie"),"Type inconnu",IF(ISNA(MATCH(C2671,art_ref,0)),"Référence inconnue",IF(OR(NOT(ISNUMBER(E2671)),N(E2671)&lt;=0),"Quantité invalide",IF(K2671&lt;0,"Stock négatif",IF(AND(ISNUMBER(A2670),A2671&lt;A2670),"Date hors ordre","OK"))))))))</f>
        <v/>
      </c>
      <c r="M2671" s="39" t="str">
        <f>IF(C2671="","",C2671&amp;"#"&amp;COUNTIF($C$5:C2671,C2671))</f>
        <v/>
      </c>
    </row>
    <row r="2672">
      <c r="A2672" s="41" t="n"/>
      <c r="B2672" s="37" t="n"/>
      <c r="C2672" s="37" t="n"/>
      <c r="D2672" s="39" t="str">
        <f>IF(C2672="","",IFERROR(INDEX(art_des,MATCH(C2672,art_ref,0))&amp;"","Référence inconnue"))</f>
        <v/>
      </c>
      <c r="E2672" s="37" t="n"/>
      <c r="F2672" s="39" t="str">
        <f>IF(C2672="","",IFERROR(INDEX(art_unit,MATCH(C2672,art_ref,0))&amp;"",""))</f>
        <v/>
      </c>
      <c r="G2672" s="37" t="n"/>
      <c r="H2672" s="37" t="n"/>
      <c r="I2672" s="37" t="n"/>
      <c r="J2672" s="40" t="str">
        <f>IF(OR(C2672="",NOT(ISNUMBER(E2672))),"",IFERROR(E2672*N(INDEX(art_price,MATCH(C2672,art_ref,0))),""))</f>
        <v/>
      </c>
      <c r="K2672" s="39" t="str">
        <f>IF(OR(C2672="",NOT(ISNUMBER(E2672))),"",IFERROR(ROUND(N(INDEX(art_init,MATCH(C2672,art_ref,0)))+SUMIFS($E$5:E2672,$C$5:C2672,C2672,$B$5:B2672,"Entrée")-SUMIFS($E$5:E2672,$C$5:C2672,C2672,$B$5:B2672,"Sortie"),6),""))</f>
        <v/>
      </c>
      <c r="L2672" s="39" t="str">
        <f>IF(COUNTA(A2672:C2672,E2672)=0,"",IF(COUNTA(A2672:C2672,E2672)&lt;4,"Ligne incomplète",IF(NOT(ISNUMBER(A2672)),"Date invalide",IF(AND(B2672&lt;&gt;"Entrée",B2672&lt;&gt;"Sortie"),"Type inconnu",IF(ISNA(MATCH(C2672,art_ref,0)),"Référence inconnue",IF(OR(NOT(ISNUMBER(E2672)),N(E2672)&lt;=0),"Quantité invalide",IF(K2672&lt;0,"Stock négatif",IF(AND(ISNUMBER(A2671),A2672&lt;A2671),"Date hors ordre","OK"))))))))</f>
        <v/>
      </c>
      <c r="M2672" s="39" t="str">
        <f>IF(C2672="","",C2672&amp;"#"&amp;COUNTIF($C$5:C2672,C2672))</f>
        <v/>
      </c>
    </row>
    <row r="2673">
      <c r="A2673" s="41" t="n"/>
      <c r="B2673" s="37" t="n"/>
      <c r="C2673" s="37" t="n"/>
      <c r="D2673" s="39" t="str">
        <f>IF(C2673="","",IFERROR(INDEX(art_des,MATCH(C2673,art_ref,0))&amp;"","Référence inconnue"))</f>
        <v/>
      </c>
      <c r="E2673" s="37" t="n"/>
      <c r="F2673" s="39" t="str">
        <f>IF(C2673="","",IFERROR(INDEX(art_unit,MATCH(C2673,art_ref,0))&amp;"",""))</f>
        <v/>
      </c>
      <c r="G2673" s="37" t="n"/>
      <c r="H2673" s="37" t="n"/>
      <c r="I2673" s="37" t="n"/>
      <c r="J2673" s="40" t="str">
        <f>IF(OR(C2673="",NOT(ISNUMBER(E2673))),"",IFERROR(E2673*N(INDEX(art_price,MATCH(C2673,art_ref,0))),""))</f>
        <v/>
      </c>
      <c r="K2673" s="39" t="str">
        <f>IF(OR(C2673="",NOT(ISNUMBER(E2673))),"",IFERROR(ROUND(N(INDEX(art_init,MATCH(C2673,art_ref,0)))+SUMIFS($E$5:E2673,$C$5:C2673,C2673,$B$5:B2673,"Entrée")-SUMIFS($E$5:E2673,$C$5:C2673,C2673,$B$5:B2673,"Sortie"),6),""))</f>
        <v/>
      </c>
      <c r="L2673" s="39" t="str">
        <f>IF(COUNTA(A2673:C2673,E2673)=0,"",IF(COUNTA(A2673:C2673,E2673)&lt;4,"Ligne incomplète",IF(NOT(ISNUMBER(A2673)),"Date invalide",IF(AND(B2673&lt;&gt;"Entrée",B2673&lt;&gt;"Sortie"),"Type inconnu",IF(ISNA(MATCH(C2673,art_ref,0)),"Référence inconnue",IF(OR(NOT(ISNUMBER(E2673)),N(E2673)&lt;=0),"Quantité invalide",IF(K2673&lt;0,"Stock négatif",IF(AND(ISNUMBER(A2672),A2673&lt;A2672),"Date hors ordre","OK"))))))))</f>
        <v/>
      </c>
      <c r="M2673" s="39" t="str">
        <f>IF(C2673="","",C2673&amp;"#"&amp;COUNTIF($C$5:C2673,C2673))</f>
        <v/>
      </c>
    </row>
    <row r="2674">
      <c r="A2674" s="41" t="n"/>
      <c r="B2674" s="37" t="n"/>
      <c r="C2674" s="37" t="n"/>
      <c r="D2674" s="39" t="str">
        <f>IF(C2674="","",IFERROR(INDEX(art_des,MATCH(C2674,art_ref,0))&amp;"","Référence inconnue"))</f>
        <v/>
      </c>
      <c r="E2674" s="37" t="n"/>
      <c r="F2674" s="39" t="str">
        <f>IF(C2674="","",IFERROR(INDEX(art_unit,MATCH(C2674,art_ref,0))&amp;"",""))</f>
        <v/>
      </c>
      <c r="G2674" s="37" t="n"/>
      <c r="H2674" s="37" t="n"/>
      <c r="I2674" s="37" t="n"/>
      <c r="J2674" s="40" t="str">
        <f>IF(OR(C2674="",NOT(ISNUMBER(E2674))),"",IFERROR(E2674*N(INDEX(art_price,MATCH(C2674,art_ref,0))),""))</f>
        <v/>
      </c>
      <c r="K2674" s="39" t="str">
        <f>IF(OR(C2674="",NOT(ISNUMBER(E2674))),"",IFERROR(ROUND(N(INDEX(art_init,MATCH(C2674,art_ref,0)))+SUMIFS($E$5:E2674,$C$5:C2674,C2674,$B$5:B2674,"Entrée")-SUMIFS($E$5:E2674,$C$5:C2674,C2674,$B$5:B2674,"Sortie"),6),""))</f>
        <v/>
      </c>
      <c r="L2674" s="39" t="str">
        <f>IF(COUNTA(A2674:C2674,E2674)=0,"",IF(COUNTA(A2674:C2674,E2674)&lt;4,"Ligne incomplète",IF(NOT(ISNUMBER(A2674)),"Date invalide",IF(AND(B2674&lt;&gt;"Entrée",B2674&lt;&gt;"Sortie"),"Type inconnu",IF(ISNA(MATCH(C2674,art_ref,0)),"Référence inconnue",IF(OR(NOT(ISNUMBER(E2674)),N(E2674)&lt;=0),"Quantité invalide",IF(K2674&lt;0,"Stock négatif",IF(AND(ISNUMBER(A2673),A2674&lt;A2673),"Date hors ordre","OK"))))))))</f>
        <v/>
      </c>
      <c r="M2674" s="39" t="str">
        <f>IF(C2674="","",C2674&amp;"#"&amp;COUNTIF($C$5:C2674,C2674))</f>
        <v/>
      </c>
    </row>
    <row r="2675">
      <c r="A2675" s="41" t="n"/>
      <c r="B2675" s="37" t="n"/>
      <c r="C2675" s="37" t="n"/>
      <c r="D2675" s="39" t="str">
        <f>IF(C2675="","",IFERROR(INDEX(art_des,MATCH(C2675,art_ref,0))&amp;"","Référence inconnue"))</f>
        <v/>
      </c>
      <c r="E2675" s="37" t="n"/>
      <c r="F2675" s="39" t="str">
        <f>IF(C2675="","",IFERROR(INDEX(art_unit,MATCH(C2675,art_ref,0))&amp;"",""))</f>
        <v/>
      </c>
      <c r="G2675" s="37" t="n"/>
      <c r="H2675" s="37" t="n"/>
      <c r="I2675" s="37" t="n"/>
      <c r="J2675" s="40" t="str">
        <f>IF(OR(C2675="",NOT(ISNUMBER(E2675))),"",IFERROR(E2675*N(INDEX(art_price,MATCH(C2675,art_ref,0))),""))</f>
        <v/>
      </c>
      <c r="K2675" s="39" t="str">
        <f>IF(OR(C2675="",NOT(ISNUMBER(E2675))),"",IFERROR(ROUND(N(INDEX(art_init,MATCH(C2675,art_ref,0)))+SUMIFS($E$5:E2675,$C$5:C2675,C2675,$B$5:B2675,"Entrée")-SUMIFS($E$5:E2675,$C$5:C2675,C2675,$B$5:B2675,"Sortie"),6),""))</f>
        <v/>
      </c>
      <c r="L2675" s="39" t="str">
        <f>IF(COUNTA(A2675:C2675,E2675)=0,"",IF(COUNTA(A2675:C2675,E2675)&lt;4,"Ligne incomplète",IF(NOT(ISNUMBER(A2675)),"Date invalide",IF(AND(B2675&lt;&gt;"Entrée",B2675&lt;&gt;"Sortie"),"Type inconnu",IF(ISNA(MATCH(C2675,art_ref,0)),"Référence inconnue",IF(OR(NOT(ISNUMBER(E2675)),N(E2675)&lt;=0),"Quantité invalide",IF(K2675&lt;0,"Stock négatif",IF(AND(ISNUMBER(A2674),A2675&lt;A2674),"Date hors ordre","OK"))))))))</f>
        <v/>
      </c>
      <c r="M2675" s="39" t="str">
        <f>IF(C2675="","",C2675&amp;"#"&amp;COUNTIF($C$5:C2675,C2675))</f>
        <v/>
      </c>
    </row>
    <row r="2676">
      <c r="A2676" s="41" t="n"/>
      <c r="B2676" s="37" t="n"/>
      <c r="C2676" s="37" t="n"/>
      <c r="D2676" s="39" t="str">
        <f>IF(C2676="","",IFERROR(INDEX(art_des,MATCH(C2676,art_ref,0))&amp;"","Référence inconnue"))</f>
        <v/>
      </c>
      <c r="E2676" s="37" t="n"/>
      <c r="F2676" s="39" t="str">
        <f>IF(C2676="","",IFERROR(INDEX(art_unit,MATCH(C2676,art_ref,0))&amp;"",""))</f>
        <v/>
      </c>
      <c r="G2676" s="37" t="n"/>
      <c r="H2676" s="37" t="n"/>
      <c r="I2676" s="37" t="n"/>
      <c r="J2676" s="40" t="str">
        <f>IF(OR(C2676="",NOT(ISNUMBER(E2676))),"",IFERROR(E2676*N(INDEX(art_price,MATCH(C2676,art_ref,0))),""))</f>
        <v/>
      </c>
      <c r="K2676" s="39" t="str">
        <f>IF(OR(C2676="",NOT(ISNUMBER(E2676))),"",IFERROR(ROUND(N(INDEX(art_init,MATCH(C2676,art_ref,0)))+SUMIFS($E$5:E2676,$C$5:C2676,C2676,$B$5:B2676,"Entrée")-SUMIFS($E$5:E2676,$C$5:C2676,C2676,$B$5:B2676,"Sortie"),6),""))</f>
        <v/>
      </c>
      <c r="L2676" s="39" t="str">
        <f>IF(COUNTA(A2676:C2676,E2676)=0,"",IF(COUNTA(A2676:C2676,E2676)&lt;4,"Ligne incomplète",IF(NOT(ISNUMBER(A2676)),"Date invalide",IF(AND(B2676&lt;&gt;"Entrée",B2676&lt;&gt;"Sortie"),"Type inconnu",IF(ISNA(MATCH(C2676,art_ref,0)),"Référence inconnue",IF(OR(NOT(ISNUMBER(E2676)),N(E2676)&lt;=0),"Quantité invalide",IF(K2676&lt;0,"Stock négatif",IF(AND(ISNUMBER(A2675),A2676&lt;A2675),"Date hors ordre","OK"))))))))</f>
        <v/>
      </c>
      <c r="M2676" s="39" t="str">
        <f>IF(C2676="","",C2676&amp;"#"&amp;COUNTIF($C$5:C2676,C2676))</f>
        <v/>
      </c>
    </row>
    <row r="2677">
      <c r="A2677" s="41" t="n"/>
      <c r="B2677" s="37" t="n"/>
      <c r="C2677" s="37" t="n"/>
      <c r="D2677" s="39" t="str">
        <f>IF(C2677="","",IFERROR(INDEX(art_des,MATCH(C2677,art_ref,0))&amp;"","Référence inconnue"))</f>
        <v/>
      </c>
      <c r="E2677" s="37" t="n"/>
      <c r="F2677" s="39" t="str">
        <f>IF(C2677="","",IFERROR(INDEX(art_unit,MATCH(C2677,art_ref,0))&amp;"",""))</f>
        <v/>
      </c>
      <c r="G2677" s="37" t="n"/>
      <c r="H2677" s="37" t="n"/>
      <c r="I2677" s="37" t="n"/>
      <c r="J2677" s="40" t="str">
        <f>IF(OR(C2677="",NOT(ISNUMBER(E2677))),"",IFERROR(E2677*N(INDEX(art_price,MATCH(C2677,art_ref,0))),""))</f>
        <v/>
      </c>
      <c r="K2677" s="39" t="str">
        <f>IF(OR(C2677="",NOT(ISNUMBER(E2677))),"",IFERROR(ROUND(N(INDEX(art_init,MATCH(C2677,art_ref,0)))+SUMIFS($E$5:E2677,$C$5:C2677,C2677,$B$5:B2677,"Entrée")-SUMIFS($E$5:E2677,$C$5:C2677,C2677,$B$5:B2677,"Sortie"),6),""))</f>
        <v/>
      </c>
      <c r="L2677" s="39" t="str">
        <f>IF(COUNTA(A2677:C2677,E2677)=0,"",IF(COUNTA(A2677:C2677,E2677)&lt;4,"Ligne incomplète",IF(NOT(ISNUMBER(A2677)),"Date invalide",IF(AND(B2677&lt;&gt;"Entrée",B2677&lt;&gt;"Sortie"),"Type inconnu",IF(ISNA(MATCH(C2677,art_ref,0)),"Référence inconnue",IF(OR(NOT(ISNUMBER(E2677)),N(E2677)&lt;=0),"Quantité invalide",IF(K2677&lt;0,"Stock négatif",IF(AND(ISNUMBER(A2676),A2677&lt;A2676),"Date hors ordre","OK"))))))))</f>
        <v/>
      </c>
      <c r="M2677" s="39" t="str">
        <f>IF(C2677="","",C2677&amp;"#"&amp;COUNTIF($C$5:C2677,C2677))</f>
        <v/>
      </c>
    </row>
    <row r="2678">
      <c r="A2678" s="41" t="n"/>
      <c r="B2678" s="37" t="n"/>
      <c r="C2678" s="37" t="n"/>
      <c r="D2678" s="39" t="str">
        <f>IF(C2678="","",IFERROR(INDEX(art_des,MATCH(C2678,art_ref,0))&amp;"","Référence inconnue"))</f>
        <v/>
      </c>
      <c r="E2678" s="37" t="n"/>
      <c r="F2678" s="39" t="str">
        <f>IF(C2678="","",IFERROR(INDEX(art_unit,MATCH(C2678,art_ref,0))&amp;"",""))</f>
        <v/>
      </c>
      <c r="G2678" s="37" t="n"/>
      <c r="H2678" s="37" t="n"/>
      <c r="I2678" s="37" t="n"/>
      <c r="J2678" s="40" t="str">
        <f>IF(OR(C2678="",NOT(ISNUMBER(E2678))),"",IFERROR(E2678*N(INDEX(art_price,MATCH(C2678,art_ref,0))),""))</f>
        <v/>
      </c>
      <c r="K2678" s="39" t="str">
        <f>IF(OR(C2678="",NOT(ISNUMBER(E2678))),"",IFERROR(ROUND(N(INDEX(art_init,MATCH(C2678,art_ref,0)))+SUMIFS($E$5:E2678,$C$5:C2678,C2678,$B$5:B2678,"Entrée")-SUMIFS($E$5:E2678,$C$5:C2678,C2678,$B$5:B2678,"Sortie"),6),""))</f>
        <v/>
      </c>
      <c r="L2678" s="39" t="str">
        <f>IF(COUNTA(A2678:C2678,E2678)=0,"",IF(COUNTA(A2678:C2678,E2678)&lt;4,"Ligne incomplète",IF(NOT(ISNUMBER(A2678)),"Date invalide",IF(AND(B2678&lt;&gt;"Entrée",B2678&lt;&gt;"Sortie"),"Type inconnu",IF(ISNA(MATCH(C2678,art_ref,0)),"Référence inconnue",IF(OR(NOT(ISNUMBER(E2678)),N(E2678)&lt;=0),"Quantité invalide",IF(K2678&lt;0,"Stock négatif",IF(AND(ISNUMBER(A2677),A2678&lt;A2677),"Date hors ordre","OK"))))))))</f>
        <v/>
      </c>
      <c r="M2678" s="39" t="str">
        <f>IF(C2678="","",C2678&amp;"#"&amp;COUNTIF($C$5:C2678,C2678))</f>
        <v/>
      </c>
    </row>
    <row r="2679">
      <c r="A2679" s="41" t="n"/>
      <c r="B2679" s="37" t="n"/>
      <c r="C2679" s="37" t="n"/>
      <c r="D2679" s="39" t="str">
        <f>IF(C2679="","",IFERROR(INDEX(art_des,MATCH(C2679,art_ref,0))&amp;"","Référence inconnue"))</f>
        <v/>
      </c>
      <c r="E2679" s="37" t="n"/>
      <c r="F2679" s="39" t="str">
        <f>IF(C2679="","",IFERROR(INDEX(art_unit,MATCH(C2679,art_ref,0))&amp;"",""))</f>
        <v/>
      </c>
      <c r="G2679" s="37" t="n"/>
      <c r="H2679" s="37" t="n"/>
      <c r="I2679" s="37" t="n"/>
      <c r="J2679" s="40" t="str">
        <f>IF(OR(C2679="",NOT(ISNUMBER(E2679))),"",IFERROR(E2679*N(INDEX(art_price,MATCH(C2679,art_ref,0))),""))</f>
        <v/>
      </c>
      <c r="K2679" s="39" t="str">
        <f>IF(OR(C2679="",NOT(ISNUMBER(E2679))),"",IFERROR(ROUND(N(INDEX(art_init,MATCH(C2679,art_ref,0)))+SUMIFS($E$5:E2679,$C$5:C2679,C2679,$B$5:B2679,"Entrée")-SUMIFS($E$5:E2679,$C$5:C2679,C2679,$B$5:B2679,"Sortie"),6),""))</f>
        <v/>
      </c>
      <c r="L2679" s="39" t="str">
        <f>IF(COUNTA(A2679:C2679,E2679)=0,"",IF(COUNTA(A2679:C2679,E2679)&lt;4,"Ligne incomplète",IF(NOT(ISNUMBER(A2679)),"Date invalide",IF(AND(B2679&lt;&gt;"Entrée",B2679&lt;&gt;"Sortie"),"Type inconnu",IF(ISNA(MATCH(C2679,art_ref,0)),"Référence inconnue",IF(OR(NOT(ISNUMBER(E2679)),N(E2679)&lt;=0),"Quantité invalide",IF(K2679&lt;0,"Stock négatif",IF(AND(ISNUMBER(A2678),A2679&lt;A2678),"Date hors ordre","OK"))))))))</f>
        <v/>
      </c>
      <c r="M2679" s="39" t="str">
        <f>IF(C2679="","",C2679&amp;"#"&amp;COUNTIF($C$5:C2679,C2679))</f>
        <v/>
      </c>
    </row>
    <row r="2680">
      <c r="A2680" s="41" t="n"/>
      <c r="B2680" s="37" t="n"/>
      <c r="C2680" s="37" t="n"/>
      <c r="D2680" s="39" t="str">
        <f>IF(C2680="","",IFERROR(INDEX(art_des,MATCH(C2680,art_ref,0))&amp;"","Référence inconnue"))</f>
        <v/>
      </c>
      <c r="E2680" s="37" t="n"/>
      <c r="F2680" s="39" t="str">
        <f>IF(C2680="","",IFERROR(INDEX(art_unit,MATCH(C2680,art_ref,0))&amp;"",""))</f>
        <v/>
      </c>
      <c r="G2680" s="37" t="n"/>
      <c r="H2680" s="37" t="n"/>
      <c r="I2680" s="37" t="n"/>
      <c r="J2680" s="40" t="str">
        <f>IF(OR(C2680="",NOT(ISNUMBER(E2680))),"",IFERROR(E2680*N(INDEX(art_price,MATCH(C2680,art_ref,0))),""))</f>
        <v/>
      </c>
      <c r="K2680" s="39" t="str">
        <f>IF(OR(C2680="",NOT(ISNUMBER(E2680))),"",IFERROR(ROUND(N(INDEX(art_init,MATCH(C2680,art_ref,0)))+SUMIFS($E$5:E2680,$C$5:C2680,C2680,$B$5:B2680,"Entrée")-SUMIFS($E$5:E2680,$C$5:C2680,C2680,$B$5:B2680,"Sortie"),6),""))</f>
        <v/>
      </c>
      <c r="L2680" s="39" t="str">
        <f>IF(COUNTA(A2680:C2680,E2680)=0,"",IF(COUNTA(A2680:C2680,E2680)&lt;4,"Ligne incomplète",IF(NOT(ISNUMBER(A2680)),"Date invalide",IF(AND(B2680&lt;&gt;"Entrée",B2680&lt;&gt;"Sortie"),"Type inconnu",IF(ISNA(MATCH(C2680,art_ref,0)),"Référence inconnue",IF(OR(NOT(ISNUMBER(E2680)),N(E2680)&lt;=0),"Quantité invalide",IF(K2680&lt;0,"Stock négatif",IF(AND(ISNUMBER(A2679),A2680&lt;A2679),"Date hors ordre","OK"))))))))</f>
        <v/>
      </c>
      <c r="M2680" s="39" t="str">
        <f>IF(C2680="","",C2680&amp;"#"&amp;COUNTIF($C$5:C2680,C2680))</f>
        <v/>
      </c>
    </row>
    <row r="2681">
      <c r="A2681" s="41" t="n"/>
      <c r="B2681" s="37" t="n"/>
      <c r="C2681" s="37" t="n"/>
      <c r="D2681" s="39" t="str">
        <f>IF(C2681="","",IFERROR(INDEX(art_des,MATCH(C2681,art_ref,0))&amp;"","Référence inconnue"))</f>
        <v/>
      </c>
      <c r="E2681" s="37" t="n"/>
      <c r="F2681" s="39" t="str">
        <f>IF(C2681="","",IFERROR(INDEX(art_unit,MATCH(C2681,art_ref,0))&amp;"",""))</f>
        <v/>
      </c>
      <c r="G2681" s="37" t="n"/>
      <c r="H2681" s="37" t="n"/>
      <c r="I2681" s="37" t="n"/>
      <c r="J2681" s="40" t="str">
        <f>IF(OR(C2681="",NOT(ISNUMBER(E2681))),"",IFERROR(E2681*N(INDEX(art_price,MATCH(C2681,art_ref,0))),""))</f>
        <v/>
      </c>
      <c r="K2681" s="39" t="str">
        <f>IF(OR(C2681="",NOT(ISNUMBER(E2681))),"",IFERROR(ROUND(N(INDEX(art_init,MATCH(C2681,art_ref,0)))+SUMIFS($E$5:E2681,$C$5:C2681,C2681,$B$5:B2681,"Entrée")-SUMIFS($E$5:E2681,$C$5:C2681,C2681,$B$5:B2681,"Sortie"),6),""))</f>
        <v/>
      </c>
      <c r="L2681" s="39" t="str">
        <f>IF(COUNTA(A2681:C2681,E2681)=0,"",IF(COUNTA(A2681:C2681,E2681)&lt;4,"Ligne incomplète",IF(NOT(ISNUMBER(A2681)),"Date invalide",IF(AND(B2681&lt;&gt;"Entrée",B2681&lt;&gt;"Sortie"),"Type inconnu",IF(ISNA(MATCH(C2681,art_ref,0)),"Référence inconnue",IF(OR(NOT(ISNUMBER(E2681)),N(E2681)&lt;=0),"Quantité invalide",IF(K2681&lt;0,"Stock négatif",IF(AND(ISNUMBER(A2680),A2681&lt;A2680),"Date hors ordre","OK"))))))))</f>
        <v/>
      </c>
      <c r="M2681" s="39" t="str">
        <f>IF(C2681="","",C2681&amp;"#"&amp;COUNTIF($C$5:C2681,C2681))</f>
        <v/>
      </c>
    </row>
    <row r="2682">
      <c r="A2682" s="41" t="n"/>
      <c r="B2682" s="37" t="n"/>
      <c r="C2682" s="37" t="n"/>
      <c r="D2682" s="39" t="str">
        <f>IF(C2682="","",IFERROR(INDEX(art_des,MATCH(C2682,art_ref,0))&amp;"","Référence inconnue"))</f>
        <v/>
      </c>
      <c r="E2682" s="37" t="n"/>
      <c r="F2682" s="39" t="str">
        <f>IF(C2682="","",IFERROR(INDEX(art_unit,MATCH(C2682,art_ref,0))&amp;"",""))</f>
        <v/>
      </c>
      <c r="G2682" s="37" t="n"/>
      <c r="H2682" s="37" t="n"/>
      <c r="I2682" s="37" t="n"/>
      <c r="J2682" s="40" t="str">
        <f>IF(OR(C2682="",NOT(ISNUMBER(E2682))),"",IFERROR(E2682*N(INDEX(art_price,MATCH(C2682,art_ref,0))),""))</f>
        <v/>
      </c>
      <c r="K2682" s="39" t="str">
        <f>IF(OR(C2682="",NOT(ISNUMBER(E2682))),"",IFERROR(ROUND(N(INDEX(art_init,MATCH(C2682,art_ref,0)))+SUMIFS($E$5:E2682,$C$5:C2682,C2682,$B$5:B2682,"Entrée")-SUMIFS($E$5:E2682,$C$5:C2682,C2682,$B$5:B2682,"Sortie"),6),""))</f>
        <v/>
      </c>
      <c r="L2682" s="39" t="str">
        <f>IF(COUNTA(A2682:C2682,E2682)=0,"",IF(COUNTA(A2682:C2682,E2682)&lt;4,"Ligne incomplète",IF(NOT(ISNUMBER(A2682)),"Date invalide",IF(AND(B2682&lt;&gt;"Entrée",B2682&lt;&gt;"Sortie"),"Type inconnu",IF(ISNA(MATCH(C2682,art_ref,0)),"Référence inconnue",IF(OR(NOT(ISNUMBER(E2682)),N(E2682)&lt;=0),"Quantité invalide",IF(K2682&lt;0,"Stock négatif",IF(AND(ISNUMBER(A2681),A2682&lt;A2681),"Date hors ordre","OK"))))))))</f>
        <v/>
      </c>
      <c r="M2682" s="39" t="str">
        <f>IF(C2682="","",C2682&amp;"#"&amp;COUNTIF($C$5:C2682,C2682))</f>
        <v/>
      </c>
    </row>
    <row r="2683">
      <c r="A2683" s="41" t="n"/>
      <c r="B2683" s="37" t="n"/>
      <c r="C2683" s="37" t="n"/>
      <c r="D2683" s="39" t="str">
        <f>IF(C2683="","",IFERROR(INDEX(art_des,MATCH(C2683,art_ref,0))&amp;"","Référence inconnue"))</f>
        <v/>
      </c>
      <c r="E2683" s="37" t="n"/>
      <c r="F2683" s="39" t="str">
        <f>IF(C2683="","",IFERROR(INDEX(art_unit,MATCH(C2683,art_ref,0))&amp;"",""))</f>
        <v/>
      </c>
      <c r="G2683" s="37" t="n"/>
      <c r="H2683" s="37" t="n"/>
      <c r="I2683" s="37" t="n"/>
      <c r="J2683" s="40" t="str">
        <f>IF(OR(C2683="",NOT(ISNUMBER(E2683))),"",IFERROR(E2683*N(INDEX(art_price,MATCH(C2683,art_ref,0))),""))</f>
        <v/>
      </c>
      <c r="K2683" s="39" t="str">
        <f>IF(OR(C2683="",NOT(ISNUMBER(E2683))),"",IFERROR(ROUND(N(INDEX(art_init,MATCH(C2683,art_ref,0)))+SUMIFS($E$5:E2683,$C$5:C2683,C2683,$B$5:B2683,"Entrée")-SUMIFS($E$5:E2683,$C$5:C2683,C2683,$B$5:B2683,"Sortie"),6),""))</f>
        <v/>
      </c>
      <c r="L2683" s="39" t="str">
        <f>IF(COUNTA(A2683:C2683,E2683)=0,"",IF(COUNTA(A2683:C2683,E2683)&lt;4,"Ligne incomplète",IF(NOT(ISNUMBER(A2683)),"Date invalide",IF(AND(B2683&lt;&gt;"Entrée",B2683&lt;&gt;"Sortie"),"Type inconnu",IF(ISNA(MATCH(C2683,art_ref,0)),"Référence inconnue",IF(OR(NOT(ISNUMBER(E2683)),N(E2683)&lt;=0),"Quantité invalide",IF(K2683&lt;0,"Stock négatif",IF(AND(ISNUMBER(A2682),A2683&lt;A2682),"Date hors ordre","OK"))))))))</f>
        <v/>
      </c>
      <c r="M2683" s="39" t="str">
        <f>IF(C2683="","",C2683&amp;"#"&amp;COUNTIF($C$5:C2683,C2683))</f>
        <v/>
      </c>
    </row>
    <row r="2684">
      <c r="A2684" s="41" t="n"/>
      <c r="B2684" s="37" t="n"/>
      <c r="C2684" s="37" t="n"/>
      <c r="D2684" s="39" t="str">
        <f>IF(C2684="","",IFERROR(INDEX(art_des,MATCH(C2684,art_ref,0))&amp;"","Référence inconnue"))</f>
        <v/>
      </c>
      <c r="E2684" s="37" t="n"/>
      <c r="F2684" s="39" t="str">
        <f>IF(C2684="","",IFERROR(INDEX(art_unit,MATCH(C2684,art_ref,0))&amp;"",""))</f>
        <v/>
      </c>
      <c r="G2684" s="37" t="n"/>
      <c r="H2684" s="37" t="n"/>
      <c r="I2684" s="37" t="n"/>
      <c r="J2684" s="40" t="str">
        <f>IF(OR(C2684="",NOT(ISNUMBER(E2684))),"",IFERROR(E2684*N(INDEX(art_price,MATCH(C2684,art_ref,0))),""))</f>
        <v/>
      </c>
      <c r="K2684" s="39" t="str">
        <f>IF(OR(C2684="",NOT(ISNUMBER(E2684))),"",IFERROR(ROUND(N(INDEX(art_init,MATCH(C2684,art_ref,0)))+SUMIFS($E$5:E2684,$C$5:C2684,C2684,$B$5:B2684,"Entrée")-SUMIFS($E$5:E2684,$C$5:C2684,C2684,$B$5:B2684,"Sortie"),6),""))</f>
        <v/>
      </c>
      <c r="L2684" s="39" t="str">
        <f>IF(COUNTA(A2684:C2684,E2684)=0,"",IF(COUNTA(A2684:C2684,E2684)&lt;4,"Ligne incomplète",IF(NOT(ISNUMBER(A2684)),"Date invalide",IF(AND(B2684&lt;&gt;"Entrée",B2684&lt;&gt;"Sortie"),"Type inconnu",IF(ISNA(MATCH(C2684,art_ref,0)),"Référence inconnue",IF(OR(NOT(ISNUMBER(E2684)),N(E2684)&lt;=0),"Quantité invalide",IF(K2684&lt;0,"Stock négatif",IF(AND(ISNUMBER(A2683),A2684&lt;A2683),"Date hors ordre","OK"))))))))</f>
        <v/>
      </c>
      <c r="M2684" s="39" t="str">
        <f>IF(C2684="","",C2684&amp;"#"&amp;COUNTIF($C$5:C2684,C2684))</f>
        <v/>
      </c>
    </row>
    <row r="2685">
      <c r="A2685" s="41" t="n"/>
      <c r="B2685" s="37" t="n"/>
      <c r="C2685" s="37" t="n"/>
      <c r="D2685" s="39" t="str">
        <f>IF(C2685="","",IFERROR(INDEX(art_des,MATCH(C2685,art_ref,0))&amp;"","Référence inconnue"))</f>
        <v/>
      </c>
      <c r="E2685" s="37" t="n"/>
      <c r="F2685" s="39" t="str">
        <f>IF(C2685="","",IFERROR(INDEX(art_unit,MATCH(C2685,art_ref,0))&amp;"",""))</f>
        <v/>
      </c>
      <c r="G2685" s="37" t="n"/>
      <c r="H2685" s="37" t="n"/>
      <c r="I2685" s="37" t="n"/>
      <c r="J2685" s="40" t="str">
        <f>IF(OR(C2685="",NOT(ISNUMBER(E2685))),"",IFERROR(E2685*N(INDEX(art_price,MATCH(C2685,art_ref,0))),""))</f>
        <v/>
      </c>
      <c r="K2685" s="39" t="str">
        <f>IF(OR(C2685="",NOT(ISNUMBER(E2685))),"",IFERROR(ROUND(N(INDEX(art_init,MATCH(C2685,art_ref,0)))+SUMIFS($E$5:E2685,$C$5:C2685,C2685,$B$5:B2685,"Entrée")-SUMIFS($E$5:E2685,$C$5:C2685,C2685,$B$5:B2685,"Sortie"),6),""))</f>
        <v/>
      </c>
      <c r="L2685" s="39" t="str">
        <f>IF(COUNTA(A2685:C2685,E2685)=0,"",IF(COUNTA(A2685:C2685,E2685)&lt;4,"Ligne incomplète",IF(NOT(ISNUMBER(A2685)),"Date invalide",IF(AND(B2685&lt;&gt;"Entrée",B2685&lt;&gt;"Sortie"),"Type inconnu",IF(ISNA(MATCH(C2685,art_ref,0)),"Référence inconnue",IF(OR(NOT(ISNUMBER(E2685)),N(E2685)&lt;=0),"Quantité invalide",IF(K2685&lt;0,"Stock négatif",IF(AND(ISNUMBER(A2684),A2685&lt;A2684),"Date hors ordre","OK"))))))))</f>
        <v/>
      </c>
      <c r="M2685" s="39" t="str">
        <f>IF(C2685="","",C2685&amp;"#"&amp;COUNTIF($C$5:C2685,C2685))</f>
        <v/>
      </c>
    </row>
    <row r="2686">
      <c r="A2686" s="41" t="n"/>
      <c r="B2686" s="37" t="n"/>
      <c r="C2686" s="37" t="n"/>
      <c r="D2686" s="39" t="str">
        <f>IF(C2686="","",IFERROR(INDEX(art_des,MATCH(C2686,art_ref,0))&amp;"","Référence inconnue"))</f>
        <v/>
      </c>
      <c r="E2686" s="37" t="n"/>
      <c r="F2686" s="39" t="str">
        <f>IF(C2686="","",IFERROR(INDEX(art_unit,MATCH(C2686,art_ref,0))&amp;"",""))</f>
        <v/>
      </c>
      <c r="G2686" s="37" t="n"/>
      <c r="H2686" s="37" t="n"/>
      <c r="I2686" s="37" t="n"/>
      <c r="J2686" s="40" t="str">
        <f>IF(OR(C2686="",NOT(ISNUMBER(E2686))),"",IFERROR(E2686*N(INDEX(art_price,MATCH(C2686,art_ref,0))),""))</f>
        <v/>
      </c>
      <c r="K2686" s="39" t="str">
        <f>IF(OR(C2686="",NOT(ISNUMBER(E2686))),"",IFERROR(ROUND(N(INDEX(art_init,MATCH(C2686,art_ref,0)))+SUMIFS($E$5:E2686,$C$5:C2686,C2686,$B$5:B2686,"Entrée")-SUMIFS($E$5:E2686,$C$5:C2686,C2686,$B$5:B2686,"Sortie"),6),""))</f>
        <v/>
      </c>
      <c r="L2686" s="39" t="str">
        <f>IF(COUNTA(A2686:C2686,E2686)=0,"",IF(COUNTA(A2686:C2686,E2686)&lt;4,"Ligne incomplète",IF(NOT(ISNUMBER(A2686)),"Date invalide",IF(AND(B2686&lt;&gt;"Entrée",B2686&lt;&gt;"Sortie"),"Type inconnu",IF(ISNA(MATCH(C2686,art_ref,0)),"Référence inconnue",IF(OR(NOT(ISNUMBER(E2686)),N(E2686)&lt;=0),"Quantité invalide",IF(K2686&lt;0,"Stock négatif",IF(AND(ISNUMBER(A2685),A2686&lt;A2685),"Date hors ordre","OK"))))))))</f>
        <v/>
      </c>
      <c r="M2686" s="39" t="str">
        <f>IF(C2686="","",C2686&amp;"#"&amp;COUNTIF($C$5:C2686,C2686))</f>
        <v/>
      </c>
    </row>
    <row r="2687">
      <c r="A2687" s="41" t="n"/>
      <c r="B2687" s="37" t="n"/>
      <c r="C2687" s="37" t="n"/>
      <c r="D2687" s="39" t="str">
        <f>IF(C2687="","",IFERROR(INDEX(art_des,MATCH(C2687,art_ref,0))&amp;"","Référence inconnue"))</f>
        <v/>
      </c>
      <c r="E2687" s="37" t="n"/>
      <c r="F2687" s="39" t="str">
        <f>IF(C2687="","",IFERROR(INDEX(art_unit,MATCH(C2687,art_ref,0))&amp;"",""))</f>
        <v/>
      </c>
      <c r="G2687" s="37" t="n"/>
      <c r="H2687" s="37" t="n"/>
      <c r="I2687" s="37" t="n"/>
      <c r="J2687" s="40" t="str">
        <f>IF(OR(C2687="",NOT(ISNUMBER(E2687))),"",IFERROR(E2687*N(INDEX(art_price,MATCH(C2687,art_ref,0))),""))</f>
        <v/>
      </c>
      <c r="K2687" s="39" t="str">
        <f>IF(OR(C2687="",NOT(ISNUMBER(E2687))),"",IFERROR(ROUND(N(INDEX(art_init,MATCH(C2687,art_ref,0)))+SUMIFS($E$5:E2687,$C$5:C2687,C2687,$B$5:B2687,"Entrée")-SUMIFS($E$5:E2687,$C$5:C2687,C2687,$B$5:B2687,"Sortie"),6),""))</f>
        <v/>
      </c>
      <c r="L2687" s="39" t="str">
        <f>IF(COUNTA(A2687:C2687,E2687)=0,"",IF(COUNTA(A2687:C2687,E2687)&lt;4,"Ligne incomplète",IF(NOT(ISNUMBER(A2687)),"Date invalide",IF(AND(B2687&lt;&gt;"Entrée",B2687&lt;&gt;"Sortie"),"Type inconnu",IF(ISNA(MATCH(C2687,art_ref,0)),"Référence inconnue",IF(OR(NOT(ISNUMBER(E2687)),N(E2687)&lt;=0),"Quantité invalide",IF(K2687&lt;0,"Stock négatif",IF(AND(ISNUMBER(A2686),A2687&lt;A2686),"Date hors ordre","OK"))))))))</f>
        <v/>
      </c>
      <c r="M2687" s="39" t="str">
        <f>IF(C2687="","",C2687&amp;"#"&amp;COUNTIF($C$5:C2687,C2687))</f>
        <v/>
      </c>
    </row>
    <row r="2688">
      <c r="A2688" s="41" t="n"/>
      <c r="B2688" s="37" t="n"/>
      <c r="C2688" s="37" t="n"/>
      <c r="D2688" s="39" t="str">
        <f>IF(C2688="","",IFERROR(INDEX(art_des,MATCH(C2688,art_ref,0))&amp;"","Référence inconnue"))</f>
        <v/>
      </c>
      <c r="E2688" s="37" t="n"/>
      <c r="F2688" s="39" t="str">
        <f>IF(C2688="","",IFERROR(INDEX(art_unit,MATCH(C2688,art_ref,0))&amp;"",""))</f>
        <v/>
      </c>
      <c r="G2688" s="37" t="n"/>
      <c r="H2688" s="37" t="n"/>
      <c r="I2688" s="37" t="n"/>
      <c r="J2688" s="40" t="str">
        <f>IF(OR(C2688="",NOT(ISNUMBER(E2688))),"",IFERROR(E2688*N(INDEX(art_price,MATCH(C2688,art_ref,0))),""))</f>
        <v/>
      </c>
      <c r="K2688" s="39" t="str">
        <f>IF(OR(C2688="",NOT(ISNUMBER(E2688))),"",IFERROR(ROUND(N(INDEX(art_init,MATCH(C2688,art_ref,0)))+SUMIFS($E$5:E2688,$C$5:C2688,C2688,$B$5:B2688,"Entrée")-SUMIFS($E$5:E2688,$C$5:C2688,C2688,$B$5:B2688,"Sortie"),6),""))</f>
        <v/>
      </c>
      <c r="L2688" s="39" t="str">
        <f>IF(COUNTA(A2688:C2688,E2688)=0,"",IF(COUNTA(A2688:C2688,E2688)&lt;4,"Ligne incomplète",IF(NOT(ISNUMBER(A2688)),"Date invalide",IF(AND(B2688&lt;&gt;"Entrée",B2688&lt;&gt;"Sortie"),"Type inconnu",IF(ISNA(MATCH(C2688,art_ref,0)),"Référence inconnue",IF(OR(NOT(ISNUMBER(E2688)),N(E2688)&lt;=0),"Quantité invalide",IF(K2688&lt;0,"Stock négatif",IF(AND(ISNUMBER(A2687),A2688&lt;A2687),"Date hors ordre","OK"))))))))</f>
        <v/>
      </c>
      <c r="M2688" s="39" t="str">
        <f>IF(C2688="","",C2688&amp;"#"&amp;COUNTIF($C$5:C2688,C2688))</f>
        <v/>
      </c>
    </row>
    <row r="2689">
      <c r="A2689" s="41" t="n"/>
      <c r="B2689" s="37" t="n"/>
      <c r="C2689" s="37" t="n"/>
      <c r="D2689" s="39" t="str">
        <f>IF(C2689="","",IFERROR(INDEX(art_des,MATCH(C2689,art_ref,0))&amp;"","Référence inconnue"))</f>
        <v/>
      </c>
      <c r="E2689" s="37" t="n"/>
      <c r="F2689" s="39" t="str">
        <f>IF(C2689="","",IFERROR(INDEX(art_unit,MATCH(C2689,art_ref,0))&amp;"",""))</f>
        <v/>
      </c>
      <c r="G2689" s="37" t="n"/>
      <c r="H2689" s="37" t="n"/>
      <c r="I2689" s="37" t="n"/>
      <c r="J2689" s="40" t="str">
        <f>IF(OR(C2689="",NOT(ISNUMBER(E2689))),"",IFERROR(E2689*N(INDEX(art_price,MATCH(C2689,art_ref,0))),""))</f>
        <v/>
      </c>
      <c r="K2689" s="39" t="str">
        <f>IF(OR(C2689="",NOT(ISNUMBER(E2689))),"",IFERROR(ROUND(N(INDEX(art_init,MATCH(C2689,art_ref,0)))+SUMIFS($E$5:E2689,$C$5:C2689,C2689,$B$5:B2689,"Entrée")-SUMIFS($E$5:E2689,$C$5:C2689,C2689,$B$5:B2689,"Sortie"),6),""))</f>
        <v/>
      </c>
      <c r="L2689" s="39" t="str">
        <f>IF(COUNTA(A2689:C2689,E2689)=0,"",IF(COUNTA(A2689:C2689,E2689)&lt;4,"Ligne incomplète",IF(NOT(ISNUMBER(A2689)),"Date invalide",IF(AND(B2689&lt;&gt;"Entrée",B2689&lt;&gt;"Sortie"),"Type inconnu",IF(ISNA(MATCH(C2689,art_ref,0)),"Référence inconnue",IF(OR(NOT(ISNUMBER(E2689)),N(E2689)&lt;=0),"Quantité invalide",IF(K2689&lt;0,"Stock négatif",IF(AND(ISNUMBER(A2688),A2689&lt;A2688),"Date hors ordre","OK"))))))))</f>
        <v/>
      </c>
      <c r="M2689" s="39" t="str">
        <f>IF(C2689="","",C2689&amp;"#"&amp;COUNTIF($C$5:C2689,C2689))</f>
        <v/>
      </c>
    </row>
    <row r="2690">
      <c r="A2690" s="41" t="n"/>
      <c r="B2690" s="37" t="n"/>
      <c r="C2690" s="37" t="n"/>
      <c r="D2690" s="39" t="str">
        <f>IF(C2690="","",IFERROR(INDEX(art_des,MATCH(C2690,art_ref,0))&amp;"","Référence inconnue"))</f>
        <v/>
      </c>
      <c r="E2690" s="37" t="n"/>
      <c r="F2690" s="39" t="str">
        <f>IF(C2690="","",IFERROR(INDEX(art_unit,MATCH(C2690,art_ref,0))&amp;"",""))</f>
        <v/>
      </c>
      <c r="G2690" s="37" t="n"/>
      <c r="H2690" s="37" t="n"/>
      <c r="I2690" s="37" t="n"/>
      <c r="J2690" s="40" t="str">
        <f>IF(OR(C2690="",NOT(ISNUMBER(E2690))),"",IFERROR(E2690*N(INDEX(art_price,MATCH(C2690,art_ref,0))),""))</f>
        <v/>
      </c>
      <c r="K2690" s="39" t="str">
        <f>IF(OR(C2690="",NOT(ISNUMBER(E2690))),"",IFERROR(ROUND(N(INDEX(art_init,MATCH(C2690,art_ref,0)))+SUMIFS($E$5:E2690,$C$5:C2690,C2690,$B$5:B2690,"Entrée")-SUMIFS($E$5:E2690,$C$5:C2690,C2690,$B$5:B2690,"Sortie"),6),""))</f>
        <v/>
      </c>
      <c r="L2690" s="39" t="str">
        <f>IF(COUNTA(A2690:C2690,E2690)=0,"",IF(COUNTA(A2690:C2690,E2690)&lt;4,"Ligne incomplète",IF(NOT(ISNUMBER(A2690)),"Date invalide",IF(AND(B2690&lt;&gt;"Entrée",B2690&lt;&gt;"Sortie"),"Type inconnu",IF(ISNA(MATCH(C2690,art_ref,0)),"Référence inconnue",IF(OR(NOT(ISNUMBER(E2690)),N(E2690)&lt;=0),"Quantité invalide",IF(K2690&lt;0,"Stock négatif",IF(AND(ISNUMBER(A2689),A2690&lt;A2689),"Date hors ordre","OK"))))))))</f>
        <v/>
      </c>
      <c r="M2690" s="39" t="str">
        <f>IF(C2690="","",C2690&amp;"#"&amp;COUNTIF($C$5:C2690,C2690))</f>
        <v/>
      </c>
    </row>
    <row r="2691">
      <c r="A2691" s="41" t="n"/>
      <c r="B2691" s="37" t="n"/>
      <c r="C2691" s="37" t="n"/>
      <c r="D2691" s="39" t="str">
        <f>IF(C2691="","",IFERROR(INDEX(art_des,MATCH(C2691,art_ref,0))&amp;"","Référence inconnue"))</f>
        <v/>
      </c>
      <c r="E2691" s="37" t="n"/>
      <c r="F2691" s="39" t="str">
        <f>IF(C2691="","",IFERROR(INDEX(art_unit,MATCH(C2691,art_ref,0))&amp;"",""))</f>
        <v/>
      </c>
      <c r="G2691" s="37" t="n"/>
      <c r="H2691" s="37" t="n"/>
      <c r="I2691" s="37" t="n"/>
      <c r="J2691" s="40" t="str">
        <f>IF(OR(C2691="",NOT(ISNUMBER(E2691))),"",IFERROR(E2691*N(INDEX(art_price,MATCH(C2691,art_ref,0))),""))</f>
        <v/>
      </c>
      <c r="K2691" s="39" t="str">
        <f>IF(OR(C2691="",NOT(ISNUMBER(E2691))),"",IFERROR(ROUND(N(INDEX(art_init,MATCH(C2691,art_ref,0)))+SUMIFS($E$5:E2691,$C$5:C2691,C2691,$B$5:B2691,"Entrée")-SUMIFS($E$5:E2691,$C$5:C2691,C2691,$B$5:B2691,"Sortie"),6),""))</f>
        <v/>
      </c>
      <c r="L2691" s="39" t="str">
        <f>IF(COUNTA(A2691:C2691,E2691)=0,"",IF(COUNTA(A2691:C2691,E2691)&lt;4,"Ligne incomplète",IF(NOT(ISNUMBER(A2691)),"Date invalide",IF(AND(B2691&lt;&gt;"Entrée",B2691&lt;&gt;"Sortie"),"Type inconnu",IF(ISNA(MATCH(C2691,art_ref,0)),"Référence inconnue",IF(OR(NOT(ISNUMBER(E2691)),N(E2691)&lt;=0),"Quantité invalide",IF(K2691&lt;0,"Stock négatif",IF(AND(ISNUMBER(A2690),A2691&lt;A2690),"Date hors ordre","OK"))))))))</f>
        <v/>
      </c>
      <c r="M2691" s="39" t="str">
        <f>IF(C2691="","",C2691&amp;"#"&amp;COUNTIF($C$5:C2691,C2691))</f>
        <v/>
      </c>
    </row>
    <row r="2692">
      <c r="A2692" s="41" t="n"/>
      <c r="B2692" s="37" t="n"/>
      <c r="C2692" s="37" t="n"/>
      <c r="D2692" s="39" t="str">
        <f>IF(C2692="","",IFERROR(INDEX(art_des,MATCH(C2692,art_ref,0))&amp;"","Référence inconnue"))</f>
        <v/>
      </c>
      <c r="E2692" s="37" t="n"/>
      <c r="F2692" s="39" t="str">
        <f>IF(C2692="","",IFERROR(INDEX(art_unit,MATCH(C2692,art_ref,0))&amp;"",""))</f>
        <v/>
      </c>
      <c r="G2692" s="37" t="n"/>
      <c r="H2692" s="37" t="n"/>
      <c r="I2692" s="37" t="n"/>
      <c r="J2692" s="40" t="str">
        <f>IF(OR(C2692="",NOT(ISNUMBER(E2692))),"",IFERROR(E2692*N(INDEX(art_price,MATCH(C2692,art_ref,0))),""))</f>
        <v/>
      </c>
      <c r="K2692" s="39" t="str">
        <f>IF(OR(C2692="",NOT(ISNUMBER(E2692))),"",IFERROR(ROUND(N(INDEX(art_init,MATCH(C2692,art_ref,0)))+SUMIFS($E$5:E2692,$C$5:C2692,C2692,$B$5:B2692,"Entrée")-SUMIFS($E$5:E2692,$C$5:C2692,C2692,$B$5:B2692,"Sortie"),6),""))</f>
        <v/>
      </c>
      <c r="L2692" s="39" t="str">
        <f>IF(COUNTA(A2692:C2692,E2692)=0,"",IF(COUNTA(A2692:C2692,E2692)&lt;4,"Ligne incomplète",IF(NOT(ISNUMBER(A2692)),"Date invalide",IF(AND(B2692&lt;&gt;"Entrée",B2692&lt;&gt;"Sortie"),"Type inconnu",IF(ISNA(MATCH(C2692,art_ref,0)),"Référence inconnue",IF(OR(NOT(ISNUMBER(E2692)),N(E2692)&lt;=0),"Quantité invalide",IF(K2692&lt;0,"Stock négatif",IF(AND(ISNUMBER(A2691),A2692&lt;A2691),"Date hors ordre","OK"))))))))</f>
        <v/>
      </c>
      <c r="M2692" s="39" t="str">
        <f>IF(C2692="","",C2692&amp;"#"&amp;COUNTIF($C$5:C2692,C2692))</f>
        <v/>
      </c>
    </row>
    <row r="2693">
      <c r="A2693" s="41" t="n"/>
      <c r="B2693" s="37" t="n"/>
      <c r="C2693" s="37" t="n"/>
      <c r="D2693" s="39" t="str">
        <f>IF(C2693="","",IFERROR(INDEX(art_des,MATCH(C2693,art_ref,0))&amp;"","Référence inconnue"))</f>
        <v/>
      </c>
      <c r="E2693" s="37" t="n"/>
      <c r="F2693" s="39" t="str">
        <f>IF(C2693="","",IFERROR(INDEX(art_unit,MATCH(C2693,art_ref,0))&amp;"",""))</f>
        <v/>
      </c>
      <c r="G2693" s="37" t="n"/>
      <c r="H2693" s="37" t="n"/>
      <c r="I2693" s="37" t="n"/>
      <c r="J2693" s="40" t="str">
        <f>IF(OR(C2693="",NOT(ISNUMBER(E2693))),"",IFERROR(E2693*N(INDEX(art_price,MATCH(C2693,art_ref,0))),""))</f>
        <v/>
      </c>
      <c r="K2693" s="39" t="str">
        <f>IF(OR(C2693="",NOT(ISNUMBER(E2693))),"",IFERROR(ROUND(N(INDEX(art_init,MATCH(C2693,art_ref,0)))+SUMIFS($E$5:E2693,$C$5:C2693,C2693,$B$5:B2693,"Entrée")-SUMIFS($E$5:E2693,$C$5:C2693,C2693,$B$5:B2693,"Sortie"),6),""))</f>
        <v/>
      </c>
      <c r="L2693" s="39" t="str">
        <f>IF(COUNTA(A2693:C2693,E2693)=0,"",IF(COUNTA(A2693:C2693,E2693)&lt;4,"Ligne incomplète",IF(NOT(ISNUMBER(A2693)),"Date invalide",IF(AND(B2693&lt;&gt;"Entrée",B2693&lt;&gt;"Sortie"),"Type inconnu",IF(ISNA(MATCH(C2693,art_ref,0)),"Référence inconnue",IF(OR(NOT(ISNUMBER(E2693)),N(E2693)&lt;=0),"Quantité invalide",IF(K2693&lt;0,"Stock négatif",IF(AND(ISNUMBER(A2692),A2693&lt;A2692),"Date hors ordre","OK"))))))))</f>
        <v/>
      </c>
      <c r="M2693" s="39" t="str">
        <f>IF(C2693="","",C2693&amp;"#"&amp;COUNTIF($C$5:C2693,C2693))</f>
        <v/>
      </c>
    </row>
    <row r="2694">
      <c r="A2694" s="41" t="n"/>
      <c r="B2694" s="37" t="n"/>
      <c r="C2694" s="37" t="n"/>
      <c r="D2694" s="39" t="str">
        <f>IF(C2694="","",IFERROR(INDEX(art_des,MATCH(C2694,art_ref,0))&amp;"","Référence inconnue"))</f>
        <v/>
      </c>
      <c r="E2694" s="37" t="n"/>
      <c r="F2694" s="39" t="str">
        <f>IF(C2694="","",IFERROR(INDEX(art_unit,MATCH(C2694,art_ref,0))&amp;"",""))</f>
        <v/>
      </c>
      <c r="G2694" s="37" t="n"/>
      <c r="H2694" s="37" t="n"/>
      <c r="I2694" s="37" t="n"/>
      <c r="J2694" s="40" t="str">
        <f>IF(OR(C2694="",NOT(ISNUMBER(E2694))),"",IFERROR(E2694*N(INDEX(art_price,MATCH(C2694,art_ref,0))),""))</f>
        <v/>
      </c>
      <c r="K2694" s="39" t="str">
        <f>IF(OR(C2694="",NOT(ISNUMBER(E2694))),"",IFERROR(ROUND(N(INDEX(art_init,MATCH(C2694,art_ref,0)))+SUMIFS($E$5:E2694,$C$5:C2694,C2694,$B$5:B2694,"Entrée")-SUMIFS($E$5:E2694,$C$5:C2694,C2694,$B$5:B2694,"Sortie"),6),""))</f>
        <v/>
      </c>
      <c r="L2694" s="39" t="str">
        <f>IF(COUNTA(A2694:C2694,E2694)=0,"",IF(COUNTA(A2694:C2694,E2694)&lt;4,"Ligne incomplète",IF(NOT(ISNUMBER(A2694)),"Date invalide",IF(AND(B2694&lt;&gt;"Entrée",B2694&lt;&gt;"Sortie"),"Type inconnu",IF(ISNA(MATCH(C2694,art_ref,0)),"Référence inconnue",IF(OR(NOT(ISNUMBER(E2694)),N(E2694)&lt;=0),"Quantité invalide",IF(K2694&lt;0,"Stock négatif",IF(AND(ISNUMBER(A2693),A2694&lt;A2693),"Date hors ordre","OK"))))))))</f>
        <v/>
      </c>
      <c r="M2694" s="39" t="str">
        <f>IF(C2694="","",C2694&amp;"#"&amp;COUNTIF($C$5:C2694,C2694))</f>
        <v/>
      </c>
    </row>
    <row r="2695">
      <c r="A2695" s="41" t="n"/>
      <c r="B2695" s="37" t="n"/>
      <c r="C2695" s="37" t="n"/>
      <c r="D2695" s="39" t="str">
        <f>IF(C2695="","",IFERROR(INDEX(art_des,MATCH(C2695,art_ref,0))&amp;"","Référence inconnue"))</f>
        <v/>
      </c>
      <c r="E2695" s="37" t="n"/>
      <c r="F2695" s="39" t="str">
        <f>IF(C2695="","",IFERROR(INDEX(art_unit,MATCH(C2695,art_ref,0))&amp;"",""))</f>
        <v/>
      </c>
      <c r="G2695" s="37" t="n"/>
      <c r="H2695" s="37" t="n"/>
      <c r="I2695" s="37" t="n"/>
      <c r="J2695" s="40" t="str">
        <f>IF(OR(C2695="",NOT(ISNUMBER(E2695))),"",IFERROR(E2695*N(INDEX(art_price,MATCH(C2695,art_ref,0))),""))</f>
        <v/>
      </c>
      <c r="K2695" s="39" t="str">
        <f>IF(OR(C2695="",NOT(ISNUMBER(E2695))),"",IFERROR(ROUND(N(INDEX(art_init,MATCH(C2695,art_ref,0)))+SUMIFS($E$5:E2695,$C$5:C2695,C2695,$B$5:B2695,"Entrée")-SUMIFS($E$5:E2695,$C$5:C2695,C2695,$B$5:B2695,"Sortie"),6),""))</f>
        <v/>
      </c>
      <c r="L2695" s="39" t="str">
        <f>IF(COUNTA(A2695:C2695,E2695)=0,"",IF(COUNTA(A2695:C2695,E2695)&lt;4,"Ligne incomplète",IF(NOT(ISNUMBER(A2695)),"Date invalide",IF(AND(B2695&lt;&gt;"Entrée",B2695&lt;&gt;"Sortie"),"Type inconnu",IF(ISNA(MATCH(C2695,art_ref,0)),"Référence inconnue",IF(OR(NOT(ISNUMBER(E2695)),N(E2695)&lt;=0),"Quantité invalide",IF(K2695&lt;0,"Stock négatif",IF(AND(ISNUMBER(A2694),A2695&lt;A2694),"Date hors ordre","OK"))))))))</f>
        <v/>
      </c>
      <c r="M2695" s="39" t="str">
        <f>IF(C2695="","",C2695&amp;"#"&amp;COUNTIF($C$5:C2695,C2695))</f>
        <v/>
      </c>
    </row>
    <row r="2696">
      <c r="A2696" s="41" t="n"/>
      <c r="B2696" s="37" t="n"/>
      <c r="C2696" s="37" t="n"/>
      <c r="D2696" s="39" t="str">
        <f>IF(C2696="","",IFERROR(INDEX(art_des,MATCH(C2696,art_ref,0))&amp;"","Référence inconnue"))</f>
        <v/>
      </c>
      <c r="E2696" s="37" t="n"/>
      <c r="F2696" s="39" t="str">
        <f>IF(C2696="","",IFERROR(INDEX(art_unit,MATCH(C2696,art_ref,0))&amp;"",""))</f>
        <v/>
      </c>
      <c r="G2696" s="37" t="n"/>
      <c r="H2696" s="37" t="n"/>
      <c r="I2696" s="37" t="n"/>
      <c r="J2696" s="40" t="str">
        <f>IF(OR(C2696="",NOT(ISNUMBER(E2696))),"",IFERROR(E2696*N(INDEX(art_price,MATCH(C2696,art_ref,0))),""))</f>
        <v/>
      </c>
      <c r="K2696" s="39" t="str">
        <f>IF(OR(C2696="",NOT(ISNUMBER(E2696))),"",IFERROR(ROUND(N(INDEX(art_init,MATCH(C2696,art_ref,0)))+SUMIFS($E$5:E2696,$C$5:C2696,C2696,$B$5:B2696,"Entrée")-SUMIFS($E$5:E2696,$C$5:C2696,C2696,$B$5:B2696,"Sortie"),6),""))</f>
        <v/>
      </c>
      <c r="L2696" s="39" t="str">
        <f>IF(COUNTA(A2696:C2696,E2696)=0,"",IF(COUNTA(A2696:C2696,E2696)&lt;4,"Ligne incomplète",IF(NOT(ISNUMBER(A2696)),"Date invalide",IF(AND(B2696&lt;&gt;"Entrée",B2696&lt;&gt;"Sortie"),"Type inconnu",IF(ISNA(MATCH(C2696,art_ref,0)),"Référence inconnue",IF(OR(NOT(ISNUMBER(E2696)),N(E2696)&lt;=0),"Quantité invalide",IF(K2696&lt;0,"Stock négatif",IF(AND(ISNUMBER(A2695),A2696&lt;A2695),"Date hors ordre","OK"))))))))</f>
        <v/>
      </c>
      <c r="M2696" s="39" t="str">
        <f>IF(C2696="","",C2696&amp;"#"&amp;COUNTIF($C$5:C2696,C2696))</f>
        <v/>
      </c>
    </row>
    <row r="2697">
      <c r="A2697" s="41" t="n"/>
      <c r="B2697" s="37" t="n"/>
      <c r="C2697" s="37" t="n"/>
      <c r="D2697" s="39" t="str">
        <f>IF(C2697="","",IFERROR(INDEX(art_des,MATCH(C2697,art_ref,0))&amp;"","Référence inconnue"))</f>
        <v/>
      </c>
      <c r="E2697" s="37" t="n"/>
      <c r="F2697" s="39" t="str">
        <f>IF(C2697="","",IFERROR(INDEX(art_unit,MATCH(C2697,art_ref,0))&amp;"",""))</f>
        <v/>
      </c>
      <c r="G2697" s="37" t="n"/>
      <c r="H2697" s="37" t="n"/>
      <c r="I2697" s="37" t="n"/>
      <c r="J2697" s="40" t="str">
        <f>IF(OR(C2697="",NOT(ISNUMBER(E2697))),"",IFERROR(E2697*N(INDEX(art_price,MATCH(C2697,art_ref,0))),""))</f>
        <v/>
      </c>
      <c r="K2697" s="39" t="str">
        <f>IF(OR(C2697="",NOT(ISNUMBER(E2697))),"",IFERROR(ROUND(N(INDEX(art_init,MATCH(C2697,art_ref,0)))+SUMIFS($E$5:E2697,$C$5:C2697,C2697,$B$5:B2697,"Entrée")-SUMIFS($E$5:E2697,$C$5:C2697,C2697,$B$5:B2697,"Sortie"),6),""))</f>
        <v/>
      </c>
      <c r="L2697" s="39" t="str">
        <f>IF(COUNTA(A2697:C2697,E2697)=0,"",IF(COUNTA(A2697:C2697,E2697)&lt;4,"Ligne incomplète",IF(NOT(ISNUMBER(A2697)),"Date invalide",IF(AND(B2697&lt;&gt;"Entrée",B2697&lt;&gt;"Sortie"),"Type inconnu",IF(ISNA(MATCH(C2697,art_ref,0)),"Référence inconnue",IF(OR(NOT(ISNUMBER(E2697)),N(E2697)&lt;=0),"Quantité invalide",IF(K2697&lt;0,"Stock négatif",IF(AND(ISNUMBER(A2696),A2697&lt;A2696),"Date hors ordre","OK"))))))))</f>
        <v/>
      </c>
      <c r="M2697" s="39" t="str">
        <f>IF(C2697="","",C2697&amp;"#"&amp;COUNTIF($C$5:C2697,C2697))</f>
        <v/>
      </c>
    </row>
    <row r="2698">
      <c r="A2698" s="41" t="n"/>
      <c r="B2698" s="37" t="n"/>
      <c r="C2698" s="37" t="n"/>
      <c r="D2698" s="39" t="str">
        <f>IF(C2698="","",IFERROR(INDEX(art_des,MATCH(C2698,art_ref,0))&amp;"","Référence inconnue"))</f>
        <v/>
      </c>
      <c r="E2698" s="37" t="n"/>
      <c r="F2698" s="39" t="str">
        <f>IF(C2698="","",IFERROR(INDEX(art_unit,MATCH(C2698,art_ref,0))&amp;"",""))</f>
        <v/>
      </c>
      <c r="G2698" s="37" t="n"/>
      <c r="H2698" s="37" t="n"/>
      <c r="I2698" s="37" t="n"/>
      <c r="J2698" s="40" t="str">
        <f>IF(OR(C2698="",NOT(ISNUMBER(E2698))),"",IFERROR(E2698*N(INDEX(art_price,MATCH(C2698,art_ref,0))),""))</f>
        <v/>
      </c>
      <c r="K2698" s="39" t="str">
        <f>IF(OR(C2698="",NOT(ISNUMBER(E2698))),"",IFERROR(ROUND(N(INDEX(art_init,MATCH(C2698,art_ref,0)))+SUMIFS($E$5:E2698,$C$5:C2698,C2698,$B$5:B2698,"Entrée")-SUMIFS($E$5:E2698,$C$5:C2698,C2698,$B$5:B2698,"Sortie"),6),""))</f>
        <v/>
      </c>
      <c r="L2698" s="39" t="str">
        <f>IF(COUNTA(A2698:C2698,E2698)=0,"",IF(COUNTA(A2698:C2698,E2698)&lt;4,"Ligne incomplète",IF(NOT(ISNUMBER(A2698)),"Date invalide",IF(AND(B2698&lt;&gt;"Entrée",B2698&lt;&gt;"Sortie"),"Type inconnu",IF(ISNA(MATCH(C2698,art_ref,0)),"Référence inconnue",IF(OR(NOT(ISNUMBER(E2698)),N(E2698)&lt;=0),"Quantité invalide",IF(K2698&lt;0,"Stock négatif",IF(AND(ISNUMBER(A2697),A2698&lt;A2697),"Date hors ordre","OK"))))))))</f>
        <v/>
      </c>
      <c r="M2698" s="39" t="str">
        <f>IF(C2698="","",C2698&amp;"#"&amp;COUNTIF($C$5:C2698,C2698))</f>
        <v/>
      </c>
    </row>
    <row r="2699">
      <c r="A2699" s="41" t="n"/>
      <c r="B2699" s="37" t="n"/>
      <c r="C2699" s="37" t="n"/>
      <c r="D2699" s="39" t="str">
        <f>IF(C2699="","",IFERROR(INDEX(art_des,MATCH(C2699,art_ref,0))&amp;"","Référence inconnue"))</f>
        <v/>
      </c>
      <c r="E2699" s="37" t="n"/>
      <c r="F2699" s="39" t="str">
        <f>IF(C2699="","",IFERROR(INDEX(art_unit,MATCH(C2699,art_ref,0))&amp;"",""))</f>
        <v/>
      </c>
      <c r="G2699" s="37" t="n"/>
      <c r="H2699" s="37" t="n"/>
      <c r="I2699" s="37" t="n"/>
      <c r="J2699" s="40" t="str">
        <f>IF(OR(C2699="",NOT(ISNUMBER(E2699))),"",IFERROR(E2699*N(INDEX(art_price,MATCH(C2699,art_ref,0))),""))</f>
        <v/>
      </c>
      <c r="K2699" s="39" t="str">
        <f>IF(OR(C2699="",NOT(ISNUMBER(E2699))),"",IFERROR(ROUND(N(INDEX(art_init,MATCH(C2699,art_ref,0)))+SUMIFS($E$5:E2699,$C$5:C2699,C2699,$B$5:B2699,"Entrée")-SUMIFS($E$5:E2699,$C$5:C2699,C2699,$B$5:B2699,"Sortie"),6),""))</f>
        <v/>
      </c>
      <c r="L2699" s="39" t="str">
        <f>IF(COUNTA(A2699:C2699,E2699)=0,"",IF(COUNTA(A2699:C2699,E2699)&lt;4,"Ligne incomplète",IF(NOT(ISNUMBER(A2699)),"Date invalide",IF(AND(B2699&lt;&gt;"Entrée",B2699&lt;&gt;"Sortie"),"Type inconnu",IF(ISNA(MATCH(C2699,art_ref,0)),"Référence inconnue",IF(OR(NOT(ISNUMBER(E2699)),N(E2699)&lt;=0),"Quantité invalide",IF(K2699&lt;0,"Stock négatif",IF(AND(ISNUMBER(A2698),A2699&lt;A2698),"Date hors ordre","OK"))))))))</f>
        <v/>
      </c>
      <c r="M2699" s="39" t="str">
        <f>IF(C2699="","",C2699&amp;"#"&amp;COUNTIF($C$5:C2699,C2699))</f>
        <v/>
      </c>
    </row>
    <row r="2700">
      <c r="A2700" s="41" t="n"/>
      <c r="B2700" s="37" t="n"/>
      <c r="C2700" s="37" t="n"/>
      <c r="D2700" s="39" t="str">
        <f>IF(C2700="","",IFERROR(INDEX(art_des,MATCH(C2700,art_ref,0))&amp;"","Référence inconnue"))</f>
        <v/>
      </c>
      <c r="E2700" s="37" t="n"/>
      <c r="F2700" s="39" t="str">
        <f>IF(C2700="","",IFERROR(INDEX(art_unit,MATCH(C2700,art_ref,0))&amp;"",""))</f>
        <v/>
      </c>
      <c r="G2700" s="37" t="n"/>
      <c r="H2700" s="37" t="n"/>
      <c r="I2700" s="37" t="n"/>
      <c r="J2700" s="40" t="str">
        <f>IF(OR(C2700="",NOT(ISNUMBER(E2700))),"",IFERROR(E2700*N(INDEX(art_price,MATCH(C2700,art_ref,0))),""))</f>
        <v/>
      </c>
      <c r="K2700" s="39" t="str">
        <f>IF(OR(C2700="",NOT(ISNUMBER(E2700))),"",IFERROR(ROUND(N(INDEX(art_init,MATCH(C2700,art_ref,0)))+SUMIFS($E$5:E2700,$C$5:C2700,C2700,$B$5:B2700,"Entrée")-SUMIFS($E$5:E2700,$C$5:C2700,C2700,$B$5:B2700,"Sortie"),6),""))</f>
        <v/>
      </c>
      <c r="L2700" s="39" t="str">
        <f>IF(COUNTA(A2700:C2700,E2700)=0,"",IF(COUNTA(A2700:C2700,E2700)&lt;4,"Ligne incomplète",IF(NOT(ISNUMBER(A2700)),"Date invalide",IF(AND(B2700&lt;&gt;"Entrée",B2700&lt;&gt;"Sortie"),"Type inconnu",IF(ISNA(MATCH(C2700,art_ref,0)),"Référence inconnue",IF(OR(NOT(ISNUMBER(E2700)),N(E2700)&lt;=0),"Quantité invalide",IF(K2700&lt;0,"Stock négatif",IF(AND(ISNUMBER(A2699),A2700&lt;A2699),"Date hors ordre","OK"))))))))</f>
        <v/>
      </c>
      <c r="M2700" s="39" t="str">
        <f>IF(C2700="","",C2700&amp;"#"&amp;COUNTIF($C$5:C2700,C2700))</f>
        <v/>
      </c>
    </row>
    <row r="2701">
      <c r="A2701" s="41" t="n"/>
      <c r="B2701" s="37" t="n"/>
      <c r="C2701" s="37" t="n"/>
      <c r="D2701" s="39" t="str">
        <f>IF(C2701="","",IFERROR(INDEX(art_des,MATCH(C2701,art_ref,0))&amp;"","Référence inconnue"))</f>
        <v/>
      </c>
      <c r="E2701" s="37" t="n"/>
      <c r="F2701" s="39" t="str">
        <f>IF(C2701="","",IFERROR(INDEX(art_unit,MATCH(C2701,art_ref,0))&amp;"",""))</f>
        <v/>
      </c>
      <c r="G2701" s="37" t="n"/>
      <c r="H2701" s="37" t="n"/>
      <c r="I2701" s="37" t="n"/>
      <c r="J2701" s="40" t="str">
        <f>IF(OR(C2701="",NOT(ISNUMBER(E2701))),"",IFERROR(E2701*N(INDEX(art_price,MATCH(C2701,art_ref,0))),""))</f>
        <v/>
      </c>
      <c r="K2701" s="39" t="str">
        <f>IF(OR(C2701="",NOT(ISNUMBER(E2701))),"",IFERROR(ROUND(N(INDEX(art_init,MATCH(C2701,art_ref,0)))+SUMIFS($E$5:E2701,$C$5:C2701,C2701,$B$5:B2701,"Entrée")-SUMIFS($E$5:E2701,$C$5:C2701,C2701,$B$5:B2701,"Sortie"),6),""))</f>
        <v/>
      </c>
      <c r="L2701" s="39" t="str">
        <f>IF(COUNTA(A2701:C2701,E2701)=0,"",IF(COUNTA(A2701:C2701,E2701)&lt;4,"Ligne incomplète",IF(NOT(ISNUMBER(A2701)),"Date invalide",IF(AND(B2701&lt;&gt;"Entrée",B2701&lt;&gt;"Sortie"),"Type inconnu",IF(ISNA(MATCH(C2701,art_ref,0)),"Référence inconnue",IF(OR(NOT(ISNUMBER(E2701)),N(E2701)&lt;=0),"Quantité invalide",IF(K2701&lt;0,"Stock négatif",IF(AND(ISNUMBER(A2700),A2701&lt;A2700),"Date hors ordre","OK"))))))))</f>
        <v/>
      </c>
      <c r="M2701" s="39" t="str">
        <f>IF(C2701="","",C2701&amp;"#"&amp;COUNTIF($C$5:C2701,C2701))</f>
        <v/>
      </c>
    </row>
    <row r="2702">
      <c r="A2702" s="41" t="n"/>
      <c r="B2702" s="37" t="n"/>
      <c r="C2702" s="37" t="n"/>
      <c r="D2702" s="39" t="str">
        <f>IF(C2702="","",IFERROR(INDEX(art_des,MATCH(C2702,art_ref,0))&amp;"","Référence inconnue"))</f>
        <v/>
      </c>
      <c r="E2702" s="37" t="n"/>
      <c r="F2702" s="39" t="str">
        <f>IF(C2702="","",IFERROR(INDEX(art_unit,MATCH(C2702,art_ref,0))&amp;"",""))</f>
        <v/>
      </c>
      <c r="G2702" s="37" t="n"/>
      <c r="H2702" s="37" t="n"/>
      <c r="I2702" s="37" t="n"/>
      <c r="J2702" s="40" t="str">
        <f>IF(OR(C2702="",NOT(ISNUMBER(E2702))),"",IFERROR(E2702*N(INDEX(art_price,MATCH(C2702,art_ref,0))),""))</f>
        <v/>
      </c>
      <c r="K2702" s="39" t="str">
        <f>IF(OR(C2702="",NOT(ISNUMBER(E2702))),"",IFERROR(ROUND(N(INDEX(art_init,MATCH(C2702,art_ref,0)))+SUMIFS($E$5:E2702,$C$5:C2702,C2702,$B$5:B2702,"Entrée")-SUMIFS($E$5:E2702,$C$5:C2702,C2702,$B$5:B2702,"Sortie"),6),""))</f>
        <v/>
      </c>
      <c r="L2702" s="39" t="str">
        <f>IF(COUNTA(A2702:C2702,E2702)=0,"",IF(COUNTA(A2702:C2702,E2702)&lt;4,"Ligne incomplète",IF(NOT(ISNUMBER(A2702)),"Date invalide",IF(AND(B2702&lt;&gt;"Entrée",B2702&lt;&gt;"Sortie"),"Type inconnu",IF(ISNA(MATCH(C2702,art_ref,0)),"Référence inconnue",IF(OR(NOT(ISNUMBER(E2702)),N(E2702)&lt;=0),"Quantité invalide",IF(K2702&lt;0,"Stock négatif",IF(AND(ISNUMBER(A2701),A2702&lt;A2701),"Date hors ordre","OK"))))))))</f>
        <v/>
      </c>
      <c r="M2702" s="39" t="str">
        <f>IF(C2702="","",C2702&amp;"#"&amp;COUNTIF($C$5:C2702,C2702))</f>
        <v/>
      </c>
    </row>
    <row r="2703">
      <c r="A2703" s="41" t="n"/>
      <c r="B2703" s="37" t="n"/>
      <c r="C2703" s="37" t="n"/>
      <c r="D2703" s="39" t="str">
        <f>IF(C2703="","",IFERROR(INDEX(art_des,MATCH(C2703,art_ref,0))&amp;"","Référence inconnue"))</f>
        <v/>
      </c>
      <c r="E2703" s="37" t="n"/>
      <c r="F2703" s="39" t="str">
        <f>IF(C2703="","",IFERROR(INDEX(art_unit,MATCH(C2703,art_ref,0))&amp;"",""))</f>
        <v/>
      </c>
      <c r="G2703" s="37" t="n"/>
      <c r="H2703" s="37" t="n"/>
      <c r="I2703" s="37" t="n"/>
      <c r="J2703" s="40" t="str">
        <f>IF(OR(C2703="",NOT(ISNUMBER(E2703))),"",IFERROR(E2703*N(INDEX(art_price,MATCH(C2703,art_ref,0))),""))</f>
        <v/>
      </c>
      <c r="K2703" s="39" t="str">
        <f>IF(OR(C2703="",NOT(ISNUMBER(E2703))),"",IFERROR(ROUND(N(INDEX(art_init,MATCH(C2703,art_ref,0)))+SUMIFS($E$5:E2703,$C$5:C2703,C2703,$B$5:B2703,"Entrée")-SUMIFS($E$5:E2703,$C$5:C2703,C2703,$B$5:B2703,"Sortie"),6),""))</f>
        <v/>
      </c>
      <c r="L2703" s="39" t="str">
        <f>IF(COUNTA(A2703:C2703,E2703)=0,"",IF(COUNTA(A2703:C2703,E2703)&lt;4,"Ligne incomplète",IF(NOT(ISNUMBER(A2703)),"Date invalide",IF(AND(B2703&lt;&gt;"Entrée",B2703&lt;&gt;"Sortie"),"Type inconnu",IF(ISNA(MATCH(C2703,art_ref,0)),"Référence inconnue",IF(OR(NOT(ISNUMBER(E2703)),N(E2703)&lt;=0),"Quantité invalide",IF(K2703&lt;0,"Stock négatif",IF(AND(ISNUMBER(A2702),A2703&lt;A2702),"Date hors ordre","OK"))))))))</f>
        <v/>
      </c>
      <c r="M2703" s="39" t="str">
        <f>IF(C2703="","",C2703&amp;"#"&amp;COUNTIF($C$5:C2703,C2703))</f>
        <v/>
      </c>
    </row>
    <row r="2704">
      <c r="A2704" s="41" t="n"/>
      <c r="B2704" s="37" t="n"/>
      <c r="C2704" s="37" t="n"/>
      <c r="D2704" s="39" t="str">
        <f>IF(C2704="","",IFERROR(INDEX(art_des,MATCH(C2704,art_ref,0))&amp;"","Référence inconnue"))</f>
        <v/>
      </c>
      <c r="E2704" s="37" t="n"/>
      <c r="F2704" s="39" t="str">
        <f>IF(C2704="","",IFERROR(INDEX(art_unit,MATCH(C2704,art_ref,0))&amp;"",""))</f>
        <v/>
      </c>
      <c r="G2704" s="37" t="n"/>
      <c r="H2704" s="37" t="n"/>
      <c r="I2704" s="37" t="n"/>
      <c r="J2704" s="40" t="str">
        <f>IF(OR(C2704="",NOT(ISNUMBER(E2704))),"",IFERROR(E2704*N(INDEX(art_price,MATCH(C2704,art_ref,0))),""))</f>
        <v/>
      </c>
      <c r="K2704" s="39" t="str">
        <f>IF(OR(C2704="",NOT(ISNUMBER(E2704))),"",IFERROR(ROUND(N(INDEX(art_init,MATCH(C2704,art_ref,0)))+SUMIFS($E$5:E2704,$C$5:C2704,C2704,$B$5:B2704,"Entrée")-SUMIFS($E$5:E2704,$C$5:C2704,C2704,$B$5:B2704,"Sortie"),6),""))</f>
        <v/>
      </c>
      <c r="L2704" s="39" t="str">
        <f>IF(COUNTA(A2704:C2704,E2704)=0,"",IF(COUNTA(A2704:C2704,E2704)&lt;4,"Ligne incomplète",IF(NOT(ISNUMBER(A2704)),"Date invalide",IF(AND(B2704&lt;&gt;"Entrée",B2704&lt;&gt;"Sortie"),"Type inconnu",IF(ISNA(MATCH(C2704,art_ref,0)),"Référence inconnue",IF(OR(NOT(ISNUMBER(E2704)),N(E2704)&lt;=0),"Quantité invalide",IF(K2704&lt;0,"Stock négatif",IF(AND(ISNUMBER(A2703),A2704&lt;A2703),"Date hors ordre","OK"))))))))</f>
        <v/>
      </c>
      <c r="M2704" s="39" t="str">
        <f>IF(C2704="","",C2704&amp;"#"&amp;COUNTIF($C$5:C2704,C2704))</f>
        <v/>
      </c>
    </row>
    <row r="2705">
      <c r="A2705" s="41" t="n"/>
      <c r="B2705" s="37" t="n"/>
      <c r="C2705" s="37" t="n"/>
      <c r="D2705" s="39" t="str">
        <f>IF(C2705="","",IFERROR(INDEX(art_des,MATCH(C2705,art_ref,0))&amp;"","Référence inconnue"))</f>
        <v/>
      </c>
      <c r="E2705" s="37" t="n"/>
      <c r="F2705" s="39" t="str">
        <f>IF(C2705="","",IFERROR(INDEX(art_unit,MATCH(C2705,art_ref,0))&amp;"",""))</f>
        <v/>
      </c>
      <c r="G2705" s="37" t="n"/>
      <c r="H2705" s="37" t="n"/>
      <c r="I2705" s="37" t="n"/>
      <c r="J2705" s="40" t="str">
        <f>IF(OR(C2705="",NOT(ISNUMBER(E2705))),"",IFERROR(E2705*N(INDEX(art_price,MATCH(C2705,art_ref,0))),""))</f>
        <v/>
      </c>
      <c r="K2705" s="39" t="str">
        <f>IF(OR(C2705="",NOT(ISNUMBER(E2705))),"",IFERROR(ROUND(N(INDEX(art_init,MATCH(C2705,art_ref,0)))+SUMIFS($E$5:E2705,$C$5:C2705,C2705,$B$5:B2705,"Entrée")-SUMIFS($E$5:E2705,$C$5:C2705,C2705,$B$5:B2705,"Sortie"),6),""))</f>
        <v/>
      </c>
      <c r="L2705" s="39" t="str">
        <f>IF(COUNTA(A2705:C2705,E2705)=0,"",IF(COUNTA(A2705:C2705,E2705)&lt;4,"Ligne incomplète",IF(NOT(ISNUMBER(A2705)),"Date invalide",IF(AND(B2705&lt;&gt;"Entrée",B2705&lt;&gt;"Sortie"),"Type inconnu",IF(ISNA(MATCH(C2705,art_ref,0)),"Référence inconnue",IF(OR(NOT(ISNUMBER(E2705)),N(E2705)&lt;=0),"Quantité invalide",IF(K2705&lt;0,"Stock négatif",IF(AND(ISNUMBER(A2704),A2705&lt;A2704),"Date hors ordre","OK"))))))))</f>
        <v/>
      </c>
      <c r="M2705" s="39" t="str">
        <f>IF(C2705="","",C2705&amp;"#"&amp;COUNTIF($C$5:C2705,C2705))</f>
        <v/>
      </c>
    </row>
    <row r="2706">
      <c r="A2706" s="41" t="n"/>
      <c r="B2706" s="37" t="n"/>
      <c r="C2706" s="37" t="n"/>
      <c r="D2706" s="39" t="str">
        <f>IF(C2706="","",IFERROR(INDEX(art_des,MATCH(C2706,art_ref,0))&amp;"","Référence inconnue"))</f>
        <v/>
      </c>
      <c r="E2706" s="37" t="n"/>
      <c r="F2706" s="39" t="str">
        <f>IF(C2706="","",IFERROR(INDEX(art_unit,MATCH(C2706,art_ref,0))&amp;"",""))</f>
        <v/>
      </c>
      <c r="G2706" s="37" t="n"/>
      <c r="H2706" s="37" t="n"/>
      <c r="I2706" s="37" t="n"/>
      <c r="J2706" s="40" t="str">
        <f>IF(OR(C2706="",NOT(ISNUMBER(E2706))),"",IFERROR(E2706*N(INDEX(art_price,MATCH(C2706,art_ref,0))),""))</f>
        <v/>
      </c>
      <c r="K2706" s="39" t="str">
        <f>IF(OR(C2706="",NOT(ISNUMBER(E2706))),"",IFERROR(ROUND(N(INDEX(art_init,MATCH(C2706,art_ref,0)))+SUMIFS($E$5:E2706,$C$5:C2706,C2706,$B$5:B2706,"Entrée")-SUMIFS($E$5:E2706,$C$5:C2706,C2706,$B$5:B2706,"Sortie"),6),""))</f>
        <v/>
      </c>
      <c r="L2706" s="39" t="str">
        <f>IF(COUNTA(A2706:C2706,E2706)=0,"",IF(COUNTA(A2706:C2706,E2706)&lt;4,"Ligne incomplète",IF(NOT(ISNUMBER(A2706)),"Date invalide",IF(AND(B2706&lt;&gt;"Entrée",B2706&lt;&gt;"Sortie"),"Type inconnu",IF(ISNA(MATCH(C2706,art_ref,0)),"Référence inconnue",IF(OR(NOT(ISNUMBER(E2706)),N(E2706)&lt;=0),"Quantité invalide",IF(K2706&lt;0,"Stock négatif",IF(AND(ISNUMBER(A2705),A2706&lt;A2705),"Date hors ordre","OK"))))))))</f>
        <v/>
      </c>
      <c r="M2706" s="39" t="str">
        <f>IF(C2706="","",C2706&amp;"#"&amp;COUNTIF($C$5:C2706,C2706))</f>
        <v/>
      </c>
    </row>
    <row r="2707">
      <c r="A2707" s="41" t="n"/>
      <c r="B2707" s="37" t="n"/>
      <c r="C2707" s="37" t="n"/>
      <c r="D2707" s="39" t="str">
        <f>IF(C2707="","",IFERROR(INDEX(art_des,MATCH(C2707,art_ref,0))&amp;"","Référence inconnue"))</f>
        <v/>
      </c>
      <c r="E2707" s="37" t="n"/>
      <c r="F2707" s="39" t="str">
        <f>IF(C2707="","",IFERROR(INDEX(art_unit,MATCH(C2707,art_ref,0))&amp;"",""))</f>
        <v/>
      </c>
      <c r="G2707" s="37" t="n"/>
      <c r="H2707" s="37" t="n"/>
      <c r="I2707" s="37" t="n"/>
      <c r="J2707" s="40" t="str">
        <f>IF(OR(C2707="",NOT(ISNUMBER(E2707))),"",IFERROR(E2707*N(INDEX(art_price,MATCH(C2707,art_ref,0))),""))</f>
        <v/>
      </c>
      <c r="K2707" s="39" t="str">
        <f>IF(OR(C2707="",NOT(ISNUMBER(E2707))),"",IFERROR(ROUND(N(INDEX(art_init,MATCH(C2707,art_ref,0)))+SUMIFS($E$5:E2707,$C$5:C2707,C2707,$B$5:B2707,"Entrée")-SUMIFS($E$5:E2707,$C$5:C2707,C2707,$B$5:B2707,"Sortie"),6),""))</f>
        <v/>
      </c>
      <c r="L2707" s="39" t="str">
        <f>IF(COUNTA(A2707:C2707,E2707)=0,"",IF(COUNTA(A2707:C2707,E2707)&lt;4,"Ligne incomplète",IF(NOT(ISNUMBER(A2707)),"Date invalide",IF(AND(B2707&lt;&gt;"Entrée",B2707&lt;&gt;"Sortie"),"Type inconnu",IF(ISNA(MATCH(C2707,art_ref,0)),"Référence inconnue",IF(OR(NOT(ISNUMBER(E2707)),N(E2707)&lt;=0),"Quantité invalide",IF(K2707&lt;0,"Stock négatif",IF(AND(ISNUMBER(A2706),A2707&lt;A2706),"Date hors ordre","OK"))))))))</f>
        <v/>
      </c>
      <c r="M2707" s="39" t="str">
        <f>IF(C2707="","",C2707&amp;"#"&amp;COUNTIF($C$5:C2707,C2707))</f>
        <v/>
      </c>
    </row>
    <row r="2708">
      <c r="A2708" s="41" t="n"/>
      <c r="B2708" s="37" t="n"/>
      <c r="C2708" s="37" t="n"/>
      <c r="D2708" s="39" t="str">
        <f>IF(C2708="","",IFERROR(INDEX(art_des,MATCH(C2708,art_ref,0))&amp;"","Référence inconnue"))</f>
        <v/>
      </c>
      <c r="E2708" s="37" t="n"/>
      <c r="F2708" s="39" t="str">
        <f>IF(C2708="","",IFERROR(INDEX(art_unit,MATCH(C2708,art_ref,0))&amp;"",""))</f>
        <v/>
      </c>
      <c r="G2708" s="37" t="n"/>
      <c r="H2708" s="37" t="n"/>
      <c r="I2708" s="37" t="n"/>
      <c r="J2708" s="40" t="str">
        <f>IF(OR(C2708="",NOT(ISNUMBER(E2708))),"",IFERROR(E2708*N(INDEX(art_price,MATCH(C2708,art_ref,0))),""))</f>
        <v/>
      </c>
      <c r="K2708" s="39" t="str">
        <f>IF(OR(C2708="",NOT(ISNUMBER(E2708))),"",IFERROR(ROUND(N(INDEX(art_init,MATCH(C2708,art_ref,0)))+SUMIFS($E$5:E2708,$C$5:C2708,C2708,$B$5:B2708,"Entrée")-SUMIFS($E$5:E2708,$C$5:C2708,C2708,$B$5:B2708,"Sortie"),6),""))</f>
        <v/>
      </c>
      <c r="L2708" s="39" t="str">
        <f>IF(COUNTA(A2708:C2708,E2708)=0,"",IF(COUNTA(A2708:C2708,E2708)&lt;4,"Ligne incomplète",IF(NOT(ISNUMBER(A2708)),"Date invalide",IF(AND(B2708&lt;&gt;"Entrée",B2708&lt;&gt;"Sortie"),"Type inconnu",IF(ISNA(MATCH(C2708,art_ref,0)),"Référence inconnue",IF(OR(NOT(ISNUMBER(E2708)),N(E2708)&lt;=0),"Quantité invalide",IF(K2708&lt;0,"Stock négatif",IF(AND(ISNUMBER(A2707),A2708&lt;A2707),"Date hors ordre","OK"))))))))</f>
        <v/>
      </c>
      <c r="M2708" s="39" t="str">
        <f>IF(C2708="","",C2708&amp;"#"&amp;COUNTIF($C$5:C2708,C2708))</f>
        <v/>
      </c>
    </row>
    <row r="2709">
      <c r="A2709" s="41" t="n"/>
      <c r="B2709" s="37" t="n"/>
      <c r="C2709" s="37" t="n"/>
      <c r="D2709" s="39" t="str">
        <f>IF(C2709="","",IFERROR(INDEX(art_des,MATCH(C2709,art_ref,0))&amp;"","Référence inconnue"))</f>
        <v/>
      </c>
      <c r="E2709" s="37" t="n"/>
      <c r="F2709" s="39" t="str">
        <f>IF(C2709="","",IFERROR(INDEX(art_unit,MATCH(C2709,art_ref,0))&amp;"",""))</f>
        <v/>
      </c>
      <c r="G2709" s="37" t="n"/>
      <c r="H2709" s="37" t="n"/>
      <c r="I2709" s="37" t="n"/>
      <c r="J2709" s="40" t="str">
        <f>IF(OR(C2709="",NOT(ISNUMBER(E2709))),"",IFERROR(E2709*N(INDEX(art_price,MATCH(C2709,art_ref,0))),""))</f>
        <v/>
      </c>
      <c r="K2709" s="39" t="str">
        <f>IF(OR(C2709="",NOT(ISNUMBER(E2709))),"",IFERROR(ROUND(N(INDEX(art_init,MATCH(C2709,art_ref,0)))+SUMIFS($E$5:E2709,$C$5:C2709,C2709,$B$5:B2709,"Entrée")-SUMIFS($E$5:E2709,$C$5:C2709,C2709,$B$5:B2709,"Sortie"),6),""))</f>
        <v/>
      </c>
      <c r="L2709" s="39" t="str">
        <f>IF(COUNTA(A2709:C2709,E2709)=0,"",IF(COUNTA(A2709:C2709,E2709)&lt;4,"Ligne incomplète",IF(NOT(ISNUMBER(A2709)),"Date invalide",IF(AND(B2709&lt;&gt;"Entrée",B2709&lt;&gt;"Sortie"),"Type inconnu",IF(ISNA(MATCH(C2709,art_ref,0)),"Référence inconnue",IF(OR(NOT(ISNUMBER(E2709)),N(E2709)&lt;=0),"Quantité invalide",IF(K2709&lt;0,"Stock négatif",IF(AND(ISNUMBER(A2708),A2709&lt;A2708),"Date hors ordre","OK"))))))))</f>
        <v/>
      </c>
      <c r="M2709" s="39" t="str">
        <f>IF(C2709="","",C2709&amp;"#"&amp;COUNTIF($C$5:C2709,C2709))</f>
        <v/>
      </c>
    </row>
    <row r="2710">
      <c r="A2710" s="41" t="n"/>
      <c r="B2710" s="37" t="n"/>
      <c r="C2710" s="37" t="n"/>
      <c r="D2710" s="39" t="str">
        <f>IF(C2710="","",IFERROR(INDEX(art_des,MATCH(C2710,art_ref,0))&amp;"","Référence inconnue"))</f>
        <v/>
      </c>
      <c r="E2710" s="37" t="n"/>
      <c r="F2710" s="39" t="str">
        <f>IF(C2710="","",IFERROR(INDEX(art_unit,MATCH(C2710,art_ref,0))&amp;"",""))</f>
        <v/>
      </c>
      <c r="G2710" s="37" t="n"/>
      <c r="H2710" s="37" t="n"/>
      <c r="I2710" s="37" t="n"/>
      <c r="J2710" s="40" t="str">
        <f>IF(OR(C2710="",NOT(ISNUMBER(E2710))),"",IFERROR(E2710*N(INDEX(art_price,MATCH(C2710,art_ref,0))),""))</f>
        <v/>
      </c>
      <c r="K2710" s="39" t="str">
        <f>IF(OR(C2710="",NOT(ISNUMBER(E2710))),"",IFERROR(ROUND(N(INDEX(art_init,MATCH(C2710,art_ref,0)))+SUMIFS($E$5:E2710,$C$5:C2710,C2710,$B$5:B2710,"Entrée")-SUMIFS($E$5:E2710,$C$5:C2710,C2710,$B$5:B2710,"Sortie"),6),""))</f>
        <v/>
      </c>
      <c r="L2710" s="39" t="str">
        <f>IF(COUNTA(A2710:C2710,E2710)=0,"",IF(COUNTA(A2710:C2710,E2710)&lt;4,"Ligne incomplète",IF(NOT(ISNUMBER(A2710)),"Date invalide",IF(AND(B2710&lt;&gt;"Entrée",B2710&lt;&gt;"Sortie"),"Type inconnu",IF(ISNA(MATCH(C2710,art_ref,0)),"Référence inconnue",IF(OR(NOT(ISNUMBER(E2710)),N(E2710)&lt;=0),"Quantité invalide",IF(K2710&lt;0,"Stock négatif",IF(AND(ISNUMBER(A2709),A2710&lt;A2709),"Date hors ordre","OK"))))))))</f>
        <v/>
      </c>
      <c r="M2710" s="39" t="str">
        <f>IF(C2710="","",C2710&amp;"#"&amp;COUNTIF($C$5:C2710,C2710))</f>
        <v/>
      </c>
    </row>
    <row r="2711">
      <c r="A2711" s="41" t="n"/>
      <c r="B2711" s="37" t="n"/>
      <c r="C2711" s="37" t="n"/>
      <c r="D2711" s="39" t="str">
        <f>IF(C2711="","",IFERROR(INDEX(art_des,MATCH(C2711,art_ref,0))&amp;"","Référence inconnue"))</f>
        <v/>
      </c>
      <c r="E2711" s="37" t="n"/>
      <c r="F2711" s="39" t="str">
        <f>IF(C2711="","",IFERROR(INDEX(art_unit,MATCH(C2711,art_ref,0))&amp;"",""))</f>
        <v/>
      </c>
      <c r="G2711" s="37" t="n"/>
      <c r="H2711" s="37" t="n"/>
      <c r="I2711" s="37" t="n"/>
      <c r="J2711" s="40" t="str">
        <f>IF(OR(C2711="",NOT(ISNUMBER(E2711))),"",IFERROR(E2711*N(INDEX(art_price,MATCH(C2711,art_ref,0))),""))</f>
        <v/>
      </c>
      <c r="K2711" s="39" t="str">
        <f>IF(OR(C2711="",NOT(ISNUMBER(E2711))),"",IFERROR(ROUND(N(INDEX(art_init,MATCH(C2711,art_ref,0)))+SUMIFS($E$5:E2711,$C$5:C2711,C2711,$B$5:B2711,"Entrée")-SUMIFS($E$5:E2711,$C$5:C2711,C2711,$B$5:B2711,"Sortie"),6),""))</f>
        <v/>
      </c>
      <c r="L2711" s="39" t="str">
        <f>IF(COUNTA(A2711:C2711,E2711)=0,"",IF(COUNTA(A2711:C2711,E2711)&lt;4,"Ligne incomplète",IF(NOT(ISNUMBER(A2711)),"Date invalide",IF(AND(B2711&lt;&gt;"Entrée",B2711&lt;&gt;"Sortie"),"Type inconnu",IF(ISNA(MATCH(C2711,art_ref,0)),"Référence inconnue",IF(OR(NOT(ISNUMBER(E2711)),N(E2711)&lt;=0),"Quantité invalide",IF(K2711&lt;0,"Stock négatif",IF(AND(ISNUMBER(A2710),A2711&lt;A2710),"Date hors ordre","OK"))))))))</f>
        <v/>
      </c>
      <c r="M2711" s="39" t="str">
        <f>IF(C2711="","",C2711&amp;"#"&amp;COUNTIF($C$5:C2711,C2711))</f>
        <v/>
      </c>
    </row>
    <row r="2712">
      <c r="A2712" s="41" t="n"/>
      <c r="B2712" s="37" t="n"/>
      <c r="C2712" s="37" t="n"/>
      <c r="D2712" s="39" t="str">
        <f>IF(C2712="","",IFERROR(INDEX(art_des,MATCH(C2712,art_ref,0))&amp;"","Référence inconnue"))</f>
        <v/>
      </c>
      <c r="E2712" s="37" t="n"/>
      <c r="F2712" s="39" t="str">
        <f>IF(C2712="","",IFERROR(INDEX(art_unit,MATCH(C2712,art_ref,0))&amp;"",""))</f>
        <v/>
      </c>
      <c r="G2712" s="37" t="n"/>
      <c r="H2712" s="37" t="n"/>
      <c r="I2712" s="37" t="n"/>
      <c r="J2712" s="40" t="str">
        <f>IF(OR(C2712="",NOT(ISNUMBER(E2712))),"",IFERROR(E2712*N(INDEX(art_price,MATCH(C2712,art_ref,0))),""))</f>
        <v/>
      </c>
      <c r="K2712" s="39" t="str">
        <f>IF(OR(C2712="",NOT(ISNUMBER(E2712))),"",IFERROR(ROUND(N(INDEX(art_init,MATCH(C2712,art_ref,0)))+SUMIFS($E$5:E2712,$C$5:C2712,C2712,$B$5:B2712,"Entrée")-SUMIFS($E$5:E2712,$C$5:C2712,C2712,$B$5:B2712,"Sortie"),6),""))</f>
        <v/>
      </c>
      <c r="L2712" s="39" t="str">
        <f>IF(COUNTA(A2712:C2712,E2712)=0,"",IF(COUNTA(A2712:C2712,E2712)&lt;4,"Ligne incomplète",IF(NOT(ISNUMBER(A2712)),"Date invalide",IF(AND(B2712&lt;&gt;"Entrée",B2712&lt;&gt;"Sortie"),"Type inconnu",IF(ISNA(MATCH(C2712,art_ref,0)),"Référence inconnue",IF(OR(NOT(ISNUMBER(E2712)),N(E2712)&lt;=0),"Quantité invalide",IF(K2712&lt;0,"Stock négatif",IF(AND(ISNUMBER(A2711),A2712&lt;A2711),"Date hors ordre","OK"))))))))</f>
        <v/>
      </c>
      <c r="M2712" s="39" t="str">
        <f>IF(C2712="","",C2712&amp;"#"&amp;COUNTIF($C$5:C2712,C2712))</f>
        <v/>
      </c>
    </row>
    <row r="2713">
      <c r="A2713" s="41" t="n"/>
      <c r="B2713" s="37" t="n"/>
      <c r="C2713" s="37" t="n"/>
      <c r="D2713" s="39" t="str">
        <f>IF(C2713="","",IFERROR(INDEX(art_des,MATCH(C2713,art_ref,0))&amp;"","Référence inconnue"))</f>
        <v/>
      </c>
      <c r="E2713" s="37" t="n"/>
      <c r="F2713" s="39" t="str">
        <f>IF(C2713="","",IFERROR(INDEX(art_unit,MATCH(C2713,art_ref,0))&amp;"",""))</f>
        <v/>
      </c>
      <c r="G2713" s="37" t="n"/>
      <c r="H2713" s="37" t="n"/>
      <c r="I2713" s="37" t="n"/>
      <c r="J2713" s="40" t="str">
        <f>IF(OR(C2713="",NOT(ISNUMBER(E2713))),"",IFERROR(E2713*N(INDEX(art_price,MATCH(C2713,art_ref,0))),""))</f>
        <v/>
      </c>
      <c r="K2713" s="39" t="str">
        <f>IF(OR(C2713="",NOT(ISNUMBER(E2713))),"",IFERROR(ROUND(N(INDEX(art_init,MATCH(C2713,art_ref,0)))+SUMIFS($E$5:E2713,$C$5:C2713,C2713,$B$5:B2713,"Entrée")-SUMIFS($E$5:E2713,$C$5:C2713,C2713,$B$5:B2713,"Sortie"),6),""))</f>
        <v/>
      </c>
      <c r="L2713" s="39" t="str">
        <f>IF(COUNTA(A2713:C2713,E2713)=0,"",IF(COUNTA(A2713:C2713,E2713)&lt;4,"Ligne incomplète",IF(NOT(ISNUMBER(A2713)),"Date invalide",IF(AND(B2713&lt;&gt;"Entrée",B2713&lt;&gt;"Sortie"),"Type inconnu",IF(ISNA(MATCH(C2713,art_ref,0)),"Référence inconnue",IF(OR(NOT(ISNUMBER(E2713)),N(E2713)&lt;=0),"Quantité invalide",IF(K2713&lt;0,"Stock négatif",IF(AND(ISNUMBER(A2712),A2713&lt;A2712),"Date hors ordre","OK"))))))))</f>
        <v/>
      </c>
      <c r="M2713" s="39" t="str">
        <f>IF(C2713="","",C2713&amp;"#"&amp;COUNTIF($C$5:C2713,C2713))</f>
        <v/>
      </c>
    </row>
    <row r="2714">
      <c r="A2714" s="41" t="n"/>
      <c r="B2714" s="37" t="n"/>
      <c r="C2714" s="37" t="n"/>
      <c r="D2714" s="39" t="str">
        <f>IF(C2714="","",IFERROR(INDEX(art_des,MATCH(C2714,art_ref,0))&amp;"","Référence inconnue"))</f>
        <v/>
      </c>
      <c r="E2714" s="37" t="n"/>
      <c r="F2714" s="39" t="str">
        <f>IF(C2714="","",IFERROR(INDEX(art_unit,MATCH(C2714,art_ref,0))&amp;"",""))</f>
        <v/>
      </c>
      <c r="G2714" s="37" t="n"/>
      <c r="H2714" s="37" t="n"/>
      <c r="I2714" s="37" t="n"/>
      <c r="J2714" s="40" t="str">
        <f>IF(OR(C2714="",NOT(ISNUMBER(E2714))),"",IFERROR(E2714*N(INDEX(art_price,MATCH(C2714,art_ref,0))),""))</f>
        <v/>
      </c>
      <c r="K2714" s="39" t="str">
        <f>IF(OR(C2714="",NOT(ISNUMBER(E2714))),"",IFERROR(ROUND(N(INDEX(art_init,MATCH(C2714,art_ref,0)))+SUMIFS($E$5:E2714,$C$5:C2714,C2714,$B$5:B2714,"Entrée")-SUMIFS($E$5:E2714,$C$5:C2714,C2714,$B$5:B2714,"Sortie"),6),""))</f>
        <v/>
      </c>
      <c r="L2714" s="39" t="str">
        <f>IF(COUNTA(A2714:C2714,E2714)=0,"",IF(COUNTA(A2714:C2714,E2714)&lt;4,"Ligne incomplète",IF(NOT(ISNUMBER(A2714)),"Date invalide",IF(AND(B2714&lt;&gt;"Entrée",B2714&lt;&gt;"Sortie"),"Type inconnu",IF(ISNA(MATCH(C2714,art_ref,0)),"Référence inconnue",IF(OR(NOT(ISNUMBER(E2714)),N(E2714)&lt;=0),"Quantité invalide",IF(K2714&lt;0,"Stock négatif",IF(AND(ISNUMBER(A2713),A2714&lt;A2713),"Date hors ordre","OK"))))))))</f>
        <v/>
      </c>
      <c r="M2714" s="39" t="str">
        <f>IF(C2714="","",C2714&amp;"#"&amp;COUNTIF($C$5:C2714,C2714))</f>
        <v/>
      </c>
    </row>
    <row r="2715">
      <c r="A2715" s="41" t="n"/>
      <c r="B2715" s="37" t="n"/>
      <c r="C2715" s="37" t="n"/>
      <c r="D2715" s="39" t="str">
        <f>IF(C2715="","",IFERROR(INDEX(art_des,MATCH(C2715,art_ref,0))&amp;"","Référence inconnue"))</f>
        <v/>
      </c>
      <c r="E2715" s="37" t="n"/>
      <c r="F2715" s="39" t="str">
        <f>IF(C2715="","",IFERROR(INDEX(art_unit,MATCH(C2715,art_ref,0))&amp;"",""))</f>
        <v/>
      </c>
      <c r="G2715" s="37" t="n"/>
      <c r="H2715" s="37" t="n"/>
      <c r="I2715" s="37" t="n"/>
      <c r="J2715" s="40" t="str">
        <f>IF(OR(C2715="",NOT(ISNUMBER(E2715))),"",IFERROR(E2715*N(INDEX(art_price,MATCH(C2715,art_ref,0))),""))</f>
        <v/>
      </c>
      <c r="K2715" s="39" t="str">
        <f>IF(OR(C2715="",NOT(ISNUMBER(E2715))),"",IFERROR(ROUND(N(INDEX(art_init,MATCH(C2715,art_ref,0)))+SUMIFS($E$5:E2715,$C$5:C2715,C2715,$B$5:B2715,"Entrée")-SUMIFS($E$5:E2715,$C$5:C2715,C2715,$B$5:B2715,"Sortie"),6),""))</f>
        <v/>
      </c>
      <c r="L2715" s="39" t="str">
        <f>IF(COUNTA(A2715:C2715,E2715)=0,"",IF(COUNTA(A2715:C2715,E2715)&lt;4,"Ligne incomplète",IF(NOT(ISNUMBER(A2715)),"Date invalide",IF(AND(B2715&lt;&gt;"Entrée",B2715&lt;&gt;"Sortie"),"Type inconnu",IF(ISNA(MATCH(C2715,art_ref,0)),"Référence inconnue",IF(OR(NOT(ISNUMBER(E2715)),N(E2715)&lt;=0),"Quantité invalide",IF(K2715&lt;0,"Stock négatif",IF(AND(ISNUMBER(A2714),A2715&lt;A2714),"Date hors ordre","OK"))))))))</f>
        <v/>
      </c>
      <c r="M2715" s="39" t="str">
        <f>IF(C2715="","",C2715&amp;"#"&amp;COUNTIF($C$5:C2715,C2715))</f>
        <v/>
      </c>
    </row>
    <row r="2716">
      <c r="A2716" s="41" t="n"/>
      <c r="B2716" s="37" t="n"/>
      <c r="C2716" s="37" t="n"/>
      <c r="D2716" s="39" t="str">
        <f>IF(C2716="","",IFERROR(INDEX(art_des,MATCH(C2716,art_ref,0))&amp;"","Référence inconnue"))</f>
        <v/>
      </c>
      <c r="E2716" s="37" t="n"/>
      <c r="F2716" s="39" t="str">
        <f>IF(C2716="","",IFERROR(INDEX(art_unit,MATCH(C2716,art_ref,0))&amp;"",""))</f>
        <v/>
      </c>
      <c r="G2716" s="37" t="n"/>
      <c r="H2716" s="37" t="n"/>
      <c r="I2716" s="37" t="n"/>
      <c r="J2716" s="40" t="str">
        <f>IF(OR(C2716="",NOT(ISNUMBER(E2716))),"",IFERROR(E2716*N(INDEX(art_price,MATCH(C2716,art_ref,0))),""))</f>
        <v/>
      </c>
      <c r="K2716" s="39" t="str">
        <f>IF(OR(C2716="",NOT(ISNUMBER(E2716))),"",IFERROR(ROUND(N(INDEX(art_init,MATCH(C2716,art_ref,0)))+SUMIFS($E$5:E2716,$C$5:C2716,C2716,$B$5:B2716,"Entrée")-SUMIFS($E$5:E2716,$C$5:C2716,C2716,$B$5:B2716,"Sortie"),6),""))</f>
        <v/>
      </c>
      <c r="L2716" s="39" t="str">
        <f>IF(COUNTA(A2716:C2716,E2716)=0,"",IF(COUNTA(A2716:C2716,E2716)&lt;4,"Ligne incomplète",IF(NOT(ISNUMBER(A2716)),"Date invalide",IF(AND(B2716&lt;&gt;"Entrée",B2716&lt;&gt;"Sortie"),"Type inconnu",IF(ISNA(MATCH(C2716,art_ref,0)),"Référence inconnue",IF(OR(NOT(ISNUMBER(E2716)),N(E2716)&lt;=0),"Quantité invalide",IF(K2716&lt;0,"Stock négatif",IF(AND(ISNUMBER(A2715),A2716&lt;A2715),"Date hors ordre","OK"))))))))</f>
        <v/>
      </c>
      <c r="M2716" s="39" t="str">
        <f>IF(C2716="","",C2716&amp;"#"&amp;COUNTIF($C$5:C2716,C2716))</f>
        <v/>
      </c>
    </row>
    <row r="2717">
      <c r="A2717" s="41" t="n"/>
      <c r="B2717" s="37" t="n"/>
      <c r="C2717" s="37" t="n"/>
      <c r="D2717" s="39" t="str">
        <f>IF(C2717="","",IFERROR(INDEX(art_des,MATCH(C2717,art_ref,0))&amp;"","Référence inconnue"))</f>
        <v/>
      </c>
      <c r="E2717" s="37" t="n"/>
      <c r="F2717" s="39" t="str">
        <f>IF(C2717="","",IFERROR(INDEX(art_unit,MATCH(C2717,art_ref,0))&amp;"",""))</f>
        <v/>
      </c>
      <c r="G2717" s="37" t="n"/>
      <c r="H2717" s="37" t="n"/>
      <c r="I2717" s="37" t="n"/>
      <c r="J2717" s="40" t="str">
        <f>IF(OR(C2717="",NOT(ISNUMBER(E2717))),"",IFERROR(E2717*N(INDEX(art_price,MATCH(C2717,art_ref,0))),""))</f>
        <v/>
      </c>
      <c r="K2717" s="39" t="str">
        <f>IF(OR(C2717="",NOT(ISNUMBER(E2717))),"",IFERROR(ROUND(N(INDEX(art_init,MATCH(C2717,art_ref,0)))+SUMIFS($E$5:E2717,$C$5:C2717,C2717,$B$5:B2717,"Entrée")-SUMIFS($E$5:E2717,$C$5:C2717,C2717,$B$5:B2717,"Sortie"),6),""))</f>
        <v/>
      </c>
      <c r="L2717" s="39" t="str">
        <f>IF(COUNTA(A2717:C2717,E2717)=0,"",IF(COUNTA(A2717:C2717,E2717)&lt;4,"Ligne incomplète",IF(NOT(ISNUMBER(A2717)),"Date invalide",IF(AND(B2717&lt;&gt;"Entrée",B2717&lt;&gt;"Sortie"),"Type inconnu",IF(ISNA(MATCH(C2717,art_ref,0)),"Référence inconnue",IF(OR(NOT(ISNUMBER(E2717)),N(E2717)&lt;=0),"Quantité invalide",IF(K2717&lt;0,"Stock négatif",IF(AND(ISNUMBER(A2716),A2717&lt;A2716),"Date hors ordre","OK"))))))))</f>
        <v/>
      </c>
      <c r="M2717" s="39" t="str">
        <f>IF(C2717="","",C2717&amp;"#"&amp;COUNTIF($C$5:C2717,C2717))</f>
        <v/>
      </c>
    </row>
    <row r="2718">
      <c r="A2718" s="41" t="n"/>
      <c r="B2718" s="37" t="n"/>
      <c r="C2718" s="37" t="n"/>
      <c r="D2718" s="39" t="str">
        <f>IF(C2718="","",IFERROR(INDEX(art_des,MATCH(C2718,art_ref,0))&amp;"","Référence inconnue"))</f>
        <v/>
      </c>
      <c r="E2718" s="37" t="n"/>
      <c r="F2718" s="39" t="str">
        <f>IF(C2718="","",IFERROR(INDEX(art_unit,MATCH(C2718,art_ref,0))&amp;"",""))</f>
        <v/>
      </c>
      <c r="G2718" s="37" t="n"/>
      <c r="H2718" s="37" t="n"/>
      <c r="I2718" s="37" t="n"/>
      <c r="J2718" s="40" t="str">
        <f>IF(OR(C2718="",NOT(ISNUMBER(E2718))),"",IFERROR(E2718*N(INDEX(art_price,MATCH(C2718,art_ref,0))),""))</f>
        <v/>
      </c>
      <c r="K2718" s="39" t="str">
        <f>IF(OR(C2718="",NOT(ISNUMBER(E2718))),"",IFERROR(ROUND(N(INDEX(art_init,MATCH(C2718,art_ref,0)))+SUMIFS($E$5:E2718,$C$5:C2718,C2718,$B$5:B2718,"Entrée")-SUMIFS($E$5:E2718,$C$5:C2718,C2718,$B$5:B2718,"Sortie"),6),""))</f>
        <v/>
      </c>
      <c r="L2718" s="39" t="str">
        <f>IF(COUNTA(A2718:C2718,E2718)=0,"",IF(COUNTA(A2718:C2718,E2718)&lt;4,"Ligne incomplète",IF(NOT(ISNUMBER(A2718)),"Date invalide",IF(AND(B2718&lt;&gt;"Entrée",B2718&lt;&gt;"Sortie"),"Type inconnu",IF(ISNA(MATCH(C2718,art_ref,0)),"Référence inconnue",IF(OR(NOT(ISNUMBER(E2718)),N(E2718)&lt;=0),"Quantité invalide",IF(K2718&lt;0,"Stock négatif",IF(AND(ISNUMBER(A2717),A2718&lt;A2717),"Date hors ordre","OK"))))))))</f>
        <v/>
      </c>
      <c r="M2718" s="39" t="str">
        <f>IF(C2718="","",C2718&amp;"#"&amp;COUNTIF($C$5:C2718,C2718))</f>
        <v/>
      </c>
    </row>
    <row r="2719">
      <c r="A2719" s="41" t="n"/>
      <c r="B2719" s="37" t="n"/>
      <c r="C2719" s="37" t="n"/>
      <c r="D2719" s="39" t="str">
        <f>IF(C2719="","",IFERROR(INDEX(art_des,MATCH(C2719,art_ref,0))&amp;"","Référence inconnue"))</f>
        <v/>
      </c>
      <c r="E2719" s="37" t="n"/>
      <c r="F2719" s="39" t="str">
        <f>IF(C2719="","",IFERROR(INDEX(art_unit,MATCH(C2719,art_ref,0))&amp;"",""))</f>
        <v/>
      </c>
      <c r="G2719" s="37" t="n"/>
      <c r="H2719" s="37" t="n"/>
      <c r="I2719" s="37" t="n"/>
      <c r="J2719" s="40" t="str">
        <f>IF(OR(C2719="",NOT(ISNUMBER(E2719))),"",IFERROR(E2719*N(INDEX(art_price,MATCH(C2719,art_ref,0))),""))</f>
        <v/>
      </c>
      <c r="K2719" s="39" t="str">
        <f>IF(OR(C2719="",NOT(ISNUMBER(E2719))),"",IFERROR(ROUND(N(INDEX(art_init,MATCH(C2719,art_ref,0)))+SUMIFS($E$5:E2719,$C$5:C2719,C2719,$B$5:B2719,"Entrée")-SUMIFS($E$5:E2719,$C$5:C2719,C2719,$B$5:B2719,"Sortie"),6),""))</f>
        <v/>
      </c>
      <c r="L2719" s="39" t="str">
        <f>IF(COUNTA(A2719:C2719,E2719)=0,"",IF(COUNTA(A2719:C2719,E2719)&lt;4,"Ligne incomplète",IF(NOT(ISNUMBER(A2719)),"Date invalide",IF(AND(B2719&lt;&gt;"Entrée",B2719&lt;&gt;"Sortie"),"Type inconnu",IF(ISNA(MATCH(C2719,art_ref,0)),"Référence inconnue",IF(OR(NOT(ISNUMBER(E2719)),N(E2719)&lt;=0),"Quantité invalide",IF(K2719&lt;0,"Stock négatif",IF(AND(ISNUMBER(A2718),A2719&lt;A2718),"Date hors ordre","OK"))))))))</f>
        <v/>
      </c>
      <c r="M2719" s="39" t="str">
        <f>IF(C2719="","",C2719&amp;"#"&amp;COUNTIF($C$5:C2719,C2719))</f>
        <v/>
      </c>
    </row>
    <row r="2720">
      <c r="A2720" s="41" t="n"/>
      <c r="B2720" s="37" t="n"/>
      <c r="C2720" s="37" t="n"/>
      <c r="D2720" s="39" t="str">
        <f>IF(C2720="","",IFERROR(INDEX(art_des,MATCH(C2720,art_ref,0))&amp;"","Référence inconnue"))</f>
        <v/>
      </c>
      <c r="E2720" s="37" t="n"/>
      <c r="F2720" s="39" t="str">
        <f>IF(C2720="","",IFERROR(INDEX(art_unit,MATCH(C2720,art_ref,0))&amp;"",""))</f>
        <v/>
      </c>
      <c r="G2720" s="37" t="n"/>
      <c r="H2720" s="37" t="n"/>
      <c r="I2720" s="37" t="n"/>
      <c r="J2720" s="40" t="str">
        <f>IF(OR(C2720="",NOT(ISNUMBER(E2720))),"",IFERROR(E2720*N(INDEX(art_price,MATCH(C2720,art_ref,0))),""))</f>
        <v/>
      </c>
      <c r="K2720" s="39" t="str">
        <f>IF(OR(C2720="",NOT(ISNUMBER(E2720))),"",IFERROR(ROUND(N(INDEX(art_init,MATCH(C2720,art_ref,0)))+SUMIFS($E$5:E2720,$C$5:C2720,C2720,$B$5:B2720,"Entrée")-SUMIFS($E$5:E2720,$C$5:C2720,C2720,$B$5:B2720,"Sortie"),6),""))</f>
        <v/>
      </c>
      <c r="L2720" s="39" t="str">
        <f>IF(COUNTA(A2720:C2720,E2720)=0,"",IF(COUNTA(A2720:C2720,E2720)&lt;4,"Ligne incomplète",IF(NOT(ISNUMBER(A2720)),"Date invalide",IF(AND(B2720&lt;&gt;"Entrée",B2720&lt;&gt;"Sortie"),"Type inconnu",IF(ISNA(MATCH(C2720,art_ref,0)),"Référence inconnue",IF(OR(NOT(ISNUMBER(E2720)),N(E2720)&lt;=0),"Quantité invalide",IF(K2720&lt;0,"Stock négatif",IF(AND(ISNUMBER(A2719),A2720&lt;A2719),"Date hors ordre","OK"))))))))</f>
        <v/>
      </c>
      <c r="M2720" s="39" t="str">
        <f>IF(C2720="","",C2720&amp;"#"&amp;COUNTIF($C$5:C2720,C2720))</f>
        <v/>
      </c>
    </row>
    <row r="2721">
      <c r="A2721" s="41" t="n"/>
      <c r="B2721" s="37" t="n"/>
      <c r="C2721" s="37" t="n"/>
      <c r="D2721" s="39" t="str">
        <f>IF(C2721="","",IFERROR(INDEX(art_des,MATCH(C2721,art_ref,0))&amp;"","Référence inconnue"))</f>
        <v/>
      </c>
      <c r="E2721" s="37" t="n"/>
      <c r="F2721" s="39" t="str">
        <f>IF(C2721="","",IFERROR(INDEX(art_unit,MATCH(C2721,art_ref,0))&amp;"",""))</f>
        <v/>
      </c>
      <c r="G2721" s="37" t="n"/>
      <c r="H2721" s="37" t="n"/>
      <c r="I2721" s="37" t="n"/>
      <c r="J2721" s="40" t="str">
        <f>IF(OR(C2721="",NOT(ISNUMBER(E2721))),"",IFERROR(E2721*N(INDEX(art_price,MATCH(C2721,art_ref,0))),""))</f>
        <v/>
      </c>
      <c r="K2721" s="39" t="str">
        <f>IF(OR(C2721="",NOT(ISNUMBER(E2721))),"",IFERROR(ROUND(N(INDEX(art_init,MATCH(C2721,art_ref,0)))+SUMIFS($E$5:E2721,$C$5:C2721,C2721,$B$5:B2721,"Entrée")-SUMIFS($E$5:E2721,$C$5:C2721,C2721,$B$5:B2721,"Sortie"),6),""))</f>
        <v/>
      </c>
      <c r="L2721" s="39" t="str">
        <f>IF(COUNTA(A2721:C2721,E2721)=0,"",IF(COUNTA(A2721:C2721,E2721)&lt;4,"Ligne incomplète",IF(NOT(ISNUMBER(A2721)),"Date invalide",IF(AND(B2721&lt;&gt;"Entrée",B2721&lt;&gt;"Sortie"),"Type inconnu",IF(ISNA(MATCH(C2721,art_ref,0)),"Référence inconnue",IF(OR(NOT(ISNUMBER(E2721)),N(E2721)&lt;=0),"Quantité invalide",IF(K2721&lt;0,"Stock négatif",IF(AND(ISNUMBER(A2720),A2721&lt;A2720),"Date hors ordre","OK"))))))))</f>
        <v/>
      </c>
      <c r="M2721" s="39" t="str">
        <f>IF(C2721="","",C2721&amp;"#"&amp;COUNTIF($C$5:C2721,C2721))</f>
        <v/>
      </c>
    </row>
    <row r="2722">
      <c r="A2722" s="41" t="n"/>
      <c r="B2722" s="37" t="n"/>
      <c r="C2722" s="37" t="n"/>
      <c r="D2722" s="39" t="str">
        <f>IF(C2722="","",IFERROR(INDEX(art_des,MATCH(C2722,art_ref,0))&amp;"","Référence inconnue"))</f>
        <v/>
      </c>
      <c r="E2722" s="37" t="n"/>
      <c r="F2722" s="39" t="str">
        <f>IF(C2722="","",IFERROR(INDEX(art_unit,MATCH(C2722,art_ref,0))&amp;"",""))</f>
        <v/>
      </c>
      <c r="G2722" s="37" t="n"/>
      <c r="H2722" s="37" t="n"/>
      <c r="I2722" s="37" t="n"/>
      <c r="J2722" s="40" t="str">
        <f>IF(OR(C2722="",NOT(ISNUMBER(E2722))),"",IFERROR(E2722*N(INDEX(art_price,MATCH(C2722,art_ref,0))),""))</f>
        <v/>
      </c>
      <c r="K2722" s="39" t="str">
        <f>IF(OR(C2722="",NOT(ISNUMBER(E2722))),"",IFERROR(ROUND(N(INDEX(art_init,MATCH(C2722,art_ref,0)))+SUMIFS($E$5:E2722,$C$5:C2722,C2722,$B$5:B2722,"Entrée")-SUMIFS($E$5:E2722,$C$5:C2722,C2722,$B$5:B2722,"Sortie"),6),""))</f>
        <v/>
      </c>
      <c r="L2722" s="39" t="str">
        <f>IF(COUNTA(A2722:C2722,E2722)=0,"",IF(COUNTA(A2722:C2722,E2722)&lt;4,"Ligne incomplète",IF(NOT(ISNUMBER(A2722)),"Date invalide",IF(AND(B2722&lt;&gt;"Entrée",B2722&lt;&gt;"Sortie"),"Type inconnu",IF(ISNA(MATCH(C2722,art_ref,0)),"Référence inconnue",IF(OR(NOT(ISNUMBER(E2722)),N(E2722)&lt;=0),"Quantité invalide",IF(K2722&lt;0,"Stock négatif",IF(AND(ISNUMBER(A2721),A2722&lt;A2721),"Date hors ordre","OK"))))))))</f>
        <v/>
      </c>
      <c r="M2722" s="39" t="str">
        <f>IF(C2722="","",C2722&amp;"#"&amp;COUNTIF($C$5:C2722,C2722))</f>
        <v/>
      </c>
    </row>
    <row r="2723">
      <c r="A2723" s="41" t="n"/>
      <c r="B2723" s="37" t="n"/>
      <c r="C2723" s="37" t="n"/>
      <c r="D2723" s="39" t="str">
        <f>IF(C2723="","",IFERROR(INDEX(art_des,MATCH(C2723,art_ref,0))&amp;"","Référence inconnue"))</f>
        <v/>
      </c>
      <c r="E2723" s="37" t="n"/>
      <c r="F2723" s="39" t="str">
        <f>IF(C2723="","",IFERROR(INDEX(art_unit,MATCH(C2723,art_ref,0))&amp;"",""))</f>
        <v/>
      </c>
      <c r="G2723" s="37" t="n"/>
      <c r="H2723" s="37" t="n"/>
      <c r="I2723" s="37" t="n"/>
      <c r="J2723" s="40" t="str">
        <f>IF(OR(C2723="",NOT(ISNUMBER(E2723))),"",IFERROR(E2723*N(INDEX(art_price,MATCH(C2723,art_ref,0))),""))</f>
        <v/>
      </c>
      <c r="K2723" s="39" t="str">
        <f>IF(OR(C2723="",NOT(ISNUMBER(E2723))),"",IFERROR(ROUND(N(INDEX(art_init,MATCH(C2723,art_ref,0)))+SUMIFS($E$5:E2723,$C$5:C2723,C2723,$B$5:B2723,"Entrée")-SUMIFS($E$5:E2723,$C$5:C2723,C2723,$B$5:B2723,"Sortie"),6),""))</f>
        <v/>
      </c>
      <c r="L2723" s="39" t="str">
        <f>IF(COUNTA(A2723:C2723,E2723)=0,"",IF(COUNTA(A2723:C2723,E2723)&lt;4,"Ligne incomplète",IF(NOT(ISNUMBER(A2723)),"Date invalide",IF(AND(B2723&lt;&gt;"Entrée",B2723&lt;&gt;"Sortie"),"Type inconnu",IF(ISNA(MATCH(C2723,art_ref,0)),"Référence inconnue",IF(OR(NOT(ISNUMBER(E2723)),N(E2723)&lt;=0),"Quantité invalide",IF(K2723&lt;0,"Stock négatif",IF(AND(ISNUMBER(A2722),A2723&lt;A2722),"Date hors ordre","OK"))))))))</f>
        <v/>
      </c>
      <c r="M2723" s="39" t="str">
        <f>IF(C2723="","",C2723&amp;"#"&amp;COUNTIF($C$5:C2723,C2723))</f>
        <v/>
      </c>
    </row>
    <row r="2724">
      <c r="A2724" s="41" t="n"/>
      <c r="B2724" s="37" t="n"/>
      <c r="C2724" s="37" t="n"/>
      <c r="D2724" s="39" t="str">
        <f>IF(C2724="","",IFERROR(INDEX(art_des,MATCH(C2724,art_ref,0))&amp;"","Référence inconnue"))</f>
        <v/>
      </c>
      <c r="E2724" s="37" t="n"/>
      <c r="F2724" s="39" t="str">
        <f>IF(C2724="","",IFERROR(INDEX(art_unit,MATCH(C2724,art_ref,0))&amp;"",""))</f>
        <v/>
      </c>
      <c r="G2724" s="37" t="n"/>
      <c r="H2724" s="37" t="n"/>
      <c r="I2724" s="37" t="n"/>
      <c r="J2724" s="40" t="str">
        <f>IF(OR(C2724="",NOT(ISNUMBER(E2724))),"",IFERROR(E2724*N(INDEX(art_price,MATCH(C2724,art_ref,0))),""))</f>
        <v/>
      </c>
      <c r="K2724" s="39" t="str">
        <f>IF(OR(C2724="",NOT(ISNUMBER(E2724))),"",IFERROR(ROUND(N(INDEX(art_init,MATCH(C2724,art_ref,0)))+SUMIFS($E$5:E2724,$C$5:C2724,C2724,$B$5:B2724,"Entrée")-SUMIFS($E$5:E2724,$C$5:C2724,C2724,$B$5:B2724,"Sortie"),6),""))</f>
        <v/>
      </c>
      <c r="L2724" s="39" t="str">
        <f>IF(COUNTA(A2724:C2724,E2724)=0,"",IF(COUNTA(A2724:C2724,E2724)&lt;4,"Ligne incomplète",IF(NOT(ISNUMBER(A2724)),"Date invalide",IF(AND(B2724&lt;&gt;"Entrée",B2724&lt;&gt;"Sortie"),"Type inconnu",IF(ISNA(MATCH(C2724,art_ref,0)),"Référence inconnue",IF(OR(NOT(ISNUMBER(E2724)),N(E2724)&lt;=0),"Quantité invalide",IF(K2724&lt;0,"Stock négatif",IF(AND(ISNUMBER(A2723),A2724&lt;A2723),"Date hors ordre","OK"))))))))</f>
        <v/>
      </c>
      <c r="M2724" s="39" t="str">
        <f>IF(C2724="","",C2724&amp;"#"&amp;COUNTIF($C$5:C2724,C2724))</f>
        <v/>
      </c>
    </row>
    <row r="2725">
      <c r="A2725" s="41" t="n"/>
      <c r="B2725" s="37" t="n"/>
      <c r="C2725" s="37" t="n"/>
      <c r="D2725" s="39" t="str">
        <f>IF(C2725="","",IFERROR(INDEX(art_des,MATCH(C2725,art_ref,0))&amp;"","Référence inconnue"))</f>
        <v/>
      </c>
      <c r="E2725" s="37" t="n"/>
      <c r="F2725" s="39" t="str">
        <f>IF(C2725="","",IFERROR(INDEX(art_unit,MATCH(C2725,art_ref,0))&amp;"",""))</f>
        <v/>
      </c>
      <c r="G2725" s="37" t="n"/>
      <c r="H2725" s="37" t="n"/>
      <c r="I2725" s="37" t="n"/>
      <c r="J2725" s="40" t="str">
        <f>IF(OR(C2725="",NOT(ISNUMBER(E2725))),"",IFERROR(E2725*N(INDEX(art_price,MATCH(C2725,art_ref,0))),""))</f>
        <v/>
      </c>
      <c r="K2725" s="39" t="str">
        <f>IF(OR(C2725="",NOT(ISNUMBER(E2725))),"",IFERROR(ROUND(N(INDEX(art_init,MATCH(C2725,art_ref,0)))+SUMIFS($E$5:E2725,$C$5:C2725,C2725,$B$5:B2725,"Entrée")-SUMIFS($E$5:E2725,$C$5:C2725,C2725,$B$5:B2725,"Sortie"),6),""))</f>
        <v/>
      </c>
      <c r="L2725" s="39" t="str">
        <f>IF(COUNTA(A2725:C2725,E2725)=0,"",IF(COUNTA(A2725:C2725,E2725)&lt;4,"Ligne incomplète",IF(NOT(ISNUMBER(A2725)),"Date invalide",IF(AND(B2725&lt;&gt;"Entrée",B2725&lt;&gt;"Sortie"),"Type inconnu",IF(ISNA(MATCH(C2725,art_ref,0)),"Référence inconnue",IF(OR(NOT(ISNUMBER(E2725)),N(E2725)&lt;=0),"Quantité invalide",IF(K2725&lt;0,"Stock négatif",IF(AND(ISNUMBER(A2724),A2725&lt;A2724),"Date hors ordre","OK"))))))))</f>
        <v/>
      </c>
      <c r="M2725" s="39" t="str">
        <f>IF(C2725="","",C2725&amp;"#"&amp;COUNTIF($C$5:C2725,C2725))</f>
        <v/>
      </c>
    </row>
    <row r="2726">
      <c r="A2726" s="41" t="n"/>
      <c r="B2726" s="37" t="n"/>
      <c r="C2726" s="37" t="n"/>
      <c r="D2726" s="39" t="str">
        <f>IF(C2726="","",IFERROR(INDEX(art_des,MATCH(C2726,art_ref,0))&amp;"","Référence inconnue"))</f>
        <v/>
      </c>
      <c r="E2726" s="37" t="n"/>
      <c r="F2726" s="39" t="str">
        <f>IF(C2726="","",IFERROR(INDEX(art_unit,MATCH(C2726,art_ref,0))&amp;"",""))</f>
        <v/>
      </c>
      <c r="G2726" s="37" t="n"/>
      <c r="H2726" s="37" t="n"/>
      <c r="I2726" s="37" t="n"/>
      <c r="J2726" s="40" t="str">
        <f>IF(OR(C2726="",NOT(ISNUMBER(E2726))),"",IFERROR(E2726*N(INDEX(art_price,MATCH(C2726,art_ref,0))),""))</f>
        <v/>
      </c>
      <c r="K2726" s="39" t="str">
        <f>IF(OR(C2726="",NOT(ISNUMBER(E2726))),"",IFERROR(ROUND(N(INDEX(art_init,MATCH(C2726,art_ref,0)))+SUMIFS($E$5:E2726,$C$5:C2726,C2726,$B$5:B2726,"Entrée")-SUMIFS($E$5:E2726,$C$5:C2726,C2726,$B$5:B2726,"Sortie"),6),""))</f>
        <v/>
      </c>
      <c r="L2726" s="39" t="str">
        <f>IF(COUNTA(A2726:C2726,E2726)=0,"",IF(COUNTA(A2726:C2726,E2726)&lt;4,"Ligne incomplète",IF(NOT(ISNUMBER(A2726)),"Date invalide",IF(AND(B2726&lt;&gt;"Entrée",B2726&lt;&gt;"Sortie"),"Type inconnu",IF(ISNA(MATCH(C2726,art_ref,0)),"Référence inconnue",IF(OR(NOT(ISNUMBER(E2726)),N(E2726)&lt;=0),"Quantité invalide",IF(K2726&lt;0,"Stock négatif",IF(AND(ISNUMBER(A2725),A2726&lt;A2725),"Date hors ordre","OK"))))))))</f>
        <v/>
      </c>
      <c r="M2726" s="39" t="str">
        <f>IF(C2726="","",C2726&amp;"#"&amp;COUNTIF($C$5:C2726,C2726))</f>
        <v/>
      </c>
    </row>
    <row r="2727">
      <c r="A2727" s="41" t="n"/>
      <c r="B2727" s="37" t="n"/>
      <c r="C2727" s="37" t="n"/>
      <c r="D2727" s="39" t="str">
        <f>IF(C2727="","",IFERROR(INDEX(art_des,MATCH(C2727,art_ref,0))&amp;"","Référence inconnue"))</f>
        <v/>
      </c>
      <c r="E2727" s="37" t="n"/>
      <c r="F2727" s="39" t="str">
        <f>IF(C2727="","",IFERROR(INDEX(art_unit,MATCH(C2727,art_ref,0))&amp;"",""))</f>
        <v/>
      </c>
      <c r="G2727" s="37" t="n"/>
      <c r="H2727" s="37" t="n"/>
      <c r="I2727" s="37" t="n"/>
      <c r="J2727" s="40" t="str">
        <f>IF(OR(C2727="",NOT(ISNUMBER(E2727))),"",IFERROR(E2727*N(INDEX(art_price,MATCH(C2727,art_ref,0))),""))</f>
        <v/>
      </c>
      <c r="K2727" s="39" t="str">
        <f>IF(OR(C2727="",NOT(ISNUMBER(E2727))),"",IFERROR(ROUND(N(INDEX(art_init,MATCH(C2727,art_ref,0)))+SUMIFS($E$5:E2727,$C$5:C2727,C2727,$B$5:B2727,"Entrée")-SUMIFS($E$5:E2727,$C$5:C2727,C2727,$B$5:B2727,"Sortie"),6),""))</f>
        <v/>
      </c>
      <c r="L2727" s="39" t="str">
        <f>IF(COUNTA(A2727:C2727,E2727)=0,"",IF(COUNTA(A2727:C2727,E2727)&lt;4,"Ligne incomplète",IF(NOT(ISNUMBER(A2727)),"Date invalide",IF(AND(B2727&lt;&gt;"Entrée",B2727&lt;&gt;"Sortie"),"Type inconnu",IF(ISNA(MATCH(C2727,art_ref,0)),"Référence inconnue",IF(OR(NOT(ISNUMBER(E2727)),N(E2727)&lt;=0),"Quantité invalide",IF(K2727&lt;0,"Stock négatif",IF(AND(ISNUMBER(A2726),A2727&lt;A2726),"Date hors ordre","OK"))))))))</f>
        <v/>
      </c>
      <c r="M2727" s="39" t="str">
        <f>IF(C2727="","",C2727&amp;"#"&amp;COUNTIF($C$5:C2727,C2727))</f>
        <v/>
      </c>
    </row>
    <row r="2728">
      <c r="A2728" s="41" t="n"/>
      <c r="B2728" s="37" t="n"/>
      <c r="C2728" s="37" t="n"/>
      <c r="D2728" s="39" t="str">
        <f>IF(C2728="","",IFERROR(INDEX(art_des,MATCH(C2728,art_ref,0))&amp;"","Référence inconnue"))</f>
        <v/>
      </c>
      <c r="E2728" s="37" t="n"/>
      <c r="F2728" s="39" t="str">
        <f>IF(C2728="","",IFERROR(INDEX(art_unit,MATCH(C2728,art_ref,0))&amp;"",""))</f>
        <v/>
      </c>
      <c r="G2728" s="37" t="n"/>
      <c r="H2728" s="37" t="n"/>
      <c r="I2728" s="37" t="n"/>
      <c r="J2728" s="40" t="str">
        <f>IF(OR(C2728="",NOT(ISNUMBER(E2728))),"",IFERROR(E2728*N(INDEX(art_price,MATCH(C2728,art_ref,0))),""))</f>
        <v/>
      </c>
      <c r="K2728" s="39" t="str">
        <f>IF(OR(C2728="",NOT(ISNUMBER(E2728))),"",IFERROR(ROUND(N(INDEX(art_init,MATCH(C2728,art_ref,0)))+SUMIFS($E$5:E2728,$C$5:C2728,C2728,$B$5:B2728,"Entrée")-SUMIFS($E$5:E2728,$C$5:C2728,C2728,$B$5:B2728,"Sortie"),6),""))</f>
        <v/>
      </c>
      <c r="L2728" s="39" t="str">
        <f>IF(COUNTA(A2728:C2728,E2728)=0,"",IF(COUNTA(A2728:C2728,E2728)&lt;4,"Ligne incomplète",IF(NOT(ISNUMBER(A2728)),"Date invalide",IF(AND(B2728&lt;&gt;"Entrée",B2728&lt;&gt;"Sortie"),"Type inconnu",IF(ISNA(MATCH(C2728,art_ref,0)),"Référence inconnue",IF(OR(NOT(ISNUMBER(E2728)),N(E2728)&lt;=0),"Quantité invalide",IF(K2728&lt;0,"Stock négatif",IF(AND(ISNUMBER(A2727),A2728&lt;A2727),"Date hors ordre","OK"))))))))</f>
        <v/>
      </c>
      <c r="M2728" s="39" t="str">
        <f>IF(C2728="","",C2728&amp;"#"&amp;COUNTIF($C$5:C2728,C2728))</f>
        <v/>
      </c>
    </row>
    <row r="2729">
      <c r="A2729" s="41" t="n"/>
      <c r="B2729" s="37" t="n"/>
      <c r="C2729" s="37" t="n"/>
      <c r="D2729" s="39" t="str">
        <f>IF(C2729="","",IFERROR(INDEX(art_des,MATCH(C2729,art_ref,0))&amp;"","Référence inconnue"))</f>
        <v/>
      </c>
      <c r="E2729" s="37" t="n"/>
      <c r="F2729" s="39" t="str">
        <f>IF(C2729="","",IFERROR(INDEX(art_unit,MATCH(C2729,art_ref,0))&amp;"",""))</f>
        <v/>
      </c>
      <c r="G2729" s="37" t="n"/>
      <c r="H2729" s="37" t="n"/>
      <c r="I2729" s="37" t="n"/>
      <c r="J2729" s="40" t="str">
        <f>IF(OR(C2729="",NOT(ISNUMBER(E2729))),"",IFERROR(E2729*N(INDEX(art_price,MATCH(C2729,art_ref,0))),""))</f>
        <v/>
      </c>
      <c r="K2729" s="39" t="str">
        <f>IF(OR(C2729="",NOT(ISNUMBER(E2729))),"",IFERROR(ROUND(N(INDEX(art_init,MATCH(C2729,art_ref,0)))+SUMIFS($E$5:E2729,$C$5:C2729,C2729,$B$5:B2729,"Entrée")-SUMIFS($E$5:E2729,$C$5:C2729,C2729,$B$5:B2729,"Sortie"),6),""))</f>
        <v/>
      </c>
      <c r="L2729" s="39" t="str">
        <f>IF(COUNTA(A2729:C2729,E2729)=0,"",IF(COUNTA(A2729:C2729,E2729)&lt;4,"Ligne incomplète",IF(NOT(ISNUMBER(A2729)),"Date invalide",IF(AND(B2729&lt;&gt;"Entrée",B2729&lt;&gt;"Sortie"),"Type inconnu",IF(ISNA(MATCH(C2729,art_ref,0)),"Référence inconnue",IF(OR(NOT(ISNUMBER(E2729)),N(E2729)&lt;=0),"Quantité invalide",IF(K2729&lt;0,"Stock négatif",IF(AND(ISNUMBER(A2728),A2729&lt;A2728),"Date hors ordre","OK"))))))))</f>
        <v/>
      </c>
      <c r="M2729" s="39" t="str">
        <f>IF(C2729="","",C2729&amp;"#"&amp;COUNTIF($C$5:C2729,C2729))</f>
        <v/>
      </c>
    </row>
    <row r="2730">
      <c r="A2730" s="41" t="n"/>
      <c r="B2730" s="37" t="n"/>
      <c r="C2730" s="37" t="n"/>
      <c r="D2730" s="39" t="str">
        <f>IF(C2730="","",IFERROR(INDEX(art_des,MATCH(C2730,art_ref,0))&amp;"","Référence inconnue"))</f>
        <v/>
      </c>
      <c r="E2730" s="37" t="n"/>
      <c r="F2730" s="39" t="str">
        <f>IF(C2730="","",IFERROR(INDEX(art_unit,MATCH(C2730,art_ref,0))&amp;"",""))</f>
        <v/>
      </c>
      <c r="G2730" s="37" t="n"/>
      <c r="H2730" s="37" t="n"/>
      <c r="I2730" s="37" t="n"/>
      <c r="J2730" s="40" t="str">
        <f>IF(OR(C2730="",NOT(ISNUMBER(E2730))),"",IFERROR(E2730*N(INDEX(art_price,MATCH(C2730,art_ref,0))),""))</f>
        <v/>
      </c>
      <c r="K2730" s="39" t="str">
        <f>IF(OR(C2730="",NOT(ISNUMBER(E2730))),"",IFERROR(ROUND(N(INDEX(art_init,MATCH(C2730,art_ref,0)))+SUMIFS($E$5:E2730,$C$5:C2730,C2730,$B$5:B2730,"Entrée")-SUMIFS($E$5:E2730,$C$5:C2730,C2730,$B$5:B2730,"Sortie"),6),""))</f>
        <v/>
      </c>
      <c r="L2730" s="39" t="str">
        <f>IF(COUNTA(A2730:C2730,E2730)=0,"",IF(COUNTA(A2730:C2730,E2730)&lt;4,"Ligne incomplète",IF(NOT(ISNUMBER(A2730)),"Date invalide",IF(AND(B2730&lt;&gt;"Entrée",B2730&lt;&gt;"Sortie"),"Type inconnu",IF(ISNA(MATCH(C2730,art_ref,0)),"Référence inconnue",IF(OR(NOT(ISNUMBER(E2730)),N(E2730)&lt;=0),"Quantité invalide",IF(K2730&lt;0,"Stock négatif",IF(AND(ISNUMBER(A2729),A2730&lt;A2729),"Date hors ordre","OK"))))))))</f>
        <v/>
      </c>
      <c r="M2730" s="39" t="str">
        <f>IF(C2730="","",C2730&amp;"#"&amp;COUNTIF($C$5:C2730,C2730))</f>
        <v/>
      </c>
    </row>
    <row r="2731">
      <c r="A2731" s="41" t="n"/>
      <c r="B2731" s="37" t="n"/>
      <c r="C2731" s="37" t="n"/>
      <c r="D2731" s="39" t="str">
        <f>IF(C2731="","",IFERROR(INDEX(art_des,MATCH(C2731,art_ref,0))&amp;"","Référence inconnue"))</f>
        <v/>
      </c>
      <c r="E2731" s="37" t="n"/>
      <c r="F2731" s="39" t="str">
        <f>IF(C2731="","",IFERROR(INDEX(art_unit,MATCH(C2731,art_ref,0))&amp;"",""))</f>
        <v/>
      </c>
      <c r="G2731" s="37" t="n"/>
      <c r="H2731" s="37" t="n"/>
      <c r="I2731" s="37" t="n"/>
      <c r="J2731" s="40" t="str">
        <f>IF(OR(C2731="",NOT(ISNUMBER(E2731))),"",IFERROR(E2731*N(INDEX(art_price,MATCH(C2731,art_ref,0))),""))</f>
        <v/>
      </c>
      <c r="K2731" s="39" t="str">
        <f>IF(OR(C2731="",NOT(ISNUMBER(E2731))),"",IFERROR(ROUND(N(INDEX(art_init,MATCH(C2731,art_ref,0)))+SUMIFS($E$5:E2731,$C$5:C2731,C2731,$B$5:B2731,"Entrée")-SUMIFS($E$5:E2731,$C$5:C2731,C2731,$B$5:B2731,"Sortie"),6),""))</f>
        <v/>
      </c>
      <c r="L2731" s="39" t="str">
        <f>IF(COUNTA(A2731:C2731,E2731)=0,"",IF(COUNTA(A2731:C2731,E2731)&lt;4,"Ligne incomplète",IF(NOT(ISNUMBER(A2731)),"Date invalide",IF(AND(B2731&lt;&gt;"Entrée",B2731&lt;&gt;"Sortie"),"Type inconnu",IF(ISNA(MATCH(C2731,art_ref,0)),"Référence inconnue",IF(OR(NOT(ISNUMBER(E2731)),N(E2731)&lt;=0),"Quantité invalide",IF(K2731&lt;0,"Stock négatif",IF(AND(ISNUMBER(A2730),A2731&lt;A2730),"Date hors ordre","OK"))))))))</f>
        <v/>
      </c>
      <c r="M2731" s="39" t="str">
        <f>IF(C2731="","",C2731&amp;"#"&amp;COUNTIF($C$5:C2731,C2731))</f>
        <v/>
      </c>
    </row>
    <row r="2732">
      <c r="A2732" s="41" t="n"/>
      <c r="B2732" s="37" t="n"/>
      <c r="C2732" s="37" t="n"/>
      <c r="D2732" s="39" t="str">
        <f>IF(C2732="","",IFERROR(INDEX(art_des,MATCH(C2732,art_ref,0))&amp;"","Référence inconnue"))</f>
        <v/>
      </c>
      <c r="E2732" s="37" t="n"/>
      <c r="F2732" s="39" t="str">
        <f>IF(C2732="","",IFERROR(INDEX(art_unit,MATCH(C2732,art_ref,0))&amp;"",""))</f>
        <v/>
      </c>
      <c r="G2732" s="37" t="n"/>
      <c r="H2732" s="37" t="n"/>
      <c r="I2732" s="37" t="n"/>
      <c r="J2732" s="40" t="str">
        <f>IF(OR(C2732="",NOT(ISNUMBER(E2732))),"",IFERROR(E2732*N(INDEX(art_price,MATCH(C2732,art_ref,0))),""))</f>
        <v/>
      </c>
      <c r="K2732" s="39" t="str">
        <f>IF(OR(C2732="",NOT(ISNUMBER(E2732))),"",IFERROR(ROUND(N(INDEX(art_init,MATCH(C2732,art_ref,0)))+SUMIFS($E$5:E2732,$C$5:C2732,C2732,$B$5:B2732,"Entrée")-SUMIFS($E$5:E2732,$C$5:C2732,C2732,$B$5:B2732,"Sortie"),6),""))</f>
        <v/>
      </c>
      <c r="L2732" s="39" t="str">
        <f>IF(COUNTA(A2732:C2732,E2732)=0,"",IF(COUNTA(A2732:C2732,E2732)&lt;4,"Ligne incomplète",IF(NOT(ISNUMBER(A2732)),"Date invalide",IF(AND(B2732&lt;&gt;"Entrée",B2732&lt;&gt;"Sortie"),"Type inconnu",IF(ISNA(MATCH(C2732,art_ref,0)),"Référence inconnue",IF(OR(NOT(ISNUMBER(E2732)),N(E2732)&lt;=0),"Quantité invalide",IF(K2732&lt;0,"Stock négatif",IF(AND(ISNUMBER(A2731),A2732&lt;A2731),"Date hors ordre","OK"))))))))</f>
        <v/>
      </c>
      <c r="M2732" s="39" t="str">
        <f>IF(C2732="","",C2732&amp;"#"&amp;COUNTIF($C$5:C2732,C2732))</f>
        <v/>
      </c>
    </row>
    <row r="2733">
      <c r="A2733" s="41" t="n"/>
      <c r="B2733" s="37" t="n"/>
      <c r="C2733" s="37" t="n"/>
      <c r="D2733" s="39" t="str">
        <f>IF(C2733="","",IFERROR(INDEX(art_des,MATCH(C2733,art_ref,0))&amp;"","Référence inconnue"))</f>
        <v/>
      </c>
      <c r="E2733" s="37" t="n"/>
      <c r="F2733" s="39" t="str">
        <f>IF(C2733="","",IFERROR(INDEX(art_unit,MATCH(C2733,art_ref,0))&amp;"",""))</f>
        <v/>
      </c>
      <c r="G2733" s="37" t="n"/>
      <c r="H2733" s="37" t="n"/>
      <c r="I2733" s="37" t="n"/>
      <c r="J2733" s="40" t="str">
        <f>IF(OR(C2733="",NOT(ISNUMBER(E2733))),"",IFERROR(E2733*N(INDEX(art_price,MATCH(C2733,art_ref,0))),""))</f>
        <v/>
      </c>
      <c r="K2733" s="39" t="str">
        <f>IF(OR(C2733="",NOT(ISNUMBER(E2733))),"",IFERROR(ROUND(N(INDEX(art_init,MATCH(C2733,art_ref,0)))+SUMIFS($E$5:E2733,$C$5:C2733,C2733,$B$5:B2733,"Entrée")-SUMIFS($E$5:E2733,$C$5:C2733,C2733,$B$5:B2733,"Sortie"),6),""))</f>
        <v/>
      </c>
      <c r="L2733" s="39" t="str">
        <f>IF(COUNTA(A2733:C2733,E2733)=0,"",IF(COUNTA(A2733:C2733,E2733)&lt;4,"Ligne incomplète",IF(NOT(ISNUMBER(A2733)),"Date invalide",IF(AND(B2733&lt;&gt;"Entrée",B2733&lt;&gt;"Sortie"),"Type inconnu",IF(ISNA(MATCH(C2733,art_ref,0)),"Référence inconnue",IF(OR(NOT(ISNUMBER(E2733)),N(E2733)&lt;=0),"Quantité invalide",IF(K2733&lt;0,"Stock négatif",IF(AND(ISNUMBER(A2732),A2733&lt;A2732),"Date hors ordre","OK"))))))))</f>
        <v/>
      </c>
      <c r="M2733" s="39" t="str">
        <f>IF(C2733="","",C2733&amp;"#"&amp;COUNTIF($C$5:C2733,C2733))</f>
        <v/>
      </c>
    </row>
    <row r="2734">
      <c r="A2734" s="41" t="n"/>
      <c r="B2734" s="37" t="n"/>
      <c r="C2734" s="37" t="n"/>
      <c r="D2734" s="39" t="str">
        <f>IF(C2734="","",IFERROR(INDEX(art_des,MATCH(C2734,art_ref,0))&amp;"","Référence inconnue"))</f>
        <v/>
      </c>
      <c r="E2734" s="37" t="n"/>
      <c r="F2734" s="39" t="str">
        <f>IF(C2734="","",IFERROR(INDEX(art_unit,MATCH(C2734,art_ref,0))&amp;"",""))</f>
        <v/>
      </c>
      <c r="G2734" s="37" t="n"/>
      <c r="H2734" s="37" t="n"/>
      <c r="I2734" s="37" t="n"/>
      <c r="J2734" s="40" t="str">
        <f>IF(OR(C2734="",NOT(ISNUMBER(E2734))),"",IFERROR(E2734*N(INDEX(art_price,MATCH(C2734,art_ref,0))),""))</f>
        <v/>
      </c>
      <c r="K2734" s="39" t="str">
        <f>IF(OR(C2734="",NOT(ISNUMBER(E2734))),"",IFERROR(ROUND(N(INDEX(art_init,MATCH(C2734,art_ref,0)))+SUMIFS($E$5:E2734,$C$5:C2734,C2734,$B$5:B2734,"Entrée")-SUMIFS($E$5:E2734,$C$5:C2734,C2734,$B$5:B2734,"Sortie"),6),""))</f>
        <v/>
      </c>
      <c r="L2734" s="39" t="str">
        <f>IF(COUNTA(A2734:C2734,E2734)=0,"",IF(COUNTA(A2734:C2734,E2734)&lt;4,"Ligne incomplète",IF(NOT(ISNUMBER(A2734)),"Date invalide",IF(AND(B2734&lt;&gt;"Entrée",B2734&lt;&gt;"Sortie"),"Type inconnu",IF(ISNA(MATCH(C2734,art_ref,0)),"Référence inconnue",IF(OR(NOT(ISNUMBER(E2734)),N(E2734)&lt;=0),"Quantité invalide",IF(K2734&lt;0,"Stock négatif",IF(AND(ISNUMBER(A2733),A2734&lt;A2733),"Date hors ordre","OK"))))))))</f>
        <v/>
      </c>
      <c r="M2734" s="39" t="str">
        <f>IF(C2734="","",C2734&amp;"#"&amp;COUNTIF($C$5:C2734,C2734))</f>
        <v/>
      </c>
    </row>
    <row r="2735">
      <c r="A2735" s="41" t="n"/>
      <c r="B2735" s="37" t="n"/>
      <c r="C2735" s="37" t="n"/>
      <c r="D2735" s="39" t="str">
        <f>IF(C2735="","",IFERROR(INDEX(art_des,MATCH(C2735,art_ref,0))&amp;"","Référence inconnue"))</f>
        <v/>
      </c>
      <c r="E2735" s="37" t="n"/>
      <c r="F2735" s="39" t="str">
        <f>IF(C2735="","",IFERROR(INDEX(art_unit,MATCH(C2735,art_ref,0))&amp;"",""))</f>
        <v/>
      </c>
      <c r="G2735" s="37" t="n"/>
      <c r="H2735" s="37" t="n"/>
      <c r="I2735" s="37" t="n"/>
      <c r="J2735" s="40" t="str">
        <f>IF(OR(C2735="",NOT(ISNUMBER(E2735))),"",IFERROR(E2735*N(INDEX(art_price,MATCH(C2735,art_ref,0))),""))</f>
        <v/>
      </c>
      <c r="K2735" s="39" t="str">
        <f>IF(OR(C2735="",NOT(ISNUMBER(E2735))),"",IFERROR(ROUND(N(INDEX(art_init,MATCH(C2735,art_ref,0)))+SUMIFS($E$5:E2735,$C$5:C2735,C2735,$B$5:B2735,"Entrée")-SUMIFS($E$5:E2735,$C$5:C2735,C2735,$B$5:B2735,"Sortie"),6),""))</f>
        <v/>
      </c>
      <c r="L2735" s="39" t="str">
        <f>IF(COUNTA(A2735:C2735,E2735)=0,"",IF(COUNTA(A2735:C2735,E2735)&lt;4,"Ligne incomplète",IF(NOT(ISNUMBER(A2735)),"Date invalide",IF(AND(B2735&lt;&gt;"Entrée",B2735&lt;&gt;"Sortie"),"Type inconnu",IF(ISNA(MATCH(C2735,art_ref,0)),"Référence inconnue",IF(OR(NOT(ISNUMBER(E2735)),N(E2735)&lt;=0),"Quantité invalide",IF(K2735&lt;0,"Stock négatif",IF(AND(ISNUMBER(A2734),A2735&lt;A2734),"Date hors ordre","OK"))))))))</f>
        <v/>
      </c>
      <c r="M2735" s="39" t="str">
        <f>IF(C2735="","",C2735&amp;"#"&amp;COUNTIF($C$5:C2735,C2735))</f>
        <v/>
      </c>
    </row>
    <row r="2736">
      <c r="A2736" s="41" t="n"/>
      <c r="B2736" s="37" t="n"/>
      <c r="C2736" s="37" t="n"/>
      <c r="D2736" s="39" t="str">
        <f>IF(C2736="","",IFERROR(INDEX(art_des,MATCH(C2736,art_ref,0))&amp;"","Référence inconnue"))</f>
        <v/>
      </c>
      <c r="E2736" s="37" t="n"/>
      <c r="F2736" s="39" t="str">
        <f>IF(C2736="","",IFERROR(INDEX(art_unit,MATCH(C2736,art_ref,0))&amp;"",""))</f>
        <v/>
      </c>
      <c r="G2736" s="37" t="n"/>
      <c r="H2736" s="37" t="n"/>
      <c r="I2736" s="37" t="n"/>
      <c r="J2736" s="40" t="str">
        <f>IF(OR(C2736="",NOT(ISNUMBER(E2736))),"",IFERROR(E2736*N(INDEX(art_price,MATCH(C2736,art_ref,0))),""))</f>
        <v/>
      </c>
      <c r="K2736" s="39" t="str">
        <f>IF(OR(C2736="",NOT(ISNUMBER(E2736))),"",IFERROR(ROUND(N(INDEX(art_init,MATCH(C2736,art_ref,0)))+SUMIFS($E$5:E2736,$C$5:C2736,C2736,$B$5:B2736,"Entrée")-SUMIFS($E$5:E2736,$C$5:C2736,C2736,$B$5:B2736,"Sortie"),6),""))</f>
        <v/>
      </c>
      <c r="L2736" s="39" t="str">
        <f>IF(COUNTA(A2736:C2736,E2736)=0,"",IF(COUNTA(A2736:C2736,E2736)&lt;4,"Ligne incomplète",IF(NOT(ISNUMBER(A2736)),"Date invalide",IF(AND(B2736&lt;&gt;"Entrée",B2736&lt;&gt;"Sortie"),"Type inconnu",IF(ISNA(MATCH(C2736,art_ref,0)),"Référence inconnue",IF(OR(NOT(ISNUMBER(E2736)),N(E2736)&lt;=0),"Quantité invalide",IF(K2736&lt;0,"Stock négatif",IF(AND(ISNUMBER(A2735),A2736&lt;A2735),"Date hors ordre","OK"))))))))</f>
        <v/>
      </c>
      <c r="M2736" s="39" t="str">
        <f>IF(C2736="","",C2736&amp;"#"&amp;COUNTIF($C$5:C2736,C2736))</f>
        <v/>
      </c>
    </row>
    <row r="2737">
      <c r="A2737" s="41" t="n"/>
      <c r="B2737" s="37" t="n"/>
      <c r="C2737" s="37" t="n"/>
      <c r="D2737" s="39" t="str">
        <f>IF(C2737="","",IFERROR(INDEX(art_des,MATCH(C2737,art_ref,0))&amp;"","Référence inconnue"))</f>
        <v/>
      </c>
      <c r="E2737" s="37" t="n"/>
      <c r="F2737" s="39" t="str">
        <f>IF(C2737="","",IFERROR(INDEX(art_unit,MATCH(C2737,art_ref,0))&amp;"",""))</f>
        <v/>
      </c>
      <c r="G2737" s="37" t="n"/>
      <c r="H2737" s="37" t="n"/>
      <c r="I2737" s="37" t="n"/>
      <c r="J2737" s="40" t="str">
        <f>IF(OR(C2737="",NOT(ISNUMBER(E2737))),"",IFERROR(E2737*N(INDEX(art_price,MATCH(C2737,art_ref,0))),""))</f>
        <v/>
      </c>
      <c r="K2737" s="39" t="str">
        <f>IF(OR(C2737="",NOT(ISNUMBER(E2737))),"",IFERROR(ROUND(N(INDEX(art_init,MATCH(C2737,art_ref,0)))+SUMIFS($E$5:E2737,$C$5:C2737,C2737,$B$5:B2737,"Entrée")-SUMIFS($E$5:E2737,$C$5:C2737,C2737,$B$5:B2737,"Sortie"),6),""))</f>
        <v/>
      </c>
      <c r="L2737" s="39" t="str">
        <f>IF(COUNTA(A2737:C2737,E2737)=0,"",IF(COUNTA(A2737:C2737,E2737)&lt;4,"Ligne incomplète",IF(NOT(ISNUMBER(A2737)),"Date invalide",IF(AND(B2737&lt;&gt;"Entrée",B2737&lt;&gt;"Sortie"),"Type inconnu",IF(ISNA(MATCH(C2737,art_ref,0)),"Référence inconnue",IF(OR(NOT(ISNUMBER(E2737)),N(E2737)&lt;=0),"Quantité invalide",IF(K2737&lt;0,"Stock négatif",IF(AND(ISNUMBER(A2736),A2737&lt;A2736),"Date hors ordre","OK"))))))))</f>
        <v/>
      </c>
      <c r="M2737" s="39" t="str">
        <f>IF(C2737="","",C2737&amp;"#"&amp;COUNTIF($C$5:C2737,C2737))</f>
        <v/>
      </c>
    </row>
    <row r="2738">
      <c r="A2738" s="41" t="n"/>
      <c r="B2738" s="37" t="n"/>
      <c r="C2738" s="37" t="n"/>
      <c r="D2738" s="39" t="str">
        <f>IF(C2738="","",IFERROR(INDEX(art_des,MATCH(C2738,art_ref,0))&amp;"","Référence inconnue"))</f>
        <v/>
      </c>
      <c r="E2738" s="37" t="n"/>
      <c r="F2738" s="39" t="str">
        <f>IF(C2738="","",IFERROR(INDEX(art_unit,MATCH(C2738,art_ref,0))&amp;"",""))</f>
        <v/>
      </c>
      <c r="G2738" s="37" t="n"/>
      <c r="H2738" s="37" t="n"/>
      <c r="I2738" s="37" t="n"/>
      <c r="J2738" s="40" t="str">
        <f>IF(OR(C2738="",NOT(ISNUMBER(E2738))),"",IFERROR(E2738*N(INDEX(art_price,MATCH(C2738,art_ref,0))),""))</f>
        <v/>
      </c>
      <c r="K2738" s="39" t="str">
        <f>IF(OR(C2738="",NOT(ISNUMBER(E2738))),"",IFERROR(ROUND(N(INDEX(art_init,MATCH(C2738,art_ref,0)))+SUMIFS($E$5:E2738,$C$5:C2738,C2738,$B$5:B2738,"Entrée")-SUMIFS($E$5:E2738,$C$5:C2738,C2738,$B$5:B2738,"Sortie"),6),""))</f>
        <v/>
      </c>
      <c r="L2738" s="39" t="str">
        <f>IF(COUNTA(A2738:C2738,E2738)=0,"",IF(COUNTA(A2738:C2738,E2738)&lt;4,"Ligne incomplète",IF(NOT(ISNUMBER(A2738)),"Date invalide",IF(AND(B2738&lt;&gt;"Entrée",B2738&lt;&gt;"Sortie"),"Type inconnu",IF(ISNA(MATCH(C2738,art_ref,0)),"Référence inconnue",IF(OR(NOT(ISNUMBER(E2738)),N(E2738)&lt;=0),"Quantité invalide",IF(K2738&lt;0,"Stock négatif",IF(AND(ISNUMBER(A2737),A2738&lt;A2737),"Date hors ordre","OK"))))))))</f>
        <v/>
      </c>
      <c r="M2738" s="39" t="str">
        <f>IF(C2738="","",C2738&amp;"#"&amp;COUNTIF($C$5:C2738,C2738))</f>
        <v/>
      </c>
    </row>
    <row r="2739">
      <c r="A2739" s="41" t="n"/>
      <c r="B2739" s="37" t="n"/>
      <c r="C2739" s="37" t="n"/>
      <c r="D2739" s="39" t="str">
        <f>IF(C2739="","",IFERROR(INDEX(art_des,MATCH(C2739,art_ref,0))&amp;"","Référence inconnue"))</f>
        <v/>
      </c>
      <c r="E2739" s="37" t="n"/>
      <c r="F2739" s="39" t="str">
        <f>IF(C2739="","",IFERROR(INDEX(art_unit,MATCH(C2739,art_ref,0))&amp;"",""))</f>
        <v/>
      </c>
      <c r="G2739" s="37" t="n"/>
      <c r="H2739" s="37" t="n"/>
      <c r="I2739" s="37" t="n"/>
      <c r="J2739" s="40" t="str">
        <f>IF(OR(C2739="",NOT(ISNUMBER(E2739))),"",IFERROR(E2739*N(INDEX(art_price,MATCH(C2739,art_ref,0))),""))</f>
        <v/>
      </c>
      <c r="K2739" s="39" t="str">
        <f>IF(OR(C2739="",NOT(ISNUMBER(E2739))),"",IFERROR(ROUND(N(INDEX(art_init,MATCH(C2739,art_ref,0)))+SUMIFS($E$5:E2739,$C$5:C2739,C2739,$B$5:B2739,"Entrée")-SUMIFS($E$5:E2739,$C$5:C2739,C2739,$B$5:B2739,"Sortie"),6),""))</f>
        <v/>
      </c>
      <c r="L2739" s="39" t="str">
        <f>IF(COUNTA(A2739:C2739,E2739)=0,"",IF(COUNTA(A2739:C2739,E2739)&lt;4,"Ligne incomplète",IF(NOT(ISNUMBER(A2739)),"Date invalide",IF(AND(B2739&lt;&gt;"Entrée",B2739&lt;&gt;"Sortie"),"Type inconnu",IF(ISNA(MATCH(C2739,art_ref,0)),"Référence inconnue",IF(OR(NOT(ISNUMBER(E2739)),N(E2739)&lt;=0),"Quantité invalide",IF(K2739&lt;0,"Stock négatif",IF(AND(ISNUMBER(A2738),A2739&lt;A2738),"Date hors ordre","OK"))))))))</f>
        <v/>
      </c>
      <c r="M2739" s="39" t="str">
        <f>IF(C2739="","",C2739&amp;"#"&amp;COUNTIF($C$5:C2739,C2739))</f>
        <v/>
      </c>
    </row>
    <row r="2740">
      <c r="A2740" s="41" t="n"/>
      <c r="B2740" s="37" t="n"/>
      <c r="C2740" s="37" t="n"/>
      <c r="D2740" s="39" t="str">
        <f>IF(C2740="","",IFERROR(INDEX(art_des,MATCH(C2740,art_ref,0))&amp;"","Référence inconnue"))</f>
        <v/>
      </c>
      <c r="E2740" s="37" t="n"/>
      <c r="F2740" s="39" t="str">
        <f>IF(C2740="","",IFERROR(INDEX(art_unit,MATCH(C2740,art_ref,0))&amp;"",""))</f>
        <v/>
      </c>
      <c r="G2740" s="37" t="n"/>
      <c r="H2740" s="37" t="n"/>
      <c r="I2740" s="37" t="n"/>
      <c r="J2740" s="40" t="str">
        <f>IF(OR(C2740="",NOT(ISNUMBER(E2740))),"",IFERROR(E2740*N(INDEX(art_price,MATCH(C2740,art_ref,0))),""))</f>
        <v/>
      </c>
      <c r="K2740" s="39" t="str">
        <f>IF(OR(C2740="",NOT(ISNUMBER(E2740))),"",IFERROR(ROUND(N(INDEX(art_init,MATCH(C2740,art_ref,0)))+SUMIFS($E$5:E2740,$C$5:C2740,C2740,$B$5:B2740,"Entrée")-SUMIFS($E$5:E2740,$C$5:C2740,C2740,$B$5:B2740,"Sortie"),6),""))</f>
        <v/>
      </c>
      <c r="L2740" s="39" t="str">
        <f>IF(COUNTA(A2740:C2740,E2740)=0,"",IF(COUNTA(A2740:C2740,E2740)&lt;4,"Ligne incomplète",IF(NOT(ISNUMBER(A2740)),"Date invalide",IF(AND(B2740&lt;&gt;"Entrée",B2740&lt;&gt;"Sortie"),"Type inconnu",IF(ISNA(MATCH(C2740,art_ref,0)),"Référence inconnue",IF(OR(NOT(ISNUMBER(E2740)),N(E2740)&lt;=0),"Quantité invalide",IF(K2740&lt;0,"Stock négatif",IF(AND(ISNUMBER(A2739),A2740&lt;A2739),"Date hors ordre","OK"))))))))</f>
        <v/>
      </c>
      <c r="M2740" s="39" t="str">
        <f>IF(C2740="","",C2740&amp;"#"&amp;COUNTIF($C$5:C2740,C2740))</f>
        <v/>
      </c>
    </row>
    <row r="2741">
      <c r="A2741" s="41" t="n"/>
      <c r="B2741" s="37" t="n"/>
      <c r="C2741" s="37" t="n"/>
      <c r="D2741" s="39" t="str">
        <f>IF(C2741="","",IFERROR(INDEX(art_des,MATCH(C2741,art_ref,0))&amp;"","Référence inconnue"))</f>
        <v/>
      </c>
      <c r="E2741" s="37" t="n"/>
      <c r="F2741" s="39" t="str">
        <f>IF(C2741="","",IFERROR(INDEX(art_unit,MATCH(C2741,art_ref,0))&amp;"",""))</f>
        <v/>
      </c>
      <c r="G2741" s="37" t="n"/>
      <c r="H2741" s="37" t="n"/>
      <c r="I2741" s="37" t="n"/>
      <c r="J2741" s="40" t="str">
        <f>IF(OR(C2741="",NOT(ISNUMBER(E2741))),"",IFERROR(E2741*N(INDEX(art_price,MATCH(C2741,art_ref,0))),""))</f>
        <v/>
      </c>
      <c r="K2741" s="39" t="str">
        <f>IF(OR(C2741="",NOT(ISNUMBER(E2741))),"",IFERROR(ROUND(N(INDEX(art_init,MATCH(C2741,art_ref,0)))+SUMIFS($E$5:E2741,$C$5:C2741,C2741,$B$5:B2741,"Entrée")-SUMIFS($E$5:E2741,$C$5:C2741,C2741,$B$5:B2741,"Sortie"),6),""))</f>
        <v/>
      </c>
      <c r="L2741" s="39" t="str">
        <f>IF(COUNTA(A2741:C2741,E2741)=0,"",IF(COUNTA(A2741:C2741,E2741)&lt;4,"Ligne incomplète",IF(NOT(ISNUMBER(A2741)),"Date invalide",IF(AND(B2741&lt;&gt;"Entrée",B2741&lt;&gt;"Sortie"),"Type inconnu",IF(ISNA(MATCH(C2741,art_ref,0)),"Référence inconnue",IF(OR(NOT(ISNUMBER(E2741)),N(E2741)&lt;=0),"Quantité invalide",IF(K2741&lt;0,"Stock négatif",IF(AND(ISNUMBER(A2740),A2741&lt;A2740),"Date hors ordre","OK"))))))))</f>
        <v/>
      </c>
      <c r="M2741" s="39" t="str">
        <f>IF(C2741="","",C2741&amp;"#"&amp;COUNTIF($C$5:C2741,C2741))</f>
        <v/>
      </c>
    </row>
    <row r="2742">
      <c r="A2742" s="41" t="n"/>
      <c r="B2742" s="37" t="n"/>
      <c r="C2742" s="37" t="n"/>
      <c r="D2742" s="39" t="str">
        <f>IF(C2742="","",IFERROR(INDEX(art_des,MATCH(C2742,art_ref,0))&amp;"","Référence inconnue"))</f>
        <v/>
      </c>
      <c r="E2742" s="37" t="n"/>
      <c r="F2742" s="39" t="str">
        <f>IF(C2742="","",IFERROR(INDEX(art_unit,MATCH(C2742,art_ref,0))&amp;"",""))</f>
        <v/>
      </c>
      <c r="G2742" s="37" t="n"/>
      <c r="H2742" s="37" t="n"/>
      <c r="I2742" s="37" t="n"/>
      <c r="J2742" s="40" t="str">
        <f>IF(OR(C2742="",NOT(ISNUMBER(E2742))),"",IFERROR(E2742*N(INDEX(art_price,MATCH(C2742,art_ref,0))),""))</f>
        <v/>
      </c>
      <c r="K2742" s="39" t="str">
        <f>IF(OR(C2742="",NOT(ISNUMBER(E2742))),"",IFERROR(ROUND(N(INDEX(art_init,MATCH(C2742,art_ref,0)))+SUMIFS($E$5:E2742,$C$5:C2742,C2742,$B$5:B2742,"Entrée")-SUMIFS($E$5:E2742,$C$5:C2742,C2742,$B$5:B2742,"Sortie"),6),""))</f>
        <v/>
      </c>
      <c r="L2742" s="39" t="str">
        <f>IF(COUNTA(A2742:C2742,E2742)=0,"",IF(COUNTA(A2742:C2742,E2742)&lt;4,"Ligne incomplète",IF(NOT(ISNUMBER(A2742)),"Date invalide",IF(AND(B2742&lt;&gt;"Entrée",B2742&lt;&gt;"Sortie"),"Type inconnu",IF(ISNA(MATCH(C2742,art_ref,0)),"Référence inconnue",IF(OR(NOT(ISNUMBER(E2742)),N(E2742)&lt;=0),"Quantité invalide",IF(K2742&lt;0,"Stock négatif",IF(AND(ISNUMBER(A2741),A2742&lt;A2741),"Date hors ordre","OK"))))))))</f>
        <v/>
      </c>
      <c r="M2742" s="39" t="str">
        <f>IF(C2742="","",C2742&amp;"#"&amp;COUNTIF($C$5:C2742,C2742))</f>
        <v/>
      </c>
    </row>
    <row r="2743">
      <c r="A2743" s="41" t="n"/>
      <c r="B2743" s="37" t="n"/>
      <c r="C2743" s="37" t="n"/>
      <c r="D2743" s="39" t="str">
        <f>IF(C2743="","",IFERROR(INDEX(art_des,MATCH(C2743,art_ref,0))&amp;"","Référence inconnue"))</f>
        <v/>
      </c>
      <c r="E2743" s="37" t="n"/>
      <c r="F2743" s="39" t="str">
        <f>IF(C2743="","",IFERROR(INDEX(art_unit,MATCH(C2743,art_ref,0))&amp;"",""))</f>
        <v/>
      </c>
      <c r="G2743" s="37" t="n"/>
      <c r="H2743" s="37" t="n"/>
      <c r="I2743" s="37" t="n"/>
      <c r="J2743" s="40" t="str">
        <f>IF(OR(C2743="",NOT(ISNUMBER(E2743))),"",IFERROR(E2743*N(INDEX(art_price,MATCH(C2743,art_ref,0))),""))</f>
        <v/>
      </c>
      <c r="K2743" s="39" t="str">
        <f>IF(OR(C2743="",NOT(ISNUMBER(E2743))),"",IFERROR(ROUND(N(INDEX(art_init,MATCH(C2743,art_ref,0)))+SUMIFS($E$5:E2743,$C$5:C2743,C2743,$B$5:B2743,"Entrée")-SUMIFS($E$5:E2743,$C$5:C2743,C2743,$B$5:B2743,"Sortie"),6),""))</f>
        <v/>
      </c>
      <c r="L2743" s="39" t="str">
        <f>IF(COUNTA(A2743:C2743,E2743)=0,"",IF(COUNTA(A2743:C2743,E2743)&lt;4,"Ligne incomplète",IF(NOT(ISNUMBER(A2743)),"Date invalide",IF(AND(B2743&lt;&gt;"Entrée",B2743&lt;&gt;"Sortie"),"Type inconnu",IF(ISNA(MATCH(C2743,art_ref,0)),"Référence inconnue",IF(OR(NOT(ISNUMBER(E2743)),N(E2743)&lt;=0),"Quantité invalide",IF(K2743&lt;0,"Stock négatif",IF(AND(ISNUMBER(A2742),A2743&lt;A2742),"Date hors ordre","OK"))))))))</f>
        <v/>
      </c>
      <c r="M2743" s="39" t="str">
        <f>IF(C2743="","",C2743&amp;"#"&amp;COUNTIF($C$5:C2743,C2743))</f>
        <v/>
      </c>
    </row>
    <row r="2744">
      <c r="A2744" s="41" t="n"/>
      <c r="B2744" s="37" t="n"/>
      <c r="C2744" s="37" t="n"/>
      <c r="D2744" s="39" t="str">
        <f>IF(C2744="","",IFERROR(INDEX(art_des,MATCH(C2744,art_ref,0))&amp;"","Référence inconnue"))</f>
        <v/>
      </c>
      <c r="E2744" s="37" t="n"/>
      <c r="F2744" s="39" t="str">
        <f>IF(C2744="","",IFERROR(INDEX(art_unit,MATCH(C2744,art_ref,0))&amp;"",""))</f>
        <v/>
      </c>
      <c r="G2744" s="37" t="n"/>
      <c r="H2744" s="37" t="n"/>
      <c r="I2744" s="37" t="n"/>
      <c r="J2744" s="40" t="str">
        <f>IF(OR(C2744="",NOT(ISNUMBER(E2744))),"",IFERROR(E2744*N(INDEX(art_price,MATCH(C2744,art_ref,0))),""))</f>
        <v/>
      </c>
      <c r="K2744" s="39" t="str">
        <f>IF(OR(C2744="",NOT(ISNUMBER(E2744))),"",IFERROR(ROUND(N(INDEX(art_init,MATCH(C2744,art_ref,0)))+SUMIFS($E$5:E2744,$C$5:C2744,C2744,$B$5:B2744,"Entrée")-SUMIFS($E$5:E2744,$C$5:C2744,C2744,$B$5:B2744,"Sortie"),6),""))</f>
        <v/>
      </c>
      <c r="L2744" s="39" t="str">
        <f>IF(COUNTA(A2744:C2744,E2744)=0,"",IF(COUNTA(A2744:C2744,E2744)&lt;4,"Ligne incomplète",IF(NOT(ISNUMBER(A2744)),"Date invalide",IF(AND(B2744&lt;&gt;"Entrée",B2744&lt;&gt;"Sortie"),"Type inconnu",IF(ISNA(MATCH(C2744,art_ref,0)),"Référence inconnue",IF(OR(NOT(ISNUMBER(E2744)),N(E2744)&lt;=0),"Quantité invalide",IF(K2744&lt;0,"Stock négatif",IF(AND(ISNUMBER(A2743),A2744&lt;A2743),"Date hors ordre","OK"))))))))</f>
        <v/>
      </c>
      <c r="M2744" s="39" t="str">
        <f>IF(C2744="","",C2744&amp;"#"&amp;COUNTIF($C$5:C2744,C2744))</f>
        <v/>
      </c>
    </row>
    <row r="2745">
      <c r="A2745" s="41" t="n"/>
      <c r="B2745" s="37" t="n"/>
      <c r="C2745" s="37" t="n"/>
      <c r="D2745" s="39" t="str">
        <f>IF(C2745="","",IFERROR(INDEX(art_des,MATCH(C2745,art_ref,0))&amp;"","Référence inconnue"))</f>
        <v/>
      </c>
      <c r="E2745" s="37" t="n"/>
      <c r="F2745" s="39" t="str">
        <f>IF(C2745="","",IFERROR(INDEX(art_unit,MATCH(C2745,art_ref,0))&amp;"",""))</f>
        <v/>
      </c>
      <c r="G2745" s="37" t="n"/>
      <c r="H2745" s="37" t="n"/>
      <c r="I2745" s="37" t="n"/>
      <c r="J2745" s="40" t="str">
        <f>IF(OR(C2745="",NOT(ISNUMBER(E2745))),"",IFERROR(E2745*N(INDEX(art_price,MATCH(C2745,art_ref,0))),""))</f>
        <v/>
      </c>
      <c r="K2745" s="39" t="str">
        <f>IF(OR(C2745="",NOT(ISNUMBER(E2745))),"",IFERROR(ROUND(N(INDEX(art_init,MATCH(C2745,art_ref,0)))+SUMIFS($E$5:E2745,$C$5:C2745,C2745,$B$5:B2745,"Entrée")-SUMIFS($E$5:E2745,$C$5:C2745,C2745,$B$5:B2745,"Sortie"),6),""))</f>
        <v/>
      </c>
      <c r="L2745" s="39" t="str">
        <f>IF(COUNTA(A2745:C2745,E2745)=0,"",IF(COUNTA(A2745:C2745,E2745)&lt;4,"Ligne incomplète",IF(NOT(ISNUMBER(A2745)),"Date invalide",IF(AND(B2745&lt;&gt;"Entrée",B2745&lt;&gt;"Sortie"),"Type inconnu",IF(ISNA(MATCH(C2745,art_ref,0)),"Référence inconnue",IF(OR(NOT(ISNUMBER(E2745)),N(E2745)&lt;=0),"Quantité invalide",IF(K2745&lt;0,"Stock négatif",IF(AND(ISNUMBER(A2744),A2745&lt;A2744),"Date hors ordre","OK"))))))))</f>
        <v/>
      </c>
      <c r="M2745" s="39" t="str">
        <f>IF(C2745="","",C2745&amp;"#"&amp;COUNTIF($C$5:C2745,C2745))</f>
        <v/>
      </c>
    </row>
    <row r="2746">
      <c r="A2746" s="41" t="n"/>
      <c r="B2746" s="37" t="n"/>
      <c r="C2746" s="37" t="n"/>
      <c r="D2746" s="39" t="str">
        <f>IF(C2746="","",IFERROR(INDEX(art_des,MATCH(C2746,art_ref,0))&amp;"","Référence inconnue"))</f>
        <v/>
      </c>
      <c r="E2746" s="37" t="n"/>
      <c r="F2746" s="39" t="str">
        <f>IF(C2746="","",IFERROR(INDEX(art_unit,MATCH(C2746,art_ref,0))&amp;"",""))</f>
        <v/>
      </c>
      <c r="G2746" s="37" t="n"/>
      <c r="H2746" s="37" t="n"/>
      <c r="I2746" s="37" t="n"/>
      <c r="J2746" s="40" t="str">
        <f>IF(OR(C2746="",NOT(ISNUMBER(E2746))),"",IFERROR(E2746*N(INDEX(art_price,MATCH(C2746,art_ref,0))),""))</f>
        <v/>
      </c>
      <c r="K2746" s="39" t="str">
        <f>IF(OR(C2746="",NOT(ISNUMBER(E2746))),"",IFERROR(ROUND(N(INDEX(art_init,MATCH(C2746,art_ref,0)))+SUMIFS($E$5:E2746,$C$5:C2746,C2746,$B$5:B2746,"Entrée")-SUMIFS($E$5:E2746,$C$5:C2746,C2746,$B$5:B2746,"Sortie"),6),""))</f>
        <v/>
      </c>
      <c r="L2746" s="39" t="str">
        <f>IF(COUNTA(A2746:C2746,E2746)=0,"",IF(COUNTA(A2746:C2746,E2746)&lt;4,"Ligne incomplète",IF(NOT(ISNUMBER(A2746)),"Date invalide",IF(AND(B2746&lt;&gt;"Entrée",B2746&lt;&gt;"Sortie"),"Type inconnu",IF(ISNA(MATCH(C2746,art_ref,0)),"Référence inconnue",IF(OR(NOT(ISNUMBER(E2746)),N(E2746)&lt;=0),"Quantité invalide",IF(K2746&lt;0,"Stock négatif",IF(AND(ISNUMBER(A2745),A2746&lt;A2745),"Date hors ordre","OK"))))))))</f>
        <v/>
      </c>
      <c r="M2746" s="39" t="str">
        <f>IF(C2746="","",C2746&amp;"#"&amp;COUNTIF($C$5:C2746,C2746))</f>
        <v/>
      </c>
    </row>
    <row r="2747">
      <c r="A2747" s="41" t="n"/>
      <c r="B2747" s="37" t="n"/>
      <c r="C2747" s="37" t="n"/>
      <c r="D2747" s="39" t="str">
        <f>IF(C2747="","",IFERROR(INDEX(art_des,MATCH(C2747,art_ref,0))&amp;"","Référence inconnue"))</f>
        <v/>
      </c>
      <c r="E2747" s="37" t="n"/>
      <c r="F2747" s="39" t="str">
        <f>IF(C2747="","",IFERROR(INDEX(art_unit,MATCH(C2747,art_ref,0))&amp;"",""))</f>
        <v/>
      </c>
      <c r="G2747" s="37" t="n"/>
      <c r="H2747" s="37" t="n"/>
      <c r="I2747" s="37" t="n"/>
      <c r="J2747" s="40" t="str">
        <f>IF(OR(C2747="",NOT(ISNUMBER(E2747))),"",IFERROR(E2747*N(INDEX(art_price,MATCH(C2747,art_ref,0))),""))</f>
        <v/>
      </c>
      <c r="K2747" s="39" t="str">
        <f>IF(OR(C2747="",NOT(ISNUMBER(E2747))),"",IFERROR(ROUND(N(INDEX(art_init,MATCH(C2747,art_ref,0)))+SUMIFS($E$5:E2747,$C$5:C2747,C2747,$B$5:B2747,"Entrée")-SUMIFS($E$5:E2747,$C$5:C2747,C2747,$B$5:B2747,"Sortie"),6),""))</f>
        <v/>
      </c>
      <c r="L2747" s="39" t="str">
        <f>IF(COUNTA(A2747:C2747,E2747)=0,"",IF(COUNTA(A2747:C2747,E2747)&lt;4,"Ligne incomplète",IF(NOT(ISNUMBER(A2747)),"Date invalide",IF(AND(B2747&lt;&gt;"Entrée",B2747&lt;&gt;"Sortie"),"Type inconnu",IF(ISNA(MATCH(C2747,art_ref,0)),"Référence inconnue",IF(OR(NOT(ISNUMBER(E2747)),N(E2747)&lt;=0),"Quantité invalide",IF(K2747&lt;0,"Stock négatif",IF(AND(ISNUMBER(A2746),A2747&lt;A2746),"Date hors ordre","OK"))))))))</f>
        <v/>
      </c>
      <c r="M2747" s="39" t="str">
        <f>IF(C2747="","",C2747&amp;"#"&amp;COUNTIF($C$5:C2747,C2747))</f>
        <v/>
      </c>
    </row>
    <row r="2748">
      <c r="A2748" s="41" t="n"/>
      <c r="B2748" s="37" t="n"/>
      <c r="C2748" s="37" t="n"/>
      <c r="D2748" s="39" t="str">
        <f>IF(C2748="","",IFERROR(INDEX(art_des,MATCH(C2748,art_ref,0))&amp;"","Référence inconnue"))</f>
        <v/>
      </c>
      <c r="E2748" s="37" t="n"/>
      <c r="F2748" s="39" t="str">
        <f>IF(C2748="","",IFERROR(INDEX(art_unit,MATCH(C2748,art_ref,0))&amp;"",""))</f>
        <v/>
      </c>
      <c r="G2748" s="37" t="n"/>
      <c r="H2748" s="37" t="n"/>
      <c r="I2748" s="37" t="n"/>
      <c r="J2748" s="40" t="str">
        <f>IF(OR(C2748="",NOT(ISNUMBER(E2748))),"",IFERROR(E2748*N(INDEX(art_price,MATCH(C2748,art_ref,0))),""))</f>
        <v/>
      </c>
      <c r="K2748" s="39" t="str">
        <f>IF(OR(C2748="",NOT(ISNUMBER(E2748))),"",IFERROR(ROUND(N(INDEX(art_init,MATCH(C2748,art_ref,0)))+SUMIFS($E$5:E2748,$C$5:C2748,C2748,$B$5:B2748,"Entrée")-SUMIFS($E$5:E2748,$C$5:C2748,C2748,$B$5:B2748,"Sortie"),6),""))</f>
        <v/>
      </c>
      <c r="L2748" s="39" t="str">
        <f>IF(COUNTA(A2748:C2748,E2748)=0,"",IF(COUNTA(A2748:C2748,E2748)&lt;4,"Ligne incomplète",IF(NOT(ISNUMBER(A2748)),"Date invalide",IF(AND(B2748&lt;&gt;"Entrée",B2748&lt;&gt;"Sortie"),"Type inconnu",IF(ISNA(MATCH(C2748,art_ref,0)),"Référence inconnue",IF(OR(NOT(ISNUMBER(E2748)),N(E2748)&lt;=0),"Quantité invalide",IF(K2748&lt;0,"Stock négatif",IF(AND(ISNUMBER(A2747),A2748&lt;A2747),"Date hors ordre","OK"))))))))</f>
        <v/>
      </c>
      <c r="M2748" s="39" t="str">
        <f>IF(C2748="","",C2748&amp;"#"&amp;COUNTIF($C$5:C2748,C2748))</f>
        <v/>
      </c>
    </row>
    <row r="2749">
      <c r="A2749" s="41" t="n"/>
      <c r="B2749" s="37" t="n"/>
      <c r="C2749" s="37" t="n"/>
      <c r="D2749" s="39" t="str">
        <f>IF(C2749="","",IFERROR(INDEX(art_des,MATCH(C2749,art_ref,0))&amp;"","Référence inconnue"))</f>
        <v/>
      </c>
      <c r="E2749" s="37" t="n"/>
      <c r="F2749" s="39" t="str">
        <f>IF(C2749="","",IFERROR(INDEX(art_unit,MATCH(C2749,art_ref,0))&amp;"",""))</f>
        <v/>
      </c>
      <c r="G2749" s="37" t="n"/>
      <c r="H2749" s="37" t="n"/>
      <c r="I2749" s="37" t="n"/>
      <c r="J2749" s="40" t="str">
        <f>IF(OR(C2749="",NOT(ISNUMBER(E2749))),"",IFERROR(E2749*N(INDEX(art_price,MATCH(C2749,art_ref,0))),""))</f>
        <v/>
      </c>
      <c r="K2749" s="39" t="str">
        <f>IF(OR(C2749="",NOT(ISNUMBER(E2749))),"",IFERROR(ROUND(N(INDEX(art_init,MATCH(C2749,art_ref,0)))+SUMIFS($E$5:E2749,$C$5:C2749,C2749,$B$5:B2749,"Entrée")-SUMIFS($E$5:E2749,$C$5:C2749,C2749,$B$5:B2749,"Sortie"),6),""))</f>
        <v/>
      </c>
      <c r="L2749" s="39" t="str">
        <f>IF(COUNTA(A2749:C2749,E2749)=0,"",IF(COUNTA(A2749:C2749,E2749)&lt;4,"Ligne incomplète",IF(NOT(ISNUMBER(A2749)),"Date invalide",IF(AND(B2749&lt;&gt;"Entrée",B2749&lt;&gt;"Sortie"),"Type inconnu",IF(ISNA(MATCH(C2749,art_ref,0)),"Référence inconnue",IF(OR(NOT(ISNUMBER(E2749)),N(E2749)&lt;=0),"Quantité invalide",IF(K2749&lt;0,"Stock négatif",IF(AND(ISNUMBER(A2748),A2749&lt;A2748),"Date hors ordre","OK"))))))))</f>
        <v/>
      </c>
      <c r="M2749" s="39" t="str">
        <f>IF(C2749="","",C2749&amp;"#"&amp;COUNTIF($C$5:C2749,C2749))</f>
        <v/>
      </c>
    </row>
    <row r="2750">
      <c r="A2750" s="41" t="n"/>
      <c r="B2750" s="37" t="n"/>
      <c r="C2750" s="37" t="n"/>
      <c r="D2750" s="39" t="str">
        <f>IF(C2750="","",IFERROR(INDEX(art_des,MATCH(C2750,art_ref,0))&amp;"","Référence inconnue"))</f>
        <v/>
      </c>
      <c r="E2750" s="37" t="n"/>
      <c r="F2750" s="39" t="str">
        <f>IF(C2750="","",IFERROR(INDEX(art_unit,MATCH(C2750,art_ref,0))&amp;"",""))</f>
        <v/>
      </c>
      <c r="G2750" s="37" t="n"/>
      <c r="H2750" s="37" t="n"/>
      <c r="I2750" s="37" t="n"/>
      <c r="J2750" s="40" t="str">
        <f>IF(OR(C2750="",NOT(ISNUMBER(E2750))),"",IFERROR(E2750*N(INDEX(art_price,MATCH(C2750,art_ref,0))),""))</f>
        <v/>
      </c>
      <c r="K2750" s="39" t="str">
        <f>IF(OR(C2750="",NOT(ISNUMBER(E2750))),"",IFERROR(ROUND(N(INDEX(art_init,MATCH(C2750,art_ref,0)))+SUMIFS($E$5:E2750,$C$5:C2750,C2750,$B$5:B2750,"Entrée")-SUMIFS($E$5:E2750,$C$5:C2750,C2750,$B$5:B2750,"Sortie"),6),""))</f>
        <v/>
      </c>
      <c r="L2750" s="39" t="str">
        <f>IF(COUNTA(A2750:C2750,E2750)=0,"",IF(COUNTA(A2750:C2750,E2750)&lt;4,"Ligne incomplète",IF(NOT(ISNUMBER(A2750)),"Date invalide",IF(AND(B2750&lt;&gt;"Entrée",B2750&lt;&gt;"Sortie"),"Type inconnu",IF(ISNA(MATCH(C2750,art_ref,0)),"Référence inconnue",IF(OR(NOT(ISNUMBER(E2750)),N(E2750)&lt;=0),"Quantité invalide",IF(K2750&lt;0,"Stock négatif",IF(AND(ISNUMBER(A2749),A2750&lt;A2749),"Date hors ordre","OK"))))))))</f>
        <v/>
      </c>
      <c r="M2750" s="39" t="str">
        <f>IF(C2750="","",C2750&amp;"#"&amp;COUNTIF($C$5:C2750,C2750))</f>
        <v/>
      </c>
    </row>
    <row r="2751">
      <c r="A2751" s="41" t="n"/>
      <c r="B2751" s="37" t="n"/>
      <c r="C2751" s="37" t="n"/>
      <c r="D2751" s="39" t="str">
        <f>IF(C2751="","",IFERROR(INDEX(art_des,MATCH(C2751,art_ref,0))&amp;"","Référence inconnue"))</f>
        <v/>
      </c>
      <c r="E2751" s="37" t="n"/>
      <c r="F2751" s="39" t="str">
        <f>IF(C2751="","",IFERROR(INDEX(art_unit,MATCH(C2751,art_ref,0))&amp;"",""))</f>
        <v/>
      </c>
      <c r="G2751" s="37" t="n"/>
      <c r="H2751" s="37" t="n"/>
      <c r="I2751" s="37" t="n"/>
      <c r="J2751" s="40" t="str">
        <f>IF(OR(C2751="",NOT(ISNUMBER(E2751))),"",IFERROR(E2751*N(INDEX(art_price,MATCH(C2751,art_ref,0))),""))</f>
        <v/>
      </c>
      <c r="K2751" s="39" t="str">
        <f>IF(OR(C2751="",NOT(ISNUMBER(E2751))),"",IFERROR(ROUND(N(INDEX(art_init,MATCH(C2751,art_ref,0)))+SUMIFS($E$5:E2751,$C$5:C2751,C2751,$B$5:B2751,"Entrée")-SUMIFS($E$5:E2751,$C$5:C2751,C2751,$B$5:B2751,"Sortie"),6),""))</f>
        <v/>
      </c>
      <c r="L2751" s="39" t="str">
        <f>IF(COUNTA(A2751:C2751,E2751)=0,"",IF(COUNTA(A2751:C2751,E2751)&lt;4,"Ligne incomplète",IF(NOT(ISNUMBER(A2751)),"Date invalide",IF(AND(B2751&lt;&gt;"Entrée",B2751&lt;&gt;"Sortie"),"Type inconnu",IF(ISNA(MATCH(C2751,art_ref,0)),"Référence inconnue",IF(OR(NOT(ISNUMBER(E2751)),N(E2751)&lt;=0),"Quantité invalide",IF(K2751&lt;0,"Stock négatif",IF(AND(ISNUMBER(A2750),A2751&lt;A2750),"Date hors ordre","OK"))))))))</f>
        <v/>
      </c>
      <c r="M2751" s="39" t="str">
        <f>IF(C2751="","",C2751&amp;"#"&amp;COUNTIF($C$5:C2751,C2751))</f>
        <v/>
      </c>
    </row>
    <row r="2752">
      <c r="A2752" s="41" t="n"/>
      <c r="B2752" s="37" t="n"/>
      <c r="C2752" s="37" t="n"/>
      <c r="D2752" s="39" t="str">
        <f>IF(C2752="","",IFERROR(INDEX(art_des,MATCH(C2752,art_ref,0))&amp;"","Référence inconnue"))</f>
        <v/>
      </c>
      <c r="E2752" s="37" t="n"/>
      <c r="F2752" s="39" t="str">
        <f>IF(C2752="","",IFERROR(INDEX(art_unit,MATCH(C2752,art_ref,0))&amp;"",""))</f>
        <v/>
      </c>
      <c r="G2752" s="37" t="n"/>
      <c r="H2752" s="37" t="n"/>
      <c r="I2752" s="37" t="n"/>
      <c r="J2752" s="40" t="str">
        <f>IF(OR(C2752="",NOT(ISNUMBER(E2752))),"",IFERROR(E2752*N(INDEX(art_price,MATCH(C2752,art_ref,0))),""))</f>
        <v/>
      </c>
      <c r="K2752" s="39" t="str">
        <f>IF(OR(C2752="",NOT(ISNUMBER(E2752))),"",IFERROR(ROUND(N(INDEX(art_init,MATCH(C2752,art_ref,0)))+SUMIFS($E$5:E2752,$C$5:C2752,C2752,$B$5:B2752,"Entrée")-SUMIFS($E$5:E2752,$C$5:C2752,C2752,$B$5:B2752,"Sortie"),6),""))</f>
        <v/>
      </c>
      <c r="L2752" s="39" t="str">
        <f>IF(COUNTA(A2752:C2752,E2752)=0,"",IF(COUNTA(A2752:C2752,E2752)&lt;4,"Ligne incomplète",IF(NOT(ISNUMBER(A2752)),"Date invalide",IF(AND(B2752&lt;&gt;"Entrée",B2752&lt;&gt;"Sortie"),"Type inconnu",IF(ISNA(MATCH(C2752,art_ref,0)),"Référence inconnue",IF(OR(NOT(ISNUMBER(E2752)),N(E2752)&lt;=0),"Quantité invalide",IF(K2752&lt;0,"Stock négatif",IF(AND(ISNUMBER(A2751),A2752&lt;A2751),"Date hors ordre","OK"))))))))</f>
        <v/>
      </c>
      <c r="M2752" s="39" t="str">
        <f>IF(C2752="","",C2752&amp;"#"&amp;COUNTIF($C$5:C2752,C2752))</f>
        <v/>
      </c>
    </row>
    <row r="2753">
      <c r="A2753" s="41" t="n"/>
      <c r="B2753" s="37" t="n"/>
      <c r="C2753" s="37" t="n"/>
      <c r="D2753" s="39" t="str">
        <f>IF(C2753="","",IFERROR(INDEX(art_des,MATCH(C2753,art_ref,0))&amp;"","Référence inconnue"))</f>
        <v/>
      </c>
      <c r="E2753" s="37" t="n"/>
      <c r="F2753" s="39" t="str">
        <f>IF(C2753="","",IFERROR(INDEX(art_unit,MATCH(C2753,art_ref,0))&amp;"",""))</f>
        <v/>
      </c>
      <c r="G2753" s="37" t="n"/>
      <c r="H2753" s="37" t="n"/>
      <c r="I2753" s="37" t="n"/>
      <c r="J2753" s="40" t="str">
        <f>IF(OR(C2753="",NOT(ISNUMBER(E2753))),"",IFERROR(E2753*N(INDEX(art_price,MATCH(C2753,art_ref,0))),""))</f>
        <v/>
      </c>
      <c r="K2753" s="39" t="str">
        <f>IF(OR(C2753="",NOT(ISNUMBER(E2753))),"",IFERROR(ROUND(N(INDEX(art_init,MATCH(C2753,art_ref,0)))+SUMIFS($E$5:E2753,$C$5:C2753,C2753,$B$5:B2753,"Entrée")-SUMIFS($E$5:E2753,$C$5:C2753,C2753,$B$5:B2753,"Sortie"),6),""))</f>
        <v/>
      </c>
      <c r="L2753" s="39" t="str">
        <f>IF(COUNTA(A2753:C2753,E2753)=0,"",IF(COUNTA(A2753:C2753,E2753)&lt;4,"Ligne incomplète",IF(NOT(ISNUMBER(A2753)),"Date invalide",IF(AND(B2753&lt;&gt;"Entrée",B2753&lt;&gt;"Sortie"),"Type inconnu",IF(ISNA(MATCH(C2753,art_ref,0)),"Référence inconnue",IF(OR(NOT(ISNUMBER(E2753)),N(E2753)&lt;=0),"Quantité invalide",IF(K2753&lt;0,"Stock négatif",IF(AND(ISNUMBER(A2752),A2753&lt;A2752),"Date hors ordre","OK"))))))))</f>
        <v/>
      </c>
      <c r="M2753" s="39" t="str">
        <f>IF(C2753="","",C2753&amp;"#"&amp;COUNTIF($C$5:C2753,C2753))</f>
        <v/>
      </c>
    </row>
    <row r="2754">
      <c r="A2754" s="41" t="n"/>
      <c r="B2754" s="37" t="n"/>
      <c r="C2754" s="37" t="n"/>
      <c r="D2754" s="39" t="str">
        <f>IF(C2754="","",IFERROR(INDEX(art_des,MATCH(C2754,art_ref,0))&amp;"","Référence inconnue"))</f>
        <v/>
      </c>
      <c r="E2754" s="37" t="n"/>
      <c r="F2754" s="39" t="str">
        <f>IF(C2754="","",IFERROR(INDEX(art_unit,MATCH(C2754,art_ref,0))&amp;"",""))</f>
        <v/>
      </c>
      <c r="G2754" s="37" t="n"/>
      <c r="H2754" s="37" t="n"/>
      <c r="I2754" s="37" t="n"/>
      <c r="J2754" s="40" t="str">
        <f>IF(OR(C2754="",NOT(ISNUMBER(E2754))),"",IFERROR(E2754*N(INDEX(art_price,MATCH(C2754,art_ref,0))),""))</f>
        <v/>
      </c>
      <c r="K2754" s="39" t="str">
        <f>IF(OR(C2754="",NOT(ISNUMBER(E2754))),"",IFERROR(ROUND(N(INDEX(art_init,MATCH(C2754,art_ref,0)))+SUMIFS($E$5:E2754,$C$5:C2754,C2754,$B$5:B2754,"Entrée")-SUMIFS($E$5:E2754,$C$5:C2754,C2754,$B$5:B2754,"Sortie"),6),""))</f>
        <v/>
      </c>
      <c r="L2754" s="39" t="str">
        <f>IF(COUNTA(A2754:C2754,E2754)=0,"",IF(COUNTA(A2754:C2754,E2754)&lt;4,"Ligne incomplète",IF(NOT(ISNUMBER(A2754)),"Date invalide",IF(AND(B2754&lt;&gt;"Entrée",B2754&lt;&gt;"Sortie"),"Type inconnu",IF(ISNA(MATCH(C2754,art_ref,0)),"Référence inconnue",IF(OR(NOT(ISNUMBER(E2754)),N(E2754)&lt;=0),"Quantité invalide",IF(K2754&lt;0,"Stock négatif",IF(AND(ISNUMBER(A2753),A2754&lt;A2753),"Date hors ordre","OK"))))))))</f>
        <v/>
      </c>
      <c r="M2754" s="39" t="str">
        <f>IF(C2754="","",C2754&amp;"#"&amp;COUNTIF($C$5:C2754,C2754))</f>
        <v/>
      </c>
    </row>
    <row r="2755">
      <c r="A2755" s="41" t="n"/>
      <c r="B2755" s="37" t="n"/>
      <c r="C2755" s="37" t="n"/>
      <c r="D2755" s="39" t="str">
        <f>IF(C2755="","",IFERROR(INDEX(art_des,MATCH(C2755,art_ref,0))&amp;"","Référence inconnue"))</f>
        <v/>
      </c>
      <c r="E2755" s="37" t="n"/>
      <c r="F2755" s="39" t="str">
        <f>IF(C2755="","",IFERROR(INDEX(art_unit,MATCH(C2755,art_ref,0))&amp;"",""))</f>
        <v/>
      </c>
      <c r="G2755" s="37" t="n"/>
      <c r="H2755" s="37" t="n"/>
      <c r="I2755" s="37" t="n"/>
      <c r="J2755" s="40" t="str">
        <f>IF(OR(C2755="",NOT(ISNUMBER(E2755))),"",IFERROR(E2755*N(INDEX(art_price,MATCH(C2755,art_ref,0))),""))</f>
        <v/>
      </c>
      <c r="K2755" s="39" t="str">
        <f>IF(OR(C2755="",NOT(ISNUMBER(E2755))),"",IFERROR(ROUND(N(INDEX(art_init,MATCH(C2755,art_ref,0)))+SUMIFS($E$5:E2755,$C$5:C2755,C2755,$B$5:B2755,"Entrée")-SUMIFS($E$5:E2755,$C$5:C2755,C2755,$B$5:B2755,"Sortie"),6),""))</f>
        <v/>
      </c>
      <c r="L2755" s="39" t="str">
        <f>IF(COUNTA(A2755:C2755,E2755)=0,"",IF(COUNTA(A2755:C2755,E2755)&lt;4,"Ligne incomplète",IF(NOT(ISNUMBER(A2755)),"Date invalide",IF(AND(B2755&lt;&gt;"Entrée",B2755&lt;&gt;"Sortie"),"Type inconnu",IF(ISNA(MATCH(C2755,art_ref,0)),"Référence inconnue",IF(OR(NOT(ISNUMBER(E2755)),N(E2755)&lt;=0),"Quantité invalide",IF(K2755&lt;0,"Stock négatif",IF(AND(ISNUMBER(A2754),A2755&lt;A2754),"Date hors ordre","OK"))))))))</f>
        <v/>
      </c>
      <c r="M2755" s="39" t="str">
        <f>IF(C2755="","",C2755&amp;"#"&amp;COUNTIF($C$5:C2755,C2755))</f>
        <v/>
      </c>
    </row>
    <row r="2756">
      <c r="A2756" s="41" t="n"/>
      <c r="B2756" s="37" t="n"/>
      <c r="C2756" s="37" t="n"/>
      <c r="D2756" s="39" t="str">
        <f>IF(C2756="","",IFERROR(INDEX(art_des,MATCH(C2756,art_ref,0))&amp;"","Référence inconnue"))</f>
        <v/>
      </c>
      <c r="E2756" s="37" t="n"/>
      <c r="F2756" s="39" t="str">
        <f>IF(C2756="","",IFERROR(INDEX(art_unit,MATCH(C2756,art_ref,0))&amp;"",""))</f>
        <v/>
      </c>
      <c r="G2756" s="37" t="n"/>
      <c r="H2756" s="37" t="n"/>
      <c r="I2756" s="37" t="n"/>
      <c r="J2756" s="40" t="str">
        <f>IF(OR(C2756="",NOT(ISNUMBER(E2756))),"",IFERROR(E2756*N(INDEX(art_price,MATCH(C2756,art_ref,0))),""))</f>
        <v/>
      </c>
      <c r="K2756" s="39" t="str">
        <f>IF(OR(C2756="",NOT(ISNUMBER(E2756))),"",IFERROR(ROUND(N(INDEX(art_init,MATCH(C2756,art_ref,0)))+SUMIFS($E$5:E2756,$C$5:C2756,C2756,$B$5:B2756,"Entrée")-SUMIFS($E$5:E2756,$C$5:C2756,C2756,$B$5:B2756,"Sortie"),6),""))</f>
        <v/>
      </c>
      <c r="L2756" s="39" t="str">
        <f>IF(COUNTA(A2756:C2756,E2756)=0,"",IF(COUNTA(A2756:C2756,E2756)&lt;4,"Ligne incomplète",IF(NOT(ISNUMBER(A2756)),"Date invalide",IF(AND(B2756&lt;&gt;"Entrée",B2756&lt;&gt;"Sortie"),"Type inconnu",IF(ISNA(MATCH(C2756,art_ref,0)),"Référence inconnue",IF(OR(NOT(ISNUMBER(E2756)),N(E2756)&lt;=0),"Quantité invalide",IF(K2756&lt;0,"Stock négatif",IF(AND(ISNUMBER(A2755),A2756&lt;A2755),"Date hors ordre","OK"))))))))</f>
        <v/>
      </c>
      <c r="M2756" s="39" t="str">
        <f>IF(C2756="","",C2756&amp;"#"&amp;COUNTIF($C$5:C2756,C2756))</f>
        <v/>
      </c>
    </row>
    <row r="2757">
      <c r="A2757" s="41" t="n"/>
      <c r="B2757" s="37" t="n"/>
      <c r="C2757" s="37" t="n"/>
      <c r="D2757" s="39" t="str">
        <f>IF(C2757="","",IFERROR(INDEX(art_des,MATCH(C2757,art_ref,0))&amp;"","Référence inconnue"))</f>
        <v/>
      </c>
      <c r="E2757" s="37" t="n"/>
      <c r="F2757" s="39" t="str">
        <f>IF(C2757="","",IFERROR(INDEX(art_unit,MATCH(C2757,art_ref,0))&amp;"",""))</f>
        <v/>
      </c>
      <c r="G2757" s="37" t="n"/>
      <c r="H2757" s="37" t="n"/>
      <c r="I2757" s="37" t="n"/>
      <c r="J2757" s="40" t="str">
        <f>IF(OR(C2757="",NOT(ISNUMBER(E2757))),"",IFERROR(E2757*N(INDEX(art_price,MATCH(C2757,art_ref,0))),""))</f>
        <v/>
      </c>
      <c r="K2757" s="39" t="str">
        <f>IF(OR(C2757="",NOT(ISNUMBER(E2757))),"",IFERROR(ROUND(N(INDEX(art_init,MATCH(C2757,art_ref,0)))+SUMIFS($E$5:E2757,$C$5:C2757,C2757,$B$5:B2757,"Entrée")-SUMIFS($E$5:E2757,$C$5:C2757,C2757,$B$5:B2757,"Sortie"),6),""))</f>
        <v/>
      </c>
      <c r="L2757" s="39" t="str">
        <f>IF(COUNTA(A2757:C2757,E2757)=0,"",IF(COUNTA(A2757:C2757,E2757)&lt;4,"Ligne incomplète",IF(NOT(ISNUMBER(A2757)),"Date invalide",IF(AND(B2757&lt;&gt;"Entrée",B2757&lt;&gt;"Sortie"),"Type inconnu",IF(ISNA(MATCH(C2757,art_ref,0)),"Référence inconnue",IF(OR(NOT(ISNUMBER(E2757)),N(E2757)&lt;=0),"Quantité invalide",IF(K2757&lt;0,"Stock négatif",IF(AND(ISNUMBER(A2756),A2757&lt;A2756),"Date hors ordre","OK"))))))))</f>
        <v/>
      </c>
      <c r="M2757" s="39" t="str">
        <f>IF(C2757="","",C2757&amp;"#"&amp;COUNTIF($C$5:C2757,C2757))</f>
        <v/>
      </c>
    </row>
    <row r="2758">
      <c r="A2758" s="41" t="n"/>
      <c r="B2758" s="37" t="n"/>
      <c r="C2758" s="37" t="n"/>
      <c r="D2758" s="39" t="str">
        <f>IF(C2758="","",IFERROR(INDEX(art_des,MATCH(C2758,art_ref,0))&amp;"","Référence inconnue"))</f>
        <v/>
      </c>
      <c r="E2758" s="37" t="n"/>
      <c r="F2758" s="39" t="str">
        <f>IF(C2758="","",IFERROR(INDEX(art_unit,MATCH(C2758,art_ref,0))&amp;"",""))</f>
        <v/>
      </c>
      <c r="G2758" s="37" t="n"/>
      <c r="H2758" s="37" t="n"/>
      <c r="I2758" s="37" t="n"/>
      <c r="J2758" s="40" t="str">
        <f>IF(OR(C2758="",NOT(ISNUMBER(E2758))),"",IFERROR(E2758*N(INDEX(art_price,MATCH(C2758,art_ref,0))),""))</f>
        <v/>
      </c>
      <c r="K2758" s="39" t="str">
        <f>IF(OR(C2758="",NOT(ISNUMBER(E2758))),"",IFERROR(ROUND(N(INDEX(art_init,MATCH(C2758,art_ref,0)))+SUMIFS($E$5:E2758,$C$5:C2758,C2758,$B$5:B2758,"Entrée")-SUMIFS($E$5:E2758,$C$5:C2758,C2758,$B$5:B2758,"Sortie"),6),""))</f>
        <v/>
      </c>
      <c r="L2758" s="39" t="str">
        <f>IF(COUNTA(A2758:C2758,E2758)=0,"",IF(COUNTA(A2758:C2758,E2758)&lt;4,"Ligne incomplète",IF(NOT(ISNUMBER(A2758)),"Date invalide",IF(AND(B2758&lt;&gt;"Entrée",B2758&lt;&gt;"Sortie"),"Type inconnu",IF(ISNA(MATCH(C2758,art_ref,0)),"Référence inconnue",IF(OR(NOT(ISNUMBER(E2758)),N(E2758)&lt;=0),"Quantité invalide",IF(K2758&lt;0,"Stock négatif",IF(AND(ISNUMBER(A2757),A2758&lt;A2757),"Date hors ordre","OK"))))))))</f>
        <v/>
      </c>
      <c r="M2758" s="39" t="str">
        <f>IF(C2758="","",C2758&amp;"#"&amp;COUNTIF($C$5:C2758,C2758))</f>
        <v/>
      </c>
    </row>
    <row r="2759">
      <c r="A2759" s="41" t="n"/>
      <c r="B2759" s="37" t="n"/>
      <c r="C2759" s="37" t="n"/>
      <c r="D2759" s="39" t="str">
        <f>IF(C2759="","",IFERROR(INDEX(art_des,MATCH(C2759,art_ref,0))&amp;"","Référence inconnue"))</f>
        <v/>
      </c>
      <c r="E2759" s="37" t="n"/>
      <c r="F2759" s="39" t="str">
        <f>IF(C2759="","",IFERROR(INDEX(art_unit,MATCH(C2759,art_ref,0))&amp;"",""))</f>
        <v/>
      </c>
      <c r="G2759" s="37" t="n"/>
      <c r="H2759" s="37" t="n"/>
      <c r="I2759" s="37" t="n"/>
      <c r="J2759" s="40" t="str">
        <f>IF(OR(C2759="",NOT(ISNUMBER(E2759))),"",IFERROR(E2759*N(INDEX(art_price,MATCH(C2759,art_ref,0))),""))</f>
        <v/>
      </c>
      <c r="K2759" s="39" t="str">
        <f>IF(OR(C2759="",NOT(ISNUMBER(E2759))),"",IFERROR(ROUND(N(INDEX(art_init,MATCH(C2759,art_ref,0)))+SUMIFS($E$5:E2759,$C$5:C2759,C2759,$B$5:B2759,"Entrée")-SUMIFS($E$5:E2759,$C$5:C2759,C2759,$B$5:B2759,"Sortie"),6),""))</f>
        <v/>
      </c>
      <c r="L2759" s="39" t="str">
        <f>IF(COUNTA(A2759:C2759,E2759)=0,"",IF(COUNTA(A2759:C2759,E2759)&lt;4,"Ligne incomplète",IF(NOT(ISNUMBER(A2759)),"Date invalide",IF(AND(B2759&lt;&gt;"Entrée",B2759&lt;&gt;"Sortie"),"Type inconnu",IF(ISNA(MATCH(C2759,art_ref,0)),"Référence inconnue",IF(OR(NOT(ISNUMBER(E2759)),N(E2759)&lt;=0),"Quantité invalide",IF(K2759&lt;0,"Stock négatif",IF(AND(ISNUMBER(A2758),A2759&lt;A2758),"Date hors ordre","OK"))))))))</f>
        <v/>
      </c>
      <c r="M2759" s="39" t="str">
        <f>IF(C2759="","",C2759&amp;"#"&amp;COUNTIF($C$5:C2759,C2759))</f>
        <v/>
      </c>
    </row>
    <row r="2760">
      <c r="A2760" s="41" t="n"/>
      <c r="B2760" s="37" t="n"/>
      <c r="C2760" s="37" t="n"/>
      <c r="D2760" s="39" t="str">
        <f>IF(C2760="","",IFERROR(INDEX(art_des,MATCH(C2760,art_ref,0))&amp;"","Référence inconnue"))</f>
        <v/>
      </c>
      <c r="E2760" s="37" t="n"/>
      <c r="F2760" s="39" t="str">
        <f>IF(C2760="","",IFERROR(INDEX(art_unit,MATCH(C2760,art_ref,0))&amp;"",""))</f>
        <v/>
      </c>
      <c r="G2760" s="37" t="n"/>
      <c r="H2760" s="37" t="n"/>
      <c r="I2760" s="37" t="n"/>
      <c r="J2760" s="40" t="str">
        <f>IF(OR(C2760="",NOT(ISNUMBER(E2760))),"",IFERROR(E2760*N(INDEX(art_price,MATCH(C2760,art_ref,0))),""))</f>
        <v/>
      </c>
      <c r="K2760" s="39" t="str">
        <f>IF(OR(C2760="",NOT(ISNUMBER(E2760))),"",IFERROR(ROUND(N(INDEX(art_init,MATCH(C2760,art_ref,0)))+SUMIFS($E$5:E2760,$C$5:C2760,C2760,$B$5:B2760,"Entrée")-SUMIFS($E$5:E2760,$C$5:C2760,C2760,$B$5:B2760,"Sortie"),6),""))</f>
        <v/>
      </c>
      <c r="L2760" s="39" t="str">
        <f>IF(COUNTA(A2760:C2760,E2760)=0,"",IF(COUNTA(A2760:C2760,E2760)&lt;4,"Ligne incomplète",IF(NOT(ISNUMBER(A2760)),"Date invalide",IF(AND(B2760&lt;&gt;"Entrée",B2760&lt;&gt;"Sortie"),"Type inconnu",IF(ISNA(MATCH(C2760,art_ref,0)),"Référence inconnue",IF(OR(NOT(ISNUMBER(E2760)),N(E2760)&lt;=0),"Quantité invalide",IF(K2760&lt;0,"Stock négatif",IF(AND(ISNUMBER(A2759),A2760&lt;A2759),"Date hors ordre","OK"))))))))</f>
        <v/>
      </c>
      <c r="M2760" s="39" t="str">
        <f>IF(C2760="","",C2760&amp;"#"&amp;COUNTIF($C$5:C2760,C2760))</f>
        <v/>
      </c>
    </row>
    <row r="2761">
      <c r="A2761" s="41" t="n"/>
      <c r="B2761" s="37" t="n"/>
      <c r="C2761" s="37" t="n"/>
      <c r="D2761" s="39" t="str">
        <f>IF(C2761="","",IFERROR(INDEX(art_des,MATCH(C2761,art_ref,0))&amp;"","Référence inconnue"))</f>
        <v/>
      </c>
      <c r="E2761" s="37" t="n"/>
      <c r="F2761" s="39" t="str">
        <f>IF(C2761="","",IFERROR(INDEX(art_unit,MATCH(C2761,art_ref,0))&amp;"",""))</f>
        <v/>
      </c>
      <c r="G2761" s="37" t="n"/>
      <c r="H2761" s="37" t="n"/>
      <c r="I2761" s="37" t="n"/>
      <c r="J2761" s="40" t="str">
        <f>IF(OR(C2761="",NOT(ISNUMBER(E2761))),"",IFERROR(E2761*N(INDEX(art_price,MATCH(C2761,art_ref,0))),""))</f>
        <v/>
      </c>
      <c r="K2761" s="39" t="str">
        <f>IF(OR(C2761="",NOT(ISNUMBER(E2761))),"",IFERROR(ROUND(N(INDEX(art_init,MATCH(C2761,art_ref,0)))+SUMIFS($E$5:E2761,$C$5:C2761,C2761,$B$5:B2761,"Entrée")-SUMIFS($E$5:E2761,$C$5:C2761,C2761,$B$5:B2761,"Sortie"),6),""))</f>
        <v/>
      </c>
      <c r="L2761" s="39" t="str">
        <f>IF(COUNTA(A2761:C2761,E2761)=0,"",IF(COUNTA(A2761:C2761,E2761)&lt;4,"Ligne incomplète",IF(NOT(ISNUMBER(A2761)),"Date invalide",IF(AND(B2761&lt;&gt;"Entrée",B2761&lt;&gt;"Sortie"),"Type inconnu",IF(ISNA(MATCH(C2761,art_ref,0)),"Référence inconnue",IF(OR(NOT(ISNUMBER(E2761)),N(E2761)&lt;=0),"Quantité invalide",IF(K2761&lt;0,"Stock négatif",IF(AND(ISNUMBER(A2760),A2761&lt;A2760),"Date hors ordre","OK"))))))))</f>
        <v/>
      </c>
      <c r="M2761" s="39" t="str">
        <f>IF(C2761="","",C2761&amp;"#"&amp;COUNTIF($C$5:C2761,C2761))</f>
        <v/>
      </c>
    </row>
    <row r="2762">
      <c r="A2762" s="41" t="n"/>
      <c r="B2762" s="37" t="n"/>
      <c r="C2762" s="37" t="n"/>
      <c r="D2762" s="39" t="str">
        <f>IF(C2762="","",IFERROR(INDEX(art_des,MATCH(C2762,art_ref,0))&amp;"","Référence inconnue"))</f>
        <v/>
      </c>
      <c r="E2762" s="37" t="n"/>
      <c r="F2762" s="39" t="str">
        <f>IF(C2762="","",IFERROR(INDEX(art_unit,MATCH(C2762,art_ref,0))&amp;"",""))</f>
        <v/>
      </c>
      <c r="G2762" s="37" t="n"/>
      <c r="H2762" s="37" t="n"/>
      <c r="I2762" s="37" t="n"/>
      <c r="J2762" s="40" t="str">
        <f>IF(OR(C2762="",NOT(ISNUMBER(E2762))),"",IFERROR(E2762*N(INDEX(art_price,MATCH(C2762,art_ref,0))),""))</f>
        <v/>
      </c>
      <c r="K2762" s="39" t="str">
        <f>IF(OR(C2762="",NOT(ISNUMBER(E2762))),"",IFERROR(ROUND(N(INDEX(art_init,MATCH(C2762,art_ref,0)))+SUMIFS($E$5:E2762,$C$5:C2762,C2762,$B$5:B2762,"Entrée")-SUMIFS($E$5:E2762,$C$5:C2762,C2762,$B$5:B2762,"Sortie"),6),""))</f>
        <v/>
      </c>
      <c r="L2762" s="39" t="str">
        <f>IF(COUNTA(A2762:C2762,E2762)=0,"",IF(COUNTA(A2762:C2762,E2762)&lt;4,"Ligne incomplète",IF(NOT(ISNUMBER(A2762)),"Date invalide",IF(AND(B2762&lt;&gt;"Entrée",B2762&lt;&gt;"Sortie"),"Type inconnu",IF(ISNA(MATCH(C2762,art_ref,0)),"Référence inconnue",IF(OR(NOT(ISNUMBER(E2762)),N(E2762)&lt;=0),"Quantité invalide",IF(K2762&lt;0,"Stock négatif",IF(AND(ISNUMBER(A2761),A2762&lt;A2761),"Date hors ordre","OK"))))))))</f>
        <v/>
      </c>
      <c r="M2762" s="39" t="str">
        <f>IF(C2762="","",C2762&amp;"#"&amp;COUNTIF($C$5:C2762,C2762))</f>
        <v/>
      </c>
    </row>
    <row r="2763">
      <c r="A2763" s="41" t="n"/>
      <c r="B2763" s="37" t="n"/>
      <c r="C2763" s="37" t="n"/>
      <c r="D2763" s="39" t="str">
        <f>IF(C2763="","",IFERROR(INDEX(art_des,MATCH(C2763,art_ref,0))&amp;"","Référence inconnue"))</f>
        <v/>
      </c>
      <c r="E2763" s="37" t="n"/>
      <c r="F2763" s="39" t="str">
        <f>IF(C2763="","",IFERROR(INDEX(art_unit,MATCH(C2763,art_ref,0))&amp;"",""))</f>
        <v/>
      </c>
      <c r="G2763" s="37" t="n"/>
      <c r="H2763" s="37" t="n"/>
      <c r="I2763" s="37" t="n"/>
      <c r="J2763" s="40" t="str">
        <f>IF(OR(C2763="",NOT(ISNUMBER(E2763))),"",IFERROR(E2763*N(INDEX(art_price,MATCH(C2763,art_ref,0))),""))</f>
        <v/>
      </c>
      <c r="K2763" s="39" t="str">
        <f>IF(OR(C2763="",NOT(ISNUMBER(E2763))),"",IFERROR(ROUND(N(INDEX(art_init,MATCH(C2763,art_ref,0)))+SUMIFS($E$5:E2763,$C$5:C2763,C2763,$B$5:B2763,"Entrée")-SUMIFS($E$5:E2763,$C$5:C2763,C2763,$B$5:B2763,"Sortie"),6),""))</f>
        <v/>
      </c>
      <c r="L2763" s="39" t="str">
        <f>IF(COUNTA(A2763:C2763,E2763)=0,"",IF(COUNTA(A2763:C2763,E2763)&lt;4,"Ligne incomplète",IF(NOT(ISNUMBER(A2763)),"Date invalide",IF(AND(B2763&lt;&gt;"Entrée",B2763&lt;&gt;"Sortie"),"Type inconnu",IF(ISNA(MATCH(C2763,art_ref,0)),"Référence inconnue",IF(OR(NOT(ISNUMBER(E2763)),N(E2763)&lt;=0),"Quantité invalide",IF(K2763&lt;0,"Stock négatif",IF(AND(ISNUMBER(A2762),A2763&lt;A2762),"Date hors ordre","OK"))))))))</f>
        <v/>
      </c>
      <c r="M2763" s="39" t="str">
        <f>IF(C2763="","",C2763&amp;"#"&amp;COUNTIF($C$5:C2763,C2763))</f>
        <v/>
      </c>
    </row>
    <row r="2764">
      <c r="A2764" s="41" t="n"/>
      <c r="B2764" s="37" t="n"/>
      <c r="C2764" s="37" t="n"/>
      <c r="D2764" s="39" t="str">
        <f>IF(C2764="","",IFERROR(INDEX(art_des,MATCH(C2764,art_ref,0))&amp;"","Référence inconnue"))</f>
        <v/>
      </c>
      <c r="E2764" s="37" t="n"/>
      <c r="F2764" s="39" t="str">
        <f>IF(C2764="","",IFERROR(INDEX(art_unit,MATCH(C2764,art_ref,0))&amp;"",""))</f>
        <v/>
      </c>
      <c r="G2764" s="37" t="n"/>
      <c r="H2764" s="37" t="n"/>
      <c r="I2764" s="37" t="n"/>
      <c r="J2764" s="40" t="str">
        <f>IF(OR(C2764="",NOT(ISNUMBER(E2764))),"",IFERROR(E2764*N(INDEX(art_price,MATCH(C2764,art_ref,0))),""))</f>
        <v/>
      </c>
      <c r="K2764" s="39" t="str">
        <f>IF(OR(C2764="",NOT(ISNUMBER(E2764))),"",IFERROR(ROUND(N(INDEX(art_init,MATCH(C2764,art_ref,0)))+SUMIFS($E$5:E2764,$C$5:C2764,C2764,$B$5:B2764,"Entrée")-SUMIFS($E$5:E2764,$C$5:C2764,C2764,$B$5:B2764,"Sortie"),6),""))</f>
        <v/>
      </c>
      <c r="L2764" s="39" t="str">
        <f>IF(COUNTA(A2764:C2764,E2764)=0,"",IF(COUNTA(A2764:C2764,E2764)&lt;4,"Ligne incomplète",IF(NOT(ISNUMBER(A2764)),"Date invalide",IF(AND(B2764&lt;&gt;"Entrée",B2764&lt;&gt;"Sortie"),"Type inconnu",IF(ISNA(MATCH(C2764,art_ref,0)),"Référence inconnue",IF(OR(NOT(ISNUMBER(E2764)),N(E2764)&lt;=0),"Quantité invalide",IF(K2764&lt;0,"Stock négatif",IF(AND(ISNUMBER(A2763),A2764&lt;A2763),"Date hors ordre","OK"))))))))</f>
        <v/>
      </c>
      <c r="M2764" s="39" t="str">
        <f>IF(C2764="","",C2764&amp;"#"&amp;COUNTIF($C$5:C2764,C2764))</f>
        <v/>
      </c>
    </row>
    <row r="2765">
      <c r="A2765" s="41" t="n"/>
      <c r="B2765" s="37" t="n"/>
      <c r="C2765" s="37" t="n"/>
      <c r="D2765" s="39" t="str">
        <f>IF(C2765="","",IFERROR(INDEX(art_des,MATCH(C2765,art_ref,0))&amp;"","Référence inconnue"))</f>
        <v/>
      </c>
      <c r="E2765" s="37" t="n"/>
      <c r="F2765" s="39" t="str">
        <f>IF(C2765="","",IFERROR(INDEX(art_unit,MATCH(C2765,art_ref,0))&amp;"",""))</f>
        <v/>
      </c>
      <c r="G2765" s="37" t="n"/>
      <c r="H2765" s="37" t="n"/>
      <c r="I2765" s="37" t="n"/>
      <c r="J2765" s="40" t="str">
        <f>IF(OR(C2765="",NOT(ISNUMBER(E2765))),"",IFERROR(E2765*N(INDEX(art_price,MATCH(C2765,art_ref,0))),""))</f>
        <v/>
      </c>
      <c r="K2765" s="39" t="str">
        <f>IF(OR(C2765="",NOT(ISNUMBER(E2765))),"",IFERROR(ROUND(N(INDEX(art_init,MATCH(C2765,art_ref,0)))+SUMIFS($E$5:E2765,$C$5:C2765,C2765,$B$5:B2765,"Entrée")-SUMIFS($E$5:E2765,$C$5:C2765,C2765,$B$5:B2765,"Sortie"),6),""))</f>
        <v/>
      </c>
      <c r="L2765" s="39" t="str">
        <f>IF(COUNTA(A2765:C2765,E2765)=0,"",IF(COUNTA(A2765:C2765,E2765)&lt;4,"Ligne incomplète",IF(NOT(ISNUMBER(A2765)),"Date invalide",IF(AND(B2765&lt;&gt;"Entrée",B2765&lt;&gt;"Sortie"),"Type inconnu",IF(ISNA(MATCH(C2765,art_ref,0)),"Référence inconnue",IF(OR(NOT(ISNUMBER(E2765)),N(E2765)&lt;=0),"Quantité invalide",IF(K2765&lt;0,"Stock négatif",IF(AND(ISNUMBER(A2764),A2765&lt;A2764),"Date hors ordre","OK"))))))))</f>
        <v/>
      </c>
      <c r="M2765" s="39" t="str">
        <f>IF(C2765="","",C2765&amp;"#"&amp;COUNTIF($C$5:C2765,C2765))</f>
        <v/>
      </c>
    </row>
    <row r="2766">
      <c r="A2766" s="41" t="n"/>
      <c r="B2766" s="37" t="n"/>
      <c r="C2766" s="37" t="n"/>
      <c r="D2766" s="39" t="str">
        <f>IF(C2766="","",IFERROR(INDEX(art_des,MATCH(C2766,art_ref,0))&amp;"","Référence inconnue"))</f>
        <v/>
      </c>
      <c r="E2766" s="37" t="n"/>
      <c r="F2766" s="39" t="str">
        <f>IF(C2766="","",IFERROR(INDEX(art_unit,MATCH(C2766,art_ref,0))&amp;"",""))</f>
        <v/>
      </c>
      <c r="G2766" s="37" t="n"/>
      <c r="H2766" s="37" t="n"/>
      <c r="I2766" s="37" t="n"/>
      <c r="J2766" s="40" t="str">
        <f>IF(OR(C2766="",NOT(ISNUMBER(E2766))),"",IFERROR(E2766*N(INDEX(art_price,MATCH(C2766,art_ref,0))),""))</f>
        <v/>
      </c>
      <c r="K2766" s="39" t="str">
        <f>IF(OR(C2766="",NOT(ISNUMBER(E2766))),"",IFERROR(ROUND(N(INDEX(art_init,MATCH(C2766,art_ref,0)))+SUMIFS($E$5:E2766,$C$5:C2766,C2766,$B$5:B2766,"Entrée")-SUMIFS($E$5:E2766,$C$5:C2766,C2766,$B$5:B2766,"Sortie"),6),""))</f>
        <v/>
      </c>
      <c r="L2766" s="39" t="str">
        <f>IF(COUNTA(A2766:C2766,E2766)=0,"",IF(COUNTA(A2766:C2766,E2766)&lt;4,"Ligne incomplète",IF(NOT(ISNUMBER(A2766)),"Date invalide",IF(AND(B2766&lt;&gt;"Entrée",B2766&lt;&gt;"Sortie"),"Type inconnu",IF(ISNA(MATCH(C2766,art_ref,0)),"Référence inconnue",IF(OR(NOT(ISNUMBER(E2766)),N(E2766)&lt;=0),"Quantité invalide",IF(K2766&lt;0,"Stock négatif",IF(AND(ISNUMBER(A2765),A2766&lt;A2765),"Date hors ordre","OK"))))))))</f>
        <v/>
      </c>
      <c r="M2766" s="39" t="str">
        <f>IF(C2766="","",C2766&amp;"#"&amp;COUNTIF($C$5:C2766,C2766))</f>
        <v/>
      </c>
    </row>
    <row r="2767">
      <c r="A2767" s="41" t="n"/>
      <c r="B2767" s="37" t="n"/>
      <c r="C2767" s="37" t="n"/>
      <c r="D2767" s="39" t="str">
        <f>IF(C2767="","",IFERROR(INDEX(art_des,MATCH(C2767,art_ref,0))&amp;"","Référence inconnue"))</f>
        <v/>
      </c>
      <c r="E2767" s="37" t="n"/>
      <c r="F2767" s="39" t="str">
        <f>IF(C2767="","",IFERROR(INDEX(art_unit,MATCH(C2767,art_ref,0))&amp;"",""))</f>
        <v/>
      </c>
      <c r="G2767" s="37" t="n"/>
      <c r="H2767" s="37" t="n"/>
      <c r="I2767" s="37" t="n"/>
      <c r="J2767" s="40" t="str">
        <f>IF(OR(C2767="",NOT(ISNUMBER(E2767))),"",IFERROR(E2767*N(INDEX(art_price,MATCH(C2767,art_ref,0))),""))</f>
        <v/>
      </c>
      <c r="K2767" s="39" t="str">
        <f>IF(OR(C2767="",NOT(ISNUMBER(E2767))),"",IFERROR(ROUND(N(INDEX(art_init,MATCH(C2767,art_ref,0)))+SUMIFS($E$5:E2767,$C$5:C2767,C2767,$B$5:B2767,"Entrée")-SUMIFS($E$5:E2767,$C$5:C2767,C2767,$B$5:B2767,"Sortie"),6),""))</f>
        <v/>
      </c>
      <c r="L2767" s="39" t="str">
        <f>IF(COUNTA(A2767:C2767,E2767)=0,"",IF(COUNTA(A2767:C2767,E2767)&lt;4,"Ligne incomplète",IF(NOT(ISNUMBER(A2767)),"Date invalide",IF(AND(B2767&lt;&gt;"Entrée",B2767&lt;&gt;"Sortie"),"Type inconnu",IF(ISNA(MATCH(C2767,art_ref,0)),"Référence inconnue",IF(OR(NOT(ISNUMBER(E2767)),N(E2767)&lt;=0),"Quantité invalide",IF(K2767&lt;0,"Stock négatif",IF(AND(ISNUMBER(A2766),A2767&lt;A2766),"Date hors ordre","OK"))))))))</f>
        <v/>
      </c>
      <c r="M2767" s="39" t="str">
        <f>IF(C2767="","",C2767&amp;"#"&amp;COUNTIF($C$5:C2767,C2767))</f>
        <v/>
      </c>
    </row>
    <row r="2768">
      <c r="A2768" s="41" t="n"/>
      <c r="B2768" s="37" t="n"/>
      <c r="C2768" s="37" t="n"/>
      <c r="D2768" s="39" t="str">
        <f>IF(C2768="","",IFERROR(INDEX(art_des,MATCH(C2768,art_ref,0))&amp;"","Référence inconnue"))</f>
        <v/>
      </c>
      <c r="E2768" s="37" t="n"/>
      <c r="F2768" s="39" t="str">
        <f>IF(C2768="","",IFERROR(INDEX(art_unit,MATCH(C2768,art_ref,0))&amp;"",""))</f>
        <v/>
      </c>
      <c r="G2768" s="37" t="n"/>
      <c r="H2768" s="37" t="n"/>
      <c r="I2768" s="37" t="n"/>
      <c r="J2768" s="40" t="str">
        <f>IF(OR(C2768="",NOT(ISNUMBER(E2768))),"",IFERROR(E2768*N(INDEX(art_price,MATCH(C2768,art_ref,0))),""))</f>
        <v/>
      </c>
      <c r="K2768" s="39" t="str">
        <f>IF(OR(C2768="",NOT(ISNUMBER(E2768))),"",IFERROR(ROUND(N(INDEX(art_init,MATCH(C2768,art_ref,0)))+SUMIFS($E$5:E2768,$C$5:C2768,C2768,$B$5:B2768,"Entrée")-SUMIFS($E$5:E2768,$C$5:C2768,C2768,$B$5:B2768,"Sortie"),6),""))</f>
        <v/>
      </c>
      <c r="L2768" s="39" t="str">
        <f>IF(COUNTA(A2768:C2768,E2768)=0,"",IF(COUNTA(A2768:C2768,E2768)&lt;4,"Ligne incomplète",IF(NOT(ISNUMBER(A2768)),"Date invalide",IF(AND(B2768&lt;&gt;"Entrée",B2768&lt;&gt;"Sortie"),"Type inconnu",IF(ISNA(MATCH(C2768,art_ref,0)),"Référence inconnue",IF(OR(NOT(ISNUMBER(E2768)),N(E2768)&lt;=0),"Quantité invalide",IF(K2768&lt;0,"Stock négatif",IF(AND(ISNUMBER(A2767),A2768&lt;A2767),"Date hors ordre","OK"))))))))</f>
        <v/>
      </c>
      <c r="M2768" s="39" t="str">
        <f>IF(C2768="","",C2768&amp;"#"&amp;COUNTIF($C$5:C2768,C2768))</f>
        <v/>
      </c>
    </row>
    <row r="2769">
      <c r="A2769" s="41" t="n"/>
      <c r="B2769" s="37" t="n"/>
      <c r="C2769" s="37" t="n"/>
      <c r="D2769" s="39" t="str">
        <f>IF(C2769="","",IFERROR(INDEX(art_des,MATCH(C2769,art_ref,0))&amp;"","Référence inconnue"))</f>
        <v/>
      </c>
      <c r="E2769" s="37" t="n"/>
      <c r="F2769" s="39" t="str">
        <f>IF(C2769="","",IFERROR(INDEX(art_unit,MATCH(C2769,art_ref,0))&amp;"",""))</f>
        <v/>
      </c>
      <c r="G2769" s="37" t="n"/>
      <c r="H2769" s="37" t="n"/>
      <c r="I2769" s="37" t="n"/>
      <c r="J2769" s="40" t="str">
        <f>IF(OR(C2769="",NOT(ISNUMBER(E2769))),"",IFERROR(E2769*N(INDEX(art_price,MATCH(C2769,art_ref,0))),""))</f>
        <v/>
      </c>
      <c r="K2769" s="39" t="str">
        <f>IF(OR(C2769="",NOT(ISNUMBER(E2769))),"",IFERROR(ROUND(N(INDEX(art_init,MATCH(C2769,art_ref,0)))+SUMIFS($E$5:E2769,$C$5:C2769,C2769,$B$5:B2769,"Entrée")-SUMIFS($E$5:E2769,$C$5:C2769,C2769,$B$5:B2769,"Sortie"),6),""))</f>
        <v/>
      </c>
      <c r="L2769" s="39" t="str">
        <f>IF(COUNTA(A2769:C2769,E2769)=0,"",IF(COUNTA(A2769:C2769,E2769)&lt;4,"Ligne incomplète",IF(NOT(ISNUMBER(A2769)),"Date invalide",IF(AND(B2769&lt;&gt;"Entrée",B2769&lt;&gt;"Sortie"),"Type inconnu",IF(ISNA(MATCH(C2769,art_ref,0)),"Référence inconnue",IF(OR(NOT(ISNUMBER(E2769)),N(E2769)&lt;=0),"Quantité invalide",IF(K2769&lt;0,"Stock négatif",IF(AND(ISNUMBER(A2768),A2769&lt;A2768),"Date hors ordre","OK"))))))))</f>
        <v/>
      </c>
      <c r="M2769" s="39" t="str">
        <f>IF(C2769="","",C2769&amp;"#"&amp;COUNTIF($C$5:C2769,C2769))</f>
        <v/>
      </c>
    </row>
    <row r="2770">
      <c r="A2770" s="41" t="n"/>
      <c r="B2770" s="37" t="n"/>
      <c r="C2770" s="37" t="n"/>
      <c r="D2770" s="39" t="str">
        <f>IF(C2770="","",IFERROR(INDEX(art_des,MATCH(C2770,art_ref,0))&amp;"","Référence inconnue"))</f>
        <v/>
      </c>
      <c r="E2770" s="37" t="n"/>
      <c r="F2770" s="39" t="str">
        <f>IF(C2770="","",IFERROR(INDEX(art_unit,MATCH(C2770,art_ref,0))&amp;"",""))</f>
        <v/>
      </c>
      <c r="G2770" s="37" t="n"/>
      <c r="H2770" s="37" t="n"/>
      <c r="I2770" s="37" t="n"/>
      <c r="J2770" s="40" t="str">
        <f>IF(OR(C2770="",NOT(ISNUMBER(E2770))),"",IFERROR(E2770*N(INDEX(art_price,MATCH(C2770,art_ref,0))),""))</f>
        <v/>
      </c>
      <c r="K2770" s="39" t="str">
        <f>IF(OR(C2770="",NOT(ISNUMBER(E2770))),"",IFERROR(ROUND(N(INDEX(art_init,MATCH(C2770,art_ref,0)))+SUMIFS($E$5:E2770,$C$5:C2770,C2770,$B$5:B2770,"Entrée")-SUMIFS($E$5:E2770,$C$5:C2770,C2770,$B$5:B2770,"Sortie"),6),""))</f>
        <v/>
      </c>
      <c r="L2770" s="39" t="str">
        <f>IF(COUNTA(A2770:C2770,E2770)=0,"",IF(COUNTA(A2770:C2770,E2770)&lt;4,"Ligne incomplète",IF(NOT(ISNUMBER(A2770)),"Date invalide",IF(AND(B2770&lt;&gt;"Entrée",B2770&lt;&gt;"Sortie"),"Type inconnu",IF(ISNA(MATCH(C2770,art_ref,0)),"Référence inconnue",IF(OR(NOT(ISNUMBER(E2770)),N(E2770)&lt;=0),"Quantité invalide",IF(K2770&lt;0,"Stock négatif",IF(AND(ISNUMBER(A2769),A2770&lt;A2769),"Date hors ordre","OK"))))))))</f>
        <v/>
      </c>
      <c r="M2770" s="39" t="str">
        <f>IF(C2770="","",C2770&amp;"#"&amp;COUNTIF($C$5:C2770,C2770))</f>
        <v/>
      </c>
    </row>
    <row r="2771">
      <c r="A2771" s="41" t="n"/>
      <c r="B2771" s="37" t="n"/>
      <c r="C2771" s="37" t="n"/>
      <c r="D2771" s="39" t="str">
        <f>IF(C2771="","",IFERROR(INDEX(art_des,MATCH(C2771,art_ref,0))&amp;"","Référence inconnue"))</f>
        <v/>
      </c>
      <c r="E2771" s="37" t="n"/>
      <c r="F2771" s="39" t="str">
        <f>IF(C2771="","",IFERROR(INDEX(art_unit,MATCH(C2771,art_ref,0))&amp;"",""))</f>
        <v/>
      </c>
      <c r="G2771" s="37" t="n"/>
      <c r="H2771" s="37" t="n"/>
      <c r="I2771" s="37" t="n"/>
      <c r="J2771" s="40" t="str">
        <f>IF(OR(C2771="",NOT(ISNUMBER(E2771))),"",IFERROR(E2771*N(INDEX(art_price,MATCH(C2771,art_ref,0))),""))</f>
        <v/>
      </c>
      <c r="K2771" s="39" t="str">
        <f>IF(OR(C2771="",NOT(ISNUMBER(E2771))),"",IFERROR(ROUND(N(INDEX(art_init,MATCH(C2771,art_ref,0)))+SUMIFS($E$5:E2771,$C$5:C2771,C2771,$B$5:B2771,"Entrée")-SUMIFS($E$5:E2771,$C$5:C2771,C2771,$B$5:B2771,"Sortie"),6),""))</f>
        <v/>
      </c>
      <c r="L2771" s="39" t="str">
        <f>IF(COUNTA(A2771:C2771,E2771)=0,"",IF(COUNTA(A2771:C2771,E2771)&lt;4,"Ligne incomplète",IF(NOT(ISNUMBER(A2771)),"Date invalide",IF(AND(B2771&lt;&gt;"Entrée",B2771&lt;&gt;"Sortie"),"Type inconnu",IF(ISNA(MATCH(C2771,art_ref,0)),"Référence inconnue",IF(OR(NOT(ISNUMBER(E2771)),N(E2771)&lt;=0),"Quantité invalide",IF(K2771&lt;0,"Stock négatif",IF(AND(ISNUMBER(A2770),A2771&lt;A2770),"Date hors ordre","OK"))))))))</f>
        <v/>
      </c>
      <c r="M2771" s="39" t="str">
        <f>IF(C2771="","",C2771&amp;"#"&amp;COUNTIF($C$5:C2771,C2771))</f>
        <v/>
      </c>
    </row>
    <row r="2772">
      <c r="A2772" s="41" t="n"/>
      <c r="B2772" s="37" t="n"/>
      <c r="C2772" s="37" t="n"/>
      <c r="D2772" s="39" t="str">
        <f>IF(C2772="","",IFERROR(INDEX(art_des,MATCH(C2772,art_ref,0))&amp;"","Référence inconnue"))</f>
        <v/>
      </c>
      <c r="E2772" s="37" t="n"/>
      <c r="F2772" s="39" t="str">
        <f>IF(C2772="","",IFERROR(INDEX(art_unit,MATCH(C2772,art_ref,0))&amp;"",""))</f>
        <v/>
      </c>
      <c r="G2772" s="37" t="n"/>
      <c r="H2772" s="37" t="n"/>
      <c r="I2772" s="37" t="n"/>
      <c r="J2772" s="40" t="str">
        <f>IF(OR(C2772="",NOT(ISNUMBER(E2772))),"",IFERROR(E2772*N(INDEX(art_price,MATCH(C2772,art_ref,0))),""))</f>
        <v/>
      </c>
      <c r="K2772" s="39" t="str">
        <f>IF(OR(C2772="",NOT(ISNUMBER(E2772))),"",IFERROR(ROUND(N(INDEX(art_init,MATCH(C2772,art_ref,0)))+SUMIFS($E$5:E2772,$C$5:C2772,C2772,$B$5:B2772,"Entrée")-SUMIFS($E$5:E2772,$C$5:C2772,C2772,$B$5:B2772,"Sortie"),6),""))</f>
        <v/>
      </c>
      <c r="L2772" s="39" t="str">
        <f>IF(COUNTA(A2772:C2772,E2772)=0,"",IF(COUNTA(A2772:C2772,E2772)&lt;4,"Ligne incomplète",IF(NOT(ISNUMBER(A2772)),"Date invalide",IF(AND(B2772&lt;&gt;"Entrée",B2772&lt;&gt;"Sortie"),"Type inconnu",IF(ISNA(MATCH(C2772,art_ref,0)),"Référence inconnue",IF(OR(NOT(ISNUMBER(E2772)),N(E2772)&lt;=0),"Quantité invalide",IF(K2772&lt;0,"Stock négatif",IF(AND(ISNUMBER(A2771),A2772&lt;A2771),"Date hors ordre","OK"))))))))</f>
        <v/>
      </c>
      <c r="M2772" s="39" t="str">
        <f>IF(C2772="","",C2772&amp;"#"&amp;COUNTIF($C$5:C2772,C2772))</f>
        <v/>
      </c>
    </row>
    <row r="2773">
      <c r="A2773" s="41" t="n"/>
      <c r="B2773" s="37" t="n"/>
      <c r="C2773" s="37" t="n"/>
      <c r="D2773" s="39" t="str">
        <f>IF(C2773="","",IFERROR(INDEX(art_des,MATCH(C2773,art_ref,0))&amp;"","Référence inconnue"))</f>
        <v/>
      </c>
      <c r="E2773" s="37" t="n"/>
      <c r="F2773" s="39" t="str">
        <f>IF(C2773="","",IFERROR(INDEX(art_unit,MATCH(C2773,art_ref,0))&amp;"",""))</f>
        <v/>
      </c>
      <c r="G2773" s="37" t="n"/>
      <c r="H2773" s="37" t="n"/>
      <c r="I2773" s="37" t="n"/>
      <c r="J2773" s="40" t="str">
        <f>IF(OR(C2773="",NOT(ISNUMBER(E2773))),"",IFERROR(E2773*N(INDEX(art_price,MATCH(C2773,art_ref,0))),""))</f>
        <v/>
      </c>
      <c r="K2773" s="39" t="str">
        <f>IF(OR(C2773="",NOT(ISNUMBER(E2773))),"",IFERROR(ROUND(N(INDEX(art_init,MATCH(C2773,art_ref,0)))+SUMIFS($E$5:E2773,$C$5:C2773,C2773,$B$5:B2773,"Entrée")-SUMIFS($E$5:E2773,$C$5:C2773,C2773,$B$5:B2773,"Sortie"),6),""))</f>
        <v/>
      </c>
      <c r="L2773" s="39" t="str">
        <f>IF(COUNTA(A2773:C2773,E2773)=0,"",IF(COUNTA(A2773:C2773,E2773)&lt;4,"Ligne incomplète",IF(NOT(ISNUMBER(A2773)),"Date invalide",IF(AND(B2773&lt;&gt;"Entrée",B2773&lt;&gt;"Sortie"),"Type inconnu",IF(ISNA(MATCH(C2773,art_ref,0)),"Référence inconnue",IF(OR(NOT(ISNUMBER(E2773)),N(E2773)&lt;=0),"Quantité invalide",IF(K2773&lt;0,"Stock négatif",IF(AND(ISNUMBER(A2772),A2773&lt;A2772),"Date hors ordre","OK"))))))))</f>
        <v/>
      </c>
      <c r="M2773" s="39" t="str">
        <f>IF(C2773="","",C2773&amp;"#"&amp;COUNTIF($C$5:C2773,C2773))</f>
        <v/>
      </c>
    </row>
    <row r="2774">
      <c r="A2774" s="41" t="n"/>
      <c r="B2774" s="37" t="n"/>
      <c r="C2774" s="37" t="n"/>
      <c r="D2774" s="39" t="str">
        <f>IF(C2774="","",IFERROR(INDEX(art_des,MATCH(C2774,art_ref,0))&amp;"","Référence inconnue"))</f>
        <v/>
      </c>
      <c r="E2774" s="37" t="n"/>
      <c r="F2774" s="39" t="str">
        <f>IF(C2774="","",IFERROR(INDEX(art_unit,MATCH(C2774,art_ref,0))&amp;"",""))</f>
        <v/>
      </c>
      <c r="G2774" s="37" t="n"/>
      <c r="H2774" s="37" t="n"/>
      <c r="I2774" s="37" t="n"/>
      <c r="J2774" s="40" t="str">
        <f>IF(OR(C2774="",NOT(ISNUMBER(E2774))),"",IFERROR(E2774*N(INDEX(art_price,MATCH(C2774,art_ref,0))),""))</f>
        <v/>
      </c>
      <c r="K2774" s="39" t="str">
        <f>IF(OR(C2774="",NOT(ISNUMBER(E2774))),"",IFERROR(ROUND(N(INDEX(art_init,MATCH(C2774,art_ref,0)))+SUMIFS($E$5:E2774,$C$5:C2774,C2774,$B$5:B2774,"Entrée")-SUMIFS($E$5:E2774,$C$5:C2774,C2774,$B$5:B2774,"Sortie"),6),""))</f>
        <v/>
      </c>
      <c r="L2774" s="39" t="str">
        <f>IF(COUNTA(A2774:C2774,E2774)=0,"",IF(COUNTA(A2774:C2774,E2774)&lt;4,"Ligne incomplète",IF(NOT(ISNUMBER(A2774)),"Date invalide",IF(AND(B2774&lt;&gt;"Entrée",B2774&lt;&gt;"Sortie"),"Type inconnu",IF(ISNA(MATCH(C2774,art_ref,0)),"Référence inconnue",IF(OR(NOT(ISNUMBER(E2774)),N(E2774)&lt;=0),"Quantité invalide",IF(K2774&lt;0,"Stock négatif",IF(AND(ISNUMBER(A2773),A2774&lt;A2773),"Date hors ordre","OK"))))))))</f>
        <v/>
      </c>
      <c r="M2774" s="39" t="str">
        <f>IF(C2774="","",C2774&amp;"#"&amp;COUNTIF($C$5:C2774,C2774))</f>
        <v/>
      </c>
    </row>
    <row r="2775">
      <c r="A2775" s="41" t="n"/>
      <c r="B2775" s="37" t="n"/>
      <c r="C2775" s="37" t="n"/>
      <c r="D2775" s="39" t="str">
        <f>IF(C2775="","",IFERROR(INDEX(art_des,MATCH(C2775,art_ref,0))&amp;"","Référence inconnue"))</f>
        <v/>
      </c>
      <c r="E2775" s="37" t="n"/>
      <c r="F2775" s="39" t="str">
        <f>IF(C2775="","",IFERROR(INDEX(art_unit,MATCH(C2775,art_ref,0))&amp;"",""))</f>
        <v/>
      </c>
      <c r="G2775" s="37" t="n"/>
      <c r="H2775" s="37" t="n"/>
      <c r="I2775" s="37" t="n"/>
      <c r="J2775" s="40" t="str">
        <f>IF(OR(C2775="",NOT(ISNUMBER(E2775))),"",IFERROR(E2775*N(INDEX(art_price,MATCH(C2775,art_ref,0))),""))</f>
        <v/>
      </c>
      <c r="K2775" s="39" t="str">
        <f>IF(OR(C2775="",NOT(ISNUMBER(E2775))),"",IFERROR(ROUND(N(INDEX(art_init,MATCH(C2775,art_ref,0)))+SUMIFS($E$5:E2775,$C$5:C2775,C2775,$B$5:B2775,"Entrée")-SUMIFS($E$5:E2775,$C$5:C2775,C2775,$B$5:B2775,"Sortie"),6),""))</f>
        <v/>
      </c>
      <c r="L2775" s="39" t="str">
        <f>IF(COUNTA(A2775:C2775,E2775)=0,"",IF(COUNTA(A2775:C2775,E2775)&lt;4,"Ligne incomplète",IF(NOT(ISNUMBER(A2775)),"Date invalide",IF(AND(B2775&lt;&gt;"Entrée",B2775&lt;&gt;"Sortie"),"Type inconnu",IF(ISNA(MATCH(C2775,art_ref,0)),"Référence inconnue",IF(OR(NOT(ISNUMBER(E2775)),N(E2775)&lt;=0),"Quantité invalide",IF(K2775&lt;0,"Stock négatif",IF(AND(ISNUMBER(A2774),A2775&lt;A2774),"Date hors ordre","OK"))))))))</f>
        <v/>
      </c>
      <c r="M2775" s="39" t="str">
        <f>IF(C2775="","",C2775&amp;"#"&amp;COUNTIF($C$5:C2775,C2775))</f>
        <v/>
      </c>
    </row>
    <row r="2776">
      <c r="A2776" s="41" t="n"/>
      <c r="B2776" s="37" t="n"/>
      <c r="C2776" s="37" t="n"/>
      <c r="D2776" s="39" t="str">
        <f>IF(C2776="","",IFERROR(INDEX(art_des,MATCH(C2776,art_ref,0))&amp;"","Référence inconnue"))</f>
        <v/>
      </c>
      <c r="E2776" s="37" t="n"/>
      <c r="F2776" s="39" t="str">
        <f>IF(C2776="","",IFERROR(INDEX(art_unit,MATCH(C2776,art_ref,0))&amp;"",""))</f>
        <v/>
      </c>
      <c r="G2776" s="37" t="n"/>
      <c r="H2776" s="37" t="n"/>
      <c r="I2776" s="37" t="n"/>
      <c r="J2776" s="40" t="str">
        <f>IF(OR(C2776="",NOT(ISNUMBER(E2776))),"",IFERROR(E2776*N(INDEX(art_price,MATCH(C2776,art_ref,0))),""))</f>
        <v/>
      </c>
      <c r="K2776" s="39" t="str">
        <f>IF(OR(C2776="",NOT(ISNUMBER(E2776))),"",IFERROR(ROUND(N(INDEX(art_init,MATCH(C2776,art_ref,0)))+SUMIFS($E$5:E2776,$C$5:C2776,C2776,$B$5:B2776,"Entrée")-SUMIFS($E$5:E2776,$C$5:C2776,C2776,$B$5:B2776,"Sortie"),6),""))</f>
        <v/>
      </c>
      <c r="L2776" s="39" t="str">
        <f>IF(COUNTA(A2776:C2776,E2776)=0,"",IF(COUNTA(A2776:C2776,E2776)&lt;4,"Ligne incomplète",IF(NOT(ISNUMBER(A2776)),"Date invalide",IF(AND(B2776&lt;&gt;"Entrée",B2776&lt;&gt;"Sortie"),"Type inconnu",IF(ISNA(MATCH(C2776,art_ref,0)),"Référence inconnue",IF(OR(NOT(ISNUMBER(E2776)),N(E2776)&lt;=0),"Quantité invalide",IF(K2776&lt;0,"Stock négatif",IF(AND(ISNUMBER(A2775),A2776&lt;A2775),"Date hors ordre","OK"))))))))</f>
        <v/>
      </c>
      <c r="M2776" s="39" t="str">
        <f>IF(C2776="","",C2776&amp;"#"&amp;COUNTIF($C$5:C2776,C2776))</f>
        <v/>
      </c>
    </row>
    <row r="2777">
      <c r="A2777" s="41" t="n"/>
      <c r="B2777" s="37" t="n"/>
      <c r="C2777" s="37" t="n"/>
      <c r="D2777" s="39" t="str">
        <f>IF(C2777="","",IFERROR(INDEX(art_des,MATCH(C2777,art_ref,0))&amp;"","Référence inconnue"))</f>
        <v/>
      </c>
      <c r="E2777" s="37" t="n"/>
      <c r="F2777" s="39" t="str">
        <f>IF(C2777="","",IFERROR(INDEX(art_unit,MATCH(C2777,art_ref,0))&amp;"",""))</f>
        <v/>
      </c>
      <c r="G2777" s="37" t="n"/>
      <c r="H2777" s="37" t="n"/>
      <c r="I2777" s="37" t="n"/>
      <c r="J2777" s="40" t="str">
        <f>IF(OR(C2777="",NOT(ISNUMBER(E2777))),"",IFERROR(E2777*N(INDEX(art_price,MATCH(C2777,art_ref,0))),""))</f>
        <v/>
      </c>
      <c r="K2777" s="39" t="str">
        <f>IF(OR(C2777="",NOT(ISNUMBER(E2777))),"",IFERROR(ROUND(N(INDEX(art_init,MATCH(C2777,art_ref,0)))+SUMIFS($E$5:E2777,$C$5:C2777,C2777,$B$5:B2777,"Entrée")-SUMIFS($E$5:E2777,$C$5:C2777,C2777,$B$5:B2777,"Sortie"),6),""))</f>
        <v/>
      </c>
      <c r="L2777" s="39" t="str">
        <f>IF(COUNTA(A2777:C2777,E2777)=0,"",IF(COUNTA(A2777:C2777,E2777)&lt;4,"Ligne incomplète",IF(NOT(ISNUMBER(A2777)),"Date invalide",IF(AND(B2777&lt;&gt;"Entrée",B2777&lt;&gt;"Sortie"),"Type inconnu",IF(ISNA(MATCH(C2777,art_ref,0)),"Référence inconnue",IF(OR(NOT(ISNUMBER(E2777)),N(E2777)&lt;=0),"Quantité invalide",IF(K2777&lt;0,"Stock négatif",IF(AND(ISNUMBER(A2776),A2777&lt;A2776),"Date hors ordre","OK"))))))))</f>
        <v/>
      </c>
      <c r="M2777" s="39" t="str">
        <f>IF(C2777="","",C2777&amp;"#"&amp;COUNTIF($C$5:C2777,C2777))</f>
        <v/>
      </c>
    </row>
    <row r="2778">
      <c r="A2778" s="41" t="n"/>
      <c r="B2778" s="37" t="n"/>
      <c r="C2778" s="37" t="n"/>
      <c r="D2778" s="39" t="str">
        <f>IF(C2778="","",IFERROR(INDEX(art_des,MATCH(C2778,art_ref,0))&amp;"","Référence inconnue"))</f>
        <v/>
      </c>
      <c r="E2778" s="37" t="n"/>
      <c r="F2778" s="39" t="str">
        <f>IF(C2778="","",IFERROR(INDEX(art_unit,MATCH(C2778,art_ref,0))&amp;"",""))</f>
        <v/>
      </c>
      <c r="G2778" s="37" t="n"/>
      <c r="H2778" s="37" t="n"/>
      <c r="I2778" s="37" t="n"/>
      <c r="J2778" s="40" t="str">
        <f>IF(OR(C2778="",NOT(ISNUMBER(E2778))),"",IFERROR(E2778*N(INDEX(art_price,MATCH(C2778,art_ref,0))),""))</f>
        <v/>
      </c>
      <c r="K2778" s="39" t="str">
        <f>IF(OR(C2778="",NOT(ISNUMBER(E2778))),"",IFERROR(ROUND(N(INDEX(art_init,MATCH(C2778,art_ref,0)))+SUMIFS($E$5:E2778,$C$5:C2778,C2778,$B$5:B2778,"Entrée")-SUMIFS($E$5:E2778,$C$5:C2778,C2778,$B$5:B2778,"Sortie"),6),""))</f>
        <v/>
      </c>
      <c r="L2778" s="39" t="str">
        <f>IF(COUNTA(A2778:C2778,E2778)=0,"",IF(COUNTA(A2778:C2778,E2778)&lt;4,"Ligne incomplète",IF(NOT(ISNUMBER(A2778)),"Date invalide",IF(AND(B2778&lt;&gt;"Entrée",B2778&lt;&gt;"Sortie"),"Type inconnu",IF(ISNA(MATCH(C2778,art_ref,0)),"Référence inconnue",IF(OR(NOT(ISNUMBER(E2778)),N(E2778)&lt;=0),"Quantité invalide",IF(K2778&lt;0,"Stock négatif",IF(AND(ISNUMBER(A2777),A2778&lt;A2777),"Date hors ordre","OK"))))))))</f>
        <v/>
      </c>
      <c r="M2778" s="39" t="str">
        <f>IF(C2778="","",C2778&amp;"#"&amp;COUNTIF($C$5:C2778,C2778))</f>
        <v/>
      </c>
    </row>
    <row r="2779">
      <c r="A2779" s="41" t="n"/>
      <c r="B2779" s="37" t="n"/>
      <c r="C2779" s="37" t="n"/>
      <c r="D2779" s="39" t="str">
        <f>IF(C2779="","",IFERROR(INDEX(art_des,MATCH(C2779,art_ref,0))&amp;"","Référence inconnue"))</f>
        <v/>
      </c>
      <c r="E2779" s="37" t="n"/>
      <c r="F2779" s="39" t="str">
        <f>IF(C2779="","",IFERROR(INDEX(art_unit,MATCH(C2779,art_ref,0))&amp;"",""))</f>
        <v/>
      </c>
      <c r="G2779" s="37" t="n"/>
      <c r="H2779" s="37" t="n"/>
      <c r="I2779" s="37" t="n"/>
      <c r="J2779" s="40" t="str">
        <f>IF(OR(C2779="",NOT(ISNUMBER(E2779))),"",IFERROR(E2779*N(INDEX(art_price,MATCH(C2779,art_ref,0))),""))</f>
        <v/>
      </c>
      <c r="K2779" s="39" t="str">
        <f>IF(OR(C2779="",NOT(ISNUMBER(E2779))),"",IFERROR(ROUND(N(INDEX(art_init,MATCH(C2779,art_ref,0)))+SUMIFS($E$5:E2779,$C$5:C2779,C2779,$B$5:B2779,"Entrée")-SUMIFS($E$5:E2779,$C$5:C2779,C2779,$B$5:B2779,"Sortie"),6),""))</f>
        <v/>
      </c>
      <c r="L2779" s="39" t="str">
        <f>IF(COUNTA(A2779:C2779,E2779)=0,"",IF(COUNTA(A2779:C2779,E2779)&lt;4,"Ligne incomplète",IF(NOT(ISNUMBER(A2779)),"Date invalide",IF(AND(B2779&lt;&gt;"Entrée",B2779&lt;&gt;"Sortie"),"Type inconnu",IF(ISNA(MATCH(C2779,art_ref,0)),"Référence inconnue",IF(OR(NOT(ISNUMBER(E2779)),N(E2779)&lt;=0),"Quantité invalide",IF(K2779&lt;0,"Stock négatif",IF(AND(ISNUMBER(A2778),A2779&lt;A2778),"Date hors ordre","OK"))))))))</f>
        <v/>
      </c>
      <c r="M2779" s="39" t="str">
        <f>IF(C2779="","",C2779&amp;"#"&amp;COUNTIF($C$5:C2779,C2779))</f>
        <v/>
      </c>
    </row>
    <row r="2780">
      <c r="A2780" s="41" t="n"/>
      <c r="B2780" s="37" t="n"/>
      <c r="C2780" s="37" t="n"/>
      <c r="D2780" s="39" t="str">
        <f>IF(C2780="","",IFERROR(INDEX(art_des,MATCH(C2780,art_ref,0))&amp;"","Référence inconnue"))</f>
        <v/>
      </c>
      <c r="E2780" s="37" t="n"/>
      <c r="F2780" s="39" t="str">
        <f>IF(C2780="","",IFERROR(INDEX(art_unit,MATCH(C2780,art_ref,0))&amp;"",""))</f>
        <v/>
      </c>
      <c r="G2780" s="37" t="n"/>
      <c r="H2780" s="37" t="n"/>
      <c r="I2780" s="37" t="n"/>
      <c r="J2780" s="40" t="str">
        <f>IF(OR(C2780="",NOT(ISNUMBER(E2780))),"",IFERROR(E2780*N(INDEX(art_price,MATCH(C2780,art_ref,0))),""))</f>
        <v/>
      </c>
      <c r="K2780" s="39" t="str">
        <f>IF(OR(C2780="",NOT(ISNUMBER(E2780))),"",IFERROR(ROUND(N(INDEX(art_init,MATCH(C2780,art_ref,0)))+SUMIFS($E$5:E2780,$C$5:C2780,C2780,$B$5:B2780,"Entrée")-SUMIFS($E$5:E2780,$C$5:C2780,C2780,$B$5:B2780,"Sortie"),6),""))</f>
        <v/>
      </c>
      <c r="L2780" s="39" t="str">
        <f>IF(COUNTA(A2780:C2780,E2780)=0,"",IF(COUNTA(A2780:C2780,E2780)&lt;4,"Ligne incomplète",IF(NOT(ISNUMBER(A2780)),"Date invalide",IF(AND(B2780&lt;&gt;"Entrée",B2780&lt;&gt;"Sortie"),"Type inconnu",IF(ISNA(MATCH(C2780,art_ref,0)),"Référence inconnue",IF(OR(NOT(ISNUMBER(E2780)),N(E2780)&lt;=0),"Quantité invalide",IF(K2780&lt;0,"Stock négatif",IF(AND(ISNUMBER(A2779),A2780&lt;A2779),"Date hors ordre","OK"))))))))</f>
        <v/>
      </c>
      <c r="M2780" s="39" t="str">
        <f>IF(C2780="","",C2780&amp;"#"&amp;COUNTIF($C$5:C2780,C2780))</f>
        <v/>
      </c>
    </row>
    <row r="2781">
      <c r="A2781" s="41" t="n"/>
      <c r="B2781" s="37" t="n"/>
      <c r="C2781" s="37" t="n"/>
      <c r="D2781" s="39" t="str">
        <f>IF(C2781="","",IFERROR(INDEX(art_des,MATCH(C2781,art_ref,0))&amp;"","Référence inconnue"))</f>
        <v/>
      </c>
      <c r="E2781" s="37" t="n"/>
      <c r="F2781" s="39" t="str">
        <f>IF(C2781="","",IFERROR(INDEX(art_unit,MATCH(C2781,art_ref,0))&amp;"",""))</f>
        <v/>
      </c>
      <c r="G2781" s="37" t="n"/>
      <c r="H2781" s="37" t="n"/>
      <c r="I2781" s="37" t="n"/>
      <c r="J2781" s="40" t="str">
        <f>IF(OR(C2781="",NOT(ISNUMBER(E2781))),"",IFERROR(E2781*N(INDEX(art_price,MATCH(C2781,art_ref,0))),""))</f>
        <v/>
      </c>
      <c r="K2781" s="39" t="str">
        <f>IF(OR(C2781="",NOT(ISNUMBER(E2781))),"",IFERROR(ROUND(N(INDEX(art_init,MATCH(C2781,art_ref,0)))+SUMIFS($E$5:E2781,$C$5:C2781,C2781,$B$5:B2781,"Entrée")-SUMIFS($E$5:E2781,$C$5:C2781,C2781,$B$5:B2781,"Sortie"),6),""))</f>
        <v/>
      </c>
      <c r="L2781" s="39" t="str">
        <f>IF(COUNTA(A2781:C2781,E2781)=0,"",IF(COUNTA(A2781:C2781,E2781)&lt;4,"Ligne incomplète",IF(NOT(ISNUMBER(A2781)),"Date invalide",IF(AND(B2781&lt;&gt;"Entrée",B2781&lt;&gt;"Sortie"),"Type inconnu",IF(ISNA(MATCH(C2781,art_ref,0)),"Référence inconnue",IF(OR(NOT(ISNUMBER(E2781)),N(E2781)&lt;=0),"Quantité invalide",IF(K2781&lt;0,"Stock négatif",IF(AND(ISNUMBER(A2780),A2781&lt;A2780),"Date hors ordre","OK"))))))))</f>
        <v/>
      </c>
      <c r="M2781" s="39" t="str">
        <f>IF(C2781="","",C2781&amp;"#"&amp;COUNTIF($C$5:C2781,C2781))</f>
        <v/>
      </c>
    </row>
    <row r="2782">
      <c r="A2782" s="41" t="n"/>
      <c r="B2782" s="37" t="n"/>
      <c r="C2782" s="37" t="n"/>
      <c r="D2782" s="39" t="str">
        <f>IF(C2782="","",IFERROR(INDEX(art_des,MATCH(C2782,art_ref,0))&amp;"","Référence inconnue"))</f>
        <v/>
      </c>
      <c r="E2782" s="37" t="n"/>
      <c r="F2782" s="39" t="str">
        <f>IF(C2782="","",IFERROR(INDEX(art_unit,MATCH(C2782,art_ref,0))&amp;"",""))</f>
        <v/>
      </c>
      <c r="G2782" s="37" t="n"/>
      <c r="H2782" s="37" t="n"/>
      <c r="I2782" s="37" t="n"/>
      <c r="J2782" s="40" t="str">
        <f>IF(OR(C2782="",NOT(ISNUMBER(E2782))),"",IFERROR(E2782*N(INDEX(art_price,MATCH(C2782,art_ref,0))),""))</f>
        <v/>
      </c>
      <c r="K2782" s="39" t="str">
        <f>IF(OR(C2782="",NOT(ISNUMBER(E2782))),"",IFERROR(ROUND(N(INDEX(art_init,MATCH(C2782,art_ref,0)))+SUMIFS($E$5:E2782,$C$5:C2782,C2782,$B$5:B2782,"Entrée")-SUMIFS($E$5:E2782,$C$5:C2782,C2782,$B$5:B2782,"Sortie"),6),""))</f>
        <v/>
      </c>
      <c r="L2782" s="39" t="str">
        <f>IF(COUNTA(A2782:C2782,E2782)=0,"",IF(COUNTA(A2782:C2782,E2782)&lt;4,"Ligne incomplète",IF(NOT(ISNUMBER(A2782)),"Date invalide",IF(AND(B2782&lt;&gt;"Entrée",B2782&lt;&gt;"Sortie"),"Type inconnu",IF(ISNA(MATCH(C2782,art_ref,0)),"Référence inconnue",IF(OR(NOT(ISNUMBER(E2782)),N(E2782)&lt;=0),"Quantité invalide",IF(K2782&lt;0,"Stock négatif",IF(AND(ISNUMBER(A2781),A2782&lt;A2781),"Date hors ordre","OK"))))))))</f>
        <v/>
      </c>
      <c r="M2782" s="39" t="str">
        <f>IF(C2782="","",C2782&amp;"#"&amp;COUNTIF($C$5:C2782,C2782))</f>
        <v/>
      </c>
    </row>
    <row r="2783">
      <c r="A2783" s="41" t="n"/>
      <c r="B2783" s="37" t="n"/>
      <c r="C2783" s="37" t="n"/>
      <c r="D2783" s="39" t="str">
        <f>IF(C2783="","",IFERROR(INDEX(art_des,MATCH(C2783,art_ref,0))&amp;"","Référence inconnue"))</f>
        <v/>
      </c>
      <c r="E2783" s="37" t="n"/>
      <c r="F2783" s="39" t="str">
        <f>IF(C2783="","",IFERROR(INDEX(art_unit,MATCH(C2783,art_ref,0))&amp;"",""))</f>
        <v/>
      </c>
      <c r="G2783" s="37" t="n"/>
      <c r="H2783" s="37" t="n"/>
      <c r="I2783" s="37" t="n"/>
      <c r="J2783" s="40" t="str">
        <f>IF(OR(C2783="",NOT(ISNUMBER(E2783))),"",IFERROR(E2783*N(INDEX(art_price,MATCH(C2783,art_ref,0))),""))</f>
        <v/>
      </c>
      <c r="K2783" s="39" t="str">
        <f>IF(OR(C2783="",NOT(ISNUMBER(E2783))),"",IFERROR(ROUND(N(INDEX(art_init,MATCH(C2783,art_ref,0)))+SUMIFS($E$5:E2783,$C$5:C2783,C2783,$B$5:B2783,"Entrée")-SUMIFS($E$5:E2783,$C$5:C2783,C2783,$B$5:B2783,"Sortie"),6),""))</f>
        <v/>
      </c>
      <c r="L2783" s="39" t="str">
        <f>IF(COUNTA(A2783:C2783,E2783)=0,"",IF(COUNTA(A2783:C2783,E2783)&lt;4,"Ligne incomplète",IF(NOT(ISNUMBER(A2783)),"Date invalide",IF(AND(B2783&lt;&gt;"Entrée",B2783&lt;&gt;"Sortie"),"Type inconnu",IF(ISNA(MATCH(C2783,art_ref,0)),"Référence inconnue",IF(OR(NOT(ISNUMBER(E2783)),N(E2783)&lt;=0),"Quantité invalide",IF(K2783&lt;0,"Stock négatif",IF(AND(ISNUMBER(A2782),A2783&lt;A2782),"Date hors ordre","OK"))))))))</f>
        <v/>
      </c>
      <c r="M2783" s="39" t="str">
        <f>IF(C2783="","",C2783&amp;"#"&amp;COUNTIF($C$5:C2783,C2783))</f>
        <v/>
      </c>
    </row>
    <row r="2784">
      <c r="A2784" s="41" t="n"/>
      <c r="B2784" s="37" t="n"/>
      <c r="C2784" s="37" t="n"/>
      <c r="D2784" s="39" t="str">
        <f>IF(C2784="","",IFERROR(INDEX(art_des,MATCH(C2784,art_ref,0))&amp;"","Référence inconnue"))</f>
        <v/>
      </c>
      <c r="E2784" s="37" t="n"/>
      <c r="F2784" s="39" t="str">
        <f>IF(C2784="","",IFERROR(INDEX(art_unit,MATCH(C2784,art_ref,0))&amp;"",""))</f>
        <v/>
      </c>
      <c r="G2784" s="37" t="n"/>
      <c r="H2784" s="37" t="n"/>
      <c r="I2784" s="37" t="n"/>
      <c r="J2784" s="40" t="str">
        <f>IF(OR(C2784="",NOT(ISNUMBER(E2784))),"",IFERROR(E2784*N(INDEX(art_price,MATCH(C2784,art_ref,0))),""))</f>
        <v/>
      </c>
      <c r="K2784" s="39" t="str">
        <f>IF(OR(C2784="",NOT(ISNUMBER(E2784))),"",IFERROR(ROUND(N(INDEX(art_init,MATCH(C2784,art_ref,0)))+SUMIFS($E$5:E2784,$C$5:C2784,C2784,$B$5:B2784,"Entrée")-SUMIFS($E$5:E2784,$C$5:C2784,C2784,$B$5:B2784,"Sortie"),6),""))</f>
        <v/>
      </c>
      <c r="L2784" s="39" t="str">
        <f>IF(COUNTA(A2784:C2784,E2784)=0,"",IF(COUNTA(A2784:C2784,E2784)&lt;4,"Ligne incomplète",IF(NOT(ISNUMBER(A2784)),"Date invalide",IF(AND(B2784&lt;&gt;"Entrée",B2784&lt;&gt;"Sortie"),"Type inconnu",IF(ISNA(MATCH(C2784,art_ref,0)),"Référence inconnue",IF(OR(NOT(ISNUMBER(E2784)),N(E2784)&lt;=0),"Quantité invalide",IF(K2784&lt;0,"Stock négatif",IF(AND(ISNUMBER(A2783),A2784&lt;A2783),"Date hors ordre","OK"))))))))</f>
        <v/>
      </c>
      <c r="M2784" s="39" t="str">
        <f>IF(C2784="","",C2784&amp;"#"&amp;COUNTIF($C$5:C2784,C2784))</f>
        <v/>
      </c>
    </row>
    <row r="2785">
      <c r="A2785" s="41" t="n"/>
      <c r="B2785" s="37" t="n"/>
      <c r="C2785" s="37" t="n"/>
      <c r="D2785" s="39" t="str">
        <f>IF(C2785="","",IFERROR(INDEX(art_des,MATCH(C2785,art_ref,0))&amp;"","Référence inconnue"))</f>
        <v/>
      </c>
      <c r="E2785" s="37" t="n"/>
      <c r="F2785" s="39" t="str">
        <f>IF(C2785="","",IFERROR(INDEX(art_unit,MATCH(C2785,art_ref,0))&amp;"",""))</f>
        <v/>
      </c>
      <c r="G2785" s="37" t="n"/>
      <c r="H2785" s="37" t="n"/>
      <c r="I2785" s="37" t="n"/>
      <c r="J2785" s="40" t="str">
        <f>IF(OR(C2785="",NOT(ISNUMBER(E2785))),"",IFERROR(E2785*N(INDEX(art_price,MATCH(C2785,art_ref,0))),""))</f>
        <v/>
      </c>
      <c r="K2785" s="39" t="str">
        <f>IF(OR(C2785="",NOT(ISNUMBER(E2785))),"",IFERROR(ROUND(N(INDEX(art_init,MATCH(C2785,art_ref,0)))+SUMIFS($E$5:E2785,$C$5:C2785,C2785,$B$5:B2785,"Entrée")-SUMIFS($E$5:E2785,$C$5:C2785,C2785,$B$5:B2785,"Sortie"),6),""))</f>
        <v/>
      </c>
      <c r="L2785" s="39" t="str">
        <f>IF(COUNTA(A2785:C2785,E2785)=0,"",IF(COUNTA(A2785:C2785,E2785)&lt;4,"Ligne incomplète",IF(NOT(ISNUMBER(A2785)),"Date invalide",IF(AND(B2785&lt;&gt;"Entrée",B2785&lt;&gt;"Sortie"),"Type inconnu",IF(ISNA(MATCH(C2785,art_ref,0)),"Référence inconnue",IF(OR(NOT(ISNUMBER(E2785)),N(E2785)&lt;=0),"Quantité invalide",IF(K2785&lt;0,"Stock négatif",IF(AND(ISNUMBER(A2784),A2785&lt;A2784),"Date hors ordre","OK"))))))))</f>
        <v/>
      </c>
      <c r="M2785" s="39" t="str">
        <f>IF(C2785="","",C2785&amp;"#"&amp;COUNTIF($C$5:C2785,C2785))</f>
        <v/>
      </c>
    </row>
    <row r="2786">
      <c r="A2786" s="41" t="n"/>
      <c r="B2786" s="37" t="n"/>
      <c r="C2786" s="37" t="n"/>
      <c r="D2786" s="39" t="str">
        <f>IF(C2786="","",IFERROR(INDEX(art_des,MATCH(C2786,art_ref,0))&amp;"","Référence inconnue"))</f>
        <v/>
      </c>
      <c r="E2786" s="37" t="n"/>
      <c r="F2786" s="39" t="str">
        <f>IF(C2786="","",IFERROR(INDEX(art_unit,MATCH(C2786,art_ref,0))&amp;"",""))</f>
        <v/>
      </c>
      <c r="G2786" s="37" t="n"/>
      <c r="H2786" s="37" t="n"/>
      <c r="I2786" s="37" t="n"/>
      <c r="J2786" s="40" t="str">
        <f>IF(OR(C2786="",NOT(ISNUMBER(E2786))),"",IFERROR(E2786*N(INDEX(art_price,MATCH(C2786,art_ref,0))),""))</f>
        <v/>
      </c>
      <c r="K2786" s="39" t="str">
        <f>IF(OR(C2786="",NOT(ISNUMBER(E2786))),"",IFERROR(ROUND(N(INDEX(art_init,MATCH(C2786,art_ref,0)))+SUMIFS($E$5:E2786,$C$5:C2786,C2786,$B$5:B2786,"Entrée")-SUMIFS($E$5:E2786,$C$5:C2786,C2786,$B$5:B2786,"Sortie"),6),""))</f>
        <v/>
      </c>
      <c r="L2786" s="39" t="str">
        <f>IF(COUNTA(A2786:C2786,E2786)=0,"",IF(COUNTA(A2786:C2786,E2786)&lt;4,"Ligne incomplète",IF(NOT(ISNUMBER(A2786)),"Date invalide",IF(AND(B2786&lt;&gt;"Entrée",B2786&lt;&gt;"Sortie"),"Type inconnu",IF(ISNA(MATCH(C2786,art_ref,0)),"Référence inconnue",IF(OR(NOT(ISNUMBER(E2786)),N(E2786)&lt;=0),"Quantité invalide",IF(K2786&lt;0,"Stock négatif",IF(AND(ISNUMBER(A2785),A2786&lt;A2785),"Date hors ordre","OK"))))))))</f>
        <v/>
      </c>
      <c r="M2786" s="39" t="str">
        <f>IF(C2786="","",C2786&amp;"#"&amp;COUNTIF($C$5:C2786,C2786))</f>
        <v/>
      </c>
    </row>
    <row r="2787">
      <c r="A2787" s="41" t="n"/>
      <c r="B2787" s="37" t="n"/>
      <c r="C2787" s="37" t="n"/>
      <c r="D2787" s="39" t="str">
        <f>IF(C2787="","",IFERROR(INDEX(art_des,MATCH(C2787,art_ref,0))&amp;"","Référence inconnue"))</f>
        <v/>
      </c>
      <c r="E2787" s="37" t="n"/>
      <c r="F2787" s="39" t="str">
        <f>IF(C2787="","",IFERROR(INDEX(art_unit,MATCH(C2787,art_ref,0))&amp;"",""))</f>
        <v/>
      </c>
      <c r="G2787" s="37" t="n"/>
      <c r="H2787" s="37" t="n"/>
      <c r="I2787" s="37" t="n"/>
      <c r="J2787" s="40" t="str">
        <f>IF(OR(C2787="",NOT(ISNUMBER(E2787))),"",IFERROR(E2787*N(INDEX(art_price,MATCH(C2787,art_ref,0))),""))</f>
        <v/>
      </c>
      <c r="K2787" s="39" t="str">
        <f>IF(OR(C2787="",NOT(ISNUMBER(E2787))),"",IFERROR(ROUND(N(INDEX(art_init,MATCH(C2787,art_ref,0)))+SUMIFS($E$5:E2787,$C$5:C2787,C2787,$B$5:B2787,"Entrée")-SUMIFS($E$5:E2787,$C$5:C2787,C2787,$B$5:B2787,"Sortie"),6),""))</f>
        <v/>
      </c>
      <c r="L2787" s="39" t="str">
        <f>IF(COUNTA(A2787:C2787,E2787)=0,"",IF(COUNTA(A2787:C2787,E2787)&lt;4,"Ligne incomplète",IF(NOT(ISNUMBER(A2787)),"Date invalide",IF(AND(B2787&lt;&gt;"Entrée",B2787&lt;&gt;"Sortie"),"Type inconnu",IF(ISNA(MATCH(C2787,art_ref,0)),"Référence inconnue",IF(OR(NOT(ISNUMBER(E2787)),N(E2787)&lt;=0),"Quantité invalide",IF(K2787&lt;0,"Stock négatif",IF(AND(ISNUMBER(A2786),A2787&lt;A2786),"Date hors ordre","OK"))))))))</f>
        <v/>
      </c>
      <c r="M2787" s="39" t="str">
        <f>IF(C2787="","",C2787&amp;"#"&amp;COUNTIF($C$5:C2787,C2787))</f>
        <v/>
      </c>
    </row>
    <row r="2788">
      <c r="A2788" s="41" t="n"/>
      <c r="B2788" s="37" t="n"/>
      <c r="C2788" s="37" t="n"/>
      <c r="D2788" s="39" t="str">
        <f>IF(C2788="","",IFERROR(INDEX(art_des,MATCH(C2788,art_ref,0))&amp;"","Référence inconnue"))</f>
        <v/>
      </c>
      <c r="E2788" s="37" t="n"/>
      <c r="F2788" s="39" t="str">
        <f>IF(C2788="","",IFERROR(INDEX(art_unit,MATCH(C2788,art_ref,0))&amp;"",""))</f>
        <v/>
      </c>
      <c r="G2788" s="37" t="n"/>
      <c r="H2788" s="37" t="n"/>
      <c r="I2788" s="37" t="n"/>
      <c r="J2788" s="40" t="str">
        <f>IF(OR(C2788="",NOT(ISNUMBER(E2788))),"",IFERROR(E2788*N(INDEX(art_price,MATCH(C2788,art_ref,0))),""))</f>
        <v/>
      </c>
      <c r="K2788" s="39" t="str">
        <f>IF(OR(C2788="",NOT(ISNUMBER(E2788))),"",IFERROR(ROUND(N(INDEX(art_init,MATCH(C2788,art_ref,0)))+SUMIFS($E$5:E2788,$C$5:C2788,C2788,$B$5:B2788,"Entrée")-SUMIFS($E$5:E2788,$C$5:C2788,C2788,$B$5:B2788,"Sortie"),6),""))</f>
        <v/>
      </c>
      <c r="L2788" s="39" t="str">
        <f>IF(COUNTA(A2788:C2788,E2788)=0,"",IF(COUNTA(A2788:C2788,E2788)&lt;4,"Ligne incomplète",IF(NOT(ISNUMBER(A2788)),"Date invalide",IF(AND(B2788&lt;&gt;"Entrée",B2788&lt;&gt;"Sortie"),"Type inconnu",IF(ISNA(MATCH(C2788,art_ref,0)),"Référence inconnue",IF(OR(NOT(ISNUMBER(E2788)),N(E2788)&lt;=0),"Quantité invalide",IF(K2788&lt;0,"Stock négatif",IF(AND(ISNUMBER(A2787),A2788&lt;A2787),"Date hors ordre","OK"))))))))</f>
        <v/>
      </c>
      <c r="M2788" s="39" t="str">
        <f>IF(C2788="","",C2788&amp;"#"&amp;COUNTIF($C$5:C2788,C2788))</f>
        <v/>
      </c>
    </row>
    <row r="2789">
      <c r="A2789" s="41" t="n"/>
      <c r="B2789" s="37" t="n"/>
      <c r="C2789" s="37" t="n"/>
      <c r="D2789" s="39" t="str">
        <f>IF(C2789="","",IFERROR(INDEX(art_des,MATCH(C2789,art_ref,0))&amp;"","Référence inconnue"))</f>
        <v/>
      </c>
      <c r="E2789" s="37" t="n"/>
      <c r="F2789" s="39" t="str">
        <f>IF(C2789="","",IFERROR(INDEX(art_unit,MATCH(C2789,art_ref,0))&amp;"",""))</f>
        <v/>
      </c>
      <c r="G2789" s="37" t="n"/>
      <c r="H2789" s="37" t="n"/>
      <c r="I2789" s="37" t="n"/>
      <c r="J2789" s="40" t="str">
        <f>IF(OR(C2789="",NOT(ISNUMBER(E2789))),"",IFERROR(E2789*N(INDEX(art_price,MATCH(C2789,art_ref,0))),""))</f>
        <v/>
      </c>
      <c r="K2789" s="39" t="str">
        <f>IF(OR(C2789="",NOT(ISNUMBER(E2789))),"",IFERROR(ROUND(N(INDEX(art_init,MATCH(C2789,art_ref,0)))+SUMIFS($E$5:E2789,$C$5:C2789,C2789,$B$5:B2789,"Entrée")-SUMIFS($E$5:E2789,$C$5:C2789,C2789,$B$5:B2789,"Sortie"),6),""))</f>
        <v/>
      </c>
      <c r="L2789" s="39" t="str">
        <f>IF(COUNTA(A2789:C2789,E2789)=0,"",IF(COUNTA(A2789:C2789,E2789)&lt;4,"Ligne incomplète",IF(NOT(ISNUMBER(A2789)),"Date invalide",IF(AND(B2789&lt;&gt;"Entrée",B2789&lt;&gt;"Sortie"),"Type inconnu",IF(ISNA(MATCH(C2789,art_ref,0)),"Référence inconnue",IF(OR(NOT(ISNUMBER(E2789)),N(E2789)&lt;=0),"Quantité invalide",IF(K2789&lt;0,"Stock négatif",IF(AND(ISNUMBER(A2788),A2789&lt;A2788),"Date hors ordre","OK"))))))))</f>
        <v/>
      </c>
      <c r="M2789" s="39" t="str">
        <f>IF(C2789="","",C2789&amp;"#"&amp;COUNTIF($C$5:C2789,C2789))</f>
        <v/>
      </c>
    </row>
    <row r="2790">
      <c r="A2790" s="41" t="n"/>
      <c r="B2790" s="37" t="n"/>
      <c r="C2790" s="37" t="n"/>
      <c r="D2790" s="39" t="str">
        <f>IF(C2790="","",IFERROR(INDEX(art_des,MATCH(C2790,art_ref,0))&amp;"","Référence inconnue"))</f>
        <v/>
      </c>
      <c r="E2790" s="37" t="n"/>
      <c r="F2790" s="39" t="str">
        <f>IF(C2790="","",IFERROR(INDEX(art_unit,MATCH(C2790,art_ref,0))&amp;"",""))</f>
        <v/>
      </c>
      <c r="G2790" s="37" t="n"/>
      <c r="H2790" s="37" t="n"/>
      <c r="I2790" s="37" t="n"/>
      <c r="J2790" s="40" t="str">
        <f>IF(OR(C2790="",NOT(ISNUMBER(E2790))),"",IFERROR(E2790*N(INDEX(art_price,MATCH(C2790,art_ref,0))),""))</f>
        <v/>
      </c>
      <c r="K2790" s="39" t="str">
        <f>IF(OR(C2790="",NOT(ISNUMBER(E2790))),"",IFERROR(ROUND(N(INDEX(art_init,MATCH(C2790,art_ref,0)))+SUMIFS($E$5:E2790,$C$5:C2790,C2790,$B$5:B2790,"Entrée")-SUMIFS($E$5:E2790,$C$5:C2790,C2790,$B$5:B2790,"Sortie"),6),""))</f>
        <v/>
      </c>
      <c r="L2790" s="39" t="str">
        <f>IF(COUNTA(A2790:C2790,E2790)=0,"",IF(COUNTA(A2790:C2790,E2790)&lt;4,"Ligne incomplète",IF(NOT(ISNUMBER(A2790)),"Date invalide",IF(AND(B2790&lt;&gt;"Entrée",B2790&lt;&gt;"Sortie"),"Type inconnu",IF(ISNA(MATCH(C2790,art_ref,0)),"Référence inconnue",IF(OR(NOT(ISNUMBER(E2790)),N(E2790)&lt;=0),"Quantité invalide",IF(K2790&lt;0,"Stock négatif",IF(AND(ISNUMBER(A2789),A2790&lt;A2789),"Date hors ordre","OK"))))))))</f>
        <v/>
      </c>
      <c r="M2790" s="39" t="str">
        <f>IF(C2790="","",C2790&amp;"#"&amp;COUNTIF($C$5:C2790,C2790))</f>
        <v/>
      </c>
    </row>
    <row r="2791">
      <c r="A2791" s="41" t="n"/>
      <c r="B2791" s="37" t="n"/>
      <c r="C2791" s="37" t="n"/>
      <c r="D2791" s="39" t="str">
        <f>IF(C2791="","",IFERROR(INDEX(art_des,MATCH(C2791,art_ref,0))&amp;"","Référence inconnue"))</f>
        <v/>
      </c>
      <c r="E2791" s="37" t="n"/>
      <c r="F2791" s="39" t="str">
        <f>IF(C2791="","",IFERROR(INDEX(art_unit,MATCH(C2791,art_ref,0))&amp;"",""))</f>
        <v/>
      </c>
      <c r="G2791" s="37" t="n"/>
      <c r="H2791" s="37" t="n"/>
      <c r="I2791" s="37" t="n"/>
      <c r="J2791" s="40" t="str">
        <f>IF(OR(C2791="",NOT(ISNUMBER(E2791))),"",IFERROR(E2791*N(INDEX(art_price,MATCH(C2791,art_ref,0))),""))</f>
        <v/>
      </c>
      <c r="K2791" s="39" t="str">
        <f>IF(OR(C2791="",NOT(ISNUMBER(E2791))),"",IFERROR(ROUND(N(INDEX(art_init,MATCH(C2791,art_ref,0)))+SUMIFS($E$5:E2791,$C$5:C2791,C2791,$B$5:B2791,"Entrée")-SUMIFS($E$5:E2791,$C$5:C2791,C2791,$B$5:B2791,"Sortie"),6),""))</f>
        <v/>
      </c>
      <c r="L2791" s="39" t="str">
        <f>IF(COUNTA(A2791:C2791,E2791)=0,"",IF(COUNTA(A2791:C2791,E2791)&lt;4,"Ligne incomplète",IF(NOT(ISNUMBER(A2791)),"Date invalide",IF(AND(B2791&lt;&gt;"Entrée",B2791&lt;&gt;"Sortie"),"Type inconnu",IF(ISNA(MATCH(C2791,art_ref,0)),"Référence inconnue",IF(OR(NOT(ISNUMBER(E2791)),N(E2791)&lt;=0),"Quantité invalide",IF(K2791&lt;0,"Stock négatif",IF(AND(ISNUMBER(A2790),A2791&lt;A2790),"Date hors ordre","OK"))))))))</f>
        <v/>
      </c>
      <c r="M2791" s="39" t="str">
        <f>IF(C2791="","",C2791&amp;"#"&amp;COUNTIF($C$5:C2791,C2791))</f>
        <v/>
      </c>
    </row>
    <row r="2792">
      <c r="A2792" s="41" t="n"/>
      <c r="B2792" s="37" t="n"/>
      <c r="C2792" s="37" t="n"/>
      <c r="D2792" s="39" t="str">
        <f>IF(C2792="","",IFERROR(INDEX(art_des,MATCH(C2792,art_ref,0))&amp;"","Référence inconnue"))</f>
        <v/>
      </c>
      <c r="E2792" s="37" t="n"/>
      <c r="F2792" s="39" t="str">
        <f>IF(C2792="","",IFERROR(INDEX(art_unit,MATCH(C2792,art_ref,0))&amp;"",""))</f>
        <v/>
      </c>
      <c r="G2792" s="37" t="n"/>
      <c r="H2792" s="37" t="n"/>
      <c r="I2792" s="37" t="n"/>
      <c r="J2792" s="40" t="str">
        <f>IF(OR(C2792="",NOT(ISNUMBER(E2792))),"",IFERROR(E2792*N(INDEX(art_price,MATCH(C2792,art_ref,0))),""))</f>
        <v/>
      </c>
      <c r="K2792" s="39" t="str">
        <f>IF(OR(C2792="",NOT(ISNUMBER(E2792))),"",IFERROR(ROUND(N(INDEX(art_init,MATCH(C2792,art_ref,0)))+SUMIFS($E$5:E2792,$C$5:C2792,C2792,$B$5:B2792,"Entrée")-SUMIFS($E$5:E2792,$C$5:C2792,C2792,$B$5:B2792,"Sortie"),6),""))</f>
        <v/>
      </c>
      <c r="L2792" s="39" t="str">
        <f>IF(COUNTA(A2792:C2792,E2792)=0,"",IF(COUNTA(A2792:C2792,E2792)&lt;4,"Ligne incomplète",IF(NOT(ISNUMBER(A2792)),"Date invalide",IF(AND(B2792&lt;&gt;"Entrée",B2792&lt;&gt;"Sortie"),"Type inconnu",IF(ISNA(MATCH(C2792,art_ref,0)),"Référence inconnue",IF(OR(NOT(ISNUMBER(E2792)),N(E2792)&lt;=0),"Quantité invalide",IF(K2792&lt;0,"Stock négatif",IF(AND(ISNUMBER(A2791),A2792&lt;A2791),"Date hors ordre","OK"))))))))</f>
        <v/>
      </c>
      <c r="M2792" s="39" t="str">
        <f>IF(C2792="","",C2792&amp;"#"&amp;COUNTIF($C$5:C2792,C2792))</f>
        <v/>
      </c>
    </row>
    <row r="2793">
      <c r="A2793" s="41" t="n"/>
      <c r="B2793" s="37" t="n"/>
      <c r="C2793" s="37" t="n"/>
      <c r="D2793" s="39" t="str">
        <f>IF(C2793="","",IFERROR(INDEX(art_des,MATCH(C2793,art_ref,0))&amp;"","Référence inconnue"))</f>
        <v/>
      </c>
      <c r="E2793" s="37" t="n"/>
      <c r="F2793" s="39" t="str">
        <f>IF(C2793="","",IFERROR(INDEX(art_unit,MATCH(C2793,art_ref,0))&amp;"",""))</f>
        <v/>
      </c>
      <c r="G2793" s="37" t="n"/>
      <c r="H2793" s="37" t="n"/>
      <c r="I2793" s="37" t="n"/>
      <c r="J2793" s="40" t="str">
        <f>IF(OR(C2793="",NOT(ISNUMBER(E2793))),"",IFERROR(E2793*N(INDEX(art_price,MATCH(C2793,art_ref,0))),""))</f>
        <v/>
      </c>
      <c r="K2793" s="39" t="str">
        <f>IF(OR(C2793="",NOT(ISNUMBER(E2793))),"",IFERROR(ROUND(N(INDEX(art_init,MATCH(C2793,art_ref,0)))+SUMIFS($E$5:E2793,$C$5:C2793,C2793,$B$5:B2793,"Entrée")-SUMIFS($E$5:E2793,$C$5:C2793,C2793,$B$5:B2793,"Sortie"),6),""))</f>
        <v/>
      </c>
      <c r="L2793" s="39" t="str">
        <f>IF(COUNTA(A2793:C2793,E2793)=0,"",IF(COUNTA(A2793:C2793,E2793)&lt;4,"Ligne incomplète",IF(NOT(ISNUMBER(A2793)),"Date invalide",IF(AND(B2793&lt;&gt;"Entrée",B2793&lt;&gt;"Sortie"),"Type inconnu",IF(ISNA(MATCH(C2793,art_ref,0)),"Référence inconnue",IF(OR(NOT(ISNUMBER(E2793)),N(E2793)&lt;=0),"Quantité invalide",IF(K2793&lt;0,"Stock négatif",IF(AND(ISNUMBER(A2792),A2793&lt;A2792),"Date hors ordre","OK"))))))))</f>
        <v/>
      </c>
      <c r="M2793" s="39" t="str">
        <f>IF(C2793="","",C2793&amp;"#"&amp;COUNTIF($C$5:C2793,C2793))</f>
        <v/>
      </c>
    </row>
    <row r="2794">
      <c r="A2794" s="41" t="n"/>
      <c r="B2794" s="37" t="n"/>
      <c r="C2794" s="37" t="n"/>
      <c r="D2794" s="39" t="str">
        <f>IF(C2794="","",IFERROR(INDEX(art_des,MATCH(C2794,art_ref,0))&amp;"","Référence inconnue"))</f>
        <v/>
      </c>
      <c r="E2794" s="37" t="n"/>
      <c r="F2794" s="39" t="str">
        <f>IF(C2794="","",IFERROR(INDEX(art_unit,MATCH(C2794,art_ref,0))&amp;"",""))</f>
        <v/>
      </c>
      <c r="G2794" s="37" t="n"/>
      <c r="H2794" s="37" t="n"/>
      <c r="I2794" s="37" t="n"/>
      <c r="J2794" s="40" t="str">
        <f>IF(OR(C2794="",NOT(ISNUMBER(E2794))),"",IFERROR(E2794*N(INDEX(art_price,MATCH(C2794,art_ref,0))),""))</f>
        <v/>
      </c>
      <c r="K2794" s="39" t="str">
        <f>IF(OR(C2794="",NOT(ISNUMBER(E2794))),"",IFERROR(ROUND(N(INDEX(art_init,MATCH(C2794,art_ref,0)))+SUMIFS($E$5:E2794,$C$5:C2794,C2794,$B$5:B2794,"Entrée")-SUMIFS($E$5:E2794,$C$5:C2794,C2794,$B$5:B2794,"Sortie"),6),""))</f>
        <v/>
      </c>
      <c r="L2794" s="39" t="str">
        <f>IF(COUNTA(A2794:C2794,E2794)=0,"",IF(COUNTA(A2794:C2794,E2794)&lt;4,"Ligne incomplète",IF(NOT(ISNUMBER(A2794)),"Date invalide",IF(AND(B2794&lt;&gt;"Entrée",B2794&lt;&gt;"Sortie"),"Type inconnu",IF(ISNA(MATCH(C2794,art_ref,0)),"Référence inconnue",IF(OR(NOT(ISNUMBER(E2794)),N(E2794)&lt;=0),"Quantité invalide",IF(K2794&lt;0,"Stock négatif",IF(AND(ISNUMBER(A2793),A2794&lt;A2793),"Date hors ordre","OK"))))))))</f>
        <v/>
      </c>
      <c r="M2794" s="39" t="str">
        <f>IF(C2794="","",C2794&amp;"#"&amp;COUNTIF($C$5:C2794,C2794))</f>
        <v/>
      </c>
    </row>
    <row r="2795">
      <c r="A2795" s="41" t="n"/>
      <c r="B2795" s="37" t="n"/>
      <c r="C2795" s="37" t="n"/>
      <c r="D2795" s="39" t="str">
        <f>IF(C2795="","",IFERROR(INDEX(art_des,MATCH(C2795,art_ref,0))&amp;"","Référence inconnue"))</f>
        <v/>
      </c>
      <c r="E2795" s="37" t="n"/>
      <c r="F2795" s="39" t="str">
        <f>IF(C2795="","",IFERROR(INDEX(art_unit,MATCH(C2795,art_ref,0))&amp;"",""))</f>
        <v/>
      </c>
      <c r="G2795" s="37" t="n"/>
      <c r="H2795" s="37" t="n"/>
      <c r="I2795" s="37" t="n"/>
      <c r="J2795" s="40" t="str">
        <f>IF(OR(C2795="",NOT(ISNUMBER(E2795))),"",IFERROR(E2795*N(INDEX(art_price,MATCH(C2795,art_ref,0))),""))</f>
        <v/>
      </c>
      <c r="K2795" s="39" t="str">
        <f>IF(OR(C2795="",NOT(ISNUMBER(E2795))),"",IFERROR(ROUND(N(INDEX(art_init,MATCH(C2795,art_ref,0)))+SUMIFS($E$5:E2795,$C$5:C2795,C2795,$B$5:B2795,"Entrée")-SUMIFS($E$5:E2795,$C$5:C2795,C2795,$B$5:B2795,"Sortie"),6),""))</f>
        <v/>
      </c>
      <c r="L2795" s="39" t="str">
        <f>IF(COUNTA(A2795:C2795,E2795)=0,"",IF(COUNTA(A2795:C2795,E2795)&lt;4,"Ligne incomplète",IF(NOT(ISNUMBER(A2795)),"Date invalide",IF(AND(B2795&lt;&gt;"Entrée",B2795&lt;&gt;"Sortie"),"Type inconnu",IF(ISNA(MATCH(C2795,art_ref,0)),"Référence inconnue",IF(OR(NOT(ISNUMBER(E2795)),N(E2795)&lt;=0),"Quantité invalide",IF(K2795&lt;0,"Stock négatif",IF(AND(ISNUMBER(A2794),A2795&lt;A2794),"Date hors ordre","OK"))))))))</f>
        <v/>
      </c>
      <c r="M2795" s="39" t="str">
        <f>IF(C2795="","",C2795&amp;"#"&amp;COUNTIF($C$5:C2795,C2795))</f>
        <v/>
      </c>
    </row>
    <row r="2796">
      <c r="A2796" s="41" t="n"/>
      <c r="B2796" s="37" t="n"/>
      <c r="C2796" s="37" t="n"/>
      <c r="D2796" s="39" t="str">
        <f>IF(C2796="","",IFERROR(INDEX(art_des,MATCH(C2796,art_ref,0))&amp;"","Référence inconnue"))</f>
        <v/>
      </c>
      <c r="E2796" s="37" t="n"/>
      <c r="F2796" s="39" t="str">
        <f>IF(C2796="","",IFERROR(INDEX(art_unit,MATCH(C2796,art_ref,0))&amp;"",""))</f>
        <v/>
      </c>
      <c r="G2796" s="37" t="n"/>
      <c r="H2796" s="37" t="n"/>
      <c r="I2796" s="37" t="n"/>
      <c r="J2796" s="40" t="str">
        <f>IF(OR(C2796="",NOT(ISNUMBER(E2796))),"",IFERROR(E2796*N(INDEX(art_price,MATCH(C2796,art_ref,0))),""))</f>
        <v/>
      </c>
      <c r="K2796" s="39" t="str">
        <f>IF(OR(C2796="",NOT(ISNUMBER(E2796))),"",IFERROR(ROUND(N(INDEX(art_init,MATCH(C2796,art_ref,0)))+SUMIFS($E$5:E2796,$C$5:C2796,C2796,$B$5:B2796,"Entrée")-SUMIFS($E$5:E2796,$C$5:C2796,C2796,$B$5:B2796,"Sortie"),6),""))</f>
        <v/>
      </c>
      <c r="L2796" s="39" t="str">
        <f>IF(COUNTA(A2796:C2796,E2796)=0,"",IF(COUNTA(A2796:C2796,E2796)&lt;4,"Ligne incomplète",IF(NOT(ISNUMBER(A2796)),"Date invalide",IF(AND(B2796&lt;&gt;"Entrée",B2796&lt;&gt;"Sortie"),"Type inconnu",IF(ISNA(MATCH(C2796,art_ref,0)),"Référence inconnue",IF(OR(NOT(ISNUMBER(E2796)),N(E2796)&lt;=0),"Quantité invalide",IF(K2796&lt;0,"Stock négatif",IF(AND(ISNUMBER(A2795),A2796&lt;A2795),"Date hors ordre","OK"))))))))</f>
        <v/>
      </c>
      <c r="M2796" s="39" t="str">
        <f>IF(C2796="","",C2796&amp;"#"&amp;COUNTIF($C$5:C2796,C2796))</f>
        <v/>
      </c>
    </row>
    <row r="2797">
      <c r="A2797" s="41" t="n"/>
      <c r="B2797" s="37" t="n"/>
      <c r="C2797" s="37" t="n"/>
      <c r="D2797" s="39" t="str">
        <f>IF(C2797="","",IFERROR(INDEX(art_des,MATCH(C2797,art_ref,0))&amp;"","Référence inconnue"))</f>
        <v/>
      </c>
      <c r="E2797" s="37" t="n"/>
      <c r="F2797" s="39" t="str">
        <f>IF(C2797="","",IFERROR(INDEX(art_unit,MATCH(C2797,art_ref,0))&amp;"",""))</f>
        <v/>
      </c>
      <c r="G2797" s="37" t="n"/>
      <c r="H2797" s="37" t="n"/>
      <c r="I2797" s="37" t="n"/>
      <c r="J2797" s="40" t="str">
        <f>IF(OR(C2797="",NOT(ISNUMBER(E2797))),"",IFERROR(E2797*N(INDEX(art_price,MATCH(C2797,art_ref,0))),""))</f>
        <v/>
      </c>
      <c r="K2797" s="39" t="str">
        <f>IF(OR(C2797="",NOT(ISNUMBER(E2797))),"",IFERROR(ROUND(N(INDEX(art_init,MATCH(C2797,art_ref,0)))+SUMIFS($E$5:E2797,$C$5:C2797,C2797,$B$5:B2797,"Entrée")-SUMIFS($E$5:E2797,$C$5:C2797,C2797,$B$5:B2797,"Sortie"),6),""))</f>
        <v/>
      </c>
      <c r="L2797" s="39" t="str">
        <f>IF(COUNTA(A2797:C2797,E2797)=0,"",IF(COUNTA(A2797:C2797,E2797)&lt;4,"Ligne incomplète",IF(NOT(ISNUMBER(A2797)),"Date invalide",IF(AND(B2797&lt;&gt;"Entrée",B2797&lt;&gt;"Sortie"),"Type inconnu",IF(ISNA(MATCH(C2797,art_ref,0)),"Référence inconnue",IF(OR(NOT(ISNUMBER(E2797)),N(E2797)&lt;=0),"Quantité invalide",IF(K2797&lt;0,"Stock négatif",IF(AND(ISNUMBER(A2796),A2797&lt;A2796),"Date hors ordre","OK"))))))))</f>
        <v/>
      </c>
      <c r="M2797" s="39" t="str">
        <f>IF(C2797="","",C2797&amp;"#"&amp;COUNTIF($C$5:C2797,C2797))</f>
        <v/>
      </c>
    </row>
    <row r="2798">
      <c r="A2798" s="41" t="n"/>
      <c r="B2798" s="37" t="n"/>
      <c r="C2798" s="37" t="n"/>
      <c r="D2798" s="39" t="str">
        <f>IF(C2798="","",IFERROR(INDEX(art_des,MATCH(C2798,art_ref,0))&amp;"","Référence inconnue"))</f>
        <v/>
      </c>
      <c r="E2798" s="37" t="n"/>
      <c r="F2798" s="39" t="str">
        <f>IF(C2798="","",IFERROR(INDEX(art_unit,MATCH(C2798,art_ref,0))&amp;"",""))</f>
        <v/>
      </c>
      <c r="G2798" s="37" t="n"/>
      <c r="H2798" s="37" t="n"/>
      <c r="I2798" s="37" t="n"/>
      <c r="J2798" s="40" t="str">
        <f>IF(OR(C2798="",NOT(ISNUMBER(E2798))),"",IFERROR(E2798*N(INDEX(art_price,MATCH(C2798,art_ref,0))),""))</f>
        <v/>
      </c>
      <c r="K2798" s="39" t="str">
        <f>IF(OR(C2798="",NOT(ISNUMBER(E2798))),"",IFERROR(ROUND(N(INDEX(art_init,MATCH(C2798,art_ref,0)))+SUMIFS($E$5:E2798,$C$5:C2798,C2798,$B$5:B2798,"Entrée")-SUMIFS($E$5:E2798,$C$5:C2798,C2798,$B$5:B2798,"Sortie"),6),""))</f>
        <v/>
      </c>
      <c r="L2798" s="39" t="str">
        <f>IF(COUNTA(A2798:C2798,E2798)=0,"",IF(COUNTA(A2798:C2798,E2798)&lt;4,"Ligne incomplète",IF(NOT(ISNUMBER(A2798)),"Date invalide",IF(AND(B2798&lt;&gt;"Entrée",B2798&lt;&gt;"Sortie"),"Type inconnu",IF(ISNA(MATCH(C2798,art_ref,0)),"Référence inconnue",IF(OR(NOT(ISNUMBER(E2798)),N(E2798)&lt;=0),"Quantité invalide",IF(K2798&lt;0,"Stock négatif",IF(AND(ISNUMBER(A2797),A2798&lt;A2797),"Date hors ordre","OK"))))))))</f>
        <v/>
      </c>
      <c r="M2798" s="39" t="str">
        <f>IF(C2798="","",C2798&amp;"#"&amp;COUNTIF($C$5:C2798,C2798))</f>
        <v/>
      </c>
    </row>
    <row r="2799">
      <c r="A2799" s="41" t="n"/>
      <c r="B2799" s="37" t="n"/>
      <c r="C2799" s="37" t="n"/>
      <c r="D2799" s="39" t="str">
        <f>IF(C2799="","",IFERROR(INDEX(art_des,MATCH(C2799,art_ref,0))&amp;"","Référence inconnue"))</f>
        <v/>
      </c>
      <c r="E2799" s="37" t="n"/>
      <c r="F2799" s="39" t="str">
        <f>IF(C2799="","",IFERROR(INDEX(art_unit,MATCH(C2799,art_ref,0))&amp;"",""))</f>
        <v/>
      </c>
      <c r="G2799" s="37" t="n"/>
      <c r="H2799" s="37" t="n"/>
      <c r="I2799" s="37" t="n"/>
      <c r="J2799" s="40" t="str">
        <f>IF(OR(C2799="",NOT(ISNUMBER(E2799))),"",IFERROR(E2799*N(INDEX(art_price,MATCH(C2799,art_ref,0))),""))</f>
        <v/>
      </c>
      <c r="K2799" s="39" t="str">
        <f>IF(OR(C2799="",NOT(ISNUMBER(E2799))),"",IFERROR(ROUND(N(INDEX(art_init,MATCH(C2799,art_ref,0)))+SUMIFS($E$5:E2799,$C$5:C2799,C2799,$B$5:B2799,"Entrée")-SUMIFS($E$5:E2799,$C$5:C2799,C2799,$B$5:B2799,"Sortie"),6),""))</f>
        <v/>
      </c>
      <c r="L2799" s="39" t="str">
        <f>IF(COUNTA(A2799:C2799,E2799)=0,"",IF(COUNTA(A2799:C2799,E2799)&lt;4,"Ligne incomplète",IF(NOT(ISNUMBER(A2799)),"Date invalide",IF(AND(B2799&lt;&gt;"Entrée",B2799&lt;&gt;"Sortie"),"Type inconnu",IF(ISNA(MATCH(C2799,art_ref,0)),"Référence inconnue",IF(OR(NOT(ISNUMBER(E2799)),N(E2799)&lt;=0),"Quantité invalide",IF(K2799&lt;0,"Stock négatif",IF(AND(ISNUMBER(A2798),A2799&lt;A2798),"Date hors ordre","OK"))))))))</f>
        <v/>
      </c>
      <c r="M2799" s="39" t="str">
        <f>IF(C2799="","",C2799&amp;"#"&amp;COUNTIF($C$5:C2799,C2799))</f>
        <v/>
      </c>
    </row>
    <row r="2800">
      <c r="A2800" s="41" t="n"/>
      <c r="B2800" s="37" t="n"/>
      <c r="C2800" s="37" t="n"/>
      <c r="D2800" s="39" t="str">
        <f>IF(C2800="","",IFERROR(INDEX(art_des,MATCH(C2800,art_ref,0))&amp;"","Référence inconnue"))</f>
        <v/>
      </c>
      <c r="E2800" s="37" t="n"/>
      <c r="F2800" s="39" t="str">
        <f>IF(C2800="","",IFERROR(INDEX(art_unit,MATCH(C2800,art_ref,0))&amp;"",""))</f>
        <v/>
      </c>
      <c r="G2800" s="37" t="n"/>
      <c r="H2800" s="37" t="n"/>
      <c r="I2800" s="37" t="n"/>
      <c r="J2800" s="40" t="str">
        <f>IF(OR(C2800="",NOT(ISNUMBER(E2800))),"",IFERROR(E2800*N(INDEX(art_price,MATCH(C2800,art_ref,0))),""))</f>
        <v/>
      </c>
      <c r="K2800" s="39" t="str">
        <f>IF(OR(C2800="",NOT(ISNUMBER(E2800))),"",IFERROR(ROUND(N(INDEX(art_init,MATCH(C2800,art_ref,0)))+SUMIFS($E$5:E2800,$C$5:C2800,C2800,$B$5:B2800,"Entrée")-SUMIFS($E$5:E2800,$C$5:C2800,C2800,$B$5:B2800,"Sortie"),6),""))</f>
        <v/>
      </c>
      <c r="L2800" s="39" t="str">
        <f>IF(COUNTA(A2800:C2800,E2800)=0,"",IF(COUNTA(A2800:C2800,E2800)&lt;4,"Ligne incomplète",IF(NOT(ISNUMBER(A2800)),"Date invalide",IF(AND(B2800&lt;&gt;"Entrée",B2800&lt;&gt;"Sortie"),"Type inconnu",IF(ISNA(MATCH(C2800,art_ref,0)),"Référence inconnue",IF(OR(NOT(ISNUMBER(E2800)),N(E2800)&lt;=0),"Quantité invalide",IF(K2800&lt;0,"Stock négatif",IF(AND(ISNUMBER(A2799),A2800&lt;A2799),"Date hors ordre","OK"))))))))</f>
        <v/>
      </c>
      <c r="M2800" s="39" t="str">
        <f>IF(C2800="","",C2800&amp;"#"&amp;COUNTIF($C$5:C2800,C2800))</f>
        <v/>
      </c>
    </row>
    <row r="2801">
      <c r="A2801" s="41" t="n"/>
      <c r="B2801" s="37" t="n"/>
      <c r="C2801" s="37" t="n"/>
      <c r="D2801" s="39" t="str">
        <f>IF(C2801="","",IFERROR(INDEX(art_des,MATCH(C2801,art_ref,0))&amp;"","Référence inconnue"))</f>
        <v/>
      </c>
      <c r="E2801" s="37" t="n"/>
      <c r="F2801" s="39" t="str">
        <f>IF(C2801="","",IFERROR(INDEX(art_unit,MATCH(C2801,art_ref,0))&amp;"",""))</f>
        <v/>
      </c>
      <c r="G2801" s="37" t="n"/>
      <c r="H2801" s="37" t="n"/>
      <c r="I2801" s="37" t="n"/>
      <c r="J2801" s="40" t="str">
        <f>IF(OR(C2801="",NOT(ISNUMBER(E2801))),"",IFERROR(E2801*N(INDEX(art_price,MATCH(C2801,art_ref,0))),""))</f>
        <v/>
      </c>
      <c r="K2801" s="39" t="str">
        <f>IF(OR(C2801="",NOT(ISNUMBER(E2801))),"",IFERROR(ROUND(N(INDEX(art_init,MATCH(C2801,art_ref,0)))+SUMIFS($E$5:E2801,$C$5:C2801,C2801,$B$5:B2801,"Entrée")-SUMIFS($E$5:E2801,$C$5:C2801,C2801,$B$5:B2801,"Sortie"),6),""))</f>
        <v/>
      </c>
      <c r="L2801" s="39" t="str">
        <f>IF(COUNTA(A2801:C2801,E2801)=0,"",IF(COUNTA(A2801:C2801,E2801)&lt;4,"Ligne incomplète",IF(NOT(ISNUMBER(A2801)),"Date invalide",IF(AND(B2801&lt;&gt;"Entrée",B2801&lt;&gt;"Sortie"),"Type inconnu",IF(ISNA(MATCH(C2801,art_ref,0)),"Référence inconnue",IF(OR(NOT(ISNUMBER(E2801)),N(E2801)&lt;=0),"Quantité invalide",IF(K2801&lt;0,"Stock négatif",IF(AND(ISNUMBER(A2800),A2801&lt;A2800),"Date hors ordre","OK"))))))))</f>
        <v/>
      </c>
      <c r="M2801" s="39" t="str">
        <f>IF(C2801="","",C2801&amp;"#"&amp;COUNTIF($C$5:C2801,C2801))</f>
        <v/>
      </c>
    </row>
    <row r="2802">
      <c r="A2802" s="41" t="n"/>
      <c r="B2802" s="37" t="n"/>
      <c r="C2802" s="37" t="n"/>
      <c r="D2802" s="39" t="str">
        <f>IF(C2802="","",IFERROR(INDEX(art_des,MATCH(C2802,art_ref,0))&amp;"","Référence inconnue"))</f>
        <v/>
      </c>
      <c r="E2802" s="37" t="n"/>
      <c r="F2802" s="39" t="str">
        <f>IF(C2802="","",IFERROR(INDEX(art_unit,MATCH(C2802,art_ref,0))&amp;"",""))</f>
        <v/>
      </c>
      <c r="G2802" s="37" t="n"/>
      <c r="H2802" s="37" t="n"/>
      <c r="I2802" s="37" t="n"/>
      <c r="J2802" s="40" t="str">
        <f>IF(OR(C2802="",NOT(ISNUMBER(E2802))),"",IFERROR(E2802*N(INDEX(art_price,MATCH(C2802,art_ref,0))),""))</f>
        <v/>
      </c>
      <c r="K2802" s="39" t="str">
        <f>IF(OR(C2802="",NOT(ISNUMBER(E2802))),"",IFERROR(ROUND(N(INDEX(art_init,MATCH(C2802,art_ref,0)))+SUMIFS($E$5:E2802,$C$5:C2802,C2802,$B$5:B2802,"Entrée")-SUMIFS($E$5:E2802,$C$5:C2802,C2802,$B$5:B2802,"Sortie"),6),""))</f>
        <v/>
      </c>
      <c r="L2802" s="39" t="str">
        <f>IF(COUNTA(A2802:C2802,E2802)=0,"",IF(COUNTA(A2802:C2802,E2802)&lt;4,"Ligne incomplète",IF(NOT(ISNUMBER(A2802)),"Date invalide",IF(AND(B2802&lt;&gt;"Entrée",B2802&lt;&gt;"Sortie"),"Type inconnu",IF(ISNA(MATCH(C2802,art_ref,0)),"Référence inconnue",IF(OR(NOT(ISNUMBER(E2802)),N(E2802)&lt;=0),"Quantité invalide",IF(K2802&lt;0,"Stock négatif",IF(AND(ISNUMBER(A2801),A2802&lt;A2801),"Date hors ordre","OK"))))))))</f>
        <v/>
      </c>
      <c r="M2802" s="39" t="str">
        <f>IF(C2802="","",C2802&amp;"#"&amp;COUNTIF($C$5:C2802,C2802))</f>
        <v/>
      </c>
    </row>
    <row r="2803">
      <c r="A2803" s="41" t="n"/>
      <c r="B2803" s="37" t="n"/>
      <c r="C2803" s="37" t="n"/>
      <c r="D2803" s="39" t="str">
        <f>IF(C2803="","",IFERROR(INDEX(art_des,MATCH(C2803,art_ref,0))&amp;"","Référence inconnue"))</f>
        <v/>
      </c>
      <c r="E2803" s="37" t="n"/>
      <c r="F2803" s="39" t="str">
        <f>IF(C2803="","",IFERROR(INDEX(art_unit,MATCH(C2803,art_ref,0))&amp;"",""))</f>
        <v/>
      </c>
      <c r="G2803" s="37" t="n"/>
      <c r="H2803" s="37" t="n"/>
      <c r="I2803" s="37" t="n"/>
      <c r="J2803" s="40" t="str">
        <f>IF(OR(C2803="",NOT(ISNUMBER(E2803))),"",IFERROR(E2803*N(INDEX(art_price,MATCH(C2803,art_ref,0))),""))</f>
        <v/>
      </c>
      <c r="K2803" s="39" t="str">
        <f>IF(OR(C2803="",NOT(ISNUMBER(E2803))),"",IFERROR(ROUND(N(INDEX(art_init,MATCH(C2803,art_ref,0)))+SUMIFS($E$5:E2803,$C$5:C2803,C2803,$B$5:B2803,"Entrée")-SUMIFS($E$5:E2803,$C$5:C2803,C2803,$B$5:B2803,"Sortie"),6),""))</f>
        <v/>
      </c>
      <c r="L2803" s="39" t="str">
        <f>IF(COUNTA(A2803:C2803,E2803)=0,"",IF(COUNTA(A2803:C2803,E2803)&lt;4,"Ligne incomplète",IF(NOT(ISNUMBER(A2803)),"Date invalide",IF(AND(B2803&lt;&gt;"Entrée",B2803&lt;&gt;"Sortie"),"Type inconnu",IF(ISNA(MATCH(C2803,art_ref,0)),"Référence inconnue",IF(OR(NOT(ISNUMBER(E2803)),N(E2803)&lt;=0),"Quantité invalide",IF(K2803&lt;0,"Stock négatif",IF(AND(ISNUMBER(A2802),A2803&lt;A2802),"Date hors ordre","OK"))))))))</f>
        <v/>
      </c>
      <c r="M2803" s="39" t="str">
        <f>IF(C2803="","",C2803&amp;"#"&amp;COUNTIF($C$5:C2803,C2803))</f>
        <v/>
      </c>
    </row>
    <row r="2804">
      <c r="A2804" s="41" t="n"/>
      <c r="B2804" s="37" t="n"/>
      <c r="C2804" s="37" t="n"/>
      <c r="D2804" s="39" t="str">
        <f>IF(C2804="","",IFERROR(INDEX(art_des,MATCH(C2804,art_ref,0))&amp;"","Référence inconnue"))</f>
        <v/>
      </c>
      <c r="E2804" s="37" t="n"/>
      <c r="F2804" s="39" t="str">
        <f>IF(C2804="","",IFERROR(INDEX(art_unit,MATCH(C2804,art_ref,0))&amp;"",""))</f>
        <v/>
      </c>
      <c r="G2804" s="37" t="n"/>
      <c r="H2804" s="37" t="n"/>
      <c r="I2804" s="37" t="n"/>
      <c r="J2804" s="40" t="str">
        <f>IF(OR(C2804="",NOT(ISNUMBER(E2804))),"",IFERROR(E2804*N(INDEX(art_price,MATCH(C2804,art_ref,0))),""))</f>
        <v/>
      </c>
      <c r="K2804" s="39" t="str">
        <f>IF(OR(C2804="",NOT(ISNUMBER(E2804))),"",IFERROR(ROUND(N(INDEX(art_init,MATCH(C2804,art_ref,0)))+SUMIFS($E$5:E2804,$C$5:C2804,C2804,$B$5:B2804,"Entrée")-SUMIFS($E$5:E2804,$C$5:C2804,C2804,$B$5:B2804,"Sortie"),6),""))</f>
        <v/>
      </c>
      <c r="L2804" s="39" t="str">
        <f>IF(COUNTA(A2804:C2804,E2804)=0,"",IF(COUNTA(A2804:C2804,E2804)&lt;4,"Ligne incomplète",IF(NOT(ISNUMBER(A2804)),"Date invalide",IF(AND(B2804&lt;&gt;"Entrée",B2804&lt;&gt;"Sortie"),"Type inconnu",IF(ISNA(MATCH(C2804,art_ref,0)),"Référence inconnue",IF(OR(NOT(ISNUMBER(E2804)),N(E2804)&lt;=0),"Quantité invalide",IF(K2804&lt;0,"Stock négatif",IF(AND(ISNUMBER(A2803),A2804&lt;A2803),"Date hors ordre","OK"))))))))</f>
        <v/>
      </c>
      <c r="M2804" s="39" t="str">
        <f>IF(C2804="","",C2804&amp;"#"&amp;COUNTIF($C$5:C2804,C2804))</f>
        <v/>
      </c>
    </row>
    <row r="2805">
      <c r="A2805" s="41" t="n"/>
      <c r="B2805" s="37" t="n"/>
      <c r="C2805" s="37" t="n"/>
      <c r="D2805" s="39" t="str">
        <f>IF(C2805="","",IFERROR(INDEX(art_des,MATCH(C2805,art_ref,0))&amp;"","Référence inconnue"))</f>
        <v/>
      </c>
      <c r="E2805" s="37" t="n"/>
      <c r="F2805" s="39" t="str">
        <f>IF(C2805="","",IFERROR(INDEX(art_unit,MATCH(C2805,art_ref,0))&amp;"",""))</f>
        <v/>
      </c>
      <c r="G2805" s="37" t="n"/>
      <c r="H2805" s="37" t="n"/>
      <c r="I2805" s="37" t="n"/>
      <c r="J2805" s="40" t="str">
        <f>IF(OR(C2805="",NOT(ISNUMBER(E2805))),"",IFERROR(E2805*N(INDEX(art_price,MATCH(C2805,art_ref,0))),""))</f>
        <v/>
      </c>
      <c r="K2805" s="39" t="str">
        <f>IF(OR(C2805="",NOT(ISNUMBER(E2805))),"",IFERROR(ROUND(N(INDEX(art_init,MATCH(C2805,art_ref,0)))+SUMIFS($E$5:E2805,$C$5:C2805,C2805,$B$5:B2805,"Entrée")-SUMIFS($E$5:E2805,$C$5:C2805,C2805,$B$5:B2805,"Sortie"),6),""))</f>
        <v/>
      </c>
      <c r="L2805" s="39" t="str">
        <f>IF(COUNTA(A2805:C2805,E2805)=0,"",IF(COUNTA(A2805:C2805,E2805)&lt;4,"Ligne incomplète",IF(NOT(ISNUMBER(A2805)),"Date invalide",IF(AND(B2805&lt;&gt;"Entrée",B2805&lt;&gt;"Sortie"),"Type inconnu",IF(ISNA(MATCH(C2805,art_ref,0)),"Référence inconnue",IF(OR(NOT(ISNUMBER(E2805)),N(E2805)&lt;=0),"Quantité invalide",IF(K2805&lt;0,"Stock négatif",IF(AND(ISNUMBER(A2804),A2805&lt;A2804),"Date hors ordre","OK"))))))))</f>
        <v/>
      </c>
      <c r="M2805" s="39" t="str">
        <f>IF(C2805="","",C2805&amp;"#"&amp;COUNTIF($C$5:C2805,C2805))</f>
        <v/>
      </c>
    </row>
    <row r="2806">
      <c r="A2806" s="41" t="n"/>
      <c r="B2806" s="37" t="n"/>
      <c r="C2806" s="37" t="n"/>
      <c r="D2806" s="39" t="str">
        <f>IF(C2806="","",IFERROR(INDEX(art_des,MATCH(C2806,art_ref,0))&amp;"","Référence inconnue"))</f>
        <v/>
      </c>
      <c r="E2806" s="37" t="n"/>
      <c r="F2806" s="39" t="str">
        <f>IF(C2806="","",IFERROR(INDEX(art_unit,MATCH(C2806,art_ref,0))&amp;"",""))</f>
        <v/>
      </c>
      <c r="G2806" s="37" t="n"/>
      <c r="H2806" s="37" t="n"/>
      <c r="I2806" s="37" t="n"/>
      <c r="J2806" s="40" t="str">
        <f>IF(OR(C2806="",NOT(ISNUMBER(E2806))),"",IFERROR(E2806*N(INDEX(art_price,MATCH(C2806,art_ref,0))),""))</f>
        <v/>
      </c>
      <c r="K2806" s="39" t="str">
        <f>IF(OR(C2806="",NOT(ISNUMBER(E2806))),"",IFERROR(ROUND(N(INDEX(art_init,MATCH(C2806,art_ref,0)))+SUMIFS($E$5:E2806,$C$5:C2806,C2806,$B$5:B2806,"Entrée")-SUMIFS($E$5:E2806,$C$5:C2806,C2806,$B$5:B2806,"Sortie"),6),""))</f>
        <v/>
      </c>
      <c r="L2806" s="39" t="str">
        <f>IF(COUNTA(A2806:C2806,E2806)=0,"",IF(COUNTA(A2806:C2806,E2806)&lt;4,"Ligne incomplète",IF(NOT(ISNUMBER(A2806)),"Date invalide",IF(AND(B2806&lt;&gt;"Entrée",B2806&lt;&gt;"Sortie"),"Type inconnu",IF(ISNA(MATCH(C2806,art_ref,0)),"Référence inconnue",IF(OR(NOT(ISNUMBER(E2806)),N(E2806)&lt;=0),"Quantité invalide",IF(K2806&lt;0,"Stock négatif",IF(AND(ISNUMBER(A2805),A2806&lt;A2805),"Date hors ordre","OK"))))))))</f>
        <v/>
      </c>
      <c r="M2806" s="39" t="str">
        <f>IF(C2806="","",C2806&amp;"#"&amp;COUNTIF($C$5:C2806,C2806))</f>
        <v/>
      </c>
    </row>
    <row r="2807">
      <c r="A2807" s="41" t="n"/>
      <c r="B2807" s="37" t="n"/>
      <c r="C2807" s="37" t="n"/>
      <c r="D2807" s="39" t="str">
        <f>IF(C2807="","",IFERROR(INDEX(art_des,MATCH(C2807,art_ref,0))&amp;"","Référence inconnue"))</f>
        <v/>
      </c>
      <c r="E2807" s="37" t="n"/>
      <c r="F2807" s="39" t="str">
        <f>IF(C2807="","",IFERROR(INDEX(art_unit,MATCH(C2807,art_ref,0))&amp;"",""))</f>
        <v/>
      </c>
      <c r="G2807" s="37" t="n"/>
      <c r="H2807" s="37" t="n"/>
      <c r="I2807" s="37" t="n"/>
      <c r="J2807" s="40" t="str">
        <f>IF(OR(C2807="",NOT(ISNUMBER(E2807))),"",IFERROR(E2807*N(INDEX(art_price,MATCH(C2807,art_ref,0))),""))</f>
        <v/>
      </c>
      <c r="K2807" s="39" t="str">
        <f>IF(OR(C2807="",NOT(ISNUMBER(E2807))),"",IFERROR(ROUND(N(INDEX(art_init,MATCH(C2807,art_ref,0)))+SUMIFS($E$5:E2807,$C$5:C2807,C2807,$B$5:B2807,"Entrée")-SUMIFS($E$5:E2807,$C$5:C2807,C2807,$B$5:B2807,"Sortie"),6),""))</f>
        <v/>
      </c>
      <c r="L2807" s="39" t="str">
        <f>IF(COUNTA(A2807:C2807,E2807)=0,"",IF(COUNTA(A2807:C2807,E2807)&lt;4,"Ligne incomplète",IF(NOT(ISNUMBER(A2807)),"Date invalide",IF(AND(B2807&lt;&gt;"Entrée",B2807&lt;&gt;"Sortie"),"Type inconnu",IF(ISNA(MATCH(C2807,art_ref,0)),"Référence inconnue",IF(OR(NOT(ISNUMBER(E2807)),N(E2807)&lt;=0),"Quantité invalide",IF(K2807&lt;0,"Stock négatif",IF(AND(ISNUMBER(A2806),A2807&lt;A2806),"Date hors ordre","OK"))))))))</f>
        <v/>
      </c>
      <c r="M2807" s="39" t="str">
        <f>IF(C2807="","",C2807&amp;"#"&amp;COUNTIF($C$5:C2807,C2807))</f>
        <v/>
      </c>
    </row>
    <row r="2808">
      <c r="A2808" s="41" t="n"/>
      <c r="B2808" s="37" t="n"/>
      <c r="C2808" s="37" t="n"/>
      <c r="D2808" s="39" t="str">
        <f>IF(C2808="","",IFERROR(INDEX(art_des,MATCH(C2808,art_ref,0))&amp;"","Référence inconnue"))</f>
        <v/>
      </c>
      <c r="E2808" s="37" t="n"/>
      <c r="F2808" s="39" t="str">
        <f>IF(C2808="","",IFERROR(INDEX(art_unit,MATCH(C2808,art_ref,0))&amp;"",""))</f>
        <v/>
      </c>
      <c r="G2808" s="37" t="n"/>
      <c r="H2808" s="37" t="n"/>
      <c r="I2808" s="37" t="n"/>
      <c r="J2808" s="40" t="str">
        <f>IF(OR(C2808="",NOT(ISNUMBER(E2808))),"",IFERROR(E2808*N(INDEX(art_price,MATCH(C2808,art_ref,0))),""))</f>
        <v/>
      </c>
      <c r="K2808" s="39" t="str">
        <f>IF(OR(C2808="",NOT(ISNUMBER(E2808))),"",IFERROR(ROUND(N(INDEX(art_init,MATCH(C2808,art_ref,0)))+SUMIFS($E$5:E2808,$C$5:C2808,C2808,$B$5:B2808,"Entrée")-SUMIFS($E$5:E2808,$C$5:C2808,C2808,$B$5:B2808,"Sortie"),6),""))</f>
        <v/>
      </c>
      <c r="L2808" s="39" t="str">
        <f>IF(COUNTA(A2808:C2808,E2808)=0,"",IF(COUNTA(A2808:C2808,E2808)&lt;4,"Ligne incomplète",IF(NOT(ISNUMBER(A2808)),"Date invalide",IF(AND(B2808&lt;&gt;"Entrée",B2808&lt;&gt;"Sortie"),"Type inconnu",IF(ISNA(MATCH(C2808,art_ref,0)),"Référence inconnue",IF(OR(NOT(ISNUMBER(E2808)),N(E2808)&lt;=0),"Quantité invalide",IF(K2808&lt;0,"Stock négatif",IF(AND(ISNUMBER(A2807),A2808&lt;A2807),"Date hors ordre","OK"))))))))</f>
        <v/>
      </c>
      <c r="M2808" s="39" t="str">
        <f>IF(C2808="","",C2808&amp;"#"&amp;COUNTIF($C$5:C2808,C2808))</f>
        <v/>
      </c>
    </row>
    <row r="2809">
      <c r="A2809" s="41" t="n"/>
      <c r="B2809" s="37" t="n"/>
      <c r="C2809" s="37" t="n"/>
      <c r="D2809" s="39" t="str">
        <f>IF(C2809="","",IFERROR(INDEX(art_des,MATCH(C2809,art_ref,0))&amp;"","Référence inconnue"))</f>
        <v/>
      </c>
      <c r="E2809" s="37" t="n"/>
      <c r="F2809" s="39" t="str">
        <f>IF(C2809="","",IFERROR(INDEX(art_unit,MATCH(C2809,art_ref,0))&amp;"",""))</f>
        <v/>
      </c>
      <c r="G2809" s="37" t="n"/>
      <c r="H2809" s="37" t="n"/>
      <c r="I2809" s="37" t="n"/>
      <c r="J2809" s="40" t="str">
        <f>IF(OR(C2809="",NOT(ISNUMBER(E2809))),"",IFERROR(E2809*N(INDEX(art_price,MATCH(C2809,art_ref,0))),""))</f>
        <v/>
      </c>
      <c r="K2809" s="39" t="str">
        <f>IF(OR(C2809="",NOT(ISNUMBER(E2809))),"",IFERROR(ROUND(N(INDEX(art_init,MATCH(C2809,art_ref,0)))+SUMIFS($E$5:E2809,$C$5:C2809,C2809,$B$5:B2809,"Entrée")-SUMIFS($E$5:E2809,$C$5:C2809,C2809,$B$5:B2809,"Sortie"),6),""))</f>
        <v/>
      </c>
      <c r="L2809" s="39" t="str">
        <f>IF(COUNTA(A2809:C2809,E2809)=0,"",IF(COUNTA(A2809:C2809,E2809)&lt;4,"Ligne incomplète",IF(NOT(ISNUMBER(A2809)),"Date invalide",IF(AND(B2809&lt;&gt;"Entrée",B2809&lt;&gt;"Sortie"),"Type inconnu",IF(ISNA(MATCH(C2809,art_ref,0)),"Référence inconnue",IF(OR(NOT(ISNUMBER(E2809)),N(E2809)&lt;=0),"Quantité invalide",IF(K2809&lt;0,"Stock négatif",IF(AND(ISNUMBER(A2808),A2809&lt;A2808),"Date hors ordre","OK"))))))))</f>
        <v/>
      </c>
      <c r="M2809" s="39" t="str">
        <f>IF(C2809="","",C2809&amp;"#"&amp;COUNTIF($C$5:C2809,C2809))</f>
        <v/>
      </c>
    </row>
    <row r="2810">
      <c r="A2810" s="41" t="n"/>
      <c r="B2810" s="37" t="n"/>
      <c r="C2810" s="37" t="n"/>
      <c r="D2810" s="39" t="str">
        <f>IF(C2810="","",IFERROR(INDEX(art_des,MATCH(C2810,art_ref,0))&amp;"","Référence inconnue"))</f>
        <v/>
      </c>
      <c r="E2810" s="37" t="n"/>
      <c r="F2810" s="39" t="str">
        <f>IF(C2810="","",IFERROR(INDEX(art_unit,MATCH(C2810,art_ref,0))&amp;"",""))</f>
        <v/>
      </c>
      <c r="G2810" s="37" t="n"/>
      <c r="H2810" s="37" t="n"/>
      <c r="I2810" s="37" t="n"/>
      <c r="J2810" s="40" t="str">
        <f>IF(OR(C2810="",NOT(ISNUMBER(E2810))),"",IFERROR(E2810*N(INDEX(art_price,MATCH(C2810,art_ref,0))),""))</f>
        <v/>
      </c>
      <c r="K2810" s="39" t="str">
        <f>IF(OR(C2810="",NOT(ISNUMBER(E2810))),"",IFERROR(ROUND(N(INDEX(art_init,MATCH(C2810,art_ref,0)))+SUMIFS($E$5:E2810,$C$5:C2810,C2810,$B$5:B2810,"Entrée")-SUMIFS($E$5:E2810,$C$5:C2810,C2810,$B$5:B2810,"Sortie"),6),""))</f>
        <v/>
      </c>
      <c r="L2810" s="39" t="str">
        <f>IF(COUNTA(A2810:C2810,E2810)=0,"",IF(COUNTA(A2810:C2810,E2810)&lt;4,"Ligne incomplète",IF(NOT(ISNUMBER(A2810)),"Date invalide",IF(AND(B2810&lt;&gt;"Entrée",B2810&lt;&gt;"Sortie"),"Type inconnu",IF(ISNA(MATCH(C2810,art_ref,0)),"Référence inconnue",IF(OR(NOT(ISNUMBER(E2810)),N(E2810)&lt;=0),"Quantité invalide",IF(K2810&lt;0,"Stock négatif",IF(AND(ISNUMBER(A2809),A2810&lt;A2809),"Date hors ordre","OK"))))))))</f>
        <v/>
      </c>
      <c r="M2810" s="39" t="str">
        <f>IF(C2810="","",C2810&amp;"#"&amp;COUNTIF($C$5:C2810,C2810))</f>
        <v/>
      </c>
    </row>
    <row r="2811">
      <c r="A2811" s="41" t="n"/>
      <c r="B2811" s="37" t="n"/>
      <c r="C2811" s="37" t="n"/>
      <c r="D2811" s="39" t="str">
        <f>IF(C2811="","",IFERROR(INDEX(art_des,MATCH(C2811,art_ref,0))&amp;"","Référence inconnue"))</f>
        <v/>
      </c>
      <c r="E2811" s="37" t="n"/>
      <c r="F2811" s="39" t="str">
        <f>IF(C2811="","",IFERROR(INDEX(art_unit,MATCH(C2811,art_ref,0))&amp;"",""))</f>
        <v/>
      </c>
      <c r="G2811" s="37" t="n"/>
      <c r="H2811" s="37" t="n"/>
      <c r="I2811" s="37" t="n"/>
      <c r="J2811" s="40" t="str">
        <f>IF(OR(C2811="",NOT(ISNUMBER(E2811))),"",IFERROR(E2811*N(INDEX(art_price,MATCH(C2811,art_ref,0))),""))</f>
        <v/>
      </c>
      <c r="K2811" s="39" t="str">
        <f>IF(OR(C2811="",NOT(ISNUMBER(E2811))),"",IFERROR(ROUND(N(INDEX(art_init,MATCH(C2811,art_ref,0)))+SUMIFS($E$5:E2811,$C$5:C2811,C2811,$B$5:B2811,"Entrée")-SUMIFS($E$5:E2811,$C$5:C2811,C2811,$B$5:B2811,"Sortie"),6),""))</f>
        <v/>
      </c>
      <c r="L2811" s="39" t="str">
        <f>IF(COUNTA(A2811:C2811,E2811)=0,"",IF(COUNTA(A2811:C2811,E2811)&lt;4,"Ligne incomplète",IF(NOT(ISNUMBER(A2811)),"Date invalide",IF(AND(B2811&lt;&gt;"Entrée",B2811&lt;&gt;"Sortie"),"Type inconnu",IF(ISNA(MATCH(C2811,art_ref,0)),"Référence inconnue",IF(OR(NOT(ISNUMBER(E2811)),N(E2811)&lt;=0),"Quantité invalide",IF(K2811&lt;0,"Stock négatif",IF(AND(ISNUMBER(A2810),A2811&lt;A2810),"Date hors ordre","OK"))))))))</f>
        <v/>
      </c>
      <c r="M2811" s="39" t="str">
        <f>IF(C2811="","",C2811&amp;"#"&amp;COUNTIF($C$5:C2811,C2811))</f>
        <v/>
      </c>
    </row>
    <row r="2812">
      <c r="A2812" s="41" t="n"/>
      <c r="B2812" s="37" t="n"/>
      <c r="C2812" s="37" t="n"/>
      <c r="D2812" s="39" t="str">
        <f>IF(C2812="","",IFERROR(INDEX(art_des,MATCH(C2812,art_ref,0))&amp;"","Référence inconnue"))</f>
        <v/>
      </c>
      <c r="E2812" s="37" t="n"/>
      <c r="F2812" s="39" t="str">
        <f>IF(C2812="","",IFERROR(INDEX(art_unit,MATCH(C2812,art_ref,0))&amp;"",""))</f>
        <v/>
      </c>
      <c r="G2812" s="37" t="n"/>
      <c r="H2812" s="37" t="n"/>
      <c r="I2812" s="37" t="n"/>
      <c r="J2812" s="40" t="str">
        <f>IF(OR(C2812="",NOT(ISNUMBER(E2812))),"",IFERROR(E2812*N(INDEX(art_price,MATCH(C2812,art_ref,0))),""))</f>
        <v/>
      </c>
      <c r="K2812" s="39" t="str">
        <f>IF(OR(C2812="",NOT(ISNUMBER(E2812))),"",IFERROR(ROUND(N(INDEX(art_init,MATCH(C2812,art_ref,0)))+SUMIFS($E$5:E2812,$C$5:C2812,C2812,$B$5:B2812,"Entrée")-SUMIFS($E$5:E2812,$C$5:C2812,C2812,$B$5:B2812,"Sortie"),6),""))</f>
        <v/>
      </c>
      <c r="L2812" s="39" t="str">
        <f>IF(COUNTA(A2812:C2812,E2812)=0,"",IF(COUNTA(A2812:C2812,E2812)&lt;4,"Ligne incomplète",IF(NOT(ISNUMBER(A2812)),"Date invalide",IF(AND(B2812&lt;&gt;"Entrée",B2812&lt;&gt;"Sortie"),"Type inconnu",IF(ISNA(MATCH(C2812,art_ref,0)),"Référence inconnue",IF(OR(NOT(ISNUMBER(E2812)),N(E2812)&lt;=0),"Quantité invalide",IF(K2812&lt;0,"Stock négatif",IF(AND(ISNUMBER(A2811),A2812&lt;A2811),"Date hors ordre","OK"))))))))</f>
        <v/>
      </c>
      <c r="M2812" s="39" t="str">
        <f>IF(C2812="","",C2812&amp;"#"&amp;COUNTIF($C$5:C2812,C2812))</f>
        <v/>
      </c>
    </row>
    <row r="2813">
      <c r="A2813" s="41" t="n"/>
      <c r="B2813" s="37" t="n"/>
      <c r="C2813" s="37" t="n"/>
      <c r="D2813" s="39" t="str">
        <f>IF(C2813="","",IFERROR(INDEX(art_des,MATCH(C2813,art_ref,0))&amp;"","Référence inconnue"))</f>
        <v/>
      </c>
      <c r="E2813" s="37" t="n"/>
      <c r="F2813" s="39" t="str">
        <f>IF(C2813="","",IFERROR(INDEX(art_unit,MATCH(C2813,art_ref,0))&amp;"",""))</f>
        <v/>
      </c>
      <c r="G2813" s="37" t="n"/>
      <c r="H2813" s="37" t="n"/>
      <c r="I2813" s="37" t="n"/>
      <c r="J2813" s="40" t="str">
        <f>IF(OR(C2813="",NOT(ISNUMBER(E2813))),"",IFERROR(E2813*N(INDEX(art_price,MATCH(C2813,art_ref,0))),""))</f>
        <v/>
      </c>
      <c r="K2813" s="39" t="str">
        <f>IF(OR(C2813="",NOT(ISNUMBER(E2813))),"",IFERROR(ROUND(N(INDEX(art_init,MATCH(C2813,art_ref,0)))+SUMIFS($E$5:E2813,$C$5:C2813,C2813,$B$5:B2813,"Entrée")-SUMIFS($E$5:E2813,$C$5:C2813,C2813,$B$5:B2813,"Sortie"),6),""))</f>
        <v/>
      </c>
      <c r="L2813" s="39" t="str">
        <f>IF(COUNTA(A2813:C2813,E2813)=0,"",IF(COUNTA(A2813:C2813,E2813)&lt;4,"Ligne incomplète",IF(NOT(ISNUMBER(A2813)),"Date invalide",IF(AND(B2813&lt;&gt;"Entrée",B2813&lt;&gt;"Sortie"),"Type inconnu",IF(ISNA(MATCH(C2813,art_ref,0)),"Référence inconnue",IF(OR(NOT(ISNUMBER(E2813)),N(E2813)&lt;=0),"Quantité invalide",IF(K2813&lt;0,"Stock négatif",IF(AND(ISNUMBER(A2812),A2813&lt;A2812),"Date hors ordre","OK"))))))))</f>
        <v/>
      </c>
      <c r="M2813" s="39" t="str">
        <f>IF(C2813="","",C2813&amp;"#"&amp;COUNTIF($C$5:C2813,C2813))</f>
        <v/>
      </c>
    </row>
    <row r="2814">
      <c r="A2814" s="41" t="n"/>
      <c r="B2814" s="37" t="n"/>
      <c r="C2814" s="37" t="n"/>
      <c r="D2814" s="39" t="str">
        <f>IF(C2814="","",IFERROR(INDEX(art_des,MATCH(C2814,art_ref,0))&amp;"","Référence inconnue"))</f>
        <v/>
      </c>
      <c r="E2814" s="37" t="n"/>
      <c r="F2814" s="39" t="str">
        <f>IF(C2814="","",IFERROR(INDEX(art_unit,MATCH(C2814,art_ref,0))&amp;"",""))</f>
        <v/>
      </c>
      <c r="G2814" s="37" t="n"/>
      <c r="H2814" s="37" t="n"/>
      <c r="I2814" s="37" t="n"/>
      <c r="J2814" s="40" t="str">
        <f>IF(OR(C2814="",NOT(ISNUMBER(E2814))),"",IFERROR(E2814*N(INDEX(art_price,MATCH(C2814,art_ref,0))),""))</f>
        <v/>
      </c>
      <c r="K2814" s="39" t="str">
        <f>IF(OR(C2814="",NOT(ISNUMBER(E2814))),"",IFERROR(ROUND(N(INDEX(art_init,MATCH(C2814,art_ref,0)))+SUMIFS($E$5:E2814,$C$5:C2814,C2814,$B$5:B2814,"Entrée")-SUMIFS($E$5:E2814,$C$5:C2814,C2814,$B$5:B2814,"Sortie"),6),""))</f>
        <v/>
      </c>
      <c r="L2814" s="39" t="str">
        <f>IF(COUNTA(A2814:C2814,E2814)=0,"",IF(COUNTA(A2814:C2814,E2814)&lt;4,"Ligne incomplète",IF(NOT(ISNUMBER(A2814)),"Date invalide",IF(AND(B2814&lt;&gt;"Entrée",B2814&lt;&gt;"Sortie"),"Type inconnu",IF(ISNA(MATCH(C2814,art_ref,0)),"Référence inconnue",IF(OR(NOT(ISNUMBER(E2814)),N(E2814)&lt;=0),"Quantité invalide",IF(K2814&lt;0,"Stock négatif",IF(AND(ISNUMBER(A2813),A2814&lt;A2813),"Date hors ordre","OK"))))))))</f>
        <v/>
      </c>
      <c r="M2814" s="39" t="str">
        <f>IF(C2814="","",C2814&amp;"#"&amp;COUNTIF($C$5:C2814,C2814))</f>
        <v/>
      </c>
    </row>
    <row r="2815">
      <c r="A2815" s="41" t="n"/>
      <c r="B2815" s="37" t="n"/>
      <c r="C2815" s="37" t="n"/>
      <c r="D2815" s="39" t="str">
        <f>IF(C2815="","",IFERROR(INDEX(art_des,MATCH(C2815,art_ref,0))&amp;"","Référence inconnue"))</f>
        <v/>
      </c>
      <c r="E2815" s="37" t="n"/>
      <c r="F2815" s="39" t="str">
        <f>IF(C2815="","",IFERROR(INDEX(art_unit,MATCH(C2815,art_ref,0))&amp;"",""))</f>
        <v/>
      </c>
      <c r="G2815" s="37" t="n"/>
      <c r="H2815" s="37" t="n"/>
      <c r="I2815" s="37" t="n"/>
      <c r="J2815" s="40" t="str">
        <f>IF(OR(C2815="",NOT(ISNUMBER(E2815))),"",IFERROR(E2815*N(INDEX(art_price,MATCH(C2815,art_ref,0))),""))</f>
        <v/>
      </c>
      <c r="K2815" s="39" t="str">
        <f>IF(OR(C2815="",NOT(ISNUMBER(E2815))),"",IFERROR(ROUND(N(INDEX(art_init,MATCH(C2815,art_ref,0)))+SUMIFS($E$5:E2815,$C$5:C2815,C2815,$B$5:B2815,"Entrée")-SUMIFS($E$5:E2815,$C$5:C2815,C2815,$B$5:B2815,"Sortie"),6),""))</f>
        <v/>
      </c>
      <c r="L2815" s="39" t="str">
        <f>IF(COUNTA(A2815:C2815,E2815)=0,"",IF(COUNTA(A2815:C2815,E2815)&lt;4,"Ligne incomplète",IF(NOT(ISNUMBER(A2815)),"Date invalide",IF(AND(B2815&lt;&gt;"Entrée",B2815&lt;&gt;"Sortie"),"Type inconnu",IF(ISNA(MATCH(C2815,art_ref,0)),"Référence inconnue",IF(OR(NOT(ISNUMBER(E2815)),N(E2815)&lt;=0),"Quantité invalide",IF(K2815&lt;0,"Stock négatif",IF(AND(ISNUMBER(A2814),A2815&lt;A2814),"Date hors ordre","OK"))))))))</f>
        <v/>
      </c>
      <c r="M2815" s="39" t="str">
        <f>IF(C2815="","",C2815&amp;"#"&amp;COUNTIF($C$5:C2815,C2815))</f>
        <v/>
      </c>
    </row>
    <row r="2816">
      <c r="A2816" s="41" t="n"/>
      <c r="B2816" s="37" t="n"/>
      <c r="C2816" s="37" t="n"/>
      <c r="D2816" s="39" t="str">
        <f>IF(C2816="","",IFERROR(INDEX(art_des,MATCH(C2816,art_ref,0))&amp;"","Référence inconnue"))</f>
        <v/>
      </c>
      <c r="E2816" s="37" t="n"/>
      <c r="F2816" s="39" t="str">
        <f>IF(C2816="","",IFERROR(INDEX(art_unit,MATCH(C2816,art_ref,0))&amp;"",""))</f>
        <v/>
      </c>
      <c r="G2816" s="37" t="n"/>
      <c r="H2816" s="37" t="n"/>
      <c r="I2816" s="37" t="n"/>
      <c r="J2816" s="40" t="str">
        <f>IF(OR(C2816="",NOT(ISNUMBER(E2816))),"",IFERROR(E2816*N(INDEX(art_price,MATCH(C2816,art_ref,0))),""))</f>
        <v/>
      </c>
      <c r="K2816" s="39" t="str">
        <f>IF(OR(C2816="",NOT(ISNUMBER(E2816))),"",IFERROR(ROUND(N(INDEX(art_init,MATCH(C2816,art_ref,0)))+SUMIFS($E$5:E2816,$C$5:C2816,C2816,$B$5:B2816,"Entrée")-SUMIFS($E$5:E2816,$C$5:C2816,C2816,$B$5:B2816,"Sortie"),6),""))</f>
        <v/>
      </c>
      <c r="L2816" s="39" t="str">
        <f>IF(COUNTA(A2816:C2816,E2816)=0,"",IF(COUNTA(A2816:C2816,E2816)&lt;4,"Ligne incomplète",IF(NOT(ISNUMBER(A2816)),"Date invalide",IF(AND(B2816&lt;&gt;"Entrée",B2816&lt;&gt;"Sortie"),"Type inconnu",IF(ISNA(MATCH(C2816,art_ref,0)),"Référence inconnue",IF(OR(NOT(ISNUMBER(E2816)),N(E2816)&lt;=0),"Quantité invalide",IF(K2816&lt;0,"Stock négatif",IF(AND(ISNUMBER(A2815),A2816&lt;A2815),"Date hors ordre","OK"))))))))</f>
        <v/>
      </c>
      <c r="M2816" s="39" t="str">
        <f>IF(C2816="","",C2816&amp;"#"&amp;COUNTIF($C$5:C2816,C2816))</f>
        <v/>
      </c>
    </row>
    <row r="2817">
      <c r="A2817" s="41" t="n"/>
      <c r="B2817" s="37" t="n"/>
      <c r="C2817" s="37" t="n"/>
      <c r="D2817" s="39" t="str">
        <f>IF(C2817="","",IFERROR(INDEX(art_des,MATCH(C2817,art_ref,0))&amp;"","Référence inconnue"))</f>
        <v/>
      </c>
      <c r="E2817" s="37" t="n"/>
      <c r="F2817" s="39" t="str">
        <f>IF(C2817="","",IFERROR(INDEX(art_unit,MATCH(C2817,art_ref,0))&amp;"",""))</f>
        <v/>
      </c>
      <c r="G2817" s="37" t="n"/>
      <c r="H2817" s="37" t="n"/>
      <c r="I2817" s="37" t="n"/>
      <c r="J2817" s="40" t="str">
        <f>IF(OR(C2817="",NOT(ISNUMBER(E2817))),"",IFERROR(E2817*N(INDEX(art_price,MATCH(C2817,art_ref,0))),""))</f>
        <v/>
      </c>
      <c r="K2817" s="39" t="str">
        <f>IF(OR(C2817="",NOT(ISNUMBER(E2817))),"",IFERROR(ROUND(N(INDEX(art_init,MATCH(C2817,art_ref,0)))+SUMIFS($E$5:E2817,$C$5:C2817,C2817,$B$5:B2817,"Entrée")-SUMIFS($E$5:E2817,$C$5:C2817,C2817,$B$5:B2817,"Sortie"),6),""))</f>
        <v/>
      </c>
      <c r="L2817" s="39" t="str">
        <f>IF(COUNTA(A2817:C2817,E2817)=0,"",IF(COUNTA(A2817:C2817,E2817)&lt;4,"Ligne incomplète",IF(NOT(ISNUMBER(A2817)),"Date invalide",IF(AND(B2817&lt;&gt;"Entrée",B2817&lt;&gt;"Sortie"),"Type inconnu",IF(ISNA(MATCH(C2817,art_ref,0)),"Référence inconnue",IF(OR(NOT(ISNUMBER(E2817)),N(E2817)&lt;=0),"Quantité invalide",IF(K2817&lt;0,"Stock négatif",IF(AND(ISNUMBER(A2816),A2817&lt;A2816),"Date hors ordre","OK"))))))))</f>
        <v/>
      </c>
      <c r="M2817" s="39" t="str">
        <f>IF(C2817="","",C2817&amp;"#"&amp;COUNTIF($C$5:C2817,C2817))</f>
        <v/>
      </c>
    </row>
    <row r="2818">
      <c r="A2818" s="41" t="n"/>
      <c r="B2818" s="37" t="n"/>
      <c r="C2818" s="37" t="n"/>
      <c r="D2818" s="39" t="str">
        <f>IF(C2818="","",IFERROR(INDEX(art_des,MATCH(C2818,art_ref,0))&amp;"","Référence inconnue"))</f>
        <v/>
      </c>
      <c r="E2818" s="37" t="n"/>
      <c r="F2818" s="39" t="str">
        <f>IF(C2818="","",IFERROR(INDEX(art_unit,MATCH(C2818,art_ref,0))&amp;"",""))</f>
        <v/>
      </c>
      <c r="G2818" s="37" t="n"/>
      <c r="H2818" s="37" t="n"/>
      <c r="I2818" s="37" t="n"/>
      <c r="J2818" s="40" t="str">
        <f>IF(OR(C2818="",NOT(ISNUMBER(E2818))),"",IFERROR(E2818*N(INDEX(art_price,MATCH(C2818,art_ref,0))),""))</f>
        <v/>
      </c>
      <c r="K2818" s="39" t="str">
        <f>IF(OR(C2818="",NOT(ISNUMBER(E2818))),"",IFERROR(ROUND(N(INDEX(art_init,MATCH(C2818,art_ref,0)))+SUMIFS($E$5:E2818,$C$5:C2818,C2818,$B$5:B2818,"Entrée")-SUMIFS($E$5:E2818,$C$5:C2818,C2818,$B$5:B2818,"Sortie"),6),""))</f>
        <v/>
      </c>
      <c r="L2818" s="39" t="str">
        <f>IF(COUNTA(A2818:C2818,E2818)=0,"",IF(COUNTA(A2818:C2818,E2818)&lt;4,"Ligne incomplète",IF(NOT(ISNUMBER(A2818)),"Date invalide",IF(AND(B2818&lt;&gt;"Entrée",B2818&lt;&gt;"Sortie"),"Type inconnu",IF(ISNA(MATCH(C2818,art_ref,0)),"Référence inconnue",IF(OR(NOT(ISNUMBER(E2818)),N(E2818)&lt;=0),"Quantité invalide",IF(K2818&lt;0,"Stock négatif",IF(AND(ISNUMBER(A2817),A2818&lt;A2817),"Date hors ordre","OK"))))))))</f>
        <v/>
      </c>
      <c r="M2818" s="39" t="str">
        <f>IF(C2818="","",C2818&amp;"#"&amp;COUNTIF($C$5:C2818,C2818))</f>
        <v/>
      </c>
    </row>
    <row r="2819">
      <c r="A2819" s="41" t="n"/>
      <c r="B2819" s="37" t="n"/>
      <c r="C2819" s="37" t="n"/>
      <c r="D2819" s="39" t="str">
        <f>IF(C2819="","",IFERROR(INDEX(art_des,MATCH(C2819,art_ref,0))&amp;"","Référence inconnue"))</f>
        <v/>
      </c>
      <c r="E2819" s="37" t="n"/>
      <c r="F2819" s="39" t="str">
        <f>IF(C2819="","",IFERROR(INDEX(art_unit,MATCH(C2819,art_ref,0))&amp;"",""))</f>
        <v/>
      </c>
      <c r="G2819" s="37" t="n"/>
      <c r="H2819" s="37" t="n"/>
      <c r="I2819" s="37" t="n"/>
      <c r="J2819" s="40" t="str">
        <f>IF(OR(C2819="",NOT(ISNUMBER(E2819))),"",IFERROR(E2819*N(INDEX(art_price,MATCH(C2819,art_ref,0))),""))</f>
        <v/>
      </c>
      <c r="K2819" s="39" t="str">
        <f>IF(OR(C2819="",NOT(ISNUMBER(E2819))),"",IFERROR(ROUND(N(INDEX(art_init,MATCH(C2819,art_ref,0)))+SUMIFS($E$5:E2819,$C$5:C2819,C2819,$B$5:B2819,"Entrée")-SUMIFS($E$5:E2819,$C$5:C2819,C2819,$B$5:B2819,"Sortie"),6),""))</f>
        <v/>
      </c>
      <c r="L2819" s="39" t="str">
        <f>IF(COUNTA(A2819:C2819,E2819)=0,"",IF(COUNTA(A2819:C2819,E2819)&lt;4,"Ligne incomplète",IF(NOT(ISNUMBER(A2819)),"Date invalide",IF(AND(B2819&lt;&gt;"Entrée",B2819&lt;&gt;"Sortie"),"Type inconnu",IF(ISNA(MATCH(C2819,art_ref,0)),"Référence inconnue",IF(OR(NOT(ISNUMBER(E2819)),N(E2819)&lt;=0),"Quantité invalide",IF(K2819&lt;0,"Stock négatif",IF(AND(ISNUMBER(A2818),A2819&lt;A2818),"Date hors ordre","OK"))))))))</f>
        <v/>
      </c>
      <c r="M2819" s="39" t="str">
        <f>IF(C2819="","",C2819&amp;"#"&amp;COUNTIF($C$5:C2819,C2819))</f>
        <v/>
      </c>
    </row>
    <row r="2820">
      <c r="A2820" s="41" t="n"/>
      <c r="B2820" s="37" t="n"/>
      <c r="C2820" s="37" t="n"/>
      <c r="D2820" s="39" t="str">
        <f>IF(C2820="","",IFERROR(INDEX(art_des,MATCH(C2820,art_ref,0))&amp;"","Référence inconnue"))</f>
        <v/>
      </c>
      <c r="E2820" s="37" t="n"/>
      <c r="F2820" s="39" t="str">
        <f>IF(C2820="","",IFERROR(INDEX(art_unit,MATCH(C2820,art_ref,0))&amp;"",""))</f>
        <v/>
      </c>
      <c r="G2820" s="37" t="n"/>
      <c r="H2820" s="37" t="n"/>
      <c r="I2820" s="37" t="n"/>
      <c r="J2820" s="40" t="str">
        <f>IF(OR(C2820="",NOT(ISNUMBER(E2820))),"",IFERROR(E2820*N(INDEX(art_price,MATCH(C2820,art_ref,0))),""))</f>
        <v/>
      </c>
      <c r="K2820" s="39" t="str">
        <f>IF(OR(C2820="",NOT(ISNUMBER(E2820))),"",IFERROR(ROUND(N(INDEX(art_init,MATCH(C2820,art_ref,0)))+SUMIFS($E$5:E2820,$C$5:C2820,C2820,$B$5:B2820,"Entrée")-SUMIFS($E$5:E2820,$C$5:C2820,C2820,$B$5:B2820,"Sortie"),6),""))</f>
        <v/>
      </c>
      <c r="L2820" s="39" t="str">
        <f>IF(COUNTA(A2820:C2820,E2820)=0,"",IF(COUNTA(A2820:C2820,E2820)&lt;4,"Ligne incomplète",IF(NOT(ISNUMBER(A2820)),"Date invalide",IF(AND(B2820&lt;&gt;"Entrée",B2820&lt;&gt;"Sortie"),"Type inconnu",IF(ISNA(MATCH(C2820,art_ref,0)),"Référence inconnue",IF(OR(NOT(ISNUMBER(E2820)),N(E2820)&lt;=0),"Quantité invalide",IF(K2820&lt;0,"Stock négatif",IF(AND(ISNUMBER(A2819),A2820&lt;A2819),"Date hors ordre","OK"))))))))</f>
        <v/>
      </c>
      <c r="M2820" s="39" t="str">
        <f>IF(C2820="","",C2820&amp;"#"&amp;COUNTIF($C$5:C2820,C2820))</f>
        <v/>
      </c>
    </row>
    <row r="2821">
      <c r="A2821" s="41" t="n"/>
      <c r="B2821" s="37" t="n"/>
      <c r="C2821" s="37" t="n"/>
      <c r="D2821" s="39" t="str">
        <f>IF(C2821="","",IFERROR(INDEX(art_des,MATCH(C2821,art_ref,0))&amp;"","Référence inconnue"))</f>
        <v/>
      </c>
      <c r="E2821" s="37" t="n"/>
      <c r="F2821" s="39" t="str">
        <f>IF(C2821="","",IFERROR(INDEX(art_unit,MATCH(C2821,art_ref,0))&amp;"",""))</f>
        <v/>
      </c>
      <c r="G2821" s="37" t="n"/>
      <c r="H2821" s="37" t="n"/>
      <c r="I2821" s="37" t="n"/>
      <c r="J2821" s="40" t="str">
        <f>IF(OR(C2821="",NOT(ISNUMBER(E2821))),"",IFERROR(E2821*N(INDEX(art_price,MATCH(C2821,art_ref,0))),""))</f>
        <v/>
      </c>
      <c r="K2821" s="39" t="str">
        <f>IF(OR(C2821="",NOT(ISNUMBER(E2821))),"",IFERROR(ROUND(N(INDEX(art_init,MATCH(C2821,art_ref,0)))+SUMIFS($E$5:E2821,$C$5:C2821,C2821,$B$5:B2821,"Entrée")-SUMIFS($E$5:E2821,$C$5:C2821,C2821,$B$5:B2821,"Sortie"),6),""))</f>
        <v/>
      </c>
      <c r="L2821" s="39" t="str">
        <f>IF(COUNTA(A2821:C2821,E2821)=0,"",IF(COUNTA(A2821:C2821,E2821)&lt;4,"Ligne incomplète",IF(NOT(ISNUMBER(A2821)),"Date invalide",IF(AND(B2821&lt;&gt;"Entrée",B2821&lt;&gt;"Sortie"),"Type inconnu",IF(ISNA(MATCH(C2821,art_ref,0)),"Référence inconnue",IF(OR(NOT(ISNUMBER(E2821)),N(E2821)&lt;=0),"Quantité invalide",IF(K2821&lt;0,"Stock négatif",IF(AND(ISNUMBER(A2820),A2821&lt;A2820),"Date hors ordre","OK"))))))))</f>
        <v/>
      </c>
      <c r="M2821" s="39" t="str">
        <f>IF(C2821="","",C2821&amp;"#"&amp;COUNTIF($C$5:C2821,C2821))</f>
        <v/>
      </c>
    </row>
    <row r="2822">
      <c r="A2822" s="41" t="n"/>
      <c r="B2822" s="37" t="n"/>
      <c r="C2822" s="37" t="n"/>
      <c r="D2822" s="39" t="str">
        <f>IF(C2822="","",IFERROR(INDEX(art_des,MATCH(C2822,art_ref,0))&amp;"","Référence inconnue"))</f>
        <v/>
      </c>
      <c r="E2822" s="37" t="n"/>
      <c r="F2822" s="39" t="str">
        <f>IF(C2822="","",IFERROR(INDEX(art_unit,MATCH(C2822,art_ref,0))&amp;"",""))</f>
        <v/>
      </c>
      <c r="G2822" s="37" t="n"/>
      <c r="H2822" s="37" t="n"/>
      <c r="I2822" s="37" t="n"/>
      <c r="J2822" s="40" t="str">
        <f>IF(OR(C2822="",NOT(ISNUMBER(E2822))),"",IFERROR(E2822*N(INDEX(art_price,MATCH(C2822,art_ref,0))),""))</f>
        <v/>
      </c>
      <c r="K2822" s="39" t="str">
        <f>IF(OR(C2822="",NOT(ISNUMBER(E2822))),"",IFERROR(ROUND(N(INDEX(art_init,MATCH(C2822,art_ref,0)))+SUMIFS($E$5:E2822,$C$5:C2822,C2822,$B$5:B2822,"Entrée")-SUMIFS($E$5:E2822,$C$5:C2822,C2822,$B$5:B2822,"Sortie"),6),""))</f>
        <v/>
      </c>
      <c r="L2822" s="39" t="str">
        <f>IF(COUNTA(A2822:C2822,E2822)=0,"",IF(COUNTA(A2822:C2822,E2822)&lt;4,"Ligne incomplète",IF(NOT(ISNUMBER(A2822)),"Date invalide",IF(AND(B2822&lt;&gt;"Entrée",B2822&lt;&gt;"Sortie"),"Type inconnu",IF(ISNA(MATCH(C2822,art_ref,0)),"Référence inconnue",IF(OR(NOT(ISNUMBER(E2822)),N(E2822)&lt;=0),"Quantité invalide",IF(K2822&lt;0,"Stock négatif",IF(AND(ISNUMBER(A2821),A2822&lt;A2821),"Date hors ordre","OK"))))))))</f>
        <v/>
      </c>
      <c r="M2822" s="39" t="str">
        <f>IF(C2822="","",C2822&amp;"#"&amp;COUNTIF($C$5:C2822,C2822))</f>
        <v/>
      </c>
    </row>
    <row r="2823">
      <c r="A2823" s="41" t="n"/>
      <c r="B2823" s="37" t="n"/>
      <c r="C2823" s="37" t="n"/>
      <c r="D2823" s="39" t="str">
        <f>IF(C2823="","",IFERROR(INDEX(art_des,MATCH(C2823,art_ref,0))&amp;"","Référence inconnue"))</f>
        <v/>
      </c>
      <c r="E2823" s="37" t="n"/>
      <c r="F2823" s="39" t="str">
        <f>IF(C2823="","",IFERROR(INDEX(art_unit,MATCH(C2823,art_ref,0))&amp;"",""))</f>
        <v/>
      </c>
      <c r="G2823" s="37" t="n"/>
      <c r="H2823" s="37" t="n"/>
      <c r="I2823" s="37" t="n"/>
      <c r="J2823" s="40" t="str">
        <f>IF(OR(C2823="",NOT(ISNUMBER(E2823))),"",IFERROR(E2823*N(INDEX(art_price,MATCH(C2823,art_ref,0))),""))</f>
        <v/>
      </c>
      <c r="K2823" s="39" t="str">
        <f>IF(OR(C2823="",NOT(ISNUMBER(E2823))),"",IFERROR(ROUND(N(INDEX(art_init,MATCH(C2823,art_ref,0)))+SUMIFS($E$5:E2823,$C$5:C2823,C2823,$B$5:B2823,"Entrée")-SUMIFS($E$5:E2823,$C$5:C2823,C2823,$B$5:B2823,"Sortie"),6),""))</f>
        <v/>
      </c>
      <c r="L2823" s="39" t="str">
        <f>IF(COUNTA(A2823:C2823,E2823)=0,"",IF(COUNTA(A2823:C2823,E2823)&lt;4,"Ligne incomplète",IF(NOT(ISNUMBER(A2823)),"Date invalide",IF(AND(B2823&lt;&gt;"Entrée",B2823&lt;&gt;"Sortie"),"Type inconnu",IF(ISNA(MATCH(C2823,art_ref,0)),"Référence inconnue",IF(OR(NOT(ISNUMBER(E2823)),N(E2823)&lt;=0),"Quantité invalide",IF(K2823&lt;0,"Stock négatif",IF(AND(ISNUMBER(A2822),A2823&lt;A2822),"Date hors ordre","OK"))))))))</f>
        <v/>
      </c>
      <c r="M2823" s="39" t="str">
        <f>IF(C2823="","",C2823&amp;"#"&amp;COUNTIF($C$5:C2823,C2823))</f>
        <v/>
      </c>
    </row>
    <row r="2824">
      <c r="A2824" s="41" t="n"/>
      <c r="B2824" s="37" t="n"/>
      <c r="C2824" s="37" t="n"/>
      <c r="D2824" s="39" t="str">
        <f>IF(C2824="","",IFERROR(INDEX(art_des,MATCH(C2824,art_ref,0))&amp;"","Référence inconnue"))</f>
        <v/>
      </c>
      <c r="E2824" s="37" t="n"/>
      <c r="F2824" s="39" t="str">
        <f>IF(C2824="","",IFERROR(INDEX(art_unit,MATCH(C2824,art_ref,0))&amp;"",""))</f>
        <v/>
      </c>
      <c r="G2824" s="37" t="n"/>
      <c r="H2824" s="37" t="n"/>
      <c r="I2824" s="37" t="n"/>
      <c r="J2824" s="40" t="str">
        <f>IF(OR(C2824="",NOT(ISNUMBER(E2824))),"",IFERROR(E2824*N(INDEX(art_price,MATCH(C2824,art_ref,0))),""))</f>
        <v/>
      </c>
      <c r="K2824" s="39" t="str">
        <f>IF(OR(C2824="",NOT(ISNUMBER(E2824))),"",IFERROR(ROUND(N(INDEX(art_init,MATCH(C2824,art_ref,0)))+SUMIFS($E$5:E2824,$C$5:C2824,C2824,$B$5:B2824,"Entrée")-SUMIFS($E$5:E2824,$C$5:C2824,C2824,$B$5:B2824,"Sortie"),6),""))</f>
        <v/>
      </c>
      <c r="L2824" s="39" t="str">
        <f>IF(COUNTA(A2824:C2824,E2824)=0,"",IF(COUNTA(A2824:C2824,E2824)&lt;4,"Ligne incomplète",IF(NOT(ISNUMBER(A2824)),"Date invalide",IF(AND(B2824&lt;&gt;"Entrée",B2824&lt;&gt;"Sortie"),"Type inconnu",IF(ISNA(MATCH(C2824,art_ref,0)),"Référence inconnue",IF(OR(NOT(ISNUMBER(E2824)),N(E2824)&lt;=0),"Quantité invalide",IF(K2824&lt;0,"Stock négatif",IF(AND(ISNUMBER(A2823),A2824&lt;A2823),"Date hors ordre","OK"))))))))</f>
        <v/>
      </c>
      <c r="M2824" s="39" t="str">
        <f>IF(C2824="","",C2824&amp;"#"&amp;COUNTIF($C$5:C2824,C2824))</f>
        <v/>
      </c>
    </row>
    <row r="2825">
      <c r="A2825" s="41" t="n"/>
      <c r="B2825" s="37" t="n"/>
      <c r="C2825" s="37" t="n"/>
      <c r="D2825" s="39" t="str">
        <f>IF(C2825="","",IFERROR(INDEX(art_des,MATCH(C2825,art_ref,0))&amp;"","Référence inconnue"))</f>
        <v/>
      </c>
      <c r="E2825" s="37" t="n"/>
      <c r="F2825" s="39" t="str">
        <f>IF(C2825="","",IFERROR(INDEX(art_unit,MATCH(C2825,art_ref,0))&amp;"",""))</f>
        <v/>
      </c>
      <c r="G2825" s="37" t="n"/>
      <c r="H2825" s="37" t="n"/>
      <c r="I2825" s="37" t="n"/>
      <c r="J2825" s="40" t="str">
        <f>IF(OR(C2825="",NOT(ISNUMBER(E2825))),"",IFERROR(E2825*N(INDEX(art_price,MATCH(C2825,art_ref,0))),""))</f>
        <v/>
      </c>
      <c r="K2825" s="39" t="str">
        <f>IF(OR(C2825="",NOT(ISNUMBER(E2825))),"",IFERROR(ROUND(N(INDEX(art_init,MATCH(C2825,art_ref,0)))+SUMIFS($E$5:E2825,$C$5:C2825,C2825,$B$5:B2825,"Entrée")-SUMIFS($E$5:E2825,$C$5:C2825,C2825,$B$5:B2825,"Sortie"),6),""))</f>
        <v/>
      </c>
      <c r="L2825" s="39" t="str">
        <f>IF(COUNTA(A2825:C2825,E2825)=0,"",IF(COUNTA(A2825:C2825,E2825)&lt;4,"Ligne incomplète",IF(NOT(ISNUMBER(A2825)),"Date invalide",IF(AND(B2825&lt;&gt;"Entrée",B2825&lt;&gt;"Sortie"),"Type inconnu",IF(ISNA(MATCH(C2825,art_ref,0)),"Référence inconnue",IF(OR(NOT(ISNUMBER(E2825)),N(E2825)&lt;=0),"Quantité invalide",IF(K2825&lt;0,"Stock négatif",IF(AND(ISNUMBER(A2824),A2825&lt;A2824),"Date hors ordre","OK"))))))))</f>
        <v/>
      </c>
      <c r="M2825" s="39" t="str">
        <f>IF(C2825="","",C2825&amp;"#"&amp;COUNTIF($C$5:C2825,C2825))</f>
        <v/>
      </c>
    </row>
    <row r="2826">
      <c r="A2826" s="41" t="n"/>
      <c r="B2826" s="37" t="n"/>
      <c r="C2826" s="37" t="n"/>
      <c r="D2826" s="39" t="str">
        <f>IF(C2826="","",IFERROR(INDEX(art_des,MATCH(C2826,art_ref,0))&amp;"","Référence inconnue"))</f>
        <v/>
      </c>
      <c r="E2826" s="37" t="n"/>
      <c r="F2826" s="39" t="str">
        <f>IF(C2826="","",IFERROR(INDEX(art_unit,MATCH(C2826,art_ref,0))&amp;"",""))</f>
        <v/>
      </c>
      <c r="G2826" s="37" t="n"/>
      <c r="H2826" s="37" t="n"/>
      <c r="I2826" s="37" t="n"/>
      <c r="J2826" s="40" t="str">
        <f>IF(OR(C2826="",NOT(ISNUMBER(E2826))),"",IFERROR(E2826*N(INDEX(art_price,MATCH(C2826,art_ref,0))),""))</f>
        <v/>
      </c>
      <c r="K2826" s="39" t="str">
        <f>IF(OR(C2826="",NOT(ISNUMBER(E2826))),"",IFERROR(ROUND(N(INDEX(art_init,MATCH(C2826,art_ref,0)))+SUMIFS($E$5:E2826,$C$5:C2826,C2826,$B$5:B2826,"Entrée")-SUMIFS($E$5:E2826,$C$5:C2826,C2826,$B$5:B2826,"Sortie"),6),""))</f>
        <v/>
      </c>
      <c r="L2826" s="39" t="str">
        <f>IF(COUNTA(A2826:C2826,E2826)=0,"",IF(COUNTA(A2826:C2826,E2826)&lt;4,"Ligne incomplète",IF(NOT(ISNUMBER(A2826)),"Date invalide",IF(AND(B2826&lt;&gt;"Entrée",B2826&lt;&gt;"Sortie"),"Type inconnu",IF(ISNA(MATCH(C2826,art_ref,0)),"Référence inconnue",IF(OR(NOT(ISNUMBER(E2826)),N(E2826)&lt;=0),"Quantité invalide",IF(K2826&lt;0,"Stock négatif",IF(AND(ISNUMBER(A2825),A2826&lt;A2825),"Date hors ordre","OK"))))))))</f>
        <v/>
      </c>
      <c r="M2826" s="39" t="str">
        <f>IF(C2826="","",C2826&amp;"#"&amp;COUNTIF($C$5:C2826,C2826))</f>
        <v/>
      </c>
    </row>
    <row r="2827">
      <c r="A2827" s="41" t="n"/>
      <c r="B2827" s="37" t="n"/>
      <c r="C2827" s="37" t="n"/>
      <c r="D2827" s="39" t="str">
        <f>IF(C2827="","",IFERROR(INDEX(art_des,MATCH(C2827,art_ref,0))&amp;"","Référence inconnue"))</f>
        <v/>
      </c>
      <c r="E2827" s="37" t="n"/>
      <c r="F2827" s="39" t="str">
        <f>IF(C2827="","",IFERROR(INDEX(art_unit,MATCH(C2827,art_ref,0))&amp;"",""))</f>
        <v/>
      </c>
      <c r="G2827" s="37" t="n"/>
      <c r="H2827" s="37" t="n"/>
      <c r="I2827" s="37" t="n"/>
      <c r="J2827" s="40" t="str">
        <f>IF(OR(C2827="",NOT(ISNUMBER(E2827))),"",IFERROR(E2827*N(INDEX(art_price,MATCH(C2827,art_ref,0))),""))</f>
        <v/>
      </c>
      <c r="K2827" s="39" t="str">
        <f>IF(OR(C2827="",NOT(ISNUMBER(E2827))),"",IFERROR(ROUND(N(INDEX(art_init,MATCH(C2827,art_ref,0)))+SUMIFS($E$5:E2827,$C$5:C2827,C2827,$B$5:B2827,"Entrée")-SUMIFS($E$5:E2827,$C$5:C2827,C2827,$B$5:B2827,"Sortie"),6),""))</f>
        <v/>
      </c>
      <c r="L2827" s="39" t="str">
        <f>IF(COUNTA(A2827:C2827,E2827)=0,"",IF(COUNTA(A2827:C2827,E2827)&lt;4,"Ligne incomplète",IF(NOT(ISNUMBER(A2827)),"Date invalide",IF(AND(B2827&lt;&gt;"Entrée",B2827&lt;&gt;"Sortie"),"Type inconnu",IF(ISNA(MATCH(C2827,art_ref,0)),"Référence inconnue",IF(OR(NOT(ISNUMBER(E2827)),N(E2827)&lt;=0),"Quantité invalide",IF(K2827&lt;0,"Stock négatif",IF(AND(ISNUMBER(A2826),A2827&lt;A2826),"Date hors ordre","OK"))))))))</f>
        <v/>
      </c>
      <c r="M2827" s="39" t="str">
        <f>IF(C2827="","",C2827&amp;"#"&amp;COUNTIF($C$5:C2827,C2827))</f>
        <v/>
      </c>
    </row>
    <row r="2828">
      <c r="A2828" s="41" t="n"/>
      <c r="B2828" s="37" t="n"/>
      <c r="C2828" s="37" t="n"/>
      <c r="D2828" s="39" t="str">
        <f>IF(C2828="","",IFERROR(INDEX(art_des,MATCH(C2828,art_ref,0))&amp;"","Référence inconnue"))</f>
        <v/>
      </c>
      <c r="E2828" s="37" t="n"/>
      <c r="F2828" s="39" t="str">
        <f>IF(C2828="","",IFERROR(INDEX(art_unit,MATCH(C2828,art_ref,0))&amp;"",""))</f>
        <v/>
      </c>
      <c r="G2828" s="37" t="n"/>
      <c r="H2828" s="37" t="n"/>
      <c r="I2828" s="37" t="n"/>
      <c r="J2828" s="40" t="str">
        <f>IF(OR(C2828="",NOT(ISNUMBER(E2828))),"",IFERROR(E2828*N(INDEX(art_price,MATCH(C2828,art_ref,0))),""))</f>
        <v/>
      </c>
      <c r="K2828" s="39" t="str">
        <f>IF(OR(C2828="",NOT(ISNUMBER(E2828))),"",IFERROR(ROUND(N(INDEX(art_init,MATCH(C2828,art_ref,0)))+SUMIFS($E$5:E2828,$C$5:C2828,C2828,$B$5:B2828,"Entrée")-SUMIFS($E$5:E2828,$C$5:C2828,C2828,$B$5:B2828,"Sortie"),6),""))</f>
        <v/>
      </c>
      <c r="L2828" s="39" t="str">
        <f>IF(COUNTA(A2828:C2828,E2828)=0,"",IF(COUNTA(A2828:C2828,E2828)&lt;4,"Ligne incomplète",IF(NOT(ISNUMBER(A2828)),"Date invalide",IF(AND(B2828&lt;&gt;"Entrée",B2828&lt;&gt;"Sortie"),"Type inconnu",IF(ISNA(MATCH(C2828,art_ref,0)),"Référence inconnue",IF(OR(NOT(ISNUMBER(E2828)),N(E2828)&lt;=0),"Quantité invalide",IF(K2828&lt;0,"Stock négatif",IF(AND(ISNUMBER(A2827),A2828&lt;A2827),"Date hors ordre","OK"))))))))</f>
        <v/>
      </c>
      <c r="M2828" s="39" t="str">
        <f>IF(C2828="","",C2828&amp;"#"&amp;COUNTIF($C$5:C2828,C2828))</f>
        <v/>
      </c>
    </row>
    <row r="2829">
      <c r="A2829" s="41" t="n"/>
      <c r="B2829" s="37" t="n"/>
      <c r="C2829" s="37" t="n"/>
      <c r="D2829" s="39" t="str">
        <f>IF(C2829="","",IFERROR(INDEX(art_des,MATCH(C2829,art_ref,0))&amp;"","Référence inconnue"))</f>
        <v/>
      </c>
      <c r="E2829" s="37" t="n"/>
      <c r="F2829" s="39" t="str">
        <f>IF(C2829="","",IFERROR(INDEX(art_unit,MATCH(C2829,art_ref,0))&amp;"",""))</f>
        <v/>
      </c>
      <c r="G2829" s="37" t="n"/>
      <c r="H2829" s="37" t="n"/>
      <c r="I2829" s="37" t="n"/>
      <c r="J2829" s="40" t="str">
        <f>IF(OR(C2829="",NOT(ISNUMBER(E2829))),"",IFERROR(E2829*N(INDEX(art_price,MATCH(C2829,art_ref,0))),""))</f>
        <v/>
      </c>
      <c r="K2829" s="39" t="str">
        <f>IF(OR(C2829="",NOT(ISNUMBER(E2829))),"",IFERROR(ROUND(N(INDEX(art_init,MATCH(C2829,art_ref,0)))+SUMIFS($E$5:E2829,$C$5:C2829,C2829,$B$5:B2829,"Entrée")-SUMIFS($E$5:E2829,$C$5:C2829,C2829,$B$5:B2829,"Sortie"),6),""))</f>
        <v/>
      </c>
      <c r="L2829" s="39" t="str">
        <f>IF(COUNTA(A2829:C2829,E2829)=0,"",IF(COUNTA(A2829:C2829,E2829)&lt;4,"Ligne incomplète",IF(NOT(ISNUMBER(A2829)),"Date invalide",IF(AND(B2829&lt;&gt;"Entrée",B2829&lt;&gt;"Sortie"),"Type inconnu",IF(ISNA(MATCH(C2829,art_ref,0)),"Référence inconnue",IF(OR(NOT(ISNUMBER(E2829)),N(E2829)&lt;=0),"Quantité invalide",IF(K2829&lt;0,"Stock négatif",IF(AND(ISNUMBER(A2828),A2829&lt;A2828),"Date hors ordre","OK"))))))))</f>
        <v/>
      </c>
      <c r="M2829" s="39" t="str">
        <f>IF(C2829="","",C2829&amp;"#"&amp;COUNTIF($C$5:C2829,C2829))</f>
        <v/>
      </c>
    </row>
    <row r="2830">
      <c r="A2830" s="41" t="n"/>
      <c r="B2830" s="37" t="n"/>
      <c r="C2830" s="37" t="n"/>
      <c r="D2830" s="39" t="str">
        <f>IF(C2830="","",IFERROR(INDEX(art_des,MATCH(C2830,art_ref,0))&amp;"","Référence inconnue"))</f>
        <v/>
      </c>
      <c r="E2830" s="37" t="n"/>
      <c r="F2830" s="39" t="str">
        <f>IF(C2830="","",IFERROR(INDEX(art_unit,MATCH(C2830,art_ref,0))&amp;"",""))</f>
        <v/>
      </c>
      <c r="G2830" s="37" t="n"/>
      <c r="H2830" s="37" t="n"/>
      <c r="I2830" s="37" t="n"/>
      <c r="J2830" s="40" t="str">
        <f>IF(OR(C2830="",NOT(ISNUMBER(E2830))),"",IFERROR(E2830*N(INDEX(art_price,MATCH(C2830,art_ref,0))),""))</f>
        <v/>
      </c>
      <c r="K2830" s="39" t="str">
        <f>IF(OR(C2830="",NOT(ISNUMBER(E2830))),"",IFERROR(ROUND(N(INDEX(art_init,MATCH(C2830,art_ref,0)))+SUMIFS($E$5:E2830,$C$5:C2830,C2830,$B$5:B2830,"Entrée")-SUMIFS($E$5:E2830,$C$5:C2830,C2830,$B$5:B2830,"Sortie"),6),""))</f>
        <v/>
      </c>
      <c r="L2830" s="39" t="str">
        <f>IF(COUNTA(A2830:C2830,E2830)=0,"",IF(COUNTA(A2830:C2830,E2830)&lt;4,"Ligne incomplète",IF(NOT(ISNUMBER(A2830)),"Date invalide",IF(AND(B2830&lt;&gt;"Entrée",B2830&lt;&gt;"Sortie"),"Type inconnu",IF(ISNA(MATCH(C2830,art_ref,0)),"Référence inconnue",IF(OR(NOT(ISNUMBER(E2830)),N(E2830)&lt;=0),"Quantité invalide",IF(K2830&lt;0,"Stock négatif",IF(AND(ISNUMBER(A2829),A2830&lt;A2829),"Date hors ordre","OK"))))))))</f>
        <v/>
      </c>
      <c r="M2830" s="39" t="str">
        <f>IF(C2830="","",C2830&amp;"#"&amp;COUNTIF($C$5:C2830,C2830))</f>
        <v/>
      </c>
    </row>
    <row r="2831">
      <c r="A2831" s="41" t="n"/>
      <c r="B2831" s="37" t="n"/>
      <c r="C2831" s="37" t="n"/>
      <c r="D2831" s="39" t="str">
        <f>IF(C2831="","",IFERROR(INDEX(art_des,MATCH(C2831,art_ref,0))&amp;"","Référence inconnue"))</f>
        <v/>
      </c>
      <c r="E2831" s="37" t="n"/>
      <c r="F2831" s="39" t="str">
        <f>IF(C2831="","",IFERROR(INDEX(art_unit,MATCH(C2831,art_ref,0))&amp;"",""))</f>
        <v/>
      </c>
      <c r="G2831" s="37" t="n"/>
      <c r="H2831" s="37" t="n"/>
      <c r="I2831" s="37" t="n"/>
      <c r="J2831" s="40" t="str">
        <f>IF(OR(C2831="",NOT(ISNUMBER(E2831))),"",IFERROR(E2831*N(INDEX(art_price,MATCH(C2831,art_ref,0))),""))</f>
        <v/>
      </c>
      <c r="K2831" s="39" t="str">
        <f>IF(OR(C2831="",NOT(ISNUMBER(E2831))),"",IFERROR(ROUND(N(INDEX(art_init,MATCH(C2831,art_ref,0)))+SUMIFS($E$5:E2831,$C$5:C2831,C2831,$B$5:B2831,"Entrée")-SUMIFS($E$5:E2831,$C$5:C2831,C2831,$B$5:B2831,"Sortie"),6),""))</f>
        <v/>
      </c>
      <c r="L2831" s="39" t="str">
        <f>IF(COUNTA(A2831:C2831,E2831)=0,"",IF(COUNTA(A2831:C2831,E2831)&lt;4,"Ligne incomplète",IF(NOT(ISNUMBER(A2831)),"Date invalide",IF(AND(B2831&lt;&gt;"Entrée",B2831&lt;&gt;"Sortie"),"Type inconnu",IF(ISNA(MATCH(C2831,art_ref,0)),"Référence inconnue",IF(OR(NOT(ISNUMBER(E2831)),N(E2831)&lt;=0),"Quantité invalide",IF(K2831&lt;0,"Stock négatif",IF(AND(ISNUMBER(A2830),A2831&lt;A2830),"Date hors ordre","OK"))))))))</f>
        <v/>
      </c>
      <c r="M2831" s="39" t="str">
        <f>IF(C2831="","",C2831&amp;"#"&amp;COUNTIF($C$5:C2831,C2831))</f>
        <v/>
      </c>
    </row>
    <row r="2832">
      <c r="A2832" s="41" t="n"/>
      <c r="B2832" s="37" t="n"/>
      <c r="C2832" s="37" t="n"/>
      <c r="D2832" s="39" t="str">
        <f>IF(C2832="","",IFERROR(INDEX(art_des,MATCH(C2832,art_ref,0))&amp;"","Référence inconnue"))</f>
        <v/>
      </c>
      <c r="E2832" s="37" t="n"/>
      <c r="F2832" s="39" t="str">
        <f>IF(C2832="","",IFERROR(INDEX(art_unit,MATCH(C2832,art_ref,0))&amp;"",""))</f>
        <v/>
      </c>
      <c r="G2832" s="37" t="n"/>
      <c r="H2832" s="37" t="n"/>
      <c r="I2832" s="37" t="n"/>
      <c r="J2832" s="40" t="str">
        <f>IF(OR(C2832="",NOT(ISNUMBER(E2832))),"",IFERROR(E2832*N(INDEX(art_price,MATCH(C2832,art_ref,0))),""))</f>
        <v/>
      </c>
      <c r="K2832" s="39" t="str">
        <f>IF(OR(C2832="",NOT(ISNUMBER(E2832))),"",IFERROR(ROUND(N(INDEX(art_init,MATCH(C2832,art_ref,0)))+SUMIFS($E$5:E2832,$C$5:C2832,C2832,$B$5:B2832,"Entrée")-SUMIFS($E$5:E2832,$C$5:C2832,C2832,$B$5:B2832,"Sortie"),6),""))</f>
        <v/>
      </c>
      <c r="L2832" s="39" t="str">
        <f>IF(COUNTA(A2832:C2832,E2832)=0,"",IF(COUNTA(A2832:C2832,E2832)&lt;4,"Ligne incomplète",IF(NOT(ISNUMBER(A2832)),"Date invalide",IF(AND(B2832&lt;&gt;"Entrée",B2832&lt;&gt;"Sortie"),"Type inconnu",IF(ISNA(MATCH(C2832,art_ref,0)),"Référence inconnue",IF(OR(NOT(ISNUMBER(E2832)),N(E2832)&lt;=0),"Quantité invalide",IF(K2832&lt;0,"Stock négatif",IF(AND(ISNUMBER(A2831),A2832&lt;A2831),"Date hors ordre","OK"))))))))</f>
        <v/>
      </c>
      <c r="M2832" s="39" t="str">
        <f>IF(C2832="","",C2832&amp;"#"&amp;COUNTIF($C$5:C2832,C2832))</f>
        <v/>
      </c>
    </row>
    <row r="2833">
      <c r="A2833" s="41" t="n"/>
      <c r="B2833" s="37" t="n"/>
      <c r="C2833" s="37" t="n"/>
      <c r="D2833" s="39" t="str">
        <f>IF(C2833="","",IFERROR(INDEX(art_des,MATCH(C2833,art_ref,0))&amp;"","Référence inconnue"))</f>
        <v/>
      </c>
      <c r="E2833" s="37" t="n"/>
      <c r="F2833" s="39" t="str">
        <f>IF(C2833="","",IFERROR(INDEX(art_unit,MATCH(C2833,art_ref,0))&amp;"",""))</f>
        <v/>
      </c>
      <c r="G2833" s="37" t="n"/>
      <c r="H2833" s="37" t="n"/>
      <c r="I2833" s="37" t="n"/>
      <c r="J2833" s="40" t="str">
        <f>IF(OR(C2833="",NOT(ISNUMBER(E2833))),"",IFERROR(E2833*N(INDEX(art_price,MATCH(C2833,art_ref,0))),""))</f>
        <v/>
      </c>
      <c r="K2833" s="39" t="str">
        <f>IF(OR(C2833="",NOT(ISNUMBER(E2833))),"",IFERROR(ROUND(N(INDEX(art_init,MATCH(C2833,art_ref,0)))+SUMIFS($E$5:E2833,$C$5:C2833,C2833,$B$5:B2833,"Entrée")-SUMIFS($E$5:E2833,$C$5:C2833,C2833,$B$5:B2833,"Sortie"),6),""))</f>
        <v/>
      </c>
      <c r="L2833" s="39" t="str">
        <f>IF(COUNTA(A2833:C2833,E2833)=0,"",IF(COUNTA(A2833:C2833,E2833)&lt;4,"Ligne incomplète",IF(NOT(ISNUMBER(A2833)),"Date invalide",IF(AND(B2833&lt;&gt;"Entrée",B2833&lt;&gt;"Sortie"),"Type inconnu",IF(ISNA(MATCH(C2833,art_ref,0)),"Référence inconnue",IF(OR(NOT(ISNUMBER(E2833)),N(E2833)&lt;=0),"Quantité invalide",IF(K2833&lt;0,"Stock négatif",IF(AND(ISNUMBER(A2832),A2833&lt;A2832),"Date hors ordre","OK"))))))))</f>
        <v/>
      </c>
      <c r="M2833" s="39" t="str">
        <f>IF(C2833="","",C2833&amp;"#"&amp;COUNTIF($C$5:C2833,C2833))</f>
        <v/>
      </c>
    </row>
    <row r="2834">
      <c r="A2834" s="41" t="n"/>
      <c r="B2834" s="37" t="n"/>
      <c r="C2834" s="37" t="n"/>
      <c r="D2834" s="39" t="str">
        <f>IF(C2834="","",IFERROR(INDEX(art_des,MATCH(C2834,art_ref,0))&amp;"","Référence inconnue"))</f>
        <v/>
      </c>
      <c r="E2834" s="37" t="n"/>
      <c r="F2834" s="39" t="str">
        <f>IF(C2834="","",IFERROR(INDEX(art_unit,MATCH(C2834,art_ref,0))&amp;"",""))</f>
        <v/>
      </c>
      <c r="G2834" s="37" t="n"/>
      <c r="H2834" s="37" t="n"/>
      <c r="I2834" s="37" t="n"/>
      <c r="J2834" s="40" t="str">
        <f>IF(OR(C2834="",NOT(ISNUMBER(E2834))),"",IFERROR(E2834*N(INDEX(art_price,MATCH(C2834,art_ref,0))),""))</f>
        <v/>
      </c>
      <c r="K2834" s="39" t="str">
        <f>IF(OR(C2834="",NOT(ISNUMBER(E2834))),"",IFERROR(ROUND(N(INDEX(art_init,MATCH(C2834,art_ref,0)))+SUMIFS($E$5:E2834,$C$5:C2834,C2834,$B$5:B2834,"Entrée")-SUMIFS($E$5:E2834,$C$5:C2834,C2834,$B$5:B2834,"Sortie"),6),""))</f>
        <v/>
      </c>
      <c r="L2834" s="39" t="str">
        <f>IF(COUNTA(A2834:C2834,E2834)=0,"",IF(COUNTA(A2834:C2834,E2834)&lt;4,"Ligne incomplète",IF(NOT(ISNUMBER(A2834)),"Date invalide",IF(AND(B2834&lt;&gt;"Entrée",B2834&lt;&gt;"Sortie"),"Type inconnu",IF(ISNA(MATCH(C2834,art_ref,0)),"Référence inconnue",IF(OR(NOT(ISNUMBER(E2834)),N(E2834)&lt;=0),"Quantité invalide",IF(K2834&lt;0,"Stock négatif",IF(AND(ISNUMBER(A2833),A2834&lt;A2833),"Date hors ordre","OK"))))))))</f>
        <v/>
      </c>
      <c r="M2834" s="39" t="str">
        <f>IF(C2834="","",C2834&amp;"#"&amp;COUNTIF($C$5:C2834,C2834))</f>
        <v/>
      </c>
    </row>
    <row r="2835">
      <c r="A2835" s="41" t="n"/>
      <c r="B2835" s="37" t="n"/>
      <c r="C2835" s="37" t="n"/>
      <c r="D2835" s="39" t="str">
        <f>IF(C2835="","",IFERROR(INDEX(art_des,MATCH(C2835,art_ref,0))&amp;"","Référence inconnue"))</f>
        <v/>
      </c>
      <c r="E2835" s="37" t="n"/>
      <c r="F2835" s="39" t="str">
        <f>IF(C2835="","",IFERROR(INDEX(art_unit,MATCH(C2835,art_ref,0))&amp;"",""))</f>
        <v/>
      </c>
      <c r="G2835" s="37" t="n"/>
      <c r="H2835" s="37" t="n"/>
      <c r="I2835" s="37" t="n"/>
      <c r="J2835" s="40" t="str">
        <f>IF(OR(C2835="",NOT(ISNUMBER(E2835))),"",IFERROR(E2835*N(INDEX(art_price,MATCH(C2835,art_ref,0))),""))</f>
        <v/>
      </c>
      <c r="K2835" s="39" t="str">
        <f>IF(OR(C2835="",NOT(ISNUMBER(E2835))),"",IFERROR(ROUND(N(INDEX(art_init,MATCH(C2835,art_ref,0)))+SUMIFS($E$5:E2835,$C$5:C2835,C2835,$B$5:B2835,"Entrée")-SUMIFS($E$5:E2835,$C$5:C2835,C2835,$B$5:B2835,"Sortie"),6),""))</f>
        <v/>
      </c>
      <c r="L2835" s="39" t="str">
        <f>IF(COUNTA(A2835:C2835,E2835)=0,"",IF(COUNTA(A2835:C2835,E2835)&lt;4,"Ligne incomplète",IF(NOT(ISNUMBER(A2835)),"Date invalide",IF(AND(B2835&lt;&gt;"Entrée",B2835&lt;&gt;"Sortie"),"Type inconnu",IF(ISNA(MATCH(C2835,art_ref,0)),"Référence inconnue",IF(OR(NOT(ISNUMBER(E2835)),N(E2835)&lt;=0),"Quantité invalide",IF(K2835&lt;0,"Stock négatif",IF(AND(ISNUMBER(A2834),A2835&lt;A2834),"Date hors ordre","OK"))))))))</f>
        <v/>
      </c>
      <c r="M2835" s="39" t="str">
        <f>IF(C2835="","",C2835&amp;"#"&amp;COUNTIF($C$5:C2835,C2835))</f>
        <v/>
      </c>
    </row>
    <row r="2836">
      <c r="A2836" s="41" t="n"/>
      <c r="B2836" s="37" t="n"/>
      <c r="C2836" s="37" t="n"/>
      <c r="D2836" s="39" t="str">
        <f>IF(C2836="","",IFERROR(INDEX(art_des,MATCH(C2836,art_ref,0))&amp;"","Référence inconnue"))</f>
        <v/>
      </c>
      <c r="E2836" s="37" t="n"/>
      <c r="F2836" s="39" t="str">
        <f>IF(C2836="","",IFERROR(INDEX(art_unit,MATCH(C2836,art_ref,0))&amp;"",""))</f>
        <v/>
      </c>
      <c r="G2836" s="37" t="n"/>
      <c r="H2836" s="37" t="n"/>
      <c r="I2836" s="37" t="n"/>
      <c r="J2836" s="40" t="str">
        <f>IF(OR(C2836="",NOT(ISNUMBER(E2836))),"",IFERROR(E2836*N(INDEX(art_price,MATCH(C2836,art_ref,0))),""))</f>
        <v/>
      </c>
      <c r="K2836" s="39" t="str">
        <f>IF(OR(C2836="",NOT(ISNUMBER(E2836))),"",IFERROR(ROUND(N(INDEX(art_init,MATCH(C2836,art_ref,0)))+SUMIFS($E$5:E2836,$C$5:C2836,C2836,$B$5:B2836,"Entrée")-SUMIFS($E$5:E2836,$C$5:C2836,C2836,$B$5:B2836,"Sortie"),6),""))</f>
        <v/>
      </c>
      <c r="L2836" s="39" t="str">
        <f>IF(COUNTA(A2836:C2836,E2836)=0,"",IF(COUNTA(A2836:C2836,E2836)&lt;4,"Ligne incomplète",IF(NOT(ISNUMBER(A2836)),"Date invalide",IF(AND(B2836&lt;&gt;"Entrée",B2836&lt;&gt;"Sortie"),"Type inconnu",IF(ISNA(MATCH(C2836,art_ref,0)),"Référence inconnue",IF(OR(NOT(ISNUMBER(E2836)),N(E2836)&lt;=0),"Quantité invalide",IF(K2836&lt;0,"Stock négatif",IF(AND(ISNUMBER(A2835),A2836&lt;A2835),"Date hors ordre","OK"))))))))</f>
        <v/>
      </c>
      <c r="M2836" s="39" t="str">
        <f>IF(C2836="","",C2836&amp;"#"&amp;COUNTIF($C$5:C2836,C2836))</f>
        <v/>
      </c>
    </row>
    <row r="2837">
      <c r="A2837" s="41" t="n"/>
      <c r="B2837" s="37" t="n"/>
      <c r="C2837" s="37" t="n"/>
      <c r="D2837" s="39" t="str">
        <f>IF(C2837="","",IFERROR(INDEX(art_des,MATCH(C2837,art_ref,0))&amp;"","Référence inconnue"))</f>
        <v/>
      </c>
      <c r="E2837" s="37" t="n"/>
      <c r="F2837" s="39" t="str">
        <f>IF(C2837="","",IFERROR(INDEX(art_unit,MATCH(C2837,art_ref,0))&amp;"",""))</f>
        <v/>
      </c>
      <c r="G2837" s="37" t="n"/>
      <c r="H2837" s="37" t="n"/>
      <c r="I2837" s="37" t="n"/>
      <c r="J2837" s="40" t="str">
        <f>IF(OR(C2837="",NOT(ISNUMBER(E2837))),"",IFERROR(E2837*N(INDEX(art_price,MATCH(C2837,art_ref,0))),""))</f>
        <v/>
      </c>
      <c r="K2837" s="39" t="str">
        <f>IF(OR(C2837="",NOT(ISNUMBER(E2837))),"",IFERROR(ROUND(N(INDEX(art_init,MATCH(C2837,art_ref,0)))+SUMIFS($E$5:E2837,$C$5:C2837,C2837,$B$5:B2837,"Entrée")-SUMIFS($E$5:E2837,$C$5:C2837,C2837,$B$5:B2837,"Sortie"),6),""))</f>
        <v/>
      </c>
      <c r="L2837" s="39" t="str">
        <f>IF(COUNTA(A2837:C2837,E2837)=0,"",IF(COUNTA(A2837:C2837,E2837)&lt;4,"Ligne incomplète",IF(NOT(ISNUMBER(A2837)),"Date invalide",IF(AND(B2837&lt;&gt;"Entrée",B2837&lt;&gt;"Sortie"),"Type inconnu",IF(ISNA(MATCH(C2837,art_ref,0)),"Référence inconnue",IF(OR(NOT(ISNUMBER(E2837)),N(E2837)&lt;=0),"Quantité invalide",IF(K2837&lt;0,"Stock négatif",IF(AND(ISNUMBER(A2836),A2837&lt;A2836),"Date hors ordre","OK"))))))))</f>
        <v/>
      </c>
      <c r="M2837" s="39" t="str">
        <f>IF(C2837="","",C2837&amp;"#"&amp;COUNTIF($C$5:C2837,C2837))</f>
        <v/>
      </c>
    </row>
    <row r="2838">
      <c r="A2838" s="41" t="n"/>
      <c r="B2838" s="37" t="n"/>
      <c r="C2838" s="37" t="n"/>
      <c r="D2838" s="39" t="str">
        <f>IF(C2838="","",IFERROR(INDEX(art_des,MATCH(C2838,art_ref,0))&amp;"","Référence inconnue"))</f>
        <v/>
      </c>
      <c r="E2838" s="37" t="n"/>
      <c r="F2838" s="39" t="str">
        <f>IF(C2838="","",IFERROR(INDEX(art_unit,MATCH(C2838,art_ref,0))&amp;"",""))</f>
        <v/>
      </c>
      <c r="G2838" s="37" t="n"/>
      <c r="H2838" s="37" t="n"/>
      <c r="I2838" s="37" t="n"/>
      <c r="J2838" s="40" t="str">
        <f>IF(OR(C2838="",NOT(ISNUMBER(E2838))),"",IFERROR(E2838*N(INDEX(art_price,MATCH(C2838,art_ref,0))),""))</f>
        <v/>
      </c>
      <c r="K2838" s="39" t="str">
        <f>IF(OR(C2838="",NOT(ISNUMBER(E2838))),"",IFERROR(ROUND(N(INDEX(art_init,MATCH(C2838,art_ref,0)))+SUMIFS($E$5:E2838,$C$5:C2838,C2838,$B$5:B2838,"Entrée")-SUMIFS($E$5:E2838,$C$5:C2838,C2838,$B$5:B2838,"Sortie"),6),""))</f>
        <v/>
      </c>
      <c r="L2838" s="39" t="str">
        <f>IF(COUNTA(A2838:C2838,E2838)=0,"",IF(COUNTA(A2838:C2838,E2838)&lt;4,"Ligne incomplète",IF(NOT(ISNUMBER(A2838)),"Date invalide",IF(AND(B2838&lt;&gt;"Entrée",B2838&lt;&gt;"Sortie"),"Type inconnu",IF(ISNA(MATCH(C2838,art_ref,0)),"Référence inconnue",IF(OR(NOT(ISNUMBER(E2838)),N(E2838)&lt;=0),"Quantité invalide",IF(K2838&lt;0,"Stock négatif",IF(AND(ISNUMBER(A2837),A2838&lt;A2837),"Date hors ordre","OK"))))))))</f>
        <v/>
      </c>
      <c r="M2838" s="39" t="str">
        <f>IF(C2838="","",C2838&amp;"#"&amp;COUNTIF($C$5:C2838,C2838))</f>
        <v/>
      </c>
    </row>
    <row r="2839">
      <c r="A2839" s="41" t="n"/>
      <c r="B2839" s="37" t="n"/>
      <c r="C2839" s="37" t="n"/>
      <c r="D2839" s="39" t="str">
        <f>IF(C2839="","",IFERROR(INDEX(art_des,MATCH(C2839,art_ref,0))&amp;"","Référence inconnue"))</f>
        <v/>
      </c>
      <c r="E2839" s="37" t="n"/>
      <c r="F2839" s="39" t="str">
        <f>IF(C2839="","",IFERROR(INDEX(art_unit,MATCH(C2839,art_ref,0))&amp;"",""))</f>
        <v/>
      </c>
      <c r="G2839" s="37" t="n"/>
      <c r="H2839" s="37" t="n"/>
      <c r="I2839" s="37" t="n"/>
      <c r="J2839" s="40" t="str">
        <f>IF(OR(C2839="",NOT(ISNUMBER(E2839))),"",IFERROR(E2839*N(INDEX(art_price,MATCH(C2839,art_ref,0))),""))</f>
        <v/>
      </c>
      <c r="K2839" s="39" t="str">
        <f>IF(OR(C2839="",NOT(ISNUMBER(E2839))),"",IFERROR(ROUND(N(INDEX(art_init,MATCH(C2839,art_ref,0)))+SUMIFS($E$5:E2839,$C$5:C2839,C2839,$B$5:B2839,"Entrée")-SUMIFS($E$5:E2839,$C$5:C2839,C2839,$B$5:B2839,"Sortie"),6),""))</f>
        <v/>
      </c>
      <c r="L2839" s="39" t="str">
        <f>IF(COUNTA(A2839:C2839,E2839)=0,"",IF(COUNTA(A2839:C2839,E2839)&lt;4,"Ligne incomplète",IF(NOT(ISNUMBER(A2839)),"Date invalide",IF(AND(B2839&lt;&gt;"Entrée",B2839&lt;&gt;"Sortie"),"Type inconnu",IF(ISNA(MATCH(C2839,art_ref,0)),"Référence inconnue",IF(OR(NOT(ISNUMBER(E2839)),N(E2839)&lt;=0),"Quantité invalide",IF(K2839&lt;0,"Stock négatif",IF(AND(ISNUMBER(A2838),A2839&lt;A2838),"Date hors ordre","OK"))))))))</f>
        <v/>
      </c>
      <c r="M2839" s="39" t="str">
        <f>IF(C2839="","",C2839&amp;"#"&amp;COUNTIF($C$5:C2839,C2839))</f>
        <v/>
      </c>
    </row>
    <row r="2840">
      <c r="A2840" s="41" t="n"/>
      <c r="B2840" s="37" t="n"/>
      <c r="C2840" s="37" t="n"/>
      <c r="D2840" s="39" t="str">
        <f>IF(C2840="","",IFERROR(INDEX(art_des,MATCH(C2840,art_ref,0))&amp;"","Référence inconnue"))</f>
        <v/>
      </c>
      <c r="E2840" s="37" t="n"/>
      <c r="F2840" s="39" t="str">
        <f>IF(C2840="","",IFERROR(INDEX(art_unit,MATCH(C2840,art_ref,0))&amp;"",""))</f>
        <v/>
      </c>
      <c r="G2840" s="37" t="n"/>
      <c r="H2840" s="37" t="n"/>
      <c r="I2840" s="37" t="n"/>
      <c r="J2840" s="40" t="str">
        <f>IF(OR(C2840="",NOT(ISNUMBER(E2840))),"",IFERROR(E2840*N(INDEX(art_price,MATCH(C2840,art_ref,0))),""))</f>
        <v/>
      </c>
      <c r="K2840" s="39" t="str">
        <f>IF(OR(C2840="",NOT(ISNUMBER(E2840))),"",IFERROR(ROUND(N(INDEX(art_init,MATCH(C2840,art_ref,0)))+SUMIFS($E$5:E2840,$C$5:C2840,C2840,$B$5:B2840,"Entrée")-SUMIFS($E$5:E2840,$C$5:C2840,C2840,$B$5:B2840,"Sortie"),6),""))</f>
        <v/>
      </c>
      <c r="L2840" s="39" t="str">
        <f>IF(COUNTA(A2840:C2840,E2840)=0,"",IF(COUNTA(A2840:C2840,E2840)&lt;4,"Ligne incomplète",IF(NOT(ISNUMBER(A2840)),"Date invalide",IF(AND(B2840&lt;&gt;"Entrée",B2840&lt;&gt;"Sortie"),"Type inconnu",IF(ISNA(MATCH(C2840,art_ref,0)),"Référence inconnue",IF(OR(NOT(ISNUMBER(E2840)),N(E2840)&lt;=0),"Quantité invalide",IF(K2840&lt;0,"Stock négatif",IF(AND(ISNUMBER(A2839),A2840&lt;A2839),"Date hors ordre","OK"))))))))</f>
        <v/>
      </c>
      <c r="M2840" s="39" t="str">
        <f>IF(C2840="","",C2840&amp;"#"&amp;COUNTIF($C$5:C2840,C2840))</f>
        <v/>
      </c>
    </row>
    <row r="2841">
      <c r="A2841" s="41" t="n"/>
      <c r="B2841" s="37" t="n"/>
      <c r="C2841" s="37" t="n"/>
      <c r="D2841" s="39" t="str">
        <f>IF(C2841="","",IFERROR(INDEX(art_des,MATCH(C2841,art_ref,0))&amp;"","Référence inconnue"))</f>
        <v/>
      </c>
      <c r="E2841" s="37" t="n"/>
      <c r="F2841" s="39" t="str">
        <f>IF(C2841="","",IFERROR(INDEX(art_unit,MATCH(C2841,art_ref,0))&amp;"",""))</f>
        <v/>
      </c>
      <c r="G2841" s="37" t="n"/>
      <c r="H2841" s="37" t="n"/>
      <c r="I2841" s="37" t="n"/>
      <c r="J2841" s="40" t="str">
        <f>IF(OR(C2841="",NOT(ISNUMBER(E2841))),"",IFERROR(E2841*N(INDEX(art_price,MATCH(C2841,art_ref,0))),""))</f>
        <v/>
      </c>
      <c r="K2841" s="39" t="str">
        <f>IF(OR(C2841="",NOT(ISNUMBER(E2841))),"",IFERROR(ROUND(N(INDEX(art_init,MATCH(C2841,art_ref,0)))+SUMIFS($E$5:E2841,$C$5:C2841,C2841,$B$5:B2841,"Entrée")-SUMIFS($E$5:E2841,$C$5:C2841,C2841,$B$5:B2841,"Sortie"),6),""))</f>
        <v/>
      </c>
      <c r="L2841" s="39" t="str">
        <f>IF(COUNTA(A2841:C2841,E2841)=0,"",IF(COUNTA(A2841:C2841,E2841)&lt;4,"Ligne incomplète",IF(NOT(ISNUMBER(A2841)),"Date invalide",IF(AND(B2841&lt;&gt;"Entrée",B2841&lt;&gt;"Sortie"),"Type inconnu",IF(ISNA(MATCH(C2841,art_ref,0)),"Référence inconnue",IF(OR(NOT(ISNUMBER(E2841)),N(E2841)&lt;=0),"Quantité invalide",IF(K2841&lt;0,"Stock négatif",IF(AND(ISNUMBER(A2840),A2841&lt;A2840),"Date hors ordre","OK"))))))))</f>
        <v/>
      </c>
      <c r="M2841" s="39" t="str">
        <f>IF(C2841="","",C2841&amp;"#"&amp;COUNTIF($C$5:C2841,C2841))</f>
        <v/>
      </c>
    </row>
    <row r="2842">
      <c r="A2842" s="41" t="n"/>
      <c r="B2842" s="37" t="n"/>
      <c r="C2842" s="37" t="n"/>
      <c r="D2842" s="39" t="str">
        <f>IF(C2842="","",IFERROR(INDEX(art_des,MATCH(C2842,art_ref,0))&amp;"","Référence inconnue"))</f>
        <v/>
      </c>
      <c r="E2842" s="37" t="n"/>
      <c r="F2842" s="39" t="str">
        <f>IF(C2842="","",IFERROR(INDEX(art_unit,MATCH(C2842,art_ref,0))&amp;"",""))</f>
        <v/>
      </c>
      <c r="G2842" s="37" t="n"/>
      <c r="H2842" s="37" t="n"/>
      <c r="I2842" s="37" t="n"/>
      <c r="J2842" s="40" t="str">
        <f>IF(OR(C2842="",NOT(ISNUMBER(E2842))),"",IFERROR(E2842*N(INDEX(art_price,MATCH(C2842,art_ref,0))),""))</f>
        <v/>
      </c>
      <c r="K2842" s="39" t="str">
        <f>IF(OR(C2842="",NOT(ISNUMBER(E2842))),"",IFERROR(ROUND(N(INDEX(art_init,MATCH(C2842,art_ref,0)))+SUMIFS($E$5:E2842,$C$5:C2842,C2842,$B$5:B2842,"Entrée")-SUMIFS($E$5:E2842,$C$5:C2842,C2842,$B$5:B2842,"Sortie"),6),""))</f>
        <v/>
      </c>
      <c r="L2842" s="39" t="str">
        <f>IF(COUNTA(A2842:C2842,E2842)=0,"",IF(COUNTA(A2842:C2842,E2842)&lt;4,"Ligne incomplète",IF(NOT(ISNUMBER(A2842)),"Date invalide",IF(AND(B2842&lt;&gt;"Entrée",B2842&lt;&gt;"Sortie"),"Type inconnu",IF(ISNA(MATCH(C2842,art_ref,0)),"Référence inconnue",IF(OR(NOT(ISNUMBER(E2842)),N(E2842)&lt;=0),"Quantité invalide",IF(K2842&lt;0,"Stock négatif",IF(AND(ISNUMBER(A2841),A2842&lt;A2841),"Date hors ordre","OK"))))))))</f>
        <v/>
      </c>
      <c r="M2842" s="39" t="str">
        <f>IF(C2842="","",C2842&amp;"#"&amp;COUNTIF($C$5:C2842,C2842))</f>
        <v/>
      </c>
    </row>
    <row r="2843">
      <c r="A2843" s="41" t="n"/>
      <c r="B2843" s="37" t="n"/>
      <c r="C2843" s="37" t="n"/>
      <c r="D2843" s="39" t="str">
        <f>IF(C2843="","",IFERROR(INDEX(art_des,MATCH(C2843,art_ref,0))&amp;"","Référence inconnue"))</f>
        <v/>
      </c>
      <c r="E2843" s="37" t="n"/>
      <c r="F2843" s="39" t="str">
        <f>IF(C2843="","",IFERROR(INDEX(art_unit,MATCH(C2843,art_ref,0))&amp;"",""))</f>
        <v/>
      </c>
      <c r="G2843" s="37" t="n"/>
      <c r="H2843" s="37" t="n"/>
      <c r="I2843" s="37" t="n"/>
      <c r="J2843" s="40" t="str">
        <f>IF(OR(C2843="",NOT(ISNUMBER(E2843))),"",IFERROR(E2843*N(INDEX(art_price,MATCH(C2843,art_ref,0))),""))</f>
        <v/>
      </c>
      <c r="K2843" s="39" t="str">
        <f>IF(OR(C2843="",NOT(ISNUMBER(E2843))),"",IFERROR(ROUND(N(INDEX(art_init,MATCH(C2843,art_ref,0)))+SUMIFS($E$5:E2843,$C$5:C2843,C2843,$B$5:B2843,"Entrée")-SUMIFS($E$5:E2843,$C$5:C2843,C2843,$B$5:B2843,"Sortie"),6),""))</f>
        <v/>
      </c>
      <c r="L2843" s="39" t="str">
        <f>IF(COUNTA(A2843:C2843,E2843)=0,"",IF(COUNTA(A2843:C2843,E2843)&lt;4,"Ligne incomplète",IF(NOT(ISNUMBER(A2843)),"Date invalide",IF(AND(B2843&lt;&gt;"Entrée",B2843&lt;&gt;"Sortie"),"Type inconnu",IF(ISNA(MATCH(C2843,art_ref,0)),"Référence inconnue",IF(OR(NOT(ISNUMBER(E2843)),N(E2843)&lt;=0),"Quantité invalide",IF(K2843&lt;0,"Stock négatif",IF(AND(ISNUMBER(A2842),A2843&lt;A2842),"Date hors ordre","OK"))))))))</f>
        <v/>
      </c>
      <c r="M2843" s="39" t="str">
        <f>IF(C2843="","",C2843&amp;"#"&amp;COUNTIF($C$5:C2843,C2843))</f>
        <v/>
      </c>
    </row>
    <row r="2844">
      <c r="A2844" s="41" t="n"/>
      <c r="B2844" s="37" t="n"/>
      <c r="C2844" s="37" t="n"/>
      <c r="D2844" s="39" t="str">
        <f>IF(C2844="","",IFERROR(INDEX(art_des,MATCH(C2844,art_ref,0))&amp;"","Référence inconnue"))</f>
        <v/>
      </c>
      <c r="E2844" s="37" t="n"/>
      <c r="F2844" s="39" t="str">
        <f>IF(C2844="","",IFERROR(INDEX(art_unit,MATCH(C2844,art_ref,0))&amp;"",""))</f>
        <v/>
      </c>
      <c r="G2844" s="37" t="n"/>
      <c r="H2844" s="37" t="n"/>
      <c r="I2844" s="37" t="n"/>
      <c r="J2844" s="40" t="str">
        <f>IF(OR(C2844="",NOT(ISNUMBER(E2844))),"",IFERROR(E2844*N(INDEX(art_price,MATCH(C2844,art_ref,0))),""))</f>
        <v/>
      </c>
      <c r="K2844" s="39" t="str">
        <f>IF(OR(C2844="",NOT(ISNUMBER(E2844))),"",IFERROR(ROUND(N(INDEX(art_init,MATCH(C2844,art_ref,0)))+SUMIFS($E$5:E2844,$C$5:C2844,C2844,$B$5:B2844,"Entrée")-SUMIFS($E$5:E2844,$C$5:C2844,C2844,$B$5:B2844,"Sortie"),6),""))</f>
        <v/>
      </c>
      <c r="L2844" s="39" t="str">
        <f>IF(COUNTA(A2844:C2844,E2844)=0,"",IF(COUNTA(A2844:C2844,E2844)&lt;4,"Ligne incomplète",IF(NOT(ISNUMBER(A2844)),"Date invalide",IF(AND(B2844&lt;&gt;"Entrée",B2844&lt;&gt;"Sortie"),"Type inconnu",IF(ISNA(MATCH(C2844,art_ref,0)),"Référence inconnue",IF(OR(NOT(ISNUMBER(E2844)),N(E2844)&lt;=0),"Quantité invalide",IF(K2844&lt;0,"Stock négatif",IF(AND(ISNUMBER(A2843),A2844&lt;A2843),"Date hors ordre","OK"))))))))</f>
        <v/>
      </c>
      <c r="M2844" s="39" t="str">
        <f>IF(C2844="","",C2844&amp;"#"&amp;COUNTIF($C$5:C2844,C2844))</f>
        <v/>
      </c>
    </row>
    <row r="2845">
      <c r="A2845" s="41" t="n"/>
      <c r="B2845" s="37" t="n"/>
      <c r="C2845" s="37" t="n"/>
      <c r="D2845" s="39" t="str">
        <f>IF(C2845="","",IFERROR(INDEX(art_des,MATCH(C2845,art_ref,0))&amp;"","Référence inconnue"))</f>
        <v/>
      </c>
      <c r="E2845" s="37" t="n"/>
      <c r="F2845" s="39" t="str">
        <f>IF(C2845="","",IFERROR(INDEX(art_unit,MATCH(C2845,art_ref,0))&amp;"",""))</f>
        <v/>
      </c>
      <c r="G2845" s="37" t="n"/>
      <c r="H2845" s="37" t="n"/>
      <c r="I2845" s="37" t="n"/>
      <c r="J2845" s="40" t="str">
        <f>IF(OR(C2845="",NOT(ISNUMBER(E2845))),"",IFERROR(E2845*N(INDEX(art_price,MATCH(C2845,art_ref,0))),""))</f>
        <v/>
      </c>
      <c r="K2845" s="39" t="str">
        <f>IF(OR(C2845="",NOT(ISNUMBER(E2845))),"",IFERROR(ROUND(N(INDEX(art_init,MATCH(C2845,art_ref,0)))+SUMIFS($E$5:E2845,$C$5:C2845,C2845,$B$5:B2845,"Entrée")-SUMIFS($E$5:E2845,$C$5:C2845,C2845,$B$5:B2845,"Sortie"),6),""))</f>
        <v/>
      </c>
      <c r="L2845" s="39" t="str">
        <f>IF(COUNTA(A2845:C2845,E2845)=0,"",IF(COUNTA(A2845:C2845,E2845)&lt;4,"Ligne incomplète",IF(NOT(ISNUMBER(A2845)),"Date invalide",IF(AND(B2845&lt;&gt;"Entrée",B2845&lt;&gt;"Sortie"),"Type inconnu",IF(ISNA(MATCH(C2845,art_ref,0)),"Référence inconnue",IF(OR(NOT(ISNUMBER(E2845)),N(E2845)&lt;=0),"Quantité invalide",IF(K2845&lt;0,"Stock négatif",IF(AND(ISNUMBER(A2844),A2845&lt;A2844),"Date hors ordre","OK"))))))))</f>
        <v/>
      </c>
      <c r="M2845" s="39" t="str">
        <f>IF(C2845="","",C2845&amp;"#"&amp;COUNTIF($C$5:C2845,C2845))</f>
        <v/>
      </c>
    </row>
    <row r="2846">
      <c r="A2846" s="41" t="n"/>
      <c r="B2846" s="37" t="n"/>
      <c r="C2846" s="37" t="n"/>
      <c r="D2846" s="39" t="str">
        <f>IF(C2846="","",IFERROR(INDEX(art_des,MATCH(C2846,art_ref,0))&amp;"","Référence inconnue"))</f>
        <v/>
      </c>
      <c r="E2846" s="37" t="n"/>
      <c r="F2846" s="39" t="str">
        <f>IF(C2846="","",IFERROR(INDEX(art_unit,MATCH(C2846,art_ref,0))&amp;"",""))</f>
        <v/>
      </c>
      <c r="G2846" s="37" t="n"/>
      <c r="H2846" s="37" t="n"/>
      <c r="I2846" s="37" t="n"/>
      <c r="J2846" s="40" t="str">
        <f>IF(OR(C2846="",NOT(ISNUMBER(E2846))),"",IFERROR(E2846*N(INDEX(art_price,MATCH(C2846,art_ref,0))),""))</f>
        <v/>
      </c>
      <c r="K2846" s="39" t="str">
        <f>IF(OR(C2846="",NOT(ISNUMBER(E2846))),"",IFERROR(ROUND(N(INDEX(art_init,MATCH(C2846,art_ref,0)))+SUMIFS($E$5:E2846,$C$5:C2846,C2846,$B$5:B2846,"Entrée")-SUMIFS($E$5:E2846,$C$5:C2846,C2846,$B$5:B2846,"Sortie"),6),""))</f>
        <v/>
      </c>
      <c r="L2846" s="39" t="str">
        <f>IF(COUNTA(A2846:C2846,E2846)=0,"",IF(COUNTA(A2846:C2846,E2846)&lt;4,"Ligne incomplète",IF(NOT(ISNUMBER(A2846)),"Date invalide",IF(AND(B2846&lt;&gt;"Entrée",B2846&lt;&gt;"Sortie"),"Type inconnu",IF(ISNA(MATCH(C2846,art_ref,0)),"Référence inconnue",IF(OR(NOT(ISNUMBER(E2846)),N(E2846)&lt;=0),"Quantité invalide",IF(K2846&lt;0,"Stock négatif",IF(AND(ISNUMBER(A2845),A2846&lt;A2845),"Date hors ordre","OK"))))))))</f>
        <v/>
      </c>
      <c r="M2846" s="39" t="str">
        <f>IF(C2846="","",C2846&amp;"#"&amp;COUNTIF($C$5:C2846,C2846))</f>
        <v/>
      </c>
    </row>
    <row r="2847">
      <c r="A2847" s="41" t="n"/>
      <c r="B2847" s="37" t="n"/>
      <c r="C2847" s="37" t="n"/>
      <c r="D2847" s="39" t="str">
        <f>IF(C2847="","",IFERROR(INDEX(art_des,MATCH(C2847,art_ref,0))&amp;"","Référence inconnue"))</f>
        <v/>
      </c>
      <c r="E2847" s="37" t="n"/>
      <c r="F2847" s="39" t="str">
        <f>IF(C2847="","",IFERROR(INDEX(art_unit,MATCH(C2847,art_ref,0))&amp;"",""))</f>
        <v/>
      </c>
      <c r="G2847" s="37" t="n"/>
      <c r="H2847" s="37" t="n"/>
      <c r="I2847" s="37" t="n"/>
      <c r="J2847" s="40" t="str">
        <f>IF(OR(C2847="",NOT(ISNUMBER(E2847))),"",IFERROR(E2847*N(INDEX(art_price,MATCH(C2847,art_ref,0))),""))</f>
        <v/>
      </c>
      <c r="K2847" s="39" t="str">
        <f>IF(OR(C2847="",NOT(ISNUMBER(E2847))),"",IFERROR(ROUND(N(INDEX(art_init,MATCH(C2847,art_ref,0)))+SUMIFS($E$5:E2847,$C$5:C2847,C2847,$B$5:B2847,"Entrée")-SUMIFS($E$5:E2847,$C$5:C2847,C2847,$B$5:B2847,"Sortie"),6),""))</f>
        <v/>
      </c>
      <c r="L2847" s="39" t="str">
        <f>IF(COUNTA(A2847:C2847,E2847)=0,"",IF(COUNTA(A2847:C2847,E2847)&lt;4,"Ligne incomplète",IF(NOT(ISNUMBER(A2847)),"Date invalide",IF(AND(B2847&lt;&gt;"Entrée",B2847&lt;&gt;"Sortie"),"Type inconnu",IF(ISNA(MATCH(C2847,art_ref,0)),"Référence inconnue",IF(OR(NOT(ISNUMBER(E2847)),N(E2847)&lt;=0),"Quantité invalide",IF(K2847&lt;0,"Stock négatif",IF(AND(ISNUMBER(A2846),A2847&lt;A2846),"Date hors ordre","OK"))))))))</f>
        <v/>
      </c>
      <c r="M2847" s="39" t="str">
        <f>IF(C2847="","",C2847&amp;"#"&amp;COUNTIF($C$5:C2847,C2847))</f>
        <v/>
      </c>
    </row>
    <row r="2848">
      <c r="A2848" s="41" t="n"/>
      <c r="B2848" s="37" t="n"/>
      <c r="C2848" s="37" t="n"/>
      <c r="D2848" s="39" t="str">
        <f>IF(C2848="","",IFERROR(INDEX(art_des,MATCH(C2848,art_ref,0))&amp;"","Référence inconnue"))</f>
        <v/>
      </c>
      <c r="E2848" s="37" t="n"/>
      <c r="F2848" s="39" t="str">
        <f>IF(C2848="","",IFERROR(INDEX(art_unit,MATCH(C2848,art_ref,0))&amp;"",""))</f>
        <v/>
      </c>
      <c r="G2848" s="37" t="n"/>
      <c r="H2848" s="37" t="n"/>
      <c r="I2848" s="37" t="n"/>
      <c r="J2848" s="40" t="str">
        <f>IF(OR(C2848="",NOT(ISNUMBER(E2848))),"",IFERROR(E2848*N(INDEX(art_price,MATCH(C2848,art_ref,0))),""))</f>
        <v/>
      </c>
      <c r="K2848" s="39" t="str">
        <f>IF(OR(C2848="",NOT(ISNUMBER(E2848))),"",IFERROR(ROUND(N(INDEX(art_init,MATCH(C2848,art_ref,0)))+SUMIFS($E$5:E2848,$C$5:C2848,C2848,$B$5:B2848,"Entrée")-SUMIFS($E$5:E2848,$C$5:C2848,C2848,$B$5:B2848,"Sortie"),6),""))</f>
        <v/>
      </c>
      <c r="L2848" s="39" t="str">
        <f>IF(COUNTA(A2848:C2848,E2848)=0,"",IF(COUNTA(A2848:C2848,E2848)&lt;4,"Ligne incomplète",IF(NOT(ISNUMBER(A2848)),"Date invalide",IF(AND(B2848&lt;&gt;"Entrée",B2848&lt;&gt;"Sortie"),"Type inconnu",IF(ISNA(MATCH(C2848,art_ref,0)),"Référence inconnue",IF(OR(NOT(ISNUMBER(E2848)),N(E2848)&lt;=0),"Quantité invalide",IF(K2848&lt;0,"Stock négatif",IF(AND(ISNUMBER(A2847),A2848&lt;A2847),"Date hors ordre","OK"))))))))</f>
        <v/>
      </c>
      <c r="M2848" s="39" t="str">
        <f>IF(C2848="","",C2848&amp;"#"&amp;COUNTIF($C$5:C2848,C2848))</f>
        <v/>
      </c>
    </row>
    <row r="2849">
      <c r="A2849" s="41" t="n"/>
      <c r="B2849" s="37" t="n"/>
      <c r="C2849" s="37" t="n"/>
      <c r="D2849" s="39" t="str">
        <f>IF(C2849="","",IFERROR(INDEX(art_des,MATCH(C2849,art_ref,0))&amp;"","Référence inconnue"))</f>
        <v/>
      </c>
      <c r="E2849" s="37" t="n"/>
      <c r="F2849" s="39" t="str">
        <f>IF(C2849="","",IFERROR(INDEX(art_unit,MATCH(C2849,art_ref,0))&amp;"",""))</f>
        <v/>
      </c>
      <c r="G2849" s="37" t="n"/>
      <c r="H2849" s="37" t="n"/>
      <c r="I2849" s="37" t="n"/>
      <c r="J2849" s="40" t="str">
        <f>IF(OR(C2849="",NOT(ISNUMBER(E2849))),"",IFERROR(E2849*N(INDEX(art_price,MATCH(C2849,art_ref,0))),""))</f>
        <v/>
      </c>
      <c r="K2849" s="39" t="str">
        <f>IF(OR(C2849="",NOT(ISNUMBER(E2849))),"",IFERROR(ROUND(N(INDEX(art_init,MATCH(C2849,art_ref,0)))+SUMIFS($E$5:E2849,$C$5:C2849,C2849,$B$5:B2849,"Entrée")-SUMIFS($E$5:E2849,$C$5:C2849,C2849,$B$5:B2849,"Sortie"),6),""))</f>
        <v/>
      </c>
      <c r="L2849" s="39" t="str">
        <f>IF(COUNTA(A2849:C2849,E2849)=0,"",IF(COUNTA(A2849:C2849,E2849)&lt;4,"Ligne incomplète",IF(NOT(ISNUMBER(A2849)),"Date invalide",IF(AND(B2849&lt;&gt;"Entrée",B2849&lt;&gt;"Sortie"),"Type inconnu",IF(ISNA(MATCH(C2849,art_ref,0)),"Référence inconnue",IF(OR(NOT(ISNUMBER(E2849)),N(E2849)&lt;=0),"Quantité invalide",IF(K2849&lt;0,"Stock négatif",IF(AND(ISNUMBER(A2848),A2849&lt;A2848),"Date hors ordre","OK"))))))))</f>
        <v/>
      </c>
      <c r="M2849" s="39" t="str">
        <f>IF(C2849="","",C2849&amp;"#"&amp;COUNTIF($C$5:C2849,C2849))</f>
        <v/>
      </c>
    </row>
    <row r="2850">
      <c r="A2850" s="41" t="n"/>
      <c r="B2850" s="37" t="n"/>
      <c r="C2850" s="37" t="n"/>
      <c r="D2850" s="39" t="str">
        <f>IF(C2850="","",IFERROR(INDEX(art_des,MATCH(C2850,art_ref,0))&amp;"","Référence inconnue"))</f>
        <v/>
      </c>
      <c r="E2850" s="37" t="n"/>
      <c r="F2850" s="39" t="str">
        <f>IF(C2850="","",IFERROR(INDEX(art_unit,MATCH(C2850,art_ref,0))&amp;"",""))</f>
        <v/>
      </c>
      <c r="G2850" s="37" t="n"/>
      <c r="H2850" s="37" t="n"/>
      <c r="I2850" s="37" t="n"/>
      <c r="J2850" s="40" t="str">
        <f>IF(OR(C2850="",NOT(ISNUMBER(E2850))),"",IFERROR(E2850*N(INDEX(art_price,MATCH(C2850,art_ref,0))),""))</f>
        <v/>
      </c>
      <c r="K2850" s="39" t="str">
        <f>IF(OR(C2850="",NOT(ISNUMBER(E2850))),"",IFERROR(ROUND(N(INDEX(art_init,MATCH(C2850,art_ref,0)))+SUMIFS($E$5:E2850,$C$5:C2850,C2850,$B$5:B2850,"Entrée")-SUMIFS($E$5:E2850,$C$5:C2850,C2850,$B$5:B2850,"Sortie"),6),""))</f>
        <v/>
      </c>
      <c r="L2850" s="39" t="str">
        <f>IF(COUNTA(A2850:C2850,E2850)=0,"",IF(COUNTA(A2850:C2850,E2850)&lt;4,"Ligne incomplète",IF(NOT(ISNUMBER(A2850)),"Date invalide",IF(AND(B2850&lt;&gt;"Entrée",B2850&lt;&gt;"Sortie"),"Type inconnu",IF(ISNA(MATCH(C2850,art_ref,0)),"Référence inconnue",IF(OR(NOT(ISNUMBER(E2850)),N(E2850)&lt;=0),"Quantité invalide",IF(K2850&lt;0,"Stock négatif",IF(AND(ISNUMBER(A2849),A2850&lt;A2849),"Date hors ordre","OK"))))))))</f>
        <v/>
      </c>
      <c r="M2850" s="39" t="str">
        <f>IF(C2850="","",C2850&amp;"#"&amp;COUNTIF($C$5:C2850,C2850))</f>
        <v/>
      </c>
    </row>
    <row r="2851">
      <c r="A2851" s="41" t="n"/>
      <c r="B2851" s="37" t="n"/>
      <c r="C2851" s="37" t="n"/>
      <c r="D2851" s="39" t="str">
        <f>IF(C2851="","",IFERROR(INDEX(art_des,MATCH(C2851,art_ref,0))&amp;"","Référence inconnue"))</f>
        <v/>
      </c>
      <c r="E2851" s="37" t="n"/>
      <c r="F2851" s="39" t="str">
        <f>IF(C2851="","",IFERROR(INDEX(art_unit,MATCH(C2851,art_ref,0))&amp;"",""))</f>
        <v/>
      </c>
      <c r="G2851" s="37" t="n"/>
      <c r="H2851" s="37" t="n"/>
      <c r="I2851" s="37" t="n"/>
      <c r="J2851" s="40" t="str">
        <f>IF(OR(C2851="",NOT(ISNUMBER(E2851))),"",IFERROR(E2851*N(INDEX(art_price,MATCH(C2851,art_ref,0))),""))</f>
        <v/>
      </c>
      <c r="K2851" s="39" t="str">
        <f>IF(OR(C2851="",NOT(ISNUMBER(E2851))),"",IFERROR(ROUND(N(INDEX(art_init,MATCH(C2851,art_ref,0)))+SUMIFS($E$5:E2851,$C$5:C2851,C2851,$B$5:B2851,"Entrée")-SUMIFS($E$5:E2851,$C$5:C2851,C2851,$B$5:B2851,"Sortie"),6),""))</f>
        <v/>
      </c>
      <c r="L2851" s="39" t="str">
        <f>IF(COUNTA(A2851:C2851,E2851)=0,"",IF(COUNTA(A2851:C2851,E2851)&lt;4,"Ligne incomplète",IF(NOT(ISNUMBER(A2851)),"Date invalide",IF(AND(B2851&lt;&gt;"Entrée",B2851&lt;&gt;"Sortie"),"Type inconnu",IF(ISNA(MATCH(C2851,art_ref,0)),"Référence inconnue",IF(OR(NOT(ISNUMBER(E2851)),N(E2851)&lt;=0),"Quantité invalide",IF(K2851&lt;0,"Stock négatif",IF(AND(ISNUMBER(A2850),A2851&lt;A2850),"Date hors ordre","OK"))))))))</f>
        <v/>
      </c>
      <c r="M2851" s="39" t="str">
        <f>IF(C2851="","",C2851&amp;"#"&amp;COUNTIF($C$5:C2851,C2851))</f>
        <v/>
      </c>
    </row>
    <row r="2852">
      <c r="A2852" s="41" t="n"/>
      <c r="B2852" s="37" t="n"/>
      <c r="C2852" s="37" t="n"/>
      <c r="D2852" s="39" t="str">
        <f>IF(C2852="","",IFERROR(INDEX(art_des,MATCH(C2852,art_ref,0))&amp;"","Référence inconnue"))</f>
        <v/>
      </c>
      <c r="E2852" s="37" t="n"/>
      <c r="F2852" s="39" t="str">
        <f>IF(C2852="","",IFERROR(INDEX(art_unit,MATCH(C2852,art_ref,0))&amp;"",""))</f>
        <v/>
      </c>
      <c r="G2852" s="37" t="n"/>
      <c r="H2852" s="37" t="n"/>
      <c r="I2852" s="37" t="n"/>
      <c r="J2852" s="40" t="str">
        <f>IF(OR(C2852="",NOT(ISNUMBER(E2852))),"",IFERROR(E2852*N(INDEX(art_price,MATCH(C2852,art_ref,0))),""))</f>
        <v/>
      </c>
      <c r="K2852" s="39" t="str">
        <f>IF(OR(C2852="",NOT(ISNUMBER(E2852))),"",IFERROR(ROUND(N(INDEX(art_init,MATCH(C2852,art_ref,0)))+SUMIFS($E$5:E2852,$C$5:C2852,C2852,$B$5:B2852,"Entrée")-SUMIFS($E$5:E2852,$C$5:C2852,C2852,$B$5:B2852,"Sortie"),6),""))</f>
        <v/>
      </c>
      <c r="L2852" s="39" t="str">
        <f>IF(COUNTA(A2852:C2852,E2852)=0,"",IF(COUNTA(A2852:C2852,E2852)&lt;4,"Ligne incomplète",IF(NOT(ISNUMBER(A2852)),"Date invalide",IF(AND(B2852&lt;&gt;"Entrée",B2852&lt;&gt;"Sortie"),"Type inconnu",IF(ISNA(MATCH(C2852,art_ref,0)),"Référence inconnue",IF(OR(NOT(ISNUMBER(E2852)),N(E2852)&lt;=0),"Quantité invalide",IF(K2852&lt;0,"Stock négatif",IF(AND(ISNUMBER(A2851),A2852&lt;A2851),"Date hors ordre","OK"))))))))</f>
        <v/>
      </c>
      <c r="M2852" s="39" t="str">
        <f>IF(C2852="","",C2852&amp;"#"&amp;COUNTIF($C$5:C2852,C2852))</f>
        <v/>
      </c>
    </row>
    <row r="2853">
      <c r="A2853" s="41" t="n"/>
      <c r="B2853" s="37" t="n"/>
      <c r="C2853" s="37" t="n"/>
      <c r="D2853" s="39" t="str">
        <f>IF(C2853="","",IFERROR(INDEX(art_des,MATCH(C2853,art_ref,0))&amp;"","Référence inconnue"))</f>
        <v/>
      </c>
      <c r="E2853" s="37" t="n"/>
      <c r="F2853" s="39" t="str">
        <f>IF(C2853="","",IFERROR(INDEX(art_unit,MATCH(C2853,art_ref,0))&amp;"",""))</f>
        <v/>
      </c>
      <c r="G2853" s="37" t="n"/>
      <c r="H2853" s="37" t="n"/>
      <c r="I2853" s="37" t="n"/>
      <c r="J2853" s="40" t="str">
        <f>IF(OR(C2853="",NOT(ISNUMBER(E2853))),"",IFERROR(E2853*N(INDEX(art_price,MATCH(C2853,art_ref,0))),""))</f>
        <v/>
      </c>
      <c r="K2853" s="39" t="str">
        <f>IF(OR(C2853="",NOT(ISNUMBER(E2853))),"",IFERROR(ROUND(N(INDEX(art_init,MATCH(C2853,art_ref,0)))+SUMIFS($E$5:E2853,$C$5:C2853,C2853,$B$5:B2853,"Entrée")-SUMIFS($E$5:E2853,$C$5:C2853,C2853,$B$5:B2853,"Sortie"),6),""))</f>
        <v/>
      </c>
      <c r="L2853" s="39" t="str">
        <f>IF(COUNTA(A2853:C2853,E2853)=0,"",IF(COUNTA(A2853:C2853,E2853)&lt;4,"Ligne incomplète",IF(NOT(ISNUMBER(A2853)),"Date invalide",IF(AND(B2853&lt;&gt;"Entrée",B2853&lt;&gt;"Sortie"),"Type inconnu",IF(ISNA(MATCH(C2853,art_ref,0)),"Référence inconnue",IF(OR(NOT(ISNUMBER(E2853)),N(E2853)&lt;=0),"Quantité invalide",IF(K2853&lt;0,"Stock négatif",IF(AND(ISNUMBER(A2852),A2853&lt;A2852),"Date hors ordre","OK"))))))))</f>
        <v/>
      </c>
      <c r="M2853" s="39" t="str">
        <f>IF(C2853="","",C2853&amp;"#"&amp;COUNTIF($C$5:C2853,C2853))</f>
        <v/>
      </c>
    </row>
    <row r="2854">
      <c r="A2854" s="41" t="n"/>
      <c r="B2854" s="37" t="n"/>
      <c r="C2854" s="37" t="n"/>
      <c r="D2854" s="39" t="str">
        <f>IF(C2854="","",IFERROR(INDEX(art_des,MATCH(C2854,art_ref,0))&amp;"","Référence inconnue"))</f>
        <v/>
      </c>
      <c r="E2854" s="37" t="n"/>
      <c r="F2854" s="39" t="str">
        <f>IF(C2854="","",IFERROR(INDEX(art_unit,MATCH(C2854,art_ref,0))&amp;"",""))</f>
        <v/>
      </c>
      <c r="G2854" s="37" t="n"/>
      <c r="H2854" s="37" t="n"/>
      <c r="I2854" s="37" t="n"/>
      <c r="J2854" s="40" t="str">
        <f>IF(OR(C2854="",NOT(ISNUMBER(E2854))),"",IFERROR(E2854*N(INDEX(art_price,MATCH(C2854,art_ref,0))),""))</f>
        <v/>
      </c>
      <c r="K2854" s="39" t="str">
        <f>IF(OR(C2854="",NOT(ISNUMBER(E2854))),"",IFERROR(ROUND(N(INDEX(art_init,MATCH(C2854,art_ref,0)))+SUMIFS($E$5:E2854,$C$5:C2854,C2854,$B$5:B2854,"Entrée")-SUMIFS($E$5:E2854,$C$5:C2854,C2854,$B$5:B2854,"Sortie"),6),""))</f>
        <v/>
      </c>
      <c r="L2854" s="39" t="str">
        <f>IF(COUNTA(A2854:C2854,E2854)=0,"",IF(COUNTA(A2854:C2854,E2854)&lt;4,"Ligne incomplète",IF(NOT(ISNUMBER(A2854)),"Date invalide",IF(AND(B2854&lt;&gt;"Entrée",B2854&lt;&gt;"Sortie"),"Type inconnu",IF(ISNA(MATCH(C2854,art_ref,0)),"Référence inconnue",IF(OR(NOT(ISNUMBER(E2854)),N(E2854)&lt;=0),"Quantité invalide",IF(K2854&lt;0,"Stock négatif",IF(AND(ISNUMBER(A2853),A2854&lt;A2853),"Date hors ordre","OK"))))))))</f>
        <v/>
      </c>
      <c r="M2854" s="39" t="str">
        <f>IF(C2854="","",C2854&amp;"#"&amp;COUNTIF($C$5:C2854,C2854))</f>
        <v/>
      </c>
    </row>
    <row r="2855">
      <c r="A2855" s="41" t="n"/>
      <c r="B2855" s="37" t="n"/>
      <c r="C2855" s="37" t="n"/>
      <c r="D2855" s="39" t="str">
        <f>IF(C2855="","",IFERROR(INDEX(art_des,MATCH(C2855,art_ref,0))&amp;"","Référence inconnue"))</f>
        <v/>
      </c>
      <c r="E2855" s="37" t="n"/>
      <c r="F2855" s="39" t="str">
        <f>IF(C2855="","",IFERROR(INDEX(art_unit,MATCH(C2855,art_ref,0))&amp;"",""))</f>
        <v/>
      </c>
      <c r="G2855" s="37" t="n"/>
      <c r="H2855" s="37" t="n"/>
      <c r="I2855" s="37" t="n"/>
      <c r="J2855" s="40" t="str">
        <f>IF(OR(C2855="",NOT(ISNUMBER(E2855))),"",IFERROR(E2855*N(INDEX(art_price,MATCH(C2855,art_ref,0))),""))</f>
        <v/>
      </c>
      <c r="K2855" s="39" t="str">
        <f>IF(OR(C2855="",NOT(ISNUMBER(E2855))),"",IFERROR(ROUND(N(INDEX(art_init,MATCH(C2855,art_ref,0)))+SUMIFS($E$5:E2855,$C$5:C2855,C2855,$B$5:B2855,"Entrée")-SUMIFS($E$5:E2855,$C$5:C2855,C2855,$B$5:B2855,"Sortie"),6),""))</f>
        <v/>
      </c>
      <c r="L2855" s="39" t="str">
        <f>IF(COUNTA(A2855:C2855,E2855)=0,"",IF(COUNTA(A2855:C2855,E2855)&lt;4,"Ligne incomplète",IF(NOT(ISNUMBER(A2855)),"Date invalide",IF(AND(B2855&lt;&gt;"Entrée",B2855&lt;&gt;"Sortie"),"Type inconnu",IF(ISNA(MATCH(C2855,art_ref,0)),"Référence inconnue",IF(OR(NOT(ISNUMBER(E2855)),N(E2855)&lt;=0),"Quantité invalide",IF(K2855&lt;0,"Stock négatif",IF(AND(ISNUMBER(A2854),A2855&lt;A2854),"Date hors ordre","OK"))))))))</f>
        <v/>
      </c>
      <c r="M2855" s="39" t="str">
        <f>IF(C2855="","",C2855&amp;"#"&amp;COUNTIF($C$5:C2855,C2855))</f>
        <v/>
      </c>
    </row>
    <row r="2856">
      <c r="A2856" s="41" t="n"/>
      <c r="B2856" s="37" t="n"/>
      <c r="C2856" s="37" t="n"/>
      <c r="D2856" s="39" t="str">
        <f>IF(C2856="","",IFERROR(INDEX(art_des,MATCH(C2856,art_ref,0))&amp;"","Référence inconnue"))</f>
        <v/>
      </c>
      <c r="E2856" s="37" t="n"/>
      <c r="F2856" s="39" t="str">
        <f>IF(C2856="","",IFERROR(INDEX(art_unit,MATCH(C2856,art_ref,0))&amp;"",""))</f>
        <v/>
      </c>
      <c r="G2856" s="37" t="n"/>
      <c r="H2856" s="37" t="n"/>
      <c r="I2856" s="37" t="n"/>
      <c r="J2856" s="40" t="str">
        <f>IF(OR(C2856="",NOT(ISNUMBER(E2856))),"",IFERROR(E2856*N(INDEX(art_price,MATCH(C2856,art_ref,0))),""))</f>
        <v/>
      </c>
      <c r="K2856" s="39" t="str">
        <f>IF(OR(C2856="",NOT(ISNUMBER(E2856))),"",IFERROR(ROUND(N(INDEX(art_init,MATCH(C2856,art_ref,0)))+SUMIFS($E$5:E2856,$C$5:C2856,C2856,$B$5:B2856,"Entrée")-SUMIFS($E$5:E2856,$C$5:C2856,C2856,$B$5:B2856,"Sortie"),6),""))</f>
        <v/>
      </c>
      <c r="L2856" s="39" t="str">
        <f>IF(COUNTA(A2856:C2856,E2856)=0,"",IF(COUNTA(A2856:C2856,E2856)&lt;4,"Ligne incomplète",IF(NOT(ISNUMBER(A2856)),"Date invalide",IF(AND(B2856&lt;&gt;"Entrée",B2856&lt;&gt;"Sortie"),"Type inconnu",IF(ISNA(MATCH(C2856,art_ref,0)),"Référence inconnue",IF(OR(NOT(ISNUMBER(E2856)),N(E2856)&lt;=0),"Quantité invalide",IF(K2856&lt;0,"Stock négatif",IF(AND(ISNUMBER(A2855),A2856&lt;A2855),"Date hors ordre","OK"))))))))</f>
        <v/>
      </c>
      <c r="M2856" s="39" t="str">
        <f>IF(C2856="","",C2856&amp;"#"&amp;COUNTIF($C$5:C2856,C2856))</f>
        <v/>
      </c>
    </row>
    <row r="2857">
      <c r="A2857" s="41" t="n"/>
      <c r="B2857" s="37" t="n"/>
      <c r="C2857" s="37" t="n"/>
      <c r="D2857" s="39" t="str">
        <f>IF(C2857="","",IFERROR(INDEX(art_des,MATCH(C2857,art_ref,0))&amp;"","Référence inconnue"))</f>
        <v/>
      </c>
      <c r="E2857" s="37" t="n"/>
      <c r="F2857" s="39" t="str">
        <f>IF(C2857="","",IFERROR(INDEX(art_unit,MATCH(C2857,art_ref,0))&amp;"",""))</f>
        <v/>
      </c>
      <c r="G2857" s="37" t="n"/>
      <c r="H2857" s="37" t="n"/>
      <c r="I2857" s="37" t="n"/>
      <c r="J2857" s="40" t="str">
        <f>IF(OR(C2857="",NOT(ISNUMBER(E2857))),"",IFERROR(E2857*N(INDEX(art_price,MATCH(C2857,art_ref,0))),""))</f>
        <v/>
      </c>
      <c r="K2857" s="39" t="str">
        <f>IF(OR(C2857="",NOT(ISNUMBER(E2857))),"",IFERROR(ROUND(N(INDEX(art_init,MATCH(C2857,art_ref,0)))+SUMIFS($E$5:E2857,$C$5:C2857,C2857,$B$5:B2857,"Entrée")-SUMIFS($E$5:E2857,$C$5:C2857,C2857,$B$5:B2857,"Sortie"),6),""))</f>
        <v/>
      </c>
      <c r="L2857" s="39" t="str">
        <f>IF(COUNTA(A2857:C2857,E2857)=0,"",IF(COUNTA(A2857:C2857,E2857)&lt;4,"Ligne incomplète",IF(NOT(ISNUMBER(A2857)),"Date invalide",IF(AND(B2857&lt;&gt;"Entrée",B2857&lt;&gt;"Sortie"),"Type inconnu",IF(ISNA(MATCH(C2857,art_ref,0)),"Référence inconnue",IF(OR(NOT(ISNUMBER(E2857)),N(E2857)&lt;=0),"Quantité invalide",IF(K2857&lt;0,"Stock négatif",IF(AND(ISNUMBER(A2856),A2857&lt;A2856),"Date hors ordre","OK"))))))))</f>
        <v/>
      </c>
      <c r="M2857" s="39" t="str">
        <f>IF(C2857="","",C2857&amp;"#"&amp;COUNTIF($C$5:C2857,C2857))</f>
        <v/>
      </c>
    </row>
    <row r="2858">
      <c r="A2858" s="41" t="n"/>
      <c r="B2858" s="37" t="n"/>
      <c r="C2858" s="37" t="n"/>
      <c r="D2858" s="39" t="str">
        <f>IF(C2858="","",IFERROR(INDEX(art_des,MATCH(C2858,art_ref,0))&amp;"","Référence inconnue"))</f>
        <v/>
      </c>
      <c r="E2858" s="37" t="n"/>
      <c r="F2858" s="39" t="str">
        <f>IF(C2858="","",IFERROR(INDEX(art_unit,MATCH(C2858,art_ref,0))&amp;"",""))</f>
        <v/>
      </c>
      <c r="G2858" s="37" t="n"/>
      <c r="H2858" s="37" t="n"/>
      <c r="I2858" s="37" t="n"/>
      <c r="J2858" s="40" t="str">
        <f>IF(OR(C2858="",NOT(ISNUMBER(E2858))),"",IFERROR(E2858*N(INDEX(art_price,MATCH(C2858,art_ref,0))),""))</f>
        <v/>
      </c>
      <c r="K2858" s="39" t="str">
        <f>IF(OR(C2858="",NOT(ISNUMBER(E2858))),"",IFERROR(ROUND(N(INDEX(art_init,MATCH(C2858,art_ref,0)))+SUMIFS($E$5:E2858,$C$5:C2858,C2858,$B$5:B2858,"Entrée")-SUMIFS($E$5:E2858,$C$5:C2858,C2858,$B$5:B2858,"Sortie"),6),""))</f>
        <v/>
      </c>
      <c r="L2858" s="39" t="str">
        <f>IF(COUNTA(A2858:C2858,E2858)=0,"",IF(COUNTA(A2858:C2858,E2858)&lt;4,"Ligne incomplète",IF(NOT(ISNUMBER(A2858)),"Date invalide",IF(AND(B2858&lt;&gt;"Entrée",B2858&lt;&gt;"Sortie"),"Type inconnu",IF(ISNA(MATCH(C2858,art_ref,0)),"Référence inconnue",IF(OR(NOT(ISNUMBER(E2858)),N(E2858)&lt;=0),"Quantité invalide",IF(K2858&lt;0,"Stock négatif",IF(AND(ISNUMBER(A2857),A2858&lt;A2857),"Date hors ordre","OK"))))))))</f>
        <v/>
      </c>
      <c r="M2858" s="39" t="str">
        <f>IF(C2858="","",C2858&amp;"#"&amp;COUNTIF($C$5:C2858,C2858))</f>
        <v/>
      </c>
    </row>
    <row r="2859">
      <c r="A2859" s="41" t="n"/>
      <c r="B2859" s="37" t="n"/>
      <c r="C2859" s="37" t="n"/>
      <c r="D2859" s="39" t="str">
        <f>IF(C2859="","",IFERROR(INDEX(art_des,MATCH(C2859,art_ref,0))&amp;"","Référence inconnue"))</f>
        <v/>
      </c>
      <c r="E2859" s="37" t="n"/>
      <c r="F2859" s="39" t="str">
        <f>IF(C2859="","",IFERROR(INDEX(art_unit,MATCH(C2859,art_ref,0))&amp;"",""))</f>
        <v/>
      </c>
      <c r="G2859" s="37" t="n"/>
      <c r="H2859" s="37" t="n"/>
      <c r="I2859" s="37" t="n"/>
      <c r="J2859" s="40" t="str">
        <f>IF(OR(C2859="",NOT(ISNUMBER(E2859))),"",IFERROR(E2859*N(INDEX(art_price,MATCH(C2859,art_ref,0))),""))</f>
        <v/>
      </c>
      <c r="K2859" s="39" t="str">
        <f>IF(OR(C2859="",NOT(ISNUMBER(E2859))),"",IFERROR(ROUND(N(INDEX(art_init,MATCH(C2859,art_ref,0)))+SUMIFS($E$5:E2859,$C$5:C2859,C2859,$B$5:B2859,"Entrée")-SUMIFS($E$5:E2859,$C$5:C2859,C2859,$B$5:B2859,"Sortie"),6),""))</f>
        <v/>
      </c>
      <c r="L2859" s="39" t="str">
        <f>IF(COUNTA(A2859:C2859,E2859)=0,"",IF(COUNTA(A2859:C2859,E2859)&lt;4,"Ligne incomplète",IF(NOT(ISNUMBER(A2859)),"Date invalide",IF(AND(B2859&lt;&gt;"Entrée",B2859&lt;&gt;"Sortie"),"Type inconnu",IF(ISNA(MATCH(C2859,art_ref,0)),"Référence inconnue",IF(OR(NOT(ISNUMBER(E2859)),N(E2859)&lt;=0),"Quantité invalide",IF(K2859&lt;0,"Stock négatif",IF(AND(ISNUMBER(A2858),A2859&lt;A2858),"Date hors ordre","OK"))))))))</f>
        <v/>
      </c>
      <c r="M2859" s="39" t="str">
        <f>IF(C2859="","",C2859&amp;"#"&amp;COUNTIF($C$5:C2859,C2859))</f>
        <v/>
      </c>
    </row>
    <row r="2860">
      <c r="A2860" s="41" t="n"/>
      <c r="B2860" s="37" t="n"/>
      <c r="C2860" s="37" t="n"/>
      <c r="D2860" s="39" t="str">
        <f>IF(C2860="","",IFERROR(INDEX(art_des,MATCH(C2860,art_ref,0))&amp;"","Référence inconnue"))</f>
        <v/>
      </c>
      <c r="E2860" s="37" t="n"/>
      <c r="F2860" s="39" t="str">
        <f>IF(C2860="","",IFERROR(INDEX(art_unit,MATCH(C2860,art_ref,0))&amp;"",""))</f>
        <v/>
      </c>
      <c r="G2860" s="37" t="n"/>
      <c r="H2860" s="37" t="n"/>
      <c r="I2860" s="37" t="n"/>
      <c r="J2860" s="40" t="str">
        <f>IF(OR(C2860="",NOT(ISNUMBER(E2860))),"",IFERROR(E2860*N(INDEX(art_price,MATCH(C2860,art_ref,0))),""))</f>
        <v/>
      </c>
      <c r="K2860" s="39" t="str">
        <f>IF(OR(C2860="",NOT(ISNUMBER(E2860))),"",IFERROR(ROUND(N(INDEX(art_init,MATCH(C2860,art_ref,0)))+SUMIFS($E$5:E2860,$C$5:C2860,C2860,$B$5:B2860,"Entrée")-SUMIFS($E$5:E2860,$C$5:C2860,C2860,$B$5:B2860,"Sortie"),6),""))</f>
        <v/>
      </c>
      <c r="L2860" s="39" t="str">
        <f>IF(COUNTA(A2860:C2860,E2860)=0,"",IF(COUNTA(A2860:C2860,E2860)&lt;4,"Ligne incomplète",IF(NOT(ISNUMBER(A2860)),"Date invalide",IF(AND(B2860&lt;&gt;"Entrée",B2860&lt;&gt;"Sortie"),"Type inconnu",IF(ISNA(MATCH(C2860,art_ref,0)),"Référence inconnue",IF(OR(NOT(ISNUMBER(E2860)),N(E2860)&lt;=0),"Quantité invalide",IF(K2860&lt;0,"Stock négatif",IF(AND(ISNUMBER(A2859),A2860&lt;A2859),"Date hors ordre","OK"))))))))</f>
        <v/>
      </c>
      <c r="M2860" s="39" t="str">
        <f>IF(C2860="","",C2860&amp;"#"&amp;COUNTIF($C$5:C2860,C2860))</f>
        <v/>
      </c>
    </row>
    <row r="2861">
      <c r="A2861" s="41" t="n"/>
      <c r="B2861" s="37" t="n"/>
      <c r="C2861" s="37" t="n"/>
      <c r="D2861" s="39" t="str">
        <f>IF(C2861="","",IFERROR(INDEX(art_des,MATCH(C2861,art_ref,0))&amp;"","Référence inconnue"))</f>
        <v/>
      </c>
      <c r="E2861" s="37" t="n"/>
      <c r="F2861" s="39" t="str">
        <f>IF(C2861="","",IFERROR(INDEX(art_unit,MATCH(C2861,art_ref,0))&amp;"",""))</f>
        <v/>
      </c>
      <c r="G2861" s="37" t="n"/>
      <c r="H2861" s="37" t="n"/>
      <c r="I2861" s="37" t="n"/>
      <c r="J2861" s="40" t="str">
        <f>IF(OR(C2861="",NOT(ISNUMBER(E2861))),"",IFERROR(E2861*N(INDEX(art_price,MATCH(C2861,art_ref,0))),""))</f>
        <v/>
      </c>
      <c r="K2861" s="39" t="str">
        <f>IF(OR(C2861="",NOT(ISNUMBER(E2861))),"",IFERROR(ROUND(N(INDEX(art_init,MATCH(C2861,art_ref,0)))+SUMIFS($E$5:E2861,$C$5:C2861,C2861,$B$5:B2861,"Entrée")-SUMIFS($E$5:E2861,$C$5:C2861,C2861,$B$5:B2861,"Sortie"),6),""))</f>
        <v/>
      </c>
      <c r="L2861" s="39" t="str">
        <f>IF(COUNTA(A2861:C2861,E2861)=0,"",IF(COUNTA(A2861:C2861,E2861)&lt;4,"Ligne incomplète",IF(NOT(ISNUMBER(A2861)),"Date invalide",IF(AND(B2861&lt;&gt;"Entrée",B2861&lt;&gt;"Sortie"),"Type inconnu",IF(ISNA(MATCH(C2861,art_ref,0)),"Référence inconnue",IF(OR(NOT(ISNUMBER(E2861)),N(E2861)&lt;=0),"Quantité invalide",IF(K2861&lt;0,"Stock négatif",IF(AND(ISNUMBER(A2860),A2861&lt;A2860),"Date hors ordre","OK"))))))))</f>
        <v/>
      </c>
      <c r="M2861" s="39" t="str">
        <f>IF(C2861="","",C2861&amp;"#"&amp;COUNTIF($C$5:C2861,C2861))</f>
        <v/>
      </c>
    </row>
    <row r="2862">
      <c r="A2862" s="41" t="n"/>
      <c r="B2862" s="37" t="n"/>
      <c r="C2862" s="37" t="n"/>
      <c r="D2862" s="39" t="str">
        <f>IF(C2862="","",IFERROR(INDEX(art_des,MATCH(C2862,art_ref,0))&amp;"","Référence inconnue"))</f>
        <v/>
      </c>
      <c r="E2862" s="37" t="n"/>
      <c r="F2862" s="39" t="str">
        <f>IF(C2862="","",IFERROR(INDEX(art_unit,MATCH(C2862,art_ref,0))&amp;"",""))</f>
        <v/>
      </c>
      <c r="G2862" s="37" t="n"/>
      <c r="H2862" s="37" t="n"/>
      <c r="I2862" s="37" t="n"/>
      <c r="J2862" s="40" t="str">
        <f>IF(OR(C2862="",NOT(ISNUMBER(E2862))),"",IFERROR(E2862*N(INDEX(art_price,MATCH(C2862,art_ref,0))),""))</f>
        <v/>
      </c>
      <c r="K2862" s="39" t="str">
        <f>IF(OR(C2862="",NOT(ISNUMBER(E2862))),"",IFERROR(ROUND(N(INDEX(art_init,MATCH(C2862,art_ref,0)))+SUMIFS($E$5:E2862,$C$5:C2862,C2862,$B$5:B2862,"Entrée")-SUMIFS($E$5:E2862,$C$5:C2862,C2862,$B$5:B2862,"Sortie"),6),""))</f>
        <v/>
      </c>
      <c r="L2862" s="39" t="str">
        <f>IF(COUNTA(A2862:C2862,E2862)=0,"",IF(COUNTA(A2862:C2862,E2862)&lt;4,"Ligne incomplète",IF(NOT(ISNUMBER(A2862)),"Date invalide",IF(AND(B2862&lt;&gt;"Entrée",B2862&lt;&gt;"Sortie"),"Type inconnu",IF(ISNA(MATCH(C2862,art_ref,0)),"Référence inconnue",IF(OR(NOT(ISNUMBER(E2862)),N(E2862)&lt;=0),"Quantité invalide",IF(K2862&lt;0,"Stock négatif",IF(AND(ISNUMBER(A2861),A2862&lt;A2861),"Date hors ordre","OK"))))))))</f>
        <v/>
      </c>
      <c r="M2862" s="39" t="str">
        <f>IF(C2862="","",C2862&amp;"#"&amp;COUNTIF($C$5:C2862,C2862))</f>
        <v/>
      </c>
    </row>
    <row r="2863">
      <c r="A2863" s="41" t="n"/>
      <c r="B2863" s="37" t="n"/>
      <c r="C2863" s="37" t="n"/>
      <c r="D2863" s="39" t="str">
        <f>IF(C2863="","",IFERROR(INDEX(art_des,MATCH(C2863,art_ref,0))&amp;"","Référence inconnue"))</f>
        <v/>
      </c>
      <c r="E2863" s="37" t="n"/>
      <c r="F2863" s="39" t="str">
        <f>IF(C2863="","",IFERROR(INDEX(art_unit,MATCH(C2863,art_ref,0))&amp;"",""))</f>
        <v/>
      </c>
      <c r="G2863" s="37" t="n"/>
      <c r="H2863" s="37" t="n"/>
      <c r="I2863" s="37" t="n"/>
      <c r="J2863" s="40" t="str">
        <f>IF(OR(C2863="",NOT(ISNUMBER(E2863))),"",IFERROR(E2863*N(INDEX(art_price,MATCH(C2863,art_ref,0))),""))</f>
        <v/>
      </c>
      <c r="K2863" s="39" t="str">
        <f>IF(OR(C2863="",NOT(ISNUMBER(E2863))),"",IFERROR(ROUND(N(INDEX(art_init,MATCH(C2863,art_ref,0)))+SUMIFS($E$5:E2863,$C$5:C2863,C2863,$B$5:B2863,"Entrée")-SUMIFS($E$5:E2863,$C$5:C2863,C2863,$B$5:B2863,"Sortie"),6),""))</f>
        <v/>
      </c>
      <c r="L2863" s="39" t="str">
        <f>IF(COUNTA(A2863:C2863,E2863)=0,"",IF(COUNTA(A2863:C2863,E2863)&lt;4,"Ligne incomplète",IF(NOT(ISNUMBER(A2863)),"Date invalide",IF(AND(B2863&lt;&gt;"Entrée",B2863&lt;&gt;"Sortie"),"Type inconnu",IF(ISNA(MATCH(C2863,art_ref,0)),"Référence inconnue",IF(OR(NOT(ISNUMBER(E2863)),N(E2863)&lt;=0),"Quantité invalide",IF(K2863&lt;0,"Stock négatif",IF(AND(ISNUMBER(A2862),A2863&lt;A2862),"Date hors ordre","OK"))))))))</f>
        <v/>
      </c>
      <c r="M2863" s="39" t="str">
        <f>IF(C2863="","",C2863&amp;"#"&amp;COUNTIF($C$5:C2863,C2863))</f>
        <v/>
      </c>
    </row>
    <row r="2864">
      <c r="A2864" s="41" t="n"/>
      <c r="B2864" s="37" t="n"/>
      <c r="C2864" s="37" t="n"/>
      <c r="D2864" s="39" t="str">
        <f>IF(C2864="","",IFERROR(INDEX(art_des,MATCH(C2864,art_ref,0))&amp;"","Référence inconnue"))</f>
        <v/>
      </c>
      <c r="E2864" s="37" t="n"/>
      <c r="F2864" s="39" t="str">
        <f>IF(C2864="","",IFERROR(INDEX(art_unit,MATCH(C2864,art_ref,0))&amp;"",""))</f>
        <v/>
      </c>
      <c r="G2864" s="37" t="n"/>
      <c r="H2864" s="37" t="n"/>
      <c r="I2864" s="37" t="n"/>
      <c r="J2864" s="40" t="str">
        <f>IF(OR(C2864="",NOT(ISNUMBER(E2864))),"",IFERROR(E2864*N(INDEX(art_price,MATCH(C2864,art_ref,0))),""))</f>
        <v/>
      </c>
      <c r="K2864" s="39" t="str">
        <f>IF(OR(C2864="",NOT(ISNUMBER(E2864))),"",IFERROR(ROUND(N(INDEX(art_init,MATCH(C2864,art_ref,0)))+SUMIFS($E$5:E2864,$C$5:C2864,C2864,$B$5:B2864,"Entrée")-SUMIFS($E$5:E2864,$C$5:C2864,C2864,$B$5:B2864,"Sortie"),6),""))</f>
        <v/>
      </c>
      <c r="L2864" s="39" t="str">
        <f>IF(COUNTA(A2864:C2864,E2864)=0,"",IF(COUNTA(A2864:C2864,E2864)&lt;4,"Ligne incomplète",IF(NOT(ISNUMBER(A2864)),"Date invalide",IF(AND(B2864&lt;&gt;"Entrée",B2864&lt;&gt;"Sortie"),"Type inconnu",IF(ISNA(MATCH(C2864,art_ref,0)),"Référence inconnue",IF(OR(NOT(ISNUMBER(E2864)),N(E2864)&lt;=0),"Quantité invalide",IF(K2864&lt;0,"Stock négatif",IF(AND(ISNUMBER(A2863),A2864&lt;A2863),"Date hors ordre","OK"))))))))</f>
        <v/>
      </c>
      <c r="M2864" s="39" t="str">
        <f>IF(C2864="","",C2864&amp;"#"&amp;COUNTIF($C$5:C2864,C2864))</f>
        <v/>
      </c>
    </row>
    <row r="2865">
      <c r="A2865" s="41" t="n"/>
      <c r="B2865" s="37" t="n"/>
      <c r="C2865" s="37" t="n"/>
      <c r="D2865" s="39" t="str">
        <f>IF(C2865="","",IFERROR(INDEX(art_des,MATCH(C2865,art_ref,0))&amp;"","Référence inconnue"))</f>
        <v/>
      </c>
      <c r="E2865" s="37" t="n"/>
      <c r="F2865" s="39" t="str">
        <f>IF(C2865="","",IFERROR(INDEX(art_unit,MATCH(C2865,art_ref,0))&amp;"",""))</f>
        <v/>
      </c>
      <c r="G2865" s="37" t="n"/>
      <c r="H2865" s="37" t="n"/>
      <c r="I2865" s="37" t="n"/>
      <c r="J2865" s="40" t="str">
        <f>IF(OR(C2865="",NOT(ISNUMBER(E2865))),"",IFERROR(E2865*N(INDEX(art_price,MATCH(C2865,art_ref,0))),""))</f>
        <v/>
      </c>
      <c r="K2865" s="39" t="str">
        <f>IF(OR(C2865="",NOT(ISNUMBER(E2865))),"",IFERROR(ROUND(N(INDEX(art_init,MATCH(C2865,art_ref,0)))+SUMIFS($E$5:E2865,$C$5:C2865,C2865,$B$5:B2865,"Entrée")-SUMIFS($E$5:E2865,$C$5:C2865,C2865,$B$5:B2865,"Sortie"),6),""))</f>
        <v/>
      </c>
      <c r="L2865" s="39" t="str">
        <f>IF(COUNTA(A2865:C2865,E2865)=0,"",IF(COUNTA(A2865:C2865,E2865)&lt;4,"Ligne incomplète",IF(NOT(ISNUMBER(A2865)),"Date invalide",IF(AND(B2865&lt;&gt;"Entrée",B2865&lt;&gt;"Sortie"),"Type inconnu",IF(ISNA(MATCH(C2865,art_ref,0)),"Référence inconnue",IF(OR(NOT(ISNUMBER(E2865)),N(E2865)&lt;=0),"Quantité invalide",IF(K2865&lt;0,"Stock négatif",IF(AND(ISNUMBER(A2864),A2865&lt;A2864),"Date hors ordre","OK"))))))))</f>
        <v/>
      </c>
      <c r="M2865" s="39" t="str">
        <f>IF(C2865="","",C2865&amp;"#"&amp;COUNTIF($C$5:C2865,C2865))</f>
        <v/>
      </c>
    </row>
    <row r="2866">
      <c r="A2866" s="41" t="n"/>
      <c r="B2866" s="37" t="n"/>
      <c r="C2866" s="37" t="n"/>
      <c r="D2866" s="39" t="str">
        <f>IF(C2866="","",IFERROR(INDEX(art_des,MATCH(C2866,art_ref,0))&amp;"","Référence inconnue"))</f>
        <v/>
      </c>
      <c r="E2866" s="37" t="n"/>
      <c r="F2866" s="39" t="str">
        <f>IF(C2866="","",IFERROR(INDEX(art_unit,MATCH(C2866,art_ref,0))&amp;"",""))</f>
        <v/>
      </c>
      <c r="G2866" s="37" t="n"/>
      <c r="H2866" s="37" t="n"/>
      <c r="I2866" s="37" t="n"/>
      <c r="J2866" s="40" t="str">
        <f>IF(OR(C2866="",NOT(ISNUMBER(E2866))),"",IFERROR(E2866*N(INDEX(art_price,MATCH(C2866,art_ref,0))),""))</f>
        <v/>
      </c>
      <c r="K2866" s="39" t="str">
        <f>IF(OR(C2866="",NOT(ISNUMBER(E2866))),"",IFERROR(ROUND(N(INDEX(art_init,MATCH(C2866,art_ref,0)))+SUMIFS($E$5:E2866,$C$5:C2866,C2866,$B$5:B2866,"Entrée")-SUMIFS($E$5:E2866,$C$5:C2866,C2866,$B$5:B2866,"Sortie"),6),""))</f>
        <v/>
      </c>
      <c r="L2866" s="39" t="str">
        <f>IF(COUNTA(A2866:C2866,E2866)=0,"",IF(COUNTA(A2866:C2866,E2866)&lt;4,"Ligne incomplète",IF(NOT(ISNUMBER(A2866)),"Date invalide",IF(AND(B2866&lt;&gt;"Entrée",B2866&lt;&gt;"Sortie"),"Type inconnu",IF(ISNA(MATCH(C2866,art_ref,0)),"Référence inconnue",IF(OR(NOT(ISNUMBER(E2866)),N(E2866)&lt;=0),"Quantité invalide",IF(K2866&lt;0,"Stock négatif",IF(AND(ISNUMBER(A2865),A2866&lt;A2865),"Date hors ordre","OK"))))))))</f>
        <v/>
      </c>
      <c r="M2866" s="39" t="str">
        <f>IF(C2866="","",C2866&amp;"#"&amp;COUNTIF($C$5:C2866,C2866))</f>
        <v/>
      </c>
    </row>
    <row r="2867">
      <c r="A2867" s="41" t="n"/>
      <c r="B2867" s="37" t="n"/>
      <c r="C2867" s="37" t="n"/>
      <c r="D2867" s="39" t="str">
        <f>IF(C2867="","",IFERROR(INDEX(art_des,MATCH(C2867,art_ref,0))&amp;"","Référence inconnue"))</f>
        <v/>
      </c>
      <c r="E2867" s="37" t="n"/>
      <c r="F2867" s="39" t="str">
        <f>IF(C2867="","",IFERROR(INDEX(art_unit,MATCH(C2867,art_ref,0))&amp;"",""))</f>
        <v/>
      </c>
      <c r="G2867" s="37" t="n"/>
      <c r="H2867" s="37" t="n"/>
      <c r="I2867" s="37" t="n"/>
      <c r="J2867" s="40" t="str">
        <f>IF(OR(C2867="",NOT(ISNUMBER(E2867))),"",IFERROR(E2867*N(INDEX(art_price,MATCH(C2867,art_ref,0))),""))</f>
        <v/>
      </c>
      <c r="K2867" s="39" t="str">
        <f>IF(OR(C2867="",NOT(ISNUMBER(E2867))),"",IFERROR(ROUND(N(INDEX(art_init,MATCH(C2867,art_ref,0)))+SUMIFS($E$5:E2867,$C$5:C2867,C2867,$B$5:B2867,"Entrée")-SUMIFS($E$5:E2867,$C$5:C2867,C2867,$B$5:B2867,"Sortie"),6),""))</f>
        <v/>
      </c>
      <c r="L2867" s="39" t="str">
        <f>IF(COUNTA(A2867:C2867,E2867)=0,"",IF(COUNTA(A2867:C2867,E2867)&lt;4,"Ligne incomplète",IF(NOT(ISNUMBER(A2867)),"Date invalide",IF(AND(B2867&lt;&gt;"Entrée",B2867&lt;&gt;"Sortie"),"Type inconnu",IF(ISNA(MATCH(C2867,art_ref,0)),"Référence inconnue",IF(OR(NOT(ISNUMBER(E2867)),N(E2867)&lt;=0),"Quantité invalide",IF(K2867&lt;0,"Stock négatif",IF(AND(ISNUMBER(A2866),A2867&lt;A2866),"Date hors ordre","OK"))))))))</f>
        <v/>
      </c>
      <c r="M2867" s="39" t="str">
        <f>IF(C2867="","",C2867&amp;"#"&amp;COUNTIF($C$5:C2867,C2867))</f>
        <v/>
      </c>
    </row>
    <row r="2868">
      <c r="A2868" s="41" t="n"/>
      <c r="B2868" s="37" t="n"/>
      <c r="C2868" s="37" t="n"/>
      <c r="D2868" s="39" t="str">
        <f>IF(C2868="","",IFERROR(INDEX(art_des,MATCH(C2868,art_ref,0))&amp;"","Référence inconnue"))</f>
        <v/>
      </c>
      <c r="E2868" s="37" t="n"/>
      <c r="F2868" s="39" t="str">
        <f>IF(C2868="","",IFERROR(INDEX(art_unit,MATCH(C2868,art_ref,0))&amp;"",""))</f>
        <v/>
      </c>
      <c r="G2868" s="37" t="n"/>
      <c r="H2868" s="37" t="n"/>
      <c r="I2868" s="37" t="n"/>
      <c r="J2868" s="40" t="str">
        <f>IF(OR(C2868="",NOT(ISNUMBER(E2868))),"",IFERROR(E2868*N(INDEX(art_price,MATCH(C2868,art_ref,0))),""))</f>
        <v/>
      </c>
      <c r="K2868" s="39" t="str">
        <f>IF(OR(C2868="",NOT(ISNUMBER(E2868))),"",IFERROR(ROUND(N(INDEX(art_init,MATCH(C2868,art_ref,0)))+SUMIFS($E$5:E2868,$C$5:C2868,C2868,$B$5:B2868,"Entrée")-SUMIFS($E$5:E2868,$C$5:C2868,C2868,$B$5:B2868,"Sortie"),6),""))</f>
        <v/>
      </c>
      <c r="L2868" s="39" t="str">
        <f>IF(COUNTA(A2868:C2868,E2868)=0,"",IF(COUNTA(A2868:C2868,E2868)&lt;4,"Ligne incomplète",IF(NOT(ISNUMBER(A2868)),"Date invalide",IF(AND(B2868&lt;&gt;"Entrée",B2868&lt;&gt;"Sortie"),"Type inconnu",IF(ISNA(MATCH(C2868,art_ref,0)),"Référence inconnue",IF(OR(NOT(ISNUMBER(E2868)),N(E2868)&lt;=0),"Quantité invalide",IF(K2868&lt;0,"Stock négatif",IF(AND(ISNUMBER(A2867),A2868&lt;A2867),"Date hors ordre","OK"))))))))</f>
        <v/>
      </c>
      <c r="M2868" s="39" t="str">
        <f>IF(C2868="","",C2868&amp;"#"&amp;COUNTIF($C$5:C2868,C2868))</f>
        <v/>
      </c>
    </row>
    <row r="2869">
      <c r="A2869" s="41" t="n"/>
      <c r="B2869" s="37" t="n"/>
      <c r="C2869" s="37" t="n"/>
      <c r="D2869" s="39" t="str">
        <f>IF(C2869="","",IFERROR(INDEX(art_des,MATCH(C2869,art_ref,0))&amp;"","Référence inconnue"))</f>
        <v/>
      </c>
      <c r="E2869" s="37" t="n"/>
      <c r="F2869" s="39" t="str">
        <f>IF(C2869="","",IFERROR(INDEX(art_unit,MATCH(C2869,art_ref,0))&amp;"",""))</f>
        <v/>
      </c>
      <c r="G2869" s="37" t="n"/>
      <c r="H2869" s="37" t="n"/>
      <c r="I2869" s="37" t="n"/>
      <c r="J2869" s="40" t="str">
        <f>IF(OR(C2869="",NOT(ISNUMBER(E2869))),"",IFERROR(E2869*N(INDEX(art_price,MATCH(C2869,art_ref,0))),""))</f>
        <v/>
      </c>
      <c r="K2869" s="39" t="str">
        <f>IF(OR(C2869="",NOT(ISNUMBER(E2869))),"",IFERROR(ROUND(N(INDEX(art_init,MATCH(C2869,art_ref,0)))+SUMIFS($E$5:E2869,$C$5:C2869,C2869,$B$5:B2869,"Entrée")-SUMIFS($E$5:E2869,$C$5:C2869,C2869,$B$5:B2869,"Sortie"),6),""))</f>
        <v/>
      </c>
      <c r="L2869" s="39" t="str">
        <f>IF(COUNTA(A2869:C2869,E2869)=0,"",IF(COUNTA(A2869:C2869,E2869)&lt;4,"Ligne incomplète",IF(NOT(ISNUMBER(A2869)),"Date invalide",IF(AND(B2869&lt;&gt;"Entrée",B2869&lt;&gt;"Sortie"),"Type inconnu",IF(ISNA(MATCH(C2869,art_ref,0)),"Référence inconnue",IF(OR(NOT(ISNUMBER(E2869)),N(E2869)&lt;=0),"Quantité invalide",IF(K2869&lt;0,"Stock négatif",IF(AND(ISNUMBER(A2868),A2869&lt;A2868),"Date hors ordre","OK"))))))))</f>
        <v/>
      </c>
      <c r="M2869" s="39" t="str">
        <f>IF(C2869="","",C2869&amp;"#"&amp;COUNTIF($C$5:C2869,C2869))</f>
        <v/>
      </c>
    </row>
    <row r="2870">
      <c r="A2870" s="41" t="n"/>
      <c r="B2870" s="37" t="n"/>
      <c r="C2870" s="37" t="n"/>
      <c r="D2870" s="39" t="str">
        <f>IF(C2870="","",IFERROR(INDEX(art_des,MATCH(C2870,art_ref,0))&amp;"","Référence inconnue"))</f>
        <v/>
      </c>
      <c r="E2870" s="37" t="n"/>
      <c r="F2870" s="39" t="str">
        <f>IF(C2870="","",IFERROR(INDEX(art_unit,MATCH(C2870,art_ref,0))&amp;"",""))</f>
        <v/>
      </c>
      <c r="G2870" s="37" t="n"/>
      <c r="H2870" s="37" t="n"/>
      <c r="I2870" s="37" t="n"/>
      <c r="J2870" s="40" t="str">
        <f>IF(OR(C2870="",NOT(ISNUMBER(E2870))),"",IFERROR(E2870*N(INDEX(art_price,MATCH(C2870,art_ref,0))),""))</f>
        <v/>
      </c>
      <c r="K2870" s="39" t="str">
        <f>IF(OR(C2870="",NOT(ISNUMBER(E2870))),"",IFERROR(ROUND(N(INDEX(art_init,MATCH(C2870,art_ref,0)))+SUMIFS($E$5:E2870,$C$5:C2870,C2870,$B$5:B2870,"Entrée")-SUMIFS($E$5:E2870,$C$5:C2870,C2870,$B$5:B2870,"Sortie"),6),""))</f>
        <v/>
      </c>
      <c r="L2870" s="39" t="str">
        <f>IF(COUNTA(A2870:C2870,E2870)=0,"",IF(COUNTA(A2870:C2870,E2870)&lt;4,"Ligne incomplète",IF(NOT(ISNUMBER(A2870)),"Date invalide",IF(AND(B2870&lt;&gt;"Entrée",B2870&lt;&gt;"Sortie"),"Type inconnu",IF(ISNA(MATCH(C2870,art_ref,0)),"Référence inconnue",IF(OR(NOT(ISNUMBER(E2870)),N(E2870)&lt;=0),"Quantité invalide",IF(K2870&lt;0,"Stock négatif",IF(AND(ISNUMBER(A2869),A2870&lt;A2869),"Date hors ordre","OK"))))))))</f>
        <v/>
      </c>
      <c r="M2870" s="39" t="str">
        <f>IF(C2870="","",C2870&amp;"#"&amp;COUNTIF($C$5:C2870,C2870))</f>
        <v/>
      </c>
    </row>
    <row r="2871">
      <c r="A2871" s="41" t="n"/>
      <c r="B2871" s="37" t="n"/>
      <c r="C2871" s="37" t="n"/>
      <c r="D2871" s="39" t="str">
        <f>IF(C2871="","",IFERROR(INDEX(art_des,MATCH(C2871,art_ref,0))&amp;"","Référence inconnue"))</f>
        <v/>
      </c>
      <c r="E2871" s="37" t="n"/>
      <c r="F2871" s="39" t="str">
        <f>IF(C2871="","",IFERROR(INDEX(art_unit,MATCH(C2871,art_ref,0))&amp;"",""))</f>
        <v/>
      </c>
      <c r="G2871" s="37" t="n"/>
      <c r="H2871" s="37" t="n"/>
      <c r="I2871" s="37" t="n"/>
      <c r="J2871" s="40" t="str">
        <f>IF(OR(C2871="",NOT(ISNUMBER(E2871))),"",IFERROR(E2871*N(INDEX(art_price,MATCH(C2871,art_ref,0))),""))</f>
        <v/>
      </c>
      <c r="K2871" s="39" t="str">
        <f>IF(OR(C2871="",NOT(ISNUMBER(E2871))),"",IFERROR(ROUND(N(INDEX(art_init,MATCH(C2871,art_ref,0)))+SUMIFS($E$5:E2871,$C$5:C2871,C2871,$B$5:B2871,"Entrée")-SUMIFS($E$5:E2871,$C$5:C2871,C2871,$B$5:B2871,"Sortie"),6),""))</f>
        <v/>
      </c>
      <c r="L2871" s="39" t="str">
        <f>IF(COUNTA(A2871:C2871,E2871)=0,"",IF(COUNTA(A2871:C2871,E2871)&lt;4,"Ligne incomplète",IF(NOT(ISNUMBER(A2871)),"Date invalide",IF(AND(B2871&lt;&gt;"Entrée",B2871&lt;&gt;"Sortie"),"Type inconnu",IF(ISNA(MATCH(C2871,art_ref,0)),"Référence inconnue",IF(OR(NOT(ISNUMBER(E2871)),N(E2871)&lt;=0),"Quantité invalide",IF(K2871&lt;0,"Stock négatif",IF(AND(ISNUMBER(A2870),A2871&lt;A2870),"Date hors ordre","OK"))))))))</f>
        <v/>
      </c>
      <c r="M2871" s="39" t="str">
        <f>IF(C2871="","",C2871&amp;"#"&amp;COUNTIF($C$5:C2871,C2871))</f>
        <v/>
      </c>
    </row>
    <row r="2872">
      <c r="A2872" s="41" t="n"/>
      <c r="B2872" s="37" t="n"/>
      <c r="C2872" s="37" t="n"/>
      <c r="D2872" s="39" t="str">
        <f>IF(C2872="","",IFERROR(INDEX(art_des,MATCH(C2872,art_ref,0))&amp;"","Référence inconnue"))</f>
        <v/>
      </c>
      <c r="E2872" s="37" t="n"/>
      <c r="F2872" s="39" t="str">
        <f>IF(C2872="","",IFERROR(INDEX(art_unit,MATCH(C2872,art_ref,0))&amp;"",""))</f>
        <v/>
      </c>
      <c r="G2872" s="37" t="n"/>
      <c r="H2872" s="37" t="n"/>
      <c r="I2872" s="37" t="n"/>
      <c r="J2872" s="40" t="str">
        <f>IF(OR(C2872="",NOT(ISNUMBER(E2872))),"",IFERROR(E2872*N(INDEX(art_price,MATCH(C2872,art_ref,0))),""))</f>
        <v/>
      </c>
      <c r="K2872" s="39" t="str">
        <f>IF(OR(C2872="",NOT(ISNUMBER(E2872))),"",IFERROR(ROUND(N(INDEX(art_init,MATCH(C2872,art_ref,0)))+SUMIFS($E$5:E2872,$C$5:C2872,C2872,$B$5:B2872,"Entrée")-SUMIFS($E$5:E2872,$C$5:C2872,C2872,$B$5:B2872,"Sortie"),6),""))</f>
        <v/>
      </c>
      <c r="L2872" s="39" t="str">
        <f>IF(COUNTA(A2872:C2872,E2872)=0,"",IF(COUNTA(A2872:C2872,E2872)&lt;4,"Ligne incomplète",IF(NOT(ISNUMBER(A2872)),"Date invalide",IF(AND(B2872&lt;&gt;"Entrée",B2872&lt;&gt;"Sortie"),"Type inconnu",IF(ISNA(MATCH(C2872,art_ref,0)),"Référence inconnue",IF(OR(NOT(ISNUMBER(E2872)),N(E2872)&lt;=0),"Quantité invalide",IF(K2872&lt;0,"Stock négatif",IF(AND(ISNUMBER(A2871),A2872&lt;A2871),"Date hors ordre","OK"))))))))</f>
        <v/>
      </c>
      <c r="M2872" s="39" t="str">
        <f>IF(C2872="","",C2872&amp;"#"&amp;COUNTIF($C$5:C2872,C2872))</f>
        <v/>
      </c>
    </row>
    <row r="2873">
      <c r="A2873" s="41" t="n"/>
      <c r="B2873" s="37" t="n"/>
      <c r="C2873" s="37" t="n"/>
      <c r="D2873" s="39" t="str">
        <f>IF(C2873="","",IFERROR(INDEX(art_des,MATCH(C2873,art_ref,0))&amp;"","Référence inconnue"))</f>
        <v/>
      </c>
      <c r="E2873" s="37" t="n"/>
      <c r="F2873" s="39" t="str">
        <f>IF(C2873="","",IFERROR(INDEX(art_unit,MATCH(C2873,art_ref,0))&amp;"",""))</f>
        <v/>
      </c>
      <c r="G2873" s="37" t="n"/>
      <c r="H2873" s="37" t="n"/>
      <c r="I2873" s="37" t="n"/>
      <c r="J2873" s="40" t="str">
        <f>IF(OR(C2873="",NOT(ISNUMBER(E2873))),"",IFERROR(E2873*N(INDEX(art_price,MATCH(C2873,art_ref,0))),""))</f>
        <v/>
      </c>
      <c r="K2873" s="39" t="str">
        <f>IF(OR(C2873="",NOT(ISNUMBER(E2873))),"",IFERROR(ROUND(N(INDEX(art_init,MATCH(C2873,art_ref,0)))+SUMIFS($E$5:E2873,$C$5:C2873,C2873,$B$5:B2873,"Entrée")-SUMIFS($E$5:E2873,$C$5:C2873,C2873,$B$5:B2873,"Sortie"),6),""))</f>
        <v/>
      </c>
      <c r="L2873" s="39" t="str">
        <f>IF(COUNTA(A2873:C2873,E2873)=0,"",IF(COUNTA(A2873:C2873,E2873)&lt;4,"Ligne incomplète",IF(NOT(ISNUMBER(A2873)),"Date invalide",IF(AND(B2873&lt;&gt;"Entrée",B2873&lt;&gt;"Sortie"),"Type inconnu",IF(ISNA(MATCH(C2873,art_ref,0)),"Référence inconnue",IF(OR(NOT(ISNUMBER(E2873)),N(E2873)&lt;=0),"Quantité invalide",IF(K2873&lt;0,"Stock négatif",IF(AND(ISNUMBER(A2872),A2873&lt;A2872),"Date hors ordre","OK"))))))))</f>
        <v/>
      </c>
      <c r="M2873" s="39" t="str">
        <f>IF(C2873="","",C2873&amp;"#"&amp;COUNTIF($C$5:C2873,C2873))</f>
        <v/>
      </c>
    </row>
    <row r="2874">
      <c r="A2874" s="41" t="n"/>
      <c r="B2874" s="37" t="n"/>
      <c r="C2874" s="37" t="n"/>
      <c r="D2874" s="39" t="str">
        <f>IF(C2874="","",IFERROR(INDEX(art_des,MATCH(C2874,art_ref,0))&amp;"","Référence inconnue"))</f>
        <v/>
      </c>
      <c r="E2874" s="37" t="n"/>
      <c r="F2874" s="39" t="str">
        <f>IF(C2874="","",IFERROR(INDEX(art_unit,MATCH(C2874,art_ref,0))&amp;"",""))</f>
        <v/>
      </c>
      <c r="G2874" s="37" t="n"/>
      <c r="H2874" s="37" t="n"/>
      <c r="I2874" s="37" t="n"/>
      <c r="J2874" s="40" t="str">
        <f>IF(OR(C2874="",NOT(ISNUMBER(E2874))),"",IFERROR(E2874*N(INDEX(art_price,MATCH(C2874,art_ref,0))),""))</f>
        <v/>
      </c>
      <c r="K2874" s="39" t="str">
        <f>IF(OR(C2874="",NOT(ISNUMBER(E2874))),"",IFERROR(ROUND(N(INDEX(art_init,MATCH(C2874,art_ref,0)))+SUMIFS($E$5:E2874,$C$5:C2874,C2874,$B$5:B2874,"Entrée")-SUMIFS($E$5:E2874,$C$5:C2874,C2874,$B$5:B2874,"Sortie"),6),""))</f>
        <v/>
      </c>
      <c r="L2874" s="39" t="str">
        <f>IF(COUNTA(A2874:C2874,E2874)=0,"",IF(COUNTA(A2874:C2874,E2874)&lt;4,"Ligne incomplète",IF(NOT(ISNUMBER(A2874)),"Date invalide",IF(AND(B2874&lt;&gt;"Entrée",B2874&lt;&gt;"Sortie"),"Type inconnu",IF(ISNA(MATCH(C2874,art_ref,0)),"Référence inconnue",IF(OR(NOT(ISNUMBER(E2874)),N(E2874)&lt;=0),"Quantité invalide",IF(K2874&lt;0,"Stock négatif",IF(AND(ISNUMBER(A2873),A2874&lt;A2873),"Date hors ordre","OK"))))))))</f>
        <v/>
      </c>
      <c r="M2874" s="39" t="str">
        <f>IF(C2874="","",C2874&amp;"#"&amp;COUNTIF($C$5:C2874,C2874))</f>
        <v/>
      </c>
    </row>
    <row r="2875">
      <c r="A2875" s="41" t="n"/>
      <c r="B2875" s="37" t="n"/>
      <c r="C2875" s="37" t="n"/>
      <c r="D2875" s="39" t="str">
        <f>IF(C2875="","",IFERROR(INDEX(art_des,MATCH(C2875,art_ref,0))&amp;"","Référence inconnue"))</f>
        <v/>
      </c>
      <c r="E2875" s="37" t="n"/>
      <c r="F2875" s="39" t="str">
        <f>IF(C2875="","",IFERROR(INDEX(art_unit,MATCH(C2875,art_ref,0))&amp;"",""))</f>
        <v/>
      </c>
      <c r="G2875" s="37" t="n"/>
      <c r="H2875" s="37" t="n"/>
      <c r="I2875" s="37" t="n"/>
      <c r="J2875" s="40" t="str">
        <f>IF(OR(C2875="",NOT(ISNUMBER(E2875))),"",IFERROR(E2875*N(INDEX(art_price,MATCH(C2875,art_ref,0))),""))</f>
        <v/>
      </c>
      <c r="K2875" s="39" t="str">
        <f>IF(OR(C2875="",NOT(ISNUMBER(E2875))),"",IFERROR(ROUND(N(INDEX(art_init,MATCH(C2875,art_ref,0)))+SUMIFS($E$5:E2875,$C$5:C2875,C2875,$B$5:B2875,"Entrée")-SUMIFS($E$5:E2875,$C$5:C2875,C2875,$B$5:B2875,"Sortie"),6),""))</f>
        <v/>
      </c>
      <c r="L2875" s="39" t="str">
        <f>IF(COUNTA(A2875:C2875,E2875)=0,"",IF(COUNTA(A2875:C2875,E2875)&lt;4,"Ligne incomplète",IF(NOT(ISNUMBER(A2875)),"Date invalide",IF(AND(B2875&lt;&gt;"Entrée",B2875&lt;&gt;"Sortie"),"Type inconnu",IF(ISNA(MATCH(C2875,art_ref,0)),"Référence inconnue",IF(OR(NOT(ISNUMBER(E2875)),N(E2875)&lt;=0),"Quantité invalide",IF(K2875&lt;0,"Stock négatif",IF(AND(ISNUMBER(A2874),A2875&lt;A2874),"Date hors ordre","OK"))))))))</f>
        <v/>
      </c>
      <c r="M2875" s="39" t="str">
        <f>IF(C2875="","",C2875&amp;"#"&amp;COUNTIF($C$5:C2875,C2875))</f>
        <v/>
      </c>
    </row>
    <row r="2876">
      <c r="A2876" s="41" t="n"/>
      <c r="B2876" s="37" t="n"/>
      <c r="C2876" s="37" t="n"/>
      <c r="D2876" s="39" t="str">
        <f>IF(C2876="","",IFERROR(INDEX(art_des,MATCH(C2876,art_ref,0))&amp;"","Référence inconnue"))</f>
        <v/>
      </c>
      <c r="E2876" s="37" t="n"/>
      <c r="F2876" s="39" t="str">
        <f>IF(C2876="","",IFERROR(INDEX(art_unit,MATCH(C2876,art_ref,0))&amp;"",""))</f>
        <v/>
      </c>
      <c r="G2876" s="37" t="n"/>
      <c r="H2876" s="37" t="n"/>
      <c r="I2876" s="37" t="n"/>
      <c r="J2876" s="40" t="str">
        <f>IF(OR(C2876="",NOT(ISNUMBER(E2876))),"",IFERROR(E2876*N(INDEX(art_price,MATCH(C2876,art_ref,0))),""))</f>
        <v/>
      </c>
      <c r="K2876" s="39" t="str">
        <f>IF(OR(C2876="",NOT(ISNUMBER(E2876))),"",IFERROR(ROUND(N(INDEX(art_init,MATCH(C2876,art_ref,0)))+SUMIFS($E$5:E2876,$C$5:C2876,C2876,$B$5:B2876,"Entrée")-SUMIFS($E$5:E2876,$C$5:C2876,C2876,$B$5:B2876,"Sortie"),6),""))</f>
        <v/>
      </c>
      <c r="L2876" s="39" t="str">
        <f>IF(COUNTA(A2876:C2876,E2876)=0,"",IF(COUNTA(A2876:C2876,E2876)&lt;4,"Ligne incomplète",IF(NOT(ISNUMBER(A2876)),"Date invalide",IF(AND(B2876&lt;&gt;"Entrée",B2876&lt;&gt;"Sortie"),"Type inconnu",IF(ISNA(MATCH(C2876,art_ref,0)),"Référence inconnue",IF(OR(NOT(ISNUMBER(E2876)),N(E2876)&lt;=0),"Quantité invalide",IF(K2876&lt;0,"Stock négatif",IF(AND(ISNUMBER(A2875),A2876&lt;A2875),"Date hors ordre","OK"))))))))</f>
        <v/>
      </c>
      <c r="M2876" s="39" t="str">
        <f>IF(C2876="","",C2876&amp;"#"&amp;COUNTIF($C$5:C2876,C2876))</f>
        <v/>
      </c>
    </row>
    <row r="2877">
      <c r="A2877" s="41" t="n"/>
      <c r="B2877" s="37" t="n"/>
      <c r="C2877" s="37" t="n"/>
      <c r="D2877" s="39" t="str">
        <f>IF(C2877="","",IFERROR(INDEX(art_des,MATCH(C2877,art_ref,0))&amp;"","Référence inconnue"))</f>
        <v/>
      </c>
      <c r="E2877" s="37" t="n"/>
      <c r="F2877" s="39" t="str">
        <f>IF(C2877="","",IFERROR(INDEX(art_unit,MATCH(C2877,art_ref,0))&amp;"",""))</f>
        <v/>
      </c>
      <c r="G2877" s="37" t="n"/>
      <c r="H2877" s="37" t="n"/>
      <c r="I2877" s="37" t="n"/>
      <c r="J2877" s="40" t="str">
        <f>IF(OR(C2877="",NOT(ISNUMBER(E2877))),"",IFERROR(E2877*N(INDEX(art_price,MATCH(C2877,art_ref,0))),""))</f>
        <v/>
      </c>
      <c r="K2877" s="39" t="str">
        <f>IF(OR(C2877="",NOT(ISNUMBER(E2877))),"",IFERROR(ROUND(N(INDEX(art_init,MATCH(C2877,art_ref,0)))+SUMIFS($E$5:E2877,$C$5:C2877,C2877,$B$5:B2877,"Entrée")-SUMIFS($E$5:E2877,$C$5:C2877,C2877,$B$5:B2877,"Sortie"),6),""))</f>
        <v/>
      </c>
      <c r="L2877" s="39" t="str">
        <f>IF(COUNTA(A2877:C2877,E2877)=0,"",IF(COUNTA(A2877:C2877,E2877)&lt;4,"Ligne incomplète",IF(NOT(ISNUMBER(A2877)),"Date invalide",IF(AND(B2877&lt;&gt;"Entrée",B2877&lt;&gt;"Sortie"),"Type inconnu",IF(ISNA(MATCH(C2877,art_ref,0)),"Référence inconnue",IF(OR(NOT(ISNUMBER(E2877)),N(E2877)&lt;=0),"Quantité invalide",IF(K2877&lt;0,"Stock négatif",IF(AND(ISNUMBER(A2876),A2877&lt;A2876),"Date hors ordre","OK"))))))))</f>
        <v/>
      </c>
      <c r="M2877" s="39" t="str">
        <f>IF(C2877="","",C2877&amp;"#"&amp;COUNTIF($C$5:C2877,C2877))</f>
        <v/>
      </c>
    </row>
    <row r="2878">
      <c r="A2878" s="41" t="n"/>
      <c r="B2878" s="37" t="n"/>
      <c r="C2878" s="37" t="n"/>
      <c r="D2878" s="39" t="str">
        <f>IF(C2878="","",IFERROR(INDEX(art_des,MATCH(C2878,art_ref,0))&amp;"","Référence inconnue"))</f>
        <v/>
      </c>
      <c r="E2878" s="37" t="n"/>
      <c r="F2878" s="39" t="str">
        <f>IF(C2878="","",IFERROR(INDEX(art_unit,MATCH(C2878,art_ref,0))&amp;"",""))</f>
        <v/>
      </c>
      <c r="G2878" s="37" t="n"/>
      <c r="H2878" s="37" t="n"/>
      <c r="I2878" s="37" t="n"/>
      <c r="J2878" s="40" t="str">
        <f>IF(OR(C2878="",NOT(ISNUMBER(E2878))),"",IFERROR(E2878*N(INDEX(art_price,MATCH(C2878,art_ref,0))),""))</f>
        <v/>
      </c>
      <c r="K2878" s="39" t="str">
        <f>IF(OR(C2878="",NOT(ISNUMBER(E2878))),"",IFERROR(ROUND(N(INDEX(art_init,MATCH(C2878,art_ref,0)))+SUMIFS($E$5:E2878,$C$5:C2878,C2878,$B$5:B2878,"Entrée")-SUMIFS($E$5:E2878,$C$5:C2878,C2878,$B$5:B2878,"Sortie"),6),""))</f>
        <v/>
      </c>
      <c r="L2878" s="39" t="str">
        <f>IF(COUNTA(A2878:C2878,E2878)=0,"",IF(COUNTA(A2878:C2878,E2878)&lt;4,"Ligne incomplète",IF(NOT(ISNUMBER(A2878)),"Date invalide",IF(AND(B2878&lt;&gt;"Entrée",B2878&lt;&gt;"Sortie"),"Type inconnu",IF(ISNA(MATCH(C2878,art_ref,0)),"Référence inconnue",IF(OR(NOT(ISNUMBER(E2878)),N(E2878)&lt;=0),"Quantité invalide",IF(K2878&lt;0,"Stock négatif",IF(AND(ISNUMBER(A2877),A2878&lt;A2877),"Date hors ordre","OK"))))))))</f>
        <v/>
      </c>
      <c r="M2878" s="39" t="str">
        <f>IF(C2878="","",C2878&amp;"#"&amp;COUNTIF($C$5:C2878,C2878))</f>
        <v/>
      </c>
    </row>
    <row r="2879">
      <c r="A2879" s="41" t="n"/>
      <c r="B2879" s="37" t="n"/>
      <c r="C2879" s="37" t="n"/>
      <c r="D2879" s="39" t="str">
        <f>IF(C2879="","",IFERROR(INDEX(art_des,MATCH(C2879,art_ref,0))&amp;"","Référence inconnue"))</f>
        <v/>
      </c>
      <c r="E2879" s="37" t="n"/>
      <c r="F2879" s="39" t="str">
        <f>IF(C2879="","",IFERROR(INDEX(art_unit,MATCH(C2879,art_ref,0))&amp;"",""))</f>
        <v/>
      </c>
      <c r="G2879" s="37" t="n"/>
      <c r="H2879" s="37" t="n"/>
      <c r="I2879" s="37" t="n"/>
      <c r="J2879" s="40" t="str">
        <f>IF(OR(C2879="",NOT(ISNUMBER(E2879))),"",IFERROR(E2879*N(INDEX(art_price,MATCH(C2879,art_ref,0))),""))</f>
        <v/>
      </c>
      <c r="K2879" s="39" t="str">
        <f>IF(OR(C2879="",NOT(ISNUMBER(E2879))),"",IFERROR(ROUND(N(INDEX(art_init,MATCH(C2879,art_ref,0)))+SUMIFS($E$5:E2879,$C$5:C2879,C2879,$B$5:B2879,"Entrée")-SUMIFS($E$5:E2879,$C$5:C2879,C2879,$B$5:B2879,"Sortie"),6),""))</f>
        <v/>
      </c>
      <c r="L2879" s="39" t="str">
        <f>IF(COUNTA(A2879:C2879,E2879)=0,"",IF(COUNTA(A2879:C2879,E2879)&lt;4,"Ligne incomplète",IF(NOT(ISNUMBER(A2879)),"Date invalide",IF(AND(B2879&lt;&gt;"Entrée",B2879&lt;&gt;"Sortie"),"Type inconnu",IF(ISNA(MATCH(C2879,art_ref,0)),"Référence inconnue",IF(OR(NOT(ISNUMBER(E2879)),N(E2879)&lt;=0),"Quantité invalide",IF(K2879&lt;0,"Stock négatif",IF(AND(ISNUMBER(A2878),A2879&lt;A2878),"Date hors ordre","OK"))))))))</f>
        <v/>
      </c>
      <c r="M2879" s="39" t="str">
        <f>IF(C2879="","",C2879&amp;"#"&amp;COUNTIF($C$5:C2879,C2879))</f>
        <v/>
      </c>
    </row>
    <row r="2880">
      <c r="A2880" s="41" t="n"/>
      <c r="B2880" s="37" t="n"/>
      <c r="C2880" s="37" t="n"/>
      <c r="D2880" s="39" t="str">
        <f>IF(C2880="","",IFERROR(INDEX(art_des,MATCH(C2880,art_ref,0))&amp;"","Référence inconnue"))</f>
        <v/>
      </c>
      <c r="E2880" s="37" t="n"/>
      <c r="F2880" s="39" t="str">
        <f>IF(C2880="","",IFERROR(INDEX(art_unit,MATCH(C2880,art_ref,0))&amp;"",""))</f>
        <v/>
      </c>
      <c r="G2880" s="37" t="n"/>
      <c r="H2880" s="37" t="n"/>
      <c r="I2880" s="37" t="n"/>
      <c r="J2880" s="40" t="str">
        <f>IF(OR(C2880="",NOT(ISNUMBER(E2880))),"",IFERROR(E2880*N(INDEX(art_price,MATCH(C2880,art_ref,0))),""))</f>
        <v/>
      </c>
      <c r="K2880" s="39" t="str">
        <f>IF(OR(C2880="",NOT(ISNUMBER(E2880))),"",IFERROR(ROUND(N(INDEX(art_init,MATCH(C2880,art_ref,0)))+SUMIFS($E$5:E2880,$C$5:C2880,C2880,$B$5:B2880,"Entrée")-SUMIFS($E$5:E2880,$C$5:C2880,C2880,$B$5:B2880,"Sortie"),6),""))</f>
        <v/>
      </c>
      <c r="L2880" s="39" t="str">
        <f>IF(COUNTA(A2880:C2880,E2880)=0,"",IF(COUNTA(A2880:C2880,E2880)&lt;4,"Ligne incomplète",IF(NOT(ISNUMBER(A2880)),"Date invalide",IF(AND(B2880&lt;&gt;"Entrée",B2880&lt;&gt;"Sortie"),"Type inconnu",IF(ISNA(MATCH(C2880,art_ref,0)),"Référence inconnue",IF(OR(NOT(ISNUMBER(E2880)),N(E2880)&lt;=0),"Quantité invalide",IF(K2880&lt;0,"Stock négatif",IF(AND(ISNUMBER(A2879),A2880&lt;A2879),"Date hors ordre","OK"))))))))</f>
        <v/>
      </c>
      <c r="M2880" s="39" t="str">
        <f>IF(C2880="","",C2880&amp;"#"&amp;COUNTIF($C$5:C2880,C2880))</f>
        <v/>
      </c>
    </row>
    <row r="2881">
      <c r="A2881" s="41" t="n"/>
      <c r="B2881" s="37" t="n"/>
      <c r="C2881" s="37" t="n"/>
      <c r="D2881" s="39" t="str">
        <f>IF(C2881="","",IFERROR(INDEX(art_des,MATCH(C2881,art_ref,0))&amp;"","Référence inconnue"))</f>
        <v/>
      </c>
      <c r="E2881" s="37" t="n"/>
      <c r="F2881" s="39" t="str">
        <f>IF(C2881="","",IFERROR(INDEX(art_unit,MATCH(C2881,art_ref,0))&amp;"",""))</f>
        <v/>
      </c>
      <c r="G2881" s="37" t="n"/>
      <c r="H2881" s="37" t="n"/>
      <c r="I2881" s="37" t="n"/>
      <c r="J2881" s="40" t="str">
        <f>IF(OR(C2881="",NOT(ISNUMBER(E2881))),"",IFERROR(E2881*N(INDEX(art_price,MATCH(C2881,art_ref,0))),""))</f>
        <v/>
      </c>
      <c r="K2881" s="39" t="str">
        <f>IF(OR(C2881="",NOT(ISNUMBER(E2881))),"",IFERROR(ROUND(N(INDEX(art_init,MATCH(C2881,art_ref,0)))+SUMIFS($E$5:E2881,$C$5:C2881,C2881,$B$5:B2881,"Entrée")-SUMIFS($E$5:E2881,$C$5:C2881,C2881,$B$5:B2881,"Sortie"),6),""))</f>
        <v/>
      </c>
      <c r="L2881" s="39" t="str">
        <f>IF(COUNTA(A2881:C2881,E2881)=0,"",IF(COUNTA(A2881:C2881,E2881)&lt;4,"Ligne incomplète",IF(NOT(ISNUMBER(A2881)),"Date invalide",IF(AND(B2881&lt;&gt;"Entrée",B2881&lt;&gt;"Sortie"),"Type inconnu",IF(ISNA(MATCH(C2881,art_ref,0)),"Référence inconnue",IF(OR(NOT(ISNUMBER(E2881)),N(E2881)&lt;=0),"Quantité invalide",IF(K2881&lt;0,"Stock négatif",IF(AND(ISNUMBER(A2880),A2881&lt;A2880),"Date hors ordre","OK"))))))))</f>
        <v/>
      </c>
      <c r="M2881" s="39" t="str">
        <f>IF(C2881="","",C2881&amp;"#"&amp;COUNTIF($C$5:C2881,C2881))</f>
        <v/>
      </c>
    </row>
    <row r="2882">
      <c r="A2882" s="41" t="n"/>
      <c r="B2882" s="37" t="n"/>
      <c r="C2882" s="37" t="n"/>
      <c r="D2882" s="39" t="str">
        <f>IF(C2882="","",IFERROR(INDEX(art_des,MATCH(C2882,art_ref,0))&amp;"","Référence inconnue"))</f>
        <v/>
      </c>
      <c r="E2882" s="37" t="n"/>
      <c r="F2882" s="39" t="str">
        <f>IF(C2882="","",IFERROR(INDEX(art_unit,MATCH(C2882,art_ref,0))&amp;"",""))</f>
        <v/>
      </c>
      <c r="G2882" s="37" t="n"/>
      <c r="H2882" s="37" t="n"/>
      <c r="I2882" s="37" t="n"/>
      <c r="J2882" s="40" t="str">
        <f>IF(OR(C2882="",NOT(ISNUMBER(E2882))),"",IFERROR(E2882*N(INDEX(art_price,MATCH(C2882,art_ref,0))),""))</f>
        <v/>
      </c>
      <c r="K2882" s="39" t="str">
        <f>IF(OR(C2882="",NOT(ISNUMBER(E2882))),"",IFERROR(ROUND(N(INDEX(art_init,MATCH(C2882,art_ref,0)))+SUMIFS($E$5:E2882,$C$5:C2882,C2882,$B$5:B2882,"Entrée")-SUMIFS($E$5:E2882,$C$5:C2882,C2882,$B$5:B2882,"Sortie"),6),""))</f>
        <v/>
      </c>
      <c r="L2882" s="39" t="str">
        <f>IF(COUNTA(A2882:C2882,E2882)=0,"",IF(COUNTA(A2882:C2882,E2882)&lt;4,"Ligne incomplète",IF(NOT(ISNUMBER(A2882)),"Date invalide",IF(AND(B2882&lt;&gt;"Entrée",B2882&lt;&gt;"Sortie"),"Type inconnu",IF(ISNA(MATCH(C2882,art_ref,0)),"Référence inconnue",IF(OR(NOT(ISNUMBER(E2882)),N(E2882)&lt;=0),"Quantité invalide",IF(K2882&lt;0,"Stock négatif",IF(AND(ISNUMBER(A2881),A2882&lt;A2881),"Date hors ordre","OK"))))))))</f>
        <v/>
      </c>
      <c r="M2882" s="39" t="str">
        <f>IF(C2882="","",C2882&amp;"#"&amp;COUNTIF($C$5:C2882,C2882))</f>
        <v/>
      </c>
    </row>
    <row r="2883">
      <c r="A2883" s="41" t="n"/>
      <c r="B2883" s="37" t="n"/>
      <c r="C2883" s="37" t="n"/>
      <c r="D2883" s="39" t="str">
        <f>IF(C2883="","",IFERROR(INDEX(art_des,MATCH(C2883,art_ref,0))&amp;"","Référence inconnue"))</f>
        <v/>
      </c>
      <c r="E2883" s="37" t="n"/>
      <c r="F2883" s="39" t="str">
        <f>IF(C2883="","",IFERROR(INDEX(art_unit,MATCH(C2883,art_ref,0))&amp;"",""))</f>
        <v/>
      </c>
      <c r="G2883" s="37" t="n"/>
      <c r="H2883" s="37" t="n"/>
      <c r="I2883" s="37" t="n"/>
      <c r="J2883" s="40" t="str">
        <f>IF(OR(C2883="",NOT(ISNUMBER(E2883))),"",IFERROR(E2883*N(INDEX(art_price,MATCH(C2883,art_ref,0))),""))</f>
        <v/>
      </c>
      <c r="K2883" s="39" t="str">
        <f>IF(OR(C2883="",NOT(ISNUMBER(E2883))),"",IFERROR(ROUND(N(INDEX(art_init,MATCH(C2883,art_ref,0)))+SUMIFS($E$5:E2883,$C$5:C2883,C2883,$B$5:B2883,"Entrée")-SUMIFS($E$5:E2883,$C$5:C2883,C2883,$B$5:B2883,"Sortie"),6),""))</f>
        <v/>
      </c>
      <c r="L2883" s="39" t="str">
        <f>IF(COUNTA(A2883:C2883,E2883)=0,"",IF(COUNTA(A2883:C2883,E2883)&lt;4,"Ligne incomplète",IF(NOT(ISNUMBER(A2883)),"Date invalide",IF(AND(B2883&lt;&gt;"Entrée",B2883&lt;&gt;"Sortie"),"Type inconnu",IF(ISNA(MATCH(C2883,art_ref,0)),"Référence inconnue",IF(OR(NOT(ISNUMBER(E2883)),N(E2883)&lt;=0),"Quantité invalide",IF(K2883&lt;0,"Stock négatif",IF(AND(ISNUMBER(A2882),A2883&lt;A2882),"Date hors ordre","OK"))))))))</f>
        <v/>
      </c>
      <c r="M2883" s="39" t="str">
        <f>IF(C2883="","",C2883&amp;"#"&amp;COUNTIF($C$5:C2883,C2883))</f>
        <v/>
      </c>
    </row>
    <row r="2884">
      <c r="A2884" s="41" t="n"/>
      <c r="B2884" s="37" t="n"/>
      <c r="C2884" s="37" t="n"/>
      <c r="D2884" s="39" t="str">
        <f>IF(C2884="","",IFERROR(INDEX(art_des,MATCH(C2884,art_ref,0))&amp;"","Référence inconnue"))</f>
        <v/>
      </c>
      <c r="E2884" s="37" t="n"/>
      <c r="F2884" s="39" t="str">
        <f>IF(C2884="","",IFERROR(INDEX(art_unit,MATCH(C2884,art_ref,0))&amp;"",""))</f>
        <v/>
      </c>
      <c r="G2884" s="37" t="n"/>
      <c r="H2884" s="37" t="n"/>
      <c r="I2884" s="37" t="n"/>
      <c r="J2884" s="40" t="str">
        <f>IF(OR(C2884="",NOT(ISNUMBER(E2884))),"",IFERROR(E2884*N(INDEX(art_price,MATCH(C2884,art_ref,0))),""))</f>
        <v/>
      </c>
      <c r="K2884" s="39" t="str">
        <f>IF(OR(C2884="",NOT(ISNUMBER(E2884))),"",IFERROR(ROUND(N(INDEX(art_init,MATCH(C2884,art_ref,0)))+SUMIFS($E$5:E2884,$C$5:C2884,C2884,$B$5:B2884,"Entrée")-SUMIFS($E$5:E2884,$C$5:C2884,C2884,$B$5:B2884,"Sortie"),6),""))</f>
        <v/>
      </c>
      <c r="L2884" s="39" t="str">
        <f>IF(COUNTA(A2884:C2884,E2884)=0,"",IF(COUNTA(A2884:C2884,E2884)&lt;4,"Ligne incomplète",IF(NOT(ISNUMBER(A2884)),"Date invalide",IF(AND(B2884&lt;&gt;"Entrée",B2884&lt;&gt;"Sortie"),"Type inconnu",IF(ISNA(MATCH(C2884,art_ref,0)),"Référence inconnue",IF(OR(NOT(ISNUMBER(E2884)),N(E2884)&lt;=0),"Quantité invalide",IF(K2884&lt;0,"Stock négatif",IF(AND(ISNUMBER(A2883),A2884&lt;A2883),"Date hors ordre","OK"))))))))</f>
        <v/>
      </c>
      <c r="M2884" s="39" t="str">
        <f>IF(C2884="","",C2884&amp;"#"&amp;COUNTIF($C$5:C2884,C2884))</f>
        <v/>
      </c>
    </row>
    <row r="2885">
      <c r="A2885" s="41" t="n"/>
      <c r="B2885" s="37" t="n"/>
      <c r="C2885" s="37" t="n"/>
      <c r="D2885" s="39" t="str">
        <f>IF(C2885="","",IFERROR(INDEX(art_des,MATCH(C2885,art_ref,0))&amp;"","Référence inconnue"))</f>
        <v/>
      </c>
      <c r="E2885" s="37" t="n"/>
      <c r="F2885" s="39" t="str">
        <f>IF(C2885="","",IFERROR(INDEX(art_unit,MATCH(C2885,art_ref,0))&amp;"",""))</f>
        <v/>
      </c>
      <c r="G2885" s="37" t="n"/>
      <c r="H2885" s="37" t="n"/>
      <c r="I2885" s="37" t="n"/>
      <c r="J2885" s="40" t="str">
        <f>IF(OR(C2885="",NOT(ISNUMBER(E2885))),"",IFERROR(E2885*N(INDEX(art_price,MATCH(C2885,art_ref,0))),""))</f>
        <v/>
      </c>
      <c r="K2885" s="39" t="str">
        <f>IF(OR(C2885="",NOT(ISNUMBER(E2885))),"",IFERROR(ROUND(N(INDEX(art_init,MATCH(C2885,art_ref,0)))+SUMIFS($E$5:E2885,$C$5:C2885,C2885,$B$5:B2885,"Entrée")-SUMIFS($E$5:E2885,$C$5:C2885,C2885,$B$5:B2885,"Sortie"),6),""))</f>
        <v/>
      </c>
      <c r="L2885" s="39" t="str">
        <f>IF(COUNTA(A2885:C2885,E2885)=0,"",IF(COUNTA(A2885:C2885,E2885)&lt;4,"Ligne incomplète",IF(NOT(ISNUMBER(A2885)),"Date invalide",IF(AND(B2885&lt;&gt;"Entrée",B2885&lt;&gt;"Sortie"),"Type inconnu",IF(ISNA(MATCH(C2885,art_ref,0)),"Référence inconnue",IF(OR(NOT(ISNUMBER(E2885)),N(E2885)&lt;=0),"Quantité invalide",IF(K2885&lt;0,"Stock négatif",IF(AND(ISNUMBER(A2884),A2885&lt;A2884),"Date hors ordre","OK"))))))))</f>
        <v/>
      </c>
      <c r="M2885" s="39" t="str">
        <f>IF(C2885="","",C2885&amp;"#"&amp;COUNTIF($C$5:C2885,C2885))</f>
        <v/>
      </c>
    </row>
    <row r="2886">
      <c r="A2886" s="41" t="n"/>
      <c r="B2886" s="37" t="n"/>
      <c r="C2886" s="37" t="n"/>
      <c r="D2886" s="39" t="str">
        <f>IF(C2886="","",IFERROR(INDEX(art_des,MATCH(C2886,art_ref,0))&amp;"","Référence inconnue"))</f>
        <v/>
      </c>
      <c r="E2886" s="37" t="n"/>
      <c r="F2886" s="39" t="str">
        <f>IF(C2886="","",IFERROR(INDEX(art_unit,MATCH(C2886,art_ref,0))&amp;"",""))</f>
        <v/>
      </c>
      <c r="G2886" s="37" t="n"/>
      <c r="H2886" s="37" t="n"/>
      <c r="I2886" s="37" t="n"/>
      <c r="J2886" s="40" t="str">
        <f>IF(OR(C2886="",NOT(ISNUMBER(E2886))),"",IFERROR(E2886*N(INDEX(art_price,MATCH(C2886,art_ref,0))),""))</f>
        <v/>
      </c>
      <c r="K2886" s="39" t="str">
        <f>IF(OR(C2886="",NOT(ISNUMBER(E2886))),"",IFERROR(ROUND(N(INDEX(art_init,MATCH(C2886,art_ref,0)))+SUMIFS($E$5:E2886,$C$5:C2886,C2886,$B$5:B2886,"Entrée")-SUMIFS($E$5:E2886,$C$5:C2886,C2886,$B$5:B2886,"Sortie"),6),""))</f>
        <v/>
      </c>
      <c r="L2886" s="39" t="str">
        <f>IF(COUNTA(A2886:C2886,E2886)=0,"",IF(COUNTA(A2886:C2886,E2886)&lt;4,"Ligne incomplète",IF(NOT(ISNUMBER(A2886)),"Date invalide",IF(AND(B2886&lt;&gt;"Entrée",B2886&lt;&gt;"Sortie"),"Type inconnu",IF(ISNA(MATCH(C2886,art_ref,0)),"Référence inconnue",IF(OR(NOT(ISNUMBER(E2886)),N(E2886)&lt;=0),"Quantité invalide",IF(K2886&lt;0,"Stock négatif",IF(AND(ISNUMBER(A2885),A2886&lt;A2885),"Date hors ordre","OK"))))))))</f>
        <v/>
      </c>
      <c r="M2886" s="39" t="str">
        <f>IF(C2886="","",C2886&amp;"#"&amp;COUNTIF($C$5:C2886,C2886))</f>
        <v/>
      </c>
    </row>
    <row r="2887">
      <c r="A2887" s="41" t="n"/>
      <c r="B2887" s="37" t="n"/>
      <c r="C2887" s="37" t="n"/>
      <c r="D2887" s="39" t="str">
        <f>IF(C2887="","",IFERROR(INDEX(art_des,MATCH(C2887,art_ref,0))&amp;"","Référence inconnue"))</f>
        <v/>
      </c>
      <c r="E2887" s="37" t="n"/>
      <c r="F2887" s="39" t="str">
        <f>IF(C2887="","",IFERROR(INDEX(art_unit,MATCH(C2887,art_ref,0))&amp;"",""))</f>
        <v/>
      </c>
      <c r="G2887" s="37" t="n"/>
      <c r="H2887" s="37" t="n"/>
      <c r="I2887" s="37" t="n"/>
      <c r="J2887" s="40" t="str">
        <f>IF(OR(C2887="",NOT(ISNUMBER(E2887))),"",IFERROR(E2887*N(INDEX(art_price,MATCH(C2887,art_ref,0))),""))</f>
        <v/>
      </c>
      <c r="K2887" s="39" t="str">
        <f>IF(OR(C2887="",NOT(ISNUMBER(E2887))),"",IFERROR(ROUND(N(INDEX(art_init,MATCH(C2887,art_ref,0)))+SUMIFS($E$5:E2887,$C$5:C2887,C2887,$B$5:B2887,"Entrée")-SUMIFS($E$5:E2887,$C$5:C2887,C2887,$B$5:B2887,"Sortie"),6),""))</f>
        <v/>
      </c>
      <c r="L2887" s="39" t="str">
        <f>IF(COUNTA(A2887:C2887,E2887)=0,"",IF(COUNTA(A2887:C2887,E2887)&lt;4,"Ligne incomplète",IF(NOT(ISNUMBER(A2887)),"Date invalide",IF(AND(B2887&lt;&gt;"Entrée",B2887&lt;&gt;"Sortie"),"Type inconnu",IF(ISNA(MATCH(C2887,art_ref,0)),"Référence inconnue",IF(OR(NOT(ISNUMBER(E2887)),N(E2887)&lt;=0),"Quantité invalide",IF(K2887&lt;0,"Stock négatif",IF(AND(ISNUMBER(A2886),A2887&lt;A2886),"Date hors ordre","OK"))))))))</f>
        <v/>
      </c>
      <c r="M2887" s="39" t="str">
        <f>IF(C2887="","",C2887&amp;"#"&amp;COUNTIF($C$5:C2887,C2887))</f>
        <v/>
      </c>
    </row>
    <row r="2888">
      <c r="A2888" s="41" t="n"/>
      <c r="B2888" s="37" t="n"/>
      <c r="C2888" s="37" t="n"/>
      <c r="D2888" s="39" t="str">
        <f>IF(C2888="","",IFERROR(INDEX(art_des,MATCH(C2888,art_ref,0))&amp;"","Référence inconnue"))</f>
        <v/>
      </c>
      <c r="E2888" s="37" t="n"/>
      <c r="F2888" s="39" t="str">
        <f>IF(C2888="","",IFERROR(INDEX(art_unit,MATCH(C2888,art_ref,0))&amp;"",""))</f>
        <v/>
      </c>
      <c r="G2888" s="37" t="n"/>
      <c r="H2888" s="37" t="n"/>
      <c r="I2888" s="37" t="n"/>
      <c r="J2888" s="40" t="str">
        <f>IF(OR(C2888="",NOT(ISNUMBER(E2888))),"",IFERROR(E2888*N(INDEX(art_price,MATCH(C2888,art_ref,0))),""))</f>
        <v/>
      </c>
      <c r="K2888" s="39" t="str">
        <f>IF(OR(C2888="",NOT(ISNUMBER(E2888))),"",IFERROR(ROUND(N(INDEX(art_init,MATCH(C2888,art_ref,0)))+SUMIFS($E$5:E2888,$C$5:C2888,C2888,$B$5:B2888,"Entrée")-SUMIFS($E$5:E2888,$C$5:C2888,C2888,$B$5:B2888,"Sortie"),6),""))</f>
        <v/>
      </c>
      <c r="L2888" s="39" t="str">
        <f>IF(COUNTA(A2888:C2888,E2888)=0,"",IF(COUNTA(A2888:C2888,E2888)&lt;4,"Ligne incomplète",IF(NOT(ISNUMBER(A2888)),"Date invalide",IF(AND(B2888&lt;&gt;"Entrée",B2888&lt;&gt;"Sortie"),"Type inconnu",IF(ISNA(MATCH(C2888,art_ref,0)),"Référence inconnue",IF(OR(NOT(ISNUMBER(E2888)),N(E2888)&lt;=0),"Quantité invalide",IF(K2888&lt;0,"Stock négatif",IF(AND(ISNUMBER(A2887),A2888&lt;A2887),"Date hors ordre","OK"))))))))</f>
        <v/>
      </c>
      <c r="M2888" s="39" t="str">
        <f>IF(C2888="","",C2888&amp;"#"&amp;COUNTIF($C$5:C2888,C2888))</f>
        <v/>
      </c>
    </row>
    <row r="2889">
      <c r="A2889" s="41" t="n"/>
      <c r="B2889" s="37" t="n"/>
      <c r="C2889" s="37" t="n"/>
      <c r="D2889" s="39" t="str">
        <f>IF(C2889="","",IFERROR(INDEX(art_des,MATCH(C2889,art_ref,0))&amp;"","Référence inconnue"))</f>
        <v/>
      </c>
      <c r="E2889" s="37" t="n"/>
      <c r="F2889" s="39" t="str">
        <f>IF(C2889="","",IFERROR(INDEX(art_unit,MATCH(C2889,art_ref,0))&amp;"",""))</f>
        <v/>
      </c>
      <c r="G2889" s="37" t="n"/>
      <c r="H2889" s="37" t="n"/>
      <c r="I2889" s="37" t="n"/>
      <c r="J2889" s="40" t="str">
        <f>IF(OR(C2889="",NOT(ISNUMBER(E2889))),"",IFERROR(E2889*N(INDEX(art_price,MATCH(C2889,art_ref,0))),""))</f>
        <v/>
      </c>
      <c r="K2889" s="39" t="str">
        <f>IF(OR(C2889="",NOT(ISNUMBER(E2889))),"",IFERROR(ROUND(N(INDEX(art_init,MATCH(C2889,art_ref,0)))+SUMIFS($E$5:E2889,$C$5:C2889,C2889,$B$5:B2889,"Entrée")-SUMIFS($E$5:E2889,$C$5:C2889,C2889,$B$5:B2889,"Sortie"),6),""))</f>
        <v/>
      </c>
      <c r="L2889" s="39" t="str">
        <f>IF(COUNTA(A2889:C2889,E2889)=0,"",IF(COUNTA(A2889:C2889,E2889)&lt;4,"Ligne incomplète",IF(NOT(ISNUMBER(A2889)),"Date invalide",IF(AND(B2889&lt;&gt;"Entrée",B2889&lt;&gt;"Sortie"),"Type inconnu",IF(ISNA(MATCH(C2889,art_ref,0)),"Référence inconnue",IF(OR(NOT(ISNUMBER(E2889)),N(E2889)&lt;=0),"Quantité invalide",IF(K2889&lt;0,"Stock négatif",IF(AND(ISNUMBER(A2888),A2889&lt;A2888),"Date hors ordre","OK"))))))))</f>
        <v/>
      </c>
      <c r="M2889" s="39" t="str">
        <f>IF(C2889="","",C2889&amp;"#"&amp;COUNTIF($C$5:C2889,C2889))</f>
        <v/>
      </c>
    </row>
    <row r="2890">
      <c r="A2890" s="41" t="n"/>
      <c r="B2890" s="37" t="n"/>
      <c r="C2890" s="37" t="n"/>
      <c r="D2890" s="39" t="str">
        <f>IF(C2890="","",IFERROR(INDEX(art_des,MATCH(C2890,art_ref,0))&amp;"","Référence inconnue"))</f>
        <v/>
      </c>
      <c r="E2890" s="37" t="n"/>
      <c r="F2890" s="39" t="str">
        <f>IF(C2890="","",IFERROR(INDEX(art_unit,MATCH(C2890,art_ref,0))&amp;"",""))</f>
        <v/>
      </c>
      <c r="G2890" s="37" t="n"/>
      <c r="H2890" s="37" t="n"/>
      <c r="I2890" s="37" t="n"/>
      <c r="J2890" s="40" t="str">
        <f>IF(OR(C2890="",NOT(ISNUMBER(E2890))),"",IFERROR(E2890*N(INDEX(art_price,MATCH(C2890,art_ref,0))),""))</f>
        <v/>
      </c>
      <c r="K2890" s="39" t="str">
        <f>IF(OR(C2890="",NOT(ISNUMBER(E2890))),"",IFERROR(ROUND(N(INDEX(art_init,MATCH(C2890,art_ref,0)))+SUMIFS($E$5:E2890,$C$5:C2890,C2890,$B$5:B2890,"Entrée")-SUMIFS($E$5:E2890,$C$5:C2890,C2890,$B$5:B2890,"Sortie"),6),""))</f>
        <v/>
      </c>
      <c r="L2890" s="39" t="str">
        <f>IF(COUNTA(A2890:C2890,E2890)=0,"",IF(COUNTA(A2890:C2890,E2890)&lt;4,"Ligne incomplète",IF(NOT(ISNUMBER(A2890)),"Date invalide",IF(AND(B2890&lt;&gt;"Entrée",B2890&lt;&gt;"Sortie"),"Type inconnu",IF(ISNA(MATCH(C2890,art_ref,0)),"Référence inconnue",IF(OR(NOT(ISNUMBER(E2890)),N(E2890)&lt;=0),"Quantité invalide",IF(K2890&lt;0,"Stock négatif",IF(AND(ISNUMBER(A2889),A2890&lt;A2889),"Date hors ordre","OK"))))))))</f>
        <v/>
      </c>
      <c r="M2890" s="39" t="str">
        <f>IF(C2890="","",C2890&amp;"#"&amp;COUNTIF($C$5:C2890,C2890))</f>
        <v/>
      </c>
    </row>
    <row r="2891">
      <c r="A2891" s="41" t="n"/>
      <c r="B2891" s="37" t="n"/>
      <c r="C2891" s="37" t="n"/>
      <c r="D2891" s="39" t="str">
        <f>IF(C2891="","",IFERROR(INDEX(art_des,MATCH(C2891,art_ref,0))&amp;"","Référence inconnue"))</f>
        <v/>
      </c>
      <c r="E2891" s="37" t="n"/>
      <c r="F2891" s="39" t="str">
        <f>IF(C2891="","",IFERROR(INDEX(art_unit,MATCH(C2891,art_ref,0))&amp;"",""))</f>
        <v/>
      </c>
      <c r="G2891" s="37" t="n"/>
      <c r="H2891" s="37" t="n"/>
      <c r="I2891" s="37" t="n"/>
      <c r="J2891" s="40" t="str">
        <f>IF(OR(C2891="",NOT(ISNUMBER(E2891))),"",IFERROR(E2891*N(INDEX(art_price,MATCH(C2891,art_ref,0))),""))</f>
        <v/>
      </c>
      <c r="K2891" s="39" t="str">
        <f>IF(OR(C2891="",NOT(ISNUMBER(E2891))),"",IFERROR(ROUND(N(INDEX(art_init,MATCH(C2891,art_ref,0)))+SUMIFS($E$5:E2891,$C$5:C2891,C2891,$B$5:B2891,"Entrée")-SUMIFS($E$5:E2891,$C$5:C2891,C2891,$B$5:B2891,"Sortie"),6),""))</f>
        <v/>
      </c>
      <c r="L2891" s="39" t="str">
        <f>IF(COUNTA(A2891:C2891,E2891)=0,"",IF(COUNTA(A2891:C2891,E2891)&lt;4,"Ligne incomplète",IF(NOT(ISNUMBER(A2891)),"Date invalide",IF(AND(B2891&lt;&gt;"Entrée",B2891&lt;&gt;"Sortie"),"Type inconnu",IF(ISNA(MATCH(C2891,art_ref,0)),"Référence inconnue",IF(OR(NOT(ISNUMBER(E2891)),N(E2891)&lt;=0),"Quantité invalide",IF(K2891&lt;0,"Stock négatif",IF(AND(ISNUMBER(A2890),A2891&lt;A2890),"Date hors ordre","OK"))))))))</f>
        <v/>
      </c>
      <c r="M2891" s="39" t="str">
        <f>IF(C2891="","",C2891&amp;"#"&amp;COUNTIF($C$5:C2891,C2891))</f>
        <v/>
      </c>
    </row>
    <row r="2892">
      <c r="A2892" s="41" t="n"/>
      <c r="B2892" s="37" t="n"/>
      <c r="C2892" s="37" t="n"/>
      <c r="D2892" s="39" t="str">
        <f>IF(C2892="","",IFERROR(INDEX(art_des,MATCH(C2892,art_ref,0))&amp;"","Référence inconnue"))</f>
        <v/>
      </c>
      <c r="E2892" s="37" t="n"/>
      <c r="F2892" s="39" t="str">
        <f>IF(C2892="","",IFERROR(INDEX(art_unit,MATCH(C2892,art_ref,0))&amp;"",""))</f>
        <v/>
      </c>
      <c r="G2892" s="37" t="n"/>
      <c r="H2892" s="37" t="n"/>
      <c r="I2892" s="37" t="n"/>
      <c r="J2892" s="40" t="str">
        <f>IF(OR(C2892="",NOT(ISNUMBER(E2892))),"",IFERROR(E2892*N(INDEX(art_price,MATCH(C2892,art_ref,0))),""))</f>
        <v/>
      </c>
      <c r="K2892" s="39" t="str">
        <f>IF(OR(C2892="",NOT(ISNUMBER(E2892))),"",IFERROR(ROUND(N(INDEX(art_init,MATCH(C2892,art_ref,0)))+SUMIFS($E$5:E2892,$C$5:C2892,C2892,$B$5:B2892,"Entrée")-SUMIFS($E$5:E2892,$C$5:C2892,C2892,$B$5:B2892,"Sortie"),6),""))</f>
        <v/>
      </c>
      <c r="L2892" s="39" t="str">
        <f>IF(COUNTA(A2892:C2892,E2892)=0,"",IF(COUNTA(A2892:C2892,E2892)&lt;4,"Ligne incomplète",IF(NOT(ISNUMBER(A2892)),"Date invalide",IF(AND(B2892&lt;&gt;"Entrée",B2892&lt;&gt;"Sortie"),"Type inconnu",IF(ISNA(MATCH(C2892,art_ref,0)),"Référence inconnue",IF(OR(NOT(ISNUMBER(E2892)),N(E2892)&lt;=0),"Quantité invalide",IF(K2892&lt;0,"Stock négatif",IF(AND(ISNUMBER(A2891),A2892&lt;A2891),"Date hors ordre","OK"))))))))</f>
        <v/>
      </c>
      <c r="M2892" s="39" t="str">
        <f>IF(C2892="","",C2892&amp;"#"&amp;COUNTIF($C$5:C2892,C2892))</f>
        <v/>
      </c>
    </row>
    <row r="2893">
      <c r="A2893" s="41" t="n"/>
      <c r="B2893" s="37" t="n"/>
      <c r="C2893" s="37" t="n"/>
      <c r="D2893" s="39" t="str">
        <f>IF(C2893="","",IFERROR(INDEX(art_des,MATCH(C2893,art_ref,0))&amp;"","Référence inconnue"))</f>
        <v/>
      </c>
      <c r="E2893" s="37" t="n"/>
      <c r="F2893" s="39" t="str">
        <f>IF(C2893="","",IFERROR(INDEX(art_unit,MATCH(C2893,art_ref,0))&amp;"",""))</f>
        <v/>
      </c>
      <c r="G2893" s="37" t="n"/>
      <c r="H2893" s="37" t="n"/>
      <c r="I2893" s="37" t="n"/>
      <c r="J2893" s="40" t="str">
        <f>IF(OR(C2893="",NOT(ISNUMBER(E2893))),"",IFERROR(E2893*N(INDEX(art_price,MATCH(C2893,art_ref,0))),""))</f>
        <v/>
      </c>
      <c r="K2893" s="39" t="str">
        <f>IF(OR(C2893="",NOT(ISNUMBER(E2893))),"",IFERROR(ROUND(N(INDEX(art_init,MATCH(C2893,art_ref,0)))+SUMIFS($E$5:E2893,$C$5:C2893,C2893,$B$5:B2893,"Entrée")-SUMIFS($E$5:E2893,$C$5:C2893,C2893,$B$5:B2893,"Sortie"),6),""))</f>
        <v/>
      </c>
      <c r="L2893" s="39" t="str">
        <f>IF(COUNTA(A2893:C2893,E2893)=0,"",IF(COUNTA(A2893:C2893,E2893)&lt;4,"Ligne incomplète",IF(NOT(ISNUMBER(A2893)),"Date invalide",IF(AND(B2893&lt;&gt;"Entrée",B2893&lt;&gt;"Sortie"),"Type inconnu",IF(ISNA(MATCH(C2893,art_ref,0)),"Référence inconnue",IF(OR(NOT(ISNUMBER(E2893)),N(E2893)&lt;=0),"Quantité invalide",IF(K2893&lt;0,"Stock négatif",IF(AND(ISNUMBER(A2892),A2893&lt;A2892),"Date hors ordre","OK"))))))))</f>
        <v/>
      </c>
      <c r="M2893" s="39" t="str">
        <f>IF(C2893="","",C2893&amp;"#"&amp;COUNTIF($C$5:C2893,C2893))</f>
        <v/>
      </c>
    </row>
    <row r="2894">
      <c r="A2894" s="41" t="n"/>
      <c r="B2894" s="37" t="n"/>
      <c r="C2894" s="37" t="n"/>
      <c r="D2894" s="39" t="str">
        <f>IF(C2894="","",IFERROR(INDEX(art_des,MATCH(C2894,art_ref,0))&amp;"","Référence inconnue"))</f>
        <v/>
      </c>
      <c r="E2894" s="37" t="n"/>
      <c r="F2894" s="39" t="str">
        <f>IF(C2894="","",IFERROR(INDEX(art_unit,MATCH(C2894,art_ref,0))&amp;"",""))</f>
        <v/>
      </c>
      <c r="G2894" s="37" t="n"/>
      <c r="H2894" s="37" t="n"/>
      <c r="I2894" s="37" t="n"/>
      <c r="J2894" s="40" t="str">
        <f>IF(OR(C2894="",NOT(ISNUMBER(E2894))),"",IFERROR(E2894*N(INDEX(art_price,MATCH(C2894,art_ref,0))),""))</f>
        <v/>
      </c>
      <c r="K2894" s="39" t="str">
        <f>IF(OR(C2894="",NOT(ISNUMBER(E2894))),"",IFERROR(ROUND(N(INDEX(art_init,MATCH(C2894,art_ref,0)))+SUMIFS($E$5:E2894,$C$5:C2894,C2894,$B$5:B2894,"Entrée")-SUMIFS($E$5:E2894,$C$5:C2894,C2894,$B$5:B2894,"Sortie"),6),""))</f>
        <v/>
      </c>
      <c r="L2894" s="39" t="str">
        <f>IF(COUNTA(A2894:C2894,E2894)=0,"",IF(COUNTA(A2894:C2894,E2894)&lt;4,"Ligne incomplète",IF(NOT(ISNUMBER(A2894)),"Date invalide",IF(AND(B2894&lt;&gt;"Entrée",B2894&lt;&gt;"Sortie"),"Type inconnu",IF(ISNA(MATCH(C2894,art_ref,0)),"Référence inconnue",IF(OR(NOT(ISNUMBER(E2894)),N(E2894)&lt;=0),"Quantité invalide",IF(K2894&lt;0,"Stock négatif",IF(AND(ISNUMBER(A2893),A2894&lt;A2893),"Date hors ordre","OK"))))))))</f>
        <v/>
      </c>
      <c r="M2894" s="39" t="str">
        <f>IF(C2894="","",C2894&amp;"#"&amp;COUNTIF($C$5:C2894,C2894))</f>
        <v/>
      </c>
    </row>
    <row r="2895">
      <c r="A2895" s="41" t="n"/>
      <c r="B2895" s="37" t="n"/>
      <c r="C2895" s="37" t="n"/>
      <c r="D2895" s="39" t="str">
        <f>IF(C2895="","",IFERROR(INDEX(art_des,MATCH(C2895,art_ref,0))&amp;"","Référence inconnue"))</f>
        <v/>
      </c>
      <c r="E2895" s="37" t="n"/>
      <c r="F2895" s="39" t="str">
        <f>IF(C2895="","",IFERROR(INDEX(art_unit,MATCH(C2895,art_ref,0))&amp;"",""))</f>
        <v/>
      </c>
      <c r="G2895" s="37" t="n"/>
      <c r="H2895" s="37" t="n"/>
      <c r="I2895" s="37" t="n"/>
      <c r="J2895" s="40" t="str">
        <f>IF(OR(C2895="",NOT(ISNUMBER(E2895))),"",IFERROR(E2895*N(INDEX(art_price,MATCH(C2895,art_ref,0))),""))</f>
        <v/>
      </c>
      <c r="K2895" s="39" t="str">
        <f>IF(OR(C2895="",NOT(ISNUMBER(E2895))),"",IFERROR(ROUND(N(INDEX(art_init,MATCH(C2895,art_ref,0)))+SUMIFS($E$5:E2895,$C$5:C2895,C2895,$B$5:B2895,"Entrée")-SUMIFS($E$5:E2895,$C$5:C2895,C2895,$B$5:B2895,"Sortie"),6),""))</f>
        <v/>
      </c>
      <c r="L2895" s="39" t="str">
        <f>IF(COUNTA(A2895:C2895,E2895)=0,"",IF(COUNTA(A2895:C2895,E2895)&lt;4,"Ligne incomplète",IF(NOT(ISNUMBER(A2895)),"Date invalide",IF(AND(B2895&lt;&gt;"Entrée",B2895&lt;&gt;"Sortie"),"Type inconnu",IF(ISNA(MATCH(C2895,art_ref,0)),"Référence inconnue",IF(OR(NOT(ISNUMBER(E2895)),N(E2895)&lt;=0),"Quantité invalide",IF(K2895&lt;0,"Stock négatif",IF(AND(ISNUMBER(A2894),A2895&lt;A2894),"Date hors ordre","OK"))))))))</f>
        <v/>
      </c>
      <c r="M2895" s="39" t="str">
        <f>IF(C2895="","",C2895&amp;"#"&amp;COUNTIF($C$5:C2895,C2895))</f>
        <v/>
      </c>
    </row>
    <row r="2896">
      <c r="A2896" s="41" t="n"/>
      <c r="B2896" s="37" t="n"/>
      <c r="C2896" s="37" t="n"/>
      <c r="D2896" s="39" t="str">
        <f>IF(C2896="","",IFERROR(INDEX(art_des,MATCH(C2896,art_ref,0))&amp;"","Référence inconnue"))</f>
        <v/>
      </c>
      <c r="E2896" s="37" t="n"/>
      <c r="F2896" s="39" t="str">
        <f>IF(C2896="","",IFERROR(INDEX(art_unit,MATCH(C2896,art_ref,0))&amp;"",""))</f>
        <v/>
      </c>
      <c r="G2896" s="37" t="n"/>
      <c r="H2896" s="37" t="n"/>
      <c r="I2896" s="37" t="n"/>
      <c r="J2896" s="40" t="str">
        <f>IF(OR(C2896="",NOT(ISNUMBER(E2896))),"",IFERROR(E2896*N(INDEX(art_price,MATCH(C2896,art_ref,0))),""))</f>
        <v/>
      </c>
      <c r="K2896" s="39" t="str">
        <f>IF(OR(C2896="",NOT(ISNUMBER(E2896))),"",IFERROR(ROUND(N(INDEX(art_init,MATCH(C2896,art_ref,0)))+SUMIFS($E$5:E2896,$C$5:C2896,C2896,$B$5:B2896,"Entrée")-SUMIFS($E$5:E2896,$C$5:C2896,C2896,$B$5:B2896,"Sortie"),6),""))</f>
        <v/>
      </c>
      <c r="L2896" s="39" t="str">
        <f>IF(COUNTA(A2896:C2896,E2896)=0,"",IF(COUNTA(A2896:C2896,E2896)&lt;4,"Ligne incomplète",IF(NOT(ISNUMBER(A2896)),"Date invalide",IF(AND(B2896&lt;&gt;"Entrée",B2896&lt;&gt;"Sortie"),"Type inconnu",IF(ISNA(MATCH(C2896,art_ref,0)),"Référence inconnue",IF(OR(NOT(ISNUMBER(E2896)),N(E2896)&lt;=0),"Quantité invalide",IF(K2896&lt;0,"Stock négatif",IF(AND(ISNUMBER(A2895),A2896&lt;A2895),"Date hors ordre","OK"))))))))</f>
        <v/>
      </c>
      <c r="M2896" s="39" t="str">
        <f>IF(C2896="","",C2896&amp;"#"&amp;COUNTIF($C$5:C2896,C2896))</f>
        <v/>
      </c>
    </row>
    <row r="2897">
      <c r="A2897" s="41" t="n"/>
      <c r="B2897" s="37" t="n"/>
      <c r="C2897" s="37" t="n"/>
      <c r="D2897" s="39" t="str">
        <f>IF(C2897="","",IFERROR(INDEX(art_des,MATCH(C2897,art_ref,0))&amp;"","Référence inconnue"))</f>
        <v/>
      </c>
      <c r="E2897" s="37" t="n"/>
      <c r="F2897" s="39" t="str">
        <f>IF(C2897="","",IFERROR(INDEX(art_unit,MATCH(C2897,art_ref,0))&amp;"",""))</f>
        <v/>
      </c>
      <c r="G2897" s="37" t="n"/>
      <c r="H2897" s="37" t="n"/>
      <c r="I2897" s="37" t="n"/>
      <c r="J2897" s="40" t="str">
        <f>IF(OR(C2897="",NOT(ISNUMBER(E2897))),"",IFERROR(E2897*N(INDEX(art_price,MATCH(C2897,art_ref,0))),""))</f>
        <v/>
      </c>
      <c r="K2897" s="39" t="str">
        <f>IF(OR(C2897="",NOT(ISNUMBER(E2897))),"",IFERROR(ROUND(N(INDEX(art_init,MATCH(C2897,art_ref,0)))+SUMIFS($E$5:E2897,$C$5:C2897,C2897,$B$5:B2897,"Entrée")-SUMIFS($E$5:E2897,$C$5:C2897,C2897,$B$5:B2897,"Sortie"),6),""))</f>
        <v/>
      </c>
      <c r="L2897" s="39" t="str">
        <f>IF(COUNTA(A2897:C2897,E2897)=0,"",IF(COUNTA(A2897:C2897,E2897)&lt;4,"Ligne incomplète",IF(NOT(ISNUMBER(A2897)),"Date invalide",IF(AND(B2897&lt;&gt;"Entrée",B2897&lt;&gt;"Sortie"),"Type inconnu",IF(ISNA(MATCH(C2897,art_ref,0)),"Référence inconnue",IF(OR(NOT(ISNUMBER(E2897)),N(E2897)&lt;=0),"Quantité invalide",IF(K2897&lt;0,"Stock négatif",IF(AND(ISNUMBER(A2896),A2897&lt;A2896),"Date hors ordre","OK"))))))))</f>
        <v/>
      </c>
      <c r="M2897" s="39" t="str">
        <f>IF(C2897="","",C2897&amp;"#"&amp;COUNTIF($C$5:C2897,C2897))</f>
        <v/>
      </c>
    </row>
    <row r="2898">
      <c r="A2898" s="41" t="n"/>
      <c r="B2898" s="37" t="n"/>
      <c r="C2898" s="37" t="n"/>
      <c r="D2898" s="39" t="str">
        <f>IF(C2898="","",IFERROR(INDEX(art_des,MATCH(C2898,art_ref,0))&amp;"","Référence inconnue"))</f>
        <v/>
      </c>
      <c r="E2898" s="37" t="n"/>
      <c r="F2898" s="39" t="str">
        <f>IF(C2898="","",IFERROR(INDEX(art_unit,MATCH(C2898,art_ref,0))&amp;"",""))</f>
        <v/>
      </c>
      <c r="G2898" s="37" t="n"/>
      <c r="H2898" s="37" t="n"/>
      <c r="I2898" s="37" t="n"/>
      <c r="J2898" s="40" t="str">
        <f>IF(OR(C2898="",NOT(ISNUMBER(E2898))),"",IFERROR(E2898*N(INDEX(art_price,MATCH(C2898,art_ref,0))),""))</f>
        <v/>
      </c>
      <c r="K2898" s="39" t="str">
        <f>IF(OR(C2898="",NOT(ISNUMBER(E2898))),"",IFERROR(ROUND(N(INDEX(art_init,MATCH(C2898,art_ref,0)))+SUMIFS($E$5:E2898,$C$5:C2898,C2898,$B$5:B2898,"Entrée")-SUMIFS($E$5:E2898,$C$5:C2898,C2898,$B$5:B2898,"Sortie"),6),""))</f>
        <v/>
      </c>
      <c r="L2898" s="39" t="str">
        <f>IF(COUNTA(A2898:C2898,E2898)=0,"",IF(COUNTA(A2898:C2898,E2898)&lt;4,"Ligne incomplète",IF(NOT(ISNUMBER(A2898)),"Date invalide",IF(AND(B2898&lt;&gt;"Entrée",B2898&lt;&gt;"Sortie"),"Type inconnu",IF(ISNA(MATCH(C2898,art_ref,0)),"Référence inconnue",IF(OR(NOT(ISNUMBER(E2898)),N(E2898)&lt;=0),"Quantité invalide",IF(K2898&lt;0,"Stock négatif",IF(AND(ISNUMBER(A2897),A2898&lt;A2897),"Date hors ordre","OK"))))))))</f>
        <v/>
      </c>
      <c r="M2898" s="39" t="str">
        <f>IF(C2898="","",C2898&amp;"#"&amp;COUNTIF($C$5:C2898,C2898))</f>
        <v/>
      </c>
    </row>
    <row r="2899">
      <c r="A2899" s="41" t="n"/>
      <c r="B2899" s="37" t="n"/>
      <c r="C2899" s="37" t="n"/>
      <c r="D2899" s="39" t="str">
        <f>IF(C2899="","",IFERROR(INDEX(art_des,MATCH(C2899,art_ref,0))&amp;"","Référence inconnue"))</f>
        <v/>
      </c>
      <c r="E2899" s="37" t="n"/>
      <c r="F2899" s="39" t="str">
        <f>IF(C2899="","",IFERROR(INDEX(art_unit,MATCH(C2899,art_ref,0))&amp;"",""))</f>
        <v/>
      </c>
      <c r="G2899" s="37" t="n"/>
      <c r="H2899" s="37" t="n"/>
      <c r="I2899" s="37" t="n"/>
      <c r="J2899" s="40" t="str">
        <f>IF(OR(C2899="",NOT(ISNUMBER(E2899))),"",IFERROR(E2899*N(INDEX(art_price,MATCH(C2899,art_ref,0))),""))</f>
        <v/>
      </c>
      <c r="K2899" s="39" t="str">
        <f>IF(OR(C2899="",NOT(ISNUMBER(E2899))),"",IFERROR(ROUND(N(INDEX(art_init,MATCH(C2899,art_ref,0)))+SUMIFS($E$5:E2899,$C$5:C2899,C2899,$B$5:B2899,"Entrée")-SUMIFS($E$5:E2899,$C$5:C2899,C2899,$B$5:B2899,"Sortie"),6),""))</f>
        <v/>
      </c>
      <c r="L2899" s="39" t="str">
        <f>IF(COUNTA(A2899:C2899,E2899)=0,"",IF(COUNTA(A2899:C2899,E2899)&lt;4,"Ligne incomplète",IF(NOT(ISNUMBER(A2899)),"Date invalide",IF(AND(B2899&lt;&gt;"Entrée",B2899&lt;&gt;"Sortie"),"Type inconnu",IF(ISNA(MATCH(C2899,art_ref,0)),"Référence inconnue",IF(OR(NOT(ISNUMBER(E2899)),N(E2899)&lt;=0),"Quantité invalide",IF(K2899&lt;0,"Stock négatif",IF(AND(ISNUMBER(A2898),A2899&lt;A2898),"Date hors ordre","OK"))))))))</f>
        <v/>
      </c>
      <c r="M2899" s="39" t="str">
        <f>IF(C2899="","",C2899&amp;"#"&amp;COUNTIF($C$5:C2899,C2899))</f>
        <v/>
      </c>
    </row>
    <row r="2900">
      <c r="A2900" s="41" t="n"/>
      <c r="B2900" s="37" t="n"/>
      <c r="C2900" s="37" t="n"/>
      <c r="D2900" s="39" t="str">
        <f>IF(C2900="","",IFERROR(INDEX(art_des,MATCH(C2900,art_ref,0))&amp;"","Référence inconnue"))</f>
        <v/>
      </c>
      <c r="E2900" s="37" t="n"/>
      <c r="F2900" s="39" t="str">
        <f>IF(C2900="","",IFERROR(INDEX(art_unit,MATCH(C2900,art_ref,0))&amp;"",""))</f>
        <v/>
      </c>
      <c r="G2900" s="37" t="n"/>
      <c r="H2900" s="37" t="n"/>
      <c r="I2900" s="37" t="n"/>
      <c r="J2900" s="40" t="str">
        <f>IF(OR(C2900="",NOT(ISNUMBER(E2900))),"",IFERROR(E2900*N(INDEX(art_price,MATCH(C2900,art_ref,0))),""))</f>
        <v/>
      </c>
      <c r="K2900" s="39" t="str">
        <f>IF(OR(C2900="",NOT(ISNUMBER(E2900))),"",IFERROR(ROUND(N(INDEX(art_init,MATCH(C2900,art_ref,0)))+SUMIFS($E$5:E2900,$C$5:C2900,C2900,$B$5:B2900,"Entrée")-SUMIFS($E$5:E2900,$C$5:C2900,C2900,$B$5:B2900,"Sortie"),6),""))</f>
        <v/>
      </c>
      <c r="L2900" s="39" t="str">
        <f>IF(COUNTA(A2900:C2900,E2900)=0,"",IF(COUNTA(A2900:C2900,E2900)&lt;4,"Ligne incomplète",IF(NOT(ISNUMBER(A2900)),"Date invalide",IF(AND(B2900&lt;&gt;"Entrée",B2900&lt;&gt;"Sortie"),"Type inconnu",IF(ISNA(MATCH(C2900,art_ref,0)),"Référence inconnue",IF(OR(NOT(ISNUMBER(E2900)),N(E2900)&lt;=0),"Quantité invalide",IF(K2900&lt;0,"Stock négatif",IF(AND(ISNUMBER(A2899),A2900&lt;A2899),"Date hors ordre","OK"))))))))</f>
        <v/>
      </c>
      <c r="M2900" s="39" t="str">
        <f>IF(C2900="","",C2900&amp;"#"&amp;COUNTIF($C$5:C2900,C2900))</f>
        <v/>
      </c>
    </row>
    <row r="2901">
      <c r="A2901" s="41" t="n"/>
      <c r="B2901" s="37" t="n"/>
      <c r="C2901" s="37" t="n"/>
      <c r="D2901" s="39" t="str">
        <f>IF(C2901="","",IFERROR(INDEX(art_des,MATCH(C2901,art_ref,0))&amp;"","Référence inconnue"))</f>
        <v/>
      </c>
      <c r="E2901" s="37" t="n"/>
      <c r="F2901" s="39" t="str">
        <f>IF(C2901="","",IFERROR(INDEX(art_unit,MATCH(C2901,art_ref,0))&amp;"",""))</f>
        <v/>
      </c>
      <c r="G2901" s="37" t="n"/>
      <c r="H2901" s="37" t="n"/>
      <c r="I2901" s="37" t="n"/>
      <c r="J2901" s="40" t="str">
        <f>IF(OR(C2901="",NOT(ISNUMBER(E2901))),"",IFERROR(E2901*N(INDEX(art_price,MATCH(C2901,art_ref,0))),""))</f>
        <v/>
      </c>
      <c r="K2901" s="39" t="str">
        <f>IF(OR(C2901="",NOT(ISNUMBER(E2901))),"",IFERROR(ROUND(N(INDEX(art_init,MATCH(C2901,art_ref,0)))+SUMIFS($E$5:E2901,$C$5:C2901,C2901,$B$5:B2901,"Entrée")-SUMIFS($E$5:E2901,$C$5:C2901,C2901,$B$5:B2901,"Sortie"),6),""))</f>
        <v/>
      </c>
      <c r="L2901" s="39" t="str">
        <f>IF(COUNTA(A2901:C2901,E2901)=0,"",IF(COUNTA(A2901:C2901,E2901)&lt;4,"Ligne incomplète",IF(NOT(ISNUMBER(A2901)),"Date invalide",IF(AND(B2901&lt;&gt;"Entrée",B2901&lt;&gt;"Sortie"),"Type inconnu",IF(ISNA(MATCH(C2901,art_ref,0)),"Référence inconnue",IF(OR(NOT(ISNUMBER(E2901)),N(E2901)&lt;=0),"Quantité invalide",IF(K2901&lt;0,"Stock négatif",IF(AND(ISNUMBER(A2900),A2901&lt;A2900),"Date hors ordre","OK"))))))))</f>
        <v/>
      </c>
      <c r="M2901" s="39" t="str">
        <f>IF(C2901="","",C2901&amp;"#"&amp;COUNTIF($C$5:C2901,C2901))</f>
        <v/>
      </c>
    </row>
    <row r="2902">
      <c r="A2902" s="41" t="n"/>
      <c r="B2902" s="37" t="n"/>
      <c r="C2902" s="37" t="n"/>
      <c r="D2902" s="39" t="str">
        <f>IF(C2902="","",IFERROR(INDEX(art_des,MATCH(C2902,art_ref,0))&amp;"","Référence inconnue"))</f>
        <v/>
      </c>
      <c r="E2902" s="37" t="n"/>
      <c r="F2902" s="39" t="str">
        <f>IF(C2902="","",IFERROR(INDEX(art_unit,MATCH(C2902,art_ref,0))&amp;"",""))</f>
        <v/>
      </c>
      <c r="G2902" s="37" t="n"/>
      <c r="H2902" s="37" t="n"/>
      <c r="I2902" s="37" t="n"/>
      <c r="J2902" s="40" t="str">
        <f>IF(OR(C2902="",NOT(ISNUMBER(E2902))),"",IFERROR(E2902*N(INDEX(art_price,MATCH(C2902,art_ref,0))),""))</f>
        <v/>
      </c>
      <c r="K2902" s="39" t="str">
        <f>IF(OR(C2902="",NOT(ISNUMBER(E2902))),"",IFERROR(ROUND(N(INDEX(art_init,MATCH(C2902,art_ref,0)))+SUMIFS($E$5:E2902,$C$5:C2902,C2902,$B$5:B2902,"Entrée")-SUMIFS($E$5:E2902,$C$5:C2902,C2902,$B$5:B2902,"Sortie"),6),""))</f>
        <v/>
      </c>
      <c r="L2902" s="39" t="str">
        <f>IF(COUNTA(A2902:C2902,E2902)=0,"",IF(COUNTA(A2902:C2902,E2902)&lt;4,"Ligne incomplète",IF(NOT(ISNUMBER(A2902)),"Date invalide",IF(AND(B2902&lt;&gt;"Entrée",B2902&lt;&gt;"Sortie"),"Type inconnu",IF(ISNA(MATCH(C2902,art_ref,0)),"Référence inconnue",IF(OR(NOT(ISNUMBER(E2902)),N(E2902)&lt;=0),"Quantité invalide",IF(K2902&lt;0,"Stock négatif",IF(AND(ISNUMBER(A2901),A2902&lt;A2901),"Date hors ordre","OK"))))))))</f>
        <v/>
      </c>
      <c r="M2902" s="39" t="str">
        <f>IF(C2902="","",C2902&amp;"#"&amp;COUNTIF($C$5:C2902,C2902))</f>
        <v/>
      </c>
    </row>
    <row r="2903">
      <c r="A2903" s="41" t="n"/>
      <c r="B2903" s="37" t="n"/>
      <c r="C2903" s="37" t="n"/>
      <c r="D2903" s="39" t="str">
        <f>IF(C2903="","",IFERROR(INDEX(art_des,MATCH(C2903,art_ref,0))&amp;"","Référence inconnue"))</f>
        <v/>
      </c>
      <c r="E2903" s="37" t="n"/>
      <c r="F2903" s="39" t="str">
        <f>IF(C2903="","",IFERROR(INDEX(art_unit,MATCH(C2903,art_ref,0))&amp;"",""))</f>
        <v/>
      </c>
      <c r="G2903" s="37" t="n"/>
      <c r="H2903" s="37" t="n"/>
      <c r="I2903" s="37" t="n"/>
      <c r="J2903" s="40" t="str">
        <f>IF(OR(C2903="",NOT(ISNUMBER(E2903))),"",IFERROR(E2903*N(INDEX(art_price,MATCH(C2903,art_ref,0))),""))</f>
        <v/>
      </c>
      <c r="K2903" s="39" t="str">
        <f>IF(OR(C2903="",NOT(ISNUMBER(E2903))),"",IFERROR(ROUND(N(INDEX(art_init,MATCH(C2903,art_ref,0)))+SUMIFS($E$5:E2903,$C$5:C2903,C2903,$B$5:B2903,"Entrée")-SUMIFS($E$5:E2903,$C$5:C2903,C2903,$B$5:B2903,"Sortie"),6),""))</f>
        <v/>
      </c>
      <c r="L2903" s="39" t="str">
        <f>IF(COUNTA(A2903:C2903,E2903)=0,"",IF(COUNTA(A2903:C2903,E2903)&lt;4,"Ligne incomplète",IF(NOT(ISNUMBER(A2903)),"Date invalide",IF(AND(B2903&lt;&gt;"Entrée",B2903&lt;&gt;"Sortie"),"Type inconnu",IF(ISNA(MATCH(C2903,art_ref,0)),"Référence inconnue",IF(OR(NOT(ISNUMBER(E2903)),N(E2903)&lt;=0),"Quantité invalide",IF(K2903&lt;0,"Stock négatif",IF(AND(ISNUMBER(A2902),A2903&lt;A2902),"Date hors ordre","OK"))))))))</f>
        <v/>
      </c>
      <c r="M2903" s="39" t="str">
        <f>IF(C2903="","",C2903&amp;"#"&amp;COUNTIF($C$5:C2903,C2903))</f>
        <v/>
      </c>
    </row>
    <row r="2904">
      <c r="A2904" s="41" t="n"/>
      <c r="B2904" s="37" t="n"/>
      <c r="C2904" s="37" t="n"/>
      <c r="D2904" s="39" t="str">
        <f>IF(C2904="","",IFERROR(INDEX(art_des,MATCH(C2904,art_ref,0))&amp;"","Référence inconnue"))</f>
        <v/>
      </c>
      <c r="E2904" s="37" t="n"/>
      <c r="F2904" s="39" t="str">
        <f>IF(C2904="","",IFERROR(INDEX(art_unit,MATCH(C2904,art_ref,0))&amp;"",""))</f>
        <v/>
      </c>
      <c r="G2904" s="37" t="n"/>
      <c r="H2904" s="37" t="n"/>
      <c r="I2904" s="37" t="n"/>
      <c r="J2904" s="40" t="str">
        <f>IF(OR(C2904="",NOT(ISNUMBER(E2904))),"",IFERROR(E2904*N(INDEX(art_price,MATCH(C2904,art_ref,0))),""))</f>
        <v/>
      </c>
      <c r="K2904" s="39" t="str">
        <f>IF(OR(C2904="",NOT(ISNUMBER(E2904))),"",IFERROR(ROUND(N(INDEX(art_init,MATCH(C2904,art_ref,0)))+SUMIFS($E$5:E2904,$C$5:C2904,C2904,$B$5:B2904,"Entrée")-SUMIFS($E$5:E2904,$C$5:C2904,C2904,$B$5:B2904,"Sortie"),6),""))</f>
        <v/>
      </c>
      <c r="L2904" s="39" t="str">
        <f>IF(COUNTA(A2904:C2904,E2904)=0,"",IF(COUNTA(A2904:C2904,E2904)&lt;4,"Ligne incomplète",IF(NOT(ISNUMBER(A2904)),"Date invalide",IF(AND(B2904&lt;&gt;"Entrée",B2904&lt;&gt;"Sortie"),"Type inconnu",IF(ISNA(MATCH(C2904,art_ref,0)),"Référence inconnue",IF(OR(NOT(ISNUMBER(E2904)),N(E2904)&lt;=0),"Quantité invalide",IF(K2904&lt;0,"Stock négatif",IF(AND(ISNUMBER(A2903),A2904&lt;A2903),"Date hors ordre","OK"))))))))</f>
        <v/>
      </c>
      <c r="M2904" s="39" t="str">
        <f>IF(C2904="","",C2904&amp;"#"&amp;COUNTIF($C$5:C2904,C2904))</f>
        <v/>
      </c>
    </row>
    <row r="2905">
      <c r="A2905" s="41" t="n"/>
      <c r="B2905" s="37" t="n"/>
      <c r="C2905" s="37" t="n"/>
      <c r="D2905" s="39" t="str">
        <f>IF(C2905="","",IFERROR(INDEX(art_des,MATCH(C2905,art_ref,0))&amp;"","Référence inconnue"))</f>
        <v/>
      </c>
      <c r="E2905" s="37" t="n"/>
      <c r="F2905" s="39" t="str">
        <f>IF(C2905="","",IFERROR(INDEX(art_unit,MATCH(C2905,art_ref,0))&amp;"",""))</f>
        <v/>
      </c>
      <c r="G2905" s="37" t="n"/>
      <c r="H2905" s="37" t="n"/>
      <c r="I2905" s="37" t="n"/>
      <c r="J2905" s="40" t="str">
        <f>IF(OR(C2905="",NOT(ISNUMBER(E2905))),"",IFERROR(E2905*N(INDEX(art_price,MATCH(C2905,art_ref,0))),""))</f>
        <v/>
      </c>
      <c r="K2905" s="39" t="str">
        <f>IF(OR(C2905="",NOT(ISNUMBER(E2905))),"",IFERROR(ROUND(N(INDEX(art_init,MATCH(C2905,art_ref,0)))+SUMIFS($E$5:E2905,$C$5:C2905,C2905,$B$5:B2905,"Entrée")-SUMIFS($E$5:E2905,$C$5:C2905,C2905,$B$5:B2905,"Sortie"),6),""))</f>
        <v/>
      </c>
      <c r="L2905" s="39" t="str">
        <f>IF(COUNTA(A2905:C2905,E2905)=0,"",IF(COUNTA(A2905:C2905,E2905)&lt;4,"Ligne incomplète",IF(NOT(ISNUMBER(A2905)),"Date invalide",IF(AND(B2905&lt;&gt;"Entrée",B2905&lt;&gt;"Sortie"),"Type inconnu",IF(ISNA(MATCH(C2905,art_ref,0)),"Référence inconnue",IF(OR(NOT(ISNUMBER(E2905)),N(E2905)&lt;=0),"Quantité invalide",IF(K2905&lt;0,"Stock négatif",IF(AND(ISNUMBER(A2904),A2905&lt;A2904),"Date hors ordre","OK"))))))))</f>
        <v/>
      </c>
      <c r="M2905" s="39" t="str">
        <f>IF(C2905="","",C2905&amp;"#"&amp;COUNTIF($C$5:C2905,C2905))</f>
        <v/>
      </c>
    </row>
    <row r="2906">
      <c r="A2906" s="41" t="n"/>
      <c r="B2906" s="37" t="n"/>
      <c r="C2906" s="37" t="n"/>
      <c r="D2906" s="39" t="str">
        <f>IF(C2906="","",IFERROR(INDEX(art_des,MATCH(C2906,art_ref,0))&amp;"","Référence inconnue"))</f>
        <v/>
      </c>
      <c r="E2906" s="37" t="n"/>
      <c r="F2906" s="39" t="str">
        <f>IF(C2906="","",IFERROR(INDEX(art_unit,MATCH(C2906,art_ref,0))&amp;"",""))</f>
        <v/>
      </c>
      <c r="G2906" s="37" t="n"/>
      <c r="H2906" s="37" t="n"/>
      <c r="I2906" s="37" t="n"/>
      <c r="J2906" s="40" t="str">
        <f>IF(OR(C2906="",NOT(ISNUMBER(E2906))),"",IFERROR(E2906*N(INDEX(art_price,MATCH(C2906,art_ref,0))),""))</f>
        <v/>
      </c>
      <c r="K2906" s="39" t="str">
        <f>IF(OR(C2906="",NOT(ISNUMBER(E2906))),"",IFERROR(ROUND(N(INDEX(art_init,MATCH(C2906,art_ref,0)))+SUMIFS($E$5:E2906,$C$5:C2906,C2906,$B$5:B2906,"Entrée")-SUMIFS($E$5:E2906,$C$5:C2906,C2906,$B$5:B2906,"Sortie"),6),""))</f>
        <v/>
      </c>
      <c r="L2906" s="39" t="str">
        <f>IF(COUNTA(A2906:C2906,E2906)=0,"",IF(COUNTA(A2906:C2906,E2906)&lt;4,"Ligne incomplète",IF(NOT(ISNUMBER(A2906)),"Date invalide",IF(AND(B2906&lt;&gt;"Entrée",B2906&lt;&gt;"Sortie"),"Type inconnu",IF(ISNA(MATCH(C2906,art_ref,0)),"Référence inconnue",IF(OR(NOT(ISNUMBER(E2906)),N(E2906)&lt;=0),"Quantité invalide",IF(K2906&lt;0,"Stock négatif",IF(AND(ISNUMBER(A2905),A2906&lt;A2905),"Date hors ordre","OK"))))))))</f>
        <v/>
      </c>
      <c r="M2906" s="39" t="str">
        <f>IF(C2906="","",C2906&amp;"#"&amp;COUNTIF($C$5:C2906,C2906))</f>
        <v/>
      </c>
    </row>
    <row r="2907">
      <c r="A2907" s="41" t="n"/>
      <c r="B2907" s="37" t="n"/>
      <c r="C2907" s="37" t="n"/>
      <c r="D2907" s="39" t="str">
        <f>IF(C2907="","",IFERROR(INDEX(art_des,MATCH(C2907,art_ref,0))&amp;"","Référence inconnue"))</f>
        <v/>
      </c>
      <c r="E2907" s="37" t="n"/>
      <c r="F2907" s="39" t="str">
        <f>IF(C2907="","",IFERROR(INDEX(art_unit,MATCH(C2907,art_ref,0))&amp;"",""))</f>
        <v/>
      </c>
      <c r="G2907" s="37" t="n"/>
      <c r="H2907" s="37" t="n"/>
      <c r="I2907" s="37" t="n"/>
      <c r="J2907" s="40" t="str">
        <f>IF(OR(C2907="",NOT(ISNUMBER(E2907))),"",IFERROR(E2907*N(INDEX(art_price,MATCH(C2907,art_ref,0))),""))</f>
        <v/>
      </c>
      <c r="K2907" s="39" t="str">
        <f>IF(OR(C2907="",NOT(ISNUMBER(E2907))),"",IFERROR(ROUND(N(INDEX(art_init,MATCH(C2907,art_ref,0)))+SUMIFS($E$5:E2907,$C$5:C2907,C2907,$B$5:B2907,"Entrée")-SUMIFS($E$5:E2907,$C$5:C2907,C2907,$B$5:B2907,"Sortie"),6),""))</f>
        <v/>
      </c>
      <c r="L2907" s="39" t="str">
        <f>IF(COUNTA(A2907:C2907,E2907)=0,"",IF(COUNTA(A2907:C2907,E2907)&lt;4,"Ligne incomplète",IF(NOT(ISNUMBER(A2907)),"Date invalide",IF(AND(B2907&lt;&gt;"Entrée",B2907&lt;&gt;"Sortie"),"Type inconnu",IF(ISNA(MATCH(C2907,art_ref,0)),"Référence inconnue",IF(OR(NOT(ISNUMBER(E2907)),N(E2907)&lt;=0),"Quantité invalide",IF(K2907&lt;0,"Stock négatif",IF(AND(ISNUMBER(A2906),A2907&lt;A2906),"Date hors ordre","OK"))))))))</f>
        <v/>
      </c>
      <c r="M2907" s="39" t="str">
        <f>IF(C2907="","",C2907&amp;"#"&amp;COUNTIF($C$5:C2907,C2907))</f>
        <v/>
      </c>
    </row>
    <row r="2908">
      <c r="A2908" s="41" t="n"/>
      <c r="B2908" s="37" t="n"/>
      <c r="C2908" s="37" t="n"/>
      <c r="D2908" s="39" t="str">
        <f>IF(C2908="","",IFERROR(INDEX(art_des,MATCH(C2908,art_ref,0))&amp;"","Référence inconnue"))</f>
        <v/>
      </c>
      <c r="E2908" s="37" t="n"/>
      <c r="F2908" s="39" t="str">
        <f>IF(C2908="","",IFERROR(INDEX(art_unit,MATCH(C2908,art_ref,0))&amp;"",""))</f>
        <v/>
      </c>
      <c r="G2908" s="37" t="n"/>
      <c r="H2908" s="37" t="n"/>
      <c r="I2908" s="37" t="n"/>
      <c r="J2908" s="40" t="str">
        <f>IF(OR(C2908="",NOT(ISNUMBER(E2908))),"",IFERROR(E2908*N(INDEX(art_price,MATCH(C2908,art_ref,0))),""))</f>
        <v/>
      </c>
      <c r="K2908" s="39" t="str">
        <f>IF(OR(C2908="",NOT(ISNUMBER(E2908))),"",IFERROR(ROUND(N(INDEX(art_init,MATCH(C2908,art_ref,0)))+SUMIFS($E$5:E2908,$C$5:C2908,C2908,$B$5:B2908,"Entrée")-SUMIFS($E$5:E2908,$C$5:C2908,C2908,$B$5:B2908,"Sortie"),6),""))</f>
        <v/>
      </c>
      <c r="L2908" s="39" t="str">
        <f>IF(COUNTA(A2908:C2908,E2908)=0,"",IF(COUNTA(A2908:C2908,E2908)&lt;4,"Ligne incomplète",IF(NOT(ISNUMBER(A2908)),"Date invalide",IF(AND(B2908&lt;&gt;"Entrée",B2908&lt;&gt;"Sortie"),"Type inconnu",IF(ISNA(MATCH(C2908,art_ref,0)),"Référence inconnue",IF(OR(NOT(ISNUMBER(E2908)),N(E2908)&lt;=0),"Quantité invalide",IF(K2908&lt;0,"Stock négatif",IF(AND(ISNUMBER(A2907),A2908&lt;A2907),"Date hors ordre","OK"))))))))</f>
        <v/>
      </c>
      <c r="M2908" s="39" t="str">
        <f>IF(C2908="","",C2908&amp;"#"&amp;COUNTIF($C$5:C2908,C2908))</f>
        <v/>
      </c>
    </row>
    <row r="2909">
      <c r="A2909" s="41" t="n"/>
      <c r="B2909" s="37" t="n"/>
      <c r="C2909" s="37" t="n"/>
      <c r="D2909" s="39" t="str">
        <f>IF(C2909="","",IFERROR(INDEX(art_des,MATCH(C2909,art_ref,0))&amp;"","Référence inconnue"))</f>
        <v/>
      </c>
      <c r="E2909" s="37" t="n"/>
      <c r="F2909" s="39" t="str">
        <f>IF(C2909="","",IFERROR(INDEX(art_unit,MATCH(C2909,art_ref,0))&amp;"",""))</f>
        <v/>
      </c>
      <c r="G2909" s="37" t="n"/>
      <c r="H2909" s="37" t="n"/>
      <c r="I2909" s="37" t="n"/>
      <c r="J2909" s="40" t="str">
        <f>IF(OR(C2909="",NOT(ISNUMBER(E2909))),"",IFERROR(E2909*N(INDEX(art_price,MATCH(C2909,art_ref,0))),""))</f>
        <v/>
      </c>
      <c r="K2909" s="39" t="str">
        <f>IF(OR(C2909="",NOT(ISNUMBER(E2909))),"",IFERROR(ROUND(N(INDEX(art_init,MATCH(C2909,art_ref,0)))+SUMIFS($E$5:E2909,$C$5:C2909,C2909,$B$5:B2909,"Entrée")-SUMIFS($E$5:E2909,$C$5:C2909,C2909,$B$5:B2909,"Sortie"),6),""))</f>
        <v/>
      </c>
      <c r="L2909" s="39" t="str">
        <f>IF(COUNTA(A2909:C2909,E2909)=0,"",IF(COUNTA(A2909:C2909,E2909)&lt;4,"Ligne incomplète",IF(NOT(ISNUMBER(A2909)),"Date invalide",IF(AND(B2909&lt;&gt;"Entrée",B2909&lt;&gt;"Sortie"),"Type inconnu",IF(ISNA(MATCH(C2909,art_ref,0)),"Référence inconnue",IF(OR(NOT(ISNUMBER(E2909)),N(E2909)&lt;=0),"Quantité invalide",IF(K2909&lt;0,"Stock négatif",IF(AND(ISNUMBER(A2908),A2909&lt;A2908),"Date hors ordre","OK"))))))))</f>
        <v/>
      </c>
      <c r="M2909" s="39" t="str">
        <f>IF(C2909="","",C2909&amp;"#"&amp;COUNTIF($C$5:C2909,C2909))</f>
        <v/>
      </c>
    </row>
    <row r="2910">
      <c r="A2910" s="41" t="n"/>
      <c r="B2910" s="37" t="n"/>
      <c r="C2910" s="37" t="n"/>
      <c r="D2910" s="39" t="str">
        <f>IF(C2910="","",IFERROR(INDEX(art_des,MATCH(C2910,art_ref,0))&amp;"","Référence inconnue"))</f>
        <v/>
      </c>
      <c r="E2910" s="37" t="n"/>
      <c r="F2910" s="39" t="str">
        <f>IF(C2910="","",IFERROR(INDEX(art_unit,MATCH(C2910,art_ref,0))&amp;"",""))</f>
        <v/>
      </c>
      <c r="G2910" s="37" t="n"/>
      <c r="H2910" s="37" t="n"/>
      <c r="I2910" s="37" t="n"/>
      <c r="J2910" s="40" t="str">
        <f>IF(OR(C2910="",NOT(ISNUMBER(E2910))),"",IFERROR(E2910*N(INDEX(art_price,MATCH(C2910,art_ref,0))),""))</f>
        <v/>
      </c>
      <c r="K2910" s="39" t="str">
        <f>IF(OR(C2910="",NOT(ISNUMBER(E2910))),"",IFERROR(ROUND(N(INDEX(art_init,MATCH(C2910,art_ref,0)))+SUMIFS($E$5:E2910,$C$5:C2910,C2910,$B$5:B2910,"Entrée")-SUMIFS($E$5:E2910,$C$5:C2910,C2910,$B$5:B2910,"Sortie"),6),""))</f>
        <v/>
      </c>
      <c r="L2910" s="39" t="str">
        <f>IF(COUNTA(A2910:C2910,E2910)=0,"",IF(COUNTA(A2910:C2910,E2910)&lt;4,"Ligne incomplète",IF(NOT(ISNUMBER(A2910)),"Date invalide",IF(AND(B2910&lt;&gt;"Entrée",B2910&lt;&gt;"Sortie"),"Type inconnu",IF(ISNA(MATCH(C2910,art_ref,0)),"Référence inconnue",IF(OR(NOT(ISNUMBER(E2910)),N(E2910)&lt;=0),"Quantité invalide",IF(K2910&lt;0,"Stock négatif",IF(AND(ISNUMBER(A2909),A2910&lt;A2909),"Date hors ordre","OK"))))))))</f>
        <v/>
      </c>
      <c r="M2910" s="39" t="str">
        <f>IF(C2910="","",C2910&amp;"#"&amp;COUNTIF($C$5:C2910,C2910))</f>
        <v/>
      </c>
    </row>
    <row r="2911">
      <c r="A2911" s="41" t="n"/>
      <c r="B2911" s="37" t="n"/>
      <c r="C2911" s="37" t="n"/>
      <c r="D2911" s="39" t="str">
        <f>IF(C2911="","",IFERROR(INDEX(art_des,MATCH(C2911,art_ref,0))&amp;"","Référence inconnue"))</f>
        <v/>
      </c>
      <c r="E2911" s="37" t="n"/>
      <c r="F2911" s="39" t="str">
        <f>IF(C2911="","",IFERROR(INDEX(art_unit,MATCH(C2911,art_ref,0))&amp;"",""))</f>
        <v/>
      </c>
      <c r="G2911" s="37" t="n"/>
      <c r="H2911" s="37" t="n"/>
      <c r="I2911" s="37" t="n"/>
      <c r="J2911" s="40" t="str">
        <f>IF(OR(C2911="",NOT(ISNUMBER(E2911))),"",IFERROR(E2911*N(INDEX(art_price,MATCH(C2911,art_ref,0))),""))</f>
        <v/>
      </c>
      <c r="K2911" s="39" t="str">
        <f>IF(OR(C2911="",NOT(ISNUMBER(E2911))),"",IFERROR(ROUND(N(INDEX(art_init,MATCH(C2911,art_ref,0)))+SUMIFS($E$5:E2911,$C$5:C2911,C2911,$B$5:B2911,"Entrée")-SUMIFS($E$5:E2911,$C$5:C2911,C2911,$B$5:B2911,"Sortie"),6),""))</f>
        <v/>
      </c>
      <c r="L2911" s="39" t="str">
        <f>IF(COUNTA(A2911:C2911,E2911)=0,"",IF(COUNTA(A2911:C2911,E2911)&lt;4,"Ligne incomplète",IF(NOT(ISNUMBER(A2911)),"Date invalide",IF(AND(B2911&lt;&gt;"Entrée",B2911&lt;&gt;"Sortie"),"Type inconnu",IF(ISNA(MATCH(C2911,art_ref,0)),"Référence inconnue",IF(OR(NOT(ISNUMBER(E2911)),N(E2911)&lt;=0),"Quantité invalide",IF(K2911&lt;0,"Stock négatif",IF(AND(ISNUMBER(A2910),A2911&lt;A2910),"Date hors ordre","OK"))))))))</f>
        <v/>
      </c>
      <c r="M2911" s="39" t="str">
        <f>IF(C2911="","",C2911&amp;"#"&amp;COUNTIF($C$5:C2911,C2911))</f>
        <v/>
      </c>
    </row>
    <row r="2912">
      <c r="A2912" s="41" t="n"/>
      <c r="B2912" s="37" t="n"/>
      <c r="C2912" s="37" t="n"/>
      <c r="D2912" s="39" t="str">
        <f>IF(C2912="","",IFERROR(INDEX(art_des,MATCH(C2912,art_ref,0))&amp;"","Référence inconnue"))</f>
        <v/>
      </c>
      <c r="E2912" s="37" t="n"/>
      <c r="F2912" s="39" t="str">
        <f>IF(C2912="","",IFERROR(INDEX(art_unit,MATCH(C2912,art_ref,0))&amp;"",""))</f>
        <v/>
      </c>
      <c r="G2912" s="37" t="n"/>
      <c r="H2912" s="37" t="n"/>
      <c r="I2912" s="37" t="n"/>
      <c r="J2912" s="40" t="str">
        <f>IF(OR(C2912="",NOT(ISNUMBER(E2912))),"",IFERROR(E2912*N(INDEX(art_price,MATCH(C2912,art_ref,0))),""))</f>
        <v/>
      </c>
      <c r="K2912" s="39" t="str">
        <f>IF(OR(C2912="",NOT(ISNUMBER(E2912))),"",IFERROR(ROUND(N(INDEX(art_init,MATCH(C2912,art_ref,0)))+SUMIFS($E$5:E2912,$C$5:C2912,C2912,$B$5:B2912,"Entrée")-SUMIFS($E$5:E2912,$C$5:C2912,C2912,$B$5:B2912,"Sortie"),6),""))</f>
        <v/>
      </c>
      <c r="L2912" s="39" t="str">
        <f>IF(COUNTA(A2912:C2912,E2912)=0,"",IF(COUNTA(A2912:C2912,E2912)&lt;4,"Ligne incomplète",IF(NOT(ISNUMBER(A2912)),"Date invalide",IF(AND(B2912&lt;&gt;"Entrée",B2912&lt;&gt;"Sortie"),"Type inconnu",IF(ISNA(MATCH(C2912,art_ref,0)),"Référence inconnue",IF(OR(NOT(ISNUMBER(E2912)),N(E2912)&lt;=0),"Quantité invalide",IF(K2912&lt;0,"Stock négatif",IF(AND(ISNUMBER(A2911),A2912&lt;A2911),"Date hors ordre","OK"))))))))</f>
        <v/>
      </c>
      <c r="M2912" s="39" t="str">
        <f>IF(C2912="","",C2912&amp;"#"&amp;COUNTIF($C$5:C2912,C2912))</f>
        <v/>
      </c>
    </row>
    <row r="2913">
      <c r="A2913" s="41" t="n"/>
      <c r="B2913" s="37" t="n"/>
      <c r="C2913" s="37" t="n"/>
      <c r="D2913" s="39" t="str">
        <f>IF(C2913="","",IFERROR(INDEX(art_des,MATCH(C2913,art_ref,0))&amp;"","Référence inconnue"))</f>
        <v/>
      </c>
      <c r="E2913" s="37" t="n"/>
      <c r="F2913" s="39" t="str">
        <f>IF(C2913="","",IFERROR(INDEX(art_unit,MATCH(C2913,art_ref,0))&amp;"",""))</f>
        <v/>
      </c>
      <c r="G2913" s="37" t="n"/>
      <c r="H2913" s="37" t="n"/>
      <c r="I2913" s="37" t="n"/>
      <c r="J2913" s="40" t="str">
        <f>IF(OR(C2913="",NOT(ISNUMBER(E2913))),"",IFERROR(E2913*N(INDEX(art_price,MATCH(C2913,art_ref,0))),""))</f>
        <v/>
      </c>
      <c r="K2913" s="39" t="str">
        <f>IF(OR(C2913="",NOT(ISNUMBER(E2913))),"",IFERROR(ROUND(N(INDEX(art_init,MATCH(C2913,art_ref,0)))+SUMIFS($E$5:E2913,$C$5:C2913,C2913,$B$5:B2913,"Entrée")-SUMIFS($E$5:E2913,$C$5:C2913,C2913,$B$5:B2913,"Sortie"),6),""))</f>
        <v/>
      </c>
      <c r="L2913" s="39" t="str">
        <f>IF(COUNTA(A2913:C2913,E2913)=0,"",IF(COUNTA(A2913:C2913,E2913)&lt;4,"Ligne incomplète",IF(NOT(ISNUMBER(A2913)),"Date invalide",IF(AND(B2913&lt;&gt;"Entrée",B2913&lt;&gt;"Sortie"),"Type inconnu",IF(ISNA(MATCH(C2913,art_ref,0)),"Référence inconnue",IF(OR(NOT(ISNUMBER(E2913)),N(E2913)&lt;=0),"Quantité invalide",IF(K2913&lt;0,"Stock négatif",IF(AND(ISNUMBER(A2912),A2913&lt;A2912),"Date hors ordre","OK"))))))))</f>
        <v/>
      </c>
      <c r="M2913" s="39" t="str">
        <f>IF(C2913="","",C2913&amp;"#"&amp;COUNTIF($C$5:C2913,C2913))</f>
        <v/>
      </c>
    </row>
    <row r="2914">
      <c r="A2914" s="41" t="n"/>
      <c r="B2914" s="37" t="n"/>
      <c r="C2914" s="37" t="n"/>
      <c r="D2914" s="39" t="str">
        <f>IF(C2914="","",IFERROR(INDEX(art_des,MATCH(C2914,art_ref,0))&amp;"","Référence inconnue"))</f>
        <v/>
      </c>
      <c r="E2914" s="37" t="n"/>
      <c r="F2914" s="39" t="str">
        <f>IF(C2914="","",IFERROR(INDEX(art_unit,MATCH(C2914,art_ref,0))&amp;"",""))</f>
        <v/>
      </c>
      <c r="G2914" s="37" t="n"/>
      <c r="H2914" s="37" t="n"/>
      <c r="I2914" s="37" t="n"/>
      <c r="J2914" s="40" t="str">
        <f>IF(OR(C2914="",NOT(ISNUMBER(E2914))),"",IFERROR(E2914*N(INDEX(art_price,MATCH(C2914,art_ref,0))),""))</f>
        <v/>
      </c>
      <c r="K2914" s="39" t="str">
        <f>IF(OR(C2914="",NOT(ISNUMBER(E2914))),"",IFERROR(ROUND(N(INDEX(art_init,MATCH(C2914,art_ref,0)))+SUMIFS($E$5:E2914,$C$5:C2914,C2914,$B$5:B2914,"Entrée")-SUMIFS($E$5:E2914,$C$5:C2914,C2914,$B$5:B2914,"Sortie"),6),""))</f>
        <v/>
      </c>
      <c r="L2914" s="39" t="str">
        <f>IF(COUNTA(A2914:C2914,E2914)=0,"",IF(COUNTA(A2914:C2914,E2914)&lt;4,"Ligne incomplète",IF(NOT(ISNUMBER(A2914)),"Date invalide",IF(AND(B2914&lt;&gt;"Entrée",B2914&lt;&gt;"Sortie"),"Type inconnu",IF(ISNA(MATCH(C2914,art_ref,0)),"Référence inconnue",IF(OR(NOT(ISNUMBER(E2914)),N(E2914)&lt;=0),"Quantité invalide",IF(K2914&lt;0,"Stock négatif",IF(AND(ISNUMBER(A2913),A2914&lt;A2913),"Date hors ordre","OK"))))))))</f>
        <v/>
      </c>
      <c r="M2914" s="39" t="str">
        <f>IF(C2914="","",C2914&amp;"#"&amp;COUNTIF($C$5:C2914,C2914))</f>
        <v/>
      </c>
    </row>
    <row r="2915">
      <c r="A2915" s="41" t="n"/>
      <c r="B2915" s="37" t="n"/>
      <c r="C2915" s="37" t="n"/>
      <c r="D2915" s="39" t="str">
        <f>IF(C2915="","",IFERROR(INDEX(art_des,MATCH(C2915,art_ref,0))&amp;"","Référence inconnue"))</f>
        <v/>
      </c>
      <c r="E2915" s="37" t="n"/>
      <c r="F2915" s="39" t="str">
        <f>IF(C2915="","",IFERROR(INDEX(art_unit,MATCH(C2915,art_ref,0))&amp;"",""))</f>
        <v/>
      </c>
      <c r="G2915" s="37" t="n"/>
      <c r="H2915" s="37" t="n"/>
      <c r="I2915" s="37" t="n"/>
      <c r="J2915" s="40" t="str">
        <f>IF(OR(C2915="",NOT(ISNUMBER(E2915))),"",IFERROR(E2915*N(INDEX(art_price,MATCH(C2915,art_ref,0))),""))</f>
        <v/>
      </c>
      <c r="K2915" s="39" t="str">
        <f>IF(OR(C2915="",NOT(ISNUMBER(E2915))),"",IFERROR(ROUND(N(INDEX(art_init,MATCH(C2915,art_ref,0)))+SUMIFS($E$5:E2915,$C$5:C2915,C2915,$B$5:B2915,"Entrée")-SUMIFS($E$5:E2915,$C$5:C2915,C2915,$B$5:B2915,"Sortie"),6),""))</f>
        <v/>
      </c>
      <c r="L2915" s="39" t="str">
        <f>IF(COUNTA(A2915:C2915,E2915)=0,"",IF(COUNTA(A2915:C2915,E2915)&lt;4,"Ligne incomplète",IF(NOT(ISNUMBER(A2915)),"Date invalide",IF(AND(B2915&lt;&gt;"Entrée",B2915&lt;&gt;"Sortie"),"Type inconnu",IF(ISNA(MATCH(C2915,art_ref,0)),"Référence inconnue",IF(OR(NOT(ISNUMBER(E2915)),N(E2915)&lt;=0),"Quantité invalide",IF(K2915&lt;0,"Stock négatif",IF(AND(ISNUMBER(A2914),A2915&lt;A2914),"Date hors ordre","OK"))))))))</f>
        <v/>
      </c>
      <c r="M2915" s="39" t="str">
        <f>IF(C2915="","",C2915&amp;"#"&amp;COUNTIF($C$5:C2915,C2915))</f>
        <v/>
      </c>
    </row>
    <row r="2916">
      <c r="A2916" s="41" t="n"/>
      <c r="B2916" s="37" t="n"/>
      <c r="C2916" s="37" t="n"/>
      <c r="D2916" s="39" t="str">
        <f>IF(C2916="","",IFERROR(INDEX(art_des,MATCH(C2916,art_ref,0))&amp;"","Référence inconnue"))</f>
        <v/>
      </c>
      <c r="E2916" s="37" t="n"/>
      <c r="F2916" s="39" t="str">
        <f>IF(C2916="","",IFERROR(INDEX(art_unit,MATCH(C2916,art_ref,0))&amp;"",""))</f>
        <v/>
      </c>
      <c r="G2916" s="37" t="n"/>
      <c r="H2916" s="37" t="n"/>
      <c r="I2916" s="37" t="n"/>
      <c r="J2916" s="40" t="str">
        <f>IF(OR(C2916="",NOT(ISNUMBER(E2916))),"",IFERROR(E2916*N(INDEX(art_price,MATCH(C2916,art_ref,0))),""))</f>
        <v/>
      </c>
      <c r="K2916" s="39" t="str">
        <f>IF(OR(C2916="",NOT(ISNUMBER(E2916))),"",IFERROR(ROUND(N(INDEX(art_init,MATCH(C2916,art_ref,0)))+SUMIFS($E$5:E2916,$C$5:C2916,C2916,$B$5:B2916,"Entrée")-SUMIFS($E$5:E2916,$C$5:C2916,C2916,$B$5:B2916,"Sortie"),6),""))</f>
        <v/>
      </c>
      <c r="L2916" s="39" t="str">
        <f>IF(COUNTA(A2916:C2916,E2916)=0,"",IF(COUNTA(A2916:C2916,E2916)&lt;4,"Ligne incomplète",IF(NOT(ISNUMBER(A2916)),"Date invalide",IF(AND(B2916&lt;&gt;"Entrée",B2916&lt;&gt;"Sortie"),"Type inconnu",IF(ISNA(MATCH(C2916,art_ref,0)),"Référence inconnue",IF(OR(NOT(ISNUMBER(E2916)),N(E2916)&lt;=0),"Quantité invalide",IF(K2916&lt;0,"Stock négatif",IF(AND(ISNUMBER(A2915),A2916&lt;A2915),"Date hors ordre","OK"))))))))</f>
        <v/>
      </c>
      <c r="M2916" s="39" t="str">
        <f>IF(C2916="","",C2916&amp;"#"&amp;COUNTIF($C$5:C2916,C2916))</f>
        <v/>
      </c>
    </row>
    <row r="2917">
      <c r="A2917" s="41" t="n"/>
      <c r="B2917" s="37" t="n"/>
      <c r="C2917" s="37" t="n"/>
      <c r="D2917" s="39" t="str">
        <f>IF(C2917="","",IFERROR(INDEX(art_des,MATCH(C2917,art_ref,0))&amp;"","Référence inconnue"))</f>
        <v/>
      </c>
      <c r="E2917" s="37" t="n"/>
      <c r="F2917" s="39" t="str">
        <f>IF(C2917="","",IFERROR(INDEX(art_unit,MATCH(C2917,art_ref,0))&amp;"",""))</f>
        <v/>
      </c>
      <c r="G2917" s="37" t="n"/>
      <c r="H2917" s="37" t="n"/>
      <c r="I2917" s="37" t="n"/>
      <c r="J2917" s="40" t="str">
        <f>IF(OR(C2917="",NOT(ISNUMBER(E2917))),"",IFERROR(E2917*N(INDEX(art_price,MATCH(C2917,art_ref,0))),""))</f>
        <v/>
      </c>
      <c r="K2917" s="39" t="str">
        <f>IF(OR(C2917="",NOT(ISNUMBER(E2917))),"",IFERROR(ROUND(N(INDEX(art_init,MATCH(C2917,art_ref,0)))+SUMIFS($E$5:E2917,$C$5:C2917,C2917,$B$5:B2917,"Entrée")-SUMIFS($E$5:E2917,$C$5:C2917,C2917,$B$5:B2917,"Sortie"),6),""))</f>
        <v/>
      </c>
      <c r="L2917" s="39" t="str">
        <f>IF(COUNTA(A2917:C2917,E2917)=0,"",IF(COUNTA(A2917:C2917,E2917)&lt;4,"Ligne incomplète",IF(NOT(ISNUMBER(A2917)),"Date invalide",IF(AND(B2917&lt;&gt;"Entrée",B2917&lt;&gt;"Sortie"),"Type inconnu",IF(ISNA(MATCH(C2917,art_ref,0)),"Référence inconnue",IF(OR(NOT(ISNUMBER(E2917)),N(E2917)&lt;=0),"Quantité invalide",IF(K2917&lt;0,"Stock négatif",IF(AND(ISNUMBER(A2916),A2917&lt;A2916),"Date hors ordre","OK"))))))))</f>
        <v/>
      </c>
      <c r="M2917" s="39" t="str">
        <f>IF(C2917="","",C2917&amp;"#"&amp;COUNTIF($C$5:C2917,C2917))</f>
        <v/>
      </c>
    </row>
    <row r="2918">
      <c r="A2918" s="41" t="n"/>
      <c r="B2918" s="37" t="n"/>
      <c r="C2918" s="37" t="n"/>
      <c r="D2918" s="39" t="str">
        <f>IF(C2918="","",IFERROR(INDEX(art_des,MATCH(C2918,art_ref,0))&amp;"","Référence inconnue"))</f>
        <v/>
      </c>
      <c r="E2918" s="37" t="n"/>
      <c r="F2918" s="39" t="str">
        <f>IF(C2918="","",IFERROR(INDEX(art_unit,MATCH(C2918,art_ref,0))&amp;"",""))</f>
        <v/>
      </c>
      <c r="G2918" s="37" t="n"/>
      <c r="H2918" s="37" t="n"/>
      <c r="I2918" s="37" t="n"/>
      <c r="J2918" s="40" t="str">
        <f>IF(OR(C2918="",NOT(ISNUMBER(E2918))),"",IFERROR(E2918*N(INDEX(art_price,MATCH(C2918,art_ref,0))),""))</f>
        <v/>
      </c>
      <c r="K2918" s="39" t="str">
        <f>IF(OR(C2918="",NOT(ISNUMBER(E2918))),"",IFERROR(ROUND(N(INDEX(art_init,MATCH(C2918,art_ref,0)))+SUMIFS($E$5:E2918,$C$5:C2918,C2918,$B$5:B2918,"Entrée")-SUMIFS($E$5:E2918,$C$5:C2918,C2918,$B$5:B2918,"Sortie"),6),""))</f>
        <v/>
      </c>
      <c r="L2918" s="39" t="str">
        <f>IF(COUNTA(A2918:C2918,E2918)=0,"",IF(COUNTA(A2918:C2918,E2918)&lt;4,"Ligne incomplète",IF(NOT(ISNUMBER(A2918)),"Date invalide",IF(AND(B2918&lt;&gt;"Entrée",B2918&lt;&gt;"Sortie"),"Type inconnu",IF(ISNA(MATCH(C2918,art_ref,0)),"Référence inconnue",IF(OR(NOT(ISNUMBER(E2918)),N(E2918)&lt;=0),"Quantité invalide",IF(K2918&lt;0,"Stock négatif",IF(AND(ISNUMBER(A2917),A2918&lt;A2917),"Date hors ordre","OK"))))))))</f>
        <v/>
      </c>
      <c r="M2918" s="39" t="str">
        <f>IF(C2918="","",C2918&amp;"#"&amp;COUNTIF($C$5:C2918,C2918))</f>
        <v/>
      </c>
    </row>
    <row r="2919">
      <c r="A2919" s="41" t="n"/>
      <c r="B2919" s="37" t="n"/>
      <c r="C2919" s="37" t="n"/>
      <c r="D2919" s="39" t="str">
        <f>IF(C2919="","",IFERROR(INDEX(art_des,MATCH(C2919,art_ref,0))&amp;"","Référence inconnue"))</f>
        <v/>
      </c>
      <c r="E2919" s="37" t="n"/>
      <c r="F2919" s="39" t="str">
        <f>IF(C2919="","",IFERROR(INDEX(art_unit,MATCH(C2919,art_ref,0))&amp;"",""))</f>
        <v/>
      </c>
      <c r="G2919" s="37" t="n"/>
      <c r="H2919" s="37" t="n"/>
      <c r="I2919" s="37" t="n"/>
      <c r="J2919" s="40" t="str">
        <f>IF(OR(C2919="",NOT(ISNUMBER(E2919))),"",IFERROR(E2919*N(INDEX(art_price,MATCH(C2919,art_ref,0))),""))</f>
        <v/>
      </c>
      <c r="K2919" s="39" t="str">
        <f>IF(OR(C2919="",NOT(ISNUMBER(E2919))),"",IFERROR(ROUND(N(INDEX(art_init,MATCH(C2919,art_ref,0)))+SUMIFS($E$5:E2919,$C$5:C2919,C2919,$B$5:B2919,"Entrée")-SUMIFS($E$5:E2919,$C$5:C2919,C2919,$B$5:B2919,"Sortie"),6),""))</f>
        <v/>
      </c>
      <c r="L2919" s="39" t="str">
        <f>IF(COUNTA(A2919:C2919,E2919)=0,"",IF(COUNTA(A2919:C2919,E2919)&lt;4,"Ligne incomplète",IF(NOT(ISNUMBER(A2919)),"Date invalide",IF(AND(B2919&lt;&gt;"Entrée",B2919&lt;&gt;"Sortie"),"Type inconnu",IF(ISNA(MATCH(C2919,art_ref,0)),"Référence inconnue",IF(OR(NOT(ISNUMBER(E2919)),N(E2919)&lt;=0),"Quantité invalide",IF(K2919&lt;0,"Stock négatif",IF(AND(ISNUMBER(A2918),A2919&lt;A2918),"Date hors ordre","OK"))))))))</f>
        <v/>
      </c>
      <c r="M2919" s="39" t="str">
        <f>IF(C2919="","",C2919&amp;"#"&amp;COUNTIF($C$5:C2919,C2919))</f>
        <v/>
      </c>
    </row>
    <row r="2920">
      <c r="A2920" s="41" t="n"/>
      <c r="B2920" s="37" t="n"/>
      <c r="C2920" s="37" t="n"/>
      <c r="D2920" s="39" t="str">
        <f>IF(C2920="","",IFERROR(INDEX(art_des,MATCH(C2920,art_ref,0))&amp;"","Référence inconnue"))</f>
        <v/>
      </c>
      <c r="E2920" s="37" t="n"/>
      <c r="F2920" s="39" t="str">
        <f>IF(C2920="","",IFERROR(INDEX(art_unit,MATCH(C2920,art_ref,0))&amp;"",""))</f>
        <v/>
      </c>
      <c r="G2920" s="37" t="n"/>
      <c r="H2920" s="37" t="n"/>
      <c r="I2920" s="37" t="n"/>
      <c r="J2920" s="40" t="str">
        <f>IF(OR(C2920="",NOT(ISNUMBER(E2920))),"",IFERROR(E2920*N(INDEX(art_price,MATCH(C2920,art_ref,0))),""))</f>
        <v/>
      </c>
      <c r="K2920" s="39" t="str">
        <f>IF(OR(C2920="",NOT(ISNUMBER(E2920))),"",IFERROR(ROUND(N(INDEX(art_init,MATCH(C2920,art_ref,0)))+SUMIFS($E$5:E2920,$C$5:C2920,C2920,$B$5:B2920,"Entrée")-SUMIFS($E$5:E2920,$C$5:C2920,C2920,$B$5:B2920,"Sortie"),6),""))</f>
        <v/>
      </c>
      <c r="L2920" s="39" t="str">
        <f>IF(COUNTA(A2920:C2920,E2920)=0,"",IF(COUNTA(A2920:C2920,E2920)&lt;4,"Ligne incomplète",IF(NOT(ISNUMBER(A2920)),"Date invalide",IF(AND(B2920&lt;&gt;"Entrée",B2920&lt;&gt;"Sortie"),"Type inconnu",IF(ISNA(MATCH(C2920,art_ref,0)),"Référence inconnue",IF(OR(NOT(ISNUMBER(E2920)),N(E2920)&lt;=0),"Quantité invalide",IF(K2920&lt;0,"Stock négatif",IF(AND(ISNUMBER(A2919),A2920&lt;A2919),"Date hors ordre","OK"))))))))</f>
        <v/>
      </c>
      <c r="M2920" s="39" t="str">
        <f>IF(C2920="","",C2920&amp;"#"&amp;COUNTIF($C$5:C2920,C2920))</f>
        <v/>
      </c>
    </row>
    <row r="2921">
      <c r="A2921" s="41" t="n"/>
      <c r="B2921" s="37" t="n"/>
      <c r="C2921" s="37" t="n"/>
      <c r="D2921" s="39" t="str">
        <f>IF(C2921="","",IFERROR(INDEX(art_des,MATCH(C2921,art_ref,0))&amp;"","Référence inconnue"))</f>
        <v/>
      </c>
      <c r="E2921" s="37" t="n"/>
      <c r="F2921" s="39" t="str">
        <f>IF(C2921="","",IFERROR(INDEX(art_unit,MATCH(C2921,art_ref,0))&amp;"",""))</f>
        <v/>
      </c>
      <c r="G2921" s="37" t="n"/>
      <c r="H2921" s="37" t="n"/>
      <c r="I2921" s="37" t="n"/>
      <c r="J2921" s="40" t="str">
        <f>IF(OR(C2921="",NOT(ISNUMBER(E2921))),"",IFERROR(E2921*N(INDEX(art_price,MATCH(C2921,art_ref,0))),""))</f>
        <v/>
      </c>
      <c r="K2921" s="39" t="str">
        <f>IF(OR(C2921="",NOT(ISNUMBER(E2921))),"",IFERROR(ROUND(N(INDEX(art_init,MATCH(C2921,art_ref,0)))+SUMIFS($E$5:E2921,$C$5:C2921,C2921,$B$5:B2921,"Entrée")-SUMIFS($E$5:E2921,$C$5:C2921,C2921,$B$5:B2921,"Sortie"),6),""))</f>
        <v/>
      </c>
      <c r="L2921" s="39" t="str">
        <f>IF(COUNTA(A2921:C2921,E2921)=0,"",IF(COUNTA(A2921:C2921,E2921)&lt;4,"Ligne incomplète",IF(NOT(ISNUMBER(A2921)),"Date invalide",IF(AND(B2921&lt;&gt;"Entrée",B2921&lt;&gt;"Sortie"),"Type inconnu",IF(ISNA(MATCH(C2921,art_ref,0)),"Référence inconnue",IF(OR(NOT(ISNUMBER(E2921)),N(E2921)&lt;=0),"Quantité invalide",IF(K2921&lt;0,"Stock négatif",IF(AND(ISNUMBER(A2920),A2921&lt;A2920),"Date hors ordre","OK"))))))))</f>
        <v/>
      </c>
      <c r="M2921" s="39" t="str">
        <f>IF(C2921="","",C2921&amp;"#"&amp;COUNTIF($C$5:C2921,C2921))</f>
        <v/>
      </c>
    </row>
    <row r="2922">
      <c r="A2922" s="41" t="n"/>
      <c r="B2922" s="37" t="n"/>
      <c r="C2922" s="37" t="n"/>
      <c r="D2922" s="39" t="str">
        <f>IF(C2922="","",IFERROR(INDEX(art_des,MATCH(C2922,art_ref,0))&amp;"","Référence inconnue"))</f>
        <v/>
      </c>
      <c r="E2922" s="37" t="n"/>
      <c r="F2922" s="39" t="str">
        <f>IF(C2922="","",IFERROR(INDEX(art_unit,MATCH(C2922,art_ref,0))&amp;"",""))</f>
        <v/>
      </c>
      <c r="G2922" s="37" t="n"/>
      <c r="H2922" s="37" t="n"/>
      <c r="I2922" s="37" t="n"/>
      <c r="J2922" s="40" t="str">
        <f>IF(OR(C2922="",NOT(ISNUMBER(E2922))),"",IFERROR(E2922*N(INDEX(art_price,MATCH(C2922,art_ref,0))),""))</f>
        <v/>
      </c>
      <c r="K2922" s="39" t="str">
        <f>IF(OR(C2922="",NOT(ISNUMBER(E2922))),"",IFERROR(ROUND(N(INDEX(art_init,MATCH(C2922,art_ref,0)))+SUMIFS($E$5:E2922,$C$5:C2922,C2922,$B$5:B2922,"Entrée")-SUMIFS($E$5:E2922,$C$5:C2922,C2922,$B$5:B2922,"Sortie"),6),""))</f>
        <v/>
      </c>
      <c r="L2922" s="39" t="str">
        <f>IF(COUNTA(A2922:C2922,E2922)=0,"",IF(COUNTA(A2922:C2922,E2922)&lt;4,"Ligne incomplète",IF(NOT(ISNUMBER(A2922)),"Date invalide",IF(AND(B2922&lt;&gt;"Entrée",B2922&lt;&gt;"Sortie"),"Type inconnu",IF(ISNA(MATCH(C2922,art_ref,0)),"Référence inconnue",IF(OR(NOT(ISNUMBER(E2922)),N(E2922)&lt;=0),"Quantité invalide",IF(K2922&lt;0,"Stock négatif",IF(AND(ISNUMBER(A2921),A2922&lt;A2921),"Date hors ordre","OK"))))))))</f>
        <v/>
      </c>
      <c r="M2922" s="39" t="str">
        <f>IF(C2922="","",C2922&amp;"#"&amp;COUNTIF($C$5:C2922,C2922))</f>
        <v/>
      </c>
    </row>
    <row r="2923">
      <c r="A2923" s="41" t="n"/>
      <c r="B2923" s="37" t="n"/>
      <c r="C2923" s="37" t="n"/>
      <c r="D2923" s="39" t="str">
        <f>IF(C2923="","",IFERROR(INDEX(art_des,MATCH(C2923,art_ref,0))&amp;"","Référence inconnue"))</f>
        <v/>
      </c>
      <c r="E2923" s="37" t="n"/>
      <c r="F2923" s="39" t="str">
        <f>IF(C2923="","",IFERROR(INDEX(art_unit,MATCH(C2923,art_ref,0))&amp;"",""))</f>
        <v/>
      </c>
      <c r="G2923" s="37" t="n"/>
      <c r="H2923" s="37" t="n"/>
      <c r="I2923" s="37" t="n"/>
      <c r="J2923" s="40" t="str">
        <f>IF(OR(C2923="",NOT(ISNUMBER(E2923))),"",IFERROR(E2923*N(INDEX(art_price,MATCH(C2923,art_ref,0))),""))</f>
        <v/>
      </c>
      <c r="K2923" s="39" t="str">
        <f>IF(OR(C2923="",NOT(ISNUMBER(E2923))),"",IFERROR(ROUND(N(INDEX(art_init,MATCH(C2923,art_ref,0)))+SUMIFS($E$5:E2923,$C$5:C2923,C2923,$B$5:B2923,"Entrée")-SUMIFS($E$5:E2923,$C$5:C2923,C2923,$B$5:B2923,"Sortie"),6),""))</f>
        <v/>
      </c>
      <c r="L2923" s="39" t="str">
        <f>IF(COUNTA(A2923:C2923,E2923)=0,"",IF(COUNTA(A2923:C2923,E2923)&lt;4,"Ligne incomplète",IF(NOT(ISNUMBER(A2923)),"Date invalide",IF(AND(B2923&lt;&gt;"Entrée",B2923&lt;&gt;"Sortie"),"Type inconnu",IF(ISNA(MATCH(C2923,art_ref,0)),"Référence inconnue",IF(OR(NOT(ISNUMBER(E2923)),N(E2923)&lt;=0),"Quantité invalide",IF(K2923&lt;0,"Stock négatif",IF(AND(ISNUMBER(A2922),A2923&lt;A2922),"Date hors ordre","OK"))))))))</f>
        <v/>
      </c>
      <c r="M2923" s="39" t="str">
        <f>IF(C2923="","",C2923&amp;"#"&amp;COUNTIF($C$5:C2923,C2923))</f>
        <v/>
      </c>
    </row>
    <row r="2924">
      <c r="A2924" s="41" t="n"/>
      <c r="B2924" s="37" t="n"/>
      <c r="C2924" s="37" t="n"/>
      <c r="D2924" s="39" t="str">
        <f>IF(C2924="","",IFERROR(INDEX(art_des,MATCH(C2924,art_ref,0))&amp;"","Référence inconnue"))</f>
        <v/>
      </c>
      <c r="E2924" s="37" t="n"/>
      <c r="F2924" s="39" t="str">
        <f>IF(C2924="","",IFERROR(INDEX(art_unit,MATCH(C2924,art_ref,0))&amp;"",""))</f>
        <v/>
      </c>
      <c r="G2924" s="37" t="n"/>
      <c r="H2924" s="37" t="n"/>
      <c r="I2924" s="37" t="n"/>
      <c r="J2924" s="40" t="str">
        <f>IF(OR(C2924="",NOT(ISNUMBER(E2924))),"",IFERROR(E2924*N(INDEX(art_price,MATCH(C2924,art_ref,0))),""))</f>
        <v/>
      </c>
      <c r="K2924" s="39" t="str">
        <f>IF(OR(C2924="",NOT(ISNUMBER(E2924))),"",IFERROR(ROUND(N(INDEX(art_init,MATCH(C2924,art_ref,0)))+SUMIFS($E$5:E2924,$C$5:C2924,C2924,$B$5:B2924,"Entrée")-SUMIFS($E$5:E2924,$C$5:C2924,C2924,$B$5:B2924,"Sortie"),6),""))</f>
        <v/>
      </c>
      <c r="L2924" s="39" t="str">
        <f>IF(COUNTA(A2924:C2924,E2924)=0,"",IF(COUNTA(A2924:C2924,E2924)&lt;4,"Ligne incomplète",IF(NOT(ISNUMBER(A2924)),"Date invalide",IF(AND(B2924&lt;&gt;"Entrée",B2924&lt;&gt;"Sortie"),"Type inconnu",IF(ISNA(MATCH(C2924,art_ref,0)),"Référence inconnue",IF(OR(NOT(ISNUMBER(E2924)),N(E2924)&lt;=0),"Quantité invalide",IF(K2924&lt;0,"Stock négatif",IF(AND(ISNUMBER(A2923),A2924&lt;A2923),"Date hors ordre","OK"))))))))</f>
        <v/>
      </c>
      <c r="M2924" s="39" t="str">
        <f>IF(C2924="","",C2924&amp;"#"&amp;COUNTIF($C$5:C2924,C2924))</f>
        <v/>
      </c>
    </row>
    <row r="2925">
      <c r="A2925" s="41" t="n"/>
      <c r="B2925" s="37" t="n"/>
      <c r="C2925" s="37" t="n"/>
      <c r="D2925" s="39" t="str">
        <f>IF(C2925="","",IFERROR(INDEX(art_des,MATCH(C2925,art_ref,0))&amp;"","Référence inconnue"))</f>
        <v/>
      </c>
      <c r="E2925" s="37" t="n"/>
      <c r="F2925" s="39" t="str">
        <f>IF(C2925="","",IFERROR(INDEX(art_unit,MATCH(C2925,art_ref,0))&amp;"",""))</f>
        <v/>
      </c>
      <c r="G2925" s="37" t="n"/>
      <c r="H2925" s="37" t="n"/>
      <c r="I2925" s="37" t="n"/>
      <c r="J2925" s="40" t="str">
        <f>IF(OR(C2925="",NOT(ISNUMBER(E2925))),"",IFERROR(E2925*N(INDEX(art_price,MATCH(C2925,art_ref,0))),""))</f>
        <v/>
      </c>
      <c r="K2925" s="39" t="str">
        <f>IF(OR(C2925="",NOT(ISNUMBER(E2925))),"",IFERROR(ROUND(N(INDEX(art_init,MATCH(C2925,art_ref,0)))+SUMIFS($E$5:E2925,$C$5:C2925,C2925,$B$5:B2925,"Entrée")-SUMIFS($E$5:E2925,$C$5:C2925,C2925,$B$5:B2925,"Sortie"),6),""))</f>
        <v/>
      </c>
      <c r="L2925" s="39" t="str">
        <f>IF(COUNTA(A2925:C2925,E2925)=0,"",IF(COUNTA(A2925:C2925,E2925)&lt;4,"Ligne incomplète",IF(NOT(ISNUMBER(A2925)),"Date invalide",IF(AND(B2925&lt;&gt;"Entrée",B2925&lt;&gt;"Sortie"),"Type inconnu",IF(ISNA(MATCH(C2925,art_ref,0)),"Référence inconnue",IF(OR(NOT(ISNUMBER(E2925)),N(E2925)&lt;=0),"Quantité invalide",IF(K2925&lt;0,"Stock négatif",IF(AND(ISNUMBER(A2924),A2925&lt;A2924),"Date hors ordre","OK"))))))))</f>
        <v/>
      </c>
      <c r="M2925" s="39" t="str">
        <f>IF(C2925="","",C2925&amp;"#"&amp;COUNTIF($C$5:C2925,C2925))</f>
        <v/>
      </c>
    </row>
    <row r="2926">
      <c r="A2926" s="41" t="n"/>
      <c r="B2926" s="37" t="n"/>
      <c r="C2926" s="37" t="n"/>
      <c r="D2926" s="39" t="str">
        <f>IF(C2926="","",IFERROR(INDEX(art_des,MATCH(C2926,art_ref,0))&amp;"","Référence inconnue"))</f>
        <v/>
      </c>
      <c r="E2926" s="37" t="n"/>
      <c r="F2926" s="39" t="str">
        <f>IF(C2926="","",IFERROR(INDEX(art_unit,MATCH(C2926,art_ref,0))&amp;"",""))</f>
        <v/>
      </c>
      <c r="G2926" s="37" t="n"/>
      <c r="H2926" s="37" t="n"/>
      <c r="I2926" s="37" t="n"/>
      <c r="J2926" s="40" t="str">
        <f>IF(OR(C2926="",NOT(ISNUMBER(E2926))),"",IFERROR(E2926*N(INDEX(art_price,MATCH(C2926,art_ref,0))),""))</f>
        <v/>
      </c>
      <c r="K2926" s="39" t="str">
        <f>IF(OR(C2926="",NOT(ISNUMBER(E2926))),"",IFERROR(ROUND(N(INDEX(art_init,MATCH(C2926,art_ref,0)))+SUMIFS($E$5:E2926,$C$5:C2926,C2926,$B$5:B2926,"Entrée")-SUMIFS($E$5:E2926,$C$5:C2926,C2926,$B$5:B2926,"Sortie"),6),""))</f>
        <v/>
      </c>
      <c r="L2926" s="39" t="str">
        <f>IF(COUNTA(A2926:C2926,E2926)=0,"",IF(COUNTA(A2926:C2926,E2926)&lt;4,"Ligne incomplète",IF(NOT(ISNUMBER(A2926)),"Date invalide",IF(AND(B2926&lt;&gt;"Entrée",B2926&lt;&gt;"Sortie"),"Type inconnu",IF(ISNA(MATCH(C2926,art_ref,0)),"Référence inconnue",IF(OR(NOT(ISNUMBER(E2926)),N(E2926)&lt;=0),"Quantité invalide",IF(K2926&lt;0,"Stock négatif",IF(AND(ISNUMBER(A2925),A2926&lt;A2925),"Date hors ordre","OK"))))))))</f>
        <v/>
      </c>
      <c r="M2926" s="39" t="str">
        <f>IF(C2926="","",C2926&amp;"#"&amp;COUNTIF($C$5:C2926,C2926))</f>
        <v/>
      </c>
    </row>
    <row r="2927">
      <c r="A2927" s="41" t="n"/>
      <c r="B2927" s="37" t="n"/>
      <c r="C2927" s="37" t="n"/>
      <c r="D2927" s="39" t="str">
        <f>IF(C2927="","",IFERROR(INDEX(art_des,MATCH(C2927,art_ref,0))&amp;"","Référence inconnue"))</f>
        <v/>
      </c>
      <c r="E2927" s="37" t="n"/>
      <c r="F2927" s="39" t="str">
        <f>IF(C2927="","",IFERROR(INDEX(art_unit,MATCH(C2927,art_ref,0))&amp;"",""))</f>
        <v/>
      </c>
      <c r="G2927" s="37" t="n"/>
      <c r="H2927" s="37" t="n"/>
      <c r="I2927" s="37" t="n"/>
      <c r="J2927" s="40" t="str">
        <f>IF(OR(C2927="",NOT(ISNUMBER(E2927))),"",IFERROR(E2927*N(INDEX(art_price,MATCH(C2927,art_ref,0))),""))</f>
        <v/>
      </c>
      <c r="K2927" s="39" t="str">
        <f>IF(OR(C2927="",NOT(ISNUMBER(E2927))),"",IFERROR(ROUND(N(INDEX(art_init,MATCH(C2927,art_ref,0)))+SUMIFS($E$5:E2927,$C$5:C2927,C2927,$B$5:B2927,"Entrée")-SUMIFS($E$5:E2927,$C$5:C2927,C2927,$B$5:B2927,"Sortie"),6),""))</f>
        <v/>
      </c>
      <c r="L2927" s="39" t="str">
        <f>IF(COUNTA(A2927:C2927,E2927)=0,"",IF(COUNTA(A2927:C2927,E2927)&lt;4,"Ligne incomplète",IF(NOT(ISNUMBER(A2927)),"Date invalide",IF(AND(B2927&lt;&gt;"Entrée",B2927&lt;&gt;"Sortie"),"Type inconnu",IF(ISNA(MATCH(C2927,art_ref,0)),"Référence inconnue",IF(OR(NOT(ISNUMBER(E2927)),N(E2927)&lt;=0),"Quantité invalide",IF(K2927&lt;0,"Stock négatif",IF(AND(ISNUMBER(A2926),A2927&lt;A2926),"Date hors ordre","OK"))))))))</f>
        <v/>
      </c>
      <c r="M2927" s="39" t="str">
        <f>IF(C2927="","",C2927&amp;"#"&amp;COUNTIF($C$5:C2927,C2927))</f>
        <v/>
      </c>
    </row>
    <row r="2928">
      <c r="A2928" s="41" t="n"/>
      <c r="B2928" s="37" t="n"/>
      <c r="C2928" s="37" t="n"/>
      <c r="D2928" s="39" t="str">
        <f>IF(C2928="","",IFERROR(INDEX(art_des,MATCH(C2928,art_ref,0))&amp;"","Référence inconnue"))</f>
        <v/>
      </c>
      <c r="E2928" s="37" t="n"/>
      <c r="F2928" s="39" t="str">
        <f>IF(C2928="","",IFERROR(INDEX(art_unit,MATCH(C2928,art_ref,0))&amp;"",""))</f>
        <v/>
      </c>
      <c r="G2928" s="37" t="n"/>
      <c r="H2928" s="37" t="n"/>
      <c r="I2928" s="37" t="n"/>
      <c r="J2928" s="40" t="str">
        <f>IF(OR(C2928="",NOT(ISNUMBER(E2928))),"",IFERROR(E2928*N(INDEX(art_price,MATCH(C2928,art_ref,0))),""))</f>
        <v/>
      </c>
      <c r="K2928" s="39" t="str">
        <f>IF(OR(C2928="",NOT(ISNUMBER(E2928))),"",IFERROR(ROUND(N(INDEX(art_init,MATCH(C2928,art_ref,0)))+SUMIFS($E$5:E2928,$C$5:C2928,C2928,$B$5:B2928,"Entrée")-SUMIFS($E$5:E2928,$C$5:C2928,C2928,$B$5:B2928,"Sortie"),6),""))</f>
        <v/>
      </c>
      <c r="L2928" s="39" t="str">
        <f>IF(COUNTA(A2928:C2928,E2928)=0,"",IF(COUNTA(A2928:C2928,E2928)&lt;4,"Ligne incomplète",IF(NOT(ISNUMBER(A2928)),"Date invalide",IF(AND(B2928&lt;&gt;"Entrée",B2928&lt;&gt;"Sortie"),"Type inconnu",IF(ISNA(MATCH(C2928,art_ref,0)),"Référence inconnue",IF(OR(NOT(ISNUMBER(E2928)),N(E2928)&lt;=0),"Quantité invalide",IF(K2928&lt;0,"Stock négatif",IF(AND(ISNUMBER(A2927),A2928&lt;A2927),"Date hors ordre","OK"))))))))</f>
        <v/>
      </c>
      <c r="M2928" s="39" t="str">
        <f>IF(C2928="","",C2928&amp;"#"&amp;COUNTIF($C$5:C2928,C2928))</f>
        <v/>
      </c>
    </row>
    <row r="2929">
      <c r="A2929" s="41" t="n"/>
      <c r="B2929" s="37" t="n"/>
      <c r="C2929" s="37" t="n"/>
      <c r="D2929" s="39" t="str">
        <f>IF(C2929="","",IFERROR(INDEX(art_des,MATCH(C2929,art_ref,0))&amp;"","Référence inconnue"))</f>
        <v/>
      </c>
      <c r="E2929" s="37" t="n"/>
      <c r="F2929" s="39" t="str">
        <f>IF(C2929="","",IFERROR(INDEX(art_unit,MATCH(C2929,art_ref,0))&amp;"",""))</f>
        <v/>
      </c>
      <c r="G2929" s="37" t="n"/>
      <c r="H2929" s="37" t="n"/>
      <c r="I2929" s="37" t="n"/>
      <c r="J2929" s="40" t="str">
        <f>IF(OR(C2929="",NOT(ISNUMBER(E2929))),"",IFERROR(E2929*N(INDEX(art_price,MATCH(C2929,art_ref,0))),""))</f>
        <v/>
      </c>
      <c r="K2929" s="39" t="str">
        <f>IF(OR(C2929="",NOT(ISNUMBER(E2929))),"",IFERROR(ROUND(N(INDEX(art_init,MATCH(C2929,art_ref,0)))+SUMIFS($E$5:E2929,$C$5:C2929,C2929,$B$5:B2929,"Entrée")-SUMIFS($E$5:E2929,$C$5:C2929,C2929,$B$5:B2929,"Sortie"),6),""))</f>
        <v/>
      </c>
      <c r="L2929" s="39" t="str">
        <f>IF(COUNTA(A2929:C2929,E2929)=0,"",IF(COUNTA(A2929:C2929,E2929)&lt;4,"Ligne incomplète",IF(NOT(ISNUMBER(A2929)),"Date invalide",IF(AND(B2929&lt;&gt;"Entrée",B2929&lt;&gt;"Sortie"),"Type inconnu",IF(ISNA(MATCH(C2929,art_ref,0)),"Référence inconnue",IF(OR(NOT(ISNUMBER(E2929)),N(E2929)&lt;=0),"Quantité invalide",IF(K2929&lt;0,"Stock négatif",IF(AND(ISNUMBER(A2928),A2929&lt;A2928),"Date hors ordre","OK"))))))))</f>
        <v/>
      </c>
      <c r="M2929" s="39" t="str">
        <f>IF(C2929="","",C2929&amp;"#"&amp;COUNTIF($C$5:C2929,C2929))</f>
        <v/>
      </c>
    </row>
    <row r="2930">
      <c r="A2930" s="41" t="n"/>
      <c r="B2930" s="37" t="n"/>
      <c r="C2930" s="37" t="n"/>
      <c r="D2930" s="39" t="str">
        <f>IF(C2930="","",IFERROR(INDEX(art_des,MATCH(C2930,art_ref,0))&amp;"","Référence inconnue"))</f>
        <v/>
      </c>
      <c r="E2930" s="37" t="n"/>
      <c r="F2930" s="39" t="str">
        <f>IF(C2930="","",IFERROR(INDEX(art_unit,MATCH(C2930,art_ref,0))&amp;"",""))</f>
        <v/>
      </c>
      <c r="G2930" s="37" t="n"/>
      <c r="H2930" s="37" t="n"/>
      <c r="I2930" s="37" t="n"/>
      <c r="J2930" s="40" t="str">
        <f>IF(OR(C2930="",NOT(ISNUMBER(E2930))),"",IFERROR(E2930*N(INDEX(art_price,MATCH(C2930,art_ref,0))),""))</f>
        <v/>
      </c>
      <c r="K2930" s="39" t="str">
        <f>IF(OR(C2930="",NOT(ISNUMBER(E2930))),"",IFERROR(ROUND(N(INDEX(art_init,MATCH(C2930,art_ref,0)))+SUMIFS($E$5:E2930,$C$5:C2930,C2930,$B$5:B2930,"Entrée")-SUMIFS($E$5:E2930,$C$5:C2930,C2930,$B$5:B2930,"Sortie"),6),""))</f>
        <v/>
      </c>
      <c r="L2930" s="39" t="str">
        <f>IF(COUNTA(A2930:C2930,E2930)=0,"",IF(COUNTA(A2930:C2930,E2930)&lt;4,"Ligne incomplète",IF(NOT(ISNUMBER(A2930)),"Date invalide",IF(AND(B2930&lt;&gt;"Entrée",B2930&lt;&gt;"Sortie"),"Type inconnu",IF(ISNA(MATCH(C2930,art_ref,0)),"Référence inconnue",IF(OR(NOT(ISNUMBER(E2930)),N(E2930)&lt;=0),"Quantité invalide",IF(K2930&lt;0,"Stock négatif",IF(AND(ISNUMBER(A2929),A2930&lt;A2929),"Date hors ordre","OK"))))))))</f>
        <v/>
      </c>
      <c r="M2930" s="39" t="str">
        <f>IF(C2930="","",C2930&amp;"#"&amp;COUNTIF($C$5:C2930,C2930))</f>
        <v/>
      </c>
    </row>
    <row r="2931">
      <c r="A2931" s="41" t="n"/>
      <c r="B2931" s="37" t="n"/>
      <c r="C2931" s="37" t="n"/>
      <c r="D2931" s="39" t="str">
        <f>IF(C2931="","",IFERROR(INDEX(art_des,MATCH(C2931,art_ref,0))&amp;"","Référence inconnue"))</f>
        <v/>
      </c>
      <c r="E2931" s="37" t="n"/>
      <c r="F2931" s="39" t="str">
        <f>IF(C2931="","",IFERROR(INDEX(art_unit,MATCH(C2931,art_ref,0))&amp;"",""))</f>
        <v/>
      </c>
      <c r="G2931" s="37" t="n"/>
      <c r="H2931" s="37" t="n"/>
      <c r="I2931" s="37" t="n"/>
      <c r="J2931" s="40" t="str">
        <f>IF(OR(C2931="",NOT(ISNUMBER(E2931))),"",IFERROR(E2931*N(INDEX(art_price,MATCH(C2931,art_ref,0))),""))</f>
        <v/>
      </c>
      <c r="K2931" s="39" t="str">
        <f>IF(OR(C2931="",NOT(ISNUMBER(E2931))),"",IFERROR(ROUND(N(INDEX(art_init,MATCH(C2931,art_ref,0)))+SUMIFS($E$5:E2931,$C$5:C2931,C2931,$B$5:B2931,"Entrée")-SUMIFS($E$5:E2931,$C$5:C2931,C2931,$B$5:B2931,"Sortie"),6),""))</f>
        <v/>
      </c>
      <c r="L2931" s="39" t="str">
        <f>IF(COUNTA(A2931:C2931,E2931)=0,"",IF(COUNTA(A2931:C2931,E2931)&lt;4,"Ligne incomplète",IF(NOT(ISNUMBER(A2931)),"Date invalide",IF(AND(B2931&lt;&gt;"Entrée",B2931&lt;&gt;"Sortie"),"Type inconnu",IF(ISNA(MATCH(C2931,art_ref,0)),"Référence inconnue",IF(OR(NOT(ISNUMBER(E2931)),N(E2931)&lt;=0),"Quantité invalide",IF(K2931&lt;0,"Stock négatif",IF(AND(ISNUMBER(A2930),A2931&lt;A2930),"Date hors ordre","OK"))))))))</f>
        <v/>
      </c>
      <c r="M2931" s="39" t="str">
        <f>IF(C2931="","",C2931&amp;"#"&amp;COUNTIF($C$5:C2931,C2931))</f>
        <v/>
      </c>
    </row>
    <row r="2932">
      <c r="A2932" s="41" t="n"/>
      <c r="B2932" s="37" t="n"/>
      <c r="C2932" s="37" t="n"/>
      <c r="D2932" s="39" t="str">
        <f>IF(C2932="","",IFERROR(INDEX(art_des,MATCH(C2932,art_ref,0))&amp;"","Référence inconnue"))</f>
        <v/>
      </c>
      <c r="E2932" s="37" t="n"/>
      <c r="F2932" s="39" t="str">
        <f>IF(C2932="","",IFERROR(INDEX(art_unit,MATCH(C2932,art_ref,0))&amp;"",""))</f>
        <v/>
      </c>
      <c r="G2932" s="37" t="n"/>
      <c r="H2932" s="37" t="n"/>
      <c r="I2932" s="37" t="n"/>
      <c r="J2932" s="40" t="str">
        <f>IF(OR(C2932="",NOT(ISNUMBER(E2932))),"",IFERROR(E2932*N(INDEX(art_price,MATCH(C2932,art_ref,0))),""))</f>
        <v/>
      </c>
      <c r="K2932" s="39" t="str">
        <f>IF(OR(C2932="",NOT(ISNUMBER(E2932))),"",IFERROR(ROUND(N(INDEX(art_init,MATCH(C2932,art_ref,0)))+SUMIFS($E$5:E2932,$C$5:C2932,C2932,$B$5:B2932,"Entrée")-SUMIFS($E$5:E2932,$C$5:C2932,C2932,$B$5:B2932,"Sortie"),6),""))</f>
        <v/>
      </c>
      <c r="L2932" s="39" t="str">
        <f>IF(COUNTA(A2932:C2932,E2932)=0,"",IF(COUNTA(A2932:C2932,E2932)&lt;4,"Ligne incomplète",IF(NOT(ISNUMBER(A2932)),"Date invalide",IF(AND(B2932&lt;&gt;"Entrée",B2932&lt;&gt;"Sortie"),"Type inconnu",IF(ISNA(MATCH(C2932,art_ref,0)),"Référence inconnue",IF(OR(NOT(ISNUMBER(E2932)),N(E2932)&lt;=0),"Quantité invalide",IF(K2932&lt;0,"Stock négatif",IF(AND(ISNUMBER(A2931),A2932&lt;A2931),"Date hors ordre","OK"))))))))</f>
        <v/>
      </c>
      <c r="M2932" s="39" t="str">
        <f>IF(C2932="","",C2932&amp;"#"&amp;COUNTIF($C$5:C2932,C2932))</f>
        <v/>
      </c>
    </row>
    <row r="2933">
      <c r="A2933" s="41" t="n"/>
      <c r="B2933" s="37" t="n"/>
      <c r="C2933" s="37" t="n"/>
      <c r="D2933" s="39" t="str">
        <f>IF(C2933="","",IFERROR(INDEX(art_des,MATCH(C2933,art_ref,0))&amp;"","Référence inconnue"))</f>
        <v/>
      </c>
      <c r="E2933" s="37" t="n"/>
      <c r="F2933" s="39" t="str">
        <f>IF(C2933="","",IFERROR(INDEX(art_unit,MATCH(C2933,art_ref,0))&amp;"",""))</f>
        <v/>
      </c>
      <c r="G2933" s="37" t="n"/>
      <c r="H2933" s="37" t="n"/>
      <c r="I2933" s="37" t="n"/>
      <c r="J2933" s="40" t="str">
        <f>IF(OR(C2933="",NOT(ISNUMBER(E2933))),"",IFERROR(E2933*N(INDEX(art_price,MATCH(C2933,art_ref,0))),""))</f>
        <v/>
      </c>
      <c r="K2933" s="39" t="str">
        <f>IF(OR(C2933="",NOT(ISNUMBER(E2933))),"",IFERROR(ROUND(N(INDEX(art_init,MATCH(C2933,art_ref,0)))+SUMIFS($E$5:E2933,$C$5:C2933,C2933,$B$5:B2933,"Entrée")-SUMIFS($E$5:E2933,$C$5:C2933,C2933,$B$5:B2933,"Sortie"),6),""))</f>
        <v/>
      </c>
      <c r="L2933" s="39" t="str">
        <f>IF(COUNTA(A2933:C2933,E2933)=0,"",IF(COUNTA(A2933:C2933,E2933)&lt;4,"Ligne incomplète",IF(NOT(ISNUMBER(A2933)),"Date invalide",IF(AND(B2933&lt;&gt;"Entrée",B2933&lt;&gt;"Sortie"),"Type inconnu",IF(ISNA(MATCH(C2933,art_ref,0)),"Référence inconnue",IF(OR(NOT(ISNUMBER(E2933)),N(E2933)&lt;=0),"Quantité invalide",IF(K2933&lt;0,"Stock négatif",IF(AND(ISNUMBER(A2932),A2933&lt;A2932),"Date hors ordre","OK"))))))))</f>
        <v/>
      </c>
      <c r="M2933" s="39" t="str">
        <f>IF(C2933="","",C2933&amp;"#"&amp;COUNTIF($C$5:C2933,C2933))</f>
        <v/>
      </c>
    </row>
    <row r="2934">
      <c r="A2934" s="41" t="n"/>
      <c r="B2934" s="37" t="n"/>
      <c r="C2934" s="37" t="n"/>
      <c r="D2934" s="39" t="str">
        <f>IF(C2934="","",IFERROR(INDEX(art_des,MATCH(C2934,art_ref,0))&amp;"","Référence inconnue"))</f>
        <v/>
      </c>
      <c r="E2934" s="37" t="n"/>
      <c r="F2934" s="39" t="str">
        <f>IF(C2934="","",IFERROR(INDEX(art_unit,MATCH(C2934,art_ref,0))&amp;"",""))</f>
        <v/>
      </c>
      <c r="G2934" s="37" t="n"/>
      <c r="H2934" s="37" t="n"/>
      <c r="I2934" s="37" t="n"/>
      <c r="J2934" s="40" t="str">
        <f>IF(OR(C2934="",NOT(ISNUMBER(E2934))),"",IFERROR(E2934*N(INDEX(art_price,MATCH(C2934,art_ref,0))),""))</f>
        <v/>
      </c>
      <c r="K2934" s="39" t="str">
        <f>IF(OR(C2934="",NOT(ISNUMBER(E2934))),"",IFERROR(ROUND(N(INDEX(art_init,MATCH(C2934,art_ref,0)))+SUMIFS($E$5:E2934,$C$5:C2934,C2934,$B$5:B2934,"Entrée")-SUMIFS($E$5:E2934,$C$5:C2934,C2934,$B$5:B2934,"Sortie"),6),""))</f>
        <v/>
      </c>
      <c r="L2934" s="39" t="str">
        <f>IF(COUNTA(A2934:C2934,E2934)=0,"",IF(COUNTA(A2934:C2934,E2934)&lt;4,"Ligne incomplète",IF(NOT(ISNUMBER(A2934)),"Date invalide",IF(AND(B2934&lt;&gt;"Entrée",B2934&lt;&gt;"Sortie"),"Type inconnu",IF(ISNA(MATCH(C2934,art_ref,0)),"Référence inconnue",IF(OR(NOT(ISNUMBER(E2934)),N(E2934)&lt;=0),"Quantité invalide",IF(K2934&lt;0,"Stock négatif",IF(AND(ISNUMBER(A2933),A2934&lt;A2933),"Date hors ordre","OK"))))))))</f>
        <v/>
      </c>
      <c r="M2934" s="39" t="str">
        <f>IF(C2934="","",C2934&amp;"#"&amp;COUNTIF($C$5:C2934,C2934))</f>
        <v/>
      </c>
    </row>
    <row r="2935">
      <c r="A2935" s="41" t="n"/>
      <c r="B2935" s="37" t="n"/>
      <c r="C2935" s="37" t="n"/>
      <c r="D2935" s="39" t="str">
        <f>IF(C2935="","",IFERROR(INDEX(art_des,MATCH(C2935,art_ref,0))&amp;"","Référence inconnue"))</f>
        <v/>
      </c>
      <c r="E2935" s="37" t="n"/>
      <c r="F2935" s="39" t="str">
        <f>IF(C2935="","",IFERROR(INDEX(art_unit,MATCH(C2935,art_ref,0))&amp;"",""))</f>
        <v/>
      </c>
      <c r="G2935" s="37" t="n"/>
      <c r="H2935" s="37" t="n"/>
      <c r="I2935" s="37" t="n"/>
      <c r="J2935" s="40" t="str">
        <f>IF(OR(C2935="",NOT(ISNUMBER(E2935))),"",IFERROR(E2935*N(INDEX(art_price,MATCH(C2935,art_ref,0))),""))</f>
        <v/>
      </c>
      <c r="K2935" s="39" t="str">
        <f>IF(OR(C2935="",NOT(ISNUMBER(E2935))),"",IFERROR(ROUND(N(INDEX(art_init,MATCH(C2935,art_ref,0)))+SUMIFS($E$5:E2935,$C$5:C2935,C2935,$B$5:B2935,"Entrée")-SUMIFS($E$5:E2935,$C$5:C2935,C2935,$B$5:B2935,"Sortie"),6),""))</f>
        <v/>
      </c>
      <c r="L2935" s="39" t="str">
        <f>IF(COUNTA(A2935:C2935,E2935)=0,"",IF(COUNTA(A2935:C2935,E2935)&lt;4,"Ligne incomplète",IF(NOT(ISNUMBER(A2935)),"Date invalide",IF(AND(B2935&lt;&gt;"Entrée",B2935&lt;&gt;"Sortie"),"Type inconnu",IF(ISNA(MATCH(C2935,art_ref,0)),"Référence inconnue",IF(OR(NOT(ISNUMBER(E2935)),N(E2935)&lt;=0),"Quantité invalide",IF(K2935&lt;0,"Stock négatif",IF(AND(ISNUMBER(A2934),A2935&lt;A2934),"Date hors ordre","OK"))))))))</f>
        <v/>
      </c>
      <c r="M2935" s="39" t="str">
        <f>IF(C2935="","",C2935&amp;"#"&amp;COUNTIF($C$5:C2935,C2935))</f>
        <v/>
      </c>
    </row>
    <row r="2936">
      <c r="A2936" s="41" t="n"/>
      <c r="B2936" s="37" t="n"/>
      <c r="C2936" s="37" t="n"/>
      <c r="D2936" s="39" t="str">
        <f>IF(C2936="","",IFERROR(INDEX(art_des,MATCH(C2936,art_ref,0))&amp;"","Référence inconnue"))</f>
        <v/>
      </c>
      <c r="E2936" s="37" t="n"/>
      <c r="F2936" s="39" t="str">
        <f>IF(C2936="","",IFERROR(INDEX(art_unit,MATCH(C2936,art_ref,0))&amp;"",""))</f>
        <v/>
      </c>
      <c r="G2936" s="37" t="n"/>
      <c r="H2936" s="37" t="n"/>
      <c r="I2936" s="37" t="n"/>
      <c r="J2936" s="40" t="str">
        <f>IF(OR(C2936="",NOT(ISNUMBER(E2936))),"",IFERROR(E2936*N(INDEX(art_price,MATCH(C2936,art_ref,0))),""))</f>
        <v/>
      </c>
      <c r="K2936" s="39" t="str">
        <f>IF(OR(C2936="",NOT(ISNUMBER(E2936))),"",IFERROR(ROUND(N(INDEX(art_init,MATCH(C2936,art_ref,0)))+SUMIFS($E$5:E2936,$C$5:C2936,C2936,$B$5:B2936,"Entrée")-SUMIFS($E$5:E2936,$C$5:C2936,C2936,$B$5:B2936,"Sortie"),6),""))</f>
        <v/>
      </c>
      <c r="L2936" s="39" t="str">
        <f>IF(COUNTA(A2936:C2936,E2936)=0,"",IF(COUNTA(A2936:C2936,E2936)&lt;4,"Ligne incomplète",IF(NOT(ISNUMBER(A2936)),"Date invalide",IF(AND(B2936&lt;&gt;"Entrée",B2936&lt;&gt;"Sortie"),"Type inconnu",IF(ISNA(MATCH(C2936,art_ref,0)),"Référence inconnue",IF(OR(NOT(ISNUMBER(E2936)),N(E2936)&lt;=0),"Quantité invalide",IF(K2936&lt;0,"Stock négatif",IF(AND(ISNUMBER(A2935),A2936&lt;A2935),"Date hors ordre","OK"))))))))</f>
        <v/>
      </c>
      <c r="M2936" s="39" t="str">
        <f>IF(C2936="","",C2936&amp;"#"&amp;COUNTIF($C$5:C2936,C2936))</f>
        <v/>
      </c>
    </row>
    <row r="2937">
      <c r="A2937" s="41" t="n"/>
      <c r="B2937" s="37" t="n"/>
      <c r="C2937" s="37" t="n"/>
      <c r="D2937" s="39" t="str">
        <f>IF(C2937="","",IFERROR(INDEX(art_des,MATCH(C2937,art_ref,0))&amp;"","Référence inconnue"))</f>
        <v/>
      </c>
      <c r="E2937" s="37" t="n"/>
      <c r="F2937" s="39" t="str">
        <f>IF(C2937="","",IFERROR(INDEX(art_unit,MATCH(C2937,art_ref,0))&amp;"",""))</f>
        <v/>
      </c>
      <c r="G2937" s="37" t="n"/>
      <c r="H2937" s="37" t="n"/>
      <c r="I2937" s="37" t="n"/>
      <c r="J2937" s="40" t="str">
        <f>IF(OR(C2937="",NOT(ISNUMBER(E2937))),"",IFERROR(E2937*N(INDEX(art_price,MATCH(C2937,art_ref,0))),""))</f>
        <v/>
      </c>
      <c r="K2937" s="39" t="str">
        <f>IF(OR(C2937="",NOT(ISNUMBER(E2937))),"",IFERROR(ROUND(N(INDEX(art_init,MATCH(C2937,art_ref,0)))+SUMIFS($E$5:E2937,$C$5:C2937,C2937,$B$5:B2937,"Entrée")-SUMIFS($E$5:E2937,$C$5:C2937,C2937,$B$5:B2937,"Sortie"),6),""))</f>
        <v/>
      </c>
      <c r="L2937" s="39" t="str">
        <f>IF(COUNTA(A2937:C2937,E2937)=0,"",IF(COUNTA(A2937:C2937,E2937)&lt;4,"Ligne incomplète",IF(NOT(ISNUMBER(A2937)),"Date invalide",IF(AND(B2937&lt;&gt;"Entrée",B2937&lt;&gt;"Sortie"),"Type inconnu",IF(ISNA(MATCH(C2937,art_ref,0)),"Référence inconnue",IF(OR(NOT(ISNUMBER(E2937)),N(E2937)&lt;=0),"Quantité invalide",IF(K2937&lt;0,"Stock négatif",IF(AND(ISNUMBER(A2936),A2937&lt;A2936),"Date hors ordre","OK"))))))))</f>
        <v/>
      </c>
      <c r="M2937" s="39" t="str">
        <f>IF(C2937="","",C2937&amp;"#"&amp;COUNTIF($C$5:C2937,C2937))</f>
        <v/>
      </c>
    </row>
    <row r="2938">
      <c r="A2938" s="41" t="n"/>
      <c r="B2938" s="37" t="n"/>
      <c r="C2938" s="37" t="n"/>
      <c r="D2938" s="39" t="str">
        <f>IF(C2938="","",IFERROR(INDEX(art_des,MATCH(C2938,art_ref,0))&amp;"","Référence inconnue"))</f>
        <v/>
      </c>
      <c r="E2938" s="37" t="n"/>
      <c r="F2938" s="39" t="str">
        <f>IF(C2938="","",IFERROR(INDEX(art_unit,MATCH(C2938,art_ref,0))&amp;"",""))</f>
        <v/>
      </c>
      <c r="G2938" s="37" t="n"/>
      <c r="H2938" s="37" t="n"/>
      <c r="I2938" s="37" t="n"/>
      <c r="J2938" s="40" t="str">
        <f>IF(OR(C2938="",NOT(ISNUMBER(E2938))),"",IFERROR(E2938*N(INDEX(art_price,MATCH(C2938,art_ref,0))),""))</f>
        <v/>
      </c>
      <c r="K2938" s="39" t="str">
        <f>IF(OR(C2938="",NOT(ISNUMBER(E2938))),"",IFERROR(ROUND(N(INDEX(art_init,MATCH(C2938,art_ref,0)))+SUMIFS($E$5:E2938,$C$5:C2938,C2938,$B$5:B2938,"Entrée")-SUMIFS($E$5:E2938,$C$5:C2938,C2938,$B$5:B2938,"Sortie"),6),""))</f>
        <v/>
      </c>
      <c r="L2938" s="39" t="str">
        <f>IF(COUNTA(A2938:C2938,E2938)=0,"",IF(COUNTA(A2938:C2938,E2938)&lt;4,"Ligne incomplète",IF(NOT(ISNUMBER(A2938)),"Date invalide",IF(AND(B2938&lt;&gt;"Entrée",B2938&lt;&gt;"Sortie"),"Type inconnu",IF(ISNA(MATCH(C2938,art_ref,0)),"Référence inconnue",IF(OR(NOT(ISNUMBER(E2938)),N(E2938)&lt;=0),"Quantité invalide",IF(K2938&lt;0,"Stock négatif",IF(AND(ISNUMBER(A2937),A2938&lt;A2937),"Date hors ordre","OK"))))))))</f>
        <v/>
      </c>
      <c r="M2938" s="39" t="str">
        <f>IF(C2938="","",C2938&amp;"#"&amp;COUNTIF($C$5:C2938,C2938))</f>
        <v/>
      </c>
    </row>
    <row r="2939">
      <c r="A2939" s="41" t="n"/>
      <c r="B2939" s="37" t="n"/>
      <c r="C2939" s="37" t="n"/>
      <c r="D2939" s="39" t="str">
        <f>IF(C2939="","",IFERROR(INDEX(art_des,MATCH(C2939,art_ref,0))&amp;"","Référence inconnue"))</f>
        <v/>
      </c>
      <c r="E2939" s="37" t="n"/>
      <c r="F2939" s="39" t="str">
        <f>IF(C2939="","",IFERROR(INDEX(art_unit,MATCH(C2939,art_ref,0))&amp;"",""))</f>
        <v/>
      </c>
      <c r="G2939" s="37" t="n"/>
      <c r="H2939" s="37" t="n"/>
      <c r="I2939" s="37" t="n"/>
      <c r="J2939" s="40" t="str">
        <f>IF(OR(C2939="",NOT(ISNUMBER(E2939))),"",IFERROR(E2939*N(INDEX(art_price,MATCH(C2939,art_ref,0))),""))</f>
        <v/>
      </c>
      <c r="K2939" s="39" t="str">
        <f>IF(OR(C2939="",NOT(ISNUMBER(E2939))),"",IFERROR(ROUND(N(INDEX(art_init,MATCH(C2939,art_ref,0)))+SUMIFS($E$5:E2939,$C$5:C2939,C2939,$B$5:B2939,"Entrée")-SUMIFS($E$5:E2939,$C$5:C2939,C2939,$B$5:B2939,"Sortie"),6),""))</f>
        <v/>
      </c>
      <c r="L2939" s="39" t="str">
        <f>IF(COUNTA(A2939:C2939,E2939)=0,"",IF(COUNTA(A2939:C2939,E2939)&lt;4,"Ligne incomplète",IF(NOT(ISNUMBER(A2939)),"Date invalide",IF(AND(B2939&lt;&gt;"Entrée",B2939&lt;&gt;"Sortie"),"Type inconnu",IF(ISNA(MATCH(C2939,art_ref,0)),"Référence inconnue",IF(OR(NOT(ISNUMBER(E2939)),N(E2939)&lt;=0),"Quantité invalide",IF(K2939&lt;0,"Stock négatif",IF(AND(ISNUMBER(A2938),A2939&lt;A2938),"Date hors ordre","OK"))))))))</f>
        <v/>
      </c>
      <c r="M2939" s="39" t="str">
        <f>IF(C2939="","",C2939&amp;"#"&amp;COUNTIF($C$5:C2939,C2939))</f>
        <v/>
      </c>
    </row>
    <row r="2940">
      <c r="A2940" s="41" t="n"/>
      <c r="B2940" s="37" t="n"/>
      <c r="C2940" s="37" t="n"/>
      <c r="D2940" s="39" t="str">
        <f>IF(C2940="","",IFERROR(INDEX(art_des,MATCH(C2940,art_ref,0))&amp;"","Référence inconnue"))</f>
        <v/>
      </c>
      <c r="E2940" s="37" t="n"/>
      <c r="F2940" s="39" t="str">
        <f>IF(C2940="","",IFERROR(INDEX(art_unit,MATCH(C2940,art_ref,0))&amp;"",""))</f>
        <v/>
      </c>
      <c r="G2940" s="37" t="n"/>
      <c r="H2940" s="37" t="n"/>
      <c r="I2940" s="37" t="n"/>
      <c r="J2940" s="40" t="str">
        <f>IF(OR(C2940="",NOT(ISNUMBER(E2940))),"",IFERROR(E2940*N(INDEX(art_price,MATCH(C2940,art_ref,0))),""))</f>
        <v/>
      </c>
      <c r="K2940" s="39" t="str">
        <f>IF(OR(C2940="",NOT(ISNUMBER(E2940))),"",IFERROR(ROUND(N(INDEX(art_init,MATCH(C2940,art_ref,0)))+SUMIFS($E$5:E2940,$C$5:C2940,C2940,$B$5:B2940,"Entrée")-SUMIFS($E$5:E2940,$C$5:C2940,C2940,$B$5:B2940,"Sortie"),6),""))</f>
        <v/>
      </c>
      <c r="L2940" s="39" t="str">
        <f>IF(COUNTA(A2940:C2940,E2940)=0,"",IF(COUNTA(A2940:C2940,E2940)&lt;4,"Ligne incomplète",IF(NOT(ISNUMBER(A2940)),"Date invalide",IF(AND(B2940&lt;&gt;"Entrée",B2940&lt;&gt;"Sortie"),"Type inconnu",IF(ISNA(MATCH(C2940,art_ref,0)),"Référence inconnue",IF(OR(NOT(ISNUMBER(E2940)),N(E2940)&lt;=0),"Quantité invalide",IF(K2940&lt;0,"Stock négatif",IF(AND(ISNUMBER(A2939),A2940&lt;A2939),"Date hors ordre","OK"))))))))</f>
        <v/>
      </c>
      <c r="M2940" s="39" t="str">
        <f>IF(C2940="","",C2940&amp;"#"&amp;COUNTIF($C$5:C2940,C2940))</f>
        <v/>
      </c>
    </row>
    <row r="2941">
      <c r="A2941" s="41" t="n"/>
      <c r="B2941" s="37" t="n"/>
      <c r="C2941" s="37" t="n"/>
      <c r="D2941" s="39" t="str">
        <f>IF(C2941="","",IFERROR(INDEX(art_des,MATCH(C2941,art_ref,0))&amp;"","Référence inconnue"))</f>
        <v/>
      </c>
      <c r="E2941" s="37" t="n"/>
      <c r="F2941" s="39" t="str">
        <f>IF(C2941="","",IFERROR(INDEX(art_unit,MATCH(C2941,art_ref,0))&amp;"",""))</f>
        <v/>
      </c>
      <c r="G2941" s="37" t="n"/>
      <c r="H2941" s="37" t="n"/>
      <c r="I2941" s="37" t="n"/>
      <c r="J2941" s="40" t="str">
        <f>IF(OR(C2941="",NOT(ISNUMBER(E2941))),"",IFERROR(E2941*N(INDEX(art_price,MATCH(C2941,art_ref,0))),""))</f>
        <v/>
      </c>
      <c r="K2941" s="39" t="str">
        <f>IF(OR(C2941="",NOT(ISNUMBER(E2941))),"",IFERROR(ROUND(N(INDEX(art_init,MATCH(C2941,art_ref,0)))+SUMIFS($E$5:E2941,$C$5:C2941,C2941,$B$5:B2941,"Entrée")-SUMIFS($E$5:E2941,$C$5:C2941,C2941,$B$5:B2941,"Sortie"),6),""))</f>
        <v/>
      </c>
      <c r="L2941" s="39" t="str">
        <f>IF(COUNTA(A2941:C2941,E2941)=0,"",IF(COUNTA(A2941:C2941,E2941)&lt;4,"Ligne incomplète",IF(NOT(ISNUMBER(A2941)),"Date invalide",IF(AND(B2941&lt;&gt;"Entrée",B2941&lt;&gt;"Sortie"),"Type inconnu",IF(ISNA(MATCH(C2941,art_ref,0)),"Référence inconnue",IF(OR(NOT(ISNUMBER(E2941)),N(E2941)&lt;=0),"Quantité invalide",IF(K2941&lt;0,"Stock négatif",IF(AND(ISNUMBER(A2940),A2941&lt;A2940),"Date hors ordre","OK"))))))))</f>
        <v/>
      </c>
      <c r="M2941" s="39" t="str">
        <f>IF(C2941="","",C2941&amp;"#"&amp;COUNTIF($C$5:C2941,C2941))</f>
        <v/>
      </c>
    </row>
    <row r="2942">
      <c r="A2942" s="41" t="n"/>
      <c r="B2942" s="37" t="n"/>
      <c r="C2942" s="37" t="n"/>
      <c r="D2942" s="39" t="str">
        <f>IF(C2942="","",IFERROR(INDEX(art_des,MATCH(C2942,art_ref,0))&amp;"","Référence inconnue"))</f>
        <v/>
      </c>
      <c r="E2942" s="37" t="n"/>
      <c r="F2942" s="39" t="str">
        <f>IF(C2942="","",IFERROR(INDEX(art_unit,MATCH(C2942,art_ref,0))&amp;"",""))</f>
        <v/>
      </c>
      <c r="G2942" s="37" t="n"/>
      <c r="H2942" s="37" t="n"/>
      <c r="I2942" s="37" t="n"/>
      <c r="J2942" s="40" t="str">
        <f>IF(OR(C2942="",NOT(ISNUMBER(E2942))),"",IFERROR(E2942*N(INDEX(art_price,MATCH(C2942,art_ref,0))),""))</f>
        <v/>
      </c>
      <c r="K2942" s="39" t="str">
        <f>IF(OR(C2942="",NOT(ISNUMBER(E2942))),"",IFERROR(ROUND(N(INDEX(art_init,MATCH(C2942,art_ref,0)))+SUMIFS($E$5:E2942,$C$5:C2942,C2942,$B$5:B2942,"Entrée")-SUMIFS($E$5:E2942,$C$5:C2942,C2942,$B$5:B2942,"Sortie"),6),""))</f>
        <v/>
      </c>
      <c r="L2942" s="39" t="str">
        <f>IF(COUNTA(A2942:C2942,E2942)=0,"",IF(COUNTA(A2942:C2942,E2942)&lt;4,"Ligne incomplète",IF(NOT(ISNUMBER(A2942)),"Date invalide",IF(AND(B2942&lt;&gt;"Entrée",B2942&lt;&gt;"Sortie"),"Type inconnu",IF(ISNA(MATCH(C2942,art_ref,0)),"Référence inconnue",IF(OR(NOT(ISNUMBER(E2942)),N(E2942)&lt;=0),"Quantité invalide",IF(K2942&lt;0,"Stock négatif",IF(AND(ISNUMBER(A2941),A2942&lt;A2941),"Date hors ordre","OK"))))))))</f>
        <v/>
      </c>
      <c r="M2942" s="39" t="str">
        <f>IF(C2942="","",C2942&amp;"#"&amp;COUNTIF($C$5:C2942,C2942))</f>
        <v/>
      </c>
    </row>
    <row r="2943">
      <c r="A2943" s="41" t="n"/>
      <c r="B2943" s="37" t="n"/>
      <c r="C2943" s="37" t="n"/>
      <c r="D2943" s="39" t="str">
        <f>IF(C2943="","",IFERROR(INDEX(art_des,MATCH(C2943,art_ref,0))&amp;"","Référence inconnue"))</f>
        <v/>
      </c>
      <c r="E2943" s="37" t="n"/>
      <c r="F2943" s="39" t="str">
        <f>IF(C2943="","",IFERROR(INDEX(art_unit,MATCH(C2943,art_ref,0))&amp;"",""))</f>
        <v/>
      </c>
      <c r="G2943" s="37" t="n"/>
      <c r="H2943" s="37" t="n"/>
      <c r="I2943" s="37" t="n"/>
      <c r="J2943" s="40" t="str">
        <f>IF(OR(C2943="",NOT(ISNUMBER(E2943))),"",IFERROR(E2943*N(INDEX(art_price,MATCH(C2943,art_ref,0))),""))</f>
        <v/>
      </c>
      <c r="K2943" s="39" t="str">
        <f>IF(OR(C2943="",NOT(ISNUMBER(E2943))),"",IFERROR(ROUND(N(INDEX(art_init,MATCH(C2943,art_ref,0)))+SUMIFS($E$5:E2943,$C$5:C2943,C2943,$B$5:B2943,"Entrée")-SUMIFS($E$5:E2943,$C$5:C2943,C2943,$B$5:B2943,"Sortie"),6),""))</f>
        <v/>
      </c>
      <c r="L2943" s="39" t="str">
        <f>IF(COUNTA(A2943:C2943,E2943)=0,"",IF(COUNTA(A2943:C2943,E2943)&lt;4,"Ligne incomplète",IF(NOT(ISNUMBER(A2943)),"Date invalide",IF(AND(B2943&lt;&gt;"Entrée",B2943&lt;&gt;"Sortie"),"Type inconnu",IF(ISNA(MATCH(C2943,art_ref,0)),"Référence inconnue",IF(OR(NOT(ISNUMBER(E2943)),N(E2943)&lt;=0),"Quantité invalide",IF(K2943&lt;0,"Stock négatif",IF(AND(ISNUMBER(A2942),A2943&lt;A2942),"Date hors ordre","OK"))))))))</f>
        <v/>
      </c>
      <c r="M2943" s="39" t="str">
        <f>IF(C2943="","",C2943&amp;"#"&amp;COUNTIF($C$5:C2943,C2943))</f>
        <v/>
      </c>
    </row>
    <row r="2944">
      <c r="A2944" s="41" t="n"/>
      <c r="B2944" s="37" t="n"/>
      <c r="C2944" s="37" t="n"/>
      <c r="D2944" s="39" t="str">
        <f>IF(C2944="","",IFERROR(INDEX(art_des,MATCH(C2944,art_ref,0))&amp;"","Référence inconnue"))</f>
        <v/>
      </c>
      <c r="E2944" s="37" t="n"/>
      <c r="F2944" s="39" t="str">
        <f>IF(C2944="","",IFERROR(INDEX(art_unit,MATCH(C2944,art_ref,0))&amp;"",""))</f>
        <v/>
      </c>
      <c r="G2944" s="37" t="n"/>
      <c r="H2944" s="37" t="n"/>
      <c r="I2944" s="37" t="n"/>
      <c r="J2944" s="40" t="str">
        <f>IF(OR(C2944="",NOT(ISNUMBER(E2944))),"",IFERROR(E2944*N(INDEX(art_price,MATCH(C2944,art_ref,0))),""))</f>
        <v/>
      </c>
      <c r="K2944" s="39" t="str">
        <f>IF(OR(C2944="",NOT(ISNUMBER(E2944))),"",IFERROR(ROUND(N(INDEX(art_init,MATCH(C2944,art_ref,0)))+SUMIFS($E$5:E2944,$C$5:C2944,C2944,$B$5:B2944,"Entrée")-SUMIFS($E$5:E2944,$C$5:C2944,C2944,$B$5:B2944,"Sortie"),6),""))</f>
        <v/>
      </c>
      <c r="L2944" s="39" t="str">
        <f>IF(COUNTA(A2944:C2944,E2944)=0,"",IF(COUNTA(A2944:C2944,E2944)&lt;4,"Ligne incomplète",IF(NOT(ISNUMBER(A2944)),"Date invalide",IF(AND(B2944&lt;&gt;"Entrée",B2944&lt;&gt;"Sortie"),"Type inconnu",IF(ISNA(MATCH(C2944,art_ref,0)),"Référence inconnue",IF(OR(NOT(ISNUMBER(E2944)),N(E2944)&lt;=0),"Quantité invalide",IF(K2944&lt;0,"Stock négatif",IF(AND(ISNUMBER(A2943),A2944&lt;A2943),"Date hors ordre","OK"))))))))</f>
        <v/>
      </c>
      <c r="M2944" s="39" t="str">
        <f>IF(C2944="","",C2944&amp;"#"&amp;COUNTIF($C$5:C2944,C2944))</f>
        <v/>
      </c>
    </row>
    <row r="2945">
      <c r="A2945" s="41" t="n"/>
      <c r="B2945" s="37" t="n"/>
      <c r="C2945" s="37" t="n"/>
      <c r="D2945" s="39" t="str">
        <f>IF(C2945="","",IFERROR(INDEX(art_des,MATCH(C2945,art_ref,0))&amp;"","Référence inconnue"))</f>
        <v/>
      </c>
      <c r="E2945" s="37" t="n"/>
      <c r="F2945" s="39" t="str">
        <f>IF(C2945="","",IFERROR(INDEX(art_unit,MATCH(C2945,art_ref,0))&amp;"",""))</f>
        <v/>
      </c>
      <c r="G2945" s="37" t="n"/>
      <c r="H2945" s="37" t="n"/>
      <c r="I2945" s="37" t="n"/>
      <c r="J2945" s="40" t="str">
        <f>IF(OR(C2945="",NOT(ISNUMBER(E2945))),"",IFERROR(E2945*N(INDEX(art_price,MATCH(C2945,art_ref,0))),""))</f>
        <v/>
      </c>
      <c r="K2945" s="39" t="str">
        <f>IF(OR(C2945="",NOT(ISNUMBER(E2945))),"",IFERROR(ROUND(N(INDEX(art_init,MATCH(C2945,art_ref,0)))+SUMIFS($E$5:E2945,$C$5:C2945,C2945,$B$5:B2945,"Entrée")-SUMIFS($E$5:E2945,$C$5:C2945,C2945,$B$5:B2945,"Sortie"),6),""))</f>
        <v/>
      </c>
      <c r="L2945" s="39" t="str">
        <f>IF(COUNTA(A2945:C2945,E2945)=0,"",IF(COUNTA(A2945:C2945,E2945)&lt;4,"Ligne incomplète",IF(NOT(ISNUMBER(A2945)),"Date invalide",IF(AND(B2945&lt;&gt;"Entrée",B2945&lt;&gt;"Sortie"),"Type inconnu",IF(ISNA(MATCH(C2945,art_ref,0)),"Référence inconnue",IF(OR(NOT(ISNUMBER(E2945)),N(E2945)&lt;=0),"Quantité invalide",IF(K2945&lt;0,"Stock négatif",IF(AND(ISNUMBER(A2944),A2945&lt;A2944),"Date hors ordre","OK"))))))))</f>
        <v/>
      </c>
      <c r="M2945" s="39" t="str">
        <f>IF(C2945="","",C2945&amp;"#"&amp;COUNTIF($C$5:C2945,C2945))</f>
        <v/>
      </c>
    </row>
    <row r="2946">
      <c r="A2946" s="41" t="n"/>
      <c r="B2946" s="37" t="n"/>
      <c r="C2946" s="37" t="n"/>
      <c r="D2946" s="39" t="str">
        <f>IF(C2946="","",IFERROR(INDEX(art_des,MATCH(C2946,art_ref,0))&amp;"","Référence inconnue"))</f>
        <v/>
      </c>
      <c r="E2946" s="37" t="n"/>
      <c r="F2946" s="39" t="str">
        <f>IF(C2946="","",IFERROR(INDEX(art_unit,MATCH(C2946,art_ref,0))&amp;"",""))</f>
        <v/>
      </c>
      <c r="G2946" s="37" t="n"/>
      <c r="H2946" s="37" t="n"/>
      <c r="I2946" s="37" t="n"/>
      <c r="J2946" s="40" t="str">
        <f>IF(OR(C2946="",NOT(ISNUMBER(E2946))),"",IFERROR(E2946*N(INDEX(art_price,MATCH(C2946,art_ref,0))),""))</f>
        <v/>
      </c>
      <c r="K2946" s="39" t="str">
        <f>IF(OR(C2946="",NOT(ISNUMBER(E2946))),"",IFERROR(ROUND(N(INDEX(art_init,MATCH(C2946,art_ref,0)))+SUMIFS($E$5:E2946,$C$5:C2946,C2946,$B$5:B2946,"Entrée")-SUMIFS($E$5:E2946,$C$5:C2946,C2946,$B$5:B2946,"Sortie"),6),""))</f>
        <v/>
      </c>
      <c r="L2946" s="39" t="str">
        <f>IF(COUNTA(A2946:C2946,E2946)=0,"",IF(COUNTA(A2946:C2946,E2946)&lt;4,"Ligne incomplète",IF(NOT(ISNUMBER(A2946)),"Date invalide",IF(AND(B2946&lt;&gt;"Entrée",B2946&lt;&gt;"Sortie"),"Type inconnu",IF(ISNA(MATCH(C2946,art_ref,0)),"Référence inconnue",IF(OR(NOT(ISNUMBER(E2946)),N(E2946)&lt;=0),"Quantité invalide",IF(K2946&lt;0,"Stock négatif",IF(AND(ISNUMBER(A2945),A2946&lt;A2945),"Date hors ordre","OK"))))))))</f>
        <v/>
      </c>
      <c r="M2946" s="39" t="str">
        <f>IF(C2946="","",C2946&amp;"#"&amp;COUNTIF($C$5:C2946,C2946))</f>
        <v/>
      </c>
    </row>
    <row r="2947">
      <c r="A2947" s="41" t="n"/>
      <c r="B2947" s="37" t="n"/>
      <c r="C2947" s="37" t="n"/>
      <c r="D2947" s="39" t="str">
        <f>IF(C2947="","",IFERROR(INDEX(art_des,MATCH(C2947,art_ref,0))&amp;"","Référence inconnue"))</f>
        <v/>
      </c>
      <c r="E2947" s="37" t="n"/>
      <c r="F2947" s="39" t="str">
        <f>IF(C2947="","",IFERROR(INDEX(art_unit,MATCH(C2947,art_ref,0))&amp;"",""))</f>
        <v/>
      </c>
      <c r="G2947" s="37" t="n"/>
      <c r="H2947" s="37" t="n"/>
      <c r="I2947" s="37" t="n"/>
      <c r="J2947" s="40" t="str">
        <f>IF(OR(C2947="",NOT(ISNUMBER(E2947))),"",IFERROR(E2947*N(INDEX(art_price,MATCH(C2947,art_ref,0))),""))</f>
        <v/>
      </c>
      <c r="K2947" s="39" t="str">
        <f>IF(OR(C2947="",NOT(ISNUMBER(E2947))),"",IFERROR(ROUND(N(INDEX(art_init,MATCH(C2947,art_ref,0)))+SUMIFS($E$5:E2947,$C$5:C2947,C2947,$B$5:B2947,"Entrée")-SUMIFS($E$5:E2947,$C$5:C2947,C2947,$B$5:B2947,"Sortie"),6),""))</f>
        <v/>
      </c>
      <c r="L2947" s="39" t="str">
        <f>IF(COUNTA(A2947:C2947,E2947)=0,"",IF(COUNTA(A2947:C2947,E2947)&lt;4,"Ligne incomplète",IF(NOT(ISNUMBER(A2947)),"Date invalide",IF(AND(B2947&lt;&gt;"Entrée",B2947&lt;&gt;"Sortie"),"Type inconnu",IF(ISNA(MATCH(C2947,art_ref,0)),"Référence inconnue",IF(OR(NOT(ISNUMBER(E2947)),N(E2947)&lt;=0),"Quantité invalide",IF(K2947&lt;0,"Stock négatif",IF(AND(ISNUMBER(A2946),A2947&lt;A2946),"Date hors ordre","OK"))))))))</f>
        <v/>
      </c>
      <c r="M2947" s="39" t="str">
        <f>IF(C2947="","",C2947&amp;"#"&amp;COUNTIF($C$5:C2947,C2947))</f>
        <v/>
      </c>
    </row>
    <row r="2948">
      <c r="A2948" s="41" t="n"/>
      <c r="B2948" s="37" t="n"/>
      <c r="C2948" s="37" t="n"/>
      <c r="D2948" s="39" t="str">
        <f>IF(C2948="","",IFERROR(INDEX(art_des,MATCH(C2948,art_ref,0))&amp;"","Référence inconnue"))</f>
        <v/>
      </c>
      <c r="E2948" s="37" t="n"/>
      <c r="F2948" s="39" t="str">
        <f>IF(C2948="","",IFERROR(INDEX(art_unit,MATCH(C2948,art_ref,0))&amp;"",""))</f>
        <v/>
      </c>
      <c r="G2948" s="37" t="n"/>
      <c r="H2948" s="37" t="n"/>
      <c r="I2948" s="37" t="n"/>
      <c r="J2948" s="40" t="str">
        <f>IF(OR(C2948="",NOT(ISNUMBER(E2948))),"",IFERROR(E2948*N(INDEX(art_price,MATCH(C2948,art_ref,0))),""))</f>
        <v/>
      </c>
      <c r="K2948" s="39" t="str">
        <f>IF(OR(C2948="",NOT(ISNUMBER(E2948))),"",IFERROR(ROUND(N(INDEX(art_init,MATCH(C2948,art_ref,0)))+SUMIFS($E$5:E2948,$C$5:C2948,C2948,$B$5:B2948,"Entrée")-SUMIFS($E$5:E2948,$C$5:C2948,C2948,$B$5:B2948,"Sortie"),6),""))</f>
        <v/>
      </c>
      <c r="L2948" s="39" t="str">
        <f>IF(COUNTA(A2948:C2948,E2948)=0,"",IF(COUNTA(A2948:C2948,E2948)&lt;4,"Ligne incomplète",IF(NOT(ISNUMBER(A2948)),"Date invalide",IF(AND(B2948&lt;&gt;"Entrée",B2948&lt;&gt;"Sortie"),"Type inconnu",IF(ISNA(MATCH(C2948,art_ref,0)),"Référence inconnue",IF(OR(NOT(ISNUMBER(E2948)),N(E2948)&lt;=0),"Quantité invalide",IF(K2948&lt;0,"Stock négatif",IF(AND(ISNUMBER(A2947),A2948&lt;A2947),"Date hors ordre","OK"))))))))</f>
        <v/>
      </c>
      <c r="M2948" s="39" t="str">
        <f>IF(C2948="","",C2948&amp;"#"&amp;COUNTIF($C$5:C2948,C2948))</f>
        <v/>
      </c>
    </row>
    <row r="2949">
      <c r="A2949" s="41" t="n"/>
      <c r="B2949" s="37" t="n"/>
      <c r="C2949" s="37" t="n"/>
      <c r="D2949" s="39" t="str">
        <f>IF(C2949="","",IFERROR(INDEX(art_des,MATCH(C2949,art_ref,0))&amp;"","Référence inconnue"))</f>
        <v/>
      </c>
      <c r="E2949" s="37" t="n"/>
      <c r="F2949" s="39" t="str">
        <f>IF(C2949="","",IFERROR(INDEX(art_unit,MATCH(C2949,art_ref,0))&amp;"",""))</f>
        <v/>
      </c>
      <c r="G2949" s="37" t="n"/>
      <c r="H2949" s="37" t="n"/>
      <c r="I2949" s="37" t="n"/>
      <c r="J2949" s="40" t="str">
        <f>IF(OR(C2949="",NOT(ISNUMBER(E2949))),"",IFERROR(E2949*N(INDEX(art_price,MATCH(C2949,art_ref,0))),""))</f>
        <v/>
      </c>
      <c r="K2949" s="39" t="str">
        <f>IF(OR(C2949="",NOT(ISNUMBER(E2949))),"",IFERROR(ROUND(N(INDEX(art_init,MATCH(C2949,art_ref,0)))+SUMIFS($E$5:E2949,$C$5:C2949,C2949,$B$5:B2949,"Entrée")-SUMIFS($E$5:E2949,$C$5:C2949,C2949,$B$5:B2949,"Sortie"),6),""))</f>
        <v/>
      </c>
      <c r="L2949" s="39" t="str">
        <f>IF(COUNTA(A2949:C2949,E2949)=0,"",IF(COUNTA(A2949:C2949,E2949)&lt;4,"Ligne incomplète",IF(NOT(ISNUMBER(A2949)),"Date invalide",IF(AND(B2949&lt;&gt;"Entrée",B2949&lt;&gt;"Sortie"),"Type inconnu",IF(ISNA(MATCH(C2949,art_ref,0)),"Référence inconnue",IF(OR(NOT(ISNUMBER(E2949)),N(E2949)&lt;=0),"Quantité invalide",IF(K2949&lt;0,"Stock négatif",IF(AND(ISNUMBER(A2948),A2949&lt;A2948),"Date hors ordre","OK"))))))))</f>
        <v/>
      </c>
      <c r="M2949" s="39" t="str">
        <f>IF(C2949="","",C2949&amp;"#"&amp;COUNTIF($C$5:C2949,C2949))</f>
        <v/>
      </c>
    </row>
    <row r="2950">
      <c r="A2950" s="41" t="n"/>
      <c r="B2950" s="37" t="n"/>
      <c r="C2950" s="37" t="n"/>
      <c r="D2950" s="39" t="str">
        <f>IF(C2950="","",IFERROR(INDEX(art_des,MATCH(C2950,art_ref,0))&amp;"","Référence inconnue"))</f>
        <v/>
      </c>
      <c r="E2950" s="37" t="n"/>
      <c r="F2950" s="39" t="str">
        <f>IF(C2950="","",IFERROR(INDEX(art_unit,MATCH(C2950,art_ref,0))&amp;"",""))</f>
        <v/>
      </c>
      <c r="G2950" s="37" t="n"/>
      <c r="H2950" s="37" t="n"/>
      <c r="I2950" s="37" t="n"/>
      <c r="J2950" s="40" t="str">
        <f>IF(OR(C2950="",NOT(ISNUMBER(E2950))),"",IFERROR(E2950*N(INDEX(art_price,MATCH(C2950,art_ref,0))),""))</f>
        <v/>
      </c>
      <c r="K2950" s="39" t="str">
        <f>IF(OR(C2950="",NOT(ISNUMBER(E2950))),"",IFERROR(ROUND(N(INDEX(art_init,MATCH(C2950,art_ref,0)))+SUMIFS($E$5:E2950,$C$5:C2950,C2950,$B$5:B2950,"Entrée")-SUMIFS($E$5:E2950,$C$5:C2950,C2950,$B$5:B2950,"Sortie"),6),""))</f>
        <v/>
      </c>
      <c r="L2950" s="39" t="str">
        <f>IF(COUNTA(A2950:C2950,E2950)=0,"",IF(COUNTA(A2950:C2950,E2950)&lt;4,"Ligne incomplète",IF(NOT(ISNUMBER(A2950)),"Date invalide",IF(AND(B2950&lt;&gt;"Entrée",B2950&lt;&gt;"Sortie"),"Type inconnu",IF(ISNA(MATCH(C2950,art_ref,0)),"Référence inconnue",IF(OR(NOT(ISNUMBER(E2950)),N(E2950)&lt;=0),"Quantité invalide",IF(K2950&lt;0,"Stock négatif",IF(AND(ISNUMBER(A2949),A2950&lt;A2949),"Date hors ordre","OK"))))))))</f>
        <v/>
      </c>
      <c r="M2950" s="39" t="str">
        <f>IF(C2950="","",C2950&amp;"#"&amp;COUNTIF($C$5:C2950,C2950))</f>
        <v/>
      </c>
    </row>
    <row r="2951">
      <c r="A2951" s="41" t="n"/>
      <c r="B2951" s="37" t="n"/>
      <c r="C2951" s="37" t="n"/>
      <c r="D2951" s="39" t="str">
        <f>IF(C2951="","",IFERROR(INDEX(art_des,MATCH(C2951,art_ref,0))&amp;"","Référence inconnue"))</f>
        <v/>
      </c>
      <c r="E2951" s="37" t="n"/>
      <c r="F2951" s="39" t="str">
        <f>IF(C2951="","",IFERROR(INDEX(art_unit,MATCH(C2951,art_ref,0))&amp;"",""))</f>
        <v/>
      </c>
      <c r="G2951" s="37" t="n"/>
      <c r="H2951" s="37" t="n"/>
      <c r="I2951" s="37" t="n"/>
      <c r="J2951" s="40" t="str">
        <f>IF(OR(C2951="",NOT(ISNUMBER(E2951))),"",IFERROR(E2951*N(INDEX(art_price,MATCH(C2951,art_ref,0))),""))</f>
        <v/>
      </c>
      <c r="K2951" s="39" t="str">
        <f>IF(OR(C2951="",NOT(ISNUMBER(E2951))),"",IFERROR(ROUND(N(INDEX(art_init,MATCH(C2951,art_ref,0)))+SUMIFS($E$5:E2951,$C$5:C2951,C2951,$B$5:B2951,"Entrée")-SUMIFS($E$5:E2951,$C$5:C2951,C2951,$B$5:B2951,"Sortie"),6),""))</f>
        <v/>
      </c>
      <c r="L2951" s="39" t="str">
        <f>IF(COUNTA(A2951:C2951,E2951)=0,"",IF(COUNTA(A2951:C2951,E2951)&lt;4,"Ligne incomplète",IF(NOT(ISNUMBER(A2951)),"Date invalide",IF(AND(B2951&lt;&gt;"Entrée",B2951&lt;&gt;"Sortie"),"Type inconnu",IF(ISNA(MATCH(C2951,art_ref,0)),"Référence inconnue",IF(OR(NOT(ISNUMBER(E2951)),N(E2951)&lt;=0),"Quantité invalide",IF(K2951&lt;0,"Stock négatif",IF(AND(ISNUMBER(A2950),A2951&lt;A2950),"Date hors ordre","OK"))))))))</f>
        <v/>
      </c>
      <c r="M2951" s="39" t="str">
        <f>IF(C2951="","",C2951&amp;"#"&amp;COUNTIF($C$5:C2951,C2951))</f>
        <v/>
      </c>
    </row>
    <row r="2952">
      <c r="A2952" s="41" t="n"/>
      <c r="B2952" s="37" t="n"/>
      <c r="C2952" s="37" t="n"/>
      <c r="D2952" s="39" t="str">
        <f>IF(C2952="","",IFERROR(INDEX(art_des,MATCH(C2952,art_ref,0))&amp;"","Référence inconnue"))</f>
        <v/>
      </c>
      <c r="E2952" s="37" t="n"/>
      <c r="F2952" s="39" t="str">
        <f>IF(C2952="","",IFERROR(INDEX(art_unit,MATCH(C2952,art_ref,0))&amp;"",""))</f>
        <v/>
      </c>
      <c r="G2952" s="37" t="n"/>
      <c r="H2952" s="37" t="n"/>
      <c r="I2952" s="37" t="n"/>
      <c r="J2952" s="40" t="str">
        <f>IF(OR(C2952="",NOT(ISNUMBER(E2952))),"",IFERROR(E2952*N(INDEX(art_price,MATCH(C2952,art_ref,0))),""))</f>
        <v/>
      </c>
      <c r="K2952" s="39" t="str">
        <f>IF(OR(C2952="",NOT(ISNUMBER(E2952))),"",IFERROR(ROUND(N(INDEX(art_init,MATCH(C2952,art_ref,0)))+SUMIFS($E$5:E2952,$C$5:C2952,C2952,$B$5:B2952,"Entrée")-SUMIFS($E$5:E2952,$C$5:C2952,C2952,$B$5:B2952,"Sortie"),6),""))</f>
        <v/>
      </c>
      <c r="L2952" s="39" t="str">
        <f>IF(COUNTA(A2952:C2952,E2952)=0,"",IF(COUNTA(A2952:C2952,E2952)&lt;4,"Ligne incomplète",IF(NOT(ISNUMBER(A2952)),"Date invalide",IF(AND(B2952&lt;&gt;"Entrée",B2952&lt;&gt;"Sortie"),"Type inconnu",IF(ISNA(MATCH(C2952,art_ref,0)),"Référence inconnue",IF(OR(NOT(ISNUMBER(E2952)),N(E2952)&lt;=0),"Quantité invalide",IF(K2952&lt;0,"Stock négatif",IF(AND(ISNUMBER(A2951),A2952&lt;A2951),"Date hors ordre","OK"))))))))</f>
        <v/>
      </c>
      <c r="M2952" s="39" t="str">
        <f>IF(C2952="","",C2952&amp;"#"&amp;COUNTIF($C$5:C2952,C2952))</f>
        <v/>
      </c>
    </row>
    <row r="2953">
      <c r="A2953" s="41" t="n"/>
      <c r="B2953" s="37" t="n"/>
      <c r="C2953" s="37" t="n"/>
      <c r="D2953" s="39" t="str">
        <f>IF(C2953="","",IFERROR(INDEX(art_des,MATCH(C2953,art_ref,0))&amp;"","Référence inconnue"))</f>
        <v/>
      </c>
      <c r="E2953" s="37" t="n"/>
      <c r="F2953" s="39" t="str">
        <f>IF(C2953="","",IFERROR(INDEX(art_unit,MATCH(C2953,art_ref,0))&amp;"",""))</f>
        <v/>
      </c>
      <c r="G2953" s="37" t="n"/>
      <c r="H2953" s="37" t="n"/>
      <c r="I2953" s="37" t="n"/>
      <c r="J2953" s="40" t="str">
        <f>IF(OR(C2953="",NOT(ISNUMBER(E2953))),"",IFERROR(E2953*N(INDEX(art_price,MATCH(C2953,art_ref,0))),""))</f>
        <v/>
      </c>
      <c r="K2953" s="39" t="str">
        <f>IF(OR(C2953="",NOT(ISNUMBER(E2953))),"",IFERROR(ROUND(N(INDEX(art_init,MATCH(C2953,art_ref,0)))+SUMIFS($E$5:E2953,$C$5:C2953,C2953,$B$5:B2953,"Entrée")-SUMIFS($E$5:E2953,$C$5:C2953,C2953,$B$5:B2953,"Sortie"),6),""))</f>
        <v/>
      </c>
      <c r="L2953" s="39" t="str">
        <f>IF(COUNTA(A2953:C2953,E2953)=0,"",IF(COUNTA(A2953:C2953,E2953)&lt;4,"Ligne incomplète",IF(NOT(ISNUMBER(A2953)),"Date invalide",IF(AND(B2953&lt;&gt;"Entrée",B2953&lt;&gt;"Sortie"),"Type inconnu",IF(ISNA(MATCH(C2953,art_ref,0)),"Référence inconnue",IF(OR(NOT(ISNUMBER(E2953)),N(E2953)&lt;=0),"Quantité invalide",IF(K2953&lt;0,"Stock négatif",IF(AND(ISNUMBER(A2952),A2953&lt;A2952),"Date hors ordre","OK"))))))))</f>
        <v/>
      </c>
      <c r="M2953" s="39" t="str">
        <f>IF(C2953="","",C2953&amp;"#"&amp;COUNTIF($C$5:C2953,C2953))</f>
        <v/>
      </c>
    </row>
    <row r="2954">
      <c r="A2954" s="41" t="n"/>
      <c r="B2954" s="37" t="n"/>
      <c r="C2954" s="37" t="n"/>
      <c r="D2954" s="39" t="str">
        <f>IF(C2954="","",IFERROR(INDEX(art_des,MATCH(C2954,art_ref,0))&amp;"","Référence inconnue"))</f>
        <v/>
      </c>
      <c r="E2954" s="37" t="n"/>
      <c r="F2954" s="39" t="str">
        <f>IF(C2954="","",IFERROR(INDEX(art_unit,MATCH(C2954,art_ref,0))&amp;"",""))</f>
        <v/>
      </c>
      <c r="G2954" s="37" t="n"/>
      <c r="H2954" s="37" t="n"/>
      <c r="I2954" s="37" t="n"/>
      <c r="J2954" s="40" t="str">
        <f>IF(OR(C2954="",NOT(ISNUMBER(E2954))),"",IFERROR(E2954*N(INDEX(art_price,MATCH(C2954,art_ref,0))),""))</f>
        <v/>
      </c>
      <c r="K2954" s="39" t="str">
        <f>IF(OR(C2954="",NOT(ISNUMBER(E2954))),"",IFERROR(ROUND(N(INDEX(art_init,MATCH(C2954,art_ref,0)))+SUMIFS($E$5:E2954,$C$5:C2954,C2954,$B$5:B2954,"Entrée")-SUMIFS($E$5:E2954,$C$5:C2954,C2954,$B$5:B2954,"Sortie"),6),""))</f>
        <v/>
      </c>
      <c r="L2954" s="39" t="str">
        <f>IF(COUNTA(A2954:C2954,E2954)=0,"",IF(COUNTA(A2954:C2954,E2954)&lt;4,"Ligne incomplète",IF(NOT(ISNUMBER(A2954)),"Date invalide",IF(AND(B2954&lt;&gt;"Entrée",B2954&lt;&gt;"Sortie"),"Type inconnu",IF(ISNA(MATCH(C2954,art_ref,0)),"Référence inconnue",IF(OR(NOT(ISNUMBER(E2954)),N(E2954)&lt;=0),"Quantité invalide",IF(K2954&lt;0,"Stock négatif",IF(AND(ISNUMBER(A2953),A2954&lt;A2953),"Date hors ordre","OK"))))))))</f>
        <v/>
      </c>
      <c r="M2954" s="39" t="str">
        <f>IF(C2954="","",C2954&amp;"#"&amp;COUNTIF($C$5:C2954,C2954))</f>
        <v/>
      </c>
    </row>
    <row r="2955">
      <c r="A2955" s="41" t="n"/>
      <c r="B2955" s="37" t="n"/>
      <c r="C2955" s="37" t="n"/>
      <c r="D2955" s="39" t="str">
        <f>IF(C2955="","",IFERROR(INDEX(art_des,MATCH(C2955,art_ref,0))&amp;"","Référence inconnue"))</f>
        <v/>
      </c>
      <c r="E2955" s="37" t="n"/>
      <c r="F2955" s="39" t="str">
        <f>IF(C2955="","",IFERROR(INDEX(art_unit,MATCH(C2955,art_ref,0))&amp;"",""))</f>
        <v/>
      </c>
      <c r="G2955" s="37" t="n"/>
      <c r="H2955" s="37" t="n"/>
      <c r="I2955" s="37" t="n"/>
      <c r="J2955" s="40" t="str">
        <f>IF(OR(C2955="",NOT(ISNUMBER(E2955))),"",IFERROR(E2955*N(INDEX(art_price,MATCH(C2955,art_ref,0))),""))</f>
        <v/>
      </c>
      <c r="K2955" s="39" t="str">
        <f>IF(OR(C2955="",NOT(ISNUMBER(E2955))),"",IFERROR(ROUND(N(INDEX(art_init,MATCH(C2955,art_ref,0)))+SUMIFS($E$5:E2955,$C$5:C2955,C2955,$B$5:B2955,"Entrée")-SUMIFS($E$5:E2955,$C$5:C2955,C2955,$B$5:B2955,"Sortie"),6),""))</f>
        <v/>
      </c>
      <c r="L2955" s="39" t="str">
        <f>IF(COUNTA(A2955:C2955,E2955)=0,"",IF(COUNTA(A2955:C2955,E2955)&lt;4,"Ligne incomplète",IF(NOT(ISNUMBER(A2955)),"Date invalide",IF(AND(B2955&lt;&gt;"Entrée",B2955&lt;&gt;"Sortie"),"Type inconnu",IF(ISNA(MATCH(C2955,art_ref,0)),"Référence inconnue",IF(OR(NOT(ISNUMBER(E2955)),N(E2955)&lt;=0),"Quantité invalide",IF(K2955&lt;0,"Stock négatif",IF(AND(ISNUMBER(A2954),A2955&lt;A2954),"Date hors ordre","OK"))))))))</f>
        <v/>
      </c>
      <c r="M2955" s="39" t="str">
        <f>IF(C2955="","",C2955&amp;"#"&amp;COUNTIF($C$5:C2955,C2955))</f>
        <v/>
      </c>
    </row>
    <row r="2956">
      <c r="A2956" s="41" t="n"/>
      <c r="B2956" s="37" t="n"/>
      <c r="C2956" s="37" t="n"/>
      <c r="D2956" s="39" t="str">
        <f>IF(C2956="","",IFERROR(INDEX(art_des,MATCH(C2956,art_ref,0))&amp;"","Référence inconnue"))</f>
        <v/>
      </c>
      <c r="E2956" s="37" t="n"/>
      <c r="F2956" s="39" t="str">
        <f>IF(C2956="","",IFERROR(INDEX(art_unit,MATCH(C2956,art_ref,0))&amp;"",""))</f>
        <v/>
      </c>
      <c r="G2956" s="37" t="n"/>
      <c r="H2956" s="37" t="n"/>
      <c r="I2956" s="37" t="n"/>
      <c r="J2956" s="40" t="str">
        <f>IF(OR(C2956="",NOT(ISNUMBER(E2956))),"",IFERROR(E2956*N(INDEX(art_price,MATCH(C2956,art_ref,0))),""))</f>
        <v/>
      </c>
      <c r="K2956" s="39" t="str">
        <f>IF(OR(C2956="",NOT(ISNUMBER(E2956))),"",IFERROR(ROUND(N(INDEX(art_init,MATCH(C2956,art_ref,0)))+SUMIFS($E$5:E2956,$C$5:C2956,C2956,$B$5:B2956,"Entrée")-SUMIFS($E$5:E2956,$C$5:C2956,C2956,$B$5:B2956,"Sortie"),6),""))</f>
        <v/>
      </c>
      <c r="L2956" s="39" t="str">
        <f>IF(COUNTA(A2956:C2956,E2956)=0,"",IF(COUNTA(A2956:C2956,E2956)&lt;4,"Ligne incomplète",IF(NOT(ISNUMBER(A2956)),"Date invalide",IF(AND(B2956&lt;&gt;"Entrée",B2956&lt;&gt;"Sortie"),"Type inconnu",IF(ISNA(MATCH(C2956,art_ref,0)),"Référence inconnue",IF(OR(NOT(ISNUMBER(E2956)),N(E2956)&lt;=0),"Quantité invalide",IF(K2956&lt;0,"Stock négatif",IF(AND(ISNUMBER(A2955),A2956&lt;A2955),"Date hors ordre","OK"))))))))</f>
        <v/>
      </c>
      <c r="M2956" s="39" t="str">
        <f>IF(C2956="","",C2956&amp;"#"&amp;COUNTIF($C$5:C2956,C2956))</f>
        <v/>
      </c>
    </row>
    <row r="2957">
      <c r="A2957" s="41" t="n"/>
      <c r="B2957" s="37" t="n"/>
      <c r="C2957" s="37" t="n"/>
      <c r="D2957" s="39" t="str">
        <f>IF(C2957="","",IFERROR(INDEX(art_des,MATCH(C2957,art_ref,0))&amp;"","Référence inconnue"))</f>
        <v/>
      </c>
      <c r="E2957" s="37" t="n"/>
      <c r="F2957" s="39" t="str">
        <f>IF(C2957="","",IFERROR(INDEX(art_unit,MATCH(C2957,art_ref,0))&amp;"",""))</f>
        <v/>
      </c>
      <c r="G2957" s="37" t="n"/>
      <c r="H2957" s="37" t="n"/>
      <c r="I2957" s="37" t="n"/>
      <c r="J2957" s="40" t="str">
        <f>IF(OR(C2957="",NOT(ISNUMBER(E2957))),"",IFERROR(E2957*N(INDEX(art_price,MATCH(C2957,art_ref,0))),""))</f>
        <v/>
      </c>
      <c r="K2957" s="39" t="str">
        <f>IF(OR(C2957="",NOT(ISNUMBER(E2957))),"",IFERROR(ROUND(N(INDEX(art_init,MATCH(C2957,art_ref,0)))+SUMIFS($E$5:E2957,$C$5:C2957,C2957,$B$5:B2957,"Entrée")-SUMIFS($E$5:E2957,$C$5:C2957,C2957,$B$5:B2957,"Sortie"),6),""))</f>
        <v/>
      </c>
      <c r="L2957" s="39" t="str">
        <f>IF(COUNTA(A2957:C2957,E2957)=0,"",IF(COUNTA(A2957:C2957,E2957)&lt;4,"Ligne incomplète",IF(NOT(ISNUMBER(A2957)),"Date invalide",IF(AND(B2957&lt;&gt;"Entrée",B2957&lt;&gt;"Sortie"),"Type inconnu",IF(ISNA(MATCH(C2957,art_ref,0)),"Référence inconnue",IF(OR(NOT(ISNUMBER(E2957)),N(E2957)&lt;=0),"Quantité invalide",IF(K2957&lt;0,"Stock négatif",IF(AND(ISNUMBER(A2956),A2957&lt;A2956),"Date hors ordre","OK"))))))))</f>
        <v/>
      </c>
      <c r="M2957" s="39" t="str">
        <f>IF(C2957="","",C2957&amp;"#"&amp;COUNTIF($C$5:C2957,C2957))</f>
        <v/>
      </c>
    </row>
    <row r="2958">
      <c r="A2958" s="41" t="n"/>
      <c r="B2958" s="37" t="n"/>
      <c r="C2958" s="37" t="n"/>
      <c r="D2958" s="39" t="str">
        <f>IF(C2958="","",IFERROR(INDEX(art_des,MATCH(C2958,art_ref,0))&amp;"","Référence inconnue"))</f>
        <v/>
      </c>
      <c r="E2958" s="37" t="n"/>
      <c r="F2958" s="39" t="str">
        <f>IF(C2958="","",IFERROR(INDEX(art_unit,MATCH(C2958,art_ref,0))&amp;"",""))</f>
        <v/>
      </c>
      <c r="G2958" s="37" t="n"/>
      <c r="H2958" s="37" t="n"/>
      <c r="I2958" s="37" t="n"/>
      <c r="J2958" s="40" t="str">
        <f>IF(OR(C2958="",NOT(ISNUMBER(E2958))),"",IFERROR(E2958*N(INDEX(art_price,MATCH(C2958,art_ref,0))),""))</f>
        <v/>
      </c>
      <c r="K2958" s="39" t="str">
        <f>IF(OR(C2958="",NOT(ISNUMBER(E2958))),"",IFERROR(ROUND(N(INDEX(art_init,MATCH(C2958,art_ref,0)))+SUMIFS($E$5:E2958,$C$5:C2958,C2958,$B$5:B2958,"Entrée")-SUMIFS($E$5:E2958,$C$5:C2958,C2958,$B$5:B2958,"Sortie"),6),""))</f>
        <v/>
      </c>
      <c r="L2958" s="39" t="str">
        <f>IF(COUNTA(A2958:C2958,E2958)=0,"",IF(COUNTA(A2958:C2958,E2958)&lt;4,"Ligne incomplète",IF(NOT(ISNUMBER(A2958)),"Date invalide",IF(AND(B2958&lt;&gt;"Entrée",B2958&lt;&gt;"Sortie"),"Type inconnu",IF(ISNA(MATCH(C2958,art_ref,0)),"Référence inconnue",IF(OR(NOT(ISNUMBER(E2958)),N(E2958)&lt;=0),"Quantité invalide",IF(K2958&lt;0,"Stock négatif",IF(AND(ISNUMBER(A2957),A2958&lt;A2957),"Date hors ordre","OK"))))))))</f>
        <v/>
      </c>
      <c r="M2958" s="39" t="str">
        <f>IF(C2958="","",C2958&amp;"#"&amp;COUNTIF($C$5:C2958,C2958))</f>
        <v/>
      </c>
    </row>
    <row r="2959">
      <c r="A2959" s="41" t="n"/>
      <c r="B2959" s="37" t="n"/>
      <c r="C2959" s="37" t="n"/>
      <c r="D2959" s="39" t="str">
        <f>IF(C2959="","",IFERROR(INDEX(art_des,MATCH(C2959,art_ref,0))&amp;"","Référence inconnue"))</f>
        <v/>
      </c>
      <c r="E2959" s="37" t="n"/>
      <c r="F2959" s="39" t="str">
        <f>IF(C2959="","",IFERROR(INDEX(art_unit,MATCH(C2959,art_ref,0))&amp;"",""))</f>
        <v/>
      </c>
      <c r="G2959" s="37" t="n"/>
      <c r="H2959" s="37" t="n"/>
      <c r="I2959" s="37" t="n"/>
      <c r="J2959" s="40" t="str">
        <f>IF(OR(C2959="",NOT(ISNUMBER(E2959))),"",IFERROR(E2959*N(INDEX(art_price,MATCH(C2959,art_ref,0))),""))</f>
        <v/>
      </c>
      <c r="K2959" s="39" t="str">
        <f>IF(OR(C2959="",NOT(ISNUMBER(E2959))),"",IFERROR(ROUND(N(INDEX(art_init,MATCH(C2959,art_ref,0)))+SUMIFS($E$5:E2959,$C$5:C2959,C2959,$B$5:B2959,"Entrée")-SUMIFS($E$5:E2959,$C$5:C2959,C2959,$B$5:B2959,"Sortie"),6),""))</f>
        <v/>
      </c>
      <c r="L2959" s="39" t="str">
        <f>IF(COUNTA(A2959:C2959,E2959)=0,"",IF(COUNTA(A2959:C2959,E2959)&lt;4,"Ligne incomplète",IF(NOT(ISNUMBER(A2959)),"Date invalide",IF(AND(B2959&lt;&gt;"Entrée",B2959&lt;&gt;"Sortie"),"Type inconnu",IF(ISNA(MATCH(C2959,art_ref,0)),"Référence inconnue",IF(OR(NOT(ISNUMBER(E2959)),N(E2959)&lt;=0),"Quantité invalide",IF(K2959&lt;0,"Stock négatif",IF(AND(ISNUMBER(A2958),A2959&lt;A2958),"Date hors ordre","OK"))))))))</f>
        <v/>
      </c>
      <c r="M2959" s="39" t="str">
        <f>IF(C2959="","",C2959&amp;"#"&amp;COUNTIF($C$5:C2959,C2959))</f>
        <v/>
      </c>
    </row>
    <row r="2960">
      <c r="A2960" s="41" t="n"/>
      <c r="B2960" s="37" t="n"/>
      <c r="C2960" s="37" t="n"/>
      <c r="D2960" s="39" t="str">
        <f>IF(C2960="","",IFERROR(INDEX(art_des,MATCH(C2960,art_ref,0))&amp;"","Référence inconnue"))</f>
        <v/>
      </c>
      <c r="E2960" s="37" t="n"/>
      <c r="F2960" s="39" t="str">
        <f>IF(C2960="","",IFERROR(INDEX(art_unit,MATCH(C2960,art_ref,0))&amp;"",""))</f>
        <v/>
      </c>
      <c r="G2960" s="37" t="n"/>
      <c r="H2960" s="37" t="n"/>
      <c r="I2960" s="37" t="n"/>
      <c r="J2960" s="40" t="str">
        <f>IF(OR(C2960="",NOT(ISNUMBER(E2960))),"",IFERROR(E2960*N(INDEX(art_price,MATCH(C2960,art_ref,0))),""))</f>
        <v/>
      </c>
      <c r="K2960" s="39" t="str">
        <f>IF(OR(C2960="",NOT(ISNUMBER(E2960))),"",IFERROR(ROUND(N(INDEX(art_init,MATCH(C2960,art_ref,0)))+SUMIFS($E$5:E2960,$C$5:C2960,C2960,$B$5:B2960,"Entrée")-SUMIFS($E$5:E2960,$C$5:C2960,C2960,$B$5:B2960,"Sortie"),6),""))</f>
        <v/>
      </c>
      <c r="L2960" s="39" t="str">
        <f>IF(COUNTA(A2960:C2960,E2960)=0,"",IF(COUNTA(A2960:C2960,E2960)&lt;4,"Ligne incomplète",IF(NOT(ISNUMBER(A2960)),"Date invalide",IF(AND(B2960&lt;&gt;"Entrée",B2960&lt;&gt;"Sortie"),"Type inconnu",IF(ISNA(MATCH(C2960,art_ref,0)),"Référence inconnue",IF(OR(NOT(ISNUMBER(E2960)),N(E2960)&lt;=0),"Quantité invalide",IF(K2960&lt;0,"Stock négatif",IF(AND(ISNUMBER(A2959),A2960&lt;A2959),"Date hors ordre","OK"))))))))</f>
        <v/>
      </c>
      <c r="M2960" s="39" t="str">
        <f>IF(C2960="","",C2960&amp;"#"&amp;COUNTIF($C$5:C2960,C2960))</f>
        <v/>
      </c>
    </row>
    <row r="2961">
      <c r="A2961" s="41" t="n"/>
      <c r="B2961" s="37" t="n"/>
      <c r="C2961" s="37" t="n"/>
      <c r="D2961" s="39" t="str">
        <f>IF(C2961="","",IFERROR(INDEX(art_des,MATCH(C2961,art_ref,0))&amp;"","Référence inconnue"))</f>
        <v/>
      </c>
      <c r="E2961" s="37" t="n"/>
      <c r="F2961" s="39" t="str">
        <f>IF(C2961="","",IFERROR(INDEX(art_unit,MATCH(C2961,art_ref,0))&amp;"",""))</f>
        <v/>
      </c>
      <c r="G2961" s="37" t="n"/>
      <c r="H2961" s="37" t="n"/>
      <c r="I2961" s="37" t="n"/>
      <c r="J2961" s="40" t="str">
        <f>IF(OR(C2961="",NOT(ISNUMBER(E2961))),"",IFERROR(E2961*N(INDEX(art_price,MATCH(C2961,art_ref,0))),""))</f>
        <v/>
      </c>
      <c r="K2961" s="39" t="str">
        <f>IF(OR(C2961="",NOT(ISNUMBER(E2961))),"",IFERROR(ROUND(N(INDEX(art_init,MATCH(C2961,art_ref,0)))+SUMIFS($E$5:E2961,$C$5:C2961,C2961,$B$5:B2961,"Entrée")-SUMIFS($E$5:E2961,$C$5:C2961,C2961,$B$5:B2961,"Sortie"),6),""))</f>
        <v/>
      </c>
      <c r="L2961" s="39" t="str">
        <f>IF(COUNTA(A2961:C2961,E2961)=0,"",IF(COUNTA(A2961:C2961,E2961)&lt;4,"Ligne incomplète",IF(NOT(ISNUMBER(A2961)),"Date invalide",IF(AND(B2961&lt;&gt;"Entrée",B2961&lt;&gt;"Sortie"),"Type inconnu",IF(ISNA(MATCH(C2961,art_ref,0)),"Référence inconnue",IF(OR(NOT(ISNUMBER(E2961)),N(E2961)&lt;=0),"Quantité invalide",IF(K2961&lt;0,"Stock négatif",IF(AND(ISNUMBER(A2960),A2961&lt;A2960),"Date hors ordre","OK"))))))))</f>
        <v/>
      </c>
      <c r="M2961" s="39" t="str">
        <f>IF(C2961="","",C2961&amp;"#"&amp;COUNTIF($C$5:C2961,C2961))</f>
        <v/>
      </c>
    </row>
    <row r="2962">
      <c r="A2962" s="41" t="n"/>
      <c r="B2962" s="37" t="n"/>
      <c r="C2962" s="37" t="n"/>
      <c r="D2962" s="39" t="str">
        <f>IF(C2962="","",IFERROR(INDEX(art_des,MATCH(C2962,art_ref,0))&amp;"","Référence inconnue"))</f>
        <v/>
      </c>
      <c r="E2962" s="37" t="n"/>
      <c r="F2962" s="39" t="str">
        <f>IF(C2962="","",IFERROR(INDEX(art_unit,MATCH(C2962,art_ref,0))&amp;"",""))</f>
        <v/>
      </c>
      <c r="G2962" s="37" t="n"/>
      <c r="H2962" s="37" t="n"/>
      <c r="I2962" s="37" t="n"/>
      <c r="J2962" s="40" t="str">
        <f>IF(OR(C2962="",NOT(ISNUMBER(E2962))),"",IFERROR(E2962*N(INDEX(art_price,MATCH(C2962,art_ref,0))),""))</f>
        <v/>
      </c>
      <c r="K2962" s="39" t="str">
        <f>IF(OR(C2962="",NOT(ISNUMBER(E2962))),"",IFERROR(ROUND(N(INDEX(art_init,MATCH(C2962,art_ref,0)))+SUMIFS($E$5:E2962,$C$5:C2962,C2962,$B$5:B2962,"Entrée")-SUMIFS($E$5:E2962,$C$5:C2962,C2962,$B$5:B2962,"Sortie"),6),""))</f>
        <v/>
      </c>
      <c r="L2962" s="39" t="str">
        <f>IF(COUNTA(A2962:C2962,E2962)=0,"",IF(COUNTA(A2962:C2962,E2962)&lt;4,"Ligne incomplète",IF(NOT(ISNUMBER(A2962)),"Date invalide",IF(AND(B2962&lt;&gt;"Entrée",B2962&lt;&gt;"Sortie"),"Type inconnu",IF(ISNA(MATCH(C2962,art_ref,0)),"Référence inconnue",IF(OR(NOT(ISNUMBER(E2962)),N(E2962)&lt;=0),"Quantité invalide",IF(K2962&lt;0,"Stock négatif",IF(AND(ISNUMBER(A2961),A2962&lt;A2961),"Date hors ordre","OK"))))))))</f>
        <v/>
      </c>
      <c r="M2962" s="39" t="str">
        <f>IF(C2962="","",C2962&amp;"#"&amp;COUNTIF($C$5:C2962,C2962))</f>
        <v/>
      </c>
    </row>
    <row r="2963">
      <c r="A2963" s="41" t="n"/>
      <c r="B2963" s="37" t="n"/>
      <c r="C2963" s="37" t="n"/>
      <c r="D2963" s="39" t="str">
        <f>IF(C2963="","",IFERROR(INDEX(art_des,MATCH(C2963,art_ref,0))&amp;"","Référence inconnue"))</f>
        <v/>
      </c>
      <c r="E2963" s="37" t="n"/>
      <c r="F2963" s="39" t="str">
        <f>IF(C2963="","",IFERROR(INDEX(art_unit,MATCH(C2963,art_ref,0))&amp;"",""))</f>
        <v/>
      </c>
      <c r="G2963" s="37" t="n"/>
      <c r="H2963" s="37" t="n"/>
      <c r="I2963" s="37" t="n"/>
      <c r="J2963" s="40" t="str">
        <f>IF(OR(C2963="",NOT(ISNUMBER(E2963))),"",IFERROR(E2963*N(INDEX(art_price,MATCH(C2963,art_ref,0))),""))</f>
        <v/>
      </c>
      <c r="K2963" s="39" t="str">
        <f>IF(OR(C2963="",NOT(ISNUMBER(E2963))),"",IFERROR(ROUND(N(INDEX(art_init,MATCH(C2963,art_ref,0)))+SUMIFS($E$5:E2963,$C$5:C2963,C2963,$B$5:B2963,"Entrée")-SUMIFS($E$5:E2963,$C$5:C2963,C2963,$B$5:B2963,"Sortie"),6),""))</f>
        <v/>
      </c>
      <c r="L2963" s="39" t="str">
        <f>IF(COUNTA(A2963:C2963,E2963)=0,"",IF(COUNTA(A2963:C2963,E2963)&lt;4,"Ligne incomplète",IF(NOT(ISNUMBER(A2963)),"Date invalide",IF(AND(B2963&lt;&gt;"Entrée",B2963&lt;&gt;"Sortie"),"Type inconnu",IF(ISNA(MATCH(C2963,art_ref,0)),"Référence inconnue",IF(OR(NOT(ISNUMBER(E2963)),N(E2963)&lt;=0),"Quantité invalide",IF(K2963&lt;0,"Stock négatif",IF(AND(ISNUMBER(A2962),A2963&lt;A2962),"Date hors ordre","OK"))))))))</f>
        <v/>
      </c>
      <c r="M2963" s="39" t="str">
        <f>IF(C2963="","",C2963&amp;"#"&amp;COUNTIF($C$5:C2963,C2963))</f>
        <v/>
      </c>
    </row>
    <row r="2964">
      <c r="A2964" s="41" t="n"/>
      <c r="B2964" s="37" t="n"/>
      <c r="C2964" s="37" t="n"/>
      <c r="D2964" s="39" t="str">
        <f>IF(C2964="","",IFERROR(INDEX(art_des,MATCH(C2964,art_ref,0))&amp;"","Référence inconnue"))</f>
        <v/>
      </c>
      <c r="E2964" s="37" t="n"/>
      <c r="F2964" s="39" t="str">
        <f>IF(C2964="","",IFERROR(INDEX(art_unit,MATCH(C2964,art_ref,0))&amp;"",""))</f>
        <v/>
      </c>
      <c r="G2964" s="37" t="n"/>
      <c r="H2964" s="37" t="n"/>
      <c r="I2964" s="37" t="n"/>
      <c r="J2964" s="40" t="str">
        <f>IF(OR(C2964="",NOT(ISNUMBER(E2964))),"",IFERROR(E2964*N(INDEX(art_price,MATCH(C2964,art_ref,0))),""))</f>
        <v/>
      </c>
      <c r="K2964" s="39" t="str">
        <f>IF(OR(C2964="",NOT(ISNUMBER(E2964))),"",IFERROR(ROUND(N(INDEX(art_init,MATCH(C2964,art_ref,0)))+SUMIFS($E$5:E2964,$C$5:C2964,C2964,$B$5:B2964,"Entrée")-SUMIFS($E$5:E2964,$C$5:C2964,C2964,$B$5:B2964,"Sortie"),6),""))</f>
        <v/>
      </c>
      <c r="L2964" s="39" t="str">
        <f>IF(COUNTA(A2964:C2964,E2964)=0,"",IF(COUNTA(A2964:C2964,E2964)&lt;4,"Ligne incomplète",IF(NOT(ISNUMBER(A2964)),"Date invalide",IF(AND(B2964&lt;&gt;"Entrée",B2964&lt;&gt;"Sortie"),"Type inconnu",IF(ISNA(MATCH(C2964,art_ref,0)),"Référence inconnue",IF(OR(NOT(ISNUMBER(E2964)),N(E2964)&lt;=0),"Quantité invalide",IF(K2964&lt;0,"Stock négatif",IF(AND(ISNUMBER(A2963),A2964&lt;A2963),"Date hors ordre","OK"))))))))</f>
        <v/>
      </c>
      <c r="M2964" s="39" t="str">
        <f>IF(C2964="","",C2964&amp;"#"&amp;COUNTIF($C$5:C2964,C2964))</f>
        <v/>
      </c>
    </row>
    <row r="2965">
      <c r="A2965" s="41" t="n"/>
      <c r="B2965" s="37" t="n"/>
      <c r="C2965" s="37" t="n"/>
      <c r="D2965" s="39" t="str">
        <f>IF(C2965="","",IFERROR(INDEX(art_des,MATCH(C2965,art_ref,0))&amp;"","Référence inconnue"))</f>
        <v/>
      </c>
      <c r="E2965" s="37" t="n"/>
      <c r="F2965" s="39" t="str">
        <f>IF(C2965="","",IFERROR(INDEX(art_unit,MATCH(C2965,art_ref,0))&amp;"",""))</f>
        <v/>
      </c>
      <c r="G2965" s="37" t="n"/>
      <c r="H2965" s="37" t="n"/>
      <c r="I2965" s="37" t="n"/>
      <c r="J2965" s="40" t="str">
        <f>IF(OR(C2965="",NOT(ISNUMBER(E2965))),"",IFERROR(E2965*N(INDEX(art_price,MATCH(C2965,art_ref,0))),""))</f>
        <v/>
      </c>
      <c r="K2965" s="39" t="str">
        <f>IF(OR(C2965="",NOT(ISNUMBER(E2965))),"",IFERROR(ROUND(N(INDEX(art_init,MATCH(C2965,art_ref,0)))+SUMIFS($E$5:E2965,$C$5:C2965,C2965,$B$5:B2965,"Entrée")-SUMIFS($E$5:E2965,$C$5:C2965,C2965,$B$5:B2965,"Sortie"),6),""))</f>
        <v/>
      </c>
      <c r="L2965" s="39" t="str">
        <f>IF(COUNTA(A2965:C2965,E2965)=0,"",IF(COUNTA(A2965:C2965,E2965)&lt;4,"Ligne incomplète",IF(NOT(ISNUMBER(A2965)),"Date invalide",IF(AND(B2965&lt;&gt;"Entrée",B2965&lt;&gt;"Sortie"),"Type inconnu",IF(ISNA(MATCH(C2965,art_ref,0)),"Référence inconnue",IF(OR(NOT(ISNUMBER(E2965)),N(E2965)&lt;=0),"Quantité invalide",IF(K2965&lt;0,"Stock négatif",IF(AND(ISNUMBER(A2964),A2965&lt;A2964),"Date hors ordre","OK"))))))))</f>
        <v/>
      </c>
      <c r="M2965" s="39" t="str">
        <f>IF(C2965="","",C2965&amp;"#"&amp;COUNTIF($C$5:C2965,C2965))</f>
        <v/>
      </c>
    </row>
    <row r="2966">
      <c r="A2966" s="41" t="n"/>
      <c r="B2966" s="37" t="n"/>
      <c r="C2966" s="37" t="n"/>
      <c r="D2966" s="39" t="str">
        <f>IF(C2966="","",IFERROR(INDEX(art_des,MATCH(C2966,art_ref,0))&amp;"","Référence inconnue"))</f>
        <v/>
      </c>
      <c r="E2966" s="37" t="n"/>
      <c r="F2966" s="39" t="str">
        <f>IF(C2966="","",IFERROR(INDEX(art_unit,MATCH(C2966,art_ref,0))&amp;"",""))</f>
        <v/>
      </c>
      <c r="G2966" s="37" t="n"/>
      <c r="H2966" s="37" t="n"/>
      <c r="I2966" s="37" t="n"/>
      <c r="J2966" s="40" t="str">
        <f>IF(OR(C2966="",NOT(ISNUMBER(E2966))),"",IFERROR(E2966*N(INDEX(art_price,MATCH(C2966,art_ref,0))),""))</f>
        <v/>
      </c>
      <c r="K2966" s="39" t="str">
        <f>IF(OR(C2966="",NOT(ISNUMBER(E2966))),"",IFERROR(ROUND(N(INDEX(art_init,MATCH(C2966,art_ref,0)))+SUMIFS($E$5:E2966,$C$5:C2966,C2966,$B$5:B2966,"Entrée")-SUMIFS($E$5:E2966,$C$5:C2966,C2966,$B$5:B2966,"Sortie"),6),""))</f>
        <v/>
      </c>
      <c r="L2966" s="39" t="str">
        <f>IF(COUNTA(A2966:C2966,E2966)=0,"",IF(COUNTA(A2966:C2966,E2966)&lt;4,"Ligne incomplète",IF(NOT(ISNUMBER(A2966)),"Date invalide",IF(AND(B2966&lt;&gt;"Entrée",B2966&lt;&gt;"Sortie"),"Type inconnu",IF(ISNA(MATCH(C2966,art_ref,0)),"Référence inconnue",IF(OR(NOT(ISNUMBER(E2966)),N(E2966)&lt;=0),"Quantité invalide",IF(K2966&lt;0,"Stock négatif",IF(AND(ISNUMBER(A2965),A2966&lt;A2965),"Date hors ordre","OK"))))))))</f>
        <v/>
      </c>
      <c r="M2966" s="39" t="str">
        <f>IF(C2966="","",C2966&amp;"#"&amp;COUNTIF($C$5:C2966,C2966))</f>
        <v/>
      </c>
    </row>
    <row r="2967">
      <c r="A2967" s="41" t="n"/>
      <c r="B2967" s="37" t="n"/>
      <c r="C2967" s="37" t="n"/>
      <c r="D2967" s="39" t="str">
        <f>IF(C2967="","",IFERROR(INDEX(art_des,MATCH(C2967,art_ref,0))&amp;"","Référence inconnue"))</f>
        <v/>
      </c>
      <c r="E2967" s="37" t="n"/>
      <c r="F2967" s="39" t="str">
        <f>IF(C2967="","",IFERROR(INDEX(art_unit,MATCH(C2967,art_ref,0))&amp;"",""))</f>
        <v/>
      </c>
      <c r="G2967" s="37" t="n"/>
      <c r="H2967" s="37" t="n"/>
      <c r="I2967" s="37" t="n"/>
      <c r="J2967" s="40" t="str">
        <f>IF(OR(C2967="",NOT(ISNUMBER(E2967))),"",IFERROR(E2967*N(INDEX(art_price,MATCH(C2967,art_ref,0))),""))</f>
        <v/>
      </c>
      <c r="K2967" s="39" t="str">
        <f>IF(OR(C2967="",NOT(ISNUMBER(E2967))),"",IFERROR(ROUND(N(INDEX(art_init,MATCH(C2967,art_ref,0)))+SUMIFS($E$5:E2967,$C$5:C2967,C2967,$B$5:B2967,"Entrée")-SUMIFS($E$5:E2967,$C$5:C2967,C2967,$B$5:B2967,"Sortie"),6),""))</f>
        <v/>
      </c>
      <c r="L2967" s="39" t="str">
        <f>IF(COUNTA(A2967:C2967,E2967)=0,"",IF(COUNTA(A2967:C2967,E2967)&lt;4,"Ligne incomplète",IF(NOT(ISNUMBER(A2967)),"Date invalide",IF(AND(B2967&lt;&gt;"Entrée",B2967&lt;&gt;"Sortie"),"Type inconnu",IF(ISNA(MATCH(C2967,art_ref,0)),"Référence inconnue",IF(OR(NOT(ISNUMBER(E2967)),N(E2967)&lt;=0),"Quantité invalide",IF(K2967&lt;0,"Stock négatif",IF(AND(ISNUMBER(A2966),A2967&lt;A2966),"Date hors ordre","OK"))))))))</f>
        <v/>
      </c>
      <c r="M2967" s="39" t="str">
        <f>IF(C2967="","",C2967&amp;"#"&amp;COUNTIF($C$5:C2967,C2967))</f>
        <v/>
      </c>
    </row>
    <row r="2968">
      <c r="A2968" s="41" t="n"/>
      <c r="B2968" s="37" t="n"/>
      <c r="C2968" s="37" t="n"/>
      <c r="D2968" s="39" t="str">
        <f>IF(C2968="","",IFERROR(INDEX(art_des,MATCH(C2968,art_ref,0))&amp;"","Référence inconnue"))</f>
        <v/>
      </c>
      <c r="E2968" s="37" t="n"/>
      <c r="F2968" s="39" t="str">
        <f>IF(C2968="","",IFERROR(INDEX(art_unit,MATCH(C2968,art_ref,0))&amp;"",""))</f>
        <v/>
      </c>
      <c r="G2968" s="37" t="n"/>
      <c r="H2968" s="37" t="n"/>
      <c r="I2968" s="37" t="n"/>
      <c r="J2968" s="40" t="str">
        <f>IF(OR(C2968="",NOT(ISNUMBER(E2968))),"",IFERROR(E2968*N(INDEX(art_price,MATCH(C2968,art_ref,0))),""))</f>
        <v/>
      </c>
      <c r="K2968" s="39" t="str">
        <f>IF(OR(C2968="",NOT(ISNUMBER(E2968))),"",IFERROR(ROUND(N(INDEX(art_init,MATCH(C2968,art_ref,0)))+SUMIFS($E$5:E2968,$C$5:C2968,C2968,$B$5:B2968,"Entrée")-SUMIFS($E$5:E2968,$C$5:C2968,C2968,$B$5:B2968,"Sortie"),6),""))</f>
        <v/>
      </c>
      <c r="L2968" s="39" t="str">
        <f>IF(COUNTA(A2968:C2968,E2968)=0,"",IF(COUNTA(A2968:C2968,E2968)&lt;4,"Ligne incomplète",IF(NOT(ISNUMBER(A2968)),"Date invalide",IF(AND(B2968&lt;&gt;"Entrée",B2968&lt;&gt;"Sortie"),"Type inconnu",IF(ISNA(MATCH(C2968,art_ref,0)),"Référence inconnue",IF(OR(NOT(ISNUMBER(E2968)),N(E2968)&lt;=0),"Quantité invalide",IF(K2968&lt;0,"Stock négatif",IF(AND(ISNUMBER(A2967),A2968&lt;A2967),"Date hors ordre","OK"))))))))</f>
        <v/>
      </c>
      <c r="M2968" s="39" t="str">
        <f>IF(C2968="","",C2968&amp;"#"&amp;COUNTIF($C$5:C2968,C2968))</f>
        <v/>
      </c>
    </row>
    <row r="2969">
      <c r="A2969" s="41" t="n"/>
      <c r="B2969" s="37" t="n"/>
      <c r="C2969" s="37" t="n"/>
      <c r="D2969" s="39" t="str">
        <f>IF(C2969="","",IFERROR(INDEX(art_des,MATCH(C2969,art_ref,0))&amp;"","Référence inconnue"))</f>
        <v/>
      </c>
      <c r="E2969" s="37" t="n"/>
      <c r="F2969" s="39" t="str">
        <f>IF(C2969="","",IFERROR(INDEX(art_unit,MATCH(C2969,art_ref,0))&amp;"",""))</f>
        <v/>
      </c>
      <c r="G2969" s="37" t="n"/>
      <c r="H2969" s="37" t="n"/>
      <c r="I2969" s="37" t="n"/>
      <c r="J2969" s="40" t="str">
        <f>IF(OR(C2969="",NOT(ISNUMBER(E2969))),"",IFERROR(E2969*N(INDEX(art_price,MATCH(C2969,art_ref,0))),""))</f>
        <v/>
      </c>
      <c r="K2969" s="39" t="str">
        <f>IF(OR(C2969="",NOT(ISNUMBER(E2969))),"",IFERROR(ROUND(N(INDEX(art_init,MATCH(C2969,art_ref,0)))+SUMIFS($E$5:E2969,$C$5:C2969,C2969,$B$5:B2969,"Entrée")-SUMIFS($E$5:E2969,$C$5:C2969,C2969,$B$5:B2969,"Sortie"),6),""))</f>
        <v/>
      </c>
      <c r="L2969" s="39" t="str">
        <f>IF(COUNTA(A2969:C2969,E2969)=0,"",IF(COUNTA(A2969:C2969,E2969)&lt;4,"Ligne incomplète",IF(NOT(ISNUMBER(A2969)),"Date invalide",IF(AND(B2969&lt;&gt;"Entrée",B2969&lt;&gt;"Sortie"),"Type inconnu",IF(ISNA(MATCH(C2969,art_ref,0)),"Référence inconnue",IF(OR(NOT(ISNUMBER(E2969)),N(E2969)&lt;=0),"Quantité invalide",IF(K2969&lt;0,"Stock négatif",IF(AND(ISNUMBER(A2968),A2969&lt;A2968),"Date hors ordre","OK"))))))))</f>
        <v/>
      </c>
      <c r="M2969" s="39" t="str">
        <f>IF(C2969="","",C2969&amp;"#"&amp;COUNTIF($C$5:C2969,C2969))</f>
        <v/>
      </c>
    </row>
    <row r="2970">
      <c r="A2970" s="41" t="n"/>
      <c r="B2970" s="37" t="n"/>
      <c r="C2970" s="37" t="n"/>
      <c r="D2970" s="39" t="str">
        <f>IF(C2970="","",IFERROR(INDEX(art_des,MATCH(C2970,art_ref,0))&amp;"","Référence inconnue"))</f>
        <v/>
      </c>
      <c r="E2970" s="37" t="n"/>
      <c r="F2970" s="39" t="str">
        <f>IF(C2970="","",IFERROR(INDEX(art_unit,MATCH(C2970,art_ref,0))&amp;"",""))</f>
        <v/>
      </c>
      <c r="G2970" s="37" t="n"/>
      <c r="H2970" s="37" t="n"/>
      <c r="I2970" s="37" t="n"/>
      <c r="J2970" s="40" t="str">
        <f>IF(OR(C2970="",NOT(ISNUMBER(E2970))),"",IFERROR(E2970*N(INDEX(art_price,MATCH(C2970,art_ref,0))),""))</f>
        <v/>
      </c>
      <c r="K2970" s="39" t="str">
        <f>IF(OR(C2970="",NOT(ISNUMBER(E2970))),"",IFERROR(ROUND(N(INDEX(art_init,MATCH(C2970,art_ref,0)))+SUMIFS($E$5:E2970,$C$5:C2970,C2970,$B$5:B2970,"Entrée")-SUMIFS($E$5:E2970,$C$5:C2970,C2970,$B$5:B2970,"Sortie"),6),""))</f>
        <v/>
      </c>
      <c r="L2970" s="39" t="str">
        <f>IF(COUNTA(A2970:C2970,E2970)=0,"",IF(COUNTA(A2970:C2970,E2970)&lt;4,"Ligne incomplète",IF(NOT(ISNUMBER(A2970)),"Date invalide",IF(AND(B2970&lt;&gt;"Entrée",B2970&lt;&gt;"Sortie"),"Type inconnu",IF(ISNA(MATCH(C2970,art_ref,0)),"Référence inconnue",IF(OR(NOT(ISNUMBER(E2970)),N(E2970)&lt;=0),"Quantité invalide",IF(K2970&lt;0,"Stock négatif",IF(AND(ISNUMBER(A2969),A2970&lt;A2969),"Date hors ordre","OK"))))))))</f>
        <v/>
      </c>
      <c r="M2970" s="39" t="str">
        <f>IF(C2970="","",C2970&amp;"#"&amp;COUNTIF($C$5:C2970,C2970))</f>
        <v/>
      </c>
    </row>
    <row r="2971">
      <c r="A2971" s="41" t="n"/>
      <c r="B2971" s="37" t="n"/>
      <c r="C2971" s="37" t="n"/>
      <c r="D2971" s="39" t="str">
        <f>IF(C2971="","",IFERROR(INDEX(art_des,MATCH(C2971,art_ref,0))&amp;"","Référence inconnue"))</f>
        <v/>
      </c>
      <c r="E2971" s="37" t="n"/>
      <c r="F2971" s="39" t="str">
        <f>IF(C2971="","",IFERROR(INDEX(art_unit,MATCH(C2971,art_ref,0))&amp;"",""))</f>
        <v/>
      </c>
      <c r="G2971" s="37" t="n"/>
      <c r="H2971" s="37" t="n"/>
      <c r="I2971" s="37" t="n"/>
      <c r="J2971" s="40" t="str">
        <f>IF(OR(C2971="",NOT(ISNUMBER(E2971))),"",IFERROR(E2971*N(INDEX(art_price,MATCH(C2971,art_ref,0))),""))</f>
        <v/>
      </c>
      <c r="K2971" s="39" t="str">
        <f>IF(OR(C2971="",NOT(ISNUMBER(E2971))),"",IFERROR(ROUND(N(INDEX(art_init,MATCH(C2971,art_ref,0)))+SUMIFS($E$5:E2971,$C$5:C2971,C2971,$B$5:B2971,"Entrée")-SUMIFS($E$5:E2971,$C$5:C2971,C2971,$B$5:B2971,"Sortie"),6),""))</f>
        <v/>
      </c>
      <c r="L2971" s="39" t="str">
        <f>IF(COUNTA(A2971:C2971,E2971)=0,"",IF(COUNTA(A2971:C2971,E2971)&lt;4,"Ligne incomplète",IF(NOT(ISNUMBER(A2971)),"Date invalide",IF(AND(B2971&lt;&gt;"Entrée",B2971&lt;&gt;"Sortie"),"Type inconnu",IF(ISNA(MATCH(C2971,art_ref,0)),"Référence inconnue",IF(OR(NOT(ISNUMBER(E2971)),N(E2971)&lt;=0),"Quantité invalide",IF(K2971&lt;0,"Stock négatif",IF(AND(ISNUMBER(A2970),A2971&lt;A2970),"Date hors ordre","OK"))))))))</f>
        <v/>
      </c>
      <c r="M2971" s="39" t="str">
        <f>IF(C2971="","",C2971&amp;"#"&amp;COUNTIF($C$5:C2971,C2971))</f>
        <v/>
      </c>
    </row>
    <row r="2972">
      <c r="A2972" s="41" t="n"/>
      <c r="B2972" s="37" t="n"/>
      <c r="C2972" s="37" t="n"/>
      <c r="D2972" s="39" t="str">
        <f>IF(C2972="","",IFERROR(INDEX(art_des,MATCH(C2972,art_ref,0))&amp;"","Référence inconnue"))</f>
        <v/>
      </c>
      <c r="E2972" s="37" t="n"/>
      <c r="F2972" s="39" t="str">
        <f>IF(C2972="","",IFERROR(INDEX(art_unit,MATCH(C2972,art_ref,0))&amp;"",""))</f>
        <v/>
      </c>
      <c r="G2972" s="37" t="n"/>
      <c r="H2972" s="37" t="n"/>
      <c r="I2972" s="37" t="n"/>
      <c r="J2972" s="40" t="str">
        <f>IF(OR(C2972="",NOT(ISNUMBER(E2972))),"",IFERROR(E2972*N(INDEX(art_price,MATCH(C2972,art_ref,0))),""))</f>
        <v/>
      </c>
      <c r="K2972" s="39" t="str">
        <f>IF(OR(C2972="",NOT(ISNUMBER(E2972))),"",IFERROR(ROUND(N(INDEX(art_init,MATCH(C2972,art_ref,0)))+SUMIFS($E$5:E2972,$C$5:C2972,C2972,$B$5:B2972,"Entrée")-SUMIFS($E$5:E2972,$C$5:C2972,C2972,$B$5:B2972,"Sortie"),6),""))</f>
        <v/>
      </c>
      <c r="L2972" s="39" t="str">
        <f>IF(COUNTA(A2972:C2972,E2972)=0,"",IF(COUNTA(A2972:C2972,E2972)&lt;4,"Ligne incomplète",IF(NOT(ISNUMBER(A2972)),"Date invalide",IF(AND(B2972&lt;&gt;"Entrée",B2972&lt;&gt;"Sortie"),"Type inconnu",IF(ISNA(MATCH(C2972,art_ref,0)),"Référence inconnue",IF(OR(NOT(ISNUMBER(E2972)),N(E2972)&lt;=0),"Quantité invalide",IF(K2972&lt;0,"Stock négatif",IF(AND(ISNUMBER(A2971),A2972&lt;A2971),"Date hors ordre","OK"))))))))</f>
        <v/>
      </c>
      <c r="M2972" s="39" t="str">
        <f>IF(C2972="","",C2972&amp;"#"&amp;COUNTIF($C$5:C2972,C2972))</f>
        <v/>
      </c>
    </row>
    <row r="2973">
      <c r="A2973" s="41" t="n"/>
      <c r="B2973" s="37" t="n"/>
      <c r="C2973" s="37" t="n"/>
      <c r="D2973" s="39" t="str">
        <f>IF(C2973="","",IFERROR(INDEX(art_des,MATCH(C2973,art_ref,0))&amp;"","Référence inconnue"))</f>
        <v/>
      </c>
      <c r="E2973" s="37" t="n"/>
      <c r="F2973" s="39" t="str">
        <f>IF(C2973="","",IFERROR(INDEX(art_unit,MATCH(C2973,art_ref,0))&amp;"",""))</f>
        <v/>
      </c>
      <c r="G2973" s="37" t="n"/>
      <c r="H2973" s="37" t="n"/>
      <c r="I2973" s="37" t="n"/>
      <c r="J2973" s="40" t="str">
        <f>IF(OR(C2973="",NOT(ISNUMBER(E2973))),"",IFERROR(E2973*N(INDEX(art_price,MATCH(C2973,art_ref,0))),""))</f>
        <v/>
      </c>
      <c r="K2973" s="39" t="str">
        <f>IF(OR(C2973="",NOT(ISNUMBER(E2973))),"",IFERROR(ROUND(N(INDEX(art_init,MATCH(C2973,art_ref,0)))+SUMIFS($E$5:E2973,$C$5:C2973,C2973,$B$5:B2973,"Entrée")-SUMIFS($E$5:E2973,$C$5:C2973,C2973,$B$5:B2973,"Sortie"),6),""))</f>
        <v/>
      </c>
      <c r="L2973" s="39" t="str">
        <f>IF(COUNTA(A2973:C2973,E2973)=0,"",IF(COUNTA(A2973:C2973,E2973)&lt;4,"Ligne incomplète",IF(NOT(ISNUMBER(A2973)),"Date invalide",IF(AND(B2973&lt;&gt;"Entrée",B2973&lt;&gt;"Sortie"),"Type inconnu",IF(ISNA(MATCH(C2973,art_ref,0)),"Référence inconnue",IF(OR(NOT(ISNUMBER(E2973)),N(E2973)&lt;=0),"Quantité invalide",IF(K2973&lt;0,"Stock négatif",IF(AND(ISNUMBER(A2972),A2973&lt;A2972),"Date hors ordre","OK"))))))))</f>
        <v/>
      </c>
      <c r="M2973" s="39" t="str">
        <f>IF(C2973="","",C2973&amp;"#"&amp;COUNTIF($C$5:C2973,C2973))</f>
        <v/>
      </c>
    </row>
    <row r="2974">
      <c r="A2974" s="41" t="n"/>
      <c r="B2974" s="37" t="n"/>
      <c r="C2974" s="37" t="n"/>
      <c r="D2974" s="39" t="str">
        <f>IF(C2974="","",IFERROR(INDEX(art_des,MATCH(C2974,art_ref,0))&amp;"","Référence inconnue"))</f>
        <v/>
      </c>
      <c r="E2974" s="37" t="n"/>
      <c r="F2974" s="39" t="str">
        <f>IF(C2974="","",IFERROR(INDEX(art_unit,MATCH(C2974,art_ref,0))&amp;"",""))</f>
        <v/>
      </c>
      <c r="G2974" s="37" t="n"/>
      <c r="H2974" s="37" t="n"/>
      <c r="I2974" s="37" t="n"/>
      <c r="J2974" s="40" t="str">
        <f>IF(OR(C2974="",NOT(ISNUMBER(E2974))),"",IFERROR(E2974*N(INDEX(art_price,MATCH(C2974,art_ref,0))),""))</f>
        <v/>
      </c>
      <c r="K2974" s="39" t="str">
        <f>IF(OR(C2974="",NOT(ISNUMBER(E2974))),"",IFERROR(ROUND(N(INDEX(art_init,MATCH(C2974,art_ref,0)))+SUMIFS($E$5:E2974,$C$5:C2974,C2974,$B$5:B2974,"Entrée")-SUMIFS($E$5:E2974,$C$5:C2974,C2974,$B$5:B2974,"Sortie"),6),""))</f>
        <v/>
      </c>
      <c r="L2974" s="39" t="str">
        <f>IF(COUNTA(A2974:C2974,E2974)=0,"",IF(COUNTA(A2974:C2974,E2974)&lt;4,"Ligne incomplète",IF(NOT(ISNUMBER(A2974)),"Date invalide",IF(AND(B2974&lt;&gt;"Entrée",B2974&lt;&gt;"Sortie"),"Type inconnu",IF(ISNA(MATCH(C2974,art_ref,0)),"Référence inconnue",IF(OR(NOT(ISNUMBER(E2974)),N(E2974)&lt;=0),"Quantité invalide",IF(K2974&lt;0,"Stock négatif",IF(AND(ISNUMBER(A2973),A2974&lt;A2973),"Date hors ordre","OK"))))))))</f>
        <v/>
      </c>
      <c r="M2974" s="39" t="str">
        <f>IF(C2974="","",C2974&amp;"#"&amp;COUNTIF($C$5:C2974,C2974))</f>
        <v/>
      </c>
    </row>
    <row r="2975">
      <c r="A2975" s="41" t="n"/>
      <c r="B2975" s="37" t="n"/>
      <c r="C2975" s="37" t="n"/>
      <c r="D2975" s="39" t="str">
        <f>IF(C2975="","",IFERROR(INDEX(art_des,MATCH(C2975,art_ref,0))&amp;"","Référence inconnue"))</f>
        <v/>
      </c>
      <c r="E2975" s="37" t="n"/>
      <c r="F2975" s="39" t="str">
        <f>IF(C2975="","",IFERROR(INDEX(art_unit,MATCH(C2975,art_ref,0))&amp;"",""))</f>
        <v/>
      </c>
      <c r="G2975" s="37" t="n"/>
      <c r="H2975" s="37" t="n"/>
      <c r="I2975" s="37" t="n"/>
      <c r="J2975" s="40" t="str">
        <f>IF(OR(C2975="",NOT(ISNUMBER(E2975))),"",IFERROR(E2975*N(INDEX(art_price,MATCH(C2975,art_ref,0))),""))</f>
        <v/>
      </c>
      <c r="K2975" s="39" t="str">
        <f>IF(OR(C2975="",NOT(ISNUMBER(E2975))),"",IFERROR(ROUND(N(INDEX(art_init,MATCH(C2975,art_ref,0)))+SUMIFS($E$5:E2975,$C$5:C2975,C2975,$B$5:B2975,"Entrée")-SUMIFS($E$5:E2975,$C$5:C2975,C2975,$B$5:B2975,"Sortie"),6),""))</f>
        <v/>
      </c>
      <c r="L2975" s="39" t="str">
        <f>IF(COUNTA(A2975:C2975,E2975)=0,"",IF(COUNTA(A2975:C2975,E2975)&lt;4,"Ligne incomplète",IF(NOT(ISNUMBER(A2975)),"Date invalide",IF(AND(B2975&lt;&gt;"Entrée",B2975&lt;&gt;"Sortie"),"Type inconnu",IF(ISNA(MATCH(C2975,art_ref,0)),"Référence inconnue",IF(OR(NOT(ISNUMBER(E2975)),N(E2975)&lt;=0),"Quantité invalide",IF(K2975&lt;0,"Stock négatif",IF(AND(ISNUMBER(A2974),A2975&lt;A2974),"Date hors ordre","OK"))))))))</f>
        <v/>
      </c>
      <c r="M2975" s="39" t="str">
        <f>IF(C2975="","",C2975&amp;"#"&amp;COUNTIF($C$5:C2975,C2975))</f>
        <v/>
      </c>
    </row>
    <row r="2976">
      <c r="A2976" s="41" t="n"/>
      <c r="B2976" s="37" t="n"/>
      <c r="C2976" s="37" t="n"/>
      <c r="D2976" s="39" t="str">
        <f>IF(C2976="","",IFERROR(INDEX(art_des,MATCH(C2976,art_ref,0))&amp;"","Référence inconnue"))</f>
        <v/>
      </c>
      <c r="E2976" s="37" t="n"/>
      <c r="F2976" s="39" t="str">
        <f>IF(C2976="","",IFERROR(INDEX(art_unit,MATCH(C2976,art_ref,0))&amp;"",""))</f>
        <v/>
      </c>
      <c r="G2976" s="37" t="n"/>
      <c r="H2976" s="37" t="n"/>
      <c r="I2976" s="37" t="n"/>
      <c r="J2976" s="40" t="str">
        <f>IF(OR(C2976="",NOT(ISNUMBER(E2976))),"",IFERROR(E2976*N(INDEX(art_price,MATCH(C2976,art_ref,0))),""))</f>
        <v/>
      </c>
      <c r="K2976" s="39" t="str">
        <f>IF(OR(C2976="",NOT(ISNUMBER(E2976))),"",IFERROR(ROUND(N(INDEX(art_init,MATCH(C2976,art_ref,0)))+SUMIFS($E$5:E2976,$C$5:C2976,C2976,$B$5:B2976,"Entrée")-SUMIFS($E$5:E2976,$C$5:C2976,C2976,$B$5:B2976,"Sortie"),6),""))</f>
        <v/>
      </c>
      <c r="L2976" s="39" t="str">
        <f>IF(COUNTA(A2976:C2976,E2976)=0,"",IF(COUNTA(A2976:C2976,E2976)&lt;4,"Ligne incomplète",IF(NOT(ISNUMBER(A2976)),"Date invalide",IF(AND(B2976&lt;&gt;"Entrée",B2976&lt;&gt;"Sortie"),"Type inconnu",IF(ISNA(MATCH(C2976,art_ref,0)),"Référence inconnue",IF(OR(NOT(ISNUMBER(E2976)),N(E2976)&lt;=0),"Quantité invalide",IF(K2976&lt;0,"Stock négatif",IF(AND(ISNUMBER(A2975),A2976&lt;A2975),"Date hors ordre","OK"))))))))</f>
        <v/>
      </c>
      <c r="M2976" s="39" t="str">
        <f>IF(C2976="","",C2976&amp;"#"&amp;COUNTIF($C$5:C2976,C2976))</f>
        <v/>
      </c>
    </row>
    <row r="2977">
      <c r="A2977" s="41" t="n"/>
      <c r="B2977" s="37" t="n"/>
      <c r="C2977" s="37" t="n"/>
      <c r="D2977" s="39" t="str">
        <f>IF(C2977="","",IFERROR(INDEX(art_des,MATCH(C2977,art_ref,0))&amp;"","Référence inconnue"))</f>
        <v/>
      </c>
      <c r="E2977" s="37" t="n"/>
      <c r="F2977" s="39" t="str">
        <f>IF(C2977="","",IFERROR(INDEX(art_unit,MATCH(C2977,art_ref,0))&amp;"",""))</f>
        <v/>
      </c>
      <c r="G2977" s="37" t="n"/>
      <c r="H2977" s="37" t="n"/>
      <c r="I2977" s="37" t="n"/>
      <c r="J2977" s="40" t="str">
        <f>IF(OR(C2977="",NOT(ISNUMBER(E2977))),"",IFERROR(E2977*N(INDEX(art_price,MATCH(C2977,art_ref,0))),""))</f>
        <v/>
      </c>
      <c r="K2977" s="39" t="str">
        <f>IF(OR(C2977="",NOT(ISNUMBER(E2977))),"",IFERROR(ROUND(N(INDEX(art_init,MATCH(C2977,art_ref,0)))+SUMIFS($E$5:E2977,$C$5:C2977,C2977,$B$5:B2977,"Entrée")-SUMIFS($E$5:E2977,$C$5:C2977,C2977,$B$5:B2977,"Sortie"),6),""))</f>
        <v/>
      </c>
      <c r="L2977" s="39" t="str">
        <f>IF(COUNTA(A2977:C2977,E2977)=0,"",IF(COUNTA(A2977:C2977,E2977)&lt;4,"Ligne incomplète",IF(NOT(ISNUMBER(A2977)),"Date invalide",IF(AND(B2977&lt;&gt;"Entrée",B2977&lt;&gt;"Sortie"),"Type inconnu",IF(ISNA(MATCH(C2977,art_ref,0)),"Référence inconnue",IF(OR(NOT(ISNUMBER(E2977)),N(E2977)&lt;=0),"Quantité invalide",IF(K2977&lt;0,"Stock négatif",IF(AND(ISNUMBER(A2976),A2977&lt;A2976),"Date hors ordre","OK"))))))))</f>
        <v/>
      </c>
      <c r="M2977" s="39" t="str">
        <f>IF(C2977="","",C2977&amp;"#"&amp;COUNTIF($C$5:C2977,C2977))</f>
        <v/>
      </c>
    </row>
    <row r="2978">
      <c r="A2978" s="41" t="n"/>
      <c r="B2978" s="37" t="n"/>
      <c r="C2978" s="37" t="n"/>
      <c r="D2978" s="39" t="str">
        <f>IF(C2978="","",IFERROR(INDEX(art_des,MATCH(C2978,art_ref,0))&amp;"","Référence inconnue"))</f>
        <v/>
      </c>
      <c r="E2978" s="37" t="n"/>
      <c r="F2978" s="39" t="str">
        <f>IF(C2978="","",IFERROR(INDEX(art_unit,MATCH(C2978,art_ref,0))&amp;"",""))</f>
        <v/>
      </c>
      <c r="G2978" s="37" t="n"/>
      <c r="H2978" s="37" t="n"/>
      <c r="I2978" s="37" t="n"/>
      <c r="J2978" s="40" t="str">
        <f>IF(OR(C2978="",NOT(ISNUMBER(E2978))),"",IFERROR(E2978*N(INDEX(art_price,MATCH(C2978,art_ref,0))),""))</f>
        <v/>
      </c>
      <c r="K2978" s="39" t="str">
        <f>IF(OR(C2978="",NOT(ISNUMBER(E2978))),"",IFERROR(ROUND(N(INDEX(art_init,MATCH(C2978,art_ref,0)))+SUMIFS($E$5:E2978,$C$5:C2978,C2978,$B$5:B2978,"Entrée")-SUMIFS($E$5:E2978,$C$5:C2978,C2978,$B$5:B2978,"Sortie"),6),""))</f>
        <v/>
      </c>
      <c r="L2978" s="39" t="str">
        <f>IF(COUNTA(A2978:C2978,E2978)=0,"",IF(COUNTA(A2978:C2978,E2978)&lt;4,"Ligne incomplète",IF(NOT(ISNUMBER(A2978)),"Date invalide",IF(AND(B2978&lt;&gt;"Entrée",B2978&lt;&gt;"Sortie"),"Type inconnu",IF(ISNA(MATCH(C2978,art_ref,0)),"Référence inconnue",IF(OR(NOT(ISNUMBER(E2978)),N(E2978)&lt;=0),"Quantité invalide",IF(K2978&lt;0,"Stock négatif",IF(AND(ISNUMBER(A2977),A2978&lt;A2977),"Date hors ordre","OK"))))))))</f>
        <v/>
      </c>
      <c r="M2978" s="39" t="str">
        <f>IF(C2978="","",C2978&amp;"#"&amp;COUNTIF($C$5:C2978,C2978))</f>
        <v/>
      </c>
    </row>
    <row r="2979">
      <c r="A2979" s="41" t="n"/>
      <c r="B2979" s="37" t="n"/>
      <c r="C2979" s="37" t="n"/>
      <c r="D2979" s="39" t="str">
        <f>IF(C2979="","",IFERROR(INDEX(art_des,MATCH(C2979,art_ref,0))&amp;"","Référence inconnue"))</f>
        <v/>
      </c>
      <c r="E2979" s="37" t="n"/>
      <c r="F2979" s="39" t="str">
        <f>IF(C2979="","",IFERROR(INDEX(art_unit,MATCH(C2979,art_ref,0))&amp;"",""))</f>
        <v/>
      </c>
      <c r="G2979" s="37" t="n"/>
      <c r="H2979" s="37" t="n"/>
      <c r="I2979" s="37" t="n"/>
      <c r="J2979" s="40" t="str">
        <f>IF(OR(C2979="",NOT(ISNUMBER(E2979))),"",IFERROR(E2979*N(INDEX(art_price,MATCH(C2979,art_ref,0))),""))</f>
        <v/>
      </c>
      <c r="K2979" s="39" t="str">
        <f>IF(OR(C2979="",NOT(ISNUMBER(E2979))),"",IFERROR(ROUND(N(INDEX(art_init,MATCH(C2979,art_ref,0)))+SUMIFS($E$5:E2979,$C$5:C2979,C2979,$B$5:B2979,"Entrée")-SUMIFS($E$5:E2979,$C$5:C2979,C2979,$B$5:B2979,"Sortie"),6),""))</f>
        <v/>
      </c>
      <c r="L2979" s="39" t="str">
        <f>IF(COUNTA(A2979:C2979,E2979)=0,"",IF(COUNTA(A2979:C2979,E2979)&lt;4,"Ligne incomplète",IF(NOT(ISNUMBER(A2979)),"Date invalide",IF(AND(B2979&lt;&gt;"Entrée",B2979&lt;&gt;"Sortie"),"Type inconnu",IF(ISNA(MATCH(C2979,art_ref,0)),"Référence inconnue",IF(OR(NOT(ISNUMBER(E2979)),N(E2979)&lt;=0),"Quantité invalide",IF(K2979&lt;0,"Stock négatif",IF(AND(ISNUMBER(A2978),A2979&lt;A2978),"Date hors ordre","OK"))))))))</f>
        <v/>
      </c>
      <c r="M2979" s="39" t="str">
        <f>IF(C2979="","",C2979&amp;"#"&amp;COUNTIF($C$5:C2979,C2979))</f>
        <v/>
      </c>
    </row>
    <row r="2980">
      <c r="A2980" s="41" t="n"/>
      <c r="B2980" s="37" t="n"/>
      <c r="C2980" s="37" t="n"/>
      <c r="D2980" s="39" t="str">
        <f>IF(C2980="","",IFERROR(INDEX(art_des,MATCH(C2980,art_ref,0))&amp;"","Référence inconnue"))</f>
        <v/>
      </c>
      <c r="E2980" s="37" t="n"/>
      <c r="F2980" s="39" t="str">
        <f>IF(C2980="","",IFERROR(INDEX(art_unit,MATCH(C2980,art_ref,0))&amp;"",""))</f>
        <v/>
      </c>
      <c r="G2980" s="37" t="n"/>
      <c r="H2980" s="37" t="n"/>
      <c r="I2980" s="37" t="n"/>
      <c r="J2980" s="40" t="str">
        <f>IF(OR(C2980="",NOT(ISNUMBER(E2980))),"",IFERROR(E2980*N(INDEX(art_price,MATCH(C2980,art_ref,0))),""))</f>
        <v/>
      </c>
      <c r="K2980" s="39" t="str">
        <f>IF(OR(C2980="",NOT(ISNUMBER(E2980))),"",IFERROR(ROUND(N(INDEX(art_init,MATCH(C2980,art_ref,0)))+SUMIFS($E$5:E2980,$C$5:C2980,C2980,$B$5:B2980,"Entrée")-SUMIFS($E$5:E2980,$C$5:C2980,C2980,$B$5:B2980,"Sortie"),6),""))</f>
        <v/>
      </c>
      <c r="L2980" s="39" t="str">
        <f>IF(COUNTA(A2980:C2980,E2980)=0,"",IF(COUNTA(A2980:C2980,E2980)&lt;4,"Ligne incomplète",IF(NOT(ISNUMBER(A2980)),"Date invalide",IF(AND(B2980&lt;&gt;"Entrée",B2980&lt;&gt;"Sortie"),"Type inconnu",IF(ISNA(MATCH(C2980,art_ref,0)),"Référence inconnue",IF(OR(NOT(ISNUMBER(E2980)),N(E2980)&lt;=0),"Quantité invalide",IF(K2980&lt;0,"Stock négatif",IF(AND(ISNUMBER(A2979),A2980&lt;A2979),"Date hors ordre","OK"))))))))</f>
        <v/>
      </c>
      <c r="M2980" s="39" t="str">
        <f>IF(C2980="","",C2980&amp;"#"&amp;COUNTIF($C$5:C2980,C2980))</f>
        <v/>
      </c>
    </row>
    <row r="2981">
      <c r="A2981" s="41" t="n"/>
      <c r="B2981" s="37" t="n"/>
      <c r="C2981" s="37" t="n"/>
      <c r="D2981" s="39" t="str">
        <f>IF(C2981="","",IFERROR(INDEX(art_des,MATCH(C2981,art_ref,0))&amp;"","Référence inconnue"))</f>
        <v/>
      </c>
      <c r="E2981" s="37" t="n"/>
      <c r="F2981" s="39" t="str">
        <f>IF(C2981="","",IFERROR(INDEX(art_unit,MATCH(C2981,art_ref,0))&amp;"",""))</f>
        <v/>
      </c>
      <c r="G2981" s="37" t="n"/>
      <c r="H2981" s="37" t="n"/>
      <c r="I2981" s="37" t="n"/>
      <c r="J2981" s="40" t="str">
        <f>IF(OR(C2981="",NOT(ISNUMBER(E2981))),"",IFERROR(E2981*N(INDEX(art_price,MATCH(C2981,art_ref,0))),""))</f>
        <v/>
      </c>
      <c r="K2981" s="39" t="str">
        <f>IF(OR(C2981="",NOT(ISNUMBER(E2981))),"",IFERROR(ROUND(N(INDEX(art_init,MATCH(C2981,art_ref,0)))+SUMIFS($E$5:E2981,$C$5:C2981,C2981,$B$5:B2981,"Entrée")-SUMIFS($E$5:E2981,$C$5:C2981,C2981,$B$5:B2981,"Sortie"),6),""))</f>
        <v/>
      </c>
      <c r="L2981" s="39" t="str">
        <f>IF(COUNTA(A2981:C2981,E2981)=0,"",IF(COUNTA(A2981:C2981,E2981)&lt;4,"Ligne incomplète",IF(NOT(ISNUMBER(A2981)),"Date invalide",IF(AND(B2981&lt;&gt;"Entrée",B2981&lt;&gt;"Sortie"),"Type inconnu",IF(ISNA(MATCH(C2981,art_ref,0)),"Référence inconnue",IF(OR(NOT(ISNUMBER(E2981)),N(E2981)&lt;=0),"Quantité invalide",IF(K2981&lt;0,"Stock négatif",IF(AND(ISNUMBER(A2980),A2981&lt;A2980),"Date hors ordre","OK"))))))))</f>
        <v/>
      </c>
      <c r="M2981" s="39" t="str">
        <f>IF(C2981="","",C2981&amp;"#"&amp;COUNTIF($C$5:C2981,C2981))</f>
        <v/>
      </c>
    </row>
    <row r="2982">
      <c r="A2982" s="41" t="n"/>
      <c r="B2982" s="37" t="n"/>
      <c r="C2982" s="37" t="n"/>
      <c r="D2982" s="39" t="str">
        <f>IF(C2982="","",IFERROR(INDEX(art_des,MATCH(C2982,art_ref,0))&amp;"","Référence inconnue"))</f>
        <v/>
      </c>
      <c r="E2982" s="37" t="n"/>
      <c r="F2982" s="39" t="str">
        <f>IF(C2982="","",IFERROR(INDEX(art_unit,MATCH(C2982,art_ref,0))&amp;"",""))</f>
        <v/>
      </c>
      <c r="G2982" s="37" t="n"/>
      <c r="H2982" s="37" t="n"/>
      <c r="I2982" s="37" t="n"/>
      <c r="J2982" s="40" t="str">
        <f>IF(OR(C2982="",NOT(ISNUMBER(E2982))),"",IFERROR(E2982*N(INDEX(art_price,MATCH(C2982,art_ref,0))),""))</f>
        <v/>
      </c>
      <c r="K2982" s="39" t="str">
        <f>IF(OR(C2982="",NOT(ISNUMBER(E2982))),"",IFERROR(ROUND(N(INDEX(art_init,MATCH(C2982,art_ref,0)))+SUMIFS($E$5:E2982,$C$5:C2982,C2982,$B$5:B2982,"Entrée")-SUMIFS($E$5:E2982,$C$5:C2982,C2982,$B$5:B2982,"Sortie"),6),""))</f>
        <v/>
      </c>
      <c r="L2982" s="39" t="str">
        <f>IF(COUNTA(A2982:C2982,E2982)=0,"",IF(COUNTA(A2982:C2982,E2982)&lt;4,"Ligne incomplète",IF(NOT(ISNUMBER(A2982)),"Date invalide",IF(AND(B2982&lt;&gt;"Entrée",B2982&lt;&gt;"Sortie"),"Type inconnu",IF(ISNA(MATCH(C2982,art_ref,0)),"Référence inconnue",IF(OR(NOT(ISNUMBER(E2982)),N(E2982)&lt;=0),"Quantité invalide",IF(K2982&lt;0,"Stock négatif",IF(AND(ISNUMBER(A2981),A2982&lt;A2981),"Date hors ordre","OK"))))))))</f>
        <v/>
      </c>
      <c r="M2982" s="39" t="str">
        <f>IF(C2982="","",C2982&amp;"#"&amp;COUNTIF($C$5:C2982,C2982))</f>
        <v/>
      </c>
    </row>
    <row r="2983">
      <c r="A2983" s="41" t="n"/>
      <c r="B2983" s="37" t="n"/>
      <c r="C2983" s="37" t="n"/>
      <c r="D2983" s="39" t="str">
        <f>IF(C2983="","",IFERROR(INDEX(art_des,MATCH(C2983,art_ref,0))&amp;"","Référence inconnue"))</f>
        <v/>
      </c>
      <c r="E2983" s="37" t="n"/>
      <c r="F2983" s="39" t="str">
        <f>IF(C2983="","",IFERROR(INDEX(art_unit,MATCH(C2983,art_ref,0))&amp;"",""))</f>
        <v/>
      </c>
      <c r="G2983" s="37" t="n"/>
      <c r="H2983" s="37" t="n"/>
      <c r="I2983" s="37" t="n"/>
      <c r="J2983" s="40" t="str">
        <f>IF(OR(C2983="",NOT(ISNUMBER(E2983))),"",IFERROR(E2983*N(INDEX(art_price,MATCH(C2983,art_ref,0))),""))</f>
        <v/>
      </c>
      <c r="K2983" s="39" t="str">
        <f>IF(OR(C2983="",NOT(ISNUMBER(E2983))),"",IFERROR(ROUND(N(INDEX(art_init,MATCH(C2983,art_ref,0)))+SUMIFS($E$5:E2983,$C$5:C2983,C2983,$B$5:B2983,"Entrée")-SUMIFS($E$5:E2983,$C$5:C2983,C2983,$B$5:B2983,"Sortie"),6),""))</f>
        <v/>
      </c>
      <c r="L2983" s="39" t="str">
        <f>IF(COUNTA(A2983:C2983,E2983)=0,"",IF(COUNTA(A2983:C2983,E2983)&lt;4,"Ligne incomplète",IF(NOT(ISNUMBER(A2983)),"Date invalide",IF(AND(B2983&lt;&gt;"Entrée",B2983&lt;&gt;"Sortie"),"Type inconnu",IF(ISNA(MATCH(C2983,art_ref,0)),"Référence inconnue",IF(OR(NOT(ISNUMBER(E2983)),N(E2983)&lt;=0),"Quantité invalide",IF(K2983&lt;0,"Stock négatif",IF(AND(ISNUMBER(A2982),A2983&lt;A2982),"Date hors ordre","OK"))))))))</f>
        <v/>
      </c>
      <c r="M2983" s="39" t="str">
        <f>IF(C2983="","",C2983&amp;"#"&amp;COUNTIF($C$5:C2983,C2983))</f>
        <v/>
      </c>
    </row>
    <row r="2984">
      <c r="A2984" s="41" t="n"/>
      <c r="B2984" s="37" t="n"/>
      <c r="C2984" s="37" t="n"/>
      <c r="D2984" s="39" t="str">
        <f>IF(C2984="","",IFERROR(INDEX(art_des,MATCH(C2984,art_ref,0))&amp;"","Référence inconnue"))</f>
        <v/>
      </c>
      <c r="E2984" s="37" t="n"/>
      <c r="F2984" s="39" t="str">
        <f>IF(C2984="","",IFERROR(INDEX(art_unit,MATCH(C2984,art_ref,0))&amp;"",""))</f>
        <v/>
      </c>
      <c r="G2984" s="37" t="n"/>
      <c r="H2984" s="37" t="n"/>
      <c r="I2984" s="37" t="n"/>
      <c r="J2984" s="40" t="str">
        <f>IF(OR(C2984="",NOT(ISNUMBER(E2984))),"",IFERROR(E2984*N(INDEX(art_price,MATCH(C2984,art_ref,0))),""))</f>
        <v/>
      </c>
      <c r="K2984" s="39" t="str">
        <f>IF(OR(C2984="",NOT(ISNUMBER(E2984))),"",IFERROR(ROUND(N(INDEX(art_init,MATCH(C2984,art_ref,0)))+SUMIFS($E$5:E2984,$C$5:C2984,C2984,$B$5:B2984,"Entrée")-SUMIFS($E$5:E2984,$C$5:C2984,C2984,$B$5:B2984,"Sortie"),6),""))</f>
        <v/>
      </c>
      <c r="L2984" s="39" t="str">
        <f>IF(COUNTA(A2984:C2984,E2984)=0,"",IF(COUNTA(A2984:C2984,E2984)&lt;4,"Ligne incomplète",IF(NOT(ISNUMBER(A2984)),"Date invalide",IF(AND(B2984&lt;&gt;"Entrée",B2984&lt;&gt;"Sortie"),"Type inconnu",IF(ISNA(MATCH(C2984,art_ref,0)),"Référence inconnue",IF(OR(NOT(ISNUMBER(E2984)),N(E2984)&lt;=0),"Quantité invalide",IF(K2984&lt;0,"Stock négatif",IF(AND(ISNUMBER(A2983),A2984&lt;A2983),"Date hors ordre","OK"))))))))</f>
        <v/>
      </c>
      <c r="M2984" s="39" t="str">
        <f>IF(C2984="","",C2984&amp;"#"&amp;COUNTIF($C$5:C2984,C2984))</f>
        <v/>
      </c>
    </row>
    <row r="2985">
      <c r="A2985" s="41" t="n"/>
      <c r="B2985" s="37" t="n"/>
      <c r="C2985" s="37" t="n"/>
      <c r="D2985" s="39" t="str">
        <f>IF(C2985="","",IFERROR(INDEX(art_des,MATCH(C2985,art_ref,0))&amp;"","Référence inconnue"))</f>
        <v/>
      </c>
      <c r="E2985" s="37" t="n"/>
      <c r="F2985" s="39" t="str">
        <f>IF(C2985="","",IFERROR(INDEX(art_unit,MATCH(C2985,art_ref,0))&amp;"",""))</f>
        <v/>
      </c>
      <c r="G2985" s="37" t="n"/>
      <c r="H2985" s="37" t="n"/>
      <c r="I2985" s="37" t="n"/>
      <c r="J2985" s="40" t="str">
        <f>IF(OR(C2985="",NOT(ISNUMBER(E2985))),"",IFERROR(E2985*N(INDEX(art_price,MATCH(C2985,art_ref,0))),""))</f>
        <v/>
      </c>
      <c r="K2985" s="39" t="str">
        <f>IF(OR(C2985="",NOT(ISNUMBER(E2985))),"",IFERROR(ROUND(N(INDEX(art_init,MATCH(C2985,art_ref,0)))+SUMIFS($E$5:E2985,$C$5:C2985,C2985,$B$5:B2985,"Entrée")-SUMIFS($E$5:E2985,$C$5:C2985,C2985,$B$5:B2985,"Sortie"),6),""))</f>
        <v/>
      </c>
      <c r="L2985" s="39" t="str">
        <f>IF(COUNTA(A2985:C2985,E2985)=0,"",IF(COUNTA(A2985:C2985,E2985)&lt;4,"Ligne incomplète",IF(NOT(ISNUMBER(A2985)),"Date invalide",IF(AND(B2985&lt;&gt;"Entrée",B2985&lt;&gt;"Sortie"),"Type inconnu",IF(ISNA(MATCH(C2985,art_ref,0)),"Référence inconnue",IF(OR(NOT(ISNUMBER(E2985)),N(E2985)&lt;=0),"Quantité invalide",IF(K2985&lt;0,"Stock négatif",IF(AND(ISNUMBER(A2984),A2985&lt;A2984),"Date hors ordre","OK"))))))))</f>
        <v/>
      </c>
      <c r="M2985" s="39" t="str">
        <f>IF(C2985="","",C2985&amp;"#"&amp;COUNTIF($C$5:C2985,C2985))</f>
        <v/>
      </c>
    </row>
    <row r="2986">
      <c r="A2986" s="41" t="n"/>
      <c r="B2986" s="37" t="n"/>
      <c r="C2986" s="37" t="n"/>
      <c r="D2986" s="39" t="str">
        <f>IF(C2986="","",IFERROR(INDEX(art_des,MATCH(C2986,art_ref,0))&amp;"","Référence inconnue"))</f>
        <v/>
      </c>
      <c r="E2986" s="37" t="n"/>
      <c r="F2986" s="39" t="str">
        <f>IF(C2986="","",IFERROR(INDEX(art_unit,MATCH(C2986,art_ref,0))&amp;"",""))</f>
        <v/>
      </c>
      <c r="G2986" s="37" t="n"/>
      <c r="H2986" s="37" t="n"/>
      <c r="I2986" s="37" t="n"/>
      <c r="J2986" s="40" t="str">
        <f>IF(OR(C2986="",NOT(ISNUMBER(E2986))),"",IFERROR(E2986*N(INDEX(art_price,MATCH(C2986,art_ref,0))),""))</f>
        <v/>
      </c>
      <c r="K2986" s="39" t="str">
        <f>IF(OR(C2986="",NOT(ISNUMBER(E2986))),"",IFERROR(ROUND(N(INDEX(art_init,MATCH(C2986,art_ref,0)))+SUMIFS($E$5:E2986,$C$5:C2986,C2986,$B$5:B2986,"Entrée")-SUMIFS($E$5:E2986,$C$5:C2986,C2986,$B$5:B2986,"Sortie"),6),""))</f>
        <v/>
      </c>
      <c r="L2986" s="39" t="str">
        <f>IF(COUNTA(A2986:C2986,E2986)=0,"",IF(COUNTA(A2986:C2986,E2986)&lt;4,"Ligne incomplète",IF(NOT(ISNUMBER(A2986)),"Date invalide",IF(AND(B2986&lt;&gt;"Entrée",B2986&lt;&gt;"Sortie"),"Type inconnu",IF(ISNA(MATCH(C2986,art_ref,0)),"Référence inconnue",IF(OR(NOT(ISNUMBER(E2986)),N(E2986)&lt;=0),"Quantité invalide",IF(K2986&lt;0,"Stock négatif",IF(AND(ISNUMBER(A2985),A2986&lt;A2985),"Date hors ordre","OK"))))))))</f>
        <v/>
      </c>
      <c r="M2986" s="39" t="str">
        <f>IF(C2986="","",C2986&amp;"#"&amp;COUNTIF($C$5:C2986,C2986))</f>
        <v/>
      </c>
    </row>
    <row r="2987">
      <c r="A2987" s="41" t="n"/>
      <c r="B2987" s="37" t="n"/>
      <c r="C2987" s="37" t="n"/>
      <c r="D2987" s="39" t="str">
        <f>IF(C2987="","",IFERROR(INDEX(art_des,MATCH(C2987,art_ref,0))&amp;"","Référence inconnue"))</f>
        <v/>
      </c>
      <c r="E2987" s="37" t="n"/>
      <c r="F2987" s="39" t="str">
        <f>IF(C2987="","",IFERROR(INDEX(art_unit,MATCH(C2987,art_ref,0))&amp;"",""))</f>
        <v/>
      </c>
      <c r="G2987" s="37" t="n"/>
      <c r="H2987" s="37" t="n"/>
      <c r="I2987" s="37" t="n"/>
      <c r="J2987" s="40" t="str">
        <f>IF(OR(C2987="",NOT(ISNUMBER(E2987))),"",IFERROR(E2987*N(INDEX(art_price,MATCH(C2987,art_ref,0))),""))</f>
        <v/>
      </c>
      <c r="K2987" s="39" t="str">
        <f>IF(OR(C2987="",NOT(ISNUMBER(E2987))),"",IFERROR(ROUND(N(INDEX(art_init,MATCH(C2987,art_ref,0)))+SUMIFS($E$5:E2987,$C$5:C2987,C2987,$B$5:B2987,"Entrée")-SUMIFS($E$5:E2987,$C$5:C2987,C2987,$B$5:B2987,"Sortie"),6),""))</f>
        <v/>
      </c>
      <c r="L2987" s="39" t="str">
        <f>IF(COUNTA(A2987:C2987,E2987)=0,"",IF(COUNTA(A2987:C2987,E2987)&lt;4,"Ligne incomplète",IF(NOT(ISNUMBER(A2987)),"Date invalide",IF(AND(B2987&lt;&gt;"Entrée",B2987&lt;&gt;"Sortie"),"Type inconnu",IF(ISNA(MATCH(C2987,art_ref,0)),"Référence inconnue",IF(OR(NOT(ISNUMBER(E2987)),N(E2987)&lt;=0),"Quantité invalide",IF(K2987&lt;0,"Stock négatif",IF(AND(ISNUMBER(A2986),A2987&lt;A2986),"Date hors ordre","OK"))))))))</f>
        <v/>
      </c>
      <c r="M2987" s="39" t="str">
        <f>IF(C2987="","",C2987&amp;"#"&amp;COUNTIF($C$5:C2987,C2987))</f>
        <v/>
      </c>
    </row>
    <row r="2988">
      <c r="A2988" s="41" t="n"/>
      <c r="B2988" s="37" t="n"/>
      <c r="C2988" s="37" t="n"/>
      <c r="D2988" s="39" t="str">
        <f>IF(C2988="","",IFERROR(INDEX(art_des,MATCH(C2988,art_ref,0))&amp;"","Référence inconnue"))</f>
        <v/>
      </c>
      <c r="E2988" s="37" t="n"/>
      <c r="F2988" s="39" t="str">
        <f>IF(C2988="","",IFERROR(INDEX(art_unit,MATCH(C2988,art_ref,0))&amp;"",""))</f>
        <v/>
      </c>
      <c r="G2988" s="37" t="n"/>
      <c r="H2988" s="37" t="n"/>
      <c r="I2988" s="37" t="n"/>
      <c r="J2988" s="40" t="str">
        <f>IF(OR(C2988="",NOT(ISNUMBER(E2988))),"",IFERROR(E2988*N(INDEX(art_price,MATCH(C2988,art_ref,0))),""))</f>
        <v/>
      </c>
      <c r="K2988" s="39" t="str">
        <f>IF(OR(C2988="",NOT(ISNUMBER(E2988))),"",IFERROR(ROUND(N(INDEX(art_init,MATCH(C2988,art_ref,0)))+SUMIFS($E$5:E2988,$C$5:C2988,C2988,$B$5:B2988,"Entrée")-SUMIFS($E$5:E2988,$C$5:C2988,C2988,$B$5:B2988,"Sortie"),6),""))</f>
        <v/>
      </c>
      <c r="L2988" s="39" t="str">
        <f>IF(COUNTA(A2988:C2988,E2988)=0,"",IF(COUNTA(A2988:C2988,E2988)&lt;4,"Ligne incomplète",IF(NOT(ISNUMBER(A2988)),"Date invalide",IF(AND(B2988&lt;&gt;"Entrée",B2988&lt;&gt;"Sortie"),"Type inconnu",IF(ISNA(MATCH(C2988,art_ref,0)),"Référence inconnue",IF(OR(NOT(ISNUMBER(E2988)),N(E2988)&lt;=0),"Quantité invalide",IF(K2988&lt;0,"Stock négatif",IF(AND(ISNUMBER(A2987),A2988&lt;A2987),"Date hors ordre","OK"))))))))</f>
        <v/>
      </c>
      <c r="M2988" s="39" t="str">
        <f>IF(C2988="","",C2988&amp;"#"&amp;COUNTIF($C$5:C2988,C2988))</f>
        <v/>
      </c>
    </row>
    <row r="2989">
      <c r="A2989" s="41" t="n"/>
      <c r="B2989" s="37" t="n"/>
      <c r="C2989" s="37" t="n"/>
      <c r="D2989" s="39" t="str">
        <f>IF(C2989="","",IFERROR(INDEX(art_des,MATCH(C2989,art_ref,0))&amp;"","Référence inconnue"))</f>
        <v/>
      </c>
      <c r="E2989" s="37" t="n"/>
      <c r="F2989" s="39" t="str">
        <f>IF(C2989="","",IFERROR(INDEX(art_unit,MATCH(C2989,art_ref,0))&amp;"",""))</f>
        <v/>
      </c>
      <c r="G2989" s="37" t="n"/>
      <c r="H2989" s="37" t="n"/>
      <c r="I2989" s="37" t="n"/>
      <c r="J2989" s="40" t="str">
        <f>IF(OR(C2989="",NOT(ISNUMBER(E2989))),"",IFERROR(E2989*N(INDEX(art_price,MATCH(C2989,art_ref,0))),""))</f>
        <v/>
      </c>
      <c r="K2989" s="39" t="str">
        <f>IF(OR(C2989="",NOT(ISNUMBER(E2989))),"",IFERROR(ROUND(N(INDEX(art_init,MATCH(C2989,art_ref,0)))+SUMIFS($E$5:E2989,$C$5:C2989,C2989,$B$5:B2989,"Entrée")-SUMIFS($E$5:E2989,$C$5:C2989,C2989,$B$5:B2989,"Sortie"),6),""))</f>
        <v/>
      </c>
      <c r="L2989" s="39" t="str">
        <f>IF(COUNTA(A2989:C2989,E2989)=0,"",IF(COUNTA(A2989:C2989,E2989)&lt;4,"Ligne incomplète",IF(NOT(ISNUMBER(A2989)),"Date invalide",IF(AND(B2989&lt;&gt;"Entrée",B2989&lt;&gt;"Sortie"),"Type inconnu",IF(ISNA(MATCH(C2989,art_ref,0)),"Référence inconnue",IF(OR(NOT(ISNUMBER(E2989)),N(E2989)&lt;=0),"Quantité invalide",IF(K2989&lt;0,"Stock négatif",IF(AND(ISNUMBER(A2988),A2989&lt;A2988),"Date hors ordre","OK"))))))))</f>
        <v/>
      </c>
      <c r="M2989" s="39" t="str">
        <f>IF(C2989="","",C2989&amp;"#"&amp;COUNTIF($C$5:C2989,C2989))</f>
        <v/>
      </c>
    </row>
    <row r="2990">
      <c r="A2990" s="41" t="n"/>
      <c r="B2990" s="37" t="n"/>
      <c r="C2990" s="37" t="n"/>
      <c r="D2990" s="39" t="str">
        <f>IF(C2990="","",IFERROR(INDEX(art_des,MATCH(C2990,art_ref,0))&amp;"","Référence inconnue"))</f>
        <v/>
      </c>
      <c r="E2990" s="37" t="n"/>
      <c r="F2990" s="39" t="str">
        <f>IF(C2990="","",IFERROR(INDEX(art_unit,MATCH(C2990,art_ref,0))&amp;"",""))</f>
        <v/>
      </c>
      <c r="G2990" s="37" t="n"/>
      <c r="H2990" s="37" t="n"/>
      <c r="I2990" s="37" t="n"/>
      <c r="J2990" s="40" t="str">
        <f>IF(OR(C2990="",NOT(ISNUMBER(E2990))),"",IFERROR(E2990*N(INDEX(art_price,MATCH(C2990,art_ref,0))),""))</f>
        <v/>
      </c>
      <c r="K2990" s="39" t="str">
        <f>IF(OR(C2990="",NOT(ISNUMBER(E2990))),"",IFERROR(ROUND(N(INDEX(art_init,MATCH(C2990,art_ref,0)))+SUMIFS($E$5:E2990,$C$5:C2990,C2990,$B$5:B2990,"Entrée")-SUMIFS($E$5:E2990,$C$5:C2990,C2990,$B$5:B2990,"Sortie"),6),""))</f>
        <v/>
      </c>
      <c r="L2990" s="39" t="str">
        <f>IF(COUNTA(A2990:C2990,E2990)=0,"",IF(COUNTA(A2990:C2990,E2990)&lt;4,"Ligne incomplète",IF(NOT(ISNUMBER(A2990)),"Date invalide",IF(AND(B2990&lt;&gt;"Entrée",B2990&lt;&gt;"Sortie"),"Type inconnu",IF(ISNA(MATCH(C2990,art_ref,0)),"Référence inconnue",IF(OR(NOT(ISNUMBER(E2990)),N(E2990)&lt;=0),"Quantité invalide",IF(K2990&lt;0,"Stock négatif",IF(AND(ISNUMBER(A2989),A2990&lt;A2989),"Date hors ordre","OK"))))))))</f>
        <v/>
      </c>
      <c r="M2990" s="39" t="str">
        <f>IF(C2990="","",C2990&amp;"#"&amp;COUNTIF($C$5:C2990,C2990))</f>
        <v/>
      </c>
    </row>
    <row r="2991">
      <c r="A2991" s="41" t="n"/>
      <c r="B2991" s="37" t="n"/>
      <c r="C2991" s="37" t="n"/>
      <c r="D2991" s="39" t="str">
        <f>IF(C2991="","",IFERROR(INDEX(art_des,MATCH(C2991,art_ref,0))&amp;"","Référence inconnue"))</f>
        <v/>
      </c>
      <c r="E2991" s="37" t="n"/>
      <c r="F2991" s="39" t="str">
        <f>IF(C2991="","",IFERROR(INDEX(art_unit,MATCH(C2991,art_ref,0))&amp;"",""))</f>
        <v/>
      </c>
      <c r="G2991" s="37" t="n"/>
      <c r="H2991" s="37" t="n"/>
      <c r="I2991" s="37" t="n"/>
      <c r="J2991" s="40" t="str">
        <f>IF(OR(C2991="",NOT(ISNUMBER(E2991))),"",IFERROR(E2991*N(INDEX(art_price,MATCH(C2991,art_ref,0))),""))</f>
        <v/>
      </c>
      <c r="K2991" s="39" t="str">
        <f>IF(OR(C2991="",NOT(ISNUMBER(E2991))),"",IFERROR(ROUND(N(INDEX(art_init,MATCH(C2991,art_ref,0)))+SUMIFS($E$5:E2991,$C$5:C2991,C2991,$B$5:B2991,"Entrée")-SUMIFS($E$5:E2991,$C$5:C2991,C2991,$B$5:B2991,"Sortie"),6),""))</f>
        <v/>
      </c>
      <c r="L2991" s="39" t="str">
        <f>IF(COUNTA(A2991:C2991,E2991)=0,"",IF(COUNTA(A2991:C2991,E2991)&lt;4,"Ligne incomplète",IF(NOT(ISNUMBER(A2991)),"Date invalide",IF(AND(B2991&lt;&gt;"Entrée",B2991&lt;&gt;"Sortie"),"Type inconnu",IF(ISNA(MATCH(C2991,art_ref,0)),"Référence inconnue",IF(OR(NOT(ISNUMBER(E2991)),N(E2991)&lt;=0),"Quantité invalide",IF(K2991&lt;0,"Stock négatif",IF(AND(ISNUMBER(A2990),A2991&lt;A2990),"Date hors ordre","OK"))))))))</f>
        <v/>
      </c>
      <c r="M2991" s="39" t="str">
        <f>IF(C2991="","",C2991&amp;"#"&amp;COUNTIF($C$5:C2991,C2991))</f>
        <v/>
      </c>
    </row>
    <row r="2992">
      <c r="A2992" s="41" t="n"/>
      <c r="B2992" s="37" t="n"/>
      <c r="C2992" s="37" t="n"/>
      <c r="D2992" s="39" t="str">
        <f>IF(C2992="","",IFERROR(INDEX(art_des,MATCH(C2992,art_ref,0))&amp;"","Référence inconnue"))</f>
        <v/>
      </c>
      <c r="E2992" s="37" t="n"/>
      <c r="F2992" s="39" t="str">
        <f>IF(C2992="","",IFERROR(INDEX(art_unit,MATCH(C2992,art_ref,0))&amp;"",""))</f>
        <v/>
      </c>
      <c r="G2992" s="37" t="n"/>
      <c r="H2992" s="37" t="n"/>
      <c r="I2992" s="37" t="n"/>
      <c r="J2992" s="40" t="str">
        <f>IF(OR(C2992="",NOT(ISNUMBER(E2992))),"",IFERROR(E2992*N(INDEX(art_price,MATCH(C2992,art_ref,0))),""))</f>
        <v/>
      </c>
      <c r="K2992" s="39" t="str">
        <f>IF(OR(C2992="",NOT(ISNUMBER(E2992))),"",IFERROR(ROUND(N(INDEX(art_init,MATCH(C2992,art_ref,0)))+SUMIFS($E$5:E2992,$C$5:C2992,C2992,$B$5:B2992,"Entrée")-SUMIFS($E$5:E2992,$C$5:C2992,C2992,$B$5:B2992,"Sortie"),6),""))</f>
        <v/>
      </c>
      <c r="L2992" s="39" t="str">
        <f>IF(COUNTA(A2992:C2992,E2992)=0,"",IF(COUNTA(A2992:C2992,E2992)&lt;4,"Ligne incomplète",IF(NOT(ISNUMBER(A2992)),"Date invalide",IF(AND(B2992&lt;&gt;"Entrée",B2992&lt;&gt;"Sortie"),"Type inconnu",IF(ISNA(MATCH(C2992,art_ref,0)),"Référence inconnue",IF(OR(NOT(ISNUMBER(E2992)),N(E2992)&lt;=0),"Quantité invalide",IF(K2992&lt;0,"Stock négatif",IF(AND(ISNUMBER(A2991),A2992&lt;A2991),"Date hors ordre","OK"))))))))</f>
        <v/>
      </c>
      <c r="M2992" s="39" t="str">
        <f>IF(C2992="","",C2992&amp;"#"&amp;COUNTIF($C$5:C2992,C2992))</f>
        <v/>
      </c>
    </row>
    <row r="2993">
      <c r="A2993" s="41" t="n"/>
      <c r="B2993" s="37" t="n"/>
      <c r="C2993" s="37" t="n"/>
      <c r="D2993" s="39" t="str">
        <f>IF(C2993="","",IFERROR(INDEX(art_des,MATCH(C2993,art_ref,0))&amp;"","Référence inconnue"))</f>
        <v/>
      </c>
      <c r="E2993" s="37" t="n"/>
      <c r="F2993" s="39" t="str">
        <f>IF(C2993="","",IFERROR(INDEX(art_unit,MATCH(C2993,art_ref,0))&amp;"",""))</f>
        <v/>
      </c>
      <c r="G2993" s="37" t="n"/>
      <c r="H2993" s="37" t="n"/>
      <c r="I2993" s="37" t="n"/>
      <c r="J2993" s="40" t="str">
        <f>IF(OR(C2993="",NOT(ISNUMBER(E2993))),"",IFERROR(E2993*N(INDEX(art_price,MATCH(C2993,art_ref,0))),""))</f>
        <v/>
      </c>
      <c r="K2993" s="39" t="str">
        <f>IF(OR(C2993="",NOT(ISNUMBER(E2993))),"",IFERROR(ROUND(N(INDEX(art_init,MATCH(C2993,art_ref,0)))+SUMIFS($E$5:E2993,$C$5:C2993,C2993,$B$5:B2993,"Entrée")-SUMIFS($E$5:E2993,$C$5:C2993,C2993,$B$5:B2993,"Sortie"),6),""))</f>
        <v/>
      </c>
      <c r="L2993" s="39" t="str">
        <f>IF(COUNTA(A2993:C2993,E2993)=0,"",IF(COUNTA(A2993:C2993,E2993)&lt;4,"Ligne incomplète",IF(NOT(ISNUMBER(A2993)),"Date invalide",IF(AND(B2993&lt;&gt;"Entrée",B2993&lt;&gt;"Sortie"),"Type inconnu",IF(ISNA(MATCH(C2993,art_ref,0)),"Référence inconnue",IF(OR(NOT(ISNUMBER(E2993)),N(E2993)&lt;=0),"Quantité invalide",IF(K2993&lt;0,"Stock négatif",IF(AND(ISNUMBER(A2992),A2993&lt;A2992),"Date hors ordre","OK"))))))))</f>
        <v/>
      </c>
      <c r="M2993" s="39" t="str">
        <f>IF(C2993="","",C2993&amp;"#"&amp;COUNTIF($C$5:C2993,C2993))</f>
        <v/>
      </c>
    </row>
    <row r="2994">
      <c r="A2994" s="41" t="n"/>
      <c r="B2994" s="37" t="n"/>
      <c r="C2994" s="37" t="n"/>
      <c r="D2994" s="39" t="str">
        <f>IF(C2994="","",IFERROR(INDEX(art_des,MATCH(C2994,art_ref,0))&amp;"","Référence inconnue"))</f>
        <v/>
      </c>
      <c r="E2994" s="37" t="n"/>
      <c r="F2994" s="39" t="str">
        <f>IF(C2994="","",IFERROR(INDEX(art_unit,MATCH(C2994,art_ref,0))&amp;"",""))</f>
        <v/>
      </c>
      <c r="G2994" s="37" t="n"/>
      <c r="H2994" s="37" t="n"/>
      <c r="I2994" s="37" t="n"/>
      <c r="J2994" s="40" t="str">
        <f>IF(OR(C2994="",NOT(ISNUMBER(E2994))),"",IFERROR(E2994*N(INDEX(art_price,MATCH(C2994,art_ref,0))),""))</f>
        <v/>
      </c>
      <c r="K2994" s="39" t="str">
        <f>IF(OR(C2994="",NOT(ISNUMBER(E2994))),"",IFERROR(ROUND(N(INDEX(art_init,MATCH(C2994,art_ref,0)))+SUMIFS($E$5:E2994,$C$5:C2994,C2994,$B$5:B2994,"Entrée")-SUMIFS($E$5:E2994,$C$5:C2994,C2994,$B$5:B2994,"Sortie"),6),""))</f>
        <v/>
      </c>
      <c r="L2994" s="39" t="str">
        <f>IF(COUNTA(A2994:C2994,E2994)=0,"",IF(COUNTA(A2994:C2994,E2994)&lt;4,"Ligne incomplète",IF(NOT(ISNUMBER(A2994)),"Date invalide",IF(AND(B2994&lt;&gt;"Entrée",B2994&lt;&gt;"Sortie"),"Type inconnu",IF(ISNA(MATCH(C2994,art_ref,0)),"Référence inconnue",IF(OR(NOT(ISNUMBER(E2994)),N(E2994)&lt;=0),"Quantité invalide",IF(K2994&lt;0,"Stock négatif",IF(AND(ISNUMBER(A2993),A2994&lt;A2993),"Date hors ordre","OK"))))))))</f>
        <v/>
      </c>
      <c r="M2994" s="39" t="str">
        <f>IF(C2994="","",C2994&amp;"#"&amp;COUNTIF($C$5:C2994,C2994))</f>
        <v/>
      </c>
    </row>
    <row r="2995">
      <c r="A2995" s="41" t="n"/>
      <c r="B2995" s="37" t="n"/>
      <c r="C2995" s="37" t="n"/>
      <c r="D2995" s="39" t="str">
        <f>IF(C2995="","",IFERROR(INDEX(art_des,MATCH(C2995,art_ref,0))&amp;"","Référence inconnue"))</f>
        <v/>
      </c>
      <c r="E2995" s="37" t="n"/>
      <c r="F2995" s="39" t="str">
        <f>IF(C2995="","",IFERROR(INDEX(art_unit,MATCH(C2995,art_ref,0))&amp;"",""))</f>
        <v/>
      </c>
      <c r="G2995" s="37" t="n"/>
      <c r="H2995" s="37" t="n"/>
      <c r="I2995" s="37" t="n"/>
      <c r="J2995" s="40" t="str">
        <f>IF(OR(C2995="",NOT(ISNUMBER(E2995))),"",IFERROR(E2995*N(INDEX(art_price,MATCH(C2995,art_ref,0))),""))</f>
        <v/>
      </c>
      <c r="K2995" s="39" t="str">
        <f>IF(OR(C2995="",NOT(ISNUMBER(E2995))),"",IFERROR(ROUND(N(INDEX(art_init,MATCH(C2995,art_ref,0)))+SUMIFS($E$5:E2995,$C$5:C2995,C2995,$B$5:B2995,"Entrée")-SUMIFS($E$5:E2995,$C$5:C2995,C2995,$B$5:B2995,"Sortie"),6),""))</f>
        <v/>
      </c>
      <c r="L2995" s="39" t="str">
        <f>IF(COUNTA(A2995:C2995,E2995)=0,"",IF(COUNTA(A2995:C2995,E2995)&lt;4,"Ligne incomplète",IF(NOT(ISNUMBER(A2995)),"Date invalide",IF(AND(B2995&lt;&gt;"Entrée",B2995&lt;&gt;"Sortie"),"Type inconnu",IF(ISNA(MATCH(C2995,art_ref,0)),"Référence inconnue",IF(OR(NOT(ISNUMBER(E2995)),N(E2995)&lt;=0),"Quantité invalide",IF(K2995&lt;0,"Stock négatif",IF(AND(ISNUMBER(A2994),A2995&lt;A2994),"Date hors ordre","OK"))))))))</f>
        <v/>
      </c>
      <c r="M2995" s="39" t="str">
        <f>IF(C2995="","",C2995&amp;"#"&amp;COUNTIF($C$5:C2995,C2995))</f>
        <v/>
      </c>
    </row>
    <row r="2996">
      <c r="A2996" s="41" t="n"/>
      <c r="B2996" s="37" t="n"/>
      <c r="C2996" s="37" t="n"/>
      <c r="D2996" s="39" t="str">
        <f>IF(C2996="","",IFERROR(INDEX(art_des,MATCH(C2996,art_ref,0))&amp;"","Référence inconnue"))</f>
        <v/>
      </c>
      <c r="E2996" s="37" t="n"/>
      <c r="F2996" s="39" t="str">
        <f>IF(C2996="","",IFERROR(INDEX(art_unit,MATCH(C2996,art_ref,0))&amp;"",""))</f>
        <v/>
      </c>
      <c r="G2996" s="37" t="n"/>
      <c r="H2996" s="37" t="n"/>
      <c r="I2996" s="37" t="n"/>
      <c r="J2996" s="40" t="str">
        <f>IF(OR(C2996="",NOT(ISNUMBER(E2996))),"",IFERROR(E2996*N(INDEX(art_price,MATCH(C2996,art_ref,0))),""))</f>
        <v/>
      </c>
      <c r="K2996" s="39" t="str">
        <f>IF(OR(C2996="",NOT(ISNUMBER(E2996))),"",IFERROR(ROUND(N(INDEX(art_init,MATCH(C2996,art_ref,0)))+SUMIFS($E$5:E2996,$C$5:C2996,C2996,$B$5:B2996,"Entrée")-SUMIFS($E$5:E2996,$C$5:C2996,C2996,$B$5:B2996,"Sortie"),6),""))</f>
        <v/>
      </c>
      <c r="L2996" s="39" t="str">
        <f>IF(COUNTA(A2996:C2996,E2996)=0,"",IF(COUNTA(A2996:C2996,E2996)&lt;4,"Ligne incomplète",IF(NOT(ISNUMBER(A2996)),"Date invalide",IF(AND(B2996&lt;&gt;"Entrée",B2996&lt;&gt;"Sortie"),"Type inconnu",IF(ISNA(MATCH(C2996,art_ref,0)),"Référence inconnue",IF(OR(NOT(ISNUMBER(E2996)),N(E2996)&lt;=0),"Quantité invalide",IF(K2996&lt;0,"Stock négatif",IF(AND(ISNUMBER(A2995),A2996&lt;A2995),"Date hors ordre","OK"))))))))</f>
        <v/>
      </c>
      <c r="M2996" s="39" t="str">
        <f>IF(C2996="","",C2996&amp;"#"&amp;COUNTIF($C$5:C2996,C2996))</f>
        <v/>
      </c>
    </row>
    <row r="2997">
      <c r="A2997" s="41" t="n"/>
      <c r="B2997" s="37" t="n"/>
      <c r="C2997" s="37" t="n"/>
      <c r="D2997" s="39" t="str">
        <f>IF(C2997="","",IFERROR(INDEX(art_des,MATCH(C2997,art_ref,0))&amp;"","Référence inconnue"))</f>
        <v/>
      </c>
      <c r="E2997" s="37" t="n"/>
      <c r="F2997" s="39" t="str">
        <f>IF(C2997="","",IFERROR(INDEX(art_unit,MATCH(C2997,art_ref,0))&amp;"",""))</f>
        <v/>
      </c>
      <c r="G2997" s="37" t="n"/>
      <c r="H2997" s="37" t="n"/>
      <c r="I2997" s="37" t="n"/>
      <c r="J2997" s="40" t="str">
        <f>IF(OR(C2997="",NOT(ISNUMBER(E2997))),"",IFERROR(E2997*N(INDEX(art_price,MATCH(C2997,art_ref,0))),""))</f>
        <v/>
      </c>
      <c r="K2997" s="39" t="str">
        <f>IF(OR(C2997="",NOT(ISNUMBER(E2997))),"",IFERROR(ROUND(N(INDEX(art_init,MATCH(C2997,art_ref,0)))+SUMIFS($E$5:E2997,$C$5:C2997,C2997,$B$5:B2997,"Entrée")-SUMIFS($E$5:E2997,$C$5:C2997,C2997,$B$5:B2997,"Sortie"),6),""))</f>
        <v/>
      </c>
      <c r="L2997" s="39" t="str">
        <f>IF(COUNTA(A2997:C2997,E2997)=0,"",IF(COUNTA(A2997:C2997,E2997)&lt;4,"Ligne incomplète",IF(NOT(ISNUMBER(A2997)),"Date invalide",IF(AND(B2997&lt;&gt;"Entrée",B2997&lt;&gt;"Sortie"),"Type inconnu",IF(ISNA(MATCH(C2997,art_ref,0)),"Référence inconnue",IF(OR(NOT(ISNUMBER(E2997)),N(E2997)&lt;=0),"Quantité invalide",IF(K2997&lt;0,"Stock négatif",IF(AND(ISNUMBER(A2996),A2997&lt;A2996),"Date hors ordre","OK"))))))))</f>
        <v/>
      </c>
      <c r="M2997" s="39" t="str">
        <f>IF(C2997="","",C2997&amp;"#"&amp;COUNTIF($C$5:C2997,C2997))</f>
        <v/>
      </c>
    </row>
    <row r="2998">
      <c r="A2998" s="41" t="n"/>
      <c r="B2998" s="37" t="n"/>
      <c r="C2998" s="37" t="n"/>
      <c r="D2998" s="39" t="str">
        <f>IF(C2998="","",IFERROR(INDEX(art_des,MATCH(C2998,art_ref,0))&amp;"","Référence inconnue"))</f>
        <v/>
      </c>
      <c r="E2998" s="37" t="n"/>
      <c r="F2998" s="39" t="str">
        <f>IF(C2998="","",IFERROR(INDEX(art_unit,MATCH(C2998,art_ref,0))&amp;"",""))</f>
        <v/>
      </c>
      <c r="G2998" s="37" t="n"/>
      <c r="H2998" s="37" t="n"/>
      <c r="I2998" s="37" t="n"/>
      <c r="J2998" s="40" t="str">
        <f>IF(OR(C2998="",NOT(ISNUMBER(E2998))),"",IFERROR(E2998*N(INDEX(art_price,MATCH(C2998,art_ref,0))),""))</f>
        <v/>
      </c>
      <c r="K2998" s="39" t="str">
        <f>IF(OR(C2998="",NOT(ISNUMBER(E2998))),"",IFERROR(ROUND(N(INDEX(art_init,MATCH(C2998,art_ref,0)))+SUMIFS($E$5:E2998,$C$5:C2998,C2998,$B$5:B2998,"Entrée")-SUMIFS($E$5:E2998,$C$5:C2998,C2998,$B$5:B2998,"Sortie"),6),""))</f>
        <v/>
      </c>
      <c r="L2998" s="39" t="str">
        <f>IF(COUNTA(A2998:C2998,E2998)=0,"",IF(COUNTA(A2998:C2998,E2998)&lt;4,"Ligne incomplète",IF(NOT(ISNUMBER(A2998)),"Date invalide",IF(AND(B2998&lt;&gt;"Entrée",B2998&lt;&gt;"Sortie"),"Type inconnu",IF(ISNA(MATCH(C2998,art_ref,0)),"Référence inconnue",IF(OR(NOT(ISNUMBER(E2998)),N(E2998)&lt;=0),"Quantité invalide",IF(K2998&lt;0,"Stock négatif",IF(AND(ISNUMBER(A2997),A2998&lt;A2997),"Date hors ordre","OK"))))))))</f>
        <v/>
      </c>
      <c r="M2998" s="39" t="str">
        <f>IF(C2998="","",C2998&amp;"#"&amp;COUNTIF($C$5:C2998,C2998))</f>
        <v/>
      </c>
    </row>
    <row r="2999">
      <c r="A2999" s="41" t="n"/>
      <c r="B2999" s="37" t="n"/>
      <c r="C2999" s="37" t="n"/>
      <c r="D2999" s="39" t="str">
        <f>IF(C2999="","",IFERROR(INDEX(art_des,MATCH(C2999,art_ref,0))&amp;"","Référence inconnue"))</f>
        <v/>
      </c>
      <c r="E2999" s="37" t="n"/>
      <c r="F2999" s="39" t="str">
        <f>IF(C2999="","",IFERROR(INDEX(art_unit,MATCH(C2999,art_ref,0))&amp;"",""))</f>
        <v/>
      </c>
      <c r="G2999" s="37" t="n"/>
      <c r="H2999" s="37" t="n"/>
      <c r="I2999" s="37" t="n"/>
      <c r="J2999" s="40" t="str">
        <f>IF(OR(C2999="",NOT(ISNUMBER(E2999))),"",IFERROR(E2999*N(INDEX(art_price,MATCH(C2999,art_ref,0))),""))</f>
        <v/>
      </c>
      <c r="K2999" s="39" t="str">
        <f>IF(OR(C2999="",NOT(ISNUMBER(E2999))),"",IFERROR(ROUND(N(INDEX(art_init,MATCH(C2999,art_ref,0)))+SUMIFS($E$5:E2999,$C$5:C2999,C2999,$B$5:B2999,"Entrée")-SUMIFS($E$5:E2999,$C$5:C2999,C2999,$B$5:B2999,"Sortie"),6),""))</f>
        <v/>
      </c>
      <c r="L2999" s="39" t="str">
        <f>IF(COUNTA(A2999:C2999,E2999)=0,"",IF(COUNTA(A2999:C2999,E2999)&lt;4,"Ligne incomplète",IF(NOT(ISNUMBER(A2999)),"Date invalide",IF(AND(B2999&lt;&gt;"Entrée",B2999&lt;&gt;"Sortie"),"Type inconnu",IF(ISNA(MATCH(C2999,art_ref,0)),"Référence inconnue",IF(OR(NOT(ISNUMBER(E2999)),N(E2999)&lt;=0),"Quantité invalide",IF(K2999&lt;0,"Stock négatif",IF(AND(ISNUMBER(A2998),A2999&lt;A2998),"Date hors ordre","OK"))))))))</f>
        <v/>
      </c>
      <c r="M2999" s="39" t="str">
        <f>IF(C2999="","",C2999&amp;"#"&amp;COUNTIF($C$5:C2999,C2999))</f>
        <v/>
      </c>
    </row>
    <row r="3000">
      <c r="A3000" s="41" t="n"/>
      <c r="B3000" s="37" t="n"/>
      <c r="C3000" s="37" t="n"/>
      <c r="D3000" s="39" t="str">
        <f>IF(C3000="","",IFERROR(INDEX(art_des,MATCH(C3000,art_ref,0))&amp;"","Référence inconnue"))</f>
        <v/>
      </c>
      <c r="E3000" s="37" t="n"/>
      <c r="F3000" s="39" t="str">
        <f>IF(C3000="","",IFERROR(INDEX(art_unit,MATCH(C3000,art_ref,0))&amp;"",""))</f>
        <v/>
      </c>
      <c r="G3000" s="37" t="n"/>
      <c r="H3000" s="37" t="n"/>
      <c r="I3000" s="37" t="n"/>
      <c r="J3000" s="40" t="str">
        <f>IF(OR(C3000="",NOT(ISNUMBER(E3000))),"",IFERROR(E3000*N(INDEX(art_price,MATCH(C3000,art_ref,0))),""))</f>
        <v/>
      </c>
      <c r="K3000" s="39" t="str">
        <f>IF(OR(C3000="",NOT(ISNUMBER(E3000))),"",IFERROR(ROUND(N(INDEX(art_init,MATCH(C3000,art_ref,0)))+SUMIFS($E$5:E3000,$C$5:C3000,C3000,$B$5:B3000,"Entrée")-SUMIFS($E$5:E3000,$C$5:C3000,C3000,$B$5:B3000,"Sortie"),6),""))</f>
        <v/>
      </c>
      <c r="L3000" s="39" t="str">
        <f>IF(COUNTA(A3000:C3000,E3000)=0,"",IF(COUNTA(A3000:C3000,E3000)&lt;4,"Ligne incomplète",IF(NOT(ISNUMBER(A3000)),"Date invalide",IF(AND(B3000&lt;&gt;"Entrée",B3000&lt;&gt;"Sortie"),"Type inconnu",IF(ISNA(MATCH(C3000,art_ref,0)),"Référence inconnue",IF(OR(NOT(ISNUMBER(E3000)),N(E3000)&lt;=0),"Quantité invalide",IF(K3000&lt;0,"Stock négatif",IF(AND(ISNUMBER(A2999),A3000&lt;A2999),"Date hors ordre","OK"))))))))</f>
        <v/>
      </c>
      <c r="M3000" s="39" t="str">
        <f>IF(C3000="","",C3000&amp;"#"&amp;COUNTIF($C$5:C3000,C3000))</f>
        <v/>
      </c>
    </row>
    <row r="3001">
      <c r="A3001" s="41" t="n"/>
      <c r="B3001" s="37" t="n"/>
      <c r="C3001" s="37" t="n"/>
      <c r="D3001" s="39" t="str">
        <f>IF(C3001="","",IFERROR(INDEX(art_des,MATCH(C3001,art_ref,0))&amp;"","Référence inconnue"))</f>
        <v/>
      </c>
      <c r="E3001" s="37" t="n"/>
      <c r="F3001" s="39" t="str">
        <f>IF(C3001="","",IFERROR(INDEX(art_unit,MATCH(C3001,art_ref,0))&amp;"",""))</f>
        <v/>
      </c>
      <c r="G3001" s="37" t="n"/>
      <c r="H3001" s="37" t="n"/>
      <c r="I3001" s="37" t="n"/>
      <c r="J3001" s="40" t="str">
        <f>IF(OR(C3001="",NOT(ISNUMBER(E3001))),"",IFERROR(E3001*N(INDEX(art_price,MATCH(C3001,art_ref,0))),""))</f>
        <v/>
      </c>
      <c r="K3001" s="39" t="str">
        <f>IF(OR(C3001="",NOT(ISNUMBER(E3001))),"",IFERROR(ROUND(N(INDEX(art_init,MATCH(C3001,art_ref,0)))+SUMIFS($E$5:E3001,$C$5:C3001,C3001,$B$5:B3001,"Entrée")-SUMIFS($E$5:E3001,$C$5:C3001,C3001,$B$5:B3001,"Sortie"),6),""))</f>
        <v/>
      </c>
      <c r="L3001" s="39" t="str">
        <f>IF(COUNTA(A3001:C3001,E3001)=0,"",IF(COUNTA(A3001:C3001,E3001)&lt;4,"Ligne incomplète",IF(NOT(ISNUMBER(A3001)),"Date invalide",IF(AND(B3001&lt;&gt;"Entrée",B3001&lt;&gt;"Sortie"),"Type inconnu",IF(ISNA(MATCH(C3001,art_ref,0)),"Référence inconnue",IF(OR(NOT(ISNUMBER(E3001)),N(E3001)&lt;=0),"Quantité invalide",IF(K3001&lt;0,"Stock négatif",IF(AND(ISNUMBER(A3000),A3001&lt;A3000),"Date hors ordre","OK"))))))))</f>
        <v/>
      </c>
      <c r="M3001" s="39" t="str">
        <f>IF(C3001="","",C3001&amp;"#"&amp;COUNTIF($C$5:C3001,C3001))</f>
        <v/>
      </c>
    </row>
    <row r="3002">
      <c r="A3002" s="41" t="n"/>
      <c r="B3002" s="37" t="n"/>
      <c r="C3002" s="37" t="n"/>
      <c r="D3002" s="39" t="str">
        <f>IF(C3002="","",IFERROR(INDEX(art_des,MATCH(C3002,art_ref,0))&amp;"","Référence inconnue"))</f>
        <v/>
      </c>
      <c r="E3002" s="37" t="n"/>
      <c r="F3002" s="39" t="str">
        <f>IF(C3002="","",IFERROR(INDEX(art_unit,MATCH(C3002,art_ref,0))&amp;"",""))</f>
        <v/>
      </c>
      <c r="G3002" s="37" t="n"/>
      <c r="H3002" s="37" t="n"/>
      <c r="I3002" s="37" t="n"/>
      <c r="J3002" s="40" t="str">
        <f>IF(OR(C3002="",NOT(ISNUMBER(E3002))),"",IFERROR(E3002*N(INDEX(art_price,MATCH(C3002,art_ref,0))),""))</f>
        <v/>
      </c>
      <c r="K3002" s="39" t="str">
        <f>IF(OR(C3002="",NOT(ISNUMBER(E3002))),"",IFERROR(ROUND(N(INDEX(art_init,MATCH(C3002,art_ref,0)))+SUMIFS($E$5:E3002,$C$5:C3002,C3002,$B$5:B3002,"Entrée")-SUMIFS($E$5:E3002,$C$5:C3002,C3002,$B$5:B3002,"Sortie"),6),""))</f>
        <v/>
      </c>
      <c r="L3002" s="39" t="str">
        <f>IF(COUNTA(A3002:C3002,E3002)=0,"",IF(COUNTA(A3002:C3002,E3002)&lt;4,"Ligne incomplète",IF(NOT(ISNUMBER(A3002)),"Date invalide",IF(AND(B3002&lt;&gt;"Entrée",B3002&lt;&gt;"Sortie"),"Type inconnu",IF(ISNA(MATCH(C3002,art_ref,0)),"Référence inconnue",IF(OR(NOT(ISNUMBER(E3002)),N(E3002)&lt;=0),"Quantité invalide",IF(K3002&lt;0,"Stock négatif",IF(AND(ISNUMBER(A3001),A3002&lt;A3001),"Date hors ordre","OK"))))))))</f>
        <v/>
      </c>
      <c r="M3002" s="39" t="str">
        <f>IF(C3002="","",C3002&amp;"#"&amp;COUNTIF($C$5:C3002,C3002))</f>
        <v/>
      </c>
    </row>
    <row r="3003">
      <c r="A3003" s="41" t="n"/>
      <c r="B3003" s="37" t="n"/>
      <c r="C3003" s="37" t="n"/>
      <c r="D3003" s="39" t="str">
        <f>IF(C3003="","",IFERROR(INDEX(art_des,MATCH(C3003,art_ref,0))&amp;"","Référence inconnue"))</f>
        <v/>
      </c>
      <c r="E3003" s="37" t="n"/>
      <c r="F3003" s="39" t="str">
        <f>IF(C3003="","",IFERROR(INDEX(art_unit,MATCH(C3003,art_ref,0))&amp;"",""))</f>
        <v/>
      </c>
      <c r="G3003" s="37" t="n"/>
      <c r="H3003" s="37" t="n"/>
      <c r="I3003" s="37" t="n"/>
      <c r="J3003" s="40" t="str">
        <f>IF(OR(C3003="",NOT(ISNUMBER(E3003))),"",IFERROR(E3003*N(INDEX(art_price,MATCH(C3003,art_ref,0))),""))</f>
        <v/>
      </c>
      <c r="K3003" s="39" t="str">
        <f>IF(OR(C3003="",NOT(ISNUMBER(E3003))),"",IFERROR(ROUND(N(INDEX(art_init,MATCH(C3003,art_ref,0)))+SUMIFS($E$5:E3003,$C$5:C3003,C3003,$B$5:B3003,"Entrée")-SUMIFS($E$5:E3003,$C$5:C3003,C3003,$B$5:B3003,"Sortie"),6),""))</f>
        <v/>
      </c>
      <c r="L3003" s="39" t="str">
        <f>IF(COUNTA(A3003:C3003,E3003)=0,"",IF(COUNTA(A3003:C3003,E3003)&lt;4,"Ligne incomplète",IF(NOT(ISNUMBER(A3003)),"Date invalide",IF(AND(B3003&lt;&gt;"Entrée",B3003&lt;&gt;"Sortie"),"Type inconnu",IF(ISNA(MATCH(C3003,art_ref,0)),"Référence inconnue",IF(OR(NOT(ISNUMBER(E3003)),N(E3003)&lt;=0),"Quantité invalide",IF(K3003&lt;0,"Stock négatif",IF(AND(ISNUMBER(A3002),A3003&lt;A3002),"Date hors ordre","OK"))))))))</f>
        <v/>
      </c>
      <c r="M3003" s="39" t="str">
        <f>IF(C3003="","",C3003&amp;"#"&amp;COUNTIF($C$5:C3003,C3003))</f>
        <v/>
      </c>
    </row>
    <row r="3004">
      <c r="A3004" s="41" t="n"/>
      <c r="B3004" s="37" t="n"/>
      <c r="C3004" s="37" t="n"/>
      <c r="D3004" s="39" t="str">
        <f>IF(C3004="","",IFERROR(INDEX(art_des,MATCH(C3004,art_ref,0))&amp;"","Référence inconnue"))</f>
        <v/>
      </c>
      <c r="E3004" s="37" t="n"/>
      <c r="F3004" s="39" t="str">
        <f>IF(C3004="","",IFERROR(INDEX(art_unit,MATCH(C3004,art_ref,0))&amp;"",""))</f>
        <v/>
      </c>
      <c r="G3004" s="37" t="n"/>
      <c r="H3004" s="37" t="n"/>
      <c r="I3004" s="37" t="n"/>
      <c r="J3004" s="40" t="str">
        <f>IF(OR(C3004="",NOT(ISNUMBER(E3004))),"",IFERROR(E3004*N(INDEX(art_price,MATCH(C3004,art_ref,0))),""))</f>
        <v/>
      </c>
      <c r="K3004" s="39" t="str">
        <f>IF(OR(C3004="",NOT(ISNUMBER(E3004))),"",IFERROR(ROUND(N(INDEX(art_init,MATCH(C3004,art_ref,0)))+SUMIFS($E$5:E3004,$C$5:C3004,C3004,$B$5:B3004,"Entrée")-SUMIFS($E$5:E3004,$C$5:C3004,C3004,$B$5:B3004,"Sortie"),6),""))</f>
        <v/>
      </c>
      <c r="L3004" s="39" t="str">
        <f>IF(COUNTA(A3004:C3004,E3004)=0,"",IF(COUNTA(A3004:C3004,E3004)&lt;4,"Ligne incomplète",IF(NOT(ISNUMBER(A3004)),"Date invalide",IF(AND(B3004&lt;&gt;"Entrée",B3004&lt;&gt;"Sortie"),"Type inconnu",IF(ISNA(MATCH(C3004,art_ref,0)),"Référence inconnue",IF(OR(NOT(ISNUMBER(E3004)),N(E3004)&lt;=0),"Quantité invalide",IF(K3004&lt;0,"Stock négatif",IF(AND(ISNUMBER(A3003),A3004&lt;A3003),"Date hors ordre","OK"))))))))</f>
        <v/>
      </c>
      <c r="M3004" s="39" t="str">
        <f>IF(C3004="","",C3004&amp;"#"&amp;COUNTIF($C$5:C3004,C3004))</f>
        <v/>
      </c>
    </row>
    <row r="3005">
      <c r="A3005" s="41" t="n"/>
      <c r="B3005" s="37" t="n"/>
      <c r="C3005" s="37" t="n"/>
      <c r="D3005" s="39" t="str">
        <f>IF(C3005="","",IFERROR(INDEX(art_des,MATCH(C3005,art_ref,0))&amp;"","Référence inconnue"))</f>
        <v/>
      </c>
      <c r="E3005" s="37" t="n"/>
      <c r="F3005" s="39" t="str">
        <f>IF(C3005="","",IFERROR(INDEX(art_unit,MATCH(C3005,art_ref,0))&amp;"",""))</f>
        <v/>
      </c>
      <c r="G3005" s="37" t="n"/>
      <c r="H3005" s="37" t="n"/>
      <c r="I3005" s="37" t="n"/>
      <c r="J3005" s="40" t="str">
        <f>IF(OR(C3005="",NOT(ISNUMBER(E3005))),"",IFERROR(E3005*N(INDEX(art_price,MATCH(C3005,art_ref,0))),""))</f>
        <v/>
      </c>
      <c r="K3005" s="39" t="str">
        <f>IF(OR(C3005="",NOT(ISNUMBER(E3005))),"",IFERROR(ROUND(N(INDEX(art_init,MATCH(C3005,art_ref,0)))+SUMIFS($E$5:E3005,$C$5:C3005,C3005,$B$5:B3005,"Entrée")-SUMIFS($E$5:E3005,$C$5:C3005,C3005,$B$5:B3005,"Sortie"),6),""))</f>
        <v/>
      </c>
      <c r="L3005" s="39" t="str">
        <f>IF(COUNTA(A3005:C3005,E3005)=0,"",IF(COUNTA(A3005:C3005,E3005)&lt;4,"Ligne incomplète",IF(NOT(ISNUMBER(A3005)),"Date invalide",IF(AND(B3005&lt;&gt;"Entrée",B3005&lt;&gt;"Sortie"),"Type inconnu",IF(ISNA(MATCH(C3005,art_ref,0)),"Référence inconnue",IF(OR(NOT(ISNUMBER(E3005)),N(E3005)&lt;=0),"Quantité invalide",IF(K3005&lt;0,"Stock négatif",IF(AND(ISNUMBER(A3004),A3005&lt;A3004),"Date hors ordre","OK"))))))))</f>
        <v/>
      </c>
      <c r="M3005" s="39" t="str">
        <f>IF(C3005="","",C3005&amp;"#"&amp;COUNTIF($C$5:C3005,C3005))</f>
        <v/>
      </c>
    </row>
    <row r="3006">
      <c r="A3006" s="41" t="n"/>
      <c r="B3006" s="37" t="n"/>
      <c r="C3006" s="37" t="n"/>
      <c r="D3006" s="39" t="str">
        <f>IF(C3006="","",IFERROR(INDEX(art_des,MATCH(C3006,art_ref,0))&amp;"","Référence inconnue"))</f>
        <v/>
      </c>
      <c r="E3006" s="37" t="n"/>
      <c r="F3006" s="39" t="str">
        <f>IF(C3006="","",IFERROR(INDEX(art_unit,MATCH(C3006,art_ref,0))&amp;"",""))</f>
        <v/>
      </c>
      <c r="G3006" s="37" t="n"/>
      <c r="H3006" s="37" t="n"/>
      <c r="I3006" s="37" t="n"/>
      <c r="J3006" s="40" t="str">
        <f>IF(OR(C3006="",NOT(ISNUMBER(E3006))),"",IFERROR(E3006*N(INDEX(art_price,MATCH(C3006,art_ref,0))),""))</f>
        <v/>
      </c>
      <c r="K3006" s="39" t="str">
        <f>IF(OR(C3006="",NOT(ISNUMBER(E3006))),"",IFERROR(ROUND(N(INDEX(art_init,MATCH(C3006,art_ref,0)))+SUMIFS($E$5:E3006,$C$5:C3006,C3006,$B$5:B3006,"Entrée")-SUMIFS($E$5:E3006,$C$5:C3006,C3006,$B$5:B3006,"Sortie"),6),""))</f>
        <v/>
      </c>
      <c r="L3006" s="39" t="str">
        <f>IF(COUNTA(A3006:C3006,E3006)=0,"",IF(COUNTA(A3006:C3006,E3006)&lt;4,"Ligne incomplète",IF(NOT(ISNUMBER(A3006)),"Date invalide",IF(AND(B3006&lt;&gt;"Entrée",B3006&lt;&gt;"Sortie"),"Type inconnu",IF(ISNA(MATCH(C3006,art_ref,0)),"Référence inconnue",IF(OR(NOT(ISNUMBER(E3006)),N(E3006)&lt;=0),"Quantité invalide",IF(K3006&lt;0,"Stock négatif",IF(AND(ISNUMBER(A3005),A3006&lt;A3005),"Date hors ordre","OK"))))))))</f>
        <v/>
      </c>
      <c r="M3006" s="39" t="str">
        <f>IF(C3006="","",C3006&amp;"#"&amp;COUNTIF($C$5:C3006,C3006))</f>
        <v/>
      </c>
    </row>
    <row r="3007">
      <c r="A3007" s="41" t="n"/>
      <c r="B3007" s="37" t="n"/>
      <c r="C3007" s="37" t="n"/>
      <c r="D3007" s="39" t="str">
        <f>IF(C3007="","",IFERROR(INDEX(art_des,MATCH(C3007,art_ref,0))&amp;"","Référence inconnue"))</f>
        <v/>
      </c>
      <c r="E3007" s="37" t="n"/>
      <c r="F3007" s="39" t="str">
        <f>IF(C3007="","",IFERROR(INDEX(art_unit,MATCH(C3007,art_ref,0))&amp;"",""))</f>
        <v/>
      </c>
      <c r="G3007" s="37" t="n"/>
      <c r="H3007" s="37" t="n"/>
      <c r="I3007" s="37" t="n"/>
      <c r="J3007" s="40" t="str">
        <f>IF(OR(C3007="",NOT(ISNUMBER(E3007))),"",IFERROR(E3007*N(INDEX(art_price,MATCH(C3007,art_ref,0))),""))</f>
        <v/>
      </c>
      <c r="K3007" s="39" t="str">
        <f>IF(OR(C3007="",NOT(ISNUMBER(E3007))),"",IFERROR(ROUND(N(INDEX(art_init,MATCH(C3007,art_ref,0)))+SUMIFS($E$5:E3007,$C$5:C3007,C3007,$B$5:B3007,"Entrée")-SUMIFS($E$5:E3007,$C$5:C3007,C3007,$B$5:B3007,"Sortie"),6),""))</f>
        <v/>
      </c>
      <c r="L3007" s="39" t="str">
        <f>IF(COUNTA(A3007:C3007,E3007)=0,"",IF(COUNTA(A3007:C3007,E3007)&lt;4,"Ligne incomplète",IF(NOT(ISNUMBER(A3007)),"Date invalide",IF(AND(B3007&lt;&gt;"Entrée",B3007&lt;&gt;"Sortie"),"Type inconnu",IF(ISNA(MATCH(C3007,art_ref,0)),"Référence inconnue",IF(OR(NOT(ISNUMBER(E3007)),N(E3007)&lt;=0),"Quantité invalide",IF(K3007&lt;0,"Stock négatif",IF(AND(ISNUMBER(A3006),A3007&lt;A3006),"Date hors ordre","OK"))))))))</f>
        <v/>
      </c>
      <c r="M3007" s="39" t="str">
        <f>IF(C3007="","",C3007&amp;"#"&amp;COUNTIF($C$5:C3007,C3007))</f>
        <v/>
      </c>
    </row>
    <row r="3008">
      <c r="A3008" s="41" t="n"/>
      <c r="B3008" s="37" t="n"/>
      <c r="C3008" s="37" t="n"/>
      <c r="D3008" s="39" t="str">
        <f>IF(C3008="","",IFERROR(INDEX(art_des,MATCH(C3008,art_ref,0))&amp;"","Référence inconnue"))</f>
        <v/>
      </c>
      <c r="E3008" s="37" t="n"/>
      <c r="F3008" s="39" t="str">
        <f>IF(C3008="","",IFERROR(INDEX(art_unit,MATCH(C3008,art_ref,0))&amp;"",""))</f>
        <v/>
      </c>
      <c r="G3008" s="37" t="n"/>
      <c r="H3008" s="37" t="n"/>
      <c r="I3008" s="37" t="n"/>
      <c r="J3008" s="40" t="str">
        <f>IF(OR(C3008="",NOT(ISNUMBER(E3008))),"",IFERROR(E3008*N(INDEX(art_price,MATCH(C3008,art_ref,0))),""))</f>
        <v/>
      </c>
      <c r="K3008" s="39" t="str">
        <f>IF(OR(C3008="",NOT(ISNUMBER(E3008))),"",IFERROR(ROUND(N(INDEX(art_init,MATCH(C3008,art_ref,0)))+SUMIFS($E$5:E3008,$C$5:C3008,C3008,$B$5:B3008,"Entrée")-SUMIFS($E$5:E3008,$C$5:C3008,C3008,$B$5:B3008,"Sortie"),6),""))</f>
        <v/>
      </c>
      <c r="L3008" s="39" t="str">
        <f>IF(COUNTA(A3008:C3008,E3008)=0,"",IF(COUNTA(A3008:C3008,E3008)&lt;4,"Ligne incomplète",IF(NOT(ISNUMBER(A3008)),"Date invalide",IF(AND(B3008&lt;&gt;"Entrée",B3008&lt;&gt;"Sortie"),"Type inconnu",IF(ISNA(MATCH(C3008,art_ref,0)),"Référence inconnue",IF(OR(NOT(ISNUMBER(E3008)),N(E3008)&lt;=0),"Quantité invalide",IF(K3008&lt;0,"Stock négatif",IF(AND(ISNUMBER(A3007),A3008&lt;A3007),"Date hors ordre","OK"))))))))</f>
        <v/>
      </c>
      <c r="M3008" s="39" t="str">
        <f>IF(C3008="","",C3008&amp;"#"&amp;COUNTIF($C$5:C3008,C3008))</f>
        <v/>
      </c>
    </row>
    <row r="3009">
      <c r="A3009" s="41" t="n"/>
      <c r="B3009" s="37" t="n"/>
      <c r="C3009" s="37" t="n"/>
      <c r="D3009" s="39" t="str">
        <f>IF(C3009="","",IFERROR(INDEX(art_des,MATCH(C3009,art_ref,0))&amp;"","Référence inconnue"))</f>
        <v/>
      </c>
      <c r="E3009" s="37" t="n"/>
      <c r="F3009" s="39" t="str">
        <f>IF(C3009="","",IFERROR(INDEX(art_unit,MATCH(C3009,art_ref,0))&amp;"",""))</f>
        <v/>
      </c>
      <c r="G3009" s="37" t="n"/>
      <c r="H3009" s="37" t="n"/>
      <c r="I3009" s="37" t="n"/>
      <c r="J3009" s="40" t="str">
        <f>IF(OR(C3009="",NOT(ISNUMBER(E3009))),"",IFERROR(E3009*N(INDEX(art_price,MATCH(C3009,art_ref,0))),""))</f>
        <v/>
      </c>
      <c r="K3009" s="39" t="str">
        <f>IF(OR(C3009="",NOT(ISNUMBER(E3009))),"",IFERROR(ROUND(N(INDEX(art_init,MATCH(C3009,art_ref,0)))+SUMIFS($E$5:E3009,$C$5:C3009,C3009,$B$5:B3009,"Entrée")-SUMIFS($E$5:E3009,$C$5:C3009,C3009,$B$5:B3009,"Sortie"),6),""))</f>
        <v/>
      </c>
      <c r="L3009" s="39" t="str">
        <f>IF(COUNTA(A3009:C3009,E3009)=0,"",IF(COUNTA(A3009:C3009,E3009)&lt;4,"Ligne incomplète",IF(NOT(ISNUMBER(A3009)),"Date invalide",IF(AND(B3009&lt;&gt;"Entrée",B3009&lt;&gt;"Sortie"),"Type inconnu",IF(ISNA(MATCH(C3009,art_ref,0)),"Référence inconnue",IF(OR(NOT(ISNUMBER(E3009)),N(E3009)&lt;=0),"Quantité invalide",IF(K3009&lt;0,"Stock négatif",IF(AND(ISNUMBER(A3008),A3009&lt;A3008),"Date hors ordre","OK"))))))))</f>
        <v/>
      </c>
      <c r="M3009" s="39" t="str">
        <f>IF(C3009="","",C3009&amp;"#"&amp;COUNTIF($C$5:C3009,C3009))</f>
        <v/>
      </c>
    </row>
    <row r="3010">
      <c r="A3010" s="41" t="n"/>
      <c r="B3010" s="37" t="n"/>
      <c r="C3010" s="37" t="n"/>
      <c r="D3010" s="39" t="str">
        <f>IF(C3010="","",IFERROR(INDEX(art_des,MATCH(C3010,art_ref,0))&amp;"","Référence inconnue"))</f>
        <v/>
      </c>
      <c r="E3010" s="37" t="n"/>
      <c r="F3010" s="39" t="str">
        <f>IF(C3010="","",IFERROR(INDEX(art_unit,MATCH(C3010,art_ref,0))&amp;"",""))</f>
        <v/>
      </c>
      <c r="G3010" s="37" t="n"/>
      <c r="H3010" s="37" t="n"/>
      <c r="I3010" s="37" t="n"/>
      <c r="J3010" s="40" t="str">
        <f>IF(OR(C3010="",NOT(ISNUMBER(E3010))),"",IFERROR(E3010*N(INDEX(art_price,MATCH(C3010,art_ref,0))),""))</f>
        <v/>
      </c>
      <c r="K3010" s="39" t="str">
        <f>IF(OR(C3010="",NOT(ISNUMBER(E3010))),"",IFERROR(ROUND(N(INDEX(art_init,MATCH(C3010,art_ref,0)))+SUMIFS($E$5:E3010,$C$5:C3010,C3010,$B$5:B3010,"Entrée")-SUMIFS($E$5:E3010,$C$5:C3010,C3010,$B$5:B3010,"Sortie"),6),""))</f>
        <v/>
      </c>
      <c r="L3010" s="39" t="str">
        <f>IF(COUNTA(A3010:C3010,E3010)=0,"",IF(COUNTA(A3010:C3010,E3010)&lt;4,"Ligne incomplète",IF(NOT(ISNUMBER(A3010)),"Date invalide",IF(AND(B3010&lt;&gt;"Entrée",B3010&lt;&gt;"Sortie"),"Type inconnu",IF(ISNA(MATCH(C3010,art_ref,0)),"Référence inconnue",IF(OR(NOT(ISNUMBER(E3010)),N(E3010)&lt;=0),"Quantité invalide",IF(K3010&lt;0,"Stock négatif",IF(AND(ISNUMBER(A3009),A3010&lt;A3009),"Date hors ordre","OK"))))))))</f>
        <v/>
      </c>
      <c r="M3010" s="39" t="str">
        <f>IF(C3010="","",C3010&amp;"#"&amp;COUNTIF($C$5:C3010,C3010))</f>
        <v/>
      </c>
    </row>
    <row r="3011">
      <c r="A3011" s="41" t="n"/>
      <c r="B3011" s="37" t="n"/>
      <c r="C3011" s="37" t="n"/>
      <c r="D3011" s="39" t="str">
        <f>IF(C3011="","",IFERROR(INDEX(art_des,MATCH(C3011,art_ref,0))&amp;"","Référence inconnue"))</f>
        <v/>
      </c>
      <c r="E3011" s="37" t="n"/>
      <c r="F3011" s="39" t="str">
        <f>IF(C3011="","",IFERROR(INDEX(art_unit,MATCH(C3011,art_ref,0))&amp;"",""))</f>
        <v/>
      </c>
      <c r="G3011" s="37" t="n"/>
      <c r="H3011" s="37" t="n"/>
      <c r="I3011" s="37" t="n"/>
      <c r="J3011" s="40" t="str">
        <f>IF(OR(C3011="",NOT(ISNUMBER(E3011))),"",IFERROR(E3011*N(INDEX(art_price,MATCH(C3011,art_ref,0))),""))</f>
        <v/>
      </c>
      <c r="K3011" s="39" t="str">
        <f>IF(OR(C3011="",NOT(ISNUMBER(E3011))),"",IFERROR(ROUND(N(INDEX(art_init,MATCH(C3011,art_ref,0)))+SUMIFS($E$5:E3011,$C$5:C3011,C3011,$B$5:B3011,"Entrée")-SUMIFS($E$5:E3011,$C$5:C3011,C3011,$B$5:B3011,"Sortie"),6),""))</f>
        <v/>
      </c>
      <c r="L3011" s="39" t="str">
        <f>IF(COUNTA(A3011:C3011,E3011)=0,"",IF(COUNTA(A3011:C3011,E3011)&lt;4,"Ligne incomplète",IF(NOT(ISNUMBER(A3011)),"Date invalide",IF(AND(B3011&lt;&gt;"Entrée",B3011&lt;&gt;"Sortie"),"Type inconnu",IF(ISNA(MATCH(C3011,art_ref,0)),"Référence inconnue",IF(OR(NOT(ISNUMBER(E3011)),N(E3011)&lt;=0),"Quantité invalide",IF(K3011&lt;0,"Stock négatif",IF(AND(ISNUMBER(A3010),A3011&lt;A3010),"Date hors ordre","OK"))))))))</f>
        <v/>
      </c>
      <c r="M3011" s="39" t="str">
        <f>IF(C3011="","",C3011&amp;"#"&amp;COUNTIF($C$5:C3011,C3011))</f>
        <v/>
      </c>
    </row>
    <row r="3012">
      <c r="A3012" s="41" t="n"/>
      <c r="B3012" s="37" t="n"/>
      <c r="C3012" s="37" t="n"/>
      <c r="D3012" s="39" t="str">
        <f>IF(C3012="","",IFERROR(INDEX(art_des,MATCH(C3012,art_ref,0))&amp;"","Référence inconnue"))</f>
        <v/>
      </c>
      <c r="E3012" s="37" t="n"/>
      <c r="F3012" s="39" t="str">
        <f>IF(C3012="","",IFERROR(INDEX(art_unit,MATCH(C3012,art_ref,0))&amp;"",""))</f>
        <v/>
      </c>
      <c r="G3012" s="37" t="n"/>
      <c r="H3012" s="37" t="n"/>
      <c r="I3012" s="37" t="n"/>
      <c r="J3012" s="40" t="str">
        <f>IF(OR(C3012="",NOT(ISNUMBER(E3012))),"",IFERROR(E3012*N(INDEX(art_price,MATCH(C3012,art_ref,0))),""))</f>
        <v/>
      </c>
      <c r="K3012" s="39" t="str">
        <f>IF(OR(C3012="",NOT(ISNUMBER(E3012))),"",IFERROR(ROUND(N(INDEX(art_init,MATCH(C3012,art_ref,0)))+SUMIFS($E$5:E3012,$C$5:C3012,C3012,$B$5:B3012,"Entrée")-SUMIFS($E$5:E3012,$C$5:C3012,C3012,$B$5:B3012,"Sortie"),6),""))</f>
        <v/>
      </c>
      <c r="L3012" s="39" t="str">
        <f>IF(COUNTA(A3012:C3012,E3012)=0,"",IF(COUNTA(A3012:C3012,E3012)&lt;4,"Ligne incomplète",IF(NOT(ISNUMBER(A3012)),"Date invalide",IF(AND(B3012&lt;&gt;"Entrée",B3012&lt;&gt;"Sortie"),"Type inconnu",IF(ISNA(MATCH(C3012,art_ref,0)),"Référence inconnue",IF(OR(NOT(ISNUMBER(E3012)),N(E3012)&lt;=0),"Quantité invalide",IF(K3012&lt;0,"Stock négatif",IF(AND(ISNUMBER(A3011),A3012&lt;A3011),"Date hors ordre","OK"))))))))</f>
        <v/>
      </c>
      <c r="M3012" s="39" t="str">
        <f>IF(C3012="","",C3012&amp;"#"&amp;COUNTIF($C$5:C3012,C3012))</f>
        <v/>
      </c>
    </row>
    <row r="3013">
      <c r="A3013" s="41" t="n"/>
      <c r="B3013" s="37" t="n"/>
      <c r="C3013" s="37" t="n"/>
      <c r="D3013" s="39" t="str">
        <f>IF(C3013="","",IFERROR(INDEX(art_des,MATCH(C3013,art_ref,0))&amp;"","Référence inconnue"))</f>
        <v/>
      </c>
      <c r="E3013" s="37" t="n"/>
      <c r="F3013" s="39" t="str">
        <f>IF(C3013="","",IFERROR(INDEX(art_unit,MATCH(C3013,art_ref,0))&amp;"",""))</f>
        <v/>
      </c>
      <c r="G3013" s="37" t="n"/>
      <c r="H3013" s="37" t="n"/>
      <c r="I3013" s="37" t="n"/>
      <c r="J3013" s="40" t="str">
        <f>IF(OR(C3013="",NOT(ISNUMBER(E3013))),"",IFERROR(E3013*N(INDEX(art_price,MATCH(C3013,art_ref,0))),""))</f>
        <v/>
      </c>
      <c r="K3013" s="39" t="str">
        <f>IF(OR(C3013="",NOT(ISNUMBER(E3013))),"",IFERROR(ROUND(N(INDEX(art_init,MATCH(C3013,art_ref,0)))+SUMIFS($E$5:E3013,$C$5:C3013,C3013,$B$5:B3013,"Entrée")-SUMIFS($E$5:E3013,$C$5:C3013,C3013,$B$5:B3013,"Sortie"),6),""))</f>
        <v/>
      </c>
      <c r="L3013" s="39" t="str">
        <f>IF(COUNTA(A3013:C3013,E3013)=0,"",IF(COUNTA(A3013:C3013,E3013)&lt;4,"Ligne incomplète",IF(NOT(ISNUMBER(A3013)),"Date invalide",IF(AND(B3013&lt;&gt;"Entrée",B3013&lt;&gt;"Sortie"),"Type inconnu",IF(ISNA(MATCH(C3013,art_ref,0)),"Référence inconnue",IF(OR(NOT(ISNUMBER(E3013)),N(E3013)&lt;=0),"Quantité invalide",IF(K3013&lt;0,"Stock négatif",IF(AND(ISNUMBER(A3012),A3013&lt;A3012),"Date hors ordre","OK"))))))))</f>
        <v/>
      </c>
      <c r="M3013" s="39" t="str">
        <f>IF(C3013="","",C3013&amp;"#"&amp;COUNTIF($C$5:C3013,C3013))</f>
        <v/>
      </c>
    </row>
    <row r="3014">
      <c r="A3014" s="41" t="n"/>
      <c r="B3014" s="37" t="n"/>
      <c r="C3014" s="37" t="n"/>
      <c r="D3014" s="39" t="str">
        <f>IF(C3014="","",IFERROR(INDEX(art_des,MATCH(C3014,art_ref,0))&amp;"","Référence inconnue"))</f>
        <v/>
      </c>
      <c r="E3014" s="37" t="n"/>
      <c r="F3014" s="39" t="str">
        <f>IF(C3014="","",IFERROR(INDEX(art_unit,MATCH(C3014,art_ref,0))&amp;"",""))</f>
        <v/>
      </c>
      <c r="G3014" s="37" t="n"/>
      <c r="H3014" s="37" t="n"/>
      <c r="I3014" s="37" t="n"/>
      <c r="J3014" s="40" t="str">
        <f>IF(OR(C3014="",NOT(ISNUMBER(E3014))),"",IFERROR(E3014*N(INDEX(art_price,MATCH(C3014,art_ref,0))),""))</f>
        <v/>
      </c>
      <c r="K3014" s="39" t="str">
        <f>IF(OR(C3014="",NOT(ISNUMBER(E3014))),"",IFERROR(ROUND(N(INDEX(art_init,MATCH(C3014,art_ref,0)))+SUMIFS($E$5:E3014,$C$5:C3014,C3014,$B$5:B3014,"Entrée")-SUMIFS($E$5:E3014,$C$5:C3014,C3014,$B$5:B3014,"Sortie"),6),""))</f>
        <v/>
      </c>
      <c r="L3014" s="39" t="str">
        <f>IF(COUNTA(A3014:C3014,E3014)=0,"",IF(COUNTA(A3014:C3014,E3014)&lt;4,"Ligne incomplète",IF(NOT(ISNUMBER(A3014)),"Date invalide",IF(AND(B3014&lt;&gt;"Entrée",B3014&lt;&gt;"Sortie"),"Type inconnu",IF(ISNA(MATCH(C3014,art_ref,0)),"Référence inconnue",IF(OR(NOT(ISNUMBER(E3014)),N(E3014)&lt;=0),"Quantité invalide",IF(K3014&lt;0,"Stock négatif",IF(AND(ISNUMBER(A3013),A3014&lt;A3013),"Date hors ordre","OK"))))))))</f>
        <v/>
      </c>
      <c r="M3014" s="39" t="str">
        <f>IF(C3014="","",C3014&amp;"#"&amp;COUNTIF($C$5:C3014,C3014))</f>
        <v/>
      </c>
    </row>
    <row r="3015">
      <c r="A3015" s="41" t="n"/>
      <c r="B3015" s="37" t="n"/>
      <c r="C3015" s="37" t="n"/>
      <c r="D3015" s="39" t="str">
        <f>IF(C3015="","",IFERROR(INDEX(art_des,MATCH(C3015,art_ref,0))&amp;"","Référence inconnue"))</f>
        <v/>
      </c>
      <c r="E3015" s="37" t="n"/>
      <c r="F3015" s="39" t="str">
        <f>IF(C3015="","",IFERROR(INDEX(art_unit,MATCH(C3015,art_ref,0))&amp;"",""))</f>
        <v/>
      </c>
      <c r="G3015" s="37" t="n"/>
      <c r="H3015" s="37" t="n"/>
      <c r="I3015" s="37" t="n"/>
      <c r="J3015" s="40" t="str">
        <f>IF(OR(C3015="",NOT(ISNUMBER(E3015))),"",IFERROR(E3015*N(INDEX(art_price,MATCH(C3015,art_ref,0))),""))</f>
        <v/>
      </c>
      <c r="K3015" s="39" t="str">
        <f>IF(OR(C3015="",NOT(ISNUMBER(E3015))),"",IFERROR(ROUND(N(INDEX(art_init,MATCH(C3015,art_ref,0)))+SUMIFS($E$5:E3015,$C$5:C3015,C3015,$B$5:B3015,"Entrée")-SUMIFS($E$5:E3015,$C$5:C3015,C3015,$B$5:B3015,"Sortie"),6),""))</f>
        <v/>
      </c>
      <c r="L3015" s="39" t="str">
        <f>IF(COUNTA(A3015:C3015,E3015)=0,"",IF(COUNTA(A3015:C3015,E3015)&lt;4,"Ligne incomplète",IF(NOT(ISNUMBER(A3015)),"Date invalide",IF(AND(B3015&lt;&gt;"Entrée",B3015&lt;&gt;"Sortie"),"Type inconnu",IF(ISNA(MATCH(C3015,art_ref,0)),"Référence inconnue",IF(OR(NOT(ISNUMBER(E3015)),N(E3015)&lt;=0),"Quantité invalide",IF(K3015&lt;0,"Stock négatif",IF(AND(ISNUMBER(A3014),A3015&lt;A3014),"Date hors ordre","OK"))))))))</f>
        <v/>
      </c>
      <c r="M3015" s="39" t="str">
        <f>IF(C3015="","",C3015&amp;"#"&amp;COUNTIF($C$5:C3015,C3015))</f>
        <v/>
      </c>
    </row>
    <row r="3016">
      <c r="A3016" s="41" t="n"/>
      <c r="B3016" s="37" t="n"/>
      <c r="C3016" s="37" t="n"/>
      <c r="D3016" s="39" t="str">
        <f>IF(C3016="","",IFERROR(INDEX(art_des,MATCH(C3016,art_ref,0))&amp;"","Référence inconnue"))</f>
        <v/>
      </c>
      <c r="E3016" s="37" t="n"/>
      <c r="F3016" s="39" t="str">
        <f>IF(C3016="","",IFERROR(INDEX(art_unit,MATCH(C3016,art_ref,0))&amp;"",""))</f>
        <v/>
      </c>
      <c r="G3016" s="37" t="n"/>
      <c r="H3016" s="37" t="n"/>
      <c r="I3016" s="37" t="n"/>
      <c r="J3016" s="40" t="str">
        <f>IF(OR(C3016="",NOT(ISNUMBER(E3016))),"",IFERROR(E3016*N(INDEX(art_price,MATCH(C3016,art_ref,0))),""))</f>
        <v/>
      </c>
      <c r="K3016" s="39" t="str">
        <f>IF(OR(C3016="",NOT(ISNUMBER(E3016))),"",IFERROR(ROUND(N(INDEX(art_init,MATCH(C3016,art_ref,0)))+SUMIFS($E$5:E3016,$C$5:C3016,C3016,$B$5:B3016,"Entrée")-SUMIFS($E$5:E3016,$C$5:C3016,C3016,$B$5:B3016,"Sortie"),6),""))</f>
        <v/>
      </c>
      <c r="L3016" s="39" t="str">
        <f>IF(COUNTA(A3016:C3016,E3016)=0,"",IF(COUNTA(A3016:C3016,E3016)&lt;4,"Ligne incomplète",IF(NOT(ISNUMBER(A3016)),"Date invalide",IF(AND(B3016&lt;&gt;"Entrée",B3016&lt;&gt;"Sortie"),"Type inconnu",IF(ISNA(MATCH(C3016,art_ref,0)),"Référence inconnue",IF(OR(NOT(ISNUMBER(E3016)),N(E3016)&lt;=0),"Quantité invalide",IF(K3016&lt;0,"Stock négatif",IF(AND(ISNUMBER(A3015),A3016&lt;A3015),"Date hors ordre","OK"))))))))</f>
        <v/>
      </c>
      <c r="M3016" s="39" t="str">
        <f>IF(C3016="","",C3016&amp;"#"&amp;COUNTIF($C$5:C3016,C3016))</f>
        <v/>
      </c>
    </row>
    <row r="3017">
      <c r="A3017" s="41" t="n"/>
      <c r="B3017" s="37" t="n"/>
      <c r="C3017" s="37" t="n"/>
      <c r="D3017" s="39" t="str">
        <f>IF(C3017="","",IFERROR(INDEX(art_des,MATCH(C3017,art_ref,0))&amp;"","Référence inconnue"))</f>
        <v/>
      </c>
      <c r="E3017" s="37" t="n"/>
      <c r="F3017" s="39" t="str">
        <f>IF(C3017="","",IFERROR(INDEX(art_unit,MATCH(C3017,art_ref,0))&amp;"",""))</f>
        <v/>
      </c>
      <c r="G3017" s="37" t="n"/>
      <c r="H3017" s="37" t="n"/>
      <c r="I3017" s="37" t="n"/>
      <c r="J3017" s="40" t="str">
        <f>IF(OR(C3017="",NOT(ISNUMBER(E3017))),"",IFERROR(E3017*N(INDEX(art_price,MATCH(C3017,art_ref,0))),""))</f>
        <v/>
      </c>
      <c r="K3017" s="39" t="str">
        <f>IF(OR(C3017="",NOT(ISNUMBER(E3017))),"",IFERROR(ROUND(N(INDEX(art_init,MATCH(C3017,art_ref,0)))+SUMIFS($E$5:E3017,$C$5:C3017,C3017,$B$5:B3017,"Entrée")-SUMIFS($E$5:E3017,$C$5:C3017,C3017,$B$5:B3017,"Sortie"),6),""))</f>
        <v/>
      </c>
      <c r="L3017" s="39" t="str">
        <f>IF(COUNTA(A3017:C3017,E3017)=0,"",IF(COUNTA(A3017:C3017,E3017)&lt;4,"Ligne incomplète",IF(NOT(ISNUMBER(A3017)),"Date invalide",IF(AND(B3017&lt;&gt;"Entrée",B3017&lt;&gt;"Sortie"),"Type inconnu",IF(ISNA(MATCH(C3017,art_ref,0)),"Référence inconnue",IF(OR(NOT(ISNUMBER(E3017)),N(E3017)&lt;=0),"Quantité invalide",IF(K3017&lt;0,"Stock négatif",IF(AND(ISNUMBER(A3016),A3017&lt;A3016),"Date hors ordre","OK"))))))))</f>
        <v/>
      </c>
      <c r="M3017" s="39" t="str">
        <f>IF(C3017="","",C3017&amp;"#"&amp;COUNTIF($C$5:C3017,C3017))</f>
        <v/>
      </c>
    </row>
    <row r="3018">
      <c r="A3018" s="41" t="n"/>
      <c r="B3018" s="37" t="n"/>
      <c r="C3018" s="37" t="n"/>
      <c r="D3018" s="39" t="str">
        <f>IF(C3018="","",IFERROR(INDEX(art_des,MATCH(C3018,art_ref,0))&amp;"","Référence inconnue"))</f>
        <v/>
      </c>
      <c r="E3018" s="37" t="n"/>
      <c r="F3018" s="39" t="str">
        <f>IF(C3018="","",IFERROR(INDEX(art_unit,MATCH(C3018,art_ref,0))&amp;"",""))</f>
        <v/>
      </c>
      <c r="G3018" s="37" t="n"/>
      <c r="H3018" s="37" t="n"/>
      <c r="I3018" s="37" t="n"/>
      <c r="J3018" s="40" t="str">
        <f>IF(OR(C3018="",NOT(ISNUMBER(E3018))),"",IFERROR(E3018*N(INDEX(art_price,MATCH(C3018,art_ref,0))),""))</f>
        <v/>
      </c>
      <c r="K3018" s="39" t="str">
        <f>IF(OR(C3018="",NOT(ISNUMBER(E3018))),"",IFERROR(ROUND(N(INDEX(art_init,MATCH(C3018,art_ref,0)))+SUMIFS($E$5:E3018,$C$5:C3018,C3018,$B$5:B3018,"Entrée")-SUMIFS($E$5:E3018,$C$5:C3018,C3018,$B$5:B3018,"Sortie"),6),""))</f>
        <v/>
      </c>
      <c r="L3018" s="39" t="str">
        <f>IF(COUNTA(A3018:C3018,E3018)=0,"",IF(COUNTA(A3018:C3018,E3018)&lt;4,"Ligne incomplète",IF(NOT(ISNUMBER(A3018)),"Date invalide",IF(AND(B3018&lt;&gt;"Entrée",B3018&lt;&gt;"Sortie"),"Type inconnu",IF(ISNA(MATCH(C3018,art_ref,0)),"Référence inconnue",IF(OR(NOT(ISNUMBER(E3018)),N(E3018)&lt;=0),"Quantité invalide",IF(K3018&lt;0,"Stock négatif",IF(AND(ISNUMBER(A3017),A3018&lt;A3017),"Date hors ordre","OK"))))))))</f>
        <v/>
      </c>
      <c r="M3018" s="39" t="str">
        <f>IF(C3018="","",C3018&amp;"#"&amp;COUNTIF($C$5:C3018,C3018))</f>
        <v/>
      </c>
    </row>
    <row r="3019">
      <c r="A3019" s="41" t="n"/>
      <c r="B3019" s="37" t="n"/>
      <c r="C3019" s="37" t="n"/>
      <c r="D3019" s="39" t="str">
        <f>IF(C3019="","",IFERROR(INDEX(art_des,MATCH(C3019,art_ref,0))&amp;"","Référence inconnue"))</f>
        <v/>
      </c>
      <c r="E3019" s="37" t="n"/>
      <c r="F3019" s="39" t="str">
        <f>IF(C3019="","",IFERROR(INDEX(art_unit,MATCH(C3019,art_ref,0))&amp;"",""))</f>
        <v/>
      </c>
      <c r="G3019" s="37" t="n"/>
      <c r="H3019" s="37" t="n"/>
      <c r="I3019" s="37" t="n"/>
      <c r="J3019" s="40" t="str">
        <f>IF(OR(C3019="",NOT(ISNUMBER(E3019))),"",IFERROR(E3019*N(INDEX(art_price,MATCH(C3019,art_ref,0))),""))</f>
        <v/>
      </c>
      <c r="K3019" s="39" t="str">
        <f>IF(OR(C3019="",NOT(ISNUMBER(E3019))),"",IFERROR(ROUND(N(INDEX(art_init,MATCH(C3019,art_ref,0)))+SUMIFS($E$5:E3019,$C$5:C3019,C3019,$B$5:B3019,"Entrée")-SUMIFS($E$5:E3019,$C$5:C3019,C3019,$B$5:B3019,"Sortie"),6),""))</f>
        <v/>
      </c>
      <c r="L3019" s="39" t="str">
        <f>IF(COUNTA(A3019:C3019,E3019)=0,"",IF(COUNTA(A3019:C3019,E3019)&lt;4,"Ligne incomplète",IF(NOT(ISNUMBER(A3019)),"Date invalide",IF(AND(B3019&lt;&gt;"Entrée",B3019&lt;&gt;"Sortie"),"Type inconnu",IF(ISNA(MATCH(C3019,art_ref,0)),"Référence inconnue",IF(OR(NOT(ISNUMBER(E3019)),N(E3019)&lt;=0),"Quantité invalide",IF(K3019&lt;0,"Stock négatif",IF(AND(ISNUMBER(A3018),A3019&lt;A3018),"Date hors ordre","OK"))))))))</f>
        <v/>
      </c>
      <c r="M3019" s="39" t="str">
        <f>IF(C3019="","",C3019&amp;"#"&amp;COUNTIF($C$5:C3019,C3019))</f>
        <v/>
      </c>
    </row>
    <row r="3020">
      <c r="A3020" s="41" t="n"/>
      <c r="B3020" s="37" t="n"/>
      <c r="C3020" s="37" t="n"/>
      <c r="D3020" s="39" t="str">
        <f>IF(C3020="","",IFERROR(INDEX(art_des,MATCH(C3020,art_ref,0))&amp;"","Référence inconnue"))</f>
        <v/>
      </c>
      <c r="E3020" s="37" t="n"/>
      <c r="F3020" s="39" t="str">
        <f>IF(C3020="","",IFERROR(INDEX(art_unit,MATCH(C3020,art_ref,0))&amp;"",""))</f>
        <v/>
      </c>
      <c r="G3020" s="37" t="n"/>
      <c r="H3020" s="37" t="n"/>
      <c r="I3020" s="37" t="n"/>
      <c r="J3020" s="40" t="str">
        <f>IF(OR(C3020="",NOT(ISNUMBER(E3020))),"",IFERROR(E3020*N(INDEX(art_price,MATCH(C3020,art_ref,0))),""))</f>
        <v/>
      </c>
      <c r="K3020" s="39" t="str">
        <f>IF(OR(C3020="",NOT(ISNUMBER(E3020))),"",IFERROR(ROUND(N(INDEX(art_init,MATCH(C3020,art_ref,0)))+SUMIFS($E$5:E3020,$C$5:C3020,C3020,$B$5:B3020,"Entrée")-SUMIFS($E$5:E3020,$C$5:C3020,C3020,$B$5:B3020,"Sortie"),6),""))</f>
        <v/>
      </c>
      <c r="L3020" s="39" t="str">
        <f>IF(COUNTA(A3020:C3020,E3020)=0,"",IF(COUNTA(A3020:C3020,E3020)&lt;4,"Ligne incomplète",IF(NOT(ISNUMBER(A3020)),"Date invalide",IF(AND(B3020&lt;&gt;"Entrée",B3020&lt;&gt;"Sortie"),"Type inconnu",IF(ISNA(MATCH(C3020,art_ref,0)),"Référence inconnue",IF(OR(NOT(ISNUMBER(E3020)),N(E3020)&lt;=0),"Quantité invalide",IF(K3020&lt;0,"Stock négatif",IF(AND(ISNUMBER(A3019),A3020&lt;A3019),"Date hors ordre","OK"))))))))</f>
        <v/>
      </c>
      <c r="M3020" s="39" t="str">
        <f>IF(C3020="","",C3020&amp;"#"&amp;COUNTIF($C$5:C3020,C3020))</f>
        <v/>
      </c>
    </row>
    <row r="3021">
      <c r="A3021" s="41" t="n"/>
      <c r="B3021" s="37" t="n"/>
      <c r="C3021" s="37" t="n"/>
      <c r="D3021" s="39" t="str">
        <f>IF(C3021="","",IFERROR(INDEX(art_des,MATCH(C3021,art_ref,0))&amp;"","Référence inconnue"))</f>
        <v/>
      </c>
      <c r="E3021" s="37" t="n"/>
      <c r="F3021" s="39" t="str">
        <f>IF(C3021="","",IFERROR(INDEX(art_unit,MATCH(C3021,art_ref,0))&amp;"",""))</f>
        <v/>
      </c>
      <c r="G3021" s="37" t="n"/>
      <c r="H3021" s="37" t="n"/>
      <c r="I3021" s="37" t="n"/>
      <c r="J3021" s="40" t="str">
        <f>IF(OR(C3021="",NOT(ISNUMBER(E3021))),"",IFERROR(E3021*N(INDEX(art_price,MATCH(C3021,art_ref,0))),""))</f>
        <v/>
      </c>
      <c r="K3021" s="39" t="str">
        <f>IF(OR(C3021="",NOT(ISNUMBER(E3021))),"",IFERROR(ROUND(N(INDEX(art_init,MATCH(C3021,art_ref,0)))+SUMIFS($E$5:E3021,$C$5:C3021,C3021,$B$5:B3021,"Entrée")-SUMIFS($E$5:E3021,$C$5:C3021,C3021,$B$5:B3021,"Sortie"),6),""))</f>
        <v/>
      </c>
      <c r="L3021" s="39" t="str">
        <f>IF(COUNTA(A3021:C3021,E3021)=0,"",IF(COUNTA(A3021:C3021,E3021)&lt;4,"Ligne incomplète",IF(NOT(ISNUMBER(A3021)),"Date invalide",IF(AND(B3021&lt;&gt;"Entrée",B3021&lt;&gt;"Sortie"),"Type inconnu",IF(ISNA(MATCH(C3021,art_ref,0)),"Référence inconnue",IF(OR(NOT(ISNUMBER(E3021)),N(E3021)&lt;=0),"Quantité invalide",IF(K3021&lt;0,"Stock négatif",IF(AND(ISNUMBER(A3020),A3021&lt;A3020),"Date hors ordre","OK"))))))))</f>
        <v/>
      </c>
      <c r="M3021" s="39" t="str">
        <f>IF(C3021="","",C3021&amp;"#"&amp;COUNTIF($C$5:C3021,C3021))</f>
        <v/>
      </c>
    </row>
    <row r="3022">
      <c r="A3022" s="41" t="n"/>
      <c r="B3022" s="37" t="n"/>
      <c r="C3022" s="37" t="n"/>
      <c r="D3022" s="39" t="str">
        <f>IF(C3022="","",IFERROR(INDEX(art_des,MATCH(C3022,art_ref,0))&amp;"","Référence inconnue"))</f>
        <v/>
      </c>
      <c r="E3022" s="37" t="n"/>
      <c r="F3022" s="39" t="str">
        <f>IF(C3022="","",IFERROR(INDEX(art_unit,MATCH(C3022,art_ref,0))&amp;"",""))</f>
        <v/>
      </c>
      <c r="G3022" s="37" t="n"/>
      <c r="H3022" s="37" t="n"/>
      <c r="I3022" s="37" t="n"/>
      <c r="J3022" s="40" t="str">
        <f>IF(OR(C3022="",NOT(ISNUMBER(E3022))),"",IFERROR(E3022*N(INDEX(art_price,MATCH(C3022,art_ref,0))),""))</f>
        <v/>
      </c>
      <c r="K3022" s="39" t="str">
        <f>IF(OR(C3022="",NOT(ISNUMBER(E3022))),"",IFERROR(ROUND(N(INDEX(art_init,MATCH(C3022,art_ref,0)))+SUMIFS($E$5:E3022,$C$5:C3022,C3022,$B$5:B3022,"Entrée")-SUMIFS($E$5:E3022,$C$5:C3022,C3022,$B$5:B3022,"Sortie"),6),""))</f>
        <v/>
      </c>
      <c r="L3022" s="39" t="str">
        <f>IF(COUNTA(A3022:C3022,E3022)=0,"",IF(COUNTA(A3022:C3022,E3022)&lt;4,"Ligne incomplète",IF(NOT(ISNUMBER(A3022)),"Date invalide",IF(AND(B3022&lt;&gt;"Entrée",B3022&lt;&gt;"Sortie"),"Type inconnu",IF(ISNA(MATCH(C3022,art_ref,0)),"Référence inconnue",IF(OR(NOT(ISNUMBER(E3022)),N(E3022)&lt;=0),"Quantité invalide",IF(K3022&lt;0,"Stock négatif",IF(AND(ISNUMBER(A3021),A3022&lt;A3021),"Date hors ordre","OK"))))))))</f>
        <v/>
      </c>
      <c r="M3022" s="39" t="str">
        <f>IF(C3022="","",C3022&amp;"#"&amp;COUNTIF($C$5:C3022,C3022))</f>
        <v/>
      </c>
    </row>
    <row r="3023">
      <c r="A3023" s="41" t="n"/>
      <c r="B3023" s="37" t="n"/>
      <c r="C3023" s="37" t="n"/>
      <c r="D3023" s="39" t="str">
        <f>IF(C3023="","",IFERROR(INDEX(art_des,MATCH(C3023,art_ref,0))&amp;"","Référence inconnue"))</f>
        <v/>
      </c>
      <c r="E3023" s="37" t="n"/>
      <c r="F3023" s="39" t="str">
        <f>IF(C3023="","",IFERROR(INDEX(art_unit,MATCH(C3023,art_ref,0))&amp;"",""))</f>
        <v/>
      </c>
      <c r="G3023" s="37" t="n"/>
      <c r="H3023" s="37" t="n"/>
      <c r="I3023" s="37" t="n"/>
      <c r="J3023" s="40" t="str">
        <f>IF(OR(C3023="",NOT(ISNUMBER(E3023))),"",IFERROR(E3023*N(INDEX(art_price,MATCH(C3023,art_ref,0))),""))</f>
        <v/>
      </c>
      <c r="K3023" s="39" t="str">
        <f>IF(OR(C3023="",NOT(ISNUMBER(E3023))),"",IFERROR(ROUND(N(INDEX(art_init,MATCH(C3023,art_ref,0)))+SUMIFS($E$5:E3023,$C$5:C3023,C3023,$B$5:B3023,"Entrée")-SUMIFS($E$5:E3023,$C$5:C3023,C3023,$B$5:B3023,"Sortie"),6),""))</f>
        <v/>
      </c>
      <c r="L3023" s="39" t="str">
        <f>IF(COUNTA(A3023:C3023,E3023)=0,"",IF(COUNTA(A3023:C3023,E3023)&lt;4,"Ligne incomplète",IF(NOT(ISNUMBER(A3023)),"Date invalide",IF(AND(B3023&lt;&gt;"Entrée",B3023&lt;&gt;"Sortie"),"Type inconnu",IF(ISNA(MATCH(C3023,art_ref,0)),"Référence inconnue",IF(OR(NOT(ISNUMBER(E3023)),N(E3023)&lt;=0),"Quantité invalide",IF(K3023&lt;0,"Stock négatif",IF(AND(ISNUMBER(A3022),A3023&lt;A3022),"Date hors ordre","OK"))))))))</f>
        <v/>
      </c>
      <c r="M3023" s="39" t="str">
        <f>IF(C3023="","",C3023&amp;"#"&amp;COUNTIF($C$5:C3023,C3023))</f>
        <v/>
      </c>
    </row>
    <row r="3024">
      <c r="A3024" s="41" t="n"/>
      <c r="B3024" s="37" t="n"/>
      <c r="C3024" s="37" t="n"/>
      <c r="D3024" s="39" t="str">
        <f>IF(C3024="","",IFERROR(INDEX(art_des,MATCH(C3024,art_ref,0))&amp;"","Référence inconnue"))</f>
        <v/>
      </c>
      <c r="E3024" s="37" t="n"/>
      <c r="F3024" s="39" t="str">
        <f>IF(C3024="","",IFERROR(INDEX(art_unit,MATCH(C3024,art_ref,0))&amp;"",""))</f>
        <v/>
      </c>
      <c r="G3024" s="37" t="n"/>
      <c r="H3024" s="37" t="n"/>
      <c r="I3024" s="37" t="n"/>
      <c r="J3024" s="40" t="str">
        <f>IF(OR(C3024="",NOT(ISNUMBER(E3024))),"",IFERROR(E3024*N(INDEX(art_price,MATCH(C3024,art_ref,0))),""))</f>
        <v/>
      </c>
      <c r="K3024" s="39" t="str">
        <f>IF(OR(C3024="",NOT(ISNUMBER(E3024))),"",IFERROR(ROUND(N(INDEX(art_init,MATCH(C3024,art_ref,0)))+SUMIFS($E$5:E3024,$C$5:C3024,C3024,$B$5:B3024,"Entrée")-SUMIFS($E$5:E3024,$C$5:C3024,C3024,$B$5:B3024,"Sortie"),6),""))</f>
        <v/>
      </c>
      <c r="L3024" s="39" t="str">
        <f>IF(COUNTA(A3024:C3024,E3024)=0,"",IF(COUNTA(A3024:C3024,E3024)&lt;4,"Ligne incomplète",IF(NOT(ISNUMBER(A3024)),"Date invalide",IF(AND(B3024&lt;&gt;"Entrée",B3024&lt;&gt;"Sortie"),"Type inconnu",IF(ISNA(MATCH(C3024,art_ref,0)),"Référence inconnue",IF(OR(NOT(ISNUMBER(E3024)),N(E3024)&lt;=0),"Quantité invalide",IF(K3024&lt;0,"Stock négatif",IF(AND(ISNUMBER(A3023),A3024&lt;A3023),"Date hors ordre","OK"))))))))</f>
        <v/>
      </c>
      <c r="M3024" s="39" t="str">
        <f>IF(C3024="","",C3024&amp;"#"&amp;COUNTIF($C$5:C3024,C3024))</f>
        <v/>
      </c>
    </row>
    <row r="3025">
      <c r="A3025" s="41" t="n"/>
      <c r="B3025" s="37" t="n"/>
      <c r="C3025" s="37" t="n"/>
      <c r="D3025" s="39" t="str">
        <f>IF(C3025="","",IFERROR(INDEX(art_des,MATCH(C3025,art_ref,0))&amp;"","Référence inconnue"))</f>
        <v/>
      </c>
      <c r="E3025" s="37" t="n"/>
      <c r="F3025" s="39" t="str">
        <f>IF(C3025="","",IFERROR(INDEX(art_unit,MATCH(C3025,art_ref,0))&amp;"",""))</f>
        <v/>
      </c>
      <c r="G3025" s="37" t="n"/>
      <c r="H3025" s="37" t="n"/>
      <c r="I3025" s="37" t="n"/>
      <c r="J3025" s="40" t="str">
        <f>IF(OR(C3025="",NOT(ISNUMBER(E3025))),"",IFERROR(E3025*N(INDEX(art_price,MATCH(C3025,art_ref,0))),""))</f>
        <v/>
      </c>
      <c r="K3025" s="39" t="str">
        <f>IF(OR(C3025="",NOT(ISNUMBER(E3025))),"",IFERROR(ROUND(N(INDEX(art_init,MATCH(C3025,art_ref,0)))+SUMIFS($E$5:E3025,$C$5:C3025,C3025,$B$5:B3025,"Entrée")-SUMIFS($E$5:E3025,$C$5:C3025,C3025,$B$5:B3025,"Sortie"),6),""))</f>
        <v/>
      </c>
      <c r="L3025" s="39" t="str">
        <f>IF(COUNTA(A3025:C3025,E3025)=0,"",IF(COUNTA(A3025:C3025,E3025)&lt;4,"Ligne incomplète",IF(NOT(ISNUMBER(A3025)),"Date invalide",IF(AND(B3025&lt;&gt;"Entrée",B3025&lt;&gt;"Sortie"),"Type inconnu",IF(ISNA(MATCH(C3025,art_ref,0)),"Référence inconnue",IF(OR(NOT(ISNUMBER(E3025)),N(E3025)&lt;=0),"Quantité invalide",IF(K3025&lt;0,"Stock négatif",IF(AND(ISNUMBER(A3024),A3025&lt;A3024),"Date hors ordre","OK"))))))))</f>
        <v/>
      </c>
      <c r="M3025" s="39" t="str">
        <f>IF(C3025="","",C3025&amp;"#"&amp;COUNTIF($C$5:C3025,C3025))</f>
        <v/>
      </c>
    </row>
    <row r="3026">
      <c r="A3026" s="41" t="n"/>
      <c r="B3026" s="37" t="n"/>
      <c r="C3026" s="37" t="n"/>
      <c r="D3026" s="39" t="str">
        <f>IF(C3026="","",IFERROR(INDEX(art_des,MATCH(C3026,art_ref,0))&amp;"","Référence inconnue"))</f>
        <v/>
      </c>
      <c r="E3026" s="37" t="n"/>
      <c r="F3026" s="39" t="str">
        <f>IF(C3026="","",IFERROR(INDEX(art_unit,MATCH(C3026,art_ref,0))&amp;"",""))</f>
        <v/>
      </c>
      <c r="G3026" s="37" t="n"/>
      <c r="H3026" s="37" t="n"/>
      <c r="I3026" s="37" t="n"/>
      <c r="J3026" s="40" t="str">
        <f>IF(OR(C3026="",NOT(ISNUMBER(E3026))),"",IFERROR(E3026*N(INDEX(art_price,MATCH(C3026,art_ref,0))),""))</f>
        <v/>
      </c>
      <c r="K3026" s="39" t="str">
        <f>IF(OR(C3026="",NOT(ISNUMBER(E3026))),"",IFERROR(ROUND(N(INDEX(art_init,MATCH(C3026,art_ref,0)))+SUMIFS($E$5:E3026,$C$5:C3026,C3026,$B$5:B3026,"Entrée")-SUMIFS($E$5:E3026,$C$5:C3026,C3026,$B$5:B3026,"Sortie"),6),""))</f>
        <v/>
      </c>
      <c r="L3026" s="39" t="str">
        <f>IF(COUNTA(A3026:C3026,E3026)=0,"",IF(COUNTA(A3026:C3026,E3026)&lt;4,"Ligne incomplète",IF(NOT(ISNUMBER(A3026)),"Date invalide",IF(AND(B3026&lt;&gt;"Entrée",B3026&lt;&gt;"Sortie"),"Type inconnu",IF(ISNA(MATCH(C3026,art_ref,0)),"Référence inconnue",IF(OR(NOT(ISNUMBER(E3026)),N(E3026)&lt;=0),"Quantité invalide",IF(K3026&lt;0,"Stock négatif",IF(AND(ISNUMBER(A3025),A3026&lt;A3025),"Date hors ordre","OK"))))))))</f>
        <v/>
      </c>
      <c r="M3026" s="39" t="str">
        <f>IF(C3026="","",C3026&amp;"#"&amp;COUNTIF($C$5:C3026,C3026))</f>
        <v/>
      </c>
    </row>
    <row r="3027">
      <c r="A3027" s="41" t="n"/>
      <c r="B3027" s="37" t="n"/>
      <c r="C3027" s="37" t="n"/>
      <c r="D3027" s="39" t="str">
        <f>IF(C3027="","",IFERROR(INDEX(art_des,MATCH(C3027,art_ref,0))&amp;"","Référence inconnue"))</f>
        <v/>
      </c>
      <c r="E3027" s="37" t="n"/>
      <c r="F3027" s="39" t="str">
        <f>IF(C3027="","",IFERROR(INDEX(art_unit,MATCH(C3027,art_ref,0))&amp;"",""))</f>
        <v/>
      </c>
      <c r="G3027" s="37" t="n"/>
      <c r="H3027" s="37" t="n"/>
      <c r="I3027" s="37" t="n"/>
      <c r="J3027" s="40" t="str">
        <f>IF(OR(C3027="",NOT(ISNUMBER(E3027))),"",IFERROR(E3027*N(INDEX(art_price,MATCH(C3027,art_ref,0))),""))</f>
        <v/>
      </c>
      <c r="K3027" s="39" t="str">
        <f>IF(OR(C3027="",NOT(ISNUMBER(E3027))),"",IFERROR(ROUND(N(INDEX(art_init,MATCH(C3027,art_ref,0)))+SUMIFS($E$5:E3027,$C$5:C3027,C3027,$B$5:B3027,"Entrée")-SUMIFS($E$5:E3027,$C$5:C3027,C3027,$B$5:B3027,"Sortie"),6),""))</f>
        <v/>
      </c>
      <c r="L3027" s="39" t="str">
        <f>IF(COUNTA(A3027:C3027,E3027)=0,"",IF(COUNTA(A3027:C3027,E3027)&lt;4,"Ligne incomplète",IF(NOT(ISNUMBER(A3027)),"Date invalide",IF(AND(B3027&lt;&gt;"Entrée",B3027&lt;&gt;"Sortie"),"Type inconnu",IF(ISNA(MATCH(C3027,art_ref,0)),"Référence inconnue",IF(OR(NOT(ISNUMBER(E3027)),N(E3027)&lt;=0),"Quantité invalide",IF(K3027&lt;0,"Stock négatif",IF(AND(ISNUMBER(A3026),A3027&lt;A3026),"Date hors ordre","OK"))))))))</f>
        <v/>
      </c>
      <c r="M3027" s="39" t="str">
        <f>IF(C3027="","",C3027&amp;"#"&amp;COUNTIF($C$5:C3027,C3027))</f>
        <v/>
      </c>
    </row>
    <row r="3028">
      <c r="A3028" s="41" t="n"/>
      <c r="B3028" s="37" t="n"/>
      <c r="C3028" s="37" t="n"/>
      <c r="D3028" s="39" t="str">
        <f>IF(C3028="","",IFERROR(INDEX(art_des,MATCH(C3028,art_ref,0))&amp;"","Référence inconnue"))</f>
        <v/>
      </c>
      <c r="E3028" s="37" t="n"/>
      <c r="F3028" s="39" t="str">
        <f>IF(C3028="","",IFERROR(INDEX(art_unit,MATCH(C3028,art_ref,0))&amp;"",""))</f>
        <v/>
      </c>
      <c r="G3028" s="37" t="n"/>
      <c r="H3028" s="37" t="n"/>
      <c r="I3028" s="37" t="n"/>
      <c r="J3028" s="40" t="str">
        <f>IF(OR(C3028="",NOT(ISNUMBER(E3028))),"",IFERROR(E3028*N(INDEX(art_price,MATCH(C3028,art_ref,0))),""))</f>
        <v/>
      </c>
      <c r="K3028" s="39" t="str">
        <f>IF(OR(C3028="",NOT(ISNUMBER(E3028))),"",IFERROR(ROUND(N(INDEX(art_init,MATCH(C3028,art_ref,0)))+SUMIFS($E$5:E3028,$C$5:C3028,C3028,$B$5:B3028,"Entrée")-SUMIFS($E$5:E3028,$C$5:C3028,C3028,$B$5:B3028,"Sortie"),6),""))</f>
        <v/>
      </c>
      <c r="L3028" s="39" t="str">
        <f>IF(COUNTA(A3028:C3028,E3028)=0,"",IF(COUNTA(A3028:C3028,E3028)&lt;4,"Ligne incomplète",IF(NOT(ISNUMBER(A3028)),"Date invalide",IF(AND(B3028&lt;&gt;"Entrée",B3028&lt;&gt;"Sortie"),"Type inconnu",IF(ISNA(MATCH(C3028,art_ref,0)),"Référence inconnue",IF(OR(NOT(ISNUMBER(E3028)),N(E3028)&lt;=0),"Quantité invalide",IF(K3028&lt;0,"Stock négatif",IF(AND(ISNUMBER(A3027),A3028&lt;A3027),"Date hors ordre","OK"))))))))</f>
        <v/>
      </c>
      <c r="M3028" s="39" t="str">
        <f>IF(C3028="","",C3028&amp;"#"&amp;COUNTIF($C$5:C3028,C3028))</f>
        <v/>
      </c>
    </row>
    <row r="3029">
      <c r="A3029" s="41" t="n"/>
      <c r="B3029" s="37" t="n"/>
      <c r="C3029" s="37" t="n"/>
      <c r="D3029" s="39" t="str">
        <f>IF(C3029="","",IFERROR(INDEX(art_des,MATCH(C3029,art_ref,0))&amp;"","Référence inconnue"))</f>
        <v/>
      </c>
      <c r="E3029" s="37" t="n"/>
      <c r="F3029" s="39" t="str">
        <f>IF(C3029="","",IFERROR(INDEX(art_unit,MATCH(C3029,art_ref,0))&amp;"",""))</f>
        <v/>
      </c>
      <c r="G3029" s="37" t="n"/>
      <c r="H3029" s="37" t="n"/>
      <c r="I3029" s="37" t="n"/>
      <c r="J3029" s="40" t="str">
        <f>IF(OR(C3029="",NOT(ISNUMBER(E3029))),"",IFERROR(E3029*N(INDEX(art_price,MATCH(C3029,art_ref,0))),""))</f>
        <v/>
      </c>
      <c r="K3029" s="39" t="str">
        <f>IF(OR(C3029="",NOT(ISNUMBER(E3029))),"",IFERROR(ROUND(N(INDEX(art_init,MATCH(C3029,art_ref,0)))+SUMIFS($E$5:E3029,$C$5:C3029,C3029,$B$5:B3029,"Entrée")-SUMIFS($E$5:E3029,$C$5:C3029,C3029,$B$5:B3029,"Sortie"),6),""))</f>
        <v/>
      </c>
      <c r="L3029" s="39" t="str">
        <f>IF(COUNTA(A3029:C3029,E3029)=0,"",IF(COUNTA(A3029:C3029,E3029)&lt;4,"Ligne incomplète",IF(NOT(ISNUMBER(A3029)),"Date invalide",IF(AND(B3029&lt;&gt;"Entrée",B3029&lt;&gt;"Sortie"),"Type inconnu",IF(ISNA(MATCH(C3029,art_ref,0)),"Référence inconnue",IF(OR(NOT(ISNUMBER(E3029)),N(E3029)&lt;=0),"Quantité invalide",IF(K3029&lt;0,"Stock négatif",IF(AND(ISNUMBER(A3028),A3029&lt;A3028),"Date hors ordre","OK"))))))))</f>
        <v/>
      </c>
      <c r="M3029" s="39" t="str">
        <f>IF(C3029="","",C3029&amp;"#"&amp;COUNTIF($C$5:C3029,C3029))</f>
        <v/>
      </c>
    </row>
    <row r="3030">
      <c r="A3030" s="41" t="n"/>
      <c r="B3030" s="37" t="n"/>
      <c r="C3030" s="37" t="n"/>
      <c r="D3030" s="39" t="str">
        <f>IF(C3030="","",IFERROR(INDEX(art_des,MATCH(C3030,art_ref,0))&amp;"","Référence inconnue"))</f>
        <v/>
      </c>
      <c r="E3030" s="37" t="n"/>
      <c r="F3030" s="39" t="str">
        <f>IF(C3030="","",IFERROR(INDEX(art_unit,MATCH(C3030,art_ref,0))&amp;"",""))</f>
        <v/>
      </c>
      <c r="G3030" s="37" t="n"/>
      <c r="H3030" s="37" t="n"/>
      <c r="I3030" s="37" t="n"/>
      <c r="J3030" s="40" t="str">
        <f>IF(OR(C3030="",NOT(ISNUMBER(E3030))),"",IFERROR(E3030*N(INDEX(art_price,MATCH(C3030,art_ref,0))),""))</f>
        <v/>
      </c>
      <c r="K3030" s="39" t="str">
        <f>IF(OR(C3030="",NOT(ISNUMBER(E3030))),"",IFERROR(ROUND(N(INDEX(art_init,MATCH(C3030,art_ref,0)))+SUMIFS($E$5:E3030,$C$5:C3030,C3030,$B$5:B3030,"Entrée")-SUMIFS($E$5:E3030,$C$5:C3030,C3030,$B$5:B3030,"Sortie"),6),""))</f>
        <v/>
      </c>
      <c r="L3030" s="39" t="str">
        <f>IF(COUNTA(A3030:C3030,E3030)=0,"",IF(COUNTA(A3030:C3030,E3030)&lt;4,"Ligne incomplète",IF(NOT(ISNUMBER(A3030)),"Date invalide",IF(AND(B3030&lt;&gt;"Entrée",B3030&lt;&gt;"Sortie"),"Type inconnu",IF(ISNA(MATCH(C3030,art_ref,0)),"Référence inconnue",IF(OR(NOT(ISNUMBER(E3030)),N(E3030)&lt;=0),"Quantité invalide",IF(K3030&lt;0,"Stock négatif",IF(AND(ISNUMBER(A3029),A3030&lt;A3029),"Date hors ordre","OK"))))))))</f>
        <v/>
      </c>
      <c r="M3030" s="39" t="str">
        <f>IF(C3030="","",C3030&amp;"#"&amp;COUNTIF($C$5:C3030,C3030))</f>
        <v/>
      </c>
    </row>
    <row r="3031">
      <c r="A3031" s="41" t="n"/>
      <c r="B3031" s="37" t="n"/>
      <c r="C3031" s="37" t="n"/>
      <c r="D3031" s="39" t="str">
        <f>IF(C3031="","",IFERROR(INDEX(art_des,MATCH(C3031,art_ref,0))&amp;"","Référence inconnue"))</f>
        <v/>
      </c>
      <c r="E3031" s="37" t="n"/>
      <c r="F3031" s="39" t="str">
        <f>IF(C3031="","",IFERROR(INDEX(art_unit,MATCH(C3031,art_ref,0))&amp;"",""))</f>
        <v/>
      </c>
      <c r="G3031" s="37" t="n"/>
      <c r="H3031" s="37" t="n"/>
      <c r="I3031" s="37" t="n"/>
      <c r="J3031" s="40" t="str">
        <f>IF(OR(C3031="",NOT(ISNUMBER(E3031))),"",IFERROR(E3031*N(INDEX(art_price,MATCH(C3031,art_ref,0))),""))</f>
        <v/>
      </c>
      <c r="K3031" s="39" t="str">
        <f>IF(OR(C3031="",NOT(ISNUMBER(E3031))),"",IFERROR(ROUND(N(INDEX(art_init,MATCH(C3031,art_ref,0)))+SUMIFS($E$5:E3031,$C$5:C3031,C3031,$B$5:B3031,"Entrée")-SUMIFS($E$5:E3031,$C$5:C3031,C3031,$B$5:B3031,"Sortie"),6),""))</f>
        <v/>
      </c>
      <c r="L3031" s="39" t="str">
        <f>IF(COUNTA(A3031:C3031,E3031)=0,"",IF(COUNTA(A3031:C3031,E3031)&lt;4,"Ligne incomplète",IF(NOT(ISNUMBER(A3031)),"Date invalide",IF(AND(B3031&lt;&gt;"Entrée",B3031&lt;&gt;"Sortie"),"Type inconnu",IF(ISNA(MATCH(C3031,art_ref,0)),"Référence inconnue",IF(OR(NOT(ISNUMBER(E3031)),N(E3031)&lt;=0),"Quantité invalide",IF(K3031&lt;0,"Stock négatif",IF(AND(ISNUMBER(A3030),A3031&lt;A3030),"Date hors ordre","OK"))))))))</f>
        <v/>
      </c>
      <c r="M3031" s="39" t="str">
        <f>IF(C3031="","",C3031&amp;"#"&amp;COUNTIF($C$5:C3031,C3031))</f>
        <v/>
      </c>
    </row>
    <row r="3032">
      <c r="A3032" s="41" t="n"/>
      <c r="B3032" s="37" t="n"/>
      <c r="C3032" s="37" t="n"/>
      <c r="D3032" s="39" t="str">
        <f>IF(C3032="","",IFERROR(INDEX(art_des,MATCH(C3032,art_ref,0))&amp;"","Référence inconnue"))</f>
        <v/>
      </c>
      <c r="E3032" s="37" t="n"/>
      <c r="F3032" s="39" t="str">
        <f>IF(C3032="","",IFERROR(INDEX(art_unit,MATCH(C3032,art_ref,0))&amp;"",""))</f>
        <v/>
      </c>
      <c r="G3032" s="37" t="n"/>
      <c r="H3032" s="37" t="n"/>
      <c r="I3032" s="37" t="n"/>
      <c r="J3032" s="40" t="str">
        <f>IF(OR(C3032="",NOT(ISNUMBER(E3032))),"",IFERROR(E3032*N(INDEX(art_price,MATCH(C3032,art_ref,0))),""))</f>
        <v/>
      </c>
      <c r="K3032" s="39" t="str">
        <f>IF(OR(C3032="",NOT(ISNUMBER(E3032))),"",IFERROR(ROUND(N(INDEX(art_init,MATCH(C3032,art_ref,0)))+SUMIFS($E$5:E3032,$C$5:C3032,C3032,$B$5:B3032,"Entrée")-SUMIFS($E$5:E3032,$C$5:C3032,C3032,$B$5:B3032,"Sortie"),6),""))</f>
        <v/>
      </c>
      <c r="L3032" s="39" t="str">
        <f>IF(COUNTA(A3032:C3032,E3032)=0,"",IF(COUNTA(A3032:C3032,E3032)&lt;4,"Ligne incomplète",IF(NOT(ISNUMBER(A3032)),"Date invalide",IF(AND(B3032&lt;&gt;"Entrée",B3032&lt;&gt;"Sortie"),"Type inconnu",IF(ISNA(MATCH(C3032,art_ref,0)),"Référence inconnue",IF(OR(NOT(ISNUMBER(E3032)),N(E3032)&lt;=0),"Quantité invalide",IF(K3032&lt;0,"Stock négatif",IF(AND(ISNUMBER(A3031),A3032&lt;A3031),"Date hors ordre","OK"))))))))</f>
        <v/>
      </c>
      <c r="M3032" s="39" t="str">
        <f>IF(C3032="","",C3032&amp;"#"&amp;COUNTIF($C$5:C3032,C3032))</f>
        <v/>
      </c>
    </row>
    <row r="3033">
      <c r="A3033" s="41" t="n"/>
      <c r="B3033" s="37" t="n"/>
      <c r="C3033" s="37" t="n"/>
      <c r="D3033" s="39" t="str">
        <f>IF(C3033="","",IFERROR(INDEX(art_des,MATCH(C3033,art_ref,0))&amp;"","Référence inconnue"))</f>
        <v/>
      </c>
      <c r="E3033" s="37" t="n"/>
      <c r="F3033" s="39" t="str">
        <f>IF(C3033="","",IFERROR(INDEX(art_unit,MATCH(C3033,art_ref,0))&amp;"",""))</f>
        <v/>
      </c>
      <c r="G3033" s="37" t="n"/>
      <c r="H3033" s="37" t="n"/>
      <c r="I3033" s="37" t="n"/>
      <c r="J3033" s="40" t="str">
        <f>IF(OR(C3033="",NOT(ISNUMBER(E3033))),"",IFERROR(E3033*N(INDEX(art_price,MATCH(C3033,art_ref,0))),""))</f>
        <v/>
      </c>
      <c r="K3033" s="39" t="str">
        <f>IF(OR(C3033="",NOT(ISNUMBER(E3033))),"",IFERROR(ROUND(N(INDEX(art_init,MATCH(C3033,art_ref,0)))+SUMIFS($E$5:E3033,$C$5:C3033,C3033,$B$5:B3033,"Entrée")-SUMIFS($E$5:E3033,$C$5:C3033,C3033,$B$5:B3033,"Sortie"),6),""))</f>
        <v/>
      </c>
      <c r="L3033" s="39" t="str">
        <f>IF(COUNTA(A3033:C3033,E3033)=0,"",IF(COUNTA(A3033:C3033,E3033)&lt;4,"Ligne incomplète",IF(NOT(ISNUMBER(A3033)),"Date invalide",IF(AND(B3033&lt;&gt;"Entrée",B3033&lt;&gt;"Sortie"),"Type inconnu",IF(ISNA(MATCH(C3033,art_ref,0)),"Référence inconnue",IF(OR(NOT(ISNUMBER(E3033)),N(E3033)&lt;=0),"Quantité invalide",IF(K3033&lt;0,"Stock négatif",IF(AND(ISNUMBER(A3032),A3033&lt;A3032),"Date hors ordre","OK"))))))))</f>
        <v/>
      </c>
      <c r="M3033" s="39" t="str">
        <f>IF(C3033="","",C3033&amp;"#"&amp;COUNTIF($C$5:C3033,C3033))</f>
        <v/>
      </c>
    </row>
    <row r="3034">
      <c r="A3034" s="41" t="n"/>
      <c r="B3034" s="37" t="n"/>
      <c r="C3034" s="37" t="n"/>
      <c r="D3034" s="39" t="str">
        <f>IF(C3034="","",IFERROR(INDEX(art_des,MATCH(C3034,art_ref,0))&amp;"","Référence inconnue"))</f>
        <v/>
      </c>
      <c r="E3034" s="37" t="n"/>
      <c r="F3034" s="39" t="str">
        <f>IF(C3034="","",IFERROR(INDEX(art_unit,MATCH(C3034,art_ref,0))&amp;"",""))</f>
        <v/>
      </c>
      <c r="G3034" s="37" t="n"/>
      <c r="H3034" s="37" t="n"/>
      <c r="I3034" s="37" t="n"/>
      <c r="J3034" s="40" t="str">
        <f>IF(OR(C3034="",NOT(ISNUMBER(E3034))),"",IFERROR(E3034*N(INDEX(art_price,MATCH(C3034,art_ref,0))),""))</f>
        <v/>
      </c>
      <c r="K3034" s="39" t="str">
        <f>IF(OR(C3034="",NOT(ISNUMBER(E3034))),"",IFERROR(ROUND(N(INDEX(art_init,MATCH(C3034,art_ref,0)))+SUMIFS($E$5:E3034,$C$5:C3034,C3034,$B$5:B3034,"Entrée")-SUMIFS($E$5:E3034,$C$5:C3034,C3034,$B$5:B3034,"Sortie"),6),""))</f>
        <v/>
      </c>
      <c r="L3034" s="39" t="str">
        <f>IF(COUNTA(A3034:C3034,E3034)=0,"",IF(COUNTA(A3034:C3034,E3034)&lt;4,"Ligne incomplète",IF(NOT(ISNUMBER(A3034)),"Date invalide",IF(AND(B3034&lt;&gt;"Entrée",B3034&lt;&gt;"Sortie"),"Type inconnu",IF(ISNA(MATCH(C3034,art_ref,0)),"Référence inconnue",IF(OR(NOT(ISNUMBER(E3034)),N(E3034)&lt;=0),"Quantité invalide",IF(K3034&lt;0,"Stock négatif",IF(AND(ISNUMBER(A3033),A3034&lt;A3033),"Date hors ordre","OK"))))))))</f>
        <v/>
      </c>
      <c r="M3034" s="39" t="str">
        <f>IF(C3034="","",C3034&amp;"#"&amp;COUNTIF($C$5:C3034,C3034))</f>
        <v/>
      </c>
    </row>
    <row r="3035">
      <c r="A3035" s="41" t="n"/>
      <c r="B3035" s="37" t="n"/>
      <c r="C3035" s="37" t="n"/>
      <c r="D3035" s="39" t="str">
        <f>IF(C3035="","",IFERROR(INDEX(art_des,MATCH(C3035,art_ref,0))&amp;"","Référence inconnue"))</f>
        <v/>
      </c>
      <c r="E3035" s="37" t="n"/>
      <c r="F3035" s="39" t="str">
        <f>IF(C3035="","",IFERROR(INDEX(art_unit,MATCH(C3035,art_ref,0))&amp;"",""))</f>
        <v/>
      </c>
      <c r="G3035" s="37" t="n"/>
      <c r="H3035" s="37" t="n"/>
      <c r="I3035" s="37" t="n"/>
      <c r="J3035" s="40" t="str">
        <f>IF(OR(C3035="",NOT(ISNUMBER(E3035))),"",IFERROR(E3035*N(INDEX(art_price,MATCH(C3035,art_ref,0))),""))</f>
        <v/>
      </c>
      <c r="K3035" s="39" t="str">
        <f>IF(OR(C3035="",NOT(ISNUMBER(E3035))),"",IFERROR(ROUND(N(INDEX(art_init,MATCH(C3035,art_ref,0)))+SUMIFS($E$5:E3035,$C$5:C3035,C3035,$B$5:B3035,"Entrée")-SUMIFS($E$5:E3035,$C$5:C3035,C3035,$B$5:B3035,"Sortie"),6),""))</f>
        <v/>
      </c>
      <c r="L3035" s="39" t="str">
        <f>IF(COUNTA(A3035:C3035,E3035)=0,"",IF(COUNTA(A3035:C3035,E3035)&lt;4,"Ligne incomplète",IF(NOT(ISNUMBER(A3035)),"Date invalide",IF(AND(B3035&lt;&gt;"Entrée",B3035&lt;&gt;"Sortie"),"Type inconnu",IF(ISNA(MATCH(C3035,art_ref,0)),"Référence inconnue",IF(OR(NOT(ISNUMBER(E3035)),N(E3035)&lt;=0),"Quantité invalide",IF(K3035&lt;0,"Stock négatif",IF(AND(ISNUMBER(A3034),A3035&lt;A3034),"Date hors ordre","OK"))))))))</f>
        <v/>
      </c>
      <c r="M3035" s="39" t="str">
        <f>IF(C3035="","",C3035&amp;"#"&amp;COUNTIF($C$5:C3035,C3035))</f>
        <v/>
      </c>
    </row>
    <row r="3036">
      <c r="A3036" s="41" t="n"/>
      <c r="B3036" s="37" t="n"/>
      <c r="C3036" s="37" t="n"/>
      <c r="D3036" s="39" t="str">
        <f>IF(C3036="","",IFERROR(INDEX(art_des,MATCH(C3036,art_ref,0))&amp;"","Référence inconnue"))</f>
        <v/>
      </c>
      <c r="E3036" s="37" t="n"/>
      <c r="F3036" s="39" t="str">
        <f>IF(C3036="","",IFERROR(INDEX(art_unit,MATCH(C3036,art_ref,0))&amp;"",""))</f>
        <v/>
      </c>
      <c r="G3036" s="37" t="n"/>
      <c r="H3036" s="37" t="n"/>
      <c r="I3036" s="37" t="n"/>
      <c r="J3036" s="40" t="str">
        <f>IF(OR(C3036="",NOT(ISNUMBER(E3036))),"",IFERROR(E3036*N(INDEX(art_price,MATCH(C3036,art_ref,0))),""))</f>
        <v/>
      </c>
      <c r="K3036" s="39" t="str">
        <f>IF(OR(C3036="",NOT(ISNUMBER(E3036))),"",IFERROR(ROUND(N(INDEX(art_init,MATCH(C3036,art_ref,0)))+SUMIFS($E$5:E3036,$C$5:C3036,C3036,$B$5:B3036,"Entrée")-SUMIFS($E$5:E3036,$C$5:C3036,C3036,$B$5:B3036,"Sortie"),6),""))</f>
        <v/>
      </c>
      <c r="L3036" s="39" t="str">
        <f>IF(COUNTA(A3036:C3036,E3036)=0,"",IF(COUNTA(A3036:C3036,E3036)&lt;4,"Ligne incomplète",IF(NOT(ISNUMBER(A3036)),"Date invalide",IF(AND(B3036&lt;&gt;"Entrée",B3036&lt;&gt;"Sortie"),"Type inconnu",IF(ISNA(MATCH(C3036,art_ref,0)),"Référence inconnue",IF(OR(NOT(ISNUMBER(E3036)),N(E3036)&lt;=0),"Quantité invalide",IF(K3036&lt;0,"Stock négatif",IF(AND(ISNUMBER(A3035),A3036&lt;A3035),"Date hors ordre","OK"))))))))</f>
        <v/>
      </c>
      <c r="M3036" s="39" t="str">
        <f>IF(C3036="","",C3036&amp;"#"&amp;COUNTIF($C$5:C3036,C3036))</f>
        <v/>
      </c>
    </row>
    <row r="3037">
      <c r="A3037" s="41" t="n"/>
      <c r="B3037" s="37" t="n"/>
      <c r="C3037" s="37" t="n"/>
      <c r="D3037" s="39" t="str">
        <f>IF(C3037="","",IFERROR(INDEX(art_des,MATCH(C3037,art_ref,0))&amp;"","Référence inconnue"))</f>
        <v/>
      </c>
      <c r="E3037" s="37" t="n"/>
      <c r="F3037" s="39" t="str">
        <f>IF(C3037="","",IFERROR(INDEX(art_unit,MATCH(C3037,art_ref,0))&amp;"",""))</f>
        <v/>
      </c>
      <c r="G3037" s="37" t="n"/>
      <c r="H3037" s="37" t="n"/>
      <c r="I3037" s="37" t="n"/>
      <c r="J3037" s="40" t="str">
        <f>IF(OR(C3037="",NOT(ISNUMBER(E3037))),"",IFERROR(E3037*N(INDEX(art_price,MATCH(C3037,art_ref,0))),""))</f>
        <v/>
      </c>
      <c r="K3037" s="39" t="str">
        <f>IF(OR(C3037="",NOT(ISNUMBER(E3037))),"",IFERROR(ROUND(N(INDEX(art_init,MATCH(C3037,art_ref,0)))+SUMIFS($E$5:E3037,$C$5:C3037,C3037,$B$5:B3037,"Entrée")-SUMIFS($E$5:E3037,$C$5:C3037,C3037,$B$5:B3037,"Sortie"),6),""))</f>
        <v/>
      </c>
      <c r="L3037" s="39" t="str">
        <f>IF(COUNTA(A3037:C3037,E3037)=0,"",IF(COUNTA(A3037:C3037,E3037)&lt;4,"Ligne incomplète",IF(NOT(ISNUMBER(A3037)),"Date invalide",IF(AND(B3037&lt;&gt;"Entrée",B3037&lt;&gt;"Sortie"),"Type inconnu",IF(ISNA(MATCH(C3037,art_ref,0)),"Référence inconnue",IF(OR(NOT(ISNUMBER(E3037)),N(E3037)&lt;=0),"Quantité invalide",IF(K3037&lt;0,"Stock négatif",IF(AND(ISNUMBER(A3036),A3037&lt;A3036),"Date hors ordre","OK"))))))))</f>
        <v/>
      </c>
      <c r="M3037" s="39" t="str">
        <f>IF(C3037="","",C3037&amp;"#"&amp;COUNTIF($C$5:C3037,C3037))</f>
        <v/>
      </c>
    </row>
    <row r="3038">
      <c r="A3038" s="41" t="n"/>
      <c r="B3038" s="37" t="n"/>
      <c r="C3038" s="37" t="n"/>
      <c r="D3038" s="39" t="str">
        <f>IF(C3038="","",IFERROR(INDEX(art_des,MATCH(C3038,art_ref,0))&amp;"","Référence inconnue"))</f>
        <v/>
      </c>
      <c r="E3038" s="37" t="n"/>
      <c r="F3038" s="39" t="str">
        <f>IF(C3038="","",IFERROR(INDEX(art_unit,MATCH(C3038,art_ref,0))&amp;"",""))</f>
        <v/>
      </c>
      <c r="G3038" s="37" t="n"/>
      <c r="H3038" s="37" t="n"/>
      <c r="I3038" s="37" t="n"/>
      <c r="J3038" s="40" t="str">
        <f>IF(OR(C3038="",NOT(ISNUMBER(E3038))),"",IFERROR(E3038*N(INDEX(art_price,MATCH(C3038,art_ref,0))),""))</f>
        <v/>
      </c>
      <c r="K3038" s="39" t="str">
        <f>IF(OR(C3038="",NOT(ISNUMBER(E3038))),"",IFERROR(ROUND(N(INDEX(art_init,MATCH(C3038,art_ref,0)))+SUMIFS($E$5:E3038,$C$5:C3038,C3038,$B$5:B3038,"Entrée")-SUMIFS($E$5:E3038,$C$5:C3038,C3038,$B$5:B3038,"Sortie"),6),""))</f>
        <v/>
      </c>
      <c r="L3038" s="39" t="str">
        <f>IF(COUNTA(A3038:C3038,E3038)=0,"",IF(COUNTA(A3038:C3038,E3038)&lt;4,"Ligne incomplète",IF(NOT(ISNUMBER(A3038)),"Date invalide",IF(AND(B3038&lt;&gt;"Entrée",B3038&lt;&gt;"Sortie"),"Type inconnu",IF(ISNA(MATCH(C3038,art_ref,0)),"Référence inconnue",IF(OR(NOT(ISNUMBER(E3038)),N(E3038)&lt;=0),"Quantité invalide",IF(K3038&lt;0,"Stock négatif",IF(AND(ISNUMBER(A3037),A3038&lt;A3037),"Date hors ordre","OK"))))))))</f>
        <v/>
      </c>
      <c r="M3038" s="39" t="str">
        <f>IF(C3038="","",C3038&amp;"#"&amp;COUNTIF($C$5:C3038,C3038))</f>
        <v/>
      </c>
    </row>
    <row r="3039">
      <c r="A3039" s="41" t="n"/>
      <c r="B3039" s="37" t="n"/>
      <c r="C3039" s="37" t="n"/>
      <c r="D3039" s="39" t="str">
        <f>IF(C3039="","",IFERROR(INDEX(art_des,MATCH(C3039,art_ref,0))&amp;"","Référence inconnue"))</f>
        <v/>
      </c>
      <c r="E3039" s="37" t="n"/>
      <c r="F3039" s="39" t="str">
        <f>IF(C3039="","",IFERROR(INDEX(art_unit,MATCH(C3039,art_ref,0))&amp;"",""))</f>
        <v/>
      </c>
      <c r="G3039" s="37" t="n"/>
      <c r="H3039" s="37" t="n"/>
      <c r="I3039" s="37" t="n"/>
      <c r="J3039" s="40" t="str">
        <f>IF(OR(C3039="",NOT(ISNUMBER(E3039))),"",IFERROR(E3039*N(INDEX(art_price,MATCH(C3039,art_ref,0))),""))</f>
        <v/>
      </c>
      <c r="K3039" s="39" t="str">
        <f>IF(OR(C3039="",NOT(ISNUMBER(E3039))),"",IFERROR(ROUND(N(INDEX(art_init,MATCH(C3039,art_ref,0)))+SUMIFS($E$5:E3039,$C$5:C3039,C3039,$B$5:B3039,"Entrée")-SUMIFS($E$5:E3039,$C$5:C3039,C3039,$B$5:B3039,"Sortie"),6),""))</f>
        <v/>
      </c>
      <c r="L3039" s="39" t="str">
        <f>IF(COUNTA(A3039:C3039,E3039)=0,"",IF(COUNTA(A3039:C3039,E3039)&lt;4,"Ligne incomplète",IF(NOT(ISNUMBER(A3039)),"Date invalide",IF(AND(B3039&lt;&gt;"Entrée",B3039&lt;&gt;"Sortie"),"Type inconnu",IF(ISNA(MATCH(C3039,art_ref,0)),"Référence inconnue",IF(OR(NOT(ISNUMBER(E3039)),N(E3039)&lt;=0),"Quantité invalide",IF(K3039&lt;0,"Stock négatif",IF(AND(ISNUMBER(A3038),A3039&lt;A3038),"Date hors ordre","OK"))))))))</f>
        <v/>
      </c>
      <c r="M3039" s="39" t="str">
        <f>IF(C3039="","",C3039&amp;"#"&amp;COUNTIF($C$5:C3039,C3039))</f>
        <v/>
      </c>
    </row>
    <row r="3040">
      <c r="A3040" s="41" t="n"/>
      <c r="B3040" s="37" t="n"/>
      <c r="C3040" s="37" t="n"/>
      <c r="D3040" s="39" t="str">
        <f>IF(C3040="","",IFERROR(INDEX(art_des,MATCH(C3040,art_ref,0))&amp;"","Référence inconnue"))</f>
        <v/>
      </c>
      <c r="E3040" s="37" t="n"/>
      <c r="F3040" s="39" t="str">
        <f>IF(C3040="","",IFERROR(INDEX(art_unit,MATCH(C3040,art_ref,0))&amp;"",""))</f>
        <v/>
      </c>
      <c r="G3040" s="37" t="n"/>
      <c r="H3040" s="37" t="n"/>
      <c r="I3040" s="37" t="n"/>
      <c r="J3040" s="40" t="str">
        <f>IF(OR(C3040="",NOT(ISNUMBER(E3040))),"",IFERROR(E3040*N(INDEX(art_price,MATCH(C3040,art_ref,0))),""))</f>
        <v/>
      </c>
      <c r="K3040" s="39" t="str">
        <f>IF(OR(C3040="",NOT(ISNUMBER(E3040))),"",IFERROR(ROUND(N(INDEX(art_init,MATCH(C3040,art_ref,0)))+SUMIFS($E$5:E3040,$C$5:C3040,C3040,$B$5:B3040,"Entrée")-SUMIFS($E$5:E3040,$C$5:C3040,C3040,$B$5:B3040,"Sortie"),6),""))</f>
        <v/>
      </c>
      <c r="L3040" s="39" t="str">
        <f>IF(COUNTA(A3040:C3040,E3040)=0,"",IF(COUNTA(A3040:C3040,E3040)&lt;4,"Ligne incomplète",IF(NOT(ISNUMBER(A3040)),"Date invalide",IF(AND(B3040&lt;&gt;"Entrée",B3040&lt;&gt;"Sortie"),"Type inconnu",IF(ISNA(MATCH(C3040,art_ref,0)),"Référence inconnue",IF(OR(NOT(ISNUMBER(E3040)),N(E3040)&lt;=0),"Quantité invalide",IF(K3040&lt;0,"Stock négatif",IF(AND(ISNUMBER(A3039),A3040&lt;A3039),"Date hors ordre","OK"))))))))</f>
        <v/>
      </c>
      <c r="M3040" s="39" t="str">
        <f>IF(C3040="","",C3040&amp;"#"&amp;COUNTIF($C$5:C3040,C3040))</f>
        <v/>
      </c>
    </row>
    <row r="3041">
      <c r="A3041" s="41" t="n"/>
      <c r="B3041" s="37" t="n"/>
      <c r="C3041" s="37" t="n"/>
      <c r="D3041" s="39" t="str">
        <f>IF(C3041="","",IFERROR(INDEX(art_des,MATCH(C3041,art_ref,0))&amp;"","Référence inconnue"))</f>
        <v/>
      </c>
      <c r="E3041" s="37" t="n"/>
      <c r="F3041" s="39" t="str">
        <f>IF(C3041="","",IFERROR(INDEX(art_unit,MATCH(C3041,art_ref,0))&amp;"",""))</f>
        <v/>
      </c>
      <c r="G3041" s="37" t="n"/>
      <c r="H3041" s="37" t="n"/>
      <c r="I3041" s="37" t="n"/>
      <c r="J3041" s="40" t="str">
        <f>IF(OR(C3041="",NOT(ISNUMBER(E3041))),"",IFERROR(E3041*N(INDEX(art_price,MATCH(C3041,art_ref,0))),""))</f>
        <v/>
      </c>
      <c r="K3041" s="39" t="str">
        <f>IF(OR(C3041="",NOT(ISNUMBER(E3041))),"",IFERROR(ROUND(N(INDEX(art_init,MATCH(C3041,art_ref,0)))+SUMIFS($E$5:E3041,$C$5:C3041,C3041,$B$5:B3041,"Entrée")-SUMIFS($E$5:E3041,$C$5:C3041,C3041,$B$5:B3041,"Sortie"),6),""))</f>
        <v/>
      </c>
      <c r="L3041" s="39" t="str">
        <f>IF(COUNTA(A3041:C3041,E3041)=0,"",IF(COUNTA(A3041:C3041,E3041)&lt;4,"Ligne incomplète",IF(NOT(ISNUMBER(A3041)),"Date invalide",IF(AND(B3041&lt;&gt;"Entrée",B3041&lt;&gt;"Sortie"),"Type inconnu",IF(ISNA(MATCH(C3041,art_ref,0)),"Référence inconnue",IF(OR(NOT(ISNUMBER(E3041)),N(E3041)&lt;=0),"Quantité invalide",IF(K3041&lt;0,"Stock négatif",IF(AND(ISNUMBER(A3040),A3041&lt;A3040),"Date hors ordre","OK"))))))))</f>
        <v/>
      </c>
      <c r="M3041" s="39" t="str">
        <f>IF(C3041="","",C3041&amp;"#"&amp;COUNTIF($C$5:C3041,C3041))</f>
        <v/>
      </c>
    </row>
    <row r="3042">
      <c r="A3042" s="41" t="n"/>
      <c r="B3042" s="37" t="n"/>
      <c r="C3042" s="37" t="n"/>
      <c r="D3042" s="39" t="str">
        <f>IF(C3042="","",IFERROR(INDEX(art_des,MATCH(C3042,art_ref,0))&amp;"","Référence inconnue"))</f>
        <v/>
      </c>
      <c r="E3042" s="37" t="n"/>
      <c r="F3042" s="39" t="str">
        <f>IF(C3042="","",IFERROR(INDEX(art_unit,MATCH(C3042,art_ref,0))&amp;"",""))</f>
        <v/>
      </c>
      <c r="G3042" s="37" t="n"/>
      <c r="H3042" s="37" t="n"/>
      <c r="I3042" s="37" t="n"/>
      <c r="J3042" s="40" t="str">
        <f>IF(OR(C3042="",NOT(ISNUMBER(E3042))),"",IFERROR(E3042*N(INDEX(art_price,MATCH(C3042,art_ref,0))),""))</f>
        <v/>
      </c>
      <c r="K3042" s="39" t="str">
        <f>IF(OR(C3042="",NOT(ISNUMBER(E3042))),"",IFERROR(ROUND(N(INDEX(art_init,MATCH(C3042,art_ref,0)))+SUMIFS($E$5:E3042,$C$5:C3042,C3042,$B$5:B3042,"Entrée")-SUMIFS($E$5:E3042,$C$5:C3042,C3042,$B$5:B3042,"Sortie"),6),""))</f>
        <v/>
      </c>
      <c r="L3042" s="39" t="str">
        <f>IF(COUNTA(A3042:C3042,E3042)=0,"",IF(COUNTA(A3042:C3042,E3042)&lt;4,"Ligne incomplète",IF(NOT(ISNUMBER(A3042)),"Date invalide",IF(AND(B3042&lt;&gt;"Entrée",B3042&lt;&gt;"Sortie"),"Type inconnu",IF(ISNA(MATCH(C3042,art_ref,0)),"Référence inconnue",IF(OR(NOT(ISNUMBER(E3042)),N(E3042)&lt;=0),"Quantité invalide",IF(K3042&lt;0,"Stock négatif",IF(AND(ISNUMBER(A3041),A3042&lt;A3041),"Date hors ordre","OK"))))))))</f>
        <v/>
      </c>
      <c r="M3042" s="39" t="str">
        <f>IF(C3042="","",C3042&amp;"#"&amp;COUNTIF($C$5:C3042,C3042))</f>
        <v/>
      </c>
    </row>
    <row r="3043">
      <c r="A3043" s="41" t="n"/>
      <c r="B3043" s="37" t="n"/>
      <c r="C3043" s="37" t="n"/>
      <c r="D3043" s="39" t="str">
        <f>IF(C3043="","",IFERROR(INDEX(art_des,MATCH(C3043,art_ref,0))&amp;"","Référence inconnue"))</f>
        <v/>
      </c>
      <c r="E3043" s="37" t="n"/>
      <c r="F3043" s="39" t="str">
        <f>IF(C3043="","",IFERROR(INDEX(art_unit,MATCH(C3043,art_ref,0))&amp;"",""))</f>
        <v/>
      </c>
      <c r="G3043" s="37" t="n"/>
      <c r="H3043" s="37" t="n"/>
      <c r="I3043" s="37" t="n"/>
      <c r="J3043" s="40" t="str">
        <f>IF(OR(C3043="",NOT(ISNUMBER(E3043))),"",IFERROR(E3043*N(INDEX(art_price,MATCH(C3043,art_ref,0))),""))</f>
        <v/>
      </c>
      <c r="K3043" s="39" t="str">
        <f>IF(OR(C3043="",NOT(ISNUMBER(E3043))),"",IFERROR(ROUND(N(INDEX(art_init,MATCH(C3043,art_ref,0)))+SUMIFS($E$5:E3043,$C$5:C3043,C3043,$B$5:B3043,"Entrée")-SUMIFS($E$5:E3043,$C$5:C3043,C3043,$B$5:B3043,"Sortie"),6),""))</f>
        <v/>
      </c>
      <c r="L3043" s="39" t="str">
        <f>IF(COUNTA(A3043:C3043,E3043)=0,"",IF(COUNTA(A3043:C3043,E3043)&lt;4,"Ligne incomplète",IF(NOT(ISNUMBER(A3043)),"Date invalide",IF(AND(B3043&lt;&gt;"Entrée",B3043&lt;&gt;"Sortie"),"Type inconnu",IF(ISNA(MATCH(C3043,art_ref,0)),"Référence inconnue",IF(OR(NOT(ISNUMBER(E3043)),N(E3043)&lt;=0),"Quantité invalide",IF(K3043&lt;0,"Stock négatif",IF(AND(ISNUMBER(A3042),A3043&lt;A3042),"Date hors ordre","OK"))))))))</f>
        <v/>
      </c>
      <c r="M3043" s="39" t="str">
        <f>IF(C3043="","",C3043&amp;"#"&amp;COUNTIF($C$5:C3043,C3043))</f>
        <v/>
      </c>
    </row>
    <row r="3044">
      <c r="A3044" s="41" t="n"/>
      <c r="B3044" s="37" t="n"/>
      <c r="C3044" s="37" t="n"/>
      <c r="D3044" s="39" t="str">
        <f>IF(C3044="","",IFERROR(INDEX(art_des,MATCH(C3044,art_ref,0))&amp;"","Référence inconnue"))</f>
        <v/>
      </c>
      <c r="E3044" s="37" t="n"/>
      <c r="F3044" s="39" t="str">
        <f>IF(C3044="","",IFERROR(INDEX(art_unit,MATCH(C3044,art_ref,0))&amp;"",""))</f>
        <v/>
      </c>
      <c r="G3044" s="37" t="n"/>
      <c r="H3044" s="37" t="n"/>
      <c r="I3044" s="37" t="n"/>
      <c r="J3044" s="40" t="str">
        <f>IF(OR(C3044="",NOT(ISNUMBER(E3044))),"",IFERROR(E3044*N(INDEX(art_price,MATCH(C3044,art_ref,0))),""))</f>
        <v/>
      </c>
      <c r="K3044" s="39" t="str">
        <f>IF(OR(C3044="",NOT(ISNUMBER(E3044))),"",IFERROR(ROUND(N(INDEX(art_init,MATCH(C3044,art_ref,0)))+SUMIFS($E$5:E3044,$C$5:C3044,C3044,$B$5:B3044,"Entrée")-SUMIFS($E$5:E3044,$C$5:C3044,C3044,$B$5:B3044,"Sortie"),6),""))</f>
        <v/>
      </c>
      <c r="L3044" s="39" t="str">
        <f>IF(COUNTA(A3044:C3044,E3044)=0,"",IF(COUNTA(A3044:C3044,E3044)&lt;4,"Ligne incomplète",IF(NOT(ISNUMBER(A3044)),"Date invalide",IF(AND(B3044&lt;&gt;"Entrée",B3044&lt;&gt;"Sortie"),"Type inconnu",IF(ISNA(MATCH(C3044,art_ref,0)),"Référence inconnue",IF(OR(NOT(ISNUMBER(E3044)),N(E3044)&lt;=0),"Quantité invalide",IF(K3044&lt;0,"Stock négatif",IF(AND(ISNUMBER(A3043),A3044&lt;A3043),"Date hors ordre","OK"))))))))</f>
        <v/>
      </c>
      <c r="M3044" s="39" t="str">
        <f>IF(C3044="","",C3044&amp;"#"&amp;COUNTIF($C$5:C3044,C3044))</f>
        <v/>
      </c>
    </row>
    <row r="3045">
      <c r="A3045" s="41" t="n"/>
      <c r="B3045" s="37" t="n"/>
      <c r="C3045" s="37" t="n"/>
      <c r="D3045" s="39" t="str">
        <f>IF(C3045="","",IFERROR(INDEX(art_des,MATCH(C3045,art_ref,0))&amp;"","Référence inconnue"))</f>
        <v/>
      </c>
      <c r="E3045" s="37" t="n"/>
      <c r="F3045" s="39" t="str">
        <f>IF(C3045="","",IFERROR(INDEX(art_unit,MATCH(C3045,art_ref,0))&amp;"",""))</f>
        <v/>
      </c>
      <c r="G3045" s="37" t="n"/>
      <c r="H3045" s="37" t="n"/>
      <c r="I3045" s="37" t="n"/>
      <c r="J3045" s="40" t="str">
        <f>IF(OR(C3045="",NOT(ISNUMBER(E3045))),"",IFERROR(E3045*N(INDEX(art_price,MATCH(C3045,art_ref,0))),""))</f>
        <v/>
      </c>
      <c r="K3045" s="39" t="str">
        <f>IF(OR(C3045="",NOT(ISNUMBER(E3045))),"",IFERROR(ROUND(N(INDEX(art_init,MATCH(C3045,art_ref,0)))+SUMIFS($E$5:E3045,$C$5:C3045,C3045,$B$5:B3045,"Entrée")-SUMIFS($E$5:E3045,$C$5:C3045,C3045,$B$5:B3045,"Sortie"),6),""))</f>
        <v/>
      </c>
      <c r="L3045" s="39" t="str">
        <f>IF(COUNTA(A3045:C3045,E3045)=0,"",IF(COUNTA(A3045:C3045,E3045)&lt;4,"Ligne incomplète",IF(NOT(ISNUMBER(A3045)),"Date invalide",IF(AND(B3045&lt;&gt;"Entrée",B3045&lt;&gt;"Sortie"),"Type inconnu",IF(ISNA(MATCH(C3045,art_ref,0)),"Référence inconnue",IF(OR(NOT(ISNUMBER(E3045)),N(E3045)&lt;=0),"Quantité invalide",IF(K3045&lt;0,"Stock négatif",IF(AND(ISNUMBER(A3044),A3045&lt;A3044),"Date hors ordre","OK"))))))))</f>
        <v/>
      </c>
      <c r="M3045" s="39" t="str">
        <f>IF(C3045="","",C3045&amp;"#"&amp;COUNTIF($C$5:C3045,C3045))</f>
        <v/>
      </c>
    </row>
    <row r="3046">
      <c r="A3046" s="41" t="n"/>
      <c r="B3046" s="37" t="n"/>
      <c r="C3046" s="37" t="n"/>
      <c r="D3046" s="39" t="str">
        <f>IF(C3046="","",IFERROR(INDEX(art_des,MATCH(C3046,art_ref,0))&amp;"","Référence inconnue"))</f>
        <v/>
      </c>
      <c r="E3046" s="37" t="n"/>
      <c r="F3046" s="39" t="str">
        <f>IF(C3046="","",IFERROR(INDEX(art_unit,MATCH(C3046,art_ref,0))&amp;"",""))</f>
        <v/>
      </c>
      <c r="G3046" s="37" t="n"/>
      <c r="H3046" s="37" t="n"/>
      <c r="I3046" s="37" t="n"/>
      <c r="J3046" s="40" t="str">
        <f>IF(OR(C3046="",NOT(ISNUMBER(E3046))),"",IFERROR(E3046*N(INDEX(art_price,MATCH(C3046,art_ref,0))),""))</f>
        <v/>
      </c>
      <c r="K3046" s="39" t="str">
        <f>IF(OR(C3046="",NOT(ISNUMBER(E3046))),"",IFERROR(ROUND(N(INDEX(art_init,MATCH(C3046,art_ref,0)))+SUMIFS($E$5:E3046,$C$5:C3046,C3046,$B$5:B3046,"Entrée")-SUMIFS($E$5:E3046,$C$5:C3046,C3046,$B$5:B3046,"Sortie"),6),""))</f>
        <v/>
      </c>
      <c r="L3046" s="39" t="str">
        <f>IF(COUNTA(A3046:C3046,E3046)=0,"",IF(COUNTA(A3046:C3046,E3046)&lt;4,"Ligne incomplète",IF(NOT(ISNUMBER(A3046)),"Date invalide",IF(AND(B3046&lt;&gt;"Entrée",B3046&lt;&gt;"Sortie"),"Type inconnu",IF(ISNA(MATCH(C3046,art_ref,0)),"Référence inconnue",IF(OR(NOT(ISNUMBER(E3046)),N(E3046)&lt;=0),"Quantité invalide",IF(K3046&lt;0,"Stock négatif",IF(AND(ISNUMBER(A3045),A3046&lt;A3045),"Date hors ordre","OK"))))))))</f>
        <v/>
      </c>
      <c r="M3046" s="39" t="str">
        <f>IF(C3046="","",C3046&amp;"#"&amp;COUNTIF($C$5:C3046,C3046))</f>
        <v/>
      </c>
    </row>
    <row r="3047">
      <c r="A3047" s="41" t="n"/>
      <c r="B3047" s="37" t="n"/>
      <c r="C3047" s="37" t="n"/>
      <c r="D3047" s="39" t="str">
        <f>IF(C3047="","",IFERROR(INDEX(art_des,MATCH(C3047,art_ref,0))&amp;"","Référence inconnue"))</f>
        <v/>
      </c>
      <c r="E3047" s="37" t="n"/>
      <c r="F3047" s="39" t="str">
        <f>IF(C3047="","",IFERROR(INDEX(art_unit,MATCH(C3047,art_ref,0))&amp;"",""))</f>
        <v/>
      </c>
      <c r="G3047" s="37" t="n"/>
      <c r="H3047" s="37" t="n"/>
      <c r="I3047" s="37" t="n"/>
      <c r="J3047" s="40" t="str">
        <f>IF(OR(C3047="",NOT(ISNUMBER(E3047))),"",IFERROR(E3047*N(INDEX(art_price,MATCH(C3047,art_ref,0))),""))</f>
        <v/>
      </c>
      <c r="K3047" s="39" t="str">
        <f>IF(OR(C3047="",NOT(ISNUMBER(E3047))),"",IFERROR(ROUND(N(INDEX(art_init,MATCH(C3047,art_ref,0)))+SUMIFS($E$5:E3047,$C$5:C3047,C3047,$B$5:B3047,"Entrée")-SUMIFS($E$5:E3047,$C$5:C3047,C3047,$B$5:B3047,"Sortie"),6),""))</f>
        <v/>
      </c>
      <c r="L3047" s="39" t="str">
        <f>IF(COUNTA(A3047:C3047,E3047)=0,"",IF(COUNTA(A3047:C3047,E3047)&lt;4,"Ligne incomplète",IF(NOT(ISNUMBER(A3047)),"Date invalide",IF(AND(B3047&lt;&gt;"Entrée",B3047&lt;&gt;"Sortie"),"Type inconnu",IF(ISNA(MATCH(C3047,art_ref,0)),"Référence inconnue",IF(OR(NOT(ISNUMBER(E3047)),N(E3047)&lt;=0),"Quantité invalide",IF(K3047&lt;0,"Stock négatif",IF(AND(ISNUMBER(A3046),A3047&lt;A3046),"Date hors ordre","OK"))))))))</f>
        <v/>
      </c>
      <c r="M3047" s="39" t="str">
        <f>IF(C3047="","",C3047&amp;"#"&amp;COUNTIF($C$5:C3047,C3047))</f>
        <v/>
      </c>
    </row>
    <row r="3048">
      <c r="A3048" s="41" t="n"/>
      <c r="B3048" s="37" t="n"/>
      <c r="C3048" s="37" t="n"/>
      <c r="D3048" s="39" t="str">
        <f>IF(C3048="","",IFERROR(INDEX(art_des,MATCH(C3048,art_ref,0))&amp;"","Référence inconnue"))</f>
        <v/>
      </c>
      <c r="E3048" s="37" t="n"/>
      <c r="F3048" s="39" t="str">
        <f>IF(C3048="","",IFERROR(INDEX(art_unit,MATCH(C3048,art_ref,0))&amp;"",""))</f>
        <v/>
      </c>
      <c r="G3048" s="37" t="n"/>
      <c r="H3048" s="37" t="n"/>
      <c r="I3048" s="37" t="n"/>
      <c r="J3048" s="40" t="str">
        <f>IF(OR(C3048="",NOT(ISNUMBER(E3048))),"",IFERROR(E3048*N(INDEX(art_price,MATCH(C3048,art_ref,0))),""))</f>
        <v/>
      </c>
      <c r="K3048" s="39" t="str">
        <f>IF(OR(C3048="",NOT(ISNUMBER(E3048))),"",IFERROR(ROUND(N(INDEX(art_init,MATCH(C3048,art_ref,0)))+SUMIFS($E$5:E3048,$C$5:C3048,C3048,$B$5:B3048,"Entrée")-SUMIFS($E$5:E3048,$C$5:C3048,C3048,$B$5:B3048,"Sortie"),6),""))</f>
        <v/>
      </c>
      <c r="L3048" s="39" t="str">
        <f>IF(COUNTA(A3048:C3048,E3048)=0,"",IF(COUNTA(A3048:C3048,E3048)&lt;4,"Ligne incomplète",IF(NOT(ISNUMBER(A3048)),"Date invalide",IF(AND(B3048&lt;&gt;"Entrée",B3048&lt;&gt;"Sortie"),"Type inconnu",IF(ISNA(MATCH(C3048,art_ref,0)),"Référence inconnue",IF(OR(NOT(ISNUMBER(E3048)),N(E3048)&lt;=0),"Quantité invalide",IF(K3048&lt;0,"Stock négatif",IF(AND(ISNUMBER(A3047),A3048&lt;A3047),"Date hors ordre","OK"))))))))</f>
        <v/>
      </c>
      <c r="M3048" s="39" t="str">
        <f>IF(C3048="","",C3048&amp;"#"&amp;COUNTIF($C$5:C3048,C3048))</f>
        <v/>
      </c>
    </row>
    <row r="3049">
      <c r="A3049" s="41" t="n"/>
      <c r="B3049" s="37" t="n"/>
      <c r="C3049" s="37" t="n"/>
      <c r="D3049" s="39" t="str">
        <f>IF(C3049="","",IFERROR(INDEX(art_des,MATCH(C3049,art_ref,0))&amp;"","Référence inconnue"))</f>
        <v/>
      </c>
      <c r="E3049" s="37" t="n"/>
      <c r="F3049" s="39" t="str">
        <f>IF(C3049="","",IFERROR(INDEX(art_unit,MATCH(C3049,art_ref,0))&amp;"",""))</f>
        <v/>
      </c>
      <c r="G3049" s="37" t="n"/>
      <c r="H3049" s="37" t="n"/>
      <c r="I3049" s="37" t="n"/>
      <c r="J3049" s="40" t="str">
        <f>IF(OR(C3049="",NOT(ISNUMBER(E3049))),"",IFERROR(E3049*N(INDEX(art_price,MATCH(C3049,art_ref,0))),""))</f>
        <v/>
      </c>
      <c r="K3049" s="39" t="str">
        <f>IF(OR(C3049="",NOT(ISNUMBER(E3049))),"",IFERROR(ROUND(N(INDEX(art_init,MATCH(C3049,art_ref,0)))+SUMIFS($E$5:E3049,$C$5:C3049,C3049,$B$5:B3049,"Entrée")-SUMIFS($E$5:E3049,$C$5:C3049,C3049,$B$5:B3049,"Sortie"),6),""))</f>
        <v/>
      </c>
      <c r="L3049" s="39" t="str">
        <f>IF(COUNTA(A3049:C3049,E3049)=0,"",IF(COUNTA(A3049:C3049,E3049)&lt;4,"Ligne incomplète",IF(NOT(ISNUMBER(A3049)),"Date invalide",IF(AND(B3049&lt;&gt;"Entrée",B3049&lt;&gt;"Sortie"),"Type inconnu",IF(ISNA(MATCH(C3049,art_ref,0)),"Référence inconnue",IF(OR(NOT(ISNUMBER(E3049)),N(E3049)&lt;=0),"Quantité invalide",IF(K3049&lt;0,"Stock négatif",IF(AND(ISNUMBER(A3048),A3049&lt;A3048),"Date hors ordre","OK"))))))))</f>
        <v/>
      </c>
      <c r="M3049" s="39" t="str">
        <f>IF(C3049="","",C3049&amp;"#"&amp;COUNTIF($C$5:C3049,C3049))</f>
        <v/>
      </c>
    </row>
    <row r="3050">
      <c r="A3050" s="41" t="n"/>
      <c r="B3050" s="37" t="n"/>
      <c r="C3050" s="37" t="n"/>
      <c r="D3050" s="39" t="str">
        <f>IF(C3050="","",IFERROR(INDEX(art_des,MATCH(C3050,art_ref,0))&amp;"","Référence inconnue"))</f>
        <v/>
      </c>
      <c r="E3050" s="37" t="n"/>
      <c r="F3050" s="39" t="str">
        <f>IF(C3050="","",IFERROR(INDEX(art_unit,MATCH(C3050,art_ref,0))&amp;"",""))</f>
        <v/>
      </c>
      <c r="G3050" s="37" t="n"/>
      <c r="H3050" s="37" t="n"/>
      <c r="I3050" s="37" t="n"/>
      <c r="J3050" s="40" t="str">
        <f>IF(OR(C3050="",NOT(ISNUMBER(E3050))),"",IFERROR(E3050*N(INDEX(art_price,MATCH(C3050,art_ref,0))),""))</f>
        <v/>
      </c>
      <c r="K3050" s="39" t="str">
        <f>IF(OR(C3050="",NOT(ISNUMBER(E3050))),"",IFERROR(ROUND(N(INDEX(art_init,MATCH(C3050,art_ref,0)))+SUMIFS($E$5:E3050,$C$5:C3050,C3050,$B$5:B3050,"Entrée")-SUMIFS($E$5:E3050,$C$5:C3050,C3050,$B$5:B3050,"Sortie"),6),""))</f>
        <v/>
      </c>
      <c r="L3050" s="39" t="str">
        <f>IF(COUNTA(A3050:C3050,E3050)=0,"",IF(COUNTA(A3050:C3050,E3050)&lt;4,"Ligne incomplète",IF(NOT(ISNUMBER(A3050)),"Date invalide",IF(AND(B3050&lt;&gt;"Entrée",B3050&lt;&gt;"Sortie"),"Type inconnu",IF(ISNA(MATCH(C3050,art_ref,0)),"Référence inconnue",IF(OR(NOT(ISNUMBER(E3050)),N(E3050)&lt;=0),"Quantité invalide",IF(K3050&lt;0,"Stock négatif",IF(AND(ISNUMBER(A3049),A3050&lt;A3049),"Date hors ordre","OK"))))))))</f>
        <v/>
      </c>
      <c r="M3050" s="39" t="str">
        <f>IF(C3050="","",C3050&amp;"#"&amp;COUNTIF($C$5:C3050,C3050))</f>
        <v/>
      </c>
    </row>
    <row r="3051">
      <c r="A3051" s="41" t="n"/>
      <c r="B3051" s="37" t="n"/>
      <c r="C3051" s="37" t="n"/>
      <c r="D3051" s="39" t="str">
        <f>IF(C3051="","",IFERROR(INDEX(art_des,MATCH(C3051,art_ref,0))&amp;"","Référence inconnue"))</f>
        <v/>
      </c>
      <c r="E3051" s="37" t="n"/>
      <c r="F3051" s="39" t="str">
        <f>IF(C3051="","",IFERROR(INDEX(art_unit,MATCH(C3051,art_ref,0))&amp;"",""))</f>
        <v/>
      </c>
      <c r="G3051" s="37" t="n"/>
      <c r="H3051" s="37" t="n"/>
      <c r="I3051" s="37" t="n"/>
      <c r="J3051" s="40" t="str">
        <f>IF(OR(C3051="",NOT(ISNUMBER(E3051))),"",IFERROR(E3051*N(INDEX(art_price,MATCH(C3051,art_ref,0))),""))</f>
        <v/>
      </c>
      <c r="K3051" s="39" t="str">
        <f>IF(OR(C3051="",NOT(ISNUMBER(E3051))),"",IFERROR(ROUND(N(INDEX(art_init,MATCH(C3051,art_ref,0)))+SUMIFS($E$5:E3051,$C$5:C3051,C3051,$B$5:B3051,"Entrée")-SUMIFS($E$5:E3051,$C$5:C3051,C3051,$B$5:B3051,"Sortie"),6),""))</f>
        <v/>
      </c>
      <c r="L3051" s="39" t="str">
        <f>IF(COUNTA(A3051:C3051,E3051)=0,"",IF(COUNTA(A3051:C3051,E3051)&lt;4,"Ligne incomplète",IF(NOT(ISNUMBER(A3051)),"Date invalide",IF(AND(B3051&lt;&gt;"Entrée",B3051&lt;&gt;"Sortie"),"Type inconnu",IF(ISNA(MATCH(C3051,art_ref,0)),"Référence inconnue",IF(OR(NOT(ISNUMBER(E3051)),N(E3051)&lt;=0),"Quantité invalide",IF(K3051&lt;0,"Stock négatif",IF(AND(ISNUMBER(A3050),A3051&lt;A3050),"Date hors ordre","OK"))))))))</f>
        <v/>
      </c>
      <c r="M3051" s="39" t="str">
        <f>IF(C3051="","",C3051&amp;"#"&amp;COUNTIF($C$5:C3051,C3051))</f>
        <v/>
      </c>
    </row>
    <row r="3052">
      <c r="A3052" s="41" t="n"/>
      <c r="B3052" s="37" t="n"/>
      <c r="C3052" s="37" t="n"/>
      <c r="D3052" s="39" t="str">
        <f>IF(C3052="","",IFERROR(INDEX(art_des,MATCH(C3052,art_ref,0))&amp;"","Référence inconnue"))</f>
        <v/>
      </c>
      <c r="E3052" s="37" t="n"/>
      <c r="F3052" s="39" t="str">
        <f>IF(C3052="","",IFERROR(INDEX(art_unit,MATCH(C3052,art_ref,0))&amp;"",""))</f>
        <v/>
      </c>
      <c r="G3052" s="37" t="n"/>
      <c r="H3052" s="37" t="n"/>
      <c r="I3052" s="37" t="n"/>
      <c r="J3052" s="40" t="str">
        <f>IF(OR(C3052="",NOT(ISNUMBER(E3052))),"",IFERROR(E3052*N(INDEX(art_price,MATCH(C3052,art_ref,0))),""))</f>
        <v/>
      </c>
      <c r="K3052" s="39" t="str">
        <f>IF(OR(C3052="",NOT(ISNUMBER(E3052))),"",IFERROR(ROUND(N(INDEX(art_init,MATCH(C3052,art_ref,0)))+SUMIFS($E$5:E3052,$C$5:C3052,C3052,$B$5:B3052,"Entrée")-SUMIFS($E$5:E3052,$C$5:C3052,C3052,$B$5:B3052,"Sortie"),6),""))</f>
        <v/>
      </c>
      <c r="L3052" s="39" t="str">
        <f>IF(COUNTA(A3052:C3052,E3052)=0,"",IF(COUNTA(A3052:C3052,E3052)&lt;4,"Ligne incomplète",IF(NOT(ISNUMBER(A3052)),"Date invalide",IF(AND(B3052&lt;&gt;"Entrée",B3052&lt;&gt;"Sortie"),"Type inconnu",IF(ISNA(MATCH(C3052,art_ref,0)),"Référence inconnue",IF(OR(NOT(ISNUMBER(E3052)),N(E3052)&lt;=0),"Quantité invalide",IF(K3052&lt;0,"Stock négatif",IF(AND(ISNUMBER(A3051),A3052&lt;A3051),"Date hors ordre","OK"))))))))</f>
        <v/>
      </c>
      <c r="M3052" s="39" t="str">
        <f>IF(C3052="","",C3052&amp;"#"&amp;COUNTIF($C$5:C3052,C3052))</f>
        <v/>
      </c>
    </row>
    <row r="3053">
      <c r="A3053" s="41" t="n"/>
      <c r="B3053" s="37" t="n"/>
      <c r="C3053" s="37" t="n"/>
      <c r="D3053" s="39" t="str">
        <f>IF(C3053="","",IFERROR(INDEX(art_des,MATCH(C3053,art_ref,0))&amp;"","Référence inconnue"))</f>
        <v/>
      </c>
      <c r="E3053" s="37" t="n"/>
      <c r="F3053" s="39" t="str">
        <f>IF(C3053="","",IFERROR(INDEX(art_unit,MATCH(C3053,art_ref,0))&amp;"",""))</f>
        <v/>
      </c>
      <c r="G3053" s="37" t="n"/>
      <c r="H3053" s="37" t="n"/>
      <c r="I3053" s="37" t="n"/>
      <c r="J3053" s="40" t="str">
        <f>IF(OR(C3053="",NOT(ISNUMBER(E3053))),"",IFERROR(E3053*N(INDEX(art_price,MATCH(C3053,art_ref,0))),""))</f>
        <v/>
      </c>
      <c r="K3053" s="39" t="str">
        <f>IF(OR(C3053="",NOT(ISNUMBER(E3053))),"",IFERROR(ROUND(N(INDEX(art_init,MATCH(C3053,art_ref,0)))+SUMIFS($E$5:E3053,$C$5:C3053,C3053,$B$5:B3053,"Entrée")-SUMIFS($E$5:E3053,$C$5:C3053,C3053,$B$5:B3053,"Sortie"),6),""))</f>
        <v/>
      </c>
      <c r="L3053" s="39" t="str">
        <f>IF(COUNTA(A3053:C3053,E3053)=0,"",IF(COUNTA(A3053:C3053,E3053)&lt;4,"Ligne incomplète",IF(NOT(ISNUMBER(A3053)),"Date invalide",IF(AND(B3053&lt;&gt;"Entrée",B3053&lt;&gt;"Sortie"),"Type inconnu",IF(ISNA(MATCH(C3053,art_ref,0)),"Référence inconnue",IF(OR(NOT(ISNUMBER(E3053)),N(E3053)&lt;=0),"Quantité invalide",IF(K3053&lt;0,"Stock négatif",IF(AND(ISNUMBER(A3052),A3053&lt;A3052),"Date hors ordre","OK"))))))))</f>
        <v/>
      </c>
      <c r="M3053" s="39" t="str">
        <f>IF(C3053="","",C3053&amp;"#"&amp;COUNTIF($C$5:C3053,C3053))</f>
        <v/>
      </c>
    </row>
    <row r="3054">
      <c r="A3054" s="41" t="n"/>
      <c r="B3054" s="37" t="n"/>
      <c r="C3054" s="37" t="n"/>
      <c r="D3054" s="39" t="str">
        <f>IF(C3054="","",IFERROR(INDEX(art_des,MATCH(C3054,art_ref,0))&amp;"","Référence inconnue"))</f>
        <v/>
      </c>
      <c r="E3054" s="37" t="n"/>
      <c r="F3054" s="39" t="str">
        <f>IF(C3054="","",IFERROR(INDEX(art_unit,MATCH(C3054,art_ref,0))&amp;"",""))</f>
        <v/>
      </c>
      <c r="G3054" s="37" t="n"/>
      <c r="H3054" s="37" t="n"/>
      <c r="I3054" s="37" t="n"/>
      <c r="J3054" s="40" t="str">
        <f>IF(OR(C3054="",NOT(ISNUMBER(E3054))),"",IFERROR(E3054*N(INDEX(art_price,MATCH(C3054,art_ref,0))),""))</f>
        <v/>
      </c>
      <c r="K3054" s="39" t="str">
        <f>IF(OR(C3054="",NOT(ISNUMBER(E3054))),"",IFERROR(ROUND(N(INDEX(art_init,MATCH(C3054,art_ref,0)))+SUMIFS($E$5:E3054,$C$5:C3054,C3054,$B$5:B3054,"Entrée")-SUMIFS($E$5:E3054,$C$5:C3054,C3054,$B$5:B3054,"Sortie"),6),""))</f>
        <v/>
      </c>
      <c r="L3054" s="39" t="str">
        <f>IF(COUNTA(A3054:C3054,E3054)=0,"",IF(COUNTA(A3054:C3054,E3054)&lt;4,"Ligne incomplète",IF(NOT(ISNUMBER(A3054)),"Date invalide",IF(AND(B3054&lt;&gt;"Entrée",B3054&lt;&gt;"Sortie"),"Type inconnu",IF(ISNA(MATCH(C3054,art_ref,0)),"Référence inconnue",IF(OR(NOT(ISNUMBER(E3054)),N(E3054)&lt;=0),"Quantité invalide",IF(K3054&lt;0,"Stock négatif",IF(AND(ISNUMBER(A3053),A3054&lt;A3053),"Date hors ordre","OK"))))))))</f>
        <v/>
      </c>
      <c r="M3054" s="39" t="str">
        <f>IF(C3054="","",C3054&amp;"#"&amp;COUNTIF($C$5:C3054,C3054))</f>
        <v/>
      </c>
    </row>
    <row r="3055">
      <c r="A3055" s="41" t="n"/>
      <c r="B3055" s="37" t="n"/>
      <c r="C3055" s="37" t="n"/>
      <c r="D3055" s="39" t="str">
        <f>IF(C3055="","",IFERROR(INDEX(art_des,MATCH(C3055,art_ref,0))&amp;"","Référence inconnue"))</f>
        <v/>
      </c>
      <c r="E3055" s="37" t="n"/>
      <c r="F3055" s="39" t="str">
        <f>IF(C3055="","",IFERROR(INDEX(art_unit,MATCH(C3055,art_ref,0))&amp;"",""))</f>
        <v/>
      </c>
      <c r="G3055" s="37" t="n"/>
      <c r="H3055" s="37" t="n"/>
      <c r="I3055" s="37" t="n"/>
      <c r="J3055" s="40" t="str">
        <f>IF(OR(C3055="",NOT(ISNUMBER(E3055))),"",IFERROR(E3055*N(INDEX(art_price,MATCH(C3055,art_ref,0))),""))</f>
        <v/>
      </c>
      <c r="K3055" s="39" t="str">
        <f>IF(OR(C3055="",NOT(ISNUMBER(E3055))),"",IFERROR(ROUND(N(INDEX(art_init,MATCH(C3055,art_ref,0)))+SUMIFS($E$5:E3055,$C$5:C3055,C3055,$B$5:B3055,"Entrée")-SUMIFS($E$5:E3055,$C$5:C3055,C3055,$B$5:B3055,"Sortie"),6),""))</f>
        <v/>
      </c>
      <c r="L3055" s="39" t="str">
        <f>IF(COUNTA(A3055:C3055,E3055)=0,"",IF(COUNTA(A3055:C3055,E3055)&lt;4,"Ligne incomplète",IF(NOT(ISNUMBER(A3055)),"Date invalide",IF(AND(B3055&lt;&gt;"Entrée",B3055&lt;&gt;"Sortie"),"Type inconnu",IF(ISNA(MATCH(C3055,art_ref,0)),"Référence inconnue",IF(OR(NOT(ISNUMBER(E3055)),N(E3055)&lt;=0),"Quantité invalide",IF(K3055&lt;0,"Stock négatif",IF(AND(ISNUMBER(A3054),A3055&lt;A3054),"Date hors ordre","OK"))))))))</f>
        <v/>
      </c>
      <c r="M3055" s="39" t="str">
        <f>IF(C3055="","",C3055&amp;"#"&amp;COUNTIF($C$5:C3055,C3055))</f>
        <v/>
      </c>
    </row>
    <row r="3056">
      <c r="A3056" s="41" t="n"/>
      <c r="B3056" s="37" t="n"/>
      <c r="C3056" s="37" t="n"/>
      <c r="D3056" s="39" t="str">
        <f>IF(C3056="","",IFERROR(INDEX(art_des,MATCH(C3056,art_ref,0))&amp;"","Référence inconnue"))</f>
        <v/>
      </c>
      <c r="E3056" s="37" t="n"/>
      <c r="F3056" s="39" t="str">
        <f>IF(C3056="","",IFERROR(INDEX(art_unit,MATCH(C3056,art_ref,0))&amp;"",""))</f>
        <v/>
      </c>
      <c r="G3056" s="37" t="n"/>
      <c r="H3056" s="37" t="n"/>
      <c r="I3056" s="37" t="n"/>
      <c r="J3056" s="40" t="str">
        <f>IF(OR(C3056="",NOT(ISNUMBER(E3056))),"",IFERROR(E3056*N(INDEX(art_price,MATCH(C3056,art_ref,0))),""))</f>
        <v/>
      </c>
      <c r="K3056" s="39" t="str">
        <f>IF(OR(C3056="",NOT(ISNUMBER(E3056))),"",IFERROR(ROUND(N(INDEX(art_init,MATCH(C3056,art_ref,0)))+SUMIFS($E$5:E3056,$C$5:C3056,C3056,$B$5:B3056,"Entrée")-SUMIFS($E$5:E3056,$C$5:C3056,C3056,$B$5:B3056,"Sortie"),6),""))</f>
        <v/>
      </c>
      <c r="L3056" s="39" t="str">
        <f>IF(COUNTA(A3056:C3056,E3056)=0,"",IF(COUNTA(A3056:C3056,E3056)&lt;4,"Ligne incomplète",IF(NOT(ISNUMBER(A3056)),"Date invalide",IF(AND(B3056&lt;&gt;"Entrée",B3056&lt;&gt;"Sortie"),"Type inconnu",IF(ISNA(MATCH(C3056,art_ref,0)),"Référence inconnue",IF(OR(NOT(ISNUMBER(E3056)),N(E3056)&lt;=0),"Quantité invalide",IF(K3056&lt;0,"Stock négatif",IF(AND(ISNUMBER(A3055),A3056&lt;A3055),"Date hors ordre","OK"))))))))</f>
        <v/>
      </c>
      <c r="M3056" s="39" t="str">
        <f>IF(C3056="","",C3056&amp;"#"&amp;COUNTIF($C$5:C3056,C3056))</f>
        <v/>
      </c>
    </row>
    <row r="3057">
      <c r="A3057" s="41" t="n"/>
      <c r="B3057" s="37" t="n"/>
      <c r="C3057" s="37" t="n"/>
      <c r="D3057" s="39" t="str">
        <f>IF(C3057="","",IFERROR(INDEX(art_des,MATCH(C3057,art_ref,0))&amp;"","Référence inconnue"))</f>
        <v/>
      </c>
      <c r="E3057" s="37" t="n"/>
      <c r="F3057" s="39" t="str">
        <f>IF(C3057="","",IFERROR(INDEX(art_unit,MATCH(C3057,art_ref,0))&amp;"",""))</f>
        <v/>
      </c>
      <c r="G3057" s="37" t="n"/>
      <c r="H3057" s="37" t="n"/>
      <c r="I3057" s="37" t="n"/>
      <c r="J3057" s="40" t="str">
        <f>IF(OR(C3057="",NOT(ISNUMBER(E3057))),"",IFERROR(E3057*N(INDEX(art_price,MATCH(C3057,art_ref,0))),""))</f>
        <v/>
      </c>
      <c r="K3057" s="39" t="str">
        <f>IF(OR(C3057="",NOT(ISNUMBER(E3057))),"",IFERROR(ROUND(N(INDEX(art_init,MATCH(C3057,art_ref,0)))+SUMIFS($E$5:E3057,$C$5:C3057,C3057,$B$5:B3057,"Entrée")-SUMIFS($E$5:E3057,$C$5:C3057,C3057,$B$5:B3057,"Sortie"),6),""))</f>
        <v/>
      </c>
      <c r="L3057" s="39" t="str">
        <f>IF(COUNTA(A3057:C3057,E3057)=0,"",IF(COUNTA(A3057:C3057,E3057)&lt;4,"Ligne incomplète",IF(NOT(ISNUMBER(A3057)),"Date invalide",IF(AND(B3057&lt;&gt;"Entrée",B3057&lt;&gt;"Sortie"),"Type inconnu",IF(ISNA(MATCH(C3057,art_ref,0)),"Référence inconnue",IF(OR(NOT(ISNUMBER(E3057)),N(E3057)&lt;=0),"Quantité invalide",IF(K3057&lt;0,"Stock négatif",IF(AND(ISNUMBER(A3056),A3057&lt;A3056),"Date hors ordre","OK"))))))))</f>
        <v/>
      </c>
      <c r="M3057" s="39" t="str">
        <f>IF(C3057="","",C3057&amp;"#"&amp;COUNTIF($C$5:C3057,C3057))</f>
        <v/>
      </c>
    </row>
    <row r="3058">
      <c r="A3058" s="41" t="n"/>
      <c r="B3058" s="37" t="n"/>
      <c r="C3058" s="37" t="n"/>
      <c r="D3058" s="39" t="str">
        <f>IF(C3058="","",IFERROR(INDEX(art_des,MATCH(C3058,art_ref,0))&amp;"","Référence inconnue"))</f>
        <v/>
      </c>
      <c r="E3058" s="37" t="n"/>
      <c r="F3058" s="39" t="str">
        <f>IF(C3058="","",IFERROR(INDEX(art_unit,MATCH(C3058,art_ref,0))&amp;"",""))</f>
        <v/>
      </c>
      <c r="G3058" s="37" t="n"/>
      <c r="H3058" s="37" t="n"/>
      <c r="I3058" s="37" t="n"/>
      <c r="J3058" s="40" t="str">
        <f>IF(OR(C3058="",NOT(ISNUMBER(E3058))),"",IFERROR(E3058*N(INDEX(art_price,MATCH(C3058,art_ref,0))),""))</f>
        <v/>
      </c>
      <c r="K3058" s="39" t="str">
        <f>IF(OR(C3058="",NOT(ISNUMBER(E3058))),"",IFERROR(ROUND(N(INDEX(art_init,MATCH(C3058,art_ref,0)))+SUMIFS($E$5:E3058,$C$5:C3058,C3058,$B$5:B3058,"Entrée")-SUMIFS($E$5:E3058,$C$5:C3058,C3058,$B$5:B3058,"Sortie"),6),""))</f>
        <v/>
      </c>
      <c r="L3058" s="39" t="str">
        <f>IF(COUNTA(A3058:C3058,E3058)=0,"",IF(COUNTA(A3058:C3058,E3058)&lt;4,"Ligne incomplète",IF(NOT(ISNUMBER(A3058)),"Date invalide",IF(AND(B3058&lt;&gt;"Entrée",B3058&lt;&gt;"Sortie"),"Type inconnu",IF(ISNA(MATCH(C3058,art_ref,0)),"Référence inconnue",IF(OR(NOT(ISNUMBER(E3058)),N(E3058)&lt;=0),"Quantité invalide",IF(K3058&lt;0,"Stock négatif",IF(AND(ISNUMBER(A3057),A3058&lt;A3057),"Date hors ordre","OK"))))))))</f>
        <v/>
      </c>
      <c r="M3058" s="39" t="str">
        <f>IF(C3058="","",C3058&amp;"#"&amp;COUNTIF($C$5:C3058,C3058))</f>
        <v/>
      </c>
    </row>
    <row r="3059">
      <c r="A3059" s="41" t="n"/>
      <c r="B3059" s="37" t="n"/>
      <c r="C3059" s="37" t="n"/>
      <c r="D3059" s="39" t="str">
        <f>IF(C3059="","",IFERROR(INDEX(art_des,MATCH(C3059,art_ref,0))&amp;"","Référence inconnue"))</f>
        <v/>
      </c>
      <c r="E3059" s="37" t="n"/>
      <c r="F3059" s="39" t="str">
        <f>IF(C3059="","",IFERROR(INDEX(art_unit,MATCH(C3059,art_ref,0))&amp;"",""))</f>
        <v/>
      </c>
      <c r="G3059" s="37" t="n"/>
      <c r="H3059" s="37" t="n"/>
      <c r="I3059" s="37" t="n"/>
      <c r="J3059" s="40" t="str">
        <f>IF(OR(C3059="",NOT(ISNUMBER(E3059))),"",IFERROR(E3059*N(INDEX(art_price,MATCH(C3059,art_ref,0))),""))</f>
        <v/>
      </c>
      <c r="K3059" s="39" t="str">
        <f>IF(OR(C3059="",NOT(ISNUMBER(E3059))),"",IFERROR(ROUND(N(INDEX(art_init,MATCH(C3059,art_ref,0)))+SUMIFS($E$5:E3059,$C$5:C3059,C3059,$B$5:B3059,"Entrée")-SUMIFS($E$5:E3059,$C$5:C3059,C3059,$B$5:B3059,"Sortie"),6),""))</f>
        <v/>
      </c>
      <c r="L3059" s="39" t="str">
        <f>IF(COUNTA(A3059:C3059,E3059)=0,"",IF(COUNTA(A3059:C3059,E3059)&lt;4,"Ligne incomplète",IF(NOT(ISNUMBER(A3059)),"Date invalide",IF(AND(B3059&lt;&gt;"Entrée",B3059&lt;&gt;"Sortie"),"Type inconnu",IF(ISNA(MATCH(C3059,art_ref,0)),"Référence inconnue",IF(OR(NOT(ISNUMBER(E3059)),N(E3059)&lt;=0),"Quantité invalide",IF(K3059&lt;0,"Stock négatif",IF(AND(ISNUMBER(A3058),A3059&lt;A3058),"Date hors ordre","OK"))))))))</f>
        <v/>
      </c>
      <c r="M3059" s="39" t="str">
        <f>IF(C3059="","",C3059&amp;"#"&amp;COUNTIF($C$5:C3059,C3059))</f>
        <v/>
      </c>
    </row>
    <row r="3060">
      <c r="A3060" s="41" t="n"/>
      <c r="B3060" s="37" t="n"/>
      <c r="C3060" s="37" t="n"/>
      <c r="D3060" s="39" t="str">
        <f>IF(C3060="","",IFERROR(INDEX(art_des,MATCH(C3060,art_ref,0))&amp;"","Référence inconnue"))</f>
        <v/>
      </c>
      <c r="E3060" s="37" t="n"/>
      <c r="F3060" s="39" t="str">
        <f>IF(C3060="","",IFERROR(INDEX(art_unit,MATCH(C3060,art_ref,0))&amp;"",""))</f>
        <v/>
      </c>
      <c r="G3060" s="37" t="n"/>
      <c r="H3060" s="37" t="n"/>
      <c r="I3060" s="37" t="n"/>
      <c r="J3060" s="40" t="str">
        <f>IF(OR(C3060="",NOT(ISNUMBER(E3060))),"",IFERROR(E3060*N(INDEX(art_price,MATCH(C3060,art_ref,0))),""))</f>
        <v/>
      </c>
      <c r="K3060" s="39" t="str">
        <f>IF(OR(C3060="",NOT(ISNUMBER(E3060))),"",IFERROR(ROUND(N(INDEX(art_init,MATCH(C3060,art_ref,0)))+SUMIFS($E$5:E3060,$C$5:C3060,C3060,$B$5:B3060,"Entrée")-SUMIFS($E$5:E3060,$C$5:C3060,C3060,$B$5:B3060,"Sortie"),6),""))</f>
        <v/>
      </c>
      <c r="L3060" s="39" t="str">
        <f>IF(COUNTA(A3060:C3060,E3060)=0,"",IF(COUNTA(A3060:C3060,E3060)&lt;4,"Ligne incomplète",IF(NOT(ISNUMBER(A3060)),"Date invalide",IF(AND(B3060&lt;&gt;"Entrée",B3060&lt;&gt;"Sortie"),"Type inconnu",IF(ISNA(MATCH(C3060,art_ref,0)),"Référence inconnue",IF(OR(NOT(ISNUMBER(E3060)),N(E3060)&lt;=0),"Quantité invalide",IF(K3060&lt;0,"Stock négatif",IF(AND(ISNUMBER(A3059),A3060&lt;A3059),"Date hors ordre","OK"))))))))</f>
        <v/>
      </c>
      <c r="M3060" s="39" t="str">
        <f>IF(C3060="","",C3060&amp;"#"&amp;COUNTIF($C$5:C3060,C3060))</f>
        <v/>
      </c>
    </row>
    <row r="3061">
      <c r="A3061" s="41" t="n"/>
      <c r="B3061" s="37" t="n"/>
      <c r="C3061" s="37" t="n"/>
      <c r="D3061" s="39" t="str">
        <f>IF(C3061="","",IFERROR(INDEX(art_des,MATCH(C3061,art_ref,0))&amp;"","Référence inconnue"))</f>
        <v/>
      </c>
      <c r="E3061" s="37" t="n"/>
      <c r="F3061" s="39" t="str">
        <f>IF(C3061="","",IFERROR(INDEX(art_unit,MATCH(C3061,art_ref,0))&amp;"",""))</f>
        <v/>
      </c>
      <c r="G3061" s="37" t="n"/>
      <c r="H3061" s="37" t="n"/>
      <c r="I3061" s="37" t="n"/>
      <c r="J3061" s="40" t="str">
        <f>IF(OR(C3061="",NOT(ISNUMBER(E3061))),"",IFERROR(E3061*N(INDEX(art_price,MATCH(C3061,art_ref,0))),""))</f>
        <v/>
      </c>
      <c r="K3061" s="39" t="str">
        <f>IF(OR(C3061="",NOT(ISNUMBER(E3061))),"",IFERROR(ROUND(N(INDEX(art_init,MATCH(C3061,art_ref,0)))+SUMIFS($E$5:E3061,$C$5:C3061,C3061,$B$5:B3061,"Entrée")-SUMIFS($E$5:E3061,$C$5:C3061,C3061,$B$5:B3061,"Sortie"),6),""))</f>
        <v/>
      </c>
      <c r="L3061" s="39" t="str">
        <f>IF(COUNTA(A3061:C3061,E3061)=0,"",IF(COUNTA(A3061:C3061,E3061)&lt;4,"Ligne incomplète",IF(NOT(ISNUMBER(A3061)),"Date invalide",IF(AND(B3061&lt;&gt;"Entrée",B3061&lt;&gt;"Sortie"),"Type inconnu",IF(ISNA(MATCH(C3061,art_ref,0)),"Référence inconnue",IF(OR(NOT(ISNUMBER(E3061)),N(E3061)&lt;=0),"Quantité invalide",IF(K3061&lt;0,"Stock négatif",IF(AND(ISNUMBER(A3060),A3061&lt;A3060),"Date hors ordre","OK"))))))))</f>
        <v/>
      </c>
      <c r="M3061" s="39" t="str">
        <f>IF(C3061="","",C3061&amp;"#"&amp;COUNTIF($C$5:C3061,C3061))</f>
        <v/>
      </c>
    </row>
    <row r="3062">
      <c r="A3062" s="41" t="n"/>
      <c r="B3062" s="37" t="n"/>
      <c r="C3062" s="37" t="n"/>
      <c r="D3062" s="39" t="str">
        <f>IF(C3062="","",IFERROR(INDEX(art_des,MATCH(C3062,art_ref,0))&amp;"","Référence inconnue"))</f>
        <v/>
      </c>
      <c r="E3062" s="37" t="n"/>
      <c r="F3062" s="39" t="str">
        <f>IF(C3062="","",IFERROR(INDEX(art_unit,MATCH(C3062,art_ref,0))&amp;"",""))</f>
        <v/>
      </c>
      <c r="G3062" s="37" t="n"/>
      <c r="H3062" s="37" t="n"/>
      <c r="I3062" s="37" t="n"/>
      <c r="J3062" s="40" t="str">
        <f>IF(OR(C3062="",NOT(ISNUMBER(E3062))),"",IFERROR(E3062*N(INDEX(art_price,MATCH(C3062,art_ref,0))),""))</f>
        <v/>
      </c>
      <c r="K3062" s="39" t="str">
        <f>IF(OR(C3062="",NOT(ISNUMBER(E3062))),"",IFERROR(ROUND(N(INDEX(art_init,MATCH(C3062,art_ref,0)))+SUMIFS($E$5:E3062,$C$5:C3062,C3062,$B$5:B3062,"Entrée")-SUMIFS($E$5:E3062,$C$5:C3062,C3062,$B$5:B3062,"Sortie"),6),""))</f>
        <v/>
      </c>
      <c r="L3062" s="39" t="str">
        <f>IF(COUNTA(A3062:C3062,E3062)=0,"",IF(COUNTA(A3062:C3062,E3062)&lt;4,"Ligne incomplète",IF(NOT(ISNUMBER(A3062)),"Date invalide",IF(AND(B3062&lt;&gt;"Entrée",B3062&lt;&gt;"Sortie"),"Type inconnu",IF(ISNA(MATCH(C3062,art_ref,0)),"Référence inconnue",IF(OR(NOT(ISNUMBER(E3062)),N(E3062)&lt;=0),"Quantité invalide",IF(K3062&lt;0,"Stock négatif",IF(AND(ISNUMBER(A3061),A3062&lt;A3061),"Date hors ordre","OK"))))))))</f>
        <v/>
      </c>
      <c r="M3062" s="39" t="str">
        <f>IF(C3062="","",C3062&amp;"#"&amp;COUNTIF($C$5:C3062,C3062))</f>
        <v/>
      </c>
    </row>
    <row r="3063">
      <c r="A3063" s="41" t="n"/>
      <c r="B3063" s="37" t="n"/>
      <c r="C3063" s="37" t="n"/>
      <c r="D3063" s="39" t="str">
        <f>IF(C3063="","",IFERROR(INDEX(art_des,MATCH(C3063,art_ref,0))&amp;"","Référence inconnue"))</f>
        <v/>
      </c>
      <c r="E3063" s="37" t="n"/>
      <c r="F3063" s="39" t="str">
        <f>IF(C3063="","",IFERROR(INDEX(art_unit,MATCH(C3063,art_ref,0))&amp;"",""))</f>
        <v/>
      </c>
      <c r="G3063" s="37" t="n"/>
      <c r="H3063" s="37" t="n"/>
      <c r="I3063" s="37" t="n"/>
      <c r="J3063" s="40" t="str">
        <f>IF(OR(C3063="",NOT(ISNUMBER(E3063))),"",IFERROR(E3063*N(INDEX(art_price,MATCH(C3063,art_ref,0))),""))</f>
        <v/>
      </c>
      <c r="K3063" s="39" t="str">
        <f>IF(OR(C3063="",NOT(ISNUMBER(E3063))),"",IFERROR(ROUND(N(INDEX(art_init,MATCH(C3063,art_ref,0)))+SUMIFS($E$5:E3063,$C$5:C3063,C3063,$B$5:B3063,"Entrée")-SUMIFS($E$5:E3063,$C$5:C3063,C3063,$B$5:B3063,"Sortie"),6),""))</f>
        <v/>
      </c>
      <c r="L3063" s="39" t="str">
        <f>IF(COUNTA(A3063:C3063,E3063)=0,"",IF(COUNTA(A3063:C3063,E3063)&lt;4,"Ligne incomplète",IF(NOT(ISNUMBER(A3063)),"Date invalide",IF(AND(B3063&lt;&gt;"Entrée",B3063&lt;&gt;"Sortie"),"Type inconnu",IF(ISNA(MATCH(C3063,art_ref,0)),"Référence inconnue",IF(OR(NOT(ISNUMBER(E3063)),N(E3063)&lt;=0),"Quantité invalide",IF(K3063&lt;0,"Stock négatif",IF(AND(ISNUMBER(A3062),A3063&lt;A3062),"Date hors ordre","OK"))))))))</f>
        <v/>
      </c>
      <c r="M3063" s="39" t="str">
        <f>IF(C3063="","",C3063&amp;"#"&amp;COUNTIF($C$5:C3063,C3063))</f>
        <v/>
      </c>
    </row>
    <row r="3064">
      <c r="A3064" s="41" t="n"/>
      <c r="B3064" s="37" t="n"/>
      <c r="C3064" s="37" t="n"/>
      <c r="D3064" s="39" t="str">
        <f>IF(C3064="","",IFERROR(INDEX(art_des,MATCH(C3064,art_ref,0))&amp;"","Référence inconnue"))</f>
        <v/>
      </c>
      <c r="E3064" s="37" t="n"/>
      <c r="F3064" s="39" t="str">
        <f>IF(C3064="","",IFERROR(INDEX(art_unit,MATCH(C3064,art_ref,0))&amp;"",""))</f>
        <v/>
      </c>
      <c r="G3064" s="37" t="n"/>
      <c r="H3064" s="37" t="n"/>
      <c r="I3064" s="37" t="n"/>
      <c r="J3064" s="40" t="str">
        <f>IF(OR(C3064="",NOT(ISNUMBER(E3064))),"",IFERROR(E3064*N(INDEX(art_price,MATCH(C3064,art_ref,0))),""))</f>
        <v/>
      </c>
      <c r="K3064" s="39" t="str">
        <f>IF(OR(C3064="",NOT(ISNUMBER(E3064))),"",IFERROR(ROUND(N(INDEX(art_init,MATCH(C3064,art_ref,0)))+SUMIFS($E$5:E3064,$C$5:C3064,C3064,$B$5:B3064,"Entrée")-SUMIFS($E$5:E3064,$C$5:C3064,C3064,$B$5:B3064,"Sortie"),6),""))</f>
        <v/>
      </c>
      <c r="L3064" s="39" t="str">
        <f>IF(COUNTA(A3064:C3064,E3064)=0,"",IF(COUNTA(A3064:C3064,E3064)&lt;4,"Ligne incomplète",IF(NOT(ISNUMBER(A3064)),"Date invalide",IF(AND(B3064&lt;&gt;"Entrée",B3064&lt;&gt;"Sortie"),"Type inconnu",IF(ISNA(MATCH(C3064,art_ref,0)),"Référence inconnue",IF(OR(NOT(ISNUMBER(E3064)),N(E3064)&lt;=0),"Quantité invalide",IF(K3064&lt;0,"Stock négatif",IF(AND(ISNUMBER(A3063),A3064&lt;A3063),"Date hors ordre","OK"))))))))</f>
        <v/>
      </c>
      <c r="M3064" s="39" t="str">
        <f>IF(C3064="","",C3064&amp;"#"&amp;COUNTIF($C$5:C3064,C3064))</f>
        <v/>
      </c>
    </row>
    <row r="3065">
      <c r="A3065" s="41" t="n"/>
      <c r="B3065" s="37" t="n"/>
      <c r="C3065" s="37" t="n"/>
      <c r="D3065" s="39" t="str">
        <f>IF(C3065="","",IFERROR(INDEX(art_des,MATCH(C3065,art_ref,0))&amp;"","Référence inconnue"))</f>
        <v/>
      </c>
      <c r="E3065" s="37" t="n"/>
      <c r="F3065" s="39" t="str">
        <f>IF(C3065="","",IFERROR(INDEX(art_unit,MATCH(C3065,art_ref,0))&amp;"",""))</f>
        <v/>
      </c>
      <c r="G3065" s="37" t="n"/>
      <c r="H3065" s="37" t="n"/>
      <c r="I3065" s="37" t="n"/>
      <c r="J3065" s="40" t="str">
        <f>IF(OR(C3065="",NOT(ISNUMBER(E3065))),"",IFERROR(E3065*N(INDEX(art_price,MATCH(C3065,art_ref,0))),""))</f>
        <v/>
      </c>
      <c r="K3065" s="39" t="str">
        <f>IF(OR(C3065="",NOT(ISNUMBER(E3065))),"",IFERROR(ROUND(N(INDEX(art_init,MATCH(C3065,art_ref,0)))+SUMIFS($E$5:E3065,$C$5:C3065,C3065,$B$5:B3065,"Entrée")-SUMIFS($E$5:E3065,$C$5:C3065,C3065,$B$5:B3065,"Sortie"),6),""))</f>
        <v/>
      </c>
      <c r="L3065" s="39" t="str">
        <f>IF(COUNTA(A3065:C3065,E3065)=0,"",IF(COUNTA(A3065:C3065,E3065)&lt;4,"Ligne incomplète",IF(NOT(ISNUMBER(A3065)),"Date invalide",IF(AND(B3065&lt;&gt;"Entrée",B3065&lt;&gt;"Sortie"),"Type inconnu",IF(ISNA(MATCH(C3065,art_ref,0)),"Référence inconnue",IF(OR(NOT(ISNUMBER(E3065)),N(E3065)&lt;=0),"Quantité invalide",IF(K3065&lt;0,"Stock négatif",IF(AND(ISNUMBER(A3064),A3065&lt;A3064),"Date hors ordre","OK"))))))))</f>
        <v/>
      </c>
      <c r="M3065" s="39" t="str">
        <f>IF(C3065="","",C3065&amp;"#"&amp;COUNTIF($C$5:C3065,C3065))</f>
        <v/>
      </c>
    </row>
    <row r="3066">
      <c r="A3066" s="41" t="n"/>
      <c r="B3066" s="37" t="n"/>
      <c r="C3066" s="37" t="n"/>
      <c r="D3066" s="39" t="str">
        <f>IF(C3066="","",IFERROR(INDEX(art_des,MATCH(C3066,art_ref,0))&amp;"","Référence inconnue"))</f>
        <v/>
      </c>
      <c r="E3066" s="37" t="n"/>
      <c r="F3066" s="39" t="str">
        <f>IF(C3066="","",IFERROR(INDEX(art_unit,MATCH(C3066,art_ref,0))&amp;"",""))</f>
        <v/>
      </c>
      <c r="G3066" s="37" t="n"/>
      <c r="H3066" s="37" t="n"/>
      <c r="I3066" s="37" t="n"/>
      <c r="J3066" s="40" t="str">
        <f>IF(OR(C3066="",NOT(ISNUMBER(E3066))),"",IFERROR(E3066*N(INDEX(art_price,MATCH(C3066,art_ref,0))),""))</f>
        <v/>
      </c>
      <c r="K3066" s="39" t="str">
        <f>IF(OR(C3066="",NOT(ISNUMBER(E3066))),"",IFERROR(ROUND(N(INDEX(art_init,MATCH(C3066,art_ref,0)))+SUMIFS($E$5:E3066,$C$5:C3066,C3066,$B$5:B3066,"Entrée")-SUMIFS($E$5:E3066,$C$5:C3066,C3066,$B$5:B3066,"Sortie"),6),""))</f>
        <v/>
      </c>
      <c r="L3066" s="39" t="str">
        <f>IF(COUNTA(A3066:C3066,E3066)=0,"",IF(COUNTA(A3066:C3066,E3066)&lt;4,"Ligne incomplète",IF(NOT(ISNUMBER(A3066)),"Date invalide",IF(AND(B3066&lt;&gt;"Entrée",B3066&lt;&gt;"Sortie"),"Type inconnu",IF(ISNA(MATCH(C3066,art_ref,0)),"Référence inconnue",IF(OR(NOT(ISNUMBER(E3066)),N(E3066)&lt;=0),"Quantité invalide",IF(K3066&lt;0,"Stock négatif",IF(AND(ISNUMBER(A3065),A3066&lt;A3065),"Date hors ordre","OK"))))))))</f>
        <v/>
      </c>
      <c r="M3066" s="39" t="str">
        <f>IF(C3066="","",C3066&amp;"#"&amp;COUNTIF($C$5:C3066,C3066))</f>
        <v/>
      </c>
    </row>
    <row r="3067">
      <c r="A3067" s="41" t="n"/>
      <c r="B3067" s="37" t="n"/>
      <c r="C3067" s="37" t="n"/>
      <c r="D3067" s="39" t="str">
        <f>IF(C3067="","",IFERROR(INDEX(art_des,MATCH(C3067,art_ref,0))&amp;"","Référence inconnue"))</f>
        <v/>
      </c>
      <c r="E3067" s="37" t="n"/>
      <c r="F3067" s="39" t="str">
        <f>IF(C3067="","",IFERROR(INDEX(art_unit,MATCH(C3067,art_ref,0))&amp;"",""))</f>
        <v/>
      </c>
      <c r="G3067" s="37" t="n"/>
      <c r="H3067" s="37" t="n"/>
      <c r="I3067" s="37" t="n"/>
      <c r="J3067" s="40" t="str">
        <f>IF(OR(C3067="",NOT(ISNUMBER(E3067))),"",IFERROR(E3067*N(INDEX(art_price,MATCH(C3067,art_ref,0))),""))</f>
        <v/>
      </c>
      <c r="K3067" s="39" t="str">
        <f>IF(OR(C3067="",NOT(ISNUMBER(E3067))),"",IFERROR(ROUND(N(INDEX(art_init,MATCH(C3067,art_ref,0)))+SUMIFS($E$5:E3067,$C$5:C3067,C3067,$B$5:B3067,"Entrée")-SUMIFS($E$5:E3067,$C$5:C3067,C3067,$B$5:B3067,"Sortie"),6),""))</f>
        <v/>
      </c>
      <c r="L3067" s="39" t="str">
        <f>IF(COUNTA(A3067:C3067,E3067)=0,"",IF(COUNTA(A3067:C3067,E3067)&lt;4,"Ligne incomplète",IF(NOT(ISNUMBER(A3067)),"Date invalide",IF(AND(B3067&lt;&gt;"Entrée",B3067&lt;&gt;"Sortie"),"Type inconnu",IF(ISNA(MATCH(C3067,art_ref,0)),"Référence inconnue",IF(OR(NOT(ISNUMBER(E3067)),N(E3067)&lt;=0),"Quantité invalide",IF(K3067&lt;0,"Stock négatif",IF(AND(ISNUMBER(A3066),A3067&lt;A3066),"Date hors ordre","OK"))))))))</f>
        <v/>
      </c>
      <c r="M3067" s="39" t="str">
        <f>IF(C3067="","",C3067&amp;"#"&amp;COUNTIF($C$5:C3067,C3067))</f>
        <v/>
      </c>
    </row>
    <row r="3068">
      <c r="A3068" s="41" t="n"/>
      <c r="B3068" s="37" t="n"/>
      <c r="C3068" s="37" t="n"/>
      <c r="D3068" s="39" t="str">
        <f>IF(C3068="","",IFERROR(INDEX(art_des,MATCH(C3068,art_ref,0))&amp;"","Référence inconnue"))</f>
        <v/>
      </c>
      <c r="E3068" s="37" t="n"/>
      <c r="F3068" s="39" t="str">
        <f>IF(C3068="","",IFERROR(INDEX(art_unit,MATCH(C3068,art_ref,0))&amp;"",""))</f>
        <v/>
      </c>
      <c r="G3068" s="37" t="n"/>
      <c r="H3068" s="37" t="n"/>
      <c r="I3068" s="37" t="n"/>
      <c r="J3068" s="40" t="str">
        <f>IF(OR(C3068="",NOT(ISNUMBER(E3068))),"",IFERROR(E3068*N(INDEX(art_price,MATCH(C3068,art_ref,0))),""))</f>
        <v/>
      </c>
      <c r="K3068" s="39" t="str">
        <f>IF(OR(C3068="",NOT(ISNUMBER(E3068))),"",IFERROR(ROUND(N(INDEX(art_init,MATCH(C3068,art_ref,0)))+SUMIFS($E$5:E3068,$C$5:C3068,C3068,$B$5:B3068,"Entrée")-SUMIFS($E$5:E3068,$C$5:C3068,C3068,$B$5:B3068,"Sortie"),6),""))</f>
        <v/>
      </c>
      <c r="L3068" s="39" t="str">
        <f>IF(COUNTA(A3068:C3068,E3068)=0,"",IF(COUNTA(A3068:C3068,E3068)&lt;4,"Ligne incomplète",IF(NOT(ISNUMBER(A3068)),"Date invalide",IF(AND(B3068&lt;&gt;"Entrée",B3068&lt;&gt;"Sortie"),"Type inconnu",IF(ISNA(MATCH(C3068,art_ref,0)),"Référence inconnue",IF(OR(NOT(ISNUMBER(E3068)),N(E3068)&lt;=0),"Quantité invalide",IF(K3068&lt;0,"Stock négatif",IF(AND(ISNUMBER(A3067),A3068&lt;A3067),"Date hors ordre","OK"))))))))</f>
        <v/>
      </c>
      <c r="M3068" s="39" t="str">
        <f>IF(C3068="","",C3068&amp;"#"&amp;COUNTIF($C$5:C3068,C3068))</f>
        <v/>
      </c>
    </row>
    <row r="3069">
      <c r="A3069" s="41" t="n"/>
      <c r="B3069" s="37" t="n"/>
      <c r="C3069" s="37" t="n"/>
      <c r="D3069" s="39" t="str">
        <f>IF(C3069="","",IFERROR(INDEX(art_des,MATCH(C3069,art_ref,0))&amp;"","Référence inconnue"))</f>
        <v/>
      </c>
      <c r="E3069" s="37" t="n"/>
      <c r="F3069" s="39" t="str">
        <f>IF(C3069="","",IFERROR(INDEX(art_unit,MATCH(C3069,art_ref,0))&amp;"",""))</f>
        <v/>
      </c>
      <c r="G3069" s="37" t="n"/>
      <c r="H3069" s="37" t="n"/>
      <c r="I3069" s="37" t="n"/>
      <c r="J3069" s="40" t="str">
        <f>IF(OR(C3069="",NOT(ISNUMBER(E3069))),"",IFERROR(E3069*N(INDEX(art_price,MATCH(C3069,art_ref,0))),""))</f>
        <v/>
      </c>
      <c r="K3069" s="39" t="str">
        <f>IF(OR(C3069="",NOT(ISNUMBER(E3069))),"",IFERROR(ROUND(N(INDEX(art_init,MATCH(C3069,art_ref,0)))+SUMIFS($E$5:E3069,$C$5:C3069,C3069,$B$5:B3069,"Entrée")-SUMIFS($E$5:E3069,$C$5:C3069,C3069,$B$5:B3069,"Sortie"),6),""))</f>
        <v/>
      </c>
      <c r="L3069" s="39" t="str">
        <f>IF(COUNTA(A3069:C3069,E3069)=0,"",IF(COUNTA(A3069:C3069,E3069)&lt;4,"Ligne incomplète",IF(NOT(ISNUMBER(A3069)),"Date invalide",IF(AND(B3069&lt;&gt;"Entrée",B3069&lt;&gt;"Sortie"),"Type inconnu",IF(ISNA(MATCH(C3069,art_ref,0)),"Référence inconnue",IF(OR(NOT(ISNUMBER(E3069)),N(E3069)&lt;=0),"Quantité invalide",IF(K3069&lt;0,"Stock négatif",IF(AND(ISNUMBER(A3068),A3069&lt;A3068),"Date hors ordre","OK"))))))))</f>
        <v/>
      </c>
      <c r="M3069" s="39" t="str">
        <f>IF(C3069="","",C3069&amp;"#"&amp;COUNTIF($C$5:C3069,C3069))</f>
        <v/>
      </c>
    </row>
    <row r="3070">
      <c r="A3070" s="41" t="n"/>
      <c r="B3070" s="37" t="n"/>
      <c r="C3070" s="37" t="n"/>
      <c r="D3070" s="39" t="str">
        <f>IF(C3070="","",IFERROR(INDEX(art_des,MATCH(C3070,art_ref,0))&amp;"","Référence inconnue"))</f>
        <v/>
      </c>
      <c r="E3070" s="37" t="n"/>
      <c r="F3070" s="39" t="str">
        <f>IF(C3070="","",IFERROR(INDEX(art_unit,MATCH(C3070,art_ref,0))&amp;"",""))</f>
        <v/>
      </c>
      <c r="G3070" s="37" t="n"/>
      <c r="H3070" s="37" t="n"/>
      <c r="I3070" s="37" t="n"/>
      <c r="J3070" s="40" t="str">
        <f>IF(OR(C3070="",NOT(ISNUMBER(E3070))),"",IFERROR(E3070*N(INDEX(art_price,MATCH(C3070,art_ref,0))),""))</f>
        <v/>
      </c>
      <c r="K3070" s="39" t="str">
        <f>IF(OR(C3070="",NOT(ISNUMBER(E3070))),"",IFERROR(ROUND(N(INDEX(art_init,MATCH(C3070,art_ref,0)))+SUMIFS($E$5:E3070,$C$5:C3070,C3070,$B$5:B3070,"Entrée")-SUMIFS($E$5:E3070,$C$5:C3070,C3070,$B$5:B3070,"Sortie"),6),""))</f>
        <v/>
      </c>
      <c r="L3070" s="39" t="str">
        <f>IF(COUNTA(A3070:C3070,E3070)=0,"",IF(COUNTA(A3070:C3070,E3070)&lt;4,"Ligne incomplète",IF(NOT(ISNUMBER(A3070)),"Date invalide",IF(AND(B3070&lt;&gt;"Entrée",B3070&lt;&gt;"Sortie"),"Type inconnu",IF(ISNA(MATCH(C3070,art_ref,0)),"Référence inconnue",IF(OR(NOT(ISNUMBER(E3070)),N(E3070)&lt;=0),"Quantité invalide",IF(K3070&lt;0,"Stock négatif",IF(AND(ISNUMBER(A3069),A3070&lt;A3069),"Date hors ordre","OK"))))))))</f>
        <v/>
      </c>
      <c r="M3070" s="39" t="str">
        <f>IF(C3070="","",C3070&amp;"#"&amp;COUNTIF($C$5:C3070,C3070))</f>
        <v/>
      </c>
    </row>
    <row r="3071">
      <c r="A3071" s="41" t="n"/>
      <c r="B3071" s="37" t="n"/>
      <c r="C3071" s="37" t="n"/>
      <c r="D3071" s="39" t="str">
        <f>IF(C3071="","",IFERROR(INDEX(art_des,MATCH(C3071,art_ref,0))&amp;"","Référence inconnue"))</f>
        <v/>
      </c>
      <c r="E3071" s="37" t="n"/>
      <c r="F3071" s="39" t="str">
        <f>IF(C3071="","",IFERROR(INDEX(art_unit,MATCH(C3071,art_ref,0))&amp;"",""))</f>
        <v/>
      </c>
      <c r="G3071" s="37" t="n"/>
      <c r="H3071" s="37" t="n"/>
      <c r="I3071" s="37" t="n"/>
      <c r="J3071" s="40" t="str">
        <f>IF(OR(C3071="",NOT(ISNUMBER(E3071))),"",IFERROR(E3071*N(INDEX(art_price,MATCH(C3071,art_ref,0))),""))</f>
        <v/>
      </c>
      <c r="K3071" s="39" t="str">
        <f>IF(OR(C3071="",NOT(ISNUMBER(E3071))),"",IFERROR(ROUND(N(INDEX(art_init,MATCH(C3071,art_ref,0)))+SUMIFS($E$5:E3071,$C$5:C3071,C3071,$B$5:B3071,"Entrée")-SUMIFS($E$5:E3071,$C$5:C3071,C3071,$B$5:B3071,"Sortie"),6),""))</f>
        <v/>
      </c>
      <c r="L3071" s="39" t="str">
        <f>IF(COUNTA(A3071:C3071,E3071)=0,"",IF(COUNTA(A3071:C3071,E3071)&lt;4,"Ligne incomplète",IF(NOT(ISNUMBER(A3071)),"Date invalide",IF(AND(B3071&lt;&gt;"Entrée",B3071&lt;&gt;"Sortie"),"Type inconnu",IF(ISNA(MATCH(C3071,art_ref,0)),"Référence inconnue",IF(OR(NOT(ISNUMBER(E3071)),N(E3071)&lt;=0),"Quantité invalide",IF(K3071&lt;0,"Stock négatif",IF(AND(ISNUMBER(A3070),A3071&lt;A3070),"Date hors ordre","OK"))))))))</f>
        <v/>
      </c>
      <c r="M3071" s="39" t="str">
        <f>IF(C3071="","",C3071&amp;"#"&amp;COUNTIF($C$5:C3071,C3071))</f>
        <v/>
      </c>
    </row>
    <row r="3072">
      <c r="A3072" s="41" t="n"/>
      <c r="B3072" s="37" t="n"/>
      <c r="C3072" s="37" t="n"/>
      <c r="D3072" s="39" t="str">
        <f>IF(C3072="","",IFERROR(INDEX(art_des,MATCH(C3072,art_ref,0))&amp;"","Référence inconnue"))</f>
        <v/>
      </c>
      <c r="E3072" s="37" t="n"/>
      <c r="F3072" s="39" t="str">
        <f>IF(C3072="","",IFERROR(INDEX(art_unit,MATCH(C3072,art_ref,0))&amp;"",""))</f>
        <v/>
      </c>
      <c r="G3072" s="37" t="n"/>
      <c r="H3072" s="37" t="n"/>
      <c r="I3072" s="37" t="n"/>
      <c r="J3072" s="40" t="str">
        <f>IF(OR(C3072="",NOT(ISNUMBER(E3072))),"",IFERROR(E3072*N(INDEX(art_price,MATCH(C3072,art_ref,0))),""))</f>
        <v/>
      </c>
      <c r="K3072" s="39" t="str">
        <f>IF(OR(C3072="",NOT(ISNUMBER(E3072))),"",IFERROR(ROUND(N(INDEX(art_init,MATCH(C3072,art_ref,0)))+SUMIFS($E$5:E3072,$C$5:C3072,C3072,$B$5:B3072,"Entrée")-SUMIFS($E$5:E3072,$C$5:C3072,C3072,$B$5:B3072,"Sortie"),6),""))</f>
        <v/>
      </c>
      <c r="L3072" s="39" t="str">
        <f>IF(COUNTA(A3072:C3072,E3072)=0,"",IF(COUNTA(A3072:C3072,E3072)&lt;4,"Ligne incomplète",IF(NOT(ISNUMBER(A3072)),"Date invalide",IF(AND(B3072&lt;&gt;"Entrée",B3072&lt;&gt;"Sortie"),"Type inconnu",IF(ISNA(MATCH(C3072,art_ref,0)),"Référence inconnue",IF(OR(NOT(ISNUMBER(E3072)),N(E3072)&lt;=0),"Quantité invalide",IF(K3072&lt;0,"Stock négatif",IF(AND(ISNUMBER(A3071),A3072&lt;A3071),"Date hors ordre","OK"))))))))</f>
        <v/>
      </c>
      <c r="M3072" s="39" t="str">
        <f>IF(C3072="","",C3072&amp;"#"&amp;COUNTIF($C$5:C3072,C3072))</f>
        <v/>
      </c>
    </row>
    <row r="3073">
      <c r="A3073" s="41" t="n"/>
      <c r="B3073" s="37" t="n"/>
      <c r="C3073" s="37" t="n"/>
      <c r="D3073" s="39" t="str">
        <f>IF(C3073="","",IFERROR(INDEX(art_des,MATCH(C3073,art_ref,0))&amp;"","Référence inconnue"))</f>
        <v/>
      </c>
      <c r="E3073" s="37" t="n"/>
      <c r="F3073" s="39" t="str">
        <f>IF(C3073="","",IFERROR(INDEX(art_unit,MATCH(C3073,art_ref,0))&amp;"",""))</f>
        <v/>
      </c>
      <c r="G3073" s="37" t="n"/>
      <c r="H3073" s="37" t="n"/>
      <c r="I3073" s="37" t="n"/>
      <c r="J3073" s="40" t="str">
        <f>IF(OR(C3073="",NOT(ISNUMBER(E3073))),"",IFERROR(E3073*N(INDEX(art_price,MATCH(C3073,art_ref,0))),""))</f>
        <v/>
      </c>
      <c r="K3073" s="39" t="str">
        <f>IF(OR(C3073="",NOT(ISNUMBER(E3073))),"",IFERROR(ROUND(N(INDEX(art_init,MATCH(C3073,art_ref,0)))+SUMIFS($E$5:E3073,$C$5:C3073,C3073,$B$5:B3073,"Entrée")-SUMIFS($E$5:E3073,$C$5:C3073,C3073,$B$5:B3073,"Sortie"),6),""))</f>
        <v/>
      </c>
      <c r="L3073" s="39" t="str">
        <f>IF(COUNTA(A3073:C3073,E3073)=0,"",IF(COUNTA(A3073:C3073,E3073)&lt;4,"Ligne incomplète",IF(NOT(ISNUMBER(A3073)),"Date invalide",IF(AND(B3073&lt;&gt;"Entrée",B3073&lt;&gt;"Sortie"),"Type inconnu",IF(ISNA(MATCH(C3073,art_ref,0)),"Référence inconnue",IF(OR(NOT(ISNUMBER(E3073)),N(E3073)&lt;=0),"Quantité invalide",IF(K3073&lt;0,"Stock négatif",IF(AND(ISNUMBER(A3072),A3073&lt;A3072),"Date hors ordre","OK"))))))))</f>
        <v/>
      </c>
      <c r="M3073" s="39" t="str">
        <f>IF(C3073="","",C3073&amp;"#"&amp;COUNTIF($C$5:C3073,C3073))</f>
        <v/>
      </c>
    </row>
    <row r="3074">
      <c r="A3074" s="41" t="n"/>
      <c r="B3074" s="37" t="n"/>
      <c r="C3074" s="37" t="n"/>
      <c r="D3074" s="39" t="str">
        <f>IF(C3074="","",IFERROR(INDEX(art_des,MATCH(C3074,art_ref,0))&amp;"","Référence inconnue"))</f>
        <v/>
      </c>
      <c r="E3074" s="37" t="n"/>
      <c r="F3074" s="39" t="str">
        <f>IF(C3074="","",IFERROR(INDEX(art_unit,MATCH(C3074,art_ref,0))&amp;"",""))</f>
        <v/>
      </c>
      <c r="G3074" s="37" t="n"/>
      <c r="H3074" s="37" t="n"/>
      <c r="I3074" s="37" t="n"/>
      <c r="J3074" s="40" t="str">
        <f>IF(OR(C3074="",NOT(ISNUMBER(E3074))),"",IFERROR(E3074*N(INDEX(art_price,MATCH(C3074,art_ref,0))),""))</f>
        <v/>
      </c>
      <c r="K3074" s="39" t="str">
        <f>IF(OR(C3074="",NOT(ISNUMBER(E3074))),"",IFERROR(ROUND(N(INDEX(art_init,MATCH(C3074,art_ref,0)))+SUMIFS($E$5:E3074,$C$5:C3074,C3074,$B$5:B3074,"Entrée")-SUMIFS($E$5:E3074,$C$5:C3074,C3074,$B$5:B3074,"Sortie"),6),""))</f>
        <v/>
      </c>
      <c r="L3074" s="39" t="str">
        <f>IF(COUNTA(A3074:C3074,E3074)=0,"",IF(COUNTA(A3074:C3074,E3074)&lt;4,"Ligne incomplète",IF(NOT(ISNUMBER(A3074)),"Date invalide",IF(AND(B3074&lt;&gt;"Entrée",B3074&lt;&gt;"Sortie"),"Type inconnu",IF(ISNA(MATCH(C3074,art_ref,0)),"Référence inconnue",IF(OR(NOT(ISNUMBER(E3074)),N(E3074)&lt;=0),"Quantité invalide",IF(K3074&lt;0,"Stock négatif",IF(AND(ISNUMBER(A3073),A3074&lt;A3073),"Date hors ordre","OK"))))))))</f>
        <v/>
      </c>
      <c r="M3074" s="39" t="str">
        <f>IF(C3074="","",C3074&amp;"#"&amp;COUNTIF($C$5:C3074,C3074))</f>
        <v/>
      </c>
    </row>
    <row r="3075">
      <c r="A3075" s="41" t="n"/>
      <c r="B3075" s="37" t="n"/>
      <c r="C3075" s="37" t="n"/>
      <c r="D3075" s="39" t="str">
        <f>IF(C3075="","",IFERROR(INDEX(art_des,MATCH(C3075,art_ref,0))&amp;"","Référence inconnue"))</f>
        <v/>
      </c>
      <c r="E3075" s="37" t="n"/>
      <c r="F3075" s="39" t="str">
        <f>IF(C3075="","",IFERROR(INDEX(art_unit,MATCH(C3075,art_ref,0))&amp;"",""))</f>
        <v/>
      </c>
      <c r="G3075" s="37" t="n"/>
      <c r="H3075" s="37" t="n"/>
      <c r="I3075" s="37" t="n"/>
      <c r="J3075" s="40" t="str">
        <f>IF(OR(C3075="",NOT(ISNUMBER(E3075))),"",IFERROR(E3075*N(INDEX(art_price,MATCH(C3075,art_ref,0))),""))</f>
        <v/>
      </c>
      <c r="K3075" s="39" t="str">
        <f>IF(OR(C3075="",NOT(ISNUMBER(E3075))),"",IFERROR(ROUND(N(INDEX(art_init,MATCH(C3075,art_ref,0)))+SUMIFS($E$5:E3075,$C$5:C3075,C3075,$B$5:B3075,"Entrée")-SUMIFS($E$5:E3075,$C$5:C3075,C3075,$B$5:B3075,"Sortie"),6),""))</f>
        <v/>
      </c>
      <c r="L3075" s="39" t="str">
        <f>IF(COUNTA(A3075:C3075,E3075)=0,"",IF(COUNTA(A3075:C3075,E3075)&lt;4,"Ligne incomplète",IF(NOT(ISNUMBER(A3075)),"Date invalide",IF(AND(B3075&lt;&gt;"Entrée",B3075&lt;&gt;"Sortie"),"Type inconnu",IF(ISNA(MATCH(C3075,art_ref,0)),"Référence inconnue",IF(OR(NOT(ISNUMBER(E3075)),N(E3075)&lt;=0),"Quantité invalide",IF(K3075&lt;0,"Stock négatif",IF(AND(ISNUMBER(A3074),A3075&lt;A3074),"Date hors ordre","OK"))))))))</f>
        <v/>
      </c>
      <c r="M3075" s="39" t="str">
        <f>IF(C3075="","",C3075&amp;"#"&amp;COUNTIF($C$5:C3075,C3075))</f>
        <v/>
      </c>
    </row>
    <row r="3076">
      <c r="A3076" s="41" t="n"/>
      <c r="B3076" s="37" t="n"/>
      <c r="C3076" s="37" t="n"/>
      <c r="D3076" s="39" t="str">
        <f>IF(C3076="","",IFERROR(INDEX(art_des,MATCH(C3076,art_ref,0))&amp;"","Référence inconnue"))</f>
        <v/>
      </c>
      <c r="E3076" s="37" t="n"/>
      <c r="F3076" s="39" t="str">
        <f>IF(C3076="","",IFERROR(INDEX(art_unit,MATCH(C3076,art_ref,0))&amp;"",""))</f>
        <v/>
      </c>
      <c r="G3076" s="37" t="n"/>
      <c r="H3076" s="37" t="n"/>
      <c r="I3076" s="37" t="n"/>
      <c r="J3076" s="40" t="str">
        <f>IF(OR(C3076="",NOT(ISNUMBER(E3076))),"",IFERROR(E3076*N(INDEX(art_price,MATCH(C3076,art_ref,0))),""))</f>
        <v/>
      </c>
      <c r="K3076" s="39" t="str">
        <f>IF(OR(C3076="",NOT(ISNUMBER(E3076))),"",IFERROR(ROUND(N(INDEX(art_init,MATCH(C3076,art_ref,0)))+SUMIFS($E$5:E3076,$C$5:C3076,C3076,$B$5:B3076,"Entrée")-SUMIFS($E$5:E3076,$C$5:C3076,C3076,$B$5:B3076,"Sortie"),6),""))</f>
        <v/>
      </c>
      <c r="L3076" s="39" t="str">
        <f>IF(COUNTA(A3076:C3076,E3076)=0,"",IF(COUNTA(A3076:C3076,E3076)&lt;4,"Ligne incomplète",IF(NOT(ISNUMBER(A3076)),"Date invalide",IF(AND(B3076&lt;&gt;"Entrée",B3076&lt;&gt;"Sortie"),"Type inconnu",IF(ISNA(MATCH(C3076,art_ref,0)),"Référence inconnue",IF(OR(NOT(ISNUMBER(E3076)),N(E3076)&lt;=0),"Quantité invalide",IF(K3076&lt;0,"Stock négatif",IF(AND(ISNUMBER(A3075),A3076&lt;A3075),"Date hors ordre","OK"))))))))</f>
        <v/>
      </c>
      <c r="M3076" s="39" t="str">
        <f>IF(C3076="","",C3076&amp;"#"&amp;COUNTIF($C$5:C3076,C3076))</f>
        <v/>
      </c>
    </row>
    <row r="3077">
      <c r="A3077" s="41" t="n"/>
      <c r="B3077" s="37" t="n"/>
      <c r="C3077" s="37" t="n"/>
      <c r="D3077" s="39" t="str">
        <f>IF(C3077="","",IFERROR(INDEX(art_des,MATCH(C3077,art_ref,0))&amp;"","Référence inconnue"))</f>
        <v/>
      </c>
      <c r="E3077" s="37" t="n"/>
      <c r="F3077" s="39" t="str">
        <f>IF(C3077="","",IFERROR(INDEX(art_unit,MATCH(C3077,art_ref,0))&amp;"",""))</f>
        <v/>
      </c>
      <c r="G3077" s="37" t="n"/>
      <c r="H3077" s="37" t="n"/>
      <c r="I3077" s="37" t="n"/>
      <c r="J3077" s="40" t="str">
        <f>IF(OR(C3077="",NOT(ISNUMBER(E3077))),"",IFERROR(E3077*N(INDEX(art_price,MATCH(C3077,art_ref,0))),""))</f>
        <v/>
      </c>
      <c r="K3077" s="39" t="str">
        <f>IF(OR(C3077="",NOT(ISNUMBER(E3077))),"",IFERROR(ROUND(N(INDEX(art_init,MATCH(C3077,art_ref,0)))+SUMIFS($E$5:E3077,$C$5:C3077,C3077,$B$5:B3077,"Entrée")-SUMIFS($E$5:E3077,$C$5:C3077,C3077,$B$5:B3077,"Sortie"),6),""))</f>
        <v/>
      </c>
      <c r="L3077" s="39" t="str">
        <f>IF(COUNTA(A3077:C3077,E3077)=0,"",IF(COUNTA(A3077:C3077,E3077)&lt;4,"Ligne incomplète",IF(NOT(ISNUMBER(A3077)),"Date invalide",IF(AND(B3077&lt;&gt;"Entrée",B3077&lt;&gt;"Sortie"),"Type inconnu",IF(ISNA(MATCH(C3077,art_ref,0)),"Référence inconnue",IF(OR(NOT(ISNUMBER(E3077)),N(E3077)&lt;=0),"Quantité invalide",IF(K3077&lt;0,"Stock négatif",IF(AND(ISNUMBER(A3076),A3077&lt;A3076),"Date hors ordre","OK"))))))))</f>
        <v/>
      </c>
      <c r="M3077" s="39" t="str">
        <f>IF(C3077="","",C3077&amp;"#"&amp;COUNTIF($C$5:C3077,C3077))</f>
        <v/>
      </c>
    </row>
    <row r="3078">
      <c r="A3078" s="41" t="n"/>
      <c r="B3078" s="37" t="n"/>
      <c r="C3078" s="37" t="n"/>
      <c r="D3078" s="39" t="str">
        <f>IF(C3078="","",IFERROR(INDEX(art_des,MATCH(C3078,art_ref,0))&amp;"","Référence inconnue"))</f>
        <v/>
      </c>
      <c r="E3078" s="37" t="n"/>
      <c r="F3078" s="39" t="str">
        <f>IF(C3078="","",IFERROR(INDEX(art_unit,MATCH(C3078,art_ref,0))&amp;"",""))</f>
        <v/>
      </c>
      <c r="G3078" s="37" t="n"/>
      <c r="H3078" s="37" t="n"/>
      <c r="I3078" s="37" t="n"/>
      <c r="J3078" s="40" t="str">
        <f>IF(OR(C3078="",NOT(ISNUMBER(E3078))),"",IFERROR(E3078*N(INDEX(art_price,MATCH(C3078,art_ref,0))),""))</f>
        <v/>
      </c>
      <c r="K3078" s="39" t="str">
        <f>IF(OR(C3078="",NOT(ISNUMBER(E3078))),"",IFERROR(ROUND(N(INDEX(art_init,MATCH(C3078,art_ref,0)))+SUMIFS($E$5:E3078,$C$5:C3078,C3078,$B$5:B3078,"Entrée")-SUMIFS($E$5:E3078,$C$5:C3078,C3078,$B$5:B3078,"Sortie"),6),""))</f>
        <v/>
      </c>
      <c r="L3078" s="39" t="str">
        <f>IF(COUNTA(A3078:C3078,E3078)=0,"",IF(COUNTA(A3078:C3078,E3078)&lt;4,"Ligne incomplète",IF(NOT(ISNUMBER(A3078)),"Date invalide",IF(AND(B3078&lt;&gt;"Entrée",B3078&lt;&gt;"Sortie"),"Type inconnu",IF(ISNA(MATCH(C3078,art_ref,0)),"Référence inconnue",IF(OR(NOT(ISNUMBER(E3078)),N(E3078)&lt;=0),"Quantité invalide",IF(K3078&lt;0,"Stock négatif",IF(AND(ISNUMBER(A3077),A3078&lt;A3077),"Date hors ordre","OK"))))))))</f>
        <v/>
      </c>
      <c r="M3078" s="39" t="str">
        <f>IF(C3078="","",C3078&amp;"#"&amp;COUNTIF($C$5:C3078,C3078))</f>
        <v/>
      </c>
    </row>
    <row r="3079">
      <c r="A3079" s="41" t="n"/>
      <c r="B3079" s="37" t="n"/>
      <c r="C3079" s="37" t="n"/>
      <c r="D3079" s="39" t="str">
        <f>IF(C3079="","",IFERROR(INDEX(art_des,MATCH(C3079,art_ref,0))&amp;"","Référence inconnue"))</f>
        <v/>
      </c>
      <c r="E3079" s="37" t="n"/>
      <c r="F3079" s="39" t="str">
        <f>IF(C3079="","",IFERROR(INDEX(art_unit,MATCH(C3079,art_ref,0))&amp;"",""))</f>
        <v/>
      </c>
      <c r="G3079" s="37" t="n"/>
      <c r="H3079" s="37" t="n"/>
      <c r="I3079" s="37" t="n"/>
      <c r="J3079" s="40" t="str">
        <f>IF(OR(C3079="",NOT(ISNUMBER(E3079))),"",IFERROR(E3079*N(INDEX(art_price,MATCH(C3079,art_ref,0))),""))</f>
        <v/>
      </c>
      <c r="K3079" s="39" t="str">
        <f>IF(OR(C3079="",NOT(ISNUMBER(E3079))),"",IFERROR(ROUND(N(INDEX(art_init,MATCH(C3079,art_ref,0)))+SUMIFS($E$5:E3079,$C$5:C3079,C3079,$B$5:B3079,"Entrée")-SUMIFS($E$5:E3079,$C$5:C3079,C3079,$B$5:B3079,"Sortie"),6),""))</f>
        <v/>
      </c>
      <c r="L3079" s="39" t="str">
        <f>IF(COUNTA(A3079:C3079,E3079)=0,"",IF(COUNTA(A3079:C3079,E3079)&lt;4,"Ligne incomplète",IF(NOT(ISNUMBER(A3079)),"Date invalide",IF(AND(B3079&lt;&gt;"Entrée",B3079&lt;&gt;"Sortie"),"Type inconnu",IF(ISNA(MATCH(C3079,art_ref,0)),"Référence inconnue",IF(OR(NOT(ISNUMBER(E3079)),N(E3079)&lt;=0),"Quantité invalide",IF(K3079&lt;0,"Stock négatif",IF(AND(ISNUMBER(A3078),A3079&lt;A3078),"Date hors ordre","OK"))))))))</f>
        <v/>
      </c>
      <c r="M3079" s="39" t="str">
        <f>IF(C3079="","",C3079&amp;"#"&amp;COUNTIF($C$5:C3079,C3079))</f>
        <v/>
      </c>
    </row>
    <row r="3080">
      <c r="A3080" s="41" t="n"/>
      <c r="B3080" s="37" t="n"/>
      <c r="C3080" s="37" t="n"/>
      <c r="D3080" s="39" t="str">
        <f>IF(C3080="","",IFERROR(INDEX(art_des,MATCH(C3080,art_ref,0))&amp;"","Référence inconnue"))</f>
        <v/>
      </c>
      <c r="E3080" s="37" t="n"/>
      <c r="F3080" s="39" t="str">
        <f>IF(C3080="","",IFERROR(INDEX(art_unit,MATCH(C3080,art_ref,0))&amp;"",""))</f>
        <v/>
      </c>
      <c r="G3080" s="37" t="n"/>
      <c r="H3080" s="37" t="n"/>
      <c r="I3080" s="37" t="n"/>
      <c r="J3080" s="40" t="str">
        <f>IF(OR(C3080="",NOT(ISNUMBER(E3080))),"",IFERROR(E3080*N(INDEX(art_price,MATCH(C3080,art_ref,0))),""))</f>
        <v/>
      </c>
      <c r="K3080" s="39" t="str">
        <f>IF(OR(C3080="",NOT(ISNUMBER(E3080))),"",IFERROR(ROUND(N(INDEX(art_init,MATCH(C3080,art_ref,0)))+SUMIFS($E$5:E3080,$C$5:C3080,C3080,$B$5:B3080,"Entrée")-SUMIFS($E$5:E3080,$C$5:C3080,C3080,$B$5:B3080,"Sortie"),6),""))</f>
        <v/>
      </c>
      <c r="L3080" s="39" t="str">
        <f>IF(COUNTA(A3080:C3080,E3080)=0,"",IF(COUNTA(A3080:C3080,E3080)&lt;4,"Ligne incomplète",IF(NOT(ISNUMBER(A3080)),"Date invalide",IF(AND(B3080&lt;&gt;"Entrée",B3080&lt;&gt;"Sortie"),"Type inconnu",IF(ISNA(MATCH(C3080,art_ref,0)),"Référence inconnue",IF(OR(NOT(ISNUMBER(E3080)),N(E3080)&lt;=0),"Quantité invalide",IF(K3080&lt;0,"Stock négatif",IF(AND(ISNUMBER(A3079),A3080&lt;A3079),"Date hors ordre","OK"))))))))</f>
        <v/>
      </c>
      <c r="M3080" s="39" t="str">
        <f>IF(C3080="","",C3080&amp;"#"&amp;COUNTIF($C$5:C3080,C3080))</f>
        <v/>
      </c>
    </row>
    <row r="3081">
      <c r="A3081" s="41" t="n"/>
      <c r="B3081" s="37" t="n"/>
      <c r="C3081" s="37" t="n"/>
      <c r="D3081" s="39" t="str">
        <f>IF(C3081="","",IFERROR(INDEX(art_des,MATCH(C3081,art_ref,0))&amp;"","Référence inconnue"))</f>
        <v/>
      </c>
      <c r="E3081" s="37" t="n"/>
      <c r="F3081" s="39" t="str">
        <f>IF(C3081="","",IFERROR(INDEX(art_unit,MATCH(C3081,art_ref,0))&amp;"",""))</f>
        <v/>
      </c>
      <c r="G3081" s="37" t="n"/>
      <c r="H3081" s="37" t="n"/>
      <c r="I3081" s="37" t="n"/>
      <c r="J3081" s="40" t="str">
        <f>IF(OR(C3081="",NOT(ISNUMBER(E3081))),"",IFERROR(E3081*N(INDEX(art_price,MATCH(C3081,art_ref,0))),""))</f>
        <v/>
      </c>
      <c r="K3081" s="39" t="str">
        <f>IF(OR(C3081="",NOT(ISNUMBER(E3081))),"",IFERROR(ROUND(N(INDEX(art_init,MATCH(C3081,art_ref,0)))+SUMIFS($E$5:E3081,$C$5:C3081,C3081,$B$5:B3081,"Entrée")-SUMIFS($E$5:E3081,$C$5:C3081,C3081,$B$5:B3081,"Sortie"),6),""))</f>
        <v/>
      </c>
      <c r="L3081" s="39" t="str">
        <f>IF(COUNTA(A3081:C3081,E3081)=0,"",IF(COUNTA(A3081:C3081,E3081)&lt;4,"Ligne incomplète",IF(NOT(ISNUMBER(A3081)),"Date invalide",IF(AND(B3081&lt;&gt;"Entrée",B3081&lt;&gt;"Sortie"),"Type inconnu",IF(ISNA(MATCH(C3081,art_ref,0)),"Référence inconnue",IF(OR(NOT(ISNUMBER(E3081)),N(E3081)&lt;=0),"Quantité invalide",IF(K3081&lt;0,"Stock négatif",IF(AND(ISNUMBER(A3080),A3081&lt;A3080),"Date hors ordre","OK"))))))))</f>
        <v/>
      </c>
      <c r="M3081" s="39" t="str">
        <f>IF(C3081="","",C3081&amp;"#"&amp;COUNTIF($C$5:C3081,C3081))</f>
        <v/>
      </c>
    </row>
    <row r="3082">
      <c r="A3082" s="41" t="n"/>
      <c r="B3082" s="37" t="n"/>
      <c r="C3082" s="37" t="n"/>
      <c r="D3082" s="39" t="str">
        <f>IF(C3082="","",IFERROR(INDEX(art_des,MATCH(C3082,art_ref,0))&amp;"","Référence inconnue"))</f>
        <v/>
      </c>
      <c r="E3082" s="37" t="n"/>
      <c r="F3082" s="39" t="str">
        <f>IF(C3082="","",IFERROR(INDEX(art_unit,MATCH(C3082,art_ref,0))&amp;"",""))</f>
        <v/>
      </c>
      <c r="G3082" s="37" t="n"/>
      <c r="H3082" s="37" t="n"/>
      <c r="I3082" s="37" t="n"/>
      <c r="J3082" s="40" t="str">
        <f>IF(OR(C3082="",NOT(ISNUMBER(E3082))),"",IFERROR(E3082*N(INDEX(art_price,MATCH(C3082,art_ref,0))),""))</f>
        <v/>
      </c>
      <c r="K3082" s="39" t="str">
        <f>IF(OR(C3082="",NOT(ISNUMBER(E3082))),"",IFERROR(ROUND(N(INDEX(art_init,MATCH(C3082,art_ref,0)))+SUMIFS($E$5:E3082,$C$5:C3082,C3082,$B$5:B3082,"Entrée")-SUMIFS($E$5:E3082,$C$5:C3082,C3082,$B$5:B3082,"Sortie"),6),""))</f>
        <v/>
      </c>
      <c r="L3082" s="39" t="str">
        <f>IF(COUNTA(A3082:C3082,E3082)=0,"",IF(COUNTA(A3082:C3082,E3082)&lt;4,"Ligne incomplète",IF(NOT(ISNUMBER(A3082)),"Date invalide",IF(AND(B3082&lt;&gt;"Entrée",B3082&lt;&gt;"Sortie"),"Type inconnu",IF(ISNA(MATCH(C3082,art_ref,0)),"Référence inconnue",IF(OR(NOT(ISNUMBER(E3082)),N(E3082)&lt;=0),"Quantité invalide",IF(K3082&lt;0,"Stock négatif",IF(AND(ISNUMBER(A3081),A3082&lt;A3081),"Date hors ordre","OK"))))))))</f>
        <v/>
      </c>
      <c r="M3082" s="39" t="str">
        <f>IF(C3082="","",C3082&amp;"#"&amp;COUNTIF($C$5:C3082,C3082))</f>
        <v/>
      </c>
    </row>
    <row r="3083">
      <c r="A3083" s="41" t="n"/>
      <c r="B3083" s="37" t="n"/>
      <c r="C3083" s="37" t="n"/>
      <c r="D3083" s="39" t="str">
        <f>IF(C3083="","",IFERROR(INDEX(art_des,MATCH(C3083,art_ref,0))&amp;"","Référence inconnue"))</f>
        <v/>
      </c>
      <c r="E3083" s="37" t="n"/>
      <c r="F3083" s="39" t="str">
        <f>IF(C3083="","",IFERROR(INDEX(art_unit,MATCH(C3083,art_ref,0))&amp;"",""))</f>
        <v/>
      </c>
      <c r="G3083" s="37" t="n"/>
      <c r="H3083" s="37" t="n"/>
      <c r="I3083" s="37" t="n"/>
      <c r="J3083" s="40" t="str">
        <f>IF(OR(C3083="",NOT(ISNUMBER(E3083))),"",IFERROR(E3083*N(INDEX(art_price,MATCH(C3083,art_ref,0))),""))</f>
        <v/>
      </c>
      <c r="K3083" s="39" t="str">
        <f>IF(OR(C3083="",NOT(ISNUMBER(E3083))),"",IFERROR(ROUND(N(INDEX(art_init,MATCH(C3083,art_ref,0)))+SUMIFS($E$5:E3083,$C$5:C3083,C3083,$B$5:B3083,"Entrée")-SUMIFS($E$5:E3083,$C$5:C3083,C3083,$B$5:B3083,"Sortie"),6),""))</f>
        <v/>
      </c>
      <c r="L3083" s="39" t="str">
        <f>IF(COUNTA(A3083:C3083,E3083)=0,"",IF(COUNTA(A3083:C3083,E3083)&lt;4,"Ligne incomplète",IF(NOT(ISNUMBER(A3083)),"Date invalide",IF(AND(B3083&lt;&gt;"Entrée",B3083&lt;&gt;"Sortie"),"Type inconnu",IF(ISNA(MATCH(C3083,art_ref,0)),"Référence inconnue",IF(OR(NOT(ISNUMBER(E3083)),N(E3083)&lt;=0),"Quantité invalide",IF(K3083&lt;0,"Stock négatif",IF(AND(ISNUMBER(A3082),A3083&lt;A3082),"Date hors ordre","OK"))))))))</f>
        <v/>
      </c>
      <c r="M3083" s="39" t="str">
        <f>IF(C3083="","",C3083&amp;"#"&amp;COUNTIF($C$5:C3083,C3083))</f>
        <v/>
      </c>
    </row>
    <row r="3084">
      <c r="A3084" s="41" t="n"/>
      <c r="B3084" s="37" t="n"/>
      <c r="C3084" s="37" t="n"/>
      <c r="D3084" s="39" t="str">
        <f>IF(C3084="","",IFERROR(INDEX(art_des,MATCH(C3084,art_ref,0))&amp;"","Référence inconnue"))</f>
        <v/>
      </c>
      <c r="E3084" s="37" t="n"/>
      <c r="F3084" s="39" t="str">
        <f>IF(C3084="","",IFERROR(INDEX(art_unit,MATCH(C3084,art_ref,0))&amp;"",""))</f>
        <v/>
      </c>
      <c r="G3084" s="37" t="n"/>
      <c r="H3084" s="37" t="n"/>
      <c r="I3084" s="37" t="n"/>
      <c r="J3084" s="40" t="str">
        <f>IF(OR(C3084="",NOT(ISNUMBER(E3084))),"",IFERROR(E3084*N(INDEX(art_price,MATCH(C3084,art_ref,0))),""))</f>
        <v/>
      </c>
      <c r="K3084" s="39" t="str">
        <f>IF(OR(C3084="",NOT(ISNUMBER(E3084))),"",IFERROR(ROUND(N(INDEX(art_init,MATCH(C3084,art_ref,0)))+SUMIFS($E$5:E3084,$C$5:C3084,C3084,$B$5:B3084,"Entrée")-SUMIFS($E$5:E3084,$C$5:C3084,C3084,$B$5:B3084,"Sortie"),6),""))</f>
        <v/>
      </c>
      <c r="L3084" s="39" t="str">
        <f>IF(COUNTA(A3084:C3084,E3084)=0,"",IF(COUNTA(A3084:C3084,E3084)&lt;4,"Ligne incomplète",IF(NOT(ISNUMBER(A3084)),"Date invalide",IF(AND(B3084&lt;&gt;"Entrée",B3084&lt;&gt;"Sortie"),"Type inconnu",IF(ISNA(MATCH(C3084,art_ref,0)),"Référence inconnue",IF(OR(NOT(ISNUMBER(E3084)),N(E3084)&lt;=0),"Quantité invalide",IF(K3084&lt;0,"Stock négatif",IF(AND(ISNUMBER(A3083),A3084&lt;A3083),"Date hors ordre","OK"))))))))</f>
        <v/>
      </c>
      <c r="M3084" s="39" t="str">
        <f>IF(C3084="","",C3084&amp;"#"&amp;COUNTIF($C$5:C3084,C3084))</f>
        <v/>
      </c>
    </row>
    <row r="3085">
      <c r="A3085" s="41" t="n"/>
      <c r="B3085" s="37" t="n"/>
      <c r="C3085" s="37" t="n"/>
      <c r="D3085" s="39" t="str">
        <f>IF(C3085="","",IFERROR(INDEX(art_des,MATCH(C3085,art_ref,0))&amp;"","Référence inconnue"))</f>
        <v/>
      </c>
      <c r="E3085" s="37" t="n"/>
      <c r="F3085" s="39" t="str">
        <f>IF(C3085="","",IFERROR(INDEX(art_unit,MATCH(C3085,art_ref,0))&amp;"",""))</f>
        <v/>
      </c>
      <c r="G3085" s="37" t="n"/>
      <c r="H3085" s="37" t="n"/>
      <c r="I3085" s="37" t="n"/>
      <c r="J3085" s="40" t="str">
        <f>IF(OR(C3085="",NOT(ISNUMBER(E3085))),"",IFERROR(E3085*N(INDEX(art_price,MATCH(C3085,art_ref,0))),""))</f>
        <v/>
      </c>
      <c r="K3085" s="39" t="str">
        <f>IF(OR(C3085="",NOT(ISNUMBER(E3085))),"",IFERROR(ROUND(N(INDEX(art_init,MATCH(C3085,art_ref,0)))+SUMIFS($E$5:E3085,$C$5:C3085,C3085,$B$5:B3085,"Entrée")-SUMIFS($E$5:E3085,$C$5:C3085,C3085,$B$5:B3085,"Sortie"),6),""))</f>
        <v/>
      </c>
      <c r="L3085" s="39" t="str">
        <f>IF(COUNTA(A3085:C3085,E3085)=0,"",IF(COUNTA(A3085:C3085,E3085)&lt;4,"Ligne incomplète",IF(NOT(ISNUMBER(A3085)),"Date invalide",IF(AND(B3085&lt;&gt;"Entrée",B3085&lt;&gt;"Sortie"),"Type inconnu",IF(ISNA(MATCH(C3085,art_ref,0)),"Référence inconnue",IF(OR(NOT(ISNUMBER(E3085)),N(E3085)&lt;=0),"Quantité invalide",IF(K3085&lt;0,"Stock négatif",IF(AND(ISNUMBER(A3084),A3085&lt;A3084),"Date hors ordre","OK"))))))))</f>
        <v/>
      </c>
      <c r="M3085" s="39" t="str">
        <f>IF(C3085="","",C3085&amp;"#"&amp;COUNTIF($C$5:C3085,C3085))</f>
        <v/>
      </c>
    </row>
    <row r="3086">
      <c r="A3086" s="41" t="n"/>
      <c r="B3086" s="37" t="n"/>
      <c r="C3086" s="37" t="n"/>
      <c r="D3086" s="39" t="str">
        <f>IF(C3086="","",IFERROR(INDEX(art_des,MATCH(C3086,art_ref,0))&amp;"","Référence inconnue"))</f>
        <v/>
      </c>
      <c r="E3086" s="37" t="n"/>
      <c r="F3086" s="39" t="str">
        <f>IF(C3086="","",IFERROR(INDEX(art_unit,MATCH(C3086,art_ref,0))&amp;"",""))</f>
        <v/>
      </c>
      <c r="G3086" s="37" t="n"/>
      <c r="H3086" s="37" t="n"/>
      <c r="I3086" s="37" t="n"/>
      <c r="J3086" s="40" t="str">
        <f>IF(OR(C3086="",NOT(ISNUMBER(E3086))),"",IFERROR(E3086*N(INDEX(art_price,MATCH(C3086,art_ref,0))),""))</f>
        <v/>
      </c>
      <c r="K3086" s="39" t="str">
        <f>IF(OR(C3086="",NOT(ISNUMBER(E3086))),"",IFERROR(ROUND(N(INDEX(art_init,MATCH(C3086,art_ref,0)))+SUMIFS($E$5:E3086,$C$5:C3086,C3086,$B$5:B3086,"Entrée")-SUMIFS($E$5:E3086,$C$5:C3086,C3086,$B$5:B3086,"Sortie"),6),""))</f>
        <v/>
      </c>
      <c r="L3086" s="39" t="str">
        <f>IF(COUNTA(A3086:C3086,E3086)=0,"",IF(COUNTA(A3086:C3086,E3086)&lt;4,"Ligne incomplète",IF(NOT(ISNUMBER(A3086)),"Date invalide",IF(AND(B3086&lt;&gt;"Entrée",B3086&lt;&gt;"Sortie"),"Type inconnu",IF(ISNA(MATCH(C3086,art_ref,0)),"Référence inconnue",IF(OR(NOT(ISNUMBER(E3086)),N(E3086)&lt;=0),"Quantité invalide",IF(K3086&lt;0,"Stock négatif",IF(AND(ISNUMBER(A3085),A3086&lt;A3085),"Date hors ordre","OK"))))))))</f>
        <v/>
      </c>
      <c r="M3086" s="39" t="str">
        <f>IF(C3086="","",C3086&amp;"#"&amp;COUNTIF($C$5:C3086,C3086))</f>
        <v/>
      </c>
    </row>
    <row r="3087">
      <c r="A3087" s="41" t="n"/>
      <c r="B3087" s="37" t="n"/>
      <c r="C3087" s="37" t="n"/>
      <c r="D3087" s="39" t="str">
        <f>IF(C3087="","",IFERROR(INDEX(art_des,MATCH(C3087,art_ref,0))&amp;"","Référence inconnue"))</f>
        <v/>
      </c>
      <c r="E3087" s="37" t="n"/>
      <c r="F3087" s="39" t="str">
        <f>IF(C3087="","",IFERROR(INDEX(art_unit,MATCH(C3087,art_ref,0))&amp;"",""))</f>
        <v/>
      </c>
      <c r="G3087" s="37" t="n"/>
      <c r="H3087" s="37" t="n"/>
      <c r="I3087" s="37" t="n"/>
      <c r="J3087" s="40" t="str">
        <f>IF(OR(C3087="",NOT(ISNUMBER(E3087))),"",IFERROR(E3087*N(INDEX(art_price,MATCH(C3087,art_ref,0))),""))</f>
        <v/>
      </c>
      <c r="K3087" s="39" t="str">
        <f>IF(OR(C3087="",NOT(ISNUMBER(E3087))),"",IFERROR(ROUND(N(INDEX(art_init,MATCH(C3087,art_ref,0)))+SUMIFS($E$5:E3087,$C$5:C3087,C3087,$B$5:B3087,"Entrée")-SUMIFS($E$5:E3087,$C$5:C3087,C3087,$B$5:B3087,"Sortie"),6),""))</f>
        <v/>
      </c>
      <c r="L3087" s="39" t="str">
        <f>IF(COUNTA(A3087:C3087,E3087)=0,"",IF(COUNTA(A3087:C3087,E3087)&lt;4,"Ligne incomplète",IF(NOT(ISNUMBER(A3087)),"Date invalide",IF(AND(B3087&lt;&gt;"Entrée",B3087&lt;&gt;"Sortie"),"Type inconnu",IF(ISNA(MATCH(C3087,art_ref,0)),"Référence inconnue",IF(OR(NOT(ISNUMBER(E3087)),N(E3087)&lt;=0),"Quantité invalide",IF(K3087&lt;0,"Stock négatif",IF(AND(ISNUMBER(A3086),A3087&lt;A3086),"Date hors ordre","OK"))))))))</f>
        <v/>
      </c>
      <c r="M3087" s="39" t="str">
        <f>IF(C3087="","",C3087&amp;"#"&amp;COUNTIF($C$5:C3087,C3087))</f>
        <v/>
      </c>
    </row>
    <row r="3088">
      <c r="A3088" s="41" t="n"/>
      <c r="B3088" s="37" t="n"/>
      <c r="C3088" s="37" t="n"/>
      <c r="D3088" s="39" t="str">
        <f>IF(C3088="","",IFERROR(INDEX(art_des,MATCH(C3088,art_ref,0))&amp;"","Référence inconnue"))</f>
        <v/>
      </c>
      <c r="E3088" s="37" t="n"/>
      <c r="F3088" s="39" t="str">
        <f>IF(C3088="","",IFERROR(INDEX(art_unit,MATCH(C3088,art_ref,0))&amp;"",""))</f>
        <v/>
      </c>
      <c r="G3088" s="37" t="n"/>
      <c r="H3088" s="37" t="n"/>
      <c r="I3088" s="37" t="n"/>
      <c r="J3088" s="40" t="str">
        <f>IF(OR(C3088="",NOT(ISNUMBER(E3088))),"",IFERROR(E3088*N(INDEX(art_price,MATCH(C3088,art_ref,0))),""))</f>
        <v/>
      </c>
      <c r="K3088" s="39" t="str">
        <f>IF(OR(C3088="",NOT(ISNUMBER(E3088))),"",IFERROR(ROUND(N(INDEX(art_init,MATCH(C3088,art_ref,0)))+SUMIFS($E$5:E3088,$C$5:C3088,C3088,$B$5:B3088,"Entrée")-SUMIFS($E$5:E3088,$C$5:C3088,C3088,$B$5:B3088,"Sortie"),6),""))</f>
        <v/>
      </c>
      <c r="L3088" s="39" t="str">
        <f>IF(COUNTA(A3088:C3088,E3088)=0,"",IF(COUNTA(A3088:C3088,E3088)&lt;4,"Ligne incomplète",IF(NOT(ISNUMBER(A3088)),"Date invalide",IF(AND(B3088&lt;&gt;"Entrée",B3088&lt;&gt;"Sortie"),"Type inconnu",IF(ISNA(MATCH(C3088,art_ref,0)),"Référence inconnue",IF(OR(NOT(ISNUMBER(E3088)),N(E3088)&lt;=0),"Quantité invalide",IF(K3088&lt;0,"Stock négatif",IF(AND(ISNUMBER(A3087),A3088&lt;A3087),"Date hors ordre","OK"))))))))</f>
        <v/>
      </c>
      <c r="M3088" s="39" t="str">
        <f>IF(C3088="","",C3088&amp;"#"&amp;COUNTIF($C$5:C3088,C3088))</f>
        <v/>
      </c>
    </row>
    <row r="3089">
      <c r="A3089" s="41" t="n"/>
      <c r="B3089" s="37" t="n"/>
      <c r="C3089" s="37" t="n"/>
      <c r="D3089" s="39" t="str">
        <f>IF(C3089="","",IFERROR(INDEX(art_des,MATCH(C3089,art_ref,0))&amp;"","Référence inconnue"))</f>
        <v/>
      </c>
      <c r="E3089" s="37" t="n"/>
      <c r="F3089" s="39" t="str">
        <f>IF(C3089="","",IFERROR(INDEX(art_unit,MATCH(C3089,art_ref,0))&amp;"",""))</f>
        <v/>
      </c>
      <c r="G3089" s="37" t="n"/>
      <c r="H3089" s="37" t="n"/>
      <c r="I3089" s="37" t="n"/>
      <c r="J3089" s="40" t="str">
        <f>IF(OR(C3089="",NOT(ISNUMBER(E3089))),"",IFERROR(E3089*N(INDEX(art_price,MATCH(C3089,art_ref,0))),""))</f>
        <v/>
      </c>
      <c r="K3089" s="39" t="str">
        <f>IF(OR(C3089="",NOT(ISNUMBER(E3089))),"",IFERROR(ROUND(N(INDEX(art_init,MATCH(C3089,art_ref,0)))+SUMIFS($E$5:E3089,$C$5:C3089,C3089,$B$5:B3089,"Entrée")-SUMIFS($E$5:E3089,$C$5:C3089,C3089,$B$5:B3089,"Sortie"),6),""))</f>
        <v/>
      </c>
      <c r="L3089" s="39" t="str">
        <f>IF(COUNTA(A3089:C3089,E3089)=0,"",IF(COUNTA(A3089:C3089,E3089)&lt;4,"Ligne incomplète",IF(NOT(ISNUMBER(A3089)),"Date invalide",IF(AND(B3089&lt;&gt;"Entrée",B3089&lt;&gt;"Sortie"),"Type inconnu",IF(ISNA(MATCH(C3089,art_ref,0)),"Référence inconnue",IF(OR(NOT(ISNUMBER(E3089)),N(E3089)&lt;=0),"Quantité invalide",IF(K3089&lt;0,"Stock négatif",IF(AND(ISNUMBER(A3088),A3089&lt;A3088),"Date hors ordre","OK"))))))))</f>
        <v/>
      </c>
      <c r="M3089" s="39" t="str">
        <f>IF(C3089="","",C3089&amp;"#"&amp;COUNTIF($C$5:C3089,C3089))</f>
        <v/>
      </c>
    </row>
    <row r="3090">
      <c r="A3090" s="41" t="n"/>
      <c r="B3090" s="37" t="n"/>
      <c r="C3090" s="37" t="n"/>
      <c r="D3090" s="39" t="str">
        <f>IF(C3090="","",IFERROR(INDEX(art_des,MATCH(C3090,art_ref,0))&amp;"","Référence inconnue"))</f>
        <v/>
      </c>
      <c r="E3090" s="37" t="n"/>
      <c r="F3090" s="39" t="str">
        <f>IF(C3090="","",IFERROR(INDEX(art_unit,MATCH(C3090,art_ref,0))&amp;"",""))</f>
        <v/>
      </c>
      <c r="G3090" s="37" t="n"/>
      <c r="H3090" s="37" t="n"/>
      <c r="I3090" s="37" t="n"/>
      <c r="J3090" s="40" t="str">
        <f>IF(OR(C3090="",NOT(ISNUMBER(E3090))),"",IFERROR(E3090*N(INDEX(art_price,MATCH(C3090,art_ref,0))),""))</f>
        <v/>
      </c>
      <c r="K3090" s="39" t="str">
        <f>IF(OR(C3090="",NOT(ISNUMBER(E3090))),"",IFERROR(ROUND(N(INDEX(art_init,MATCH(C3090,art_ref,0)))+SUMIFS($E$5:E3090,$C$5:C3090,C3090,$B$5:B3090,"Entrée")-SUMIFS($E$5:E3090,$C$5:C3090,C3090,$B$5:B3090,"Sortie"),6),""))</f>
        <v/>
      </c>
      <c r="L3090" s="39" t="str">
        <f>IF(COUNTA(A3090:C3090,E3090)=0,"",IF(COUNTA(A3090:C3090,E3090)&lt;4,"Ligne incomplète",IF(NOT(ISNUMBER(A3090)),"Date invalide",IF(AND(B3090&lt;&gt;"Entrée",B3090&lt;&gt;"Sortie"),"Type inconnu",IF(ISNA(MATCH(C3090,art_ref,0)),"Référence inconnue",IF(OR(NOT(ISNUMBER(E3090)),N(E3090)&lt;=0),"Quantité invalide",IF(K3090&lt;0,"Stock négatif",IF(AND(ISNUMBER(A3089),A3090&lt;A3089),"Date hors ordre","OK"))))))))</f>
        <v/>
      </c>
      <c r="M3090" s="39" t="str">
        <f>IF(C3090="","",C3090&amp;"#"&amp;COUNTIF($C$5:C3090,C3090))</f>
        <v/>
      </c>
    </row>
    <row r="3091">
      <c r="A3091" s="41" t="n"/>
      <c r="B3091" s="37" t="n"/>
      <c r="C3091" s="37" t="n"/>
      <c r="D3091" s="39" t="str">
        <f>IF(C3091="","",IFERROR(INDEX(art_des,MATCH(C3091,art_ref,0))&amp;"","Référence inconnue"))</f>
        <v/>
      </c>
      <c r="E3091" s="37" t="n"/>
      <c r="F3091" s="39" t="str">
        <f>IF(C3091="","",IFERROR(INDEX(art_unit,MATCH(C3091,art_ref,0))&amp;"",""))</f>
        <v/>
      </c>
      <c r="G3091" s="37" t="n"/>
      <c r="H3091" s="37" t="n"/>
      <c r="I3091" s="37" t="n"/>
      <c r="J3091" s="40" t="str">
        <f>IF(OR(C3091="",NOT(ISNUMBER(E3091))),"",IFERROR(E3091*N(INDEX(art_price,MATCH(C3091,art_ref,0))),""))</f>
        <v/>
      </c>
      <c r="K3091" s="39" t="str">
        <f>IF(OR(C3091="",NOT(ISNUMBER(E3091))),"",IFERROR(ROUND(N(INDEX(art_init,MATCH(C3091,art_ref,0)))+SUMIFS($E$5:E3091,$C$5:C3091,C3091,$B$5:B3091,"Entrée")-SUMIFS($E$5:E3091,$C$5:C3091,C3091,$B$5:B3091,"Sortie"),6),""))</f>
        <v/>
      </c>
      <c r="L3091" s="39" t="str">
        <f>IF(COUNTA(A3091:C3091,E3091)=0,"",IF(COUNTA(A3091:C3091,E3091)&lt;4,"Ligne incomplète",IF(NOT(ISNUMBER(A3091)),"Date invalide",IF(AND(B3091&lt;&gt;"Entrée",B3091&lt;&gt;"Sortie"),"Type inconnu",IF(ISNA(MATCH(C3091,art_ref,0)),"Référence inconnue",IF(OR(NOT(ISNUMBER(E3091)),N(E3091)&lt;=0),"Quantité invalide",IF(K3091&lt;0,"Stock négatif",IF(AND(ISNUMBER(A3090),A3091&lt;A3090),"Date hors ordre","OK"))))))))</f>
        <v/>
      </c>
      <c r="M3091" s="39" t="str">
        <f>IF(C3091="","",C3091&amp;"#"&amp;COUNTIF($C$5:C3091,C3091))</f>
        <v/>
      </c>
    </row>
    <row r="3092">
      <c r="A3092" s="41" t="n"/>
      <c r="B3092" s="37" t="n"/>
      <c r="C3092" s="37" t="n"/>
      <c r="D3092" s="39" t="str">
        <f>IF(C3092="","",IFERROR(INDEX(art_des,MATCH(C3092,art_ref,0))&amp;"","Référence inconnue"))</f>
        <v/>
      </c>
      <c r="E3092" s="37" t="n"/>
      <c r="F3092" s="39" t="str">
        <f>IF(C3092="","",IFERROR(INDEX(art_unit,MATCH(C3092,art_ref,0))&amp;"",""))</f>
        <v/>
      </c>
      <c r="G3092" s="37" t="n"/>
      <c r="H3092" s="37" t="n"/>
      <c r="I3092" s="37" t="n"/>
      <c r="J3092" s="40" t="str">
        <f>IF(OR(C3092="",NOT(ISNUMBER(E3092))),"",IFERROR(E3092*N(INDEX(art_price,MATCH(C3092,art_ref,0))),""))</f>
        <v/>
      </c>
      <c r="K3092" s="39" t="str">
        <f>IF(OR(C3092="",NOT(ISNUMBER(E3092))),"",IFERROR(ROUND(N(INDEX(art_init,MATCH(C3092,art_ref,0)))+SUMIFS($E$5:E3092,$C$5:C3092,C3092,$B$5:B3092,"Entrée")-SUMIFS($E$5:E3092,$C$5:C3092,C3092,$B$5:B3092,"Sortie"),6),""))</f>
        <v/>
      </c>
      <c r="L3092" s="39" t="str">
        <f>IF(COUNTA(A3092:C3092,E3092)=0,"",IF(COUNTA(A3092:C3092,E3092)&lt;4,"Ligne incomplète",IF(NOT(ISNUMBER(A3092)),"Date invalide",IF(AND(B3092&lt;&gt;"Entrée",B3092&lt;&gt;"Sortie"),"Type inconnu",IF(ISNA(MATCH(C3092,art_ref,0)),"Référence inconnue",IF(OR(NOT(ISNUMBER(E3092)),N(E3092)&lt;=0),"Quantité invalide",IF(K3092&lt;0,"Stock négatif",IF(AND(ISNUMBER(A3091),A3092&lt;A3091),"Date hors ordre","OK"))))))))</f>
        <v/>
      </c>
      <c r="M3092" s="39" t="str">
        <f>IF(C3092="","",C3092&amp;"#"&amp;COUNTIF($C$5:C3092,C3092))</f>
        <v/>
      </c>
    </row>
    <row r="3093">
      <c r="A3093" s="41" t="n"/>
      <c r="B3093" s="37" t="n"/>
      <c r="C3093" s="37" t="n"/>
      <c r="D3093" s="39" t="str">
        <f>IF(C3093="","",IFERROR(INDEX(art_des,MATCH(C3093,art_ref,0))&amp;"","Référence inconnue"))</f>
        <v/>
      </c>
      <c r="E3093" s="37" t="n"/>
      <c r="F3093" s="39" t="str">
        <f>IF(C3093="","",IFERROR(INDEX(art_unit,MATCH(C3093,art_ref,0))&amp;"",""))</f>
        <v/>
      </c>
      <c r="G3093" s="37" t="n"/>
      <c r="H3093" s="37" t="n"/>
      <c r="I3093" s="37" t="n"/>
      <c r="J3093" s="40" t="str">
        <f>IF(OR(C3093="",NOT(ISNUMBER(E3093))),"",IFERROR(E3093*N(INDEX(art_price,MATCH(C3093,art_ref,0))),""))</f>
        <v/>
      </c>
      <c r="K3093" s="39" t="str">
        <f>IF(OR(C3093="",NOT(ISNUMBER(E3093))),"",IFERROR(ROUND(N(INDEX(art_init,MATCH(C3093,art_ref,0)))+SUMIFS($E$5:E3093,$C$5:C3093,C3093,$B$5:B3093,"Entrée")-SUMIFS($E$5:E3093,$C$5:C3093,C3093,$B$5:B3093,"Sortie"),6),""))</f>
        <v/>
      </c>
      <c r="L3093" s="39" t="str">
        <f>IF(COUNTA(A3093:C3093,E3093)=0,"",IF(COUNTA(A3093:C3093,E3093)&lt;4,"Ligne incomplète",IF(NOT(ISNUMBER(A3093)),"Date invalide",IF(AND(B3093&lt;&gt;"Entrée",B3093&lt;&gt;"Sortie"),"Type inconnu",IF(ISNA(MATCH(C3093,art_ref,0)),"Référence inconnue",IF(OR(NOT(ISNUMBER(E3093)),N(E3093)&lt;=0),"Quantité invalide",IF(K3093&lt;0,"Stock négatif",IF(AND(ISNUMBER(A3092),A3093&lt;A3092),"Date hors ordre","OK"))))))))</f>
        <v/>
      </c>
      <c r="M3093" s="39" t="str">
        <f>IF(C3093="","",C3093&amp;"#"&amp;COUNTIF($C$5:C3093,C3093))</f>
        <v/>
      </c>
    </row>
    <row r="3094">
      <c r="A3094" s="41" t="n"/>
      <c r="B3094" s="37" t="n"/>
      <c r="C3094" s="37" t="n"/>
      <c r="D3094" s="39" t="str">
        <f>IF(C3094="","",IFERROR(INDEX(art_des,MATCH(C3094,art_ref,0))&amp;"","Référence inconnue"))</f>
        <v/>
      </c>
      <c r="E3094" s="37" t="n"/>
      <c r="F3094" s="39" t="str">
        <f>IF(C3094="","",IFERROR(INDEX(art_unit,MATCH(C3094,art_ref,0))&amp;"",""))</f>
        <v/>
      </c>
      <c r="G3094" s="37" t="n"/>
      <c r="H3094" s="37" t="n"/>
      <c r="I3094" s="37" t="n"/>
      <c r="J3094" s="40" t="str">
        <f>IF(OR(C3094="",NOT(ISNUMBER(E3094))),"",IFERROR(E3094*N(INDEX(art_price,MATCH(C3094,art_ref,0))),""))</f>
        <v/>
      </c>
      <c r="K3094" s="39" t="str">
        <f>IF(OR(C3094="",NOT(ISNUMBER(E3094))),"",IFERROR(ROUND(N(INDEX(art_init,MATCH(C3094,art_ref,0)))+SUMIFS($E$5:E3094,$C$5:C3094,C3094,$B$5:B3094,"Entrée")-SUMIFS($E$5:E3094,$C$5:C3094,C3094,$B$5:B3094,"Sortie"),6),""))</f>
        <v/>
      </c>
      <c r="L3094" s="39" t="str">
        <f>IF(COUNTA(A3094:C3094,E3094)=0,"",IF(COUNTA(A3094:C3094,E3094)&lt;4,"Ligne incomplète",IF(NOT(ISNUMBER(A3094)),"Date invalide",IF(AND(B3094&lt;&gt;"Entrée",B3094&lt;&gt;"Sortie"),"Type inconnu",IF(ISNA(MATCH(C3094,art_ref,0)),"Référence inconnue",IF(OR(NOT(ISNUMBER(E3094)),N(E3094)&lt;=0),"Quantité invalide",IF(K3094&lt;0,"Stock négatif",IF(AND(ISNUMBER(A3093),A3094&lt;A3093),"Date hors ordre","OK"))))))))</f>
        <v/>
      </c>
      <c r="M3094" s="39" t="str">
        <f>IF(C3094="","",C3094&amp;"#"&amp;COUNTIF($C$5:C3094,C3094))</f>
        <v/>
      </c>
    </row>
    <row r="3095">
      <c r="A3095" s="41" t="n"/>
      <c r="B3095" s="37" t="n"/>
      <c r="C3095" s="37" t="n"/>
      <c r="D3095" s="39" t="str">
        <f>IF(C3095="","",IFERROR(INDEX(art_des,MATCH(C3095,art_ref,0))&amp;"","Référence inconnue"))</f>
        <v/>
      </c>
      <c r="E3095" s="37" t="n"/>
      <c r="F3095" s="39" t="str">
        <f>IF(C3095="","",IFERROR(INDEX(art_unit,MATCH(C3095,art_ref,0))&amp;"",""))</f>
        <v/>
      </c>
      <c r="G3095" s="37" t="n"/>
      <c r="H3095" s="37" t="n"/>
      <c r="I3095" s="37" t="n"/>
      <c r="J3095" s="40" t="str">
        <f>IF(OR(C3095="",NOT(ISNUMBER(E3095))),"",IFERROR(E3095*N(INDEX(art_price,MATCH(C3095,art_ref,0))),""))</f>
        <v/>
      </c>
      <c r="K3095" s="39" t="str">
        <f>IF(OR(C3095="",NOT(ISNUMBER(E3095))),"",IFERROR(ROUND(N(INDEX(art_init,MATCH(C3095,art_ref,0)))+SUMIFS($E$5:E3095,$C$5:C3095,C3095,$B$5:B3095,"Entrée")-SUMIFS($E$5:E3095,$C$5:C3095,C3095,$B$5:B3095,"Sortie"),6),""))</f>
        <v/>
      </c>
      <c r="L3095" s="39" t="str">
        <f>IF(COUNTA(A3095:C3095,E3095)=0,"",IF(COUNTA(A3095:C3095,E3095)&lt;4,"Ligne incomplète",IF(NOT(ISNUMBER(A3095)),"Date invalide",IF(AND(B3095&lt;&gt;"Entrée",B3095&lt;&gt;"Sortie"),"Type inconnu",IF(ISNA(MATCH(C3095,art_ref,0)),"Référence inconnue",IF(OR(NOT(ISNUMBER(E3095)),N(E3095)&lt;=0),"Quantité invalide",IF(K3095&lt;0,"Stock négatif",IF(AND(ISNUMBER(A3094),A3095&lt;A3094),"Date hors ordre","OK"))))))))</f>
        <v/>
      </c>
      <c r="M3095" s="39" t="str">
        <f>IF(C3095="","",C3095&amp;"#"&amp;COUNTIF($C$5:C3095,C3095))</f>
        <v/>
      </c>
    </row>
    <row r="3096">
      <c r="A3096" s="41" t="n"/>
      <c r="B3096" s="37" t="n"/>
      <c r="C3096" s="37" t="n"/>
      <c r="D3096" s="39" t="str">
        <f>IF(C3096="","",IFERROR(INDEX(art_des,MATCH(C3096,art_ref,0))&amp;"","Référence inconnue"))</f>
        <v/>
      </c>
      <c r="E3096" s="37" t="n"/>
      <c r="F3096" s="39" t="str">
        <f>IF(C3096="","",IFERROR(INDEX(art_unit,MATCH(C3096,art_ref,0))&amp;"",""))</f>
        <v/>
      </c>
      <c r="G3096" s="37" t="n"/>
      <c r="H3096" s="37" t="n"/>
      <c r="I3096" s="37" t="n"/>
      <c r="J3096" s="40" t="str">
        <f>IF(OR(C3096="",NOT(ISNUMBER(E3096))),"",IFERROR(E3096*N(INDEX(art_price,MATCH(C3096,art_ref,0))),""))</f>
        <v/>
      </c>
      <c r="K3096" s="39" t="str">
        <f>IF(OR(C3096="",NOT(ISNUMBER(E3096))),"",IFERROR(ROUND(N(INDEX(art_init,MATCH(C3096,art_ref,0)))+SUMIFS($E$5:E3096,$C$5:C3096,C3096,$B$5:B3096,"Entrée")-SUMIFS($E$5:E3096,$C$5:C3096,C3096,$B$5:B3096,"Sortie"),6),""))</f>
        <v/>
      </c>
      <c r="L3096" s="39" t="str">
        <f>IF(COUNTA(A3096:C3096,E3096)=0,"",IF(COUNTA(A3096:C3096,E3096)&lt;4,"Ligne incomplète",IF(NOT(ISNUMBER(A3096)),"Date invalide",IF(AND(B3096&lt;&gt;"Entrée",B3096&lt;&gt;"Sortie"),"Type inconnu",IF(ISNA(MATCH(C3096,art_ref,0)),"Référence inconnue",IF(OR(NOT(ISNUMBER(E3096)),N(E3096)&lt;=0),"Quantité invalide",IF(K3096&lt;0,"Stock négatif",IF(AND(ISNUMBER(A3095),A3096&lt;A3095),"Date hors ordre","OK"))))))))</f>
        <v/>
      </c>
      <c r="M3096" s="39" t="str">
        <f>IF(C3096="","",C3096&amp;"#"&amp;COUNTIF($C$5:C3096,C3096))</f>
        <v/>
      </c>
    </row>
    <row r="3097">
      <c r="A3097" s="41" t="n"/>
      <c r="B3097" s="37" t="n"/>
      <c r="C3097" s="37" t="n"/>
      <c r="D3097" s="39" t="str">
        <f>IF(C3097="","",IFERROR(INDEX(art_des,MATCH(C3097,art_ref,0))&amp;"","Référence inconnue"))</f>
        <v/>
      </c>
      <c r="E3097" s="37" t="n"/>
      <c r="F3097" s="39" t="str">
        <f>IF(C3097="","",IFERROR(INDEX(art_unit,MATCH(C3097,art_ref,0))&amp;"",""))</f>
        <v/>
      </c>
      <c r="G3097" s="37" t="n"/>
      <c r="H3097" s="37" t="n"/>
      <c r="I3097" s="37" t="n"/>
      <c r="J3097" s="40" t="str">
        <f>IF(OR(C3097="",NOT(ISNUMBER(E3097))),"",IFERROR(E3097*N(INDEX(art_price,MATCH(C3097,art_ref,0))),""))</f>
        <v/>
      </c>
      <c r="K3097" s="39" t="str">
        <f>IF(OR(C3097="",NOT(ISNUMBER(E3097))),"",IFERROR(ROUND(N(INDEX(art_init,MATCH(C3097,art_ref,0)))+SUMIFS($E$5:E3097,$C$5:C3097,C3097,$B$5:B3097,"Entrée")-SUMIFS($E$5:E3097,$C$5:C3097,C3097,$B$5:B3097,"Sortie"),6),""))</f>
        <v/>
      </c>
      <c r="L3097" s="39" t="str">
        <f>IF(COUNTA(A3097:C3097,E3097)=0,"",IF(COUNTA(A3097:C3097,E3097)&lt;4,"Ligne incomplète",IF(NOT(ISNUMBER(A3097)),"Date invalide",IF(AND(B3097&lt;&gt;"Entrée",B3097&lt;&gt;"Sortie"),"Type inconnu",IF(ISNA(MATCH(C3097,art_ref,0)),"Référence inconnue",IF(OR(NOT(ISNUMBER(E3097)),N(E3097)&lt;=0),"Quantité invalide",IF(K3097&lt;0,"Stock négatif",IF(AND(ISNUMBER(A3096),A3097&lt;A3096),"Date hors ordre","OK"))))))))</f>
        <v/>
      </c>
      <c r="M3097" s="39" t="str">
        <f>IF(C3097="","",C3097&amp;"#"&amp;COUNTIF($C$5:C3097,C3097))</f>
        <v/>
      </c>
    </row>
    <row r="3098">
      <c r="A3098" s="41" t="n"/>
      <c r="B3098" s="37" t="n"/>
      <c r="C3098" s="37" t="n"/>
      <c r="D3098" s="39" t="str">
        <f>IF(C3098="","",IFERROR(INDEX(art_des,MATCH(C3098,art_ref,0))&amp;"","Référence inconnue"))</f>
        <v/>
      </c>
      <c r="E3098" s="37" t="n"/>
      <c r="F3098" s="39" t="str">
        <f>IF(C3098="","",IFERROR(INDEX(art_unit,MATCH(C3098,art_ref,0))&amp;"",""))</f>
        <v/>
      </c>
      <c r="G3098" s="37" t="n"/>
      <c r="H3098" s="37" t="n"/>
      <c r="I3098" s="37" t="n"/>
      <c r="J3098" s="40" t="str">
        <f>IF(OR(C3098="",NOT(ISNUMBER(E3098))),"",IFERROR(E3098*N(INDEX(art_price,MATCH(C3098,art_ref,0))),""))</f>
        <v/>
      </c>
      <c r="K3098" s="39" t="str">
        <f>IF(OR(C3098="",NOT(ISNUMBER(E3098))),"",IFERROR(ROUND(N(INDEX(art_init,MATCH(C3098,art_ref,0)))+SUMIFS($E$5:E3098,$C$5:C3098,C3098,$B$5:B3098,"Entrée")-SUMIFS($E$5:E3098,$C$5:C3098,C3098,$B$5:B3098,"Sortie"),6),""))</f>
        <v/>
      </c>
      <c r="L3098" s="39" t="str">
        <f>IF(COUNTA(A3098:C3098,E3098)=0,"",IF(COUNTA(A3098:C3098,E3098)&lt;4,"Ligne incomplète",IF(NOT(ISNUMBER(A3098)),"Date invalide",IF(AND(B3098&lt;&gt;"Entrée",B3098&lt;&gt;"Sortie"),"Type inconnu",IF(ISNA(MATCH(C3098,art_ref,0)),"Référence inconnue",IF(OR(NOT(ISNUMBER(E3098)),N(E3098)&lt;=0),"Quantité invalide",IF(K3098&lt;0,"Stock négatif",IF(AND(ISNUMBER(A3097),A3098&lt;A3097),"Date hors ordre","OK"))))))))</f>
        <v/>
      </c>
      <c r="M3098" s="39" t="str">
        <f>IF(C3098="","",C3098&amp;"#"&amp;COUNTIF($C$5:C3098,C3098))</f>
        <v/>
      </c>
    </row>
    <row r="3099">
      <c r="A3099" s="41" t="n"/>
      <c r="B3099" s="37" t="n"/>
      <c r="C3099" s="37" t="n"/>
      <c r="D3099" s="39" t="str">
        <f>IF(C3099="","",IFERROR(INDEX(art_des,MATCH(C3099,art_ref,0))&amp;"","Référence inconnue"))</f>
        <v/>
      </c>
      <c r="E3099" s="37" t="n"/>
      <c r="F3099" s="39" t="str">
        <f>IF(C3099="","",IFERROR(INDEX(art_unit,MATCH(C3099,art_ref,0))&amp;"",""))</f>
        <v/>
      </c>
      <c r="G3099" s="37" t="n"/>
      <c r="H3099" s="37" t="n"/>
      <c r="I3099" s="37" t="n"/>
      <c r="J3099" s="40" t="str">
        <f>IF(OR(C3099="",NOT(ISNUMBER(E3099))),"",IFERROR(E3099*N(INDEX(art_price,MATCH(C3099,art_ref,0))),""))</f>
        <v/>
      </c>
      <c r="K3099" s="39" t="str">
        <f>IF(OR(C3099="",NOT(ISNUMBER(E3099))),"",IFERROR(ROUND(N(INDEX(art_init,MATCH(C3099,art_ref,0)))+SUMIFS($E$5:E3099,$C$5:C3099,C3099,$B$5:B3099,"Entrée")-SUMIFS($E$5:E3099,$C$5:C3099,C3099,$B$5:B3099,"Sortie"),6),""))</f>
        <v/>
      </c>
      <c r="L3099" s="39" t="str">
        <f>IF(COUNTA(A3099:C3099,E3099)=0,"",IF(COUNTA(A3099:C3099,E3099)&lt;4,"Ligne incomplète",IF(NOT(ISNUMBER(A3099)),"Date invalide",IF(AND(B3099&lt;&gt;"Entrée",B3099&lt;&gt;"Sortie"),"Type inconnu",IF(ISNA(MATCH(C3099,art_ref,0)),"Référence inconnue",IF(OR(NOT(ISNUMBER(E3099)),N(E3099)&lt;=0),"Quantité invalide",IF(K3099&lt;0,"Stock négatif",IF(AND(ISNUMBER(A3098),A3099&lt;A3098),"Date hors ordre","OK"))))))))</f>
        <v/>
      </c>
      <c r="M3099" s="39" t="str">
        <f>IF(C3099="","",C3099&amp;"#"&amp;COUNTIF($C$5:C3099,C3099))</f>
        <v/>
      </c>
    </row>
    <row r="3100">
      <c r="A3100" s="41" t="n"/>
      <c r="B3100" s="37" t="n"/>
      <c r="C3100" s="37" t="n"/>
      <c r="D3100" s="39" t="str">
        <f>IF(C3100="","",IFERROR(INDEX(art_des,MATCH(C3100,art_ref,0))&amp;"","Référence inconnue"))</f>
        <v/>
      </c>
      <c r="E3100" s="37" t="n"/>
      <c r="F3100" s="39" t="str">
        <f>IF(C3100="","",IFERROR(INDEX(art_unit,MATCH(C3100,art_ref,0))&amp;"",""))</f>
        <v/>
      </c>
      <c r="G3100" s="37" t="n"/>
      <c r="H3100" s="37" t="n"/>
      <c r="I3100" s="37" t="n"/>
      <c r="J3100" s="40" t="str">
        <f>IF(OR(C3100="",NOT(ISNUMBER(E3100))),"",IFERROR(E3100*N(INDEX(art_price,MATCH(C3100,art_ref,0))),""))</f>
        <v/>
      </c>
      <c r="K3100" s="39" t="str">
        <f>IF(OR(C3100="",NOT(ISNUMBER(E3100))),"",IFERROR(ROUND(N(INDEX(art_init,MATCH(C3100,art_ref,0)))+SUMIFS($E$5:E3100,$C$5:C3100,C3100,$B$5:B3100,"Entrée")-SUMIFS($E$5:E3100,$C$5:C3100,C3100,$B$5:B3100,"Sortie"),6),""))</f>
        <v/>
      </c>
      <c r="L3100" s="39" t="str">
        <f>IF(COUNTA(A3100:C3100,E3100)=0,"",IF(COUNTA(A3100:C3100,E3100)&lt;4,"Ligne incomplète",IF(NOT(ISNUMBER(A3100)),"Date invalide",IF(AND(B3100&lt;&gt;"Entrée",B3100&lt;&gt;"Sortie"),"Type inconnu",IF(ISNA(MATCH(C3100,art_ref,0)),"Référence inconnue",IF(OR(NOT(ISNUMBER(E3100)),N(E3100)&lt;=0),"Quantité invalide",IF(K3100&lt;0,"Stock négatif",IF(AND(ISNUMBER(A3099),A3100&lt;A3099),"Date hors ordre","OK"))))))))</f>
        <v/>
      </c>
      <c r="M3100" s="39" t="str">
        <f>IF(C3100="","",C3100&amp;"#"&amp;COUNTIF($C$5:C3100,C3100))</f>
        <v/>
      </c>
    </row>
    <row r="3101">
      <c r="A3101" s="41" t="n"/>
      <c r="B3101" s="37" t="n"/>
      <c r="C3101" s="37" t="n"/>
      <c r="D3101" s="39" t="str">
        <f>IF(C3101="","",IFERROR(INDEX(art_des,MATCH(C3101,art_ref,0))&amp;"","Référence inconnue"))</f>
        <v/>
      </c>
      <c r="E3101" s="37" t="n"/>
      <c r="F3101" s="39" t="str">
        <f>IF(C3101="","",IFERROR(INDEX(art_unit,MATCH(C3101,art_ref,0))&amp;"",""))</f>
        <v/>
      </c>
      <c r="G3101" s="37" t="n"/>
      <c r="H3101" s="37" t="n"/>
      <c r="I3101" s="37" t="n"/>
      <c r="J3101" s="40" t="str">
        <f>IF(OR(C3101="",NOT(ISNUMBER(E3101))),"",IFERROR(E3101*N(INDEX(art_price,MATCH(C3101,art_ref,0))),""))</f>
        <v/>
      </c>
      <c r="K3101" s="39" t="str">
        <f>IF(OR(C3101="",NOT(ISNUMBER(E3101))),"",IFERROR(ROUND(N(INDEX(art_init,MATCH(C3101,art_ref,0)))+SUMIFS($E$5:E3101,$C$5:C3101,C3101,$B$5:B3101,"Entrée")-SUMIFS($E$5:E3101,$C$5:C3101,C3101,$B$5:B3101,"Sortie"),6),""))</f>
        <v/>
      </c>
      <c r="L3101" s="39" t="str">
        <f>IF(COUNTA(A3101:C3101,E3101)=0,"",IF(COUNTA(A3101:C3101,E3101)&lt;4,"Ligne incomplète",IF(NOT(ISNUMBER(A3101)),"Date invalide",IF(AND(B3101&lt;&gt;"Entrée",B3101&lt;&gt;"Sortie"),"Type inconnu",IF(ISNA(MATCH(C3101,art_ref,0)),"Référence inconnue",IF(OR(NOT(ISNUMBER(E3101)),N(E3101)&lt;=0),"Quantité invalide",IF(K3101&lt;0,"Stock négatif",IF(AND(ISNUMBER(A3100),A3101&lt;A3100),"Date hors ordre","OK"))))))))</f>
        <v/>
      </c>
      <c r="M3101" s="39" t="str">
        <f>IF(C3101="","",C3101&amp;"#"&amp;COUNTIF($C$5:C3101,C3101))</f>
        <v/>
      </c>
    </row>
    <row r="3102">
      <c r="A3102" s="41" t="n"/>
      <c r="B3102" s="37" t="n"/>
      <c r="C3102" s="37" t="n"/>
      <c r="D3102" s="39" t="str">
        <f>IF(C3102="","",IFERROR(INDEX(art_des,MATCH(C3102,art_ref,0))&amp;"","Référence inconnue"))</f>
        <v/>
      </c>
      <c r="E3102" s="37" t="n"/>
      <c r="F3102" s="39" t="str">
        <f>IF(C3102="","",IFERROR(INDEX(art_unit,MATCH(C3102,art_ref,0))&amp;"",""))</f>
        <v/>
      </c>
      <c r="G3102" s="37" t="n"/>
      <c r="H3102" s="37" t="n"/>
      <c r="I3102" s="37" t="n"/>
      <c r="J3102" s="40" t="str">
        <f>IF(OR(C3102="",NOT(ISNUMBER(E3102))),"",IFERROR(E3102*N(INDEX(art_price,MATCH(C3102,art_ref,0))),""))</f>
        <v/>
      </c>
      <c r="K3102" s="39" t="str">
        <f>IF(OR(C3102="",NOT(ISNUMBER(E3102))),"",IFERROR(ROUND(N(INDEX(art_init,MATCH(C3102,art_ref,0)))+SUMIFS($E$5:E3102,$C$5:C3102,C3102,$B$5:B3102,"Entrée")-SUMIFS($E$5:E3102,$C$5:C3102,C3102,$B$5:B3102,"Sortie"),6),""))</f>
        <v/>
      </c>
      <c r="L3102" s="39" t="str">
        <f>IF(COUNTA(A3102:C3102,E3102)=0,"",IF(COUNTA(A3102:C3102,E3102)&lt;4,"Ligne incomplète",IF(NOT(ISNUMBER(A3102)),"Date invalide",IF(AND(B3102&lt;&gt;"Entrée",B3102&lt;&gt;"Sortie"),"Type inconnu",IF(ISNA(MATCH(C3102,art_ref,0)),"Référence inconnue",IF(OR(NOT(ISNUMBER(E3102)),N(E3102)&lt;=0),"Quantité invalide",IF(K3102&lt;0,"Stock négatif",IF(AND(ISNUMBER(A3101),A3102&lt;A3101),"Date hors ordre","OK"))))))))</f>
        <v/>
      </c>
      <c r="M3102" s="39" t="str">
        <f>IF(C3102="","",C3102&amp;"#"&amp;COUNTIF($C$5:C3102,C3102))</f>
        <v/>
      </c>
    </row>
    <row r="3103">
      <c r="A3103" s="41" t="n"/>
      <c r="B3103" s="37" t="n"/>
      <c r="C3103" s="37" t="n"/>
      <c r="D3103" s="39" t="str">
        <f>IF(C3103="","",IFERROR(INDEX(art_des,MATCH(C3103,art_ref,0))&amp;"","Référence inconnue"))</f>
        <v/>
      </c>
      <c r="E3103" s="37" t="n"/>
      <c r="F3103" s="39" t="str">
        <f>IF(C3103="","",IFERROR(INDEX(art_unit,MATCH(C3103,art_ref,0))&amp;"",""))</f>
        <v/>
      </c>
      <c r="G3103" s="37" t="n"/>
      <c r="H3103" s="37" t="n"/>
      <c r="I3103" s="37" t="n"/>
      <c r="J3103" s="40" t="str">
        <f>IF(OR(C3103="",NOT(ISNUMBER(E3103))),"",IFERROR(E3103*N(INDEX(art_price,MATCH(C3103,art_ref,0))),""))</f>
        <v/>
      </c>
      <c r="K3103" s="39" t="str">
        <f>IF(OR(C3103="",NOT(ISNUMBER(E3103))),"",IFERROR(ROUND(N(INDEX(art_init,MATCH(C3103,art_ref,0)))+SUMIFS($E$5:E3103,$C$5:C3103,C3103,$B$5:B3103,"Entrée")-SUMIFS($E$5:E3103,$C$5:C3103,C3103,$B$5:B3103,"Sortie"),6),""))</f>
        <v/>
      </c>
      <c r="L3103" s="39" t="str">
        <f>IF(COUNTA(A3103:C3103,E3103)=0,"",IF(COUNTA(A3103:C3103,E3103)&lt;4,"Ligne incomplète",IF(NOT(ISNUMBER(A3103)),"Date invalide",IF(AND(B3103&lt;&gt;"Entrée",B3103&lt;&gt;"Sortie"),"Type inconnu",IF(ISNA(MATCH(C3103,art_ref,0)),"Référence inconnue",IF(OR(NOT(ISNUMBER(E3103)),N(E3103)&lt;=0),"Quantité invalide",IF(K3103&lt;0,"Stock négatif",IF(AND(ISNUMBER(A3102),A3103&lt;A3102),"Date hors ordre","OK"))))))))</f>
        <v/>
      </c>
      <c r="M3103" s="39" t="str">
        <f>IF(C3103="","",C3103&amp;"#"&amp;COUNTIF($C$5:C3103,C3103))</f>
        <v/>
      </c>
    </row>
    <row r="3104">
      <c r="A3104" s="41" t="n"/>
      <c r="B3104" s="37" t="n"/>
      <c r="C3104" s="37" t="n"/>
      <c r="D3104" s="39" t="str">
        <f>IF(C3104="","",IFERROR(INDEX(art_des,MATCH(C3104,art_ref,0))&amp;"","Référence inconnue"))</f>
        <v/>
      </c>
      <c r="E3104" s="37" t="n"/>
      <c r="F3104" s="39" t="str">
        <f>IF(C3104="","",IFERROR(INDEX(art_unit,MATCH(C3104,art_ref,0))&amp;"",""))</f>
        <v/>
      </c>
      <c r="G3104" s="37" t="n"/>
      <c r="H3104" s="37" t="n"/>
      <c r="I3104" s="37" t="n"/>
      <c r="J3104" s="40" t="str">
        <f>IF(OR(C3104="",NOT(ISNUMBER(E3104))),"",IFERROR(E3104*N(INDEX(art_price,MATCH(C3104,art_ref,0))),""))</f>
        <v/>
      </c>
      <c r="K3104" s="39" t="str">
        <f>IF(OR(C3104="",NOT(ISNUMBER(E3104))),"",IFERROR(ROUND(N(INDEX(art_init,MATCH(C3104,art_ref,0)))+SUMIFS($E$5:E3104,$C$5:C3104,C3104,$B$5:B3104,"Entrée")-SUMIFS($E$5:E3104,$C$5:C3104,C3104,$B$5:B3104,"Sortie"),6),""))</f>
        <v/>
      </c>
      <c r="L3104" s="39" t="str">
        <f>IF(COUNTA(A3104:C3104,E3104)=0,"",IF(COUNTA(A3104:C3104,E3104)&lt;4,"Ligne incomplète",IF(NOT(ISNUMBER(A3104)),"Date invalide",IF(AND(B3104&lt;&gt;"Entrée",B3104&lt;&gt;"Sortie"),"Type inconnu",IF(ISNA(MATCH(C3104,art_ref,0)),"Référence inconnue",IF(OR(NOT(ISNUMBER(E3104)),N(E3104)&lt;=0),"Quantité invalide",IF(K3104&lt;0,"Stock négatif",IF(AND(ISNUMBER(A3103),A3104&lt;A3103),"Date hors ordre","OK"))))))))</f>
        <v/>
      </c>
      <c r="M3104" s="39" t="str">
        <f>IF(C3104="","",C3104&amp;"#"&amp;COUNTIF($C$5:C3104,C3104))</f>
        <v/>
      </c>
    </row>
    <row r="3105">
      <c r="A3105" s="41" t="n"/>
      <c r="B3105" s="37" t="n"/>
      <c r="C3105" s="37" t="n"/>
      <c r="D3105" s="39" t="str">
        <f>IF(C3105="","",IFERROR(INDEX(art_des,MATCH(C3105,art_ref,0))&amp;"","Référence inconnue"))</f>
        <v/>
      </c>
      <c r="E3105" s="37" t="n"/>
      <c r="F3105" s="39" t="str">
        <f>IF(C3105="","",IFERROR(INDEX(art_unit,MATCH(C3105,art_ref,0))&amp;"",""))</f>
        <v/>
      </c>
      <c r="G3105" s="37" t="n"/>
      <c r="H3105" s="37" t="n"/>
      <c r="I3105" s="37" t="n"/>
      <c r="J3105" s="40" t="str">
        <f>IF(OR(C3105="",NOT(ISNUMBER(E3105))),"",IFERROR(E3105*N(INDEX(art_price,MATCH(C3105,art_ref,0))),""))</f>
        <v/>
      </c>
      <c r="K3105" s="39" t="str">
        <f>IF(OR(C3105="",NOT(ISNUMBER(E3105))),"",IFERROR(ROUND(N(INDEX(art_init,MATCH(C3105,art_ref,0)))+SUMIFS($E$5:E3105,$C$5:C3105,C3105,$B$5:B3105,"Entrée")-SUMIFS($E$5:E3105,$C$5:C3105,C3105,$B$5:B3105,"Sortie"),6),""))</f>
        <v/>
      </c>
      <c r="L3105" s="39" t="str">
        <f>IF(COUNTA(A3105:C3105,E3105)=0,"",IF(COUNTA(A3105:C3105,E3105)&lt;4,"Ligne incomplète",IF(NOT(ISNUMBER(A3105)),"Date invalide",IF(AND(B3105&lt;&gt;"Entrée",B3105&lt;&gt;"Sortie"),"Type inconnu",IF(ISNA(MATCH(C3105,art_ref,0)),"Référence inconnue",IF(OR(NOT(ISNUMBER(E3105)),N(E3105)&lt;=0),"Quantité invalide",IF(K3105&lt;0,"Stock négatif",IF(AND(ISNUMBER(A3104),A3105&lt;A3104),"Date hors ordre","OK"))))))))</f>
        <v/>
      </c>
      <c r="M3105" s="39" t="str">
        <f>IF(C3105="","",C3105&amp;"#"&amp;COUNTIF($C$5:C3105,C3105))</f>
        <v/>
      </c>
    </row>
    <row r="3106">
      <c r="A3106" s="41" t="n"/>
      <c r="B3106" s="37" t="n"/>
      <c r="C3106" s="37" t="n"/>
      <c r="D3106" s="39" t="str">
        <f>IF(C3106="","",IFERROR(INDEX(art_des,MATCH(C3106,art_ref,0))&amp;"","Référence inconnue"))</f>
        <v/>
      </c>
      <c r="E3106" s="37" t="n"/>
      <c r="F3106" s="39" t="str">
        <f>IF(C3106="","",IFERROR(INDEX(art_unit,MATCH(C3106,art_ref,0))&amp;"",""))</f>
        <v/>
      </c>
      <c r="G3106" s="37" t="n"/>
      <c r="H3106" s="37" t="n"/>
      <c r="I3106" s="37" t="n"/>
      <c r="J3106" s="40" t="str">
        <f>IF(OR(C3106="",NOT(ISNUMBER(E3106))),"",IFERROR(E3106*N(INDEX(art_price,MATCH(C3106,art_ref,0))),""))</f>
        <v/>
      </c>
      <c r="K3106" s="39" t="str">
        <f>IF(OR(C3106="",NOT(ISNUMBER(E3106))),"",IFERROR(ROUND(N(INDEX(art_init,MATCH(C3106,art_ref,0)))+SUMIFS($E$5:E3106,$C$5:C3106,C3106,$B$5:B3106,"Entrée")-SUMIFS($E$5:E3106,$C$5:C3106,C3106,$B$5:B3106,"Sortie"),6),""))</f>
        <v/>
      </c>
      <c r="L3106" s="39" t="str">
        <f>IF(COUNTA(A3106:C3106,E3106)=0,"",IF(COUNTA(A3106:C3106,E3106)&lt;4,"Ligne incomplète",IF(NOT(ISNUMBER(A3106)),"Date invalide",IF(AND(B3106&lt;&gt;"Entrée",B3106&lt;&gt;"Sortie"),"Type inconnu",IF(ISNA(MATCH(C3106,art_ref,0)),"Référence inconnue",IF(OR(NOT(ISNUMBER(E3106)),N(E3106)&lt;=0),"Quantité invalide",IF(K3106&lt;0,"Stock négatif",IF(AND(ISNUMBER(A3105),A3106&lt;A3105),"Date hors ordre","OK"))))))))</f>
        <v/>
      </c>
      <c r="M3106" s="39" t="str">
        <f>IF(C3106="","",C3106&amp;"#"&amp;COUNTIF($C$5:C3106,C3106))</f>
        <v/>
      </c>
    </row>
    <row r="3107">
      <c r="A3107" s="41" t="n"/>
      <c r="B3107" s="37" t="n"/>
      <c r="C3107" s="37" t="n"/>
      <c r="D3107" s="39" t="str">
        <f>IF(C3107="","",IFERROR(INDEX(art_des,MATCH(C3107,art_ref,0))&amp;"","Référence inconnue"))</f>
        <v/>
      </c>
      <c r="E3107" s="37" t="n"/>
      <c r="F3107" s="39" t="str">
        <f>IF(C3107="","",IFERROR(INDEX(art_unit,MATCH(C3107,art_ref,0))&amp;"",""))</f>
        <v/>
      </c>
      <c r="G3107" s="37" t="n"/>
      <c r="H3107" s="37" t="n"/>
      <c r="I3107" s="37" t="n"/>
      <c r="J3107" s="40" t="str">
        <f>IF(OR(C3107="",NOT(ISNUMBER(E3107))),"",IFERROR(E3107*N(INDEX(art_price,MATCH(C3107,art_ref,0))),""))</f>
        <v/>
      </c>
      <c r="K3107" s="39" t="str">
        <f>IF(OR(C3107="",NOT(ISNUMBER(E3107))),"",IFERROR(ROUND(N(INDEX(art_init,MATCH(C3107,art_ref,0)))+SUMIFS($E$5:E3107,$C$5:C3107,C3107,$B$5:B3107,"Entrée")-SUMIFS($E$5:E3107,$C$5:C3107,C3107,$B$5:B3107,"Sortie"),6),""))</f>
        <v/>
      </c>
      <c r="L3107" s="39" t="str">
        <f>IF(COUNTA(A3107:C3107,E3107)=0,"",IF(COUNTA(A3107:C3107,E3107)&lt;4,"Ligne incomplète",IF(NOT(ISNUMBER(A3107)),"Date invalide",IF(AND(B3107&lt;&gt;"Entrée",B3107&lt;&gt;"Sortie"),"Type inconnu",IF(ISNA(MATCH(C3107,art_ref,0)),"Référence inconnue",IF(OR(NOT(ISNUMBER(E3107)),N(E3107)&lt;=0),"Quantité invalide",IF(K3107&lt;0,"Stock négatif",IF(AND(ISNUMBER(A3106),A3107&lt;A3106),"Date hors ordre","OK"))))))))</f>
        <v/>
      </c>
      <c r="M3107" s="39" t="str">
        <f>IF(C3107="","",C3107&amp;"#"&amp;COUNTIF($C$5:C3107,C3107))</f>
        <v/>
      </c>
    </row>
    <row r="3108">
      <c r="A3108" s="41" t="n"/>
      <c r="B3108" s="37" t="n"/>
      <c r="C3108" s="37" t="n"/>
      <c r="D3108" s="39" t="str">
        <f>IF(C3108="","",IFERROR(INDEX(art_des,MATCH(C3108,art_ref,0))&amp;"","Référence inconnue"))</f>
        <v/>
      </c>
      <c r="E3108" s="37" t="n"/>
      <c r="F3108" s="39" t="str">
        <f>IF(C3108="","",IFERROR(INDEX(art_unit,MATCH(C3108,art_ref,0))&amp;"",""))</f>
        <v/>
      </c>
      <c r="G3108" s="37" t="n"/>
      <c r="H3108" s="37" t="n"/>
      <c r="I3108" s="37" t="n"/>
      <c r="J3108" s="40" t="str">
        <f>IF(OR(C3108="",NOT(ISNUMBER(E3108))),"",IFERROR(E3108*N(INDEX(art_price,MATCH(C3108,art_ref,0))),""))</f>
        <v/>
      </c>
      <c r="K3108" s="39" t="str">
        <f>IF(OR(C3108="",NOT(ISNUMBER(E3108))),"",IFERROR(ROUND(N(INDEX(art_init,MATCH(C3108,art_ref,0)))+SUMIFS($E$5:E3108,$C$5:C3108,C3108,$B$5:B3108,"Entrée")-SUMIFS($E$5:E3108,$C$5:C3108,C3108,$B$5:B3108,"Sortie"),6),""))</f>
        <v/>
      </c>
      <c r="L3108" s="39" t="str">
        <f>IF(COUNTA(A3108:C3108,E3108)=0,"",IF(COUNTA(A3108:C3108,E3108)&lt;4,"Ligne incomplète",IF(NOT(ISNUMBER(A3108)),"Date invalide",IF(AND(B3108&lt;&gt;"Entrée",B3108&lt;&gt;"Sortie"),"Type inconnu",IF(ISNA(MATCH(C3108,art_ref,0)),"Référence inconnue",IF(OR(NOT(ISNUMBER(E3108)),N(E3108)&lt;=0),"Quantité invalide",IF(K3108&lt;0,"Stock négatif",IF(AND(ISNUMBER(A3107),A3108&lt;A3107),"Date hors ordre","OK"))))))))</f>
        <v/>
      </c>
      <c r="M3108" s="39" t="str">
        <f>IF(C3108="","",C3108&amp;"#"&amp;COUNTIF($C$5:C3108,C3108))</f>
        <v/>
      </c>
    </row>
    <row r="3109">
      <c r="A3109" s="41" t="n"/>
      <c r="B3109" s="37" t="n"/>
      <c r="C3109" s="37" t="n"/>
      <c r="D3109" s="39" t="str">
        <f>IF(C3109="","",IFERROR(INDEX(art_des,MATCH(C3109,art_ref,0))&amp;"","Référence inconnue"))</f>
        <v/>
      </c>
      <c r="E3109" s="37" t="n"/>
      <c r="F3109" s="39" t="str">
        <f>IF(C3109="","",IFERROR(INDEX(art_unit,MATCH(C3109,art_ref,0))&amp;"",""))</f>
        <v/>
      </c>
      <c r="G3109" s="37" t="n"/>
      <c r="H3109" s="37" t="n"/>
      <c r="I3109" s="37" t="n"/>
      <c r="J3109" s="40" t="str">
        <f>IF(OR(C3109="",NOT(ISNUMBER(E3109))),"",IFERROR(E3109*N(INDEX(art_price,MATCH(C3109,art_ref,0))),""))</f>
        <v/>
      </c>
      <c r="K3109" s="39" t="str">
        <f>IF(OR(C3109="",NOT(ISNUMBER(E3109))),"",IFERROR(ROUND(N(INDEX(art_init,MATCH(C3109,art_ref,0)))+SUMIFS($E$5:E3109,$C$5:C3109,C3109,$B$5:B3109,"Entrée")-SUMIFS($E$5:E3109,$C$5:C3109,C3109,$B$5:B3109,"Sortie"),6),""))</f>
        <v/>
      </c>
      <c r="L3109" s="39" t="str">
        <f>IF(COUNTA(A3109:C3109,E3109)=0,"",IF(COUNTA(A3109:C3109,E3109)&lt;4,"Ligne incomplète",IF(NOT(ISNUMBER(A3109)),"Date invalide",IF(AND(B3109&lt;&gt;"Entrée",B3109&lt;&gt;"Sortie"),"Type inconnu",IF(ISNA(MATCH(C3109,art_ref,0)),"Référence inconnue",IF(OR(NOT(ISNUMBER(E3109)),N(E3109)&lt;=0),"Quantité invalide",IF(K3109&lt;0,"Stock négatif",IF(AND(ISNUMBER(A3108),A3109&lt;A3108),"Date hors ordre","OK"))))))))</f>
        <v/>
      </c>
      <c r="M3109" s="39" t="str">
        <f>IF(C3109="","",C3109&amp;"#"&amp;COUNTIF($C$5:C3109,C3109))</f>
        <v/>
      </c>
    </row>
    <row r="3110">
      <c r="A3110" s="41" t="n"/>
      <c r="B3110" s="37" t="n"/>
      <c r="C3110" s="37" t="n"/>
      <c r="D3110" s="39" t="str">
        <f>IF(C3110="","",IFERROR(INDEX(art_des,MATCH(C3110,art_ref,0))&amp;"","Référence inconnue"))</f>
        <v/>
      </c>
      <c r="E3110" s="37" t="n"/>
      <c r="F3110" s="39" t="str">
        <f>IF(C3110="","",IFERROR(INDEX(art_unit,MATCH(C3110,art_ref,0))&amp;"",""))</f>
        <v/>
      </c>
      <c r="G3110" s="37" t="n"/>
      <c r="H3110" s="37" t="n"/>
      <c r="I3110" s="37" t="n"/>
      <c r="J3110" s="40" t="str">
        <f>IF(OR(C3110="",NOT(ISNUMBER(E3110))),"",IFERROR(E3110*N(INDEX(art_price,MATCH(C3110,art_ref,0))),""))</f>
        <v/>
      </c>
      <c r="K3110" s="39" t="str">
        <f>IF(OR(C3110="",NOT(ISNUMBER(E3110))),"",IFERROR(ROUND(N(INDEX(art_init,MATCH(C3110,art_ref,0)))+SUMIFS($E$5:E3110,$C$5:C3110,C3110,$B$5:B3110,"Entrée")-SUMIFS($E$5:E3110,$C$5:C3110,C3110,$B$5:B3110,"Sortie"),6),""))</f>
        <v/>
      </c>
      <c r="L3110" s="39" t="str">
        <f>IF(COUNTA(A3110:C3110,E3110)=0,"",IF(COUNTA(A3110:C3110,E3110)&lt;4,"Ligne incomplète",IF(NOT(ISNUMBER(A3110)),"Date invalide",IF(AND(B3110&lt;&gt;"Entrée",B3110&lt;&gt;"Sortie"),"Type inconnu",IF(ISNA(MATCH(C3110,art_ref,0)),"Référence inconnue",IF(OR(NOT(ISNUMBER(E3110)),N(E3110)&lt;=0),"Quantité invalide",IF(K3110&lt;0,"Stock négatif",IF(AND(ISNUMBER(A3109),A3110&lt;A3109),"Date hors ordre","OK"))))))))</f>
        <v/>
      </c>
      <c r="M3110" s="39" t="str">
        <f>IF(C3110="","",C3110&amp;"#"&amp;COUNTIF($C$5:C3110,C3110))</f>
        <v/>
      </c>
    </row>
    <row r="3111">
      <c r="A3111" s="41" t="n"/>
      <c r="B3111" s="37" t="n"/>
      <c r="C3111" s="37" t="n"/>
      <c r="D3111" s="39" t="str">
        <f>IF(C3111="","",IFERROR(INDEX(art_des,MATCH(C3111,art_ref,0))&amp;"","Référence inconnue"))</f>
        <v/>
      </c>
      <c r="E3111" s="37" t="n"/>
      <c r="F3111" s="39" t="str">
        <f>IF(C3111="","",IFERROR(INDEX(art_unit,MATCH(C3111,art_ref,0))&amp;"",""))</f>
        <v/>
      </c>
      <c r="G3111" s="37" t="n"/>
      <c r="H3111" s="37" t="n"/>
      <c r="I3111" s="37" t="n"/>
      <c r="J3111" s="40" t="str">
        <f>IF(OR(C3111="",NOT(ISNUMBER(E3111))),"",IFERROR(E3111*N(INDEX(art_price,MATCH(C3111,art_ref,0))),""))</f>
        <v/>
      </c>
      <c r="K3111" s="39" t="str">
        <f>IF(OR(C3111="",NOT(ISNUMBER(E3111))),"",IFERROR(ROUND(N(INDEX(art_init,MATCH(C3111,art_ref,0)))+SUMIFS($E$5:E3111,$C$5:C3111,C3111,$B$5:B3111,"Entrée")-SUMIFS($E$5:E3111,$C$5:C3111,C3111,$B$5:B3111,"Sortie"),6),""))</f>
        <v/>
      </c>
      <c r="L3111" s="39" t="str">
        <f>IF(COUNTA(A3111:C3111,E3111)=0,"",IF(COUNTA(A3111:C3111,E3111)&lt;4,"Ligne incomplète",IF(NOT(ISNUMBER(A3111)),"Date invalide",IF(AND(B3111&lt;&gt;"Entrée",B3111&lt;&gt;"Sortie"),"Type inconnu",IF(ISNA(MATCH(C3111,art_ref,0)),"Référence inconnue",IF(OR(NOT(ISNUMBER(E3111)),N(E3111)&lt;=0),"Quantité invalide",IF(K3111&lt;0,"Stock négatif",IF(AND(ISNUMBER(A3110),A3111&lt;A3110),"Date hors ordre","OK"))))))))</f>
        <v/>
      </c>
      <c r="M3111" s="39" t="str">
        <f>IF(C3111="","",C3111&amp;"#"&amp;COUNTIF($C$5:C3111,C3111))</f>
        <v/>
      </c>
    </row>
    <row r="3112">
      <c r="A3112" s="41" t="n"/>
      <c r="B3112" s="37" t="n"/>
      <c r="C3112" s="37" t="n"/>
      <c r="D3112" s="39" t="str">
        <f>IF(C3112="","",IFERROR(INDEX(art_des,MATCH(C3112,art_ref,0))&amp;"","Référence inconnue"))</f>
        <v/>
      </c>
      <c r="E3112" s="37" t="n"/>
      <c r="F3112" s="39" t="str">
        <f>IF(C3112="","",IFERROR(INDEX(art_unit,MATCH(C3112,art_ref,0))&amp;"",""))</f>
        <v/>
      </c>
      <c r="G3112" s="37" t="n"/>
      <c r="H3112" s="37" t="n"/>
      <c r="I3112" s="37" t="n"/>
      <c r="J3112" s="40" t="str">
        <f>IF(OR(C3112="",NOT(ISNUMBER(E3112))),"",IFERROR(E3112*N(INDEX(art_price,MATCH(C3112,art_ref,0))),""))</f>
        <v/>
      </c>
      <c r="K3112" s="39" t="str">
        <f>IF(OR(C3112="",NOT(ISNUMBER(E3112))),"",IFERROR(ROUND(N(INDEX(art_init,MATCH(C3112,art_ref,0)))+SUMIFS($E$5:E3112,$C$5:C3112,C3112,$B$5:B3112,"Entrée")-SUMIFS($E$5:E3112,$C$5:C3112,C3112,$B$5:B3112,"Sortie"),6),""))</f>
        <v/>
      </c>
      <c r="L3112" s="39" t="str">
        <f>IF(COUNTA(A3112:C3112,E3112)=0,"",IF(COUNTA(A3112:C3112,E3112)&lt;4,"Ligne incomplète",IF(NOT(ISNUMBER(A3112)),"Date invalide",IF(AND(B3112&lt;&gt;"Entrée",B3112&lt;&gt;"Sortie"),"Type inconnu",IF(ISNA(MATCH(C3112,art_ref,0)),"Référence inconnue",IF(OR(NOT(ISNUMBER(E3112)),N(E3112)&lt;=0),"Quantité invalide",IF(K3112&lt;0,"Stock négatif",IF(AND(ISNUMBER(A3111),A3112&lt;A3111),"Date hors ordre","OK"))))))))</f>
        <v/>
      </c>
      <c r="M3112" s="39" t="str">
        <f>IF(C3112="","",C3112&amp;"#"&amp;COUNTIF($C$5:C3112,C3112))</f>
        <v/>
      </c>
    </row>
    <row r="3113">
      <c r="A3113" s="41" t="n"/>
      <c r="B3113" s="37" t="n"/>
      <c r="C3113" s="37" t="n"/>
      <c r="D3113" s="39" t="str">
        <f>IF(C3113="","",IFERROR(INDEX(art_des,MATCH(C3113,art_ref,0))&amp;"","Référence inconnue"))</f>
        <v/>
      </c>
      <c r="E3113" s="37" t="n"/>
      <c r="F3113" s="39" t="str">
        <f>IF(C3113="","",IFERROR(INDEX(art_unit,MATCH(C3113,art_ref,0))&amp;"",""))</f>
        <v/>
      </c>
      <c r="G3113" s="37" t="n"/>
      <c r="H3113" s="37" t="n"/>
      <c r="I3113" s="37" t="n"/>
      <c r="J3113" s="40" t="str">
        <f>IF(OR(C3113="",NOT(ISNUMBER(E3113))),"",IFERROR(E3113*N(INDEX(art_price,MATCH(C3113,art_ref,0))),""))</f>
        <v/>
      </c>
      <c r="K3113" s="39" t="str">
        <f>IF(OR(C3113="",NOT(ISNUMBER(E3113))),"",IFERROR(ROUND(N(INDEX(art_init,MATCH(C3113,art_ref,0)))+SUMIFS($E$5:E3113,$C$5:C3113,C3113,$B$5:B3113,"Entrée")-SUMIFS($E$5:E3113,$C$5:C3113,C3113,$B$5:B3113,"Sortie"),6),""))</f>
        <v/>
      </c>
      <c r="L3113" s="39" t="str">
        <f>IF(COUNTA(A3113:C3113,E3113)=0,"",IF(COUNTA(A3113:C3113,E3113)&lt;4,"Ligne incomplète",IF(NOT(ISNUMBER(A3113)),"Date invalide",IF(AND(B3113&lt;&gt;"Entrée",B3113&lt;&gt;"Sortie"),"Type inconnu",IF(ISNA(MATCH(C3113,art_ref,0)),"Référence inconnue",IF(OR(NOT(ISNUMBER(E3113)),N(E3113)&lt;=0),"Quantité invalide",IF(K3113&lt;0,"Stock négatif",IF(AND(ISNUMBER(A3112),A3113&lt;A3112),"Date hors ordre","OK"))))))))</f>
        <v/>
      </c>
      <c r="M3113" s="39" t="str">
        <f>IF(C3113="","",C3113&amp;"#"&amp;COUNTIF($C$5:C3113,C3113))</f>
        <v/>
      </c>
    </row>
    <row r="3114">
      <c r="A3114" s="41" t="n"/>
      <c r="B3114" s="37" t="n"/>
      <c r="C3114" s="37" t="n"/>
      <c r="D3114" s="39" t="str">
        <f>IF(C3114="","",IFERROR(INDEX(art_des,MATCH(C3114,art_ref,0))&amp;"","Référence inconnue"))</f>
        <v/>
      </c>
      <c r="E3114" s="37" t="n"/>
      <c r="F3114" s="39" t="str">
        <f>IF(C3114="","",IFERROR(INDEX(art_unit,MATCH(C3114,art_ref,0))&amp;"",""))</f>
        <v/>
      </c>
      <c r="G3114" s="37" t="n"/>
      <c r="H3114" s="37" t="n"/>
      <c r="I3114" s="37" t="n"/>
      <c r="J3114" s="40" t="str">
        <f>IF(OR(C3114="",NOT(ISNUMBER(E3114))),"",IFERROR(E3114*N(INDEX(art_price,MATCH(C3114,art_ref,0))),""))</f>
        <v/>
      </c>
      <c r="K3114" s="39" t="str">
        <f>IF(OR(C3114="",NOT(ISNUMBER(E3114))),"",IFERROR(ROUND(N(INDEX(art_init,MATCH(C3114,art_ref,0)))+SUMIFS($E$5:E3114,$C$5:C3114,C3114,$B$5:B3114,"Entrée")-SUMIFS($E$5:E3114,$C$5:C3114,C3114,$B$5:B3114,"Sortie"),6),""))</f>
        <v/>
      </c>
      <c r="L3114" s="39" t="str">
        <f>IF(COUNTA(A3114:C3114,E3114)=0,"",IF(COUNTA(A3114:C3114,E3114)&lt;4,"Ligne incomplète",IF(NOT(ISNUMBER(A3114)),"Date invalide",IF(AND(B3114&lt;&gt;"Entrée",B3114&lt;&gt;"Sortie"),"Type inconnu",IF(ISNA(MATCH(C3114,art_ref,0)),"Référence inconnue",IF(OR(NOT(ISNUMBER(E3114)),N(E3114)&lt;=0),"Quantité invalide",IF(K3114&lt;0,"Stock négatif",IF(AND(ISNUMBER(A3113),A3114&lt;A3113),"Date hors ordre","OK"))))))))</f>
        <v/>
      </c>
      <c r="M3114" s="39" t="str">
        <f>IF(C3114="","",C3114&amp;"#"&amp;COUNTIF($C$5:C3114,C3114))</f>
        <v/>
      </c>
    </row>
    <row r="3115">
      <c r="A3115" s="41" t="n"/>
      <c r="B3115" s="37" t="n"/>
      <c r="C3115" s="37" t="n"/>
      <c r="D3115" s="39" t="str">
        <f>IF(C3115="","",IFERROR(INDEX(art_des,MATCH(C3115,art_ref,0))&amp;"","Référence inconnue"))</f>
        <v/>
      </c>
      <c r="E3115" s="37" t="n"/>
      <c r="F3115" s="39" t="str">
        <f>IF(C3115="","",IFERROR(INDEX(art_unit,MATCH(C3115,art_ref,0))&amp;"",""))</f>
        <v/>
      </c>
      <c r="G3115" s="37" t="n"/>
      <c r="H3115" s="37" t="n"/>
      <c r="I3115" s="37" t="n"/>
      <c r="J3115" s="40" t="str">
        <f>IF(OR(C3115="",NOT(ISNUMBER(E3115))),"",IFERROR(E3115*N(INDEX(art_price,MATCH(C3115,art_ref,0))),""))</f>
        <v/>
      </c>
      <c r="K3115" s="39" t="str">
        <f>IF(OR(C3115="",NOT(ISNUMBER(E3115))),"",IFERROR(ROUND(N(INDEX(art_init,MATCH(C3115,art_ref,0)))+SUMIFS($E$5:E3115,$C$5:C3115,C3115,$B$5:B3115,"Entrée")-SUMIFS($E$5:E3115,$C$5:C3115,C3115,$B$5:B3115,"Sortie"),6),""))</f>
        <v/>
      </c>
      <c r="L3115" s="39" t="str">
        <f>IF(COUNTA(A3115:C3115,E3115)=0,"",IF(COUNTA(A3115:C3115,E3115)&lt;4,"Ligne incomplète",IF(NOT(ISNUMBER(A3115)),"Date invalide",IF(AND(B3115&lt;&gt;"Entrée",B3115&lt;&gt;"Sortie"),"Type inconnu",IF(ISNA(MATCH(C3115,art_ref,0)),"Référence inconnue",IF(OR(NOT(ISNUMBER(E3115)),N(E3115)&lt;=0),"Quantité invalide",IF(K3115&lt;0,"Stock négatif",IF(AND(ISNUMBER(A3114),A3115&lt;A3114),"Date hors ordre","OK"))))))))</f>
        <v/>
      </c>
      <c r="M3115" s="39" t="str">
        <f>IF(C3115="","",C3115&amp;"#"&amp;COUNTIF($C$5:C3115,C3115))</f>
        <v/>
      </c>
    </row>
    <row r="3116">
      <c r="A3116" s="41" t="n"/>
      <c r="B3116" s="37" t="n"/>
      <c r="C3116" s="37" t="n"/>
      <c r="D3116" s="39" t="str">
        <f>IF(C3116="","",IFERROR(INDEX(art_des,MATCH(C3116,art_ref,0))&amp;"","Référence inconnue"))</f>
        <v/>
      </c>
      <c r="E3116" s="37" t="n"/>
      <c r="F3116" s="39" t="str">
        <f>IF(C3116="","",IFERROR(INDEX(art_unit,MATCH(C3116,art_ref,0))&amp;"",""))</f>
        <v/>
      </c>
      <c r="G3116" s="37" t="n"/>
      <c r="H3116" s="37" t="n"/>
      <c r="I3116" s="37" t="n"/>
      <c r="J3116" s="40" t="str">
        <f>IF(OR(C3116="",NOT(ISNUMBER(E3116))),"",IFERROR(E3116*N(INDEX(art_price,MATCH(C3116,art_ref,0))),""))</f>
        <v/>
      </c>
      <c r="K3116" s="39" t="str">
        <f>IF(OR(C3116="",NOT(ISNUMBER(E3116))),"",IFERROR(ROUND(N(INDEX(art_init,MATCH(C3116,art_ref,0)))+SUMIFS($E$5:E3116,$C$5:C3116,C3116,$B$5:B3116,"Entrée")-SUMIFS($E$5:E3116,$C$5:C3116,C3116,$B$5:B3116,"Sortie"),6),""))</f>
        <v/>
      </c>
      <c r="L3116" s="39" t="str">
        <f>IF(COUNTA(A3116:C3116,E3116)=0,"",IF(COUNTA(A3116:C3116,E3116)&lt;4,"Ligne incomplète",IF(NOT(ISNUMBER(A3116)),"Date invalide",IF(AND(B3116&lt;&gt;"Entrée",B3116&lt;&gt;"Sortie"),"Type inconnu",IF(ISNA(MATCH(C3116,art_ref,0)),"Référence inconnue",IF(OR(NOT(ISNUMBER(E3116)),N(E3116)&lt;=0),"Quantité invalide",IF(K3116&lt;0,"Stock négatif",IF(AND(ISNUMBER(A3115),A3116&lt;A3115),"Date hors ordre","OK"))))))))</f>
        <v/>
      </c>
      <c r="M3116" s="39" t="str">
        <f>IF(C3116="","",C3116&amp;"#"&amp;COUNTIF($C$5:C3116,C3116))</f>
        <v/>
      </c>
    </row>
    <row r="3117">
      <c r="A3117" s="41" t="n"/>
      <c r="B3117" s="37" t="n"/>
      <c r="C3117" s="37" t="n"/>
      <c r="D3117" s="39" t="str">
        <f>IF(C3117="","",IFERROR(INDEX(art_des,MATCH(C3117,art_ref,0))&amp;"","Référence inconnue"))</f>
        <v/>
      </c>
      <c r="E3117" s="37" t="n"/>
      <c r="F3117" s="39" t="str">
        <f>IF(C3117="","",IFERROR(INDEX(art_unit,MATCH(C3117,art_ref,0))&amp;"",""))</f>
        <v/>
      </c>
      <c r="G3117" s="37" t="n"/>
      <c r="H3117" s="37" t="n"/>
      <c r="I3117" s="37" t="n"/>
      <c r="J3117" s="40" t="str">
        <f>IF(OR(C3117="",NOT(ISNUMBER(E3117))),"",IFERROR(E3117*N(INDEX(art_price,MATCH(C3117,art_ref,0))),""))</f>
        <v/>
      </c>
      <c r="K3117" s="39" t="str">
        <f>IF(OR(C3117="",NOT(ISNUMBER(E3117))),"",IFERROR(ROUND(N(INDEX(art_init,MATCH(C3117,art_ref,0)))+SUMIFS($E$5:E3117,$C$5:C3117,C3117,$B$5:B3117,"Entrée")-SUMIFS($E$5:E3117,$C$5:C3117,C3117,$B$5:B3117,"Sortie"),6),""))</f>
        <v/>
      </c>
      <c r="L3117" s="39" t="str">
        <f>IF(COUNTA(A3117:C3117,E3117)=0,"",IF(COUNTA(A3117:C3117,E3117)&lt;4,"Ligne incomplète",IF(NOT(ISNUMBER(A3117)),"Date invalide",IF(AND(B3117&lt;&gt;"Entrée",B3117&lt;&gt;"Sortie"),"Type inconnu",IF(ISNA(MATCH(C3117,art_ref,0)),"Référence inconnue",IF(OR(NOT(ISNUMBER(E3117)),N(E3117)&lt;=0),"Quantité invalide",IF(K3117&lt;0,"Stock négatif",IF(AND(ISNUMBER(A3116),A3117&lt;A3116),"Date hors ordre","OK"))))))))</f>
        <v/>
      </c>
      <c r="M3117" s="39" t="str">
        <f>IF(C3117="","",C3117&amp;"#"&amp;COUNTIF($C$5:C3117,C3117))</f>
        <v/>
      </c>
    </row>
    <row r="3118">
      <c r="A3118" s="41" t="n"/>
      <c r="B3118" s="37" t="n"/>
      <c r="C3118" s="37" t="n"/>
      <c r="D3118" s="39" t="str">
        <f>IF(C3118="","",IFERROR(INDEX(art_des,MATCH(C3118,art_ref,0))&amp;"","Référence inconnue"))</f>
        <v/>
      </c>
      <c r="E3118" s="37" t="n"/>
      <c r="F3118" s="39" t="str">
        <f>IF(C3118="","",IFERROR(INDEX(art_unit,MATCH(C3118,art_ref,0))&amp;"",""))</f>
        <v/>
      </c>
      <c r="G3118" s="37" t="n"/>
      <c r="H3118" s="37" t="n"/>
      <c r="I3118" s="37" t="n"/>
      <c r="J3118" s="40" t="str">
        <f>IF(OR(C3118="",NOT(ISNUMBER(E3118))),"",IFERROR(E3118*N(INDEX(art_price,MATCH(C3118,art_ref,0))),""))</f>
        <v/>
      </c>
      <c r="K3118" s="39" t="str">
        <f>IF(OR(C3118="",NOT(ISNUMBER(E3118))),"",IFERROR(ROUND(N(INDEX(art_init,MATCH(C3118,art_ref,0)))+SUMIFS($E$5:E3118,$C$5:C3118,C3118,$B$5:B3118,"Entrée")-SUMIFS($E$5:E3118,$C$5:C3118,C3118,$B$5:B3118,"Sortie"),6),""))</f>
        <v/>
      </c>
      <c r="L3118" s="39" t="str">
        <f>IF(COUNTA(A3118:C3118,E3118)=0,"",IF(COUNTA(A3118:C3118,E3118)&lt;4,"Ligne incomplète",IF(NOT(ISNUMBER(A3118)),"Date invalide",IF(AND(B3118&lt;&gt;"Entrée",B3118&lt;&gt;"Sortie"),"Type inconnu",IF(ISNA(MATCH(C3118,art_ref,0)),"Référence inconnue",IF(OR(NOT(ISNUMBER(E3118)),N(E3118)&lt;=0),"Quantité invalide",IF(K3118&lt;0,"Stock négatif",IF(AND(ISNUMBER(A3117),A3118&lt;A3117),"Date hors ordre","OK"))))))))</f>
        <v/>
      </c>
      <c r="M3118" s="39" t="str">
        <f>IF(C3118="","",C3118&amp;"#"&amp;COUNTIF($C$5:C3118,C3118))</f>
        <v/>
      </c>
    </row>
    <row r="3119">
      <c r="A3119" s="41" t="n"/>
      <c r="B3119" s="37" t="n"/>
      <c r="C3119" s="37" t="n"/>
      <c r="D3119" s="39" t="str">
        <f>IF(C3119="","",IFERROR(INDEX(art_des,MATCH(C3119,art_ref,0))&amp;"","Référence inconnue"))</f>
        <v/>
      </c>
      <c r="E3119" s="37" t="n"/>
      <c r="F3119" s="39" t="str">
        <f>IF(C3119="","",IFERROR(INDEX(art_unit,MATCH(C3119,art_ref,0))&amp;"",""))</f>
        <v/>
      </c>
      <c r="G3119" s="37" t="n"/>
      <c r="H3119" s="37" t="n"/>
      <c r="I3119" s="37" t="n"/>
      <c r="J3119" s="40" t="str">
        <f>IF(OR(C3119="",NOT(ISNUMBER(E3119))),"",IFERROR(E3119*N(INDEX(art_price,MATCH(C3119,art_ref,0))),""))</f>
        <v/>
      </c>
      <c r="K3119" s="39" t="str">
        <f>IF(OR(C3119="",NOT(ISNUMBER(E3119))),"",IFERROR(ROUND(N(INDEX(art_init,MATCH(C3119,art_ref,0)))+SUMIFS($E$5:E3119,$C$5:C3119,C3119,$B$5:B3119,"Entrée")-SUMIFS($E$5:E3119,$C$5:C3119,C3119,$B$5:B3119,"Sortie"),6),""))</f>
        <v/>
      </c>
      <c r="L3119" s="39" t="str">
        <f>IF(COUNTA(A3119:C3119,E3119)=0,"",IF(COUNTA(A3119:C3119,E3119)&lt;4,"Ligne incomplète",IF(NOT(ISNUMBER(A3119)),"Date invalide",IF(AND(B3119&lt;&gt;"Entrée",B3119&lt;&gt;"Sortie"),"Type inconnu",IF(ISNA(MATCH(C3119,art_ref,0)),"Référence inconnue",IF(OR(NOT(ISNUMBER(E3119)),N(E3119)&lt;=0),"Quantité invalide",IF(K3119&lt;0,"Stock négatif",IF(AND(ISNUMBER(A3118),A3119&lt;A3118),"Date hors ordre","OK"))))))))</f>
        <v/>
      </c>
      <c r="M3119" s="39" t="str">
        <f>IF(C3119="","",C3119&amp;"#"&amp;COUNTIF($C$5:C3119,C3119))</f>
        <v/>
      </c>
    </row>
    <row r="3120">
      <c r="A3120" s="41" t="n"/>
      <c r="B3120" s="37" t="n"/>
      <c r="C3120" s="37" t="n"/>
      <c r="D3120" s="39" t="str">
        <f>IF(C3120="","",IFERROR(INDEX(art_des,MATCH(C3120,art_ref,0))&amp;"","Référence inconnue"))</f>
        <v/>
      </c>
      <c r="E3120" s="37" t="n"/>
      <c r="F3120" s="39" t="str">
        <f>IF(C3120="","",IFERROR(INDEX(art_unit,MATCH(C3120,art_ref,0))&amp;"",""))</f>
        <v/>
      </c>
      <c r="G3120" s="37" t="n"/>
      <c r="H3120" s="37" t="n"/>
      <c r="I3120" s="37" t="n"/>
      <c r="J3120" s="40" t="str">
        <f>IF(OR(C3120="",NOT(ISNUMBER(E3120))),"",IFERROR(E3120*N(INDEX(art_price,MATCH(C3120,art_ref,0))),""))</f>
        <v/>
      </c>
      <c r="K3120" s="39" t="str">
        <f>IF(OR(C3120="",NOT(ISNUMBER(E3120))),"",IFERROR(ROUND(N(INDEX(art_init,MATCH(C3120,art_ref,0)))+SUMIFS($E$5:E3120,$C$5:C3120,C3120,$B$5:B3120,"Entrée")-SUMIFS($E$5:E3120,$C$5:C3120,C3120,$B$5:B3120,"Sortie"),6),""))</f>
        <v/>
      </c>
      <c r="L3120" s="39" t="str">
        <f>IF(COUNTA(A3120:C3120,E3120)=0,"",IF(COUNTA(A3120:C3120,E3120)&lt;4,"Ligne incomplète",IF(NOT(ISNUMBER(A3120)),"Date invalide",IF(AND(B3120&lt;&gt;"Entrée",B3120&lt;&gt;"Sortie"),"Type inconnu",IF(ISNA(MATCH(C3120,art_ref,0)),"Référence inconnue",IF(OR(NOT(ISNUMBER(E3120)),N(E3120)&lt;=0),"Quantité invalide",IF(K3120&lt;0,"Stock négatif",IF(AND(ISNUMBER(A3119),A3120&lt;A3119),"Date hors ordre","OK"))))))))</f>
        <v/>
      </c>
      <c r="M3120" s="39" t="str">
        <f>IF(C3120="","",C3120&amp;"#"&amp;COUNTIF($C$5:C3120,C3120))</f>
        <v/>
      </c>
    </row>
    <row r="3121">
      <c r="A3121" s="41" t="n"/>
      <c r="B3121" s="37" t="n"/>
      <c r="C3121" s="37" t="n"/>
      <c r="D3121" s="39" t="str">
        <f>IF(C3121="","",IFERROR(INDEX(art_des,MATCH(C3121,art_ref,0))&amp;"","Référence inconnue"))</f>
        <v/>
      </c>
      <c r="E3121" s="37" t="n"/>
      <c r="F3121" s="39" t="str">
        <f>IF(C3121="","",IFERROR(INDEX(art_unit,MATCH(C3121,art_ref,0))&amp;"",""))</f>
        <v/>
      </c>
      <c r="G3121" s="37" t="n"/>
      <c r="H3121" s="37" t="n"/>
      <c r="I3121" s="37" t="n"/>
      <c r="J3121" s="40" t="str">
        <f>IF(OR(C3121="",NOT(ISNUMBER(E3121))),"",IFERROR(E3121*N(INDEX(art_price,MATCH(C3121,art_ref,0))),""))</f>
        <v/>
      </c>
      <c r="K3121" s="39" t="str">
        <f>IF(OR(C3121="",NOT(ISNUMBER(E3121))),"",IFERROR(ROUND(N(INDEX(art_init,MATCH(C3121,art_ref,0)))+SUMIFS($E$5:E3121,$C$5:C3121,C3121,$B$5:B3121,"Entrée")-SUMIFS($E$5:E3121,$C$5:C3121,C3121,$B$5:B3121,"Sortie"),6),""))</f>
        <v/>
      </c>
      <c r="L3121" s="39" t="str">
        <f>IF(COUNTA(A3121:C3121,E3121)=0,"",IF(COUNTA(A3121:C3121,E3121)&lt;4,"Ligne incomplète",IF(NOT(ISNUMBER(A3121)),"Date invalide",IF(AND(B3121&lt;&gt;"Entrée",B3121&lt;&gt;"Sortie"),"Type inconnu",IF(ISNA(MATCH(C3121,art_ref,0)),"Référence inconnue",IF(OR(NOT(ISNUMBER(E3121)),N(E3121)&lt;=0),"Quantité invalide",IF(K3121&lt;0,"Stock négatif",IF(AND(ISNUMBER(A3120),A3121&lt;A3120),"Date hors ordre","OK"))))))))</f>
        <v/>
      </c>
      <c r="M3121" s="39" t="str">
        <f>IF(C3121="","",C3121&amp;"#"&amp;COUNTIF($C$5:C3121,C3121))</f>
        <v/>
      </c>
    </row>
    <row r="3122">
      <c r="A3122" s="41" t="n"/>
      <c r="B3122" s="37" t="n"/>
      <c r="C3122" s="37" t="n"/>
      <c r="D3122" s="39" t="str">
        <f>IF(C3122="","",IFERROR(INDEX(art_des,MATCH(C3122,art_ref,0))&amp;"","Référence inconnue"))</f>
        <v/>
      </c>
      <c r="E3122" s="37" t="n"/>
      <c r="F3122" s="39" t="str">
        <f>IF(C3122="","",IFERROR(INDEX(art_unit,MATCH(C3122,art_ref,0))&amp;"",""))</f>
        <v/>
      </c>
      <c r="G3122" s="37" t="n"/>
      <c r="H3122" s="37" t="n"/>
      <c r="I3122" s="37" t="n"/>
      <c r="J3122" s="40" t="str">
        <f>IF(OR(C3122="",NOT(ISNUMBER(E3122))),"",IFERROR(E3122*N(INDEX(art_price,MATCH(C3122,art_ref,0))),""))</f>
        <v/>
      </c>
      <c r="K3122" s="39" t="str">
        <f>IF(OR(C3122="",NOT(ISNUMBER(E3122))),"",IFERROR(ROUND(N(INDEX(art_init,MATCH(C3122,art_ref,0)))+SUMIFS($E$5:E3122,$C$5:C3122,C3122,$B$5:B3122,"Entrée")-SUMIFS($E$5:E3122,$C$5:C3122,C3122,$B$5:B3122,"Sortie"),6),""))</f>
        <v/>
      </c>
      <c r="L3122" s="39" t="str">
        <f>IF(COUNTA(A3122:C3122,E3122)=0,"",IF(COUNTA(A3122:C3122,E3122)&lt;4,"Ligne incomplète",IF(NOT(ISNUMBER(A3122)),"Date invalide",IF(AND(B3122&lt;&gt;"Entrée",B3122&lt;&gt;"Sortie"),"Type inconnu",IF(ISNA(MATCH(C3122,art_ref,0)),"Référence inconnue",IF(OR(NOT(ISNUMBER(E3122)),N(E3122)&lt;=0),"Quantité invalide",IF(K3122&lt;0,"Stock négatif",IF(AND(ISNUMBER(A3121),A3122&lt;A3121),"Date hors ordre","OK"))))))))</f>
        <v/>
      </c>
      <c r="M3122" s="39" t="str">
        <f>IF(C3122="","",C3122&amp;"#"&amp;COUNTIF($C$5:C3122,C3122))</f>
        <v/>
      </c>
    </row>
    <row r="3123">
      <c r="A3123" s="41" t="n"/>
      <c r="B3123" s="37" t="n"/>
      <c r="C3123" s="37" t="n"/>
      <c r="D3123" s="39" t="str">
        <f>IF(C3123="","",IFERROR(INDEX(art_des,MATCH(C3123,art_ref,0))&amp;"","Référence inconnue"))</f>
        <v/>
      </c>
      <c r="E3123" s="37" t="n"/>
      <c r="F3123" s="39" t="str">
        <f>IF(C3123="","",IFERROR(INDEX(art_unit,MATCH(C3123,art_ref,0))&amp;"",""))</f>
        <v/>
      </c>
      <c r="G3123" s="37" t="n"/>
      <c r="H3123" s="37" t="n"/>
      <c r="I3123" s="37" t="n"/>
      <c r="J3123" s="40" t="str">
        <f>IF(OR(C3123="",NOT(ISNUMBER(E3123))),"",IFERROR(E3123*N(INDEX(art_price,MATCH(C3123,art_ref,0))),""))</f>
        <v/>
      </c>
      <c r="K3123" s="39" t="str">
        <f>IF(OR(C3123="",NOT(ISNUMBER(E3123))),"",IFERROR(ROUND(N(INDEX(art_init,MATCH(C3123,art_ref,0)))+SUMIFS($E$5:E3123,$C$5:C3123,C3123,$B$5:B3123,"Entrée")-SUMIFS($E$5:E3123,$C$5:C3123,C3123,$B$5:B3123,"Sortie"),6),""))</f>
        <v/>
      </c>
      <c r="L3123" s="39" t="str">
        <f>IF(COUNTA(A3123:C3123,E3123)=0,"",IF(COUNTA(A3123:C3123,E3123)&lt;4,"Ligne incomplète",IF(NOT(ISNUMBER(A3123)),"Date invalide",IF(AND(B3123&lt;&gt;"Entrée",B3123&lt;&gt;"Sortie"),"Type inconnu",IF(ISNA(MATCH(C3123,art_ref,0)),"Référence inconnue",IF(OR(NOT(ISNUMBER(E3123)),N(E3123)&lt;=0),"Quantité invalide",IF(K3123&lt;0,"Stock négatif",IF(AND(ISNUMBER(A3122),A3123&lt;A3122),"Date hors ordre","OK"))))))))</f>
        <v/>
      </c>
      <c r="M3123" s="39" t="str">
        <f>IF(C3123="","",C3123&amp;"#"&amp;COUNTIF($C$5:C3123,C3123))</f>
        <v/>
      </c>
    </row>
    <row r="3124">
      <c r="A3124" s="41" t="n"/>
      <c r="B3124" s="37" t="n"/>
      <c r="C3124" s="37" t="n"/>
      <c r="D3124" s="39" t="str">
        <f>IF(C3124="","",IFERROR(INDEX(art_des,MATCH(C3124,art_ref,0))&amp;"","Référence inconnue"))</f>
        <v/>
      </c>
      <c r="E3124" s="37" t="n"/>
      <c r="F3124" s="39" t="str">
        <f>IF(C3124="","",IFERROR(INDEX(art_unit,MATCH(C3124,art_ref,0))&amp;"",""))</f>
        <v/>
      </c>
      <c r="G3124" s="37" t="n"/>
      <c r="H3124" s="37" t="n"/>
      <c r="I3124" s="37" t="n"/>
      <c r="J3124" s="40" t="str">
        <f>IF(OR(C3124="",NOT(ISNUMBER(E3124))),"",IFERROR(E3124*N(INDEX(art_price,MATCH(C3124,art_ref,0))),""))</f>
        <v/>
      </c>
      <c r="K3124" s="39" t="str">
        <f>IF(OR(C3124="",NOT(ISNUMBER(E3124))),"",IFERROR(ROUND(N(INDEX(art_init,MATCH(C3124,art_ref,0)))+SUMIFS($E$5:E3124,$C$5:C3124,C3124,$B$5:B3124,"Entrée")-SUMIFS($E$5:E3124,$C$5:C3124,C3124,$B$5:B3124,"Sortie"),6),""))</f>
        <v/>
      </c>
      <c r="L3124" s="39" t="str">
        <f>IF(COUNTA(A3124:C3124,E3124)=0,"",IF(COUNTA(A3124:C3124,E3124)&lt;4,"Ligne incomplète",IF(NOT(ISNUMBER(A3124)),"Date invalide",IF(AND(B3124&lt;&gt;"Entrée",B3124&lt;&gt;"Sortie"),"Type inconnu",IF(ISNA(MATCH(C3124,art_ref,0)),"Référence inconnue",IF(OR(NOT(ISNUMBER(E3124)),N(E3124)&lt;=0),"Quantité invalide",IF(K3124&lt;0,"Stock négatif",IF(AND(ISNUMBER(A3123),A3124&lt;A3123),"Date hors ordre","OK"))))))))</f>
        <v/>
      </c>
      <c r="M3124" s="39" t="str">
        <f>IF(C3124="","",C3124&amp;"#"&amp;COUNTIF($C$5:C3124,C3124))</f>
        <v/>
      </c>
    </row>
    <row r="3125">
      <c r="A3125" s="41" t="n"/>
      <c r="B3125" s="37" t="n"/>
      <c r="C3125" s="37" t="n"/>
      <c r="D3125" s="39" t="str">
        <f>IF(C3125="","",IFERROR(INDEX(art_des,MATCH(C3125,art_ref,0))&amp;"","Référence inconnue"))</f>
        <v/>
      </c>
      <c r="E3125" s="37" t="n"/>
      <c r="F3125" s="39" t="str">
        <f>IF(C3125="","",IFERROR(INDEX(art_unit,MATCH(C3125,art_ref,0))&amp;"",""))</f>
        <v/>
      </c>
      <c r="G3125" s="37" t="n"/>
      <c r="H3125" s="37" t="n"/>
      <c r="I3125" s="37" t="n"/>
      <c r="J3125" s="40" t="str">
        <f>IF(OR(C3125="",NOT(ISNUMBER(E3125))),"",IFERROR(E3125*N(INDEX(art_price,MATCH(C3125,art_ref,0))),""))</f>
        <v/>
      </c>
      <c r="K3125" s="39" t="str">
        <f>IF(OR(C3125="",NOT(ISNUMBER(E3125))),"",IFERROR(ROUND(N(INDEX(art_init,MATCH(C3125,art_ref,0)))+SUMIFS($E$5:E3125,$C$5:C3125,C3125,$B$5:B3125,"Entrée")-SUMIFS($E$5:E3125,$C$5:C3125,C3125,$B$5:B3125,"Sortie"),6),""))</f>
        <v/>
      </c>
      <c r="L3125" s="39" t="str">
        <f>IF(COUNTA(A3125:C3125,E3125)=0,"",IF(COUNTA(A3125:C3125,E3125)&lt;4,"Ligne incomplète",IF(NOT(ISNUMBER(A3125)),"Date invalide",IF(AND(B3125&lt;&gt;"Entrée",B3125&lt;&gt;"Sortie"),"Type inconnu",IF(ISNA(MATCH(C3125,art_ref,0)),"Référence inconnue",IF(OR(NOT(ISNUMBER(E3125)),N(E3125)&lt;=0),"Quantité invalide",IF(K3125&lt;0,"Stock négatif",IF(AND(ISNUMBER(A3124),A3125&lt;A3124),"Date hors ordre","OK"))))))))</f>
        <v/>
      </c>
      <c r="M3125" s="39" t="str">
        <f>IF(C3125="","",C3125&amp;"#"&amp;COUNTIF($C$5:C3125,C3125))</f>
        <v/>
      </c>
    </row>
    <row r="3126">
      <c r="A3126" s="41" t="n"/>
      <c r="B3126" s="37" t="n"/>
      <c r="C3126" s="37" t="n"/>
      <c r="D3126" s="39" t="str">
        <f>IF(C3126="","",IFERROR(INDEX(art_des,MATCH(C3126,art_ref,0))&amp;"","Référence inconnue"))</f>
        <v/>
      </c>
      <c r="E3126" s="37" t="n"/>
      <c r="F3126" s="39" t="str">
        <f>IF(C3126="","",IFERROR(INDEX(art_unit,MATCH(C3126,art_ref,0))&amp;"",""))</f>
        <v/>
      </c>
      <c r="G3126" s="37" t="n"/>
      <c r="H3126" s="37" t="n"/>
      <c r="I3126" s="37" t="n"/>
      <c r="J3126" s="40" t="str">
        <f>IF(OR(C3126="",NOT(ISNUMBER(E3126))),"",IFERROR(E3126*N(INDEX(art_price,MATCH(C3126,art_ref,0))),""))</f>
        <v/>
      </c>
      <c r="K3126" s="39" t="str">
        <f>IF(OR(C3126="",NOT(ISNUMBER(E3126))),"",IFERROR(ROUND(N(INDEX(art_init,MATCH(C3126,art_ref,0)))+SUMIFS($E$5:E3126,$C$5:C3126,C3126,$B$5:B3126,"Entrée")-SUMIFS($E$5:E3126,$C$5:C3126,C3126,$B$5:B3126,"Sortie"),6),""))</f>
        <v/>
      </c>
      <c r="L3126" s="39" t="str">
        <f>IF(COUNTA(A3126:C3126,E3126)=0,"",IF(COUNTA(A3126:C3126,E3126)&lt;4,"Ligne incomplète",IF(NOT(ISNUMBER(A3126)),"Date invalide",IF(AND(B3126&lt;&gt;"Entrée",B3126&lt;&gt;"Sortie"),"Type inconnu",IF(ISNA(MATCH(C3126,art_ref,0)),"Référence inconnue",IF(OR(NOT(ISNUMBER(E3126)),N(E3126)&lt;=0),"Quantité invalide",IF(K3126&lt;0,"Stock négatif",IF(AND(ISNUMBER(A3125),A3126&lt;A3125),"Date hors ordre","OK"))))))))</f>
        <v/>
      </c>
      <c r="M3126" s="39" t="str">
        <f>IF(C3126="","",C3126&amp;"#"&amp;COUNTIF($C$5:C3126,C3126))</f>
        <v/>
      </c>
    </row>
    <row r="3127">
      <c r="A3127" s="41" t="n"/>
      <c r="B3127" s="37" t="n"/>
      <c r="C3127" s="37" t="n"/>
      <c r="D3127" s="39" t="str">
        <f>IF(C3127="","",IFERROR(INDEX(art_des,MATCH(C3127,art_ref,0))&amp;"","Référence inconnue"))</f>
        <v/>
      </c>
      <c r="E3127" s="37" t="n"/>
      <c r="F3127" s="39" t="str">
        <f>IF(C3127="","",IFERROR(INDEX(art_unit,MATCH(C3127,art_ref,0))&amp;"",""))</f>
        <v/>
      </c>
      <c r="G3127" s="37" t="n"/>
      <c r="H3127" s="37" t="n"/>
      <c r="I3127" s="37" t="n"/>
      <c r="J3127" s="40" t="str">
        <f>IF(OR(C3127="",NOT(ISNUMBER(E3127))),"",IFERROR(E3127*N(INDEX(art_price,MATCH(C3127,art_ref,0))),""))</f>
        <v/>
      </c>
      <c r="K3127" s="39" t="str">
        <f>IF(OR(C3127="",NOT(ISNUMBER(E3127))),"",IFERROR(ROUND(N(INDEX(art_init,MATCH(C3127,art_ref,0)))+SUMIFS($E$5:E3127,$C$5:C3127,C3127,$B$5:B3127,"Entrée")-SUMIFS($E$5:E3127,$C$5:C3127,C3127,$B$5:B3127,"Sortie"),6),""))</f>
        <v/>
      </c>
      <c r="L3127" s="39" t="str">
        <f>IF(COUNTA(A3127:C3127,E3127)=0,"",IF(COUNTA(A3127:C3127,E3127)&lt;4,"Ligne incomplète",IF(NOT(ISNUMBER(A3127)),"Date invalide",IF(AND(B3127&lt;&gt;"Entrée",B3127&lt;&gt;"Sortie"),"Type inconnu",IF(ISNA(MATCH(C3127,art_ref,0)),"Référence inconnue",IF(OR(NOT(ISNUMBER(E3127)),N(E3127)&lt;=0),"Quantité invalide",IF(K3127&lt;0,"Stock négatif",IF(AND(ISNUMBER(A3126),A3127&lt;A3126),"Date hors ordre","OK"))))))))</f>
        <v/>
      </c>
      <c r="M3127" s="39" t="str">
        <f>IF(C3127="","",C3127&amp;"#"&amp;COUNTIF($C$5:C3127,C3127))</f>
        <v/>
      </c>
    </row>
    <row r="3128">
      <c r="A3128" s="41" t="n"/>
      <c r="B3128" s="37" t="n"/>
      <c r="C3128" s="37" t="n"/>
      <c r="D3128" s="39" t="str">
        <f>IF(C3128="","",IFERROR(INDEX(art_des,MATCH(C3128,art_ref,0))&amp;"","Référence inconnue"))</f>
        <v/>
      </c>
      <c r="E3128" s="37" t="n"/>
      <c r="F3128" s="39" t="str">
        <f>IF(C3128="","",IFERROR(INDEX(art_unit,MATCH(C3128,art_ref,0))&amp;"",""))</f>
        <v/>
      </c>
      <c r="G3128" s="37" t="n"/>
      <c r="H3128" s="37" t="n"/>
      <c r="I3128" s="37" t="n"/>
      <c r="J3128" s="40" t="str">
        <f>IF(OR(C3128="",NOT(ISNUMBER(E3128))),"",IFERROR(E3128*N(INDEX(art_price,MATCH(C3128,art_ref,0))),""))</f>
        <v/>
      </c>
      <c r="K3128" s="39" t="str">
        <f>IF(OR(C3128="",NOT(ISNUMBER(E3128))),"",IFERROR(ROUND(N(INDEX(art_init,MATCH(C3128,art_ref,0)))+SUMIFS($E$5:E3128,$C$5:C3128,C3128,$B$5:B3128,"Entrée")-SUMIFS($E$5:E3128,$C$5:C3128,C3128,$B$5:B3128,"Sortie"),6),""))</f>
        <v/>
      </c>
      <c r="L3128" s="39" t="str">
        <f>IF(COUNTA(A3128:C3128,E3128)=0,"",IF(COUNTA(A3128:C3128,E3128)&lt;4,"Ligne incomplète",IF(NOT(ISNUMBER(A3128)),"Date invalide",IF(AND(B3128&lt;&gt;"Entrée",B3128&lt;&gt;"Sortie"),"Type inconnu",IF(ISNA(MATCH(C3128,art_ref,0)),"Référence inconnue",IF(OR(NOT(ISNUMBER(E3128)),N(E3128)&lt;=0),"Quantité invalide",IF(K3128&lt;0,"Stock négatif",IF(AND(ISNUMBER(A3127),A3128&lt;A3127),"Date hors ordre","OK"))))))))</f>
        <v/>
      </c>
      <c r="M3128" s="39" t="str">
        <f>IF(C3128="","",C3128&amp;"#"&amp;COUNTIF($C$5:C3128,C3128))</f>
        <v/>
      </c>
    </row>
    <row r="3129">
      <c r="A3129" s="41" t="n"/>
      <c r="B3129" s="37" t="n"/>
      <c r="C3129" s="37" t="n"/>
      <c r="D3129" s="39" t="str">
        <f>IF(C3129="","",IFERROR(INDEX(art_des,MATCH(C3129,art_ref,0))&amp;"","Référence inconnue"))</f>
        <v/>
      </c>
      <c r="E3129" s="37" t="n"/>
      <c r="F3129" s="39" t="str">
        <f>IF(C3129="","",IFERROR(INDEX(art_unit,MATCH(C3129,art_ref,0))&amp;"",""))</f>
        <v/>
      </c>
      <c r="G3129" s="37" t="n"/>
      <c r="H3129" s="37" t="n"/>
      <c r="I3129" s="37" t="n"/>
      <c r="J3129" s="40" t="str">
        <f>IF(OR(C3129="",NOT(ISNUMBER(E3129))),"",IFERROR(E3129*N(INDEX(art_price,MATCH(C3129,art_ref,0))),""))</f>
        <v/>
      </c>
      <c r="K3129" s="39" t="str">
        <f>IF(OR(C3129="",NOT(ISNUMBER(E3129))),"",IFERROR(ROUND(N(INDEX(art_init,MATCH(C3129,art_ref,0)))+SUMIFS($E$5:E3129,$C$5:C3129,C3129,$B$5:B3129,"Entrée")-SUMIFS($E$5:E3129,$C$5:C3129,C3129,$B$5:B3129,"Sortie"),6),""))</f>
        <v/>
      </c>
      <c r="L3129" s="39" t="str">
        <f>IF(COUNTA(A3129:C3129,E3129)=0,"",IF(COUNTA(A3129:C3129,E3129)&lt;4,"Ligne incomplète",IF(NOT(ISNUMBER(A3129)),"Date invalide",IF(AND(B3129&lt;&gt;"Entrée",B3129&lt;&gt;"Sortie"),"Type inconnu",IF(ISNA(MATCH(C3129,art_ref,0)),"Référence inconnue",IF(OR(NOT(ISNUMBER(E3129)),N(E3129)&lt;=0),"Quantité invalide",IF(K3129&lt;0,"Stock négatif",IF(AND(ISNUMBER(A3128),A3129&lt;A3128),"Date hors ordre","OK"))))))))</f>
        <v/>
      </c>
      <c r="M3129" s="39" t="str">
        <f>IF(C3129="","",C3129&amp;"#"&amp;COUNTIF($C$5:C3129,C3129))</f>
        <v/>
      </c>
    </row>
    <row r="3130">
      <c r="A3130" s="41" t="n"/>
      <c r="B3130" s="37" t="n"/>
      <c r="C3130" s="37" t="n"/>
      <c r="D3130" s="39" t="str">
        <f>IF(C3130="","",IFERROR(INDEX(art_des,MATCH(C3130,art_ref,0))&amp;"","Référence inconnue"))</f>
        <v/>
      </c>
      <c r="E3130" s="37" t="n"/>
      <c r="F3130" s="39" t="str">
        <f>IF(C3130="","",IFERROR(INDEX(art_unit,MATCH(C3130,art_ref,0))&amp;"",""))</f>
        <v/>
      </c>
      <c r="G3130" s="37" t="n"/>
      <c r="H3130" s="37" t="n"/>
      <c r="I3130" s="37" t="n"/>
      <c r="J3130" s="40" t="str">
        <f>IF(OR(C3130="",NOT(ISNUMBER(E3130))),"",IFERROR(E3130*N(INDEX(art_price,MATCH(C3130,art_ref,0))),""))</f>
        <v/>
      </c>
      <c r="K3130" s="39" t="str">
        <f>IF(OR(C3130="",NOT(ISNUMBER(E3130))),"",IFERROR(ROUND(N(INDEX(art_init,MATCH(C3130,art_ref,0)))+SUMIFS($E$5:E3130,$C$5:C3130,C3130,$B$5:B3130,"Entrée")-SUMIFS($E$5:E3130,$C$5:C3130,C3130,$B$5:B3130,"Sortie"),6),""))</f>
        <v/>
      </c>
      <c r="L3130" s="39" t="str">
        <f>IF(COUNTA(A3130:C3130,E3130)=0,"",IF(COUNTA(A3130:C3130,E3130)&lt;4,"Ligne incomplète",IF(NOT(ISNUMBER(A3130)),"Date invalide",IF(AND(B3130&lt;&gt;"Entrée",B3130&lt;&gt;"Sortie"),"Type inconnu",IF(ISNA(MATCH(C3130,art_ref,0)),"Référence inconnue",IF(OR(NOT(ISNUMBER(E3130)),N(E3130)&lt;=0),"Quantité invalide",IF(K3130&lt;0,"Stock négatif",IF(AND(ISNUMBER(A3129),A3130&lt;A3129),"Date hors ordre","OK"))))))))</f>
        <v/>
      </c>
      <c r="M3130" s="39" t="str">
        <f>IF(C3130="","",C3130&amp;"#"&amp;COUNTIF($C$5:C3130,C3130))</f>
        <v/>
      </c>
    </row>
    <row r="3131">
      <c r="A3131" s="41" t="n"/>
      <c r="B3131" s="37" t="n"/>
      <c r="C3131" s="37" t="n"/>
      <c r="D3131" s="39" t="str">
        <f>IF(C3131="","",IFERROR(INDEX(art_des,MATCH(C3131,art_ref,0))&amp;"","Référence inconnue"))</f>
        <v/>
      </c>
      <c r="E3131" s="37" t="n"/>
      <c r="F3131" s="39" t="str">
        <f>IF(C3131="","",IFERROR(INDEX(art_unit,MATCH(C3131,art_ref,0))&amp;"",""))</f>
        <v/>
      </c>
      <c r="G3131" s="37" t="n"/>
      <c r="H3131" s="37" t="n"/>
      <c r="I3131" s="37" t="n"/>
      <c r="J3131" s="40" t="str">
        <f>IF(OR(C3131="",NOT(ISNUMBER(E3131))),"",IFERROR(E3131*N(INDEX(art_price,MATCH(C3131,art_ref,0))),""))</f>
        <v/>
      </c>
      <c r="K3131" s="39" t="str">
        <f>IF(OR(C3131="",NOT(ISNUMBER(E3131))),"",IFERROR(ROUND(N(INDEX(art_init,MATCH(C3131,art_ref,0)))+SUMIFS($E$5:E3131,$C$5:C3131,C3131,$B$5:B3131,"Entrée")-SUMIFS($E$5:E3131,$C$5:C3131,C3131,$B$5:B3131,"Sortie"),6),""))</f>
        <v/>
      </c>
      <c r="L3131" s="39" t="str">
        <f>IF(COUNTA(A3131:C3131,E3131)=0,"",IF(COUNTA(A3131:C3131,E3131)&lt;4,"Ligne incomplète",IF(NOT(ISNUMBER(A3131)),"Date invalide",IF(AND(B3131&lt;&gt;"Entrée",B3131&lt;&gt;"Sortie"),"Type inconnu",IF(ISNA(MATCH(C3131,art_ref,0)),"Référence inconnue",IF(OR(NOT(ISNUMBER(E3131)),N(E3131)&lt;=0),"Quantité invalide",IF(K3131&lt;0,"Stock négatif",IF(AND(ISNUMBER(A3130),A3131&lt;A3130),"Date hors ordre","OK"))))))))</f>
        <v/>
      </c>
      <c r="M3131" s="39" t="str">
        <f>IF(C3131="","",C3131&amp;"#"&amp;COUNTIF($C$5:C3131,C3131))</f>
        <v/>
      </c>
    </row>
    <row r="3132">
      <c r="A3132" s="41" t="n"/>
      <c r="B3132" s="37" t="n"/>
      <c r="C3132" s="37" t="n"/>
      <c r="D3132" s="39" t="str">
        <f>IF(C3132="","",IFERROR(INDEX(art_des,MATCH(C3132,art_ref,0))&amp;"","Référence inconnue"))</f>
        <v/>
      </c>
      <c r="E3132" s="37" t="n"/>
      <c r="F3132" s="39" t="str">
        <f>IF(C3132="","",IFERROR(INDEX(art_unit,MATCH(C3132,art_ref,0))&amp;"",""))</f>
        <v/>
      </c>
      <c r="G3132" s="37" t="n"/>
      <c r="H3132" s="37" t="n"/>
      <c r="I3132" s="37" t="n"/>
      <c r="J3132" s="40" t="str">
        <f>IF(OR(C3132="",NOT(ISNUMBER(E3132))),"",IFERROR(E3132*N(INDEX(art_price,MATCH(C3132,art_ref,0))),""))</f>
        <v/>
      </c>
      <c r="K3132" s="39" t="str">
        <f>IF(OR(C3132="",NOT(ISNUMBER(E3132))),"",IFERROR(ROUND(N(INDEX(art_init,MATCH(C3132,art_ref,0)))+SUMIFS($E$5:E3132,$C$5:C3132,C3132,$B$5:B3132,"Entrée")-SUMIFS($E$5:E3132,$C$5:C3132,C3132,$B$5:B3132,"Sortie"),6),""))</f>
        <v/>
      </c>
      <c r="L3132" s="39" t="str">
        <f>IF(COUNTA(A3132:C3132,E3132)=0,"",IF(COUNTA(A3132:C3132,E3132)&lt;4,"Ligne incomplète",IF(NOT(ISNUMBER(A3132)),"Date invalide",IF(AND(B3132&lt;&gt;"Entrée",B3132&lt;&gt;"Sortie"),"Type inconnu",IF(ISNA(MATCH(C3132,art_ref,0)),"Référence inconnue",IF(OR(NOT(ISNUMBER(E3132)),N(E3132)&lt;=0),"Quantité invalide",IF(K3132&lt;0,"Stock négatif",IF(AND(ISNUMBER(A3131),A3132&lt;A3131),"Date hors ordre","OK"))))))))</f>
        <v/>
      </c>
      <c r="M3132" s="39" t="str">
        <f>IF(C3132="","",C3132&amp;"#"&amp;COUNTIF($C$5:C3132,C3132))</f>
        <v/>
      </c>
    </row>
    <row r="3133">
      <c r="A3133" s="41" t="n"/>
      <c r="B3133" s="37" t="n"/>
      <c r="C3133" s="37" t="n"/>
      <c r="D3133" s="39" t="str">
        <f>IF(C3133="","",IFERROR(INDEX(art_des,MATCH(C3133,art_ref,0))&amp;"","Référence inconnue"))</f>
        <v/>
      </c>
      <c r="E3133" s="37" t="n"/>
      <c r="F3133" s="39" t="str">
        <f>IF(C3133="","",IFERROR(INDEX(art_unit,MATCH(C3133,art_ref,0))&amp;"",""))</f>
        <v/>
      </c>
      <c r="G3133" s="37" t="n"/>
      <c r="H3133" s="37" t="n"/>
      <c r="I3133" s="37" t="n"/>
      <c r="J3133" s="40" t="str">
        <f>IF(OR(C3133="",NOT(ISNUMBER(E3133))),"",IFERROR(E3133*N(INDEX(art_price,MATCH(C3133,art_ref,0))),""))</f>
        <v/>
      </c>
      <c r="K3133" s="39" t="str">
        <f>IF(OR(C3133="",NOT(ISNUMBER(E3133))),"",IFERROR(ROUND(N(INDEX(art_init,MATCH(C3133,art_ref,0)))+SUMIFS($E$5:E3133,$C$5:C3133,C3133,$B$5:B3133,"Entrée")-SUMIFS($E$5:E3133,$C$5:C3133,C3133,$B$5:B3133,"Sortie"),6),""))</f>
        <v/>
      </c>
      <c r="L3133" s="39" t="str">
        <f>IF(COUNTA(A3133:C3133,E3133)=0,"",IF(COUNTA(A3133:C3133,E3133)&lt;4,"Ligne incomplète",IF(NOT(ISNUMBER(A3133)),"Date invalide",IF(AND(B3133&lt;&gt;"Entrée",B3133&lt;&gt;"Sortie"),"Type inconnu",IF(ISNA(MATCH(C3133,art_ref,0)),"Référence inconnue",IF(OR(NOT(ISNUMBER(E3133)),N(E3133)&lt;=0),"Quantité invalide",IF(K3133&lt;0,"Stock négatif",IF(AND(ISNUMBER(A3132),A3133&lt;A3132),"Date hors ordre","OK"))))))))</f>
        <v/>
      </c>
      <c r="M3133" s="39" t="str">
        <f>IF(C3133="","",C3133&amp;"#"&amp;COUNTIF($C$5:C3133,C3133))</f>
        <v/>
      </c>
    </row>
    <row r="3134">
      <c r="A3134" s="41" t="n"/>
      <c r="B3134" s="37" t="n"/>
      <c r="C3134" s="37" t="n"/>
      <c r="D3134" s="39" t="str">
        <f>IF(C3134="","",IFERROR(INDEX(art_des,MATCH(C3134,art_ref,0))&amp;"","Référence inconnue"))</f>
        <v/>
      </c>
      <c r="E3134" s="37" t="n"/>
      <c r="F3134" s="39" t="str">
        <f>IF(C3134="","",IFERROR(INDEX(art_unit,MATCH(C3134,art_ref,0))&amp;"",""))</f>
        <v/>
      </c>
      <c r="G3134" s="37" t="n"/>
      <c r="H3134" s="37" t="n"/>
      <c r="I3134" s="37" t="n"/>
      <c r="J3134" s="40" t="str">
        <f>IF(OR(C3134="",NOT(ISNUMBER(E3134))),"",IFERROR(E3134*N(INDEX(art_price,MATCH(C3134,art_ref,0))),""))</f>
        <v/>
      </c>
      <c r="K3134" s="39" t="str">
        <f>IF(OR(C3134="",NOT(ISNUMBER(E3134))),"",IFERROR(ROUND(N(INDEX(art_init,MATCH(C3134,art_ref,0)))+SUMIFS($E$5:E3134,$C$5:C3134,C3134,$B$5:B3134,"Entrée")-SUMIFS($E$5:E3134,$C$5:C3134,C3134,$B$5:B3134,"Sortie"),6),""))</f>
        <v/>
      </c>
      <c r="L3134" s="39" t="str">
        <f>IF(COUNTA(A3134:C3134,E3134)=0,"",IF(COUNTA(A3134:C3134,E3134)&lt;4,"Ligne incomplète",IF(NOT(ISNUMBER(A3134)),"Date invalide",IF(AND(B3134&lt;&gt;"Entrée",B3134&lt;&gt;"Sortie"),"Type inconnu",IF(ISNA(MATCH(C3134,art_ref,0)),"Référence inconnue",IF(OR(NOT(ISNUMBER(E3134)),N(E3134)&lt;=0),"Quantité invalide",IF(K3134&lt;0,"Stock négatif",IF(AND(ISNUMBER(A3133),A3134&lt;A3133),"Date hors ordre","OK"))))))))</f>
        <v/>
      </c>
      <c r="M3134" s="39" t="str">
        <f>IF(C3134="","",C3134&amp;"#"&amp;COUNTIF($C$5:C3134,C3134))</f>
        <v/>
      </c>
    </row>
    <row r="3135">
      <c r="A3135" s="41" t="n"/>
      <c r="B3135" s="37" t="n"/>
      <c r="C3135" s="37" t="n"/>
      <c r="D3135" s="39" t="str">
        <f>IF(C3135="","",IFERROR(INDEX(art_des,MATCH(C3135,art_ref,0))&amp;"","Référence inconnue"))</f>
        <v/>
      </c>
      <c r="E3135" s="37" t="n"/>
      <c r="F3135" s="39" t="str">
        <f>IF(C3135="","",IFERROR(INDEX(art_unit,MATCH(C3135,art_ref,0))&amp;"",""))</f>
        <v/>
      </c>
      <c r="G3135" s="37" t="n"/>
      <c r="H3135" s="37" t="n"/>
      <c r="I3135" s="37" t="n"/>
      <c r="J3135" s="40" t="str">
        <f>IF(OR(C3135="",NOT(ISNUMBER(E3135))),"",IFERROR(E3135*N(INDEX(art_price,MATCH(C3135,art_ref,0))),""))</f>
        <v/>
      </c>
      <c r="K3135" s="39" t="str">
        <f>IF(OR(C3135="",NOT(ISNUMBER(E3135))),"",IFERROR(ROUND(N(INDEX(art_init,MATCH(C3135,art_ref,0)))+SUMIFS($E$5:E3135,$C$5:C3135,C3135,$B$5:B3135,"Entrée")-SUMIFS($E$5:E3135,$C$5:C3135,C3135,$B$5:B3135,"Sortie"),6),""))</f>
        <v/>
      </c>
      <c r="L3135" s="39" t="str">
        <f>IF(COUNTA(A3135:C3135,E3135)=0,"",IF(COUNTA(A3135:C3135,E3135)&lt;4,"Ligne incomplète",IF(NOT(ISNUMBER(A3135)),"Date invalide",IF(AND(B3135&lt;&gt;"Entrée",B3135&lt;&gt;"Sortie"),"Type inconnu",IF(ISNA(MATCH(C3135,art_ref,0)),"Référence inconnue",IF(OR(NOT(ISNUMBER(E3135)),N(E3135)&lt;=0),"Quantité invalide",IF(K3135&lt;0,"Stock négatif",IF(AND(ISNUMBER(A3134),A3135&lt;A3134),"Date hors ordre","OK"))))))))</f>
        <v/>
      </c>
      <c r="M3135" s="39" t="str">
        <f>IF(C3135="","",C3135&amp;"#"&amp;COUNTIF($C$5:C3135,C3135))</f>
        <v/>
      </c>
    </row>
    <row r="3136">
      <c r="A3136" s="41" t="n"/>
      <c r="B3136" s="37" t="n"/>
      <c r="C3136" s="37" t="n"/>
      <c r="D3136" s="39" t="str">
        <f>IF(C3136="","",IFERROR(INDEX(art_des,MATCH(C3136,art_ref,0))&amp;"","Référence inconnue"))</f>
        <v/>
      </c>
      <c r="E3136" s="37" t="n"/>
      <c r="F3136" s="39" t="str">
        <f>IF(C3136="","",IFERROR(INDEX(art_unit,MATCH(C3136,art_ref,0))&amp;"",""))</f>
        <v/>
      </c>
      <c r="G3136" s="37" t="n"/>
      <c r="H3136" s="37" t="n"/>
      <c r="I3136" s="37" t="n"/>
      <c r="J3136" s="40" t="str">
        <f>IF(OR(C3136="",NOT(ISNUMBER(E3136))),"",IFERROR(E3136*N(INDEX(art_price,MATCH(C3136,art_ref,0))),""))</f>
        <v/>
      </c>
      <c r="K3136" s="39" t="str">
        <f>IF(OR(C3136="",NOT(ISNUMBER(E3136))),"",IFERROR(ROUND(N(INDEX(art_init,MATCH(C3136,art_ref,0)))+SUMIFS($E$5:E3136,$C$5:C3136,C3136,$B$5:B3136,"Entrée")-SUMIFS($E$5:E3136,$C$5:C3136,C3136,$B$5:B3136,"Sortie"),6),""))</f>
        <v/>
      </c>
      <c r="L3136" s="39" t="str">
        <f>IF(COUNTA(A3136:C3136,E3136)=0,"",IF(COUNTA(A3136:C3136,E3136)&lt;4,"Ligne incomplète",IF(NOT(ISNUMBER(A3136)),"Date invalide",IF(AND(B3136&lt;&gt;"Entrée",B3136&lt;&gt;"Sortie"),"Type inconnu",IF(ISNA(MATCH(C3136,art_ref,0)),"Référence inconnue",IF(OR(NOT(ISNUMBER(E3136)),N(E3136)&lt;=0),"Quantité invalide",IF(K3136&lt;0,"Stock négatif",IF(AND(ISNUMBER(A3135),A3136&lt;A3135),"Date hors ordre","OK"))))))))</f>
        <v/>
      </c>
      <c r="M3136" s="39" t="str">
        <f>IF(C3136="","",C3136&amp;"#"&amp;COUNTIF($C$5:C3136,C3136))</f>
        <v/>
      </c>
    </row>
    <row r="3137">
      <c r="A3137" s="41" t="n"/>
      <c r="B3137" s="37" t="n"/>
      <c r="C3137" s="37" t="n"/>
      <c r="D3137" s="39" t="str">
        <f>IF(C3137="","",IFERROR(INDEX(art_des,MATCH(C3137,art_ref,0))&amp;"","Référence inconnue"))</f>
        <v/>
      </c>
      <c r="E3137" s="37" t="n"/>
      <c r="F3137" s="39" t="str">
        <f>IF(C3137="","",IFERROR(INDEX(art_unit,MATCH(C3137,art_ref,0))&amp;"",""))</f>
        <v/>
      </c>
      <c r="G3137" s="37" t="n"/>
      <c r="H3137" s="37" t="n"/>
      <c r="I3137" s="37" t="n"/>
      <c r="J3137" s="40" t="str">
        <f>IF(OR(C3137="",NOT(ISNUMBER(E3137))),"",IFERROR(E3137*N(INDEX(art_price,MATCH(C3137,art_ref,0))),""))</f>
        <v/>
      </c>
      <c r="K3137" s="39" t="str">
        <f>IF(OR(C3137="",NOT(ISNUMBER(E3137))),"",IFERROR(ROUND(N(INDEX(art_init,MATCH(C3137,art_ref,0)))+SUMIFS($E$5:E3137,$C$5:C3137,C3137,$B$5:B3137,"Entrée")-SUMIFS($E$5:E3137,$C$5:C3137,C3137,$B$5:B3137,"Sortie"),6),""))</f>
        <v/>
      </c>
      <c r="L3137" s="39" t="str">
        <f>IF(COUNTA(A3137:C3137,E3137)=0,"",IF(COUNTA(A3137:C3137,E3137)&lt;4,"Ligne incomplète",IF(NOT(ISNUMBER(A3137)),"Date invalide",IF(AND(B3137&lt;&gt;"Entrée",B3137&lt;&gt;"Sortie"),"Type inconnu",IF(ISNA(MATCH(C3137,art_ref,0)),"Référence inconnue",IF(OR(NOT(ISNUMBER(E3137)),N(E3137)&lt;=0),"Quantité invalide",IF(K3137&lt;0,"Stock négatif",IF(AND(ISNUMBER(A3136),A3137&lt;A3136),"Date hors ordre","OK"))))))))</f>
        <v/>
      </c>
      <c r="M3137" s="39" t="str">
        <f>IF(C3137="","",C3137&amp;"#"&amp;COUNTIF($C$5:C3137,C3137))</f>
        <v/>
      </c>
    </row>
    <row r="3138">
      <c r="A3138" s="41" t="n"/>
      <c r="B3138" s="37" t="n"/>
      <c r="C3138" s="37" t="n"/>
      <c r="D3138" s="39" t="str">
        <f>IF(C3138="","",IFERROR(INDEX(art_des,MATCH(C3138,art_ref,0))&amp;"","Référence inconnue"))</f>
        <v/>
      </c>
      <c r="E3138" s="37" t="n"/>
      <c r="F3138" s="39" t="str">
        <f>IF(C3138="","",IFERROR(INDEX(art_unit,MATCH(C3138,art_ref,0))&amp;"",""))</f>
        <v/>
      </c>
      <c r="G3138" s="37" t="n"/>
      <c r="H3138" s="37" t="n"/>
      <c r="I3138" s="37" t="n"/>
      <c r="J3138" s="40" t="str">
        <f>IF(OR(C3138="",NOT(ISNUMBER(E3138))),"",IFERROR(E3138*N(INDEX(art_price,MATCH(C3138,art_ref,0))),""))</f>
        <v/>
      </c>
      <c r="K3138" s="39" t="str">
        <f>IF(OR(C3138="",NOT(ISNUMBER(E3138))),"",IFERROR(ROUND(N(INDEX(art_init,MATCH(C3138,art_ref,0)))+SUMIFS($E$5:E3138,$C$5:C3138,C3138,$B$5:B3138,"Entrée")-SUMIFS($E$5:E3138,$C$5:C3138,C3138,$B$5:B3138,"Sortie"),6),""))</f>
        <v/>
      </c>
      <c r="L3138" s="39" t="str">
        <f>IF(COUNTA(A3138:C3138,E3138)=0,"",IF(COUNTA(A3138:C3138,E3138)&lt;4,"Ligne incomplète",IF(NOT(ISNUMBER(A3138)),"Date invalide",IF(AND(B3138&lt;&gt;"Entrée",B3138&lt;&gt;"Sortie"),"Type inconnu",IF(ISNA(MATCH(C3138,art_ref,0)),"Référence inconnue",IF(OR(NOT(ISNUMBER(E3138)),N(E3138)&lt;=0),"Quantité invalide",IF(K3138&lt;0,"Stock négatif",IF(AND(ISNUMBER(A3137),A3138&lt;A3137),"Date hors ordre","OK"))))))))</f>
        <v/>
      </c>
      <c r="M3138" s="39" t="str">
        <f>IF(C3138="","",C3138&amp;"#"&amp;COUNTIF($C$5:C3138,C3138))</f>
        <v/>
      </c>
    </row>
    <row r="3139">
      <c r="A3139" s="41" t="n"/>
      <c r="B3139" s="37" t="n"/>
      <c r="C3139" s="37" t="n"/>
      <c r="D3139" s="39" t="str">
        <f>IF(C3139="","",IFERROR(INDEX(art_des,MATCH(C3139,art_ref,0))&amp;"","Référence inconnue"))</f>
        <v/>
      </c>
      <c r="E3139" s="37" t="n"/>
      <c r="F3139" s="39" t="str">
        <f>IF(C3139="","",IFERROR(INDEX(art_unit,MATCH(C3139,art_ref,0))&amp;"",""))</f>
        <v/>
      </c>
      <c r="G3139" s="37" t="n"/>
      <c r="H3139" s="37" t="n"/>
      <c r="I3139" s="37" t="n"/>
      <c r="J3139" s="40" t="str">
        <f>IF(OR(C3139="",NOT(ISNUMBER(E3139))),"",IFERROR(E3139*N(INDEX(art_price,MATCH(C3139,art_ref,0))),""))</f>
        <v/>
      </c>
      <c r="K3139" s="39" t="str">
        <f>IF(OR(C3139="",NOT(ISNUMBER(E3139))),"",IFERROR(ROUND(N(INDEX(art_init,MATCH(C3139,art_ref,0)))+SUMIFS($E$5:E3139,$C$5:C3139,C3139,$B$5:B3139,"Entrée")-SUMIFS($E$5:E3139,$C$5:C3139,C3139,$B$5:B3139,"Sortie"),6),""))</f>
        <v/>
      </c>
      <c r="L3139" s="39" t="str">
        <f>IF(COUNTA(A3139:C3139,E3139)=0,"",IF(COUNTA(A3139:C3139,E3139)&lt;4,"Ligne incomplète",IF(NOT(ISNUMBER(A3139)),"Date invalide",IF(AND(B3139&lt;&gt;"Entrée",B3139&lt;&gt;"Sortie"),"Type inconnu",IF(ISNA(MATCH(C3139,art_ref,0)),"Référence inconnue",IF(OR(NOT(ISNUMBER(E3139)),N(E3139)&lt;=0),"Quantité invalide",IF(K3139&lt;0,"Stock négatif",IF(AND(ISNUMBER(A3138),A3139&lt;A3138),"Date hors ordre","OK"))))))))</f>
        <v/>
      </c>
      <c r="M3139" s="39" t="str">
        <f>IF(C3139="","",C3139&amp;"#"&amp;COUNTIF($C$5:C3139,C3139))</f>
        <v/>
      </c>
    </row>
    <row r="3140">
      <c r="A3140" s="41" t="n"/>
      <c r="B3140" s="37" t="n"/>
      <c r="C3140" s="37" t="n"/>
      <c r="D3140" s="39" t="str">
        <f>IF(C3140="","",IFERROR(INDEX(art_des,MATCH(C3140,art_ref,0))&amp;"","Référence inconnue"))</f>
        <v/>
      </c>
      <c r="E3140" s="37" t="n"/>
      <c r="F3140" s="39" t="str">
        <f>IF(C3140="","",IFERROR(INDEX(art_unit,MATCH(C3140,art_ref,0))&amp;"",""))</f>
        <v/>
      </c>
      <c r="G3140" s="37" t="n"/>
      <c r="H3140" s="37" t="n"/>
      <c r="I3140" s="37" t="n"/>
      <c r="J3140" s="40" t="str">
        <f>IF(OR(C3140="",NOT(ISNUMBER(E3140))),"",IFERROR(E3140*N(INDEX(art_price,MATCH(C3140,art_ref,0))),""))</f>
        <v/>
      </c>
      <c r="K3140" s="39" t="str">
        <f>IF(OR(C3140="",NOT(ISNUMBER(E3140))),"",IFERROR(ROUND(N(INDEX(art_init,MATCH(C3140,art_ref,0)))+SUMIFS($E$5:E3140,$C$5:C3140,C3140,$B$5:B3140,"Entrée")-SUMIFS($E$5:E3140,$C$5:C3140,C3140,$B$5:B3140,"Sortie"),6),""))</f>
        <v/>
      </c>
      <c r="L3140" s="39" t="str">
        <f>IF(COUNTA(A3140:C3140,E3140)=0,"",IF(COUNTA(A3140:C3140,E3140)&lt;4,"Ligne incomplète",IF(NOT(ISNUMBER(A3140)),"Date invalide",IF(AND(B3140&lt;&gt;"Entrée",B3140&lt;&gt;"Sortie"),"Type inconnu",IF(ISNA(MATCH(C3140,art_ref,0)),"Référence inconnue",IF(OR(NOT(ISNUMBER(E3140)),N(E3140)&lt;=0),"Quantité invalide",IF(K3140&lt;0,"Stock négatif",IF(AND(ISNUMBER(A3139),A3140&lt;A3139),"Date hors ordre","OK"))))))))</f>
        <v/>
      </c>
      <c r="M3140" s="39" t="str">
        <f>IF(C3140="","",C3140&amp;"#"&amp;COUNTIF($C$5:C3140,C3140))</f>
        <v/>
      </c>
    </row>
    <row r="3141">
      <c r="A3141" s="41" t="n"/>
      <c r="B3141" s="37" t="n"/>
      <c r="C3141" s="37" t="n"/>
      <c r="D3141" s="39" t="str">
        <f>IF(C3141="","",IFERROR(INDEX(art_des,MATCH(C3141,art_ref,0))&amp;"","Référence inconnue"))</f>
        <v/>
      </c>
      <c r="E3141" s="37" t="n"/>
      <c r="F3141" s="39" t="str">
        <f>IF(C3141="","",IFERROR(INDEX(art_unit,MATCH(C3141,art_ref,0))&amp;"",""))</f>
        <v/>
      </c>
      <c r="G3141" s="37" t="n"/>
      <c r="H3141" s="37" t="n"/>
      <c r="I3141" s="37" t="n"/>
      <c r="J3141" s="40" t="str">
        <f>IF(OR(C3141="",NOT(ISNUMBER(E3141))),"",IFERROR(E3141*N(INDEX(art_price,MATCH(C3141,art_ref,0))),""))</f>
        <v/>
      </c>
      <c r="K3141" s="39" t="str">
        <f>IF(OR(C3141="",NOT(ISNUMBER(E3141))),"",IFERROR(ROUND(N(INDEX(art_init,MATCH(C3141,art_ref,0)))+SUMIFS($E$5:E3141,$C$5:C3141,C3141,$B$5:B3141,"Entrée")-SUMIFS($E$5:E3141,$C$5:C3141,C3141,$B$5:B3141,"Sortie"),6),""))</f>
        <v/>
      </c>
      <c r="L3141" s="39" t="str">
        <f>IF(COUNTA(A3141:C3141,E3141)=0,"",IF(COUNTA(A3141:C3141,E3141)&lt;4,"Ligne incomplète",IF(NOT(ISNUMBER(A3141)),"Date invalide",IF(AND(B3141&lt;&gt;"Entrée",B3141&lt;&gt;"Sortie"),"Type inconnu",IF(ISNA(MATCH(C3141,art_ref,0)),"Référence inconnue",IF(OR(NOT(ISNUMBER(E3141)),N(E3141)&lt;=0),"Quantité invalide",IF(K3141&lt;0,"Stock négatif",IF(AND(ISNUMBER(A3140),A3141&lt;A3140),"Date hors ordre","OK"))))))))</f>
        <v/>
      </c>
      <c r="M3141" s="39" t="str">
        <f>IF(C3141="","",C3141&amp;"#"&amp;COUNTIF($C$5:C3141,C3141))</f>
        <v/>
      </c>
    </row>
    <row r="3142">
      <c r="A3142" s="41" t="n"/>
      <c r="B3142" s="37" t="n"/>
      <c r="C3142" s="37" t="n"/>
      <c r="D3142" s="39" t="str">
        <f>IF(C3142="","",IFERROR(INDEX(art_des,MATCH(C3142,art_ref,0))&amp;"","Référence inconnue"))</f>
        <v/>
      </c>
      <c r="E3142" s="37" t="n"/>
      <c r="F3142" s="39" t="str">
        <f>IF(C3142="","",IFERROR(INDEX(art_unit,MATCH(C3142,art_ref,0))&amp;"",""))</f>
        <v/>
      </c>
      <c r="G3142" s="37" t="n"/>
      <c r="H3142" s="37" t="n"/>
      <c r="I3142" s="37" t="n"/>
      <c r="J3142" s="40" t="str">
        <f>IF(OR(C3142="",NOT(ISNUMBER(E3142))),"",IFERROR(E3142*N(INDEX(art_price,MATCH(C3142,art_ref,0))),""))</f>
        <v/>
      </c>
      <c r="K3142" s="39" t="str">
        <f>IF(OR(C3142="",NOT(ISNUMBER(E3142))),"",IFERROR(ROUND(N(INDEX(art_init,MATCH(C3142,art_ref,0)))+SUMIFS($E$5:E3142,$C$5:C3142,C3142,$B$5:B3142,"Entrée")-SUMIFS($E$5:E3142,$C$5:C3142,C3142,$B$5:B3142,"Sortie"),6),""))</f>
        <v/>
      </c>
      <c r="L3142" s="39" t="str">
        <f>IF(COUNTA(A3142:C3142,E3142)=0,"",IF(COUNTA(A3142:C3142,E3142)&lt;4,"Ligne incomplète",IF(NOT(ISNUMBER(A3142)),"Date invalide",IF(AND(B3142&lt;&gt;"Entrée",B3142&lt;&gt;"Sortie"),"Type inconnu",IF(ISNA(MATCH(C3142,art_ref,0)),"Référence inconnue",IF(OR(NOT(ISNUMBER(E3142)),N(E3142)&lt;=0),"Quantité invalide",IF(K3142&lt;0,"Stock négatif",IF(AND(ISNUMBER(A3141),A3142&lt;A3141),"Date hors ordre","OK"))))))))</f>
        <v/>
      </c>
      <c r="M3142" s="39" t="str">
        <f>IF(C3142="","",C3142&amp;"#"&amp;COUNTIF($C$5:C3142,C3142))</f>
        <v/>
      </c>
    </row>
    <row r="3143">
      <c r="A3143" s="41" t="n"/>
      <c r="B3143" s="37" t="n"/>
      <c r="C3143" s="37" t="n"/>
      <c r="D3143" s="39" t="str">
        <f>IF(C3143="","",IFERROR(INDEX(art_des,MATCH(C3143,art_ref,0))&amp;"","Référence inconnue"))</f>
        <v/>
      </c>
      <c r="E3143" s="37" t="n"/>
      <c r="F3143" s="39" t="str">
        <f>IF(C3143="","",IFERROR(INDEX(art_unit,MATCH(C3143,art_ref,0))&amp;"",""))</f>
        <v/>
      </c>
      <c r="G3143" s="37" t="n"/>
      <c r="H3143" s="37" t="n"/>
      <c r="I3143" s="37" t="n"/>
      <c r="J3143" s="40" t="str">
        <f>IF(OR(C3143="",NOT(ISNUMBER(E3143))),"",IFERROR(E3143*N(INDEX(art_price,MATCH(C3143,art_ref,0))),""))</f>
        <v/>
      </c>
      <c r="K3143" s="39" t="str">
        <f>IF(OR(C3143="",NOT(ISNUMBER(E3143))),"",IFERROR(ROUND(N(INDEX(art_init,MATCH(C3143,art_ref,0)))+SUMIFS($E$5:E3143,$C$5:C3143,C3143,$B$5:B3143,"Entrée")-SUMIFS($E$5:E3143,$C$5:C3143,C3143,$B$5:B3143,"Sortie"),6),""))</f>
        <v/>
      </c>
      <c r="L3143" s="39" t="str">
        <f>IF(COUNTA(A3143:C3143,E3143)=0,"",IF(COUNTA(A3143:C3143,E3143)&lt;4,"Ligne incomplète",IF(NOT(ISNUMBER(A3143)),"Date invalide",IF(AND(B3143&lt;&gt;"Entrée",B3143&lt;&gt;"Sortie"),"Type inconnu",IF(ISNA(MATCH(C3143,art_ref,0)),"Référence inconnue",IF(OR(NOT(ISNUMBER(E3143)),N(E3143)&lt;=0),"Quantité invalide",IF(K3143&lt;0,"Stock négatif",IF(AND(ISNUMBER(A3142),A3143&lt;A3142),"Date hors ordre","OK"))))))))</f>
        <v/>
      </c>
      <c r="M3143" s="39" t="str">
        <f>IF(C3143="","",C3143&amp;"#"&amp;COUNTIF($C$5:C3143,C3143))</f>
        <v/>
      </c>
    </row>
    <row r="3144">
      <c r="A3144" s="41" t="n"/>
      <c r="B3144" s="37" t="n"/>
      <c r="C3144" s="37" t="n"/>
      <c r="D3144" s="39" t="str">
        <f>IF(C3144="","",IFERROR(INDEX(art_des,MATCH(C3144,art_ref,0))&amp;"","Référence inconnue"))</f>
        <v/>
      </c>
      <c r="E3144" s="37" t="n"/>
      <c r="F3144" s="39" t="str">
        <f>IF(C3144="","",IFERROR(INDEX(art_unit,MATCH(C3144,art_ref,0))&amp;"",""))</f>
        <v/>
      </c>
      <c r="G3144" s="37" t="n"/>
      <c r="H3144" s="37" t="n"/>
      <c r="I3144" s="37" t="n"/>
      <c r="J3144" s="40" t="str">
        <f>IF(OR(C3144="",NOT(ISNUMBER(E3144))),"",IFERROR(E3144*N(INDEX(art_price,MATCH(C3144,art_ref,0))),""))</f>
        <v/>
      </c>
      <c r="K3144" s="39" t="str">
        <f>IF(OR(C3144="",NOT(ISNUMBER(E3144))),"",IFERROR(ROUND(N(INDEX(art_init,MATCH(C3144,art_ref,0)))+SUMIFS($E$5:E3144,$C$5:C3144,C3144,$B$5:B3144,"Entrée")-SUMIFS($E$5:E3144,$C$5:C3144,C3144,$B$5:B3144,"Sortie"),6),""))</f>
        <v/>
      </c>
      <c r="L3144" s="39" t="str">
        <f>IF(COUNTA(A3144:C3144,E3144)=0,"",IF(COUNTA(A3144:C3144,E3144)&lt;4,"Ligne incomplète",IF(NOT(ISNUMBER(A3144)),"Date invalide",IF(AND(B3144&lt;&gt;"Entrée",B3144&lt;&gt;"Sortie"),"Type inconnu",IF(ISNA(MATCH(C3144,art_ref,0)),"Référence inconnue",IF(OR(NOT(ISNUMBER(E3144)),N(E3144)&lt;=0),"Quantité invalide",IF(K3144&lt;0,"Stock négatif",IF(AND(ISNUMBER(A3143),A3144&lt;A3143),"Date hors ordre","OK"))))))))</f>
        <v/>
      </c>
      <c r="M3144" s="39" t="str">
        <f>IF(C3144="","",C3144&amp;"#"&amp;COUNTIF($C$5:C3144,C3144))</f>
        <v/>
      </c>
    </row>
    <row r="3145">
      <c r="A3145" s="41" t="n"/>
      <c r="B3145" s="37" t="n"/>
      <c r="C3145" s="37" t="n"/>
      <c r="D3145" s="39" t="str">
        <f>IF(C3145="","",IFERROR(INDEX(art_des,MATCH(C3145,art_ref,0))&amp;"","Référence inconnue"))</f>
        <v/>
      </c>
      <c r="E3145" s="37" t="n"/>
      <c r="F3145" s="39" t="str">
        <f>IF(C3145="","",IFERROR(INDEX(art_unit,MATCH(C3145,art_ref,0))&amp;"",""))</f>
        <v/>
      </c>
      <c r="G3145" s="37" t="n"/>
      <c r="H3145" s="37" t="n"/>
      <c r="I3145" s="37" t="n"/>
      <c r="J3145" s="40" t="str">
        <f>IF(OR(C3145="",NOT(ISNUMBER(E3145))),"",IFERROR(E3145*N(INDEX(art_price,MATCH(C3145,art_ref,0))),""))</f>
        <v/>
      </c>
      <c r="K3145" s="39" t="str">
        <f>IF(OR(C3145="",NOT(ISNUMBER(E3145))),"",IFERROR(ROUND(N(INDEX(art_init,MATCH(C3145,art_ref,0)))+SUMIFS($E$5:E3145,$C$5:C3145,C3145,$B$5:B3145,"Entrée")-SUMIFS($E$5:E3145,$C$5:C3145,C3145,$B$5:B3145,"Sortie"),6),""))</f>
        <v/>
      </c>
      <c r="L3145" s="39" t="str">
        <f>IF(COUNTA(A3145:C3145,E3145)=0,"",IF(COUNTA(A3145:C3145,E3145)&lt;4,"Ligne incomplète",IF(NOT(ISNUMBER(A3145)),"Date invalide",IF(AND(B3145&lt;&gt;"Entrée",B3145&lt;&gt;"Sortie"),"Type inconnu",IF(ISNA(MATCH(C3145,art_ref,0)),"Référence inconnue",IF(OR(NOT(ISNUMBER(E3145)),N(E3145)&lt;=0),"Quantité invalide",IF(K3145&lt;0,"Stock négatif",IF(AND(ISNUMBER(A3144),A3145&lt;A3144),"Date hors ordre","OK"))))))))</f>
        <v/>
      </c>
      <c r="M3145" s="39" t="str">
        <f>IF(C3145="","",C3145&amp;"#"&amp;COUNTIF($C$5:C3145,C3145))</f>
        <v/>
      </c>
    </row>
    <row r="3146">
      <c r="A3146" s="41" t="n"/>
      <c r="B3146" s="37" t="n"/>
      <c r="C3146" s="37" t="n"/>
      <c r="D3146" s="39" t="str">
        <f>IF(C3146="","",IFERROR(INDEX(art_des,MATCH(C3146,art_ref,0))&amp;"","Référence inconnue"))</f>
        <v/>
      </c>
      <c r="E3146" s="37" t="n"/>
      <c r="F3146" s="39" t="str">
        <f>IF(C3146="","",IFERROR(INDEX(art_unit,MATCH(C3146,art_ref,0))&amp;"",""))</f>
        <v/>
      </c>
      <c r="G3146" s="37" t="n"/>
      <c r="H3146" s="37" t="n"/>
      <c r="I3146" s="37" t="n"/>
      <c r="J3146" s="40" t="str">
        <f>IF(OR(C3146="",NOT(ISNUMBER(E3146))),"",IFERROR(E3146*N(INDEX(art_price,MATCH(C3146,art_ref,0))),""))</f>
        <v/>
      </c>
      <c r="K3146" s="39" t="str">
        <f>IF(OR(C3146="",NOT(ISNUMBER(E3146))),"",IFERROR(ROUND(N(INDEX(art_init,MATCH(C3146,art_ref,0)))+SUMIFS($E$5:E3146,$C$5:C3146,C3146,$B$5:B3146,"Entrée")-SUMIFS($E$5:E3146,$C$5:C3146,C3146,$B$5:B3146,"Sortie"),6),""))</f>
        <v/>
      </c>
      <c r="L3146" s="39" t="str">
        <f>IF(COUNTA(A3146:C3146,E3146)=0,"",IF(COUNTA(A3146:C3146,E3146)&lt;4,"Ligne incomplète",IF(NOT(ISNUMBER(A3146)),"Date invalide",IF(AND(B3146&lt;&gt;"Entrée",B3146&lt;&gt;"Sortie"),"Type inconnu",IF(ISNA(MATCH(C3146,art_ref,0)),"Référence inconnue",IF(OR(NOT(ISNUMBER(E3146)),N(E3146)&lt;=0),"Quantité invalide",IF(K3146&lt;0,"Stock négatif",IF(AND(ISNUMBER(A3145),A3146&lt;A3145),"Date hors ordre","OK"))))))))</f>
        <v/>
      </c>
      <c r="M3146" s="39" t="str">
        <f>IF(C3146="","",C3146&amp;"#"&amp;COUNTIF($C$5:C3146,C3146))</f>
        <v/>
      </c>
    </row>
    <row r="3147">
      <c r="A3147" s="41" t="n"/>
      <c r="B3147" s="37" t="n"/>
      <c r="C3147" s="37" t="n"/>
      <c r="D3147" s="39" t="str">
        <f>IF(C3147="","",IFERROR(INDEX(art_des,MATCH(C3147,art_ref,0))&amp;"","Référence inconnue"))</f>
        <v/>
      </c>
      <c r="E3147" s="37" t="n"/>
      <c r="F3147" s="39" t="str">
        <f>IF(C3147="","",IFERROR(INDEX(art_unit,MATCH(C3147,art_ref,0))&amp;"",""))</f>
        <v/>
      </c>
      <c r="G3147" s="37" t="n"/>
      <c r="H3147" s="37" t="n"/>
      <c r="I3147" s="37" t="n"/>
      <c r="J3147" s="40" t="str">
        <f>IF(OR(C3147="",NOT(ISNUMBER(E3147))),"",IFERROR(E3147*N(INDEX(art_price,MATCH(C3147,art_ref,0))),""))</f>
        <v/>
      </c>
      <c r="K3147" s="39" t="str">
        <f>IF(OR(C3147="",NOT(ISNUMBER(E3147))),"",IFERROR(ROUND(N(INDEX(art_init,MATCH(C3147,art_ref,0)))+SUMIFS($E$5:E3147,$C$5:C3147,C3147,$B$5:B3147,"Entrée")-SUMIFS($E$5:E3147,$C$5:C3147,C3147,$B$5:B3147,"Sortie"),6),""))</f>
        <v/>
      </c>
      <c r="L3147" s="39" t="str">
        <f>IF(COUNTA(A3147:C3147,E3147)=0,"",IF(COUNTA(A3147:C3147,E3147)&lt;4,"Ligne incomplète",IF(NOT(ISNUMBER(A3147)),"Date invalide",IF(AND(B3147&lt;&gt;"Entrée",B3147&lt;&gt;"Sortie"),"Type inconnu",IF(ISNA(MATCH(C3147,art_ref,0)),"Référence inconnue",IF(OR(NOT(ISNUMBER(E3147)),N(E3147)&lt;=0),"Quantité invalide",IF(K3147&lt;0,"Stock négatif",IF(AND(ISNUMBER(A3146),A3147&lt;A3146),"Date hors ordre","OK"))))))))</f>
        <v/>
      </c>
      <c r="M3147" s="39" t="str">
        <f>IF(C3147="","",C3147&amp;"#"&amp;COUNTIF($C$5:C3147,C3147))</f>
        <v/>
      </c>
    </row>
    <row r="3148">
      <c r="A3148" s="41" t="n"/>
      <c r="B3148" s="37" t="n"/>
      <c r="C3148" s="37" t="n"/>
      <c r="D3148" s="39" t="str">
        <f>IF(C3148="","",IFERROR(INDEX(art_des,MATCH(C3148,art_ref,0))&amp;"","Référence inconnue"))</f>
        <v/>
      </c>
      <c r="E3148" s="37" t="n"/>
      <c r="F3148" s="39" t="str">
        <f>IF(C3148="","",IFERROR(INDEX(art_unit,MATCH(C3148,art_ref,0))&amp;"",""))</f>
        <v/>
      </c>
      <c r="G3148" s="37" t="n"/>
      <c r="H3148" s="37" t="n"/>
      <c r="I3148" s="37" t="n"/>
      <c r="J3148" s="40" t="str">
        <f>IF(OR(C3148="",NOT(ISNUMBER(E3148))),"",IFERROR(E3148*N(INDEX(art_price,MATCH(C3148,art_ref,0))),""))</f>
        <v/>
      </c>
      <c r="K3148" s="39" t="str">
        <f>IF(OR(C3148="",NOT(ISNUMBER(E3148))),"",IFERROR(ROUND(N(INDEX(art_init,MATCH(C3148,art_ref,0)))+SUMIFS($E$5:E3148,$C$5:C3148,C3148,$B$5:B3148,"Entrée")-SUMIFS($E$5:E3148,$C$5:C3148,C3148,$B$5:B3148,"Sortie"),6),""))</f>
        <v/>
      </c>
      <c r="L3148" s="39" t="str">
        <f>IF(COUNTA(A3148:C3148,E3148)=0,"",IF(COUNTA(A3148:C3148,E3148)&lt;4,"Ligne incomplète",IF(NOT(ISNUMBER(A3148)),"Date invalide",IF(AND(B3148&lt;&gt;"Entrée",B3148&lt;&gt;"Sortie"),"Type inconnu",IF(ISNA(MATCH(C3148,art_ref,0)),"Référence inconnue",IF(OR(NOT(ISNUMBER(E3148)),N(E3148)&lt;=0),"Quantité invalide",IF(K3148&lt;0,"Stock négatif",IF(AND(ISNUMBER(A3147),A3148&lt;A3147),"Date hors ordre","OK"))))))))</f>
        <v/>
      </c>
      <c r="M3148" s="39" t="str">
        <f>IF(C3148="","",C3148&amp;"#"&amp;COUNTIF($C$5:C3148,C3148))</f>
        <v/>
      </c>
    </row>
    <row r="3149">
      <c r="A3149" s="41" t="n"/>
      <c r="B3149" s="37" t="n"/>
      <c r="C3149" s="37" t="n"/>
      <c r="D3149" s="39" t="str">
        <f>IF(C3149="","",IFERROR(INDEX(art_des,MATCH(C3149,art_ref,0))&amp;"","Référence inconnue"))</f>
        <v/>
      </c>
      <c r="E3149" s="37" t="n"/>
      <c r="F3149" s="39" t="str">
        <f>IF(C3149="","",IFERROR(INDEX(art_unit,MATCH(C3149,art_ref,0))&amp;"",""))</f>
        <v/>
      </c>
      <c r="G3149" s="37" t="n"/>
      <c r="H3149" s="37" t="n"/>
      <c r="I3149" s="37" t="n"/>
      <c r="J3149" s="40" t="str">
        <f>IF(OR(C3149="",NOT(ISNUMBER(E3149))),"",IFERROR(E3149*N(INDEX(art_price,MATCH(C3149,art_ref,0))),""))</f>
        <v/>
      </c>
      <c r="K3149" s="39" t="str">
        <f>IF(OR(C3149="",NOT(ISNUMBER(E3149))),"",IFERROR(ROUND(N(INDEX(art_init,MATCH(C3149,art_ref,0)))+SUMIFS($E$5:E3149,$C$5:C3149,C3149,$B$5:B3149,"Entrée")-SUMIFS($E$5:E3149,$C$5:C3149,C3149,$B$5:B3149,"Sortie"),6),""))</f>
        <v/>
      </c>
      <c r="L3149" s="39" t="str">
        <f>IF(COUNTA(A3149:C3149,E3149)=0,"",IF(COUNTA(A3149:C3149,E3149)&lt;4,"Ligne incomplète",IF(NOT(ISNUMBER(A3149)),"Date invalide",IF(AND(B3149&lt;&gt;"Entrée",B3149&lt;&gt;"Sortie"),"Type inconnu",IF(ISNA(MATCH(C3149,art_ref,0)),"Référence inconnue",IF(OR(NOT(ISNUMBER(E3149)),N(E3149)&lt;=0),"Quantité invalide",IF(K3149&lt;0,"Stock négatif",IF(AND(ISNUMBER(A3148),A3149&lt;A3148),"Date hors ordre","OK"))))))))</f>
        <v/>
      </c>
      <c r="M3149" s="39" t="str">
        <f>IF(C3149="","",C3149&amp;"#"&amp;COUNTIF($C$5:C3149,C3149))</f>
        <v/>
      </c>
    </row>
    <row r="3150">
      <c r="A3150" s="41" t="n"/>
      <c r="B3150" s="37" t="n"/>
      <c r="C3150" s="37" t="n"/>
      <c r="D3150" s="39" t="str">
        <f>IF(C3150="","",IFERROR(INDEX(art_des,MATCH(C3150,art_ref,0))&amp;"","Référence inconnue"))</f>
        <v/>
      </c>
      <c r="E3150" s="37" t="n"/>
      <c r="F3150" s="39" t="str">
        <f>IF(C3150="","",IFERROR(INDEX(art_unit,MATCH(C3150,art_ref,0))&amp;"",""))</f>
        <v/>
      </c>
      <c r="G3150" s="37" t="n"/>
      <c r="H3150" s="37" t="n"/>
      <c r="I3150" s="37" t="n"/>
      <c r="J3150" s="40" t="str">
        <f>IF(OR(C3150="",NOT(ISNUMBER(E3150))),"",IFERROR(E3150*N(INDEX(art_price,MATCH(C3150,art_ref,0))),""))</f>
        <v/>
      </c>
      <c r="K3150" s="39" t="str">
        <f>IF(OR(C3150="",NOT(ISNUMBER(E3150))),"",IFERROR(ROUND(N(INDEX(art_init,MATCH(C3150,art_ref,0)))+SUMIFS($E$5:E3150,$C$5:C3150,C3150,$B$5:B3150,"Entrée")-SUMIFS($E$5:E3150,$C$5:C3150,C3150,$B$5:B3150,"Sortie"),6),""))</f>
        <v/>
      </c>
      <c r="L3150" s="39" t="str">
        <f>IF(COUNTA(A3150:C3150,E3150)=0,"",IF(COUNTA(A3150:C3150,E3150)&lt;4,"Ligne incomplète",IF(NOT(ISNUMBER(A3150)),"Date invalide",IF(AND(B3150&lt;&gt;"Entrée",B3150&lt;&gt;"Sortie"),"Type inconnu",IF(ISNA(MATCH(C3150,art_ref,0)),"Référence inconnue",IF(OR(NOT(ISNUMBER(E3150)),N(E3150)&lt;=0),"Quantité invalide",IF(K3150&lt;0,"Stock négatif",IF(AND(ISNUMBER(A3149),A3150&lt;A3149),"Date hors ordre","OK"))))))))</f>
        <v/>
      </c>
      <c r="M3150" s="39" t="str">
        <f>IF(C3150="","",C3150&amp;"#"&amp;COUNTIF($C$5:C3150,C3150))</f>
        <v/>
      </c>
    </row>
    <row r="3151">
      <c r="A3151" s="41" t="n"/>
      <c r="B3151" s="37" t="n"/>
      <c r="C3151" s="37" t="n"/>
      <c r="D3151" s="39" t="str">
        <f>IF(C3151="","",IFERROR(INDEX(art_des,MATCH(C3151,art_ref,0))&amp;"","Référence inconnue"))</f>
        <v/>
      </c>
      <c r="E3151" s="37" t="n"/>
      <c r="F3151" s="39" t="str">
        <f>IF(C3151="","",IFERROR(INDEX(art_unit,MATCH(C3151,art_ref,0))&amp;"",""))</f>
        <v/>
      </c>
      <c r="G3151" s="37" t="n"/>
      <c r="H3151" s="37" t="n"/>
      <c r="I3151" s="37" t="n"/>
      <c r="J3151" s="40" t="str">
        <f>IF(OR(C3151="",NOT(ISNUMBER(E3151))),"",IFERROR(E3151*N(INDEX(art_price,MATCH(C3151,art_ref,0))),""))</f>
        <v/>
      </c>
      <c r="K3151" s="39" t="str">
        <f>IF(OR(C3151="",NOT(ISNUMBER(E3151))),"",IFERROR(ROUND(N(INDEX(art_init,MATCH(C3151,art_ref,0)))+SUMIFS($E$5:E3151,$C$5:C3151,C3151,$B$5:B3151,"Entrée")-SUMIFS($E$5:E3151,$C$5:C3151,C3151,$B$5:B3151,"Sortie"),6),""))</f>
        <v/>
      </c>
      <c r="L3151" s="39" t="str">
        <f>IF(COUNTA(A3151:C3151,E3151)=0,"",IF(COUNTA(A3151:C3151,E3151)&lt;4,"Ligne incomplète",IF(NOT(ISNUMBER(A3151)),"Date invalide",IF(AND(B3151&lt;&gt;"Entrée",B3151&lt;&gt;"Sortie"),"Type inconnu",IF(ISNA(MATCH(C3151,art_ref,0)),"Référence inconnue",IF(OR(NOT(ISNUMBER(E3151)),N(E3151)&lt;=0),"Quantité invalide",IF(K3151&lt;0,"Stock négatif",IF(AND(ISNUMBER(A3150),A3151&lt;A3150),"Date hors ordre","OK"))))))))</f>
        <v/>
      </c>
      <c r="M3151" s="39" t="str">
        <f>IF(C3151="","",C3151&amp;"#"&amp;COUNTIF($C$5:C3151,C3151))</f>
        <v/>
      </c>
    </row>
    <row r="3152">
      <c r="A3152" s="41" t="n"/>
      <c r="B3152" s="37" t="n"/>
      <c r="C3152" s="37" t="n"/>
      <c r="D3152" s="39" t="str">
        <f>IF(C3152="","",IFERROR(INDEX(art_des,MATCH(C3152,art_ref,0))&amp;"","Référence inconnue"))</f>
        <v/>
      </c>
      <c r="E3152" s="37" t="n"/>
      <c r="F3152" s="39" t="str">
        <f>IF(C3152="","",IFERROR(INDEX(art_unit,MATCH(C3152,art_ref,0))&amp;"",""))</f>
        <v/>
      </c>
      <c r="G3152" s="37" t="n"/>
      <c r="H3152" s="37" t="n"/>
      <c r="I3152" s="37" t="n"/>
      <c r="J3152" s="40" t="str">
        <f>IF(OR(C3152="",NOT(ISNUMBER(E3152))),"",IFERROR(E3152*N(INDEX(art_price,MATCH(C3152,art_ref,0))),""))</f>
        <v/>
      </c>
      <c r="K3152" s="39" t="str">
        <f>IF(OR(C3152="",NOT(ISNUMBER(E3152))),"",IFERROR(ROUND(N(INDEX(art_init,MATCH(C3152,art_ref,0)))+SUMIFS($E$5:E3152,$C$5:C3152,C3152,$B$5:B3152,"Entrée")-SUMIFS($E$5:E3152,$C$5:C3152,C3152,$B$5:B3152,"Sortie"),6),""))</f>
        <v/>
      </c>
      <c r="L3152" s="39" t="str">
        <f>IF(COUNTA(A3152:C3152,E3152)=0,"",IF(COUNTA(A3152:C3152,E3152)&lt;4,"Ligne incomplète",IF(NOT(ISNUMBER(A3152)),"Date invalide",IF(AND(B3152&lt;&gt;"Entrée",B3152&lt;&gt;"Sortie"),"Type inconnu",IF(ISNA(MATCH(C3152,art_ref,0)),"Référence inconnue",IF(OR(NOT(ISNUMBER(E3152)),N(E3152)&lt;=0),"Quantité invalide",IF(K3152&lt;0,"Stock négatif",IF(AND(ISNUMBER(A3151),A3152&lt;A3151),"Date hors ordre","OK"))))))))</f>
        <v/>
      </c>
      <c r="M3152" s="39" t="str">
        <f>IF(C3152="","",C3152&amp;"#"&amp;COUNTIF($C$5:C3152,C3152))</f>
        <v/>
      </c>
    </row>
    <row r="3153">
      <c r="A3153" s="41" t="n"/>
      <c r="B3153" s="37" t="n"/>
      <c r="C3153" s="37" t="n"/>
      <c r="D3153" s="39" t="str">
        <f>IF(C3153="","",IFERROR(INDEX(art_des,MATCH(C3153,art_ref,0))&amp;"","Référence inconnue"))</f>
        <v/>
      </c>
      <c r="E3153" s="37" t="n"/>
      <c r="F3153" s="39" t="str">
        <f>IF(C3153="","",IFERROR(INDEX(art_unit,MATCH(C3153,art_ref,0))&amp;"",""))</f>
        <v/>
      </c>
      <c r="G3153" s="37" t="n"/>
      <c r="H3153" s="37" t="n"/>
      <c r="I3153" s="37" t="n"/>
      <c r="J3153" s="40" t="str">
        <f>IF(OR(C3153="",NOT(ISNUMBER(E3153))),"",IFERROR(E3153*N(INDEX(art_price,MATCH(C3153,art_ref,0))),""))</f>
        <v/>
      </c>
      <c r="K3153" s="39" t="str">
        <f>IF(OR(C3153="",NOT(ISNUMBER(E3153))),"",IFERROR(ROUND(N(INDEX(art_init,MATCH(C3153,art_ref,0)))+SUMIFS($E$5:E3153,$C$5:C3153,C3153,$B$5:B3153,"Entrée")-SUMIFS($E$5:E3153,$C$5:C3153,C3153,$B$5:B3153,"Sortie"),6),""))</f>
        <v/>
      </c>
      <c r="L3153" s="39" t="str">
        <f>IF(COUNTA(A3153:C3153,E3153)=0,"",IF(COUNTA(A3153:C3153,E3153)&lt;4,"Ligne incomplète",IF(NOT(ISNUMBER(A3153)),"Date invalide",IF(AND(B3153&lt;&gt;"Entrée",B3153&lt;&gt;"Sortie"),"Type inconnu",IF(ISNA(MATCH(C3153,art_ref,0)),"Référence inconnue",IF(OR(NOT(ISNUMBER(E3153)),N(E3153)&lt;=0),"Quantité invalide",IF(K3153&lt;0,"Stock négatif",IF(AND(ISNUMBER(A3152),A3153&lt;A3152),"Date hors ordre","OK"))))))))</f>
        <v/>
      </c>
      <c r="M3153" s="39" t="str">
        <f>IF(C3153="","",C3153&amp;"#"&amp;COUNTIF($C$5:C3153,C3153))</f>
        <v/>
      </c>
    </row>
    <row r="3154">
      <c r="A3154" s="41" t="n"/>
      <c r="B3154" s="37" t="n"/>
      <c r="C3154" s="37" t="n"/>
      <c r="D3154" s="39" t="str">
        <f>IF(C3154="","",IFERROR(INDEX(art_des,MATCH(C3154,art_ref,0))&amp;"","Référence inconnue"))</f>
        <v/>
      </c>
      <c r="E3154" s="37" t="n"/>
      <c r="F3154" s="39" t="str">
        <f>IF(C3154="","",IFERROR(INDEX(art_unit,MATCH(C3154,art_ref,0))&amp;"",""))</f>
        <v/>
      </c>
      <c r="G3154" s="37" t="n"/>
      <c r="H3154" s="37" t="n"/>
      <c r="I3154" s="37" t="n"/>
      <c r="J3154" s="40" t="str">
        <f>IF(OR(C3154="",NOT(ISNUMBER(E3154))),"",IFERROR(E3154*N(INDEX(art_price,MATCH(C3154,art_ref,0))),""))</f>
        <v/>
      </c>
      <c r="K3154" s="39" t="str">
        <f>IF(OR(C3154="",NOT(ISNUMBER(E3154))),"",IFERROR(ROUND(N(INDEX(art_init,MATCH(C3154,art_ref,0)))+SUMIFS($E$5:E3154,$C$5:C3154,C3154,$B$5:B3154,"Entrée")-SUMIFS($E$5:E3154,$C$5:C3154,C3154,$B$5:B3154,"Sortie"),6),""))</f>
        <v/>
      </c>
      <c r="L3154" s="39" t="str">
        <f>IF(COUNTA(A3154:C3154,E3154)=0,"",IF(COUNTA(A3154:C3154,E3154)&lt;4,"Ligne incomplète",IF(NOT(ISNUMBER(A3154)),"Date invalide",IF(AND(B3154&lt;&gt;"Entrée",B3154&lt;&gt;"Sortie"),"Type inconnu",IF(ISNA(MATCH(C3154,art_ref,0)),"Référence inconnue",IF(OR(NOT(ISNUMBER(E3154)),N(E3154)&lt;=0),"Quantité invalide",IF(K3154&lt;0,"Stock négatif",IF(AND(ISNUMBER(A3153),A3154&lt;A3153),"Date hors ordre","OK"))))))))</f>
        <v/>
      </c>
      <c r="M3154" s="39" t="str">
        <f>IF(C3154="","",C3154&amp;"#"&amp;COUNTIF($C$5:C3154,C3154))</f>
        <v/>
      </c>
    </row>
    <row r="3155">
      <c r="A3155" s="41" t="n"/>
      <c r="B3155" s="37" t="n"/>
      <c r="C3155" s="37" t="n"/>
      <c r="D3155" s="39" t="str">
        <f>IF(C3155="","",IFERROR(INDEX(art_des,MATCH(C3155,art_ref,0))&amp;"","Référence inconnue"))</f>
        <v/>
      </c>
      <c r="E3155" s="37" t="n"/>
      <c r="F3155" s="39" t="str">
        <f>IF(C3155="","",IFERROR(INDEX(art_unit,MATCH(C3155,art_ref,0))&amp;"",""))</f>
        <v/>
      </c>
      <c r="G3155" s="37" t="n"/>
      <c r="H3155" s="37" t="n"/>
      <c r="I3155" s="37" t="n"/>
      <c r="J3155" s="40" t="str">
        <f>IF(OR(C3155="",NOT(ISNUMBER(E3155))),"",IFERROR(E3155*N(INDEX(art_price,MATCH(C3155,art_ref,0))),""))</f>
        <v/>
      </c>
      <c r="K3155" s="39" t="str">
        <f>IF(OR(C3155="",NOT(ISNUMBER(E3155))),"",IFERROR(ROUND(N(INDEX(art_init,MATCH(C3155,art_ref,0)))+SUMIFS($E$5:E3155,$C$5:C3155,C3155,$B$5:B3155,"Entrée")-SUMIFS($E$5:E3155,$C$5:C3155,C3155,$B$5:B3155,"Sortie"),6),""))</f>
        <v/>
      </c>
      <c r="L3155" s="39" t="str">
        <f>IF(COUNTA(A3155:C3155,E3155)=0,"",IF(COUNTA(A3155:C3155,E3155)&lt;4,"Ligne incomplète",IF(NOT(ISNUMBER(A3155)),"Date invalide",IF(AND(B3155&lt;&gt;"Entrée",B3155&lt;&gt;"Sortie"),"Type inconnu",IF(ISNA(MATCH(C3155,art_ref,0)),"Référence inconnue",IF(OR(NOT(ISNUMBER(E3155)),N(E3155)&lt;=0),"Quantité invalide",IF(K3155&lt;0,"Stock négatif",IF(AND(ISNUMBER(A3154),A3155&lt;A3154),"Date hors ordre","OK"))))))))</f>
        <v/>
      </c>
      <c r="M3155" s="39" t="str">
        <f>IF(C3155="","",C3155&amp;"#"&amp;COUNTIF($C$5:C3155,C3155))</f>
        <v/>
      </c>
    </row>
    <row r="3156">
      <c r="A3156" s="41" t="n"/>
      <c r="B3156" s="37" t="n"/>
      <c r="C3156" s="37" t="n"/>
      <c r="D3156" s="39" t="str">
        <f>IF(C3156="","",IFERROR(INDEX(art_des,MATCH(C3156,art_ref,0))&amp;"","Référence inconnue"))</f>
        <v/>
      </c>
      <c r="E3156" s="37" t="n"/>
      <c r="F3156" s="39" t="str">
        <f>IF(C3156="","",IFERROR(INDEX(art_unit,MATCH(C3156,art_ref,0))&amp;"",""))</f>
        <v/>
      </c>
      <c r="G3156" s="37" t="n"/>
      <c r="H3156" s="37" t="n"/>
      <c r="I3156" s="37" t="n"/>
      <c r="J3156" s="40" t="str">
        <f>IF(OR(C3156="",NOT(ISNUMBER(E3156))),"",IFERROR(E3156*N(INDEX(art_price,MATCH(C3156,art_ref,0))),""))</f>
        <v/>
      </c>
      <c r="K3156" s="39" t="str">
        <f>IF(OR(C3156="",NOT(ISNUMBER(E3156))),"",IFERROR(ROUND(N(INDEX(art_init,MATCH(C3156,art_ref,0)))+SUMIFS($E$5:E3156,$C$5:C3156,C3156,$B$5:B3156,"Entrée")-SUMIFS($E$5:E3156,$C$5:C3156,C3156,$B$5:B3156,"Sortie"),6),""))</f>
        <v/>
      </c>
      <c r="L3156" s="39" t="str">
        <f>IF(COUNTA(A3156:C3156,E3156)=0,"",IF(COUNTA(A3156:C3156,E3156)&lt;4,"Ligne incomplète",IF(NOT(ISNUMBER(A3156)),"Date invalide",IF(AND(B3156&lt;&gt;"Entrée",B3156&lt;&gt;"Sortie"),"Type inconnu",IF(ISNA(MATCH(C3156,art_ref,0)),"Référence inconnue",IF(OR(NOT(ISNUMBER(E3156)),N(E3156)&lt;=0),"Quantité invalide",IF(K3156&lt;0,"Stock négatif",IF(AND(ISNUMBER(A3155),A3156&lt;A3155),"Date hors ordre","OK"))))))))</f>
        <v/>
      </c>
      <c r="M3156" s="39" t="str">
        <f>IF(C3156="","",C3156&amp;"#"&amp;COUNTIF($C$5:C3156,C3156))</f>
        <v/>
      </c>
    </row>
    <row r="3157">
      <c r="A3157" s="41" t="n"/>
      <c r="B3157" s="37" t="n"/>
      <c r="C3157" s="37" t="n"/>
      <c r="D3157" s="39" t="str">
        <f>IF(C3157="","",IFERROR(INDEX(art_des,MATCH(C3157,art_ref,0))&amp;"","Référence inconnue"))</f>
        <v/>
      </c>
      <c r="E3157" s="37" t="n"/>
      <c r="F3157" s="39" t="str">
        <f>IF(C3157="","",IFERROR(INDEX(art_unit,MATCH(C3157,art_ref,0))&amp;"",""))</f>
        <v/>
      </c>
      <c r="G3157" s="37" t="n"/>
      <c r="H3157" s="37" t="n"/>
      <c r="I3157" s="37" t="n"/>
      <c r="J3157" s="40" t="str">
        <f>IF(OR(C3157="",NOT(ISNUMBER(E3157))),"",IFERROR(E3157*N(INDEX(art_price,MATCH(C3157,art_ref,0))),""))</f>
        <v/>
      </c>
      <c r="K3157" s="39" t="str">
        <f>IF(OR(C3157="",NOT(ISNUMBER(E3157))),"",IFERROR(ROUND(N(INDEX(art_init,MATCH(C3157,art_ref,0)))+SUMIFS($E$5:E3157,$C$5:C3157,C3157,$B$5:B3157,"Entrée")-SUMIFS($E$5:E3157,$C$5:C3157,C3157,$B$5:B3157,"Sortie"),6),""))</f>
        <v/>
      </c>
      <c r="L3157" s="39" t="str">
        <f>IF(COUNTA(A3157:C3157,E3157)=0,"",IF(COUNTA(A3157:C3157,E3157)&lt;4,"Ligne incomplète",IF(NOT(ISNUMBER(A3157)),"Date invalide",IF(AND(B3157&lt;&gt;"Entrée",B3157&lt;&gt;"Sortie"),"Type inconnu",IF(ISNA(MATCH(C3157,art_ref,0)),"Référence inconnue",IF(OR(NOT(ISNUMBER(E3157)),N(E3157)&lt;=0),"Quantité invalide",IF(K3157&lt;0,"Stock négatif",IF(AND(ISNUMBER(A3156),A3157&lt;A3156),"Date hors ordre","OK"))))))))</f>
        <v/>
      </c>
      <c r="M3157" s="39" t="str">
        <f>IF(C3157="","",C3157&amp;"#"&amp;COUNTIF($C$5:C3157,C3157))</f>
        <v/>
      </c>
    </row>
    <row r="3158">
      <c r="A3158" s="41" t="n"/>
      <c r="B3158" s="37" t="n"/>
      <c r="C3158" s="37" t="n"/>
      <c r="D3158" s="39" t="str">
        <f>IF(C3158="","",IFERROR(INDEX(art_des,MATCH(C3158,art_ref,0))&amp;"","Référence inconnue"))</f>
        <v/>
      </c>
      <c r="E3158" s="37" t="n"/>
      <c r="F3158" s="39" t="str">
        <f>IF(C3158="","",IFERROR(INDEX(art_unit,MATCH(C3158,art_ref,0))&amp;"",""))</f>
        <v/>
      </c>
      <c r="G3158" s="37" t="n"/>
      <c r="H3158" s="37" t="n"/>
      <c r="I3158" s="37" t="n"/>
      <c r="J3158" s="40" t="str">
        <f>IF(OR(C3158="",NOT(ISNUMBER(E3158))),"",IFERROR(E3158*N(INDEX(art_price,MATCH(C3158,art_ref,0))),""))</f>
        <v/>
      </c>
      <c r="K3158" s="39" t="str">
        <f>IF(OR(C3158="",NOT(ISNUMBER(E3158))),"",IFERROR(ROUND(N(INDEX(art_init,MATCH(C3158,art_ref,0)))+SUMIFS($E$5:E3158,$C$5:C3158,C3158,$B$5:B3158,"Entrée")-SUMIFS($E$5:E3158,$C$5:C3158,C3158,$B$5:B3158,"Sortie"),6),""))</f>
        <v/>
      </c>
      <c r="L3158" s="39" t="str">
        <f>IF(COUNTA(A3158:C3158,E3158)=0,"",IF(COUNTA(A3158:C3158,E3158)&lt;4,"Ligne incomplète",IF(NOT(ISNUMBER(A3158)),"Date invalide",IF(AND(B3158&lt;&gt;"Entrée",B3158&lt;&gt;"Sortie"),"Type inconnu",IF(ISNA(MATCH(C3158,art_ref,0)),"Référence inconnue",IF(OR(NOT(ISNUMBER(E3158)),N(E3158)&lt;=0),"Quantité invalide",IF(K3158&lt;0,"Stock négatif",IF(AND(ISNUMBER(A3157),A3158&lt;A3157),"Date hors ordre","OK"))))))))</f>
        <v/>
      </c>
      <c r="M3158" s="39" t="str">
        <f>IF(C3158="","",C3158&amp;"#"&amp;COUNTIF($C$5:C3158,C3158))</f>
        <v/>
      </c>
    </row>
    <row r="3159">
      <c r="A3159" s="41" t="n"/>
      <c r="B3159" s="37" t="n"/>
      <c r="C3159" s="37" t="n"/>
      <c r="D3159" s="39" t="str">
        <f>IF(C3159="","",IFERROR(INDEX(art_des,MATCH(C3159,art_ref,0))&amp;"","Référence inconnue"))</f>
        <v/>
      </c>
      <c r="E3159" s="37" t="n"/>
      <c r="F3159" s="39" t="str">
        <f>IF(C3159="","",IFERROR(INDEX(art_unit,MATCH(C3159,art_ref,0))&amp;"",""))</f>
        <v/>
      </c>
      <c r="G3159" s="37" t="n"/>
      <c r="H3159" s="37" t="n"/>
      <c r="I3159" s="37" t="n"/>
      <c r="J3159" s="40" t="str">
        <f>IF(OR(C3159="",NOT(ISNUMBER(E3159))),"",IFERROR(E3159*N(INDEX(art_price,MATCH(C3159,art_ref,0))),""))</f>
        <v/>
      </c>
      <c r="K3159" s="39" t="str">
        <f>IF(OR(C3159="",NOT(ISNUMBER(E3159))),"",IFERROR(ROUND(N(INDEX(art_init,MATCH(C3159,art_ref,0)))+SUMIFS($E$5:E3159,$C$5:C3159,C3159,$B$5:B3159,"Entrée")-SUMIFS($E$5:E3159,$C$5:C3159,C3159,$B$5:B3159,"Sortie"),6),""))</f>
        <v/>
      </c>
      <c r="L3159" s="39" t="str">
        <f>IF(COUNTA(A3159:C3159,E3159)=0,"",IF(COUNTA(A3159:C3159,E3159)&lt;4,"Ligne incomplète",IF(NOT(ISNUMBER(A3159)),"Date invalide",IF(AND(B3159&lt;&gt;"Entrée",B3159&lt;&gt;"Sortie"),"Type inconnu",IF(ISNA(MATCH(C3159,art_ref,0)),"Référence inconnue",IF(OR(NOT(ISNUMBER(E3159)),N(E3159)&lt;=0),"Quantité invalide",IF(K3159&lt;0,"Stock négatif",IF(AND(ISNUMBER(A3158),A3159&lt;A3158),"Date hors ordre","OK"))))))))</f>
        <v/>
      </c>
      <c r="M3159" s="39" t="str">
        <f>IF(C3159="","",C3159&amp;"#"&amp;COUNTIF($C$5:C3159,C3159))</f>
        <v/>
      </c>
    </row>
    <row r="3160">
      <c r="A3160" s="41" t="n"/>
      <c r="B3160" s="37" t="n"/>
      <c r="C3160" s="37" t="n"/>
      <c r="D3160" s="39" t="str">
        <f>IF(C3160="","",IFERROR(INDEX(art_des,MATCH(C3160,art_ref,0))&amp;"","Référence inconnue"))</f>
        <v/>
      </c>
      <c r="E3160" s="37" t="n"/>
      <c r="F3160" s="39" t="str">
        <f>IF(C3160="","",IFERROR(INDEX(art_unit,MATCH(C3160,art_ref,0))&amp;"",""))</f>
        <v/>
      </c>
      <c r="G3160" s="37" t="n"/>
      <c r="H3160" s="37" t="n"/>
      <c r="I3160" s="37" t="n"/>
      <c r="J3160" s="40" t="str">
        <f>IF(OR(C3160="",NOT(ISNUMBER(E3160))),"",IFERROR(E3160*N(INDEX(art_price,MATCH(C3160,art_ref,0))),""))</f>
        <v/>
      </c>
      <c r="K3160" s="39" t="str">
        <f>IF(OR(C3160="",NOT(ISNUMBER(E3160))),"",IFERROR(ROUND(N(INDEX(art_init,MATCH(C3160,art_ref,0)))+SUMIFS($E$5:E3160,$C$5:C3160,C3160,$B$5:B3160,"Entrée")-SUMIFS($E$5:E3160,$C$5:C3160,C3160,$B$5:B3160,"Sortie"),6),""))</f>
        <v/>
      </c>
      <c r="L3160" s="39" t="str">
        <f>IF(COUNTA(A3160:C3160,E3160)=0,"",IF(COUNTA(A3160:C3160,E3160)&lt;4,"Ligne incomplète",IF(NOT(ISNUMBER(A3160)),"Date invalide",IF(AND(B3160&lt;&gt;"Entrée",B3160&lt;&gt;"Sortie"),"Type inconnu",IF(ISNA(MATCH(C3160,art_ref,0)),"Référence inconnue",IF(OR(NOT(ISNUMBER(E3160)),N(E3160)&lt;=0),"Quantité invalide",IF(K3160&lt;0,"Stock négatif",IF(AND(ISNUMBER(A3159),A3160&lt;A3159),"Date hors ordre","OK"))))))))</f>
        <v/>
      </c>
      <c r="M3160" s="39" t="str">
        <f>IF(C3160="","",C3160&amp;"#"&amp;COUNTIF($C$5:C3160,C3160))</f>
        <v/>
      </c>
    </row>
    <row r="3161">
      <c r="A3161" s="41" t="n"/>
      <c r="B3161" s="37" t="n"/>
      <c r="C3161" s="37" t="n"/>
      <c r="D3161" s="39" t="str">
        <f>IF(C3161="","",IFERROR(INDEX(art_des,MATCH(C3161,art_ref,0))&amp;"","Référence inconnue"))</f>
        <v/>
      </c>
      <c r="E3161" s="37" t="n"/>
      <c r="F3161" s="39" t="str">
        <f>IF(C3161="","",IFERROR(INDEX(art_unit,MATCH(C3161,art_ref,0))&amp;"",""))</f>
        <v/>
      </c>
      <c r="G3161" s="37" t="n"/>
      <c r="H3161" s="37" t="n"/>
      <c r="I3161" s="37" t="n"/>
      <c r="J3161" s="40" t="str">
        <f>IF(OR(C3161="",NOT(ISNUMBER(E3161))),"",IFERROR(E3161*N(INDEX(art_price,MATCH(C3161,art_ref,0))),""))</f>
        <v/>
      </c>
      <c r="K3161" s="39" t="str">
        <f>IF(OR(C3161="",NOT(ISNUMBER(E3161))),"",IFERROR(ROUND(N(INDEX(art_init,MATCH(C3161,art_ref,0)))+SUMIFS($E$5:E3161,$C$5:C3161,C3161,$B$5:B3161,"Entrée")-SUMIFS($E$5:E3161,$C$5:C3161,C3161,$B$5:B3161,"Sortie"),6),""))</f>
        <v/>
      </c>
      <c r="L3161" s="39" t="str">
        <f>IF(COUNTA(A3161:C3161,E3161)=0,"",IF(COUNTA(A3161:C3161,E3161)&lt;4,"Ligne incomplète",IF(NOT(ISNUMBER(A3161)),"Date invalide",IF(AND(B3161&lt;&gt;"Entrée",B3161&lt;&gt;"Sortie"),"Type inconnu",IF(ISNA(MATCH(C3161,art_ref,0)),"Référence inconnue",IF(OR(NOT(ISNUMBER(E3161)),N(E3161)&lt;=0),"Quantité invalide",IF(K3161&lt;0,"Stock négatif",IF(AND(ISNUMBER(A3160),A3161&lt;A3160),"Date hors ordre","OK"))))))))</f>
        <v/>
      </c>
      <c r="M3161" s="39" t="str">
        <f>IF(C3161="","",C3161&amp;"#"&amp;COUNTIF($C$5:C3161,C3161))</f>
        <v/>
      </c>
    </row>
    <row r="3162">
      <c r="A3162" s="41" t="n"/>
      <c r="B3162" s="37" t="n"/>
      <c r="C3162" s="37" t="n"/>
      <c r="D3162" s="39" t="str">
        <f>IF(C3162="","",IFERROR(INDEX(art_des,MATCH(C3162,art_ref,0))&amp;"","Référence inconnue"))</f>
        <v/>
      </c>
      <c r="E3162" s="37" t="n"/>
      <c r="F3162" s="39" t="str">
        <f>IF(C3162="","",IFERROR(INDEX(art_unit,MATCH(C3162,art_ref,0))&amp;"",""))</f>
        <v/>
      </c>
      <c r="G3162" s="37" t="n"/>
      <c r="H3162" s="37" t="n"/>
      <c r="I3162" s="37" t="n"/>
      <c r="J3162" s="40" t="str">
        <f>IF(OR(C3162="",NOT(ISNUMBER(E3162))),"",IFERROR(E3162*N(INDEX(art_price,MATCH(C3162,art_ref,0))),""))</f>
        <v/>
      </c>
      <c r="K3162" s="39" t="str">
        <f>IF(OR(C3162="",NOT(ISNUMBER(E3162))),"",IFERROR(ROUND(N(INDEX(art_init,MATCH(C3162,art_ref,0)))+SUMIFS($E$5:E3162,$C$5:C3162,C3162,$B$5:B3162,"Entrée")-SUMIFS($E$5:E3162,$C$5:C3162,C3162,$B$5:B3162,"Sortie"),6),""))</f>
        <v/>
      </c>
      <c r="L3162" s="39" t="str">
        <f>IF(COUNTA(A3162:C3162,E3162)=0,"",IF(COUNTA(A3162:C3162,E3162)&lt;4,"Ligne incomplète",IF(NOT(ISNUMBER(A3162)),"Date invalide",IF(AND(B3162&lt;&gt;"Entrée",B3162&lt;&gt;"Sortie"),"Type inconnu",IF(ISNA(MATCH(C3162,art_ref,0)),"Référence inconnue",IF(OR(NOT(ISNUMBER(E3162)),N(E3162)&lt;=0),"Quantité invalide",IF(K3162&lt;0,"Stock négatif",IF(AND(ISNUMBER(A3161),A3162&lt;A3161),"Date hors ordre","OK"))))))))</f>
        <v/>
      </c>
      <c r="M3162" s="39" t="str">
        <f>IF(C3162="","",C3162&amp;"#"&amp;COUNTIF($C$5:C3162,C3162))</f>
        <v/>
      </c>
    </row>
    <row r="3163">
      <c r="A3163" s="41" t="n"/>
      <c r="B3163" s="37" t="n"/>
      <c r="C3163" s="37" t="n"/>
      <c r="D3163" s="39" t="str">
        <f>IF(C3163="","",IFERROR(INDEX(art_des,MATCH(C3163,art_ref,0))&amp;"","Référence inconnue"))</f>
        <v/>
      </c>
      <c r="E3163" s="37" t="n"/>
      <c r="F3163" s="39" t="str">
        <f>IF(C3163="","",IFERROR(INDEX(art_unit,MATCH(C3163,art_ref,0))&amp;"",""))</f>
        <v/>
      </c>
      <c r="G3163" s="37" t="n"/>
      <c r="H3163" s="37" t="n"/>
      <c r="I3163" s="37" t="n"/>
      <c r="J3163" s="40" t="str">
        <f>IF(OR(C3163="",NOT(ISNUMBER(E3163))),"",IFERROR(E3163*N(INDEX(art_price,MATCH(C3163,art_ref,0))),""))</f>
        <v/>
      </c>
      <c r="K3163" s="39" t="str">
        <f>IF(OR(C3163="",NOT(ISNUMBER(E3163))),"",IFERROR(ROUND(N(INDEX(art_init,MATCH(C3163,art_ref,0)))+SUMIFS($E$5:E3163,$C$5:C3163,C3163,$B$5:B3163,"Entrée")-SUMIFS($E$5:E3163,$C$5:C3163,C3163,$B$5:B3163,"Sortie"),6),""))</f>
        <v/>
      </c>
      <c r="L3163" s="39" t="str">
        <f>IF(COUNTA(A3163:C3163,E3163)=0,"",IF(COUNTA(A3163:C3163,E3163)&lt;4,"Ligne incomplète",IF(NOT(ISNUMBER(A3163)),"Date invalide",IF(AND(B3163&lt;&gt;"Entrée",B3163&lt;&gt;"Sortie"),"Type inconnu",IF(ISNA(MATCH(C3163,art_ref,0)),"Référence inconnue",IF(OR(NOT(ISNUMBER(E3163)),N(E3163)&lt;=0),"Quantité invalide",IF(K3163&lt;0,"Stock négatif",IF(AND(ISNUMBER(A3162),A3163&lt;A3162),"Date hors ordre","OK"))))))))</f>
        <v/>
      </c>
      <c r="M3163" s="39" t="str">
        <f>IF(C3163="","",C3163&amp;"#"&amp;COUNTIF($C$5:C3163,C3163))</f>
        <v/>
      </c>
    </row>
    <row r="3164">
      <c r="A3164" s="41" t="n"/>
      <c r="B3164" s="37" t="n"/>
      <c r="C3164" s="37" t="n"/>
      <c r="D3164" s="39" t="str">
        <f>IF(C3164="","",IFERROR(INDEX(art_des,MATCH(C3164,art_ref,0))&amp;"","Référence inconnue"))</f>
        <v/>
      </c>
      <c r="E3164" s="37" t="n"/>
      <c r="F3164" s="39" t="str">
        <f>IF(C3164="","",IFERROR(INDEX(art_unit,MATCH(C3164,art_ref,0))&amp;"",""))</f>
        <v/>
      </c>
      <c r="G3164" s="37" t="n"/>
      <c r="H3164" s="37" t="n"/>
      <c r="I3164" s="37" t="n"/>
      <c r="J3164" s="40" t="str">
        <f>IF(OR(C3164="",NOT(ISNUMBER(E3164))),"",IFERROR(E3164*N(INDEX(art_price,MATCH(C3164,art_ref,0))),""))</f>
        <v/>
      </c>
      <c r="K3164" s="39" t="str">
        <f>IF(OR(C3164="",NOT(ISNUMBER(E3164))),"",IFERROR(ROUND(N(INDEX(art_init,MATCH(C3164,art_ref,0)))+SUMIFS($E$5:E3164,$C$5:C3164,C3164,$B$5:B3164,"Entrée")-SUMIFS($E$5:E3164,$C$5:C3164,C3164,$B$5:B3164,"Sortie"),6),""))</f>
        <v/>
      </c>
      <c r="L3164" s="39" t="str">
        <f>IF(COUNTA(A3164:C3164,E3164)=0,"",IF(COUNTA(A3164:C3164,E3164)&lt;4,"Ligne incomplète",IF(NOT(ISNUMBER(A3164)),"Date invalide",IF(AND(B3164&lt;&gt;"Entrée",B3164&lt;&gt;"Sortie"),"Type inconnu",IF(ISNA(MATCH(C3164,art_ref,0)),"Référence inconnue",IF(OR(NOT(ISNUMBER(E3164)),N(E3164)&lt;=0),"Quantité invalide",IF(K3164&lt;0,"Stock négatif",IF(AND(ISNUMBER(A3163),A3164&lt;A3163),"Date hors ordre","OK"))))))))</f>
        <v/>
      </c>
      <c r="M3164" s="39" t="str">
        <f>IF(C3164="","",C3164&amp;"#"&amp;COUNTIF($C$5:C3164,C3164))</f>
        <v/>
      </c>
    </row>
    <row r="3165">
      <c r="A3165" s="41" t="n"/>
      <c r="B3165" s="37" t="n"/>
      <c r="C3165" s="37" t="n"/>
      <c r="D3165" s="39" t="str">
        <f>IF(C3165="","",IFERROR(INDEX(art_des,MATCH(C3165,art_ref,0))&amp;"","Référence inconnue"))</f>
        <v/>
      </c>
      <c r="E3165" s="37" t="n"/>
      <c r="F3165" s="39" t="str">
        <f>IF(C3165="","",IFERROR(INDEX(art_unit,MATCH(C3165,art_ref,0))&amp;"",""))</f>
        <v/>
      </c>
      <c r="G3165" s="37" t="n"/>
      <c r="H3165" s="37" t="n"/>
      <c r="I3165" s="37" t="n"/>
      <c r="J3165" s="40" t="str">
        <f>IF(OR(C3165="",NOT(ISNUMBER(E3165))),"",IFERROR(E3165*N(INDEX(art_price,MATCH(C3165,art_ref,0))),""))</f>
        <v/>
      </c>
      <c r="K3165" s="39" t="str">
        <f>IF(OR(C3165="",NOT(ISNUMBER(E3165))),"",IFERROR(ROUND(N(INDEX(art_init,MATCH(C3165,art_ref,0)))+SUMIFS($E$5:E3165,$C$5:C3165,C3165,$B$5:B3165,"Entrée")-SUMIFS($E$5:E3165,$C$5:C3165,C3165,$B$5:B3165,"Sortie"),6),""))</f>
        <v/>
      </c>
      <c r="L3165" s="39" t="str">
        <f>IF(COUNTA(A3165:C3165,E3165)=0,"",IF(COUNTA(A3165:C3165,E3165)&lt;4,"Ligne incomplète",IF(NOT(ISNUMBER(A3165)),"Date invalide",IF(AND(B3165&lt;&gt;"Entrée",B3165&lt;&gt;"Sortie"),"Type inconnu",IF(ISNA(MATCH(C3165,art_ref,0)),"Référence inconnue",IF(OR(NOT(ISNUMBER(E3165)),N(E3165)&lt;=0),"Quantité invalide",IF(K3165&lt;0,"Stock négatif",IF(AND(ISNUMBER(A3164),A3165&lt;A3164),"Date hors ordre","OK"))))))))</f>
        <v/>
      </c>
      <c r="M3165" s="39" t="str">
        <f>IF(C3165="","",C3165&amp;"#"&amp;COUNTIF($C$5:C3165,C3165))</f>
        <v/>
      </c>
    </row>
    <row r="3166">
      <c r="A3166" s="41" t="n"/>
      <c r="B3166" s="37" t="n"/>
      <c r="C3166" s="37" t="n"/>
      <c r="D3166" s="39" t="str">
        <f>IF(C3166="","",IFERROR(INDEX(art_des,MATCH(C3166,art_ref,0))&amp;"","Référence inconnue"))</f>
        <v/>
      </c>
      <c r="E3166" s="37" t="n"/>
      <c r="F3166" s="39" t="str">
        <f>IF(C3166="","",IFERROR(INDEX(art_unit,MATCH(C3166,art_ref,0))&amp;"",""))</f>
        <v/>
      </c>
      <c r="G3166" s="37" t="n"/>
      <c r="H3166" s="37" t="n"/>
      <c r="I3166" s="37" t="n"/>
      <c r="J3166" s="40" t="str">
        <f>IF(OR(C3166="",NOT(ISNUMBER(E3166))),"",IFERROR(E3166*N(INDEX(art_price,MATCH(C3166,art_ref,0))),""))</f>
        <v/>
      </c>
      <c r="K3166" s="39" t="str">
        <f>IF(OR(C3166="",NOT(ISNUMBER(E3166))),"",IFERROR(ROUND(N(INDEX(art_init,MATCH(C3166,art_ref,0)))+SUMIFS($E$5:E3166,$C$5:C3166,C3166,$B$5:B3166,"Entrée")-SUMIFS($E$5:E3166,$C$5:C3166,C3166,$B$5:B3166,"Sortie"),6),""))</f>
        <v/>
      </c>
      <c r="L3166" s="39" t="str">
        <f>IF(COUNTA(A3166:C3166,E3166)=0,"",IF(COUNTA(A3166:C3166,E3166)&lt;4,"Ligne incomplète",IF(NOT(ISNUMBER(A3166)),"Date invalide",IF(AND(B3166&lt;&gt;"Entrée",B3166&lt;&gt;"Sortie"),"Type inconnu",IF(ISNA(MATCH(C3166,art_ref,0)),"Référence inconnue",IF(OR(NOT(ISNUMBER(E3166)),N(E3166)&lt;=0),"Quantité invalide",IF(K3166&lt;0,"Stock négatif",IF(AND(ISNUMBER(A3165),A3166&lt;A3165),"Date hors ordre","OK"))))))))</f>
        <v/>
      </c>
      <c r="M3166" s="39" t="str">
        <f>IF(C3166="","",C3166&amp;"#"&amp;COUNTIF($C$5:C3166,C3166))</f>
        <v/>
      </c>
    </row>
    <row r="3167">
      <c r="A3167" s="41" t="n"/>
      <c r="B3167" s="37" t="n"/>
      <c r="C3167" s="37" t="n"/>
      <c r="D3167" s="39" t="str">
        <f>IF(C3167="","",IFERROR(INDEX(art_des,MATCH(C3167,art_ref,0))&amp;"","Référence inconnue"))</f>
        <v/>
      </c>
      <c r="E3167" s="37" t="n"/>
      <c r="F3167" s="39" t="str">
        <f>IF(C3167="","",IFERROR(INDEX(art_unit,MATCH(C3167,art_ref,0))&amp;"",""))</f>
        <v/>
      </c>
      <c r="G3167" s="37" t="n"/>
      <c r="H3167" s="37" t="n"/>
      <c r="I3167" s="37" t="n"/>
      <c r="J3167" s="40" t="str">
        <f>IF(OR(C3167="",NOT(ISNUMBER(E3167))),"",IFERROR(E3167*N(INDEX(art_price,MATCH(C3167,art_ref,0))),""))</f>
        <v/>
      </c>
      <c r="K3167" s="39" t="str">
        <f>IF(OR(C3167="",NOT(ISNUMBER(E3167))),"",IFERROR(ROUND(N(INDEX(art_init,MATCH(C3167,art_ref,0)))+SUMIFS($E$5:E3167,$C$5:C3167,C3167,$B$5:B3167,"Entrée")-SUMIFS($E$5:E3167,$C$5:C3167,C3167,$B$5:B3167,"Sortie"),6),""))</f>
        <v/>
      </c>
      <c r="L3167" s="39" t="str">
        <f>IF(COUNTA(A3167:C3167,E3167)=0,"",IF(COUNTA(A3167:C3167,E3167)&lt;4,"Ligne incomplète",IF(NOT(ISNUMBER(A3167)),"Date invalide",IF(AND(B3167&lt;&gt;"Entrée",B3167&lt;&gt;"Sortie"),"Type inconnu",IF(ISNA(MATCH(C3167,art_ref,0)),"Référence inconnue",IF(OR(NOT(ISNUMBER(E3167)),N(E3167)&lt;=0),"Quantité invalide",IF(K3167&lt;0,"Stock négatif",IF(AND(ISNUMBER(A3166),A3167&lt;A3166),"Date hors ordre","OK"))))))))</f>
        <v/>
      </c>
      <c r="M3167" s="39" t="str">
        <f>IF(C3167="","",C3167&amp;"#"&amp;COUNTIF($C$5:C3167,C3167))</f>
        <v/>
      </c>
    </row>
    <row r="3168">
      <c r="A3168" s="41" t="n"/>
      <c r="B3168" s="37" t="n"/>
      <c r="C3168" s="37" t="n"/>
      <c r="D3168" s="39" t="str">
        <f>IF(C3168="","",IFERROR(INDEX(art_des,MATCH(C3168,art_ref,0))&amp;"","Référence inconnue"))</f>
        <v/>
      </c>
      <c r="E3168" s="37" t="n"/>
      <c r="F3168" s="39" t="str">
        <f>IF(C3168="","",IFERROR(INDEX(art_unit,MATCH(C3168,art_ref,0))&amp;"",""))</f>
        <v/>
      </c>
      <c r="G3168" s="37" t="n"/>
      <c r="H3168" s="37" t="n"/>
      <c r="I3168" s="37" t="n"/>
      <c r="J3168" s="40" t="str">
        <f>IF(OR(C3168="",NOT(ISNUMBER(E3168))),"",IFERROR(E3168*N(INDEX(art_price,MATCH(C3168,art_ref,0))),""))</f>
        <v/>
      </c>
      <c r="K3168" s="39" t="str">
        <f>IF(OR(C3168="",NOT(ISNUMBER(E3168))),"",IFERROR(ROUND(N(INDEX(art_init,MATCH(C3168,art_ref,0)))+SUMIFS($E$5:E3168,$C$5:C3168,C3168,$B$5:B3168,"Entrée")-SUMIFS($E$5:E3168,$C$5:C3168,C3168,$B$5:B3168,"Sortie"),6),""))</f>
        <v/>
      </c>
      <c r="L3168" s="39" t="str">
        <f>IF(COUNTA(A3168:C3168,E3168)=0,"",IF(COUNTA(A3168:C3168,E3168)&lt;4,"Ligne incomplète",IF(NOT(ISNUMBER(A3168)),"Date invalide",IF(AND(B3168&lt;&gt;"Entrée",B3168&lt;&gt;"Sortie"),"Type inconnu",IF(ISNA(MATCH(C3168,art_ref,0)),"Référence inconnue",IF(OR(NOT(ISNUMBER(E3168)),N(E3168)&lt;=0),"Quantité invalide",IF(K3168&lt;0,"Stock négatif",IF(AND(ISNUMBER(A3167),A3168&lt;A3167),"Date hors ordre","OK"))))))))</f>
        <v/>
      </c>
      <c r="M3168" s="39" t="str">
        <f>IF(C3168="","",C3168&amp;"#"&amp;COUNTIF($C$5:C3168,C3168))</f>
        <v/>
      </c>
    </row>
    <row r="3169">
      <c r="A3169" s="41" t="n"/>
      <c r="B3169" s="37" t="n"/>
      <c r="C3169" s="37" t="n"/>
      <c r="D3169" s="39" t="str">
        <f>IF(C3169="","",IFERROR(INDEX(art_des,MATCH(C3169,art_ref,0))&amp;"","Référence inconnue"))</f>
        <v/>
      </c>
      <c r="E3169" s="37" t="n"/>
      <c r="F3169" s="39" t="str">
        <f>IF(C3169="","",IFERROR(INDEX(art_unit,MATCH(C3169,art_ref,0))&amp;"",""))</f>
        <v/>
      </c>
      <c r="G3169" s="37" t="n"/>
      <c r="H3169" s="37" t="n"/>
      <c r="I3169" s="37" t="n"/>
      <c r="J3169" s="40" t="str">
        <f>IF(OR(C3169="",NOT(ISNUMBER(E3169))),"",IFERROR(E3169*N(INDEX(art_price,MATCH(C3169,art_ref,0))),""))</f>
        <v/>
      </c>
      <c r="K3169" s="39" t="str">
        <f>IF(OR(C3169="",NOT(ISNUMBER(E3169))),"",IFERROR(ROUND(N(INDEX(art_init,MATCH(C3169,art_ref,0)))+SUMIFS($E$5:E3169,$C$5:C3169,C3169,$B$5:B3169,"Entrée")-SUMIFS($E$5:E3169,$C$5:C3169,C3169,$B$5:B3169,"Sortie"),6),""))</f>
        <v/>
      </c>
      <c r="L3169" s="39" t="str">
        <f>IF(COUNTA(A3169:C3169,E3169)=0,"",IF(COUNTA(A3169:C3169,E3169)&lt;4,"Ligne incomplète",IF(NOT(ISNUMBER(A3169)),"Date invalide",IF(AND(B3169&lt;&gt;"Entrée",B3169&lt;&gt;"Sortie"),"Type inconnu",IF(ISNA(MATCH(C3169,art_ref,0)),"Référence inconnue",IF(OR(NOT(ISNUMBER(E3169)),N(E3169)&lt;=0),"Quantité invalide",IF(K3169&lt;0,"Stock négatif",IF(AND(ISNUMBER(A3168),A3169&lt;A3168),"Date hors ordre","OK"))))))))</f>
        <v/>
      </c>
      <c r="M3169" s="39" t="str">
        <f>IF(C3169="","",C3169&amp;"#"&amp;COUNTIF($C$5:C3169,C3169))</f>
        <v/>
      </c>
    </row>
    <row r="3170">
      <c r="A3170" s="41" t="n"/>
      <c r="B3170" s="37" t="n"/>
      <c r="C3170" s="37" t="n"/>
      <c r="D3170" s="39" t="str">
        <f>IF(C3170="","",IFERROR(INDEX(art_des,MATCH(C3170,art_ref,0))&amp;"","Référence inconnue"))</f>
        <v/>
      </c>
      <c r="E3170" s="37" t="n"/>
      <c r="F3170" s="39" t="str">
        <f>IF(C3170="","",IFERROR(INDEX(art_unit,MATCH(C3170,art_ref,0))&amp;"",""))</f>
        <v/>
      </c>
      <c r="G3170" s="37" t="n"/>
      <c r="H3170" s="37" t="n"/>
      <c r="I3170" s="37" t="n"/>
      <c r="J3170" s="40" t="str">
        <f>IF(OR(C3170="",NOT(ISNUMBER(E3170))),"",IFERROR(E3170*N(INDEX(art_price,MATCH(C3170,art_ref,0))),""))</f>
        <v/>
      </c>
      <c r="K3170" s="39" t="str">
        <f>IF(OR(C3170="",NOT(ISNUMBER(E3170))),"",IFERROR(ROUND(N(INDEX(art_init,MATCH(C3170,art_ref,0)))+SUMIFS($E$5:E3170,$C$5:C3170,C3170,$B$5:B3170,"Entrée")-SUMIFS($E$5:E3170,$C$5:C3170,C3170,$B$5:B3170,"Sortie"),6),""))</f>
        <v/>
      </c>
      <c r="L3170" s="39" t="str">
        <f>IF(COUNTA(A3170:C3170,E3170)=0,"",IF(COUNTA(A3170:C3170,E3170)&lt;4,"Ligne incomplète",IF(NOT(ISNUMBER(A3170)),"Date invalide",IF(AND(B3170&lt;&gt;"Entrée",B3170&lt;&gt;"Sortie"),"Type inconnu",IF(ISNA(MATCH(C3170,art_ref,0)),"Référence inconnue",IF(OR(NOT(ISNUMBER(E3170)),N(E3170)&lt;=0),"Quantité invalide",IF(K3170&lt;0,"Stock négatif",IF(AND(ISNUMBER(A3169),A3170&lt;A3169),"Date hors ordre","OK"))))))))</f>
        <v/>
      </c>
      <c r="M3170" s="39" t="str">
        <f>IF(C3170="","",C3170&amp;"#"&amp;COUNTIF($C$5:C3170,C3170))</f>
        <v/>
      </c>
    </row>
    <row r="3171">
      <c r="A3171" s="41" t="n"/>
      <c r="B3171" s="37" t="n"/>
      <c r="C3171" s="37" t="n"/>
      <c r="D3171" s="39" t="str">
        <f>IF(C3171="","",IFERROR(INDEX(art_des,MATCH(C3171,art_ref,0))&amp;"","Référence inconnue"))</f>
        <v/>
      </c>
      <c r="E3171" s="37" t="n"/>
      <c r="F3171" s="39" t="str">
        <f>IF(C3171="","",IFERROR(INDEX(art_unit,MATCH(C3171,art_ref,0))&amp;"",""))</f>
        <v/>
      </c>
      <c r="G3171" s="37" t="n"/>
      <c r="H3171" s="37" t="n"/>
      <c r="I3171" s="37" t="n"/>
      <c r="J3171" s="40" t="str">
        <f>IF(OR(C3171="",NOT(ISNUMBER(E3171))),"",IFERROR(E3171*N(INDEX(art_price,MATCH(C3171,art_ref,0))),""))</f>
        <v/>
      </c>
      <c r="K3171" s="39" t="str">
        <f>IF(OR(C3171="",NOT(ISNUMBER(E3171))),"",IFERROR(ROUND(N(INDEX(art_init,MATCH(C3171,art_ref,0)))+SUMIFS($E$5:E3171,$C$5:C3171,C3171,$B$5:B3171,"Entrée")-SUMIFS($E$5:E3171,$C$5:C3171,C3171,$B$5:B3171,"Sortie"),6),""))</f>
        <v/>
      </c>
      <c r="L3171" s="39" t="str">
        <f>IF(COUNTA(A3171:C3171,E3171)=0,"",IF(COUNTA(A3171:C3171,E3171)&lt;4,"Ligne incomplète",IF(NOT(ISNUMBER(A3171)),"Date invalide",IF(AND(B3171&lt;&gt;"Entrée",B3171&lt;&gt;"Sortie"),"Type inconnu",IF(ISNA(MATCH(C3171,art_ref,0)),"Référence inconnue",IF(OR(NOT(ISNUMBER(E3171)),N(E3171)&lt;=0),"Quantité invalide",IF(K3171&lt;0,"Stock négatif",IF(AND(ISNUMBER(A3170),A3171&lt;A3170),"Date hors ordre","OK"))))))))</f>
        <v/>
      </c>
      <c r="M3171" s="39" t="str">
        <f>IF(C3171="","",C3171&amp;"#"&amp;COUNTIF($C$5:C3171,C3171))</f>
        <v/>
      </c>
    </row>
    <row r="3172">
      <c r="A3172" s="41" t="n"/>
      <c r="B3172" s="37" t="n"/>
      <c r="C3172" s="37" t="n"/>
      <c r="D3172" s="39" t="str">
        <f>IF(C3172="","",IFERROR(INDEX(art_des,MATCH(C3172,art_ref,0))&amp;"","Référence inconnue"))</f>
        <v/>
      </c>
      <c r="E3172" s="37" t="n"/>
      <c r="F3172" s="39" t="str">
        <f>IF(C3172="","",IFERROR(INDEX(art_unit,MATCH(C3172,art_ref,0))&amp;"",""))</f>
        <v/>
      </c>
      <c r="G3172" s="37" t="n"/>
      <c r="H3172" s="37" t="n"/>
      <c r="I3172" s="37" t="n"/>
      <c r="J3172" s="40" t="str">
        <f>IF(OR(C3172="",NOT(ISNUMBER(E3172))),"",IFERROR(E3172*N(INDEX(art_price,MATCH(C3172,art_ref,0))),""))</f>
        <v/>
      </c>
      <c r="K3172" s="39" t="str">
        <f>IF(OR(C3172="",NOT(ISNUMBER(E3172))),"",IFERROR(ROUND(N(INDEX(art_init,MATCH(C3172,art_ref,0)))+SUMIFS($E$5:E3172,$C$5:C3172,C3172,$B$5:B3172,"Entrée")-SUMIFS($E$5:E3172,$C$5:C3172,C3172,$B$5:B3172,"Sortie"),6),""))</f>
        <v/>
      </c>
      <c r="L3172" s="39" t="str">
        <f>IF(COUNTA(A3172:C3172,E3172)=0,"",IF(COUNTA(A3172:C3172,E3172)&lt;4,"Ligne incomplète",IF(NOT(ISNUMBER(A3172)),"Date invalide",IF(AND(B3172&lt;&gt;"Entrée",B3172&lt;&gt;"Sortie"),"Type inconnu",IF(ISNA(MATCH(C3172,art_ref,0)),"Référence inconnue",IF(OR(NOT(ISNUMBER(E3172)),N(E3172)&lt;=0),"Quantité invalide",IF(K3172&lt;0,"Stock négatif",IF(AND(ISNUMBER(A3171),A3172&lt;A3171),"Date hors ordre","OK"))))))))</f>
        <v/>
      </c>
      <c r="M3172" s="39" t="str">
        <f>IF(C3172="","",C3172&amp;"#"&amp;COUNTIF($C$5:C3172,C3172))</f>
        <v/>
      </c>
    </row>
    <row r="3173">
      <c r="A3173" s="41" t="n"/>
      <c r="B3173" s="37" t="n"/>
      <c r="C3173" s="37" t="n"/>
      <c r="D3173" s="39" t="str">
        <f>IF(C3173="","",IFERROR(INDEX(art_des,MATCH(C3173,art_ref,0))&amp;"","Référence inconnue"))</f>
        <v/>
      </c>
      <c r="E3173" s="37" t="n"/>
      <c r="F3173" s="39" t="str">
        <f>IF(C3173="","",IFERROR(INDEX(art_unit,MATCH(C3173,art_ref,0))&amp;"",""))</f>
        <v/>
      </c>
      <c r="G3173" s="37" t="n"/>
      <c r="H3173" s="37" t="n"/>
      <c r="I3173" s="37" t="n"/>
      <c r="J3173" s="40" t="str">
        <f>IF(OR(C3173="",NOT(ISNUMBER(E3173))),"",IFERROR(E3173*N(INDEX(art_price,MATCH(C3173,art_ref,0))),""))</f>
        <v/>
      </c>
      <c r="K3173" s="39" t="str">
        <f>IF(OR(C3173="",NOT(ISNUMBER(E3173))),"",IFERROR(ROUND(N(INDEX(art_init,MATCH(C3173,art_ref,0)))+SUMIFS($E$5:E3173,$C$5:C3173,C3173,$B$5:B3173,"Entrée")-SUMIFS($E$5:E3173,$C$5:C3173,C3173,$B$5:B3173,"Sortie"),6),""))</f>
        <v/>
      </c>
      <c r="L3173" s="39" t="str">
        <f>IF(COUNTA(A3173:C3173,E3173)=0,"",IF(COUNTA(A3173:C3173,E3173)&lt;4,"Ligne incomplète",IF(NOT(ISNUMBER(A3173)),"Date invalide",IF(AND(B3173&lt;&gt;"Entrée",B3173&lt;&gt;"Sortie"),"Type inconnu",IF(ISNA(MATCH(C3173,art_ref,0)),"Référence inconnue",IF(OR(NOT(ISNUMBER(E3173)),N(E3173)&lt;=0),"Quantité invalide",IF(K3173&lt;0,"Stock négatif",IF(AND(ISNUMBER(A3172),A3173&lt;A3172),"Date hors ordre","OK"))))))))</f>
        <v/>
      </c>
      <c r="M3173" s="39" t="str">
        <f>IF(C3173="","",C3173&amp;"#"&amp;COUNTIF($C$5:C3173,C3173))</f>
        <v/>
      </c>
    </row>
    <row r="3174">
      <c r="A3174" s="41" t="n"/>
      <c r="B3174" s="37" t="n"/>
      <c r="C3174" s="37" t="n"/>
      <c r="D3174" s="39" t="str">
        <f>IF(C3174="","",IFERROR(INDEX(art_des,MATCH(C3174,art_ref,0))&amp;"","Référence inconnue"))</f>
        <v/>
      </c>
      <c r="E3174" s="37" t="n"/>
      <c r="F3174" s="39" t="str">
        <f>IF(C3174="","",IFERROR(INDEX(art_unit,MATCH(C3174,art_ref,0))&amp;"",""))</f>
        <v/>
      </c>
      <c r="G3174" s="37" t="n"/>
      <c r="H3174" s="37" t="n"/>
      <c r="I3174" s="37" t="n"/>
      <c r="J3174" s="40" t="str">
        <f>IF(OR(C3174="",NOT(ISNUMBER(E3174))),"",IFERROR(E3174*N(INDEX(art_price,MATCH(C3174,art_ref,0))),""))</f>
        <v/>
      </c>
      <c r="K3174" s="39" t="str">
        <f>IF(OR(C3174="",NOT(ISNUMBER(E3174))),"",IFERROR(ROUND(N(INDEX(art_init,MATCH(C3174,art_ref,0)))+SUMIFS($E$5:E3174,$C$5:C3174,C3174,$B$5:B3174,"Entrée")-SUMIFS($E$5:E3174,$C$5:C3174,C3174,$B$5:B3174,"Sortie"),6),""))</f>
        <v/>
      </c>
      <c r="L3174" s="39" t="str">
        <f>IF(COUNTA(A3174:C3174,E3174)=0,"",IF(COUNTA(A3174:C3174,E3174)&lt;4,"Ligne incomplète",IF(NOT(ISNUMBER(A3174)),"Date invalide",IF(AND(B3174&lt;&gt;"Entrée",B3174&lt;&gt;"Sortie"),"Type inconnu",IF(ISNA(MATCH(C3174,art_ref,0)),"Référence inconnue",IF(OR(NOT(ISNUMBER(E3174)),N(E3174)&lt;=0),"Quantité invalide",IF(K3174&lt;0,"Stock négatif",IF(AND(ISNUMBER(A3173),A3174&lt;A3173),"Date hors ordre","OK"))))))))</f>
        <v/>
      </c>
      <c r="M3174" s="39" t="str">
        <f>IF(C3174="","",C3174&amp;"#"&amp;COUNTIF($C$5:C3174,C3174))</f>
        <v/>
      </c>
    </row>
    <row r="3175">
      <c r="A3175" s="41" t="n"/>
      <c r="B3175" s="37" t="n"/>
      <c r="C3175" s="37" t="n"/>
      <c r="D3175" s="39" t="str">
        <f>IF(C3175="","",IFERROR(INDEX(art_des,MATCH(C3175,art_ref,0))&amp;"","Référence inconnue"))</f>
        <v/>
      </c>
      <c r="E3175" s="37" t="n"/>
      <c r="F3175" s="39" t="str">
        <f>IF(C3175="","",IFERROR(INDEX(art_unit,MATCH(C3175,art_ref,0))&amp;"",""))</f>
        <v/>
      </c>
      <c r="G3175" s="37" t="n"/>
      <c r="H3175" s="37" t="n"/>
      <c r="I3175" s="37" t="n"/>
      <c r="J3175" s="40" t="str">
        <f>IF(OR(C3175="",NOT(ISNUMBER(E3175))),"",IFERROR(E3175*N(INDEX(art_price,MATCH(C3175,art_ref,0))),""))</f>
        <v/>
      </c>
      <c r="K3175" s="39" t="str">
        <f>IF(OR(C3175="",NOT(ISNUMBER(E3175))),"",IFERROR(ROUND(N(INDEX(art_init,MATCH(C3175,art_ref,0)))+SUMIFS($E$5:E3175,$C$5:C3175,C3175,$B$5:B3175,"Entrée")-SUMIFS($E$5:E3175,$C$5:C3175,C3175,$B$5:B3175,"Sortie"),6),""))</f>
        <v/>
      </c>
      <c r="L3175" s="39" t="str">
        <f>IF(COUNTA(A3175:C3175,E3175)=0,"",IF(COUNTA(A3175:C3175,E3175)&lt;4,"Ligne incomplète",IF(NOT(ISNUMBER(A3175)),"Date invalide",IF(AND(B3175&lt;&gt;"Entrée",B3175&lt;&gt;"Sortie"),"Type inconnu",IF(ISNA(MATCH(C3175,art_ref,0)),"Référence inconnue",IF(OR(NOT(ISNUMBER(E3175)),N(E3175)&lt;=0),"Quantité invalide",IF(K3175&lt;0,"Stock négatif",IF(AND(ISNUMBER(A3174),A3175&lt;A3174),"Date hors ordre","OK"))))))))</f>
        <v/>
      </c>
      <c r="M3175" s="39" t="str">
        <f>IF(C3175="","",C3175&amp;"#"&amp;COUNTIF($C$5:C3175,C3175))</f>
        <v/>
      </c>
    </row>
    <row r="3176">
      <c r="A3176" s="41" t="n"/>
      <c r="B3176" s="37" t="n"/>
      <c r="C3176" s="37" t="n"/>
      <c r="D3176" s="39" t="str">
        <f>IF(C3176="","",IFERROR(INDEX(art_des,MATCH(C3176,art_ref,0))&amp;"","Référence inconnue"))</f>
        <v/>
      </c>
      <c r="E3176" s="37" t="n"/>
      <c r="F3176" s="39" t="str">
        <f>IF(C3176="","",IFERROR(INDEX(art_unit,MATCH(C3176,art_ref,0))&amp;"",""))</f>
        <v/>
      </c>
      <c r="G3176" s="37" t="n"/>
      <c r="H3176" s="37" t="n"/>
      <c r="I3176" s="37" t="n"/>
      <c r="J3176" s="40" t="str">
        <f>IF(OR(C3176="",NOT(ISNUMBER(E3176))),"",IFERROR(E3176*N(INDEX(art_price,MATCH(C3176,art_ref,0))),""))</f>
        <v/>
      </c>
      <c r="K3176" s="39" t="str">
        <f>IF(OR(C3176="",NOT(ISNUMBER(E3176))),"",IFERROR(ROUND(N(INDEX(art_init,MATCH(C3176,art_ref,0)))+SUMIFS($E$5:E3176,$C$5:C3176,C3176,$B$5:B3176,"Entrée")-SUMIFS($E$5:E3176,$C$5:C3176,C3176,$B$5:B3176,"Sortie"),6),""))</f>
        <v/>
      </c>
      <c r="L3176" s="39" t="str">
        <f>IF(COUNTA(A3176:C3176,E3176)=0,"",IF(COUNTA(A3176:C3176,E3176)&lt;4,"Ligne incomplète",IF(NOT(ISNUMBER(A3176)),"Date invalide",IF(AND(B3176&lt;&gt;"Entrée",B3176&lt;&gt;"Sortie"),"Type inconnu",IF(ISNA(MATCH(C3176,art_ref,0)),"Référence inconnue",IF(OR(NOT(ISNUMBER(E3176)),N(E3176)&lt;=0),"Quantité invalide",IF(K3176&lt;0,"Stock négatif",IF(AND(ISNUMBER(A3175),A3176&lt;A3175),"Date hors ordre","OK"))))))))</f>
        <v/>
      </c>
      <c r="M3176" s="39" t="str">
        <f>IF(C3176="","",C3176&amp;"#"&amp;COUNTIF($C$5:C3176,C3176))</f>
        <v/>
      </c>
    </row>
    <row r="3177">
      <c r="A3177" s="41" t="n"/>
      <c r="B3177" s="37" t="n"/>
      <c r="C3177" s="37" t="n"/>
      <c r="D3177" s="39" t="str">
        <f>IF(C3177="","",IFERROR(INDEX(art_des,MATCH(C3177,art_ref,0))&amp;"","Référence inconnue"))</f>
        <v/>
      </c>
      <c r="E3177" s="37" t="n"/>
      <c r="F3177" s="39" t="str">
        <f>IF(C3177="","",IFERROR(INDEX(art_unit,MATCH(C3177,art_ref,0))&amp;"",""))</f>
        <v/>
      </c>
      <c r="G3177" s="37" t="n"/>
      <c r="H3177" s="37" t="n"/>
      <c r="I3177" s="37" t="n"/>
      <c r="J3177" s="40" t="str">
        <f>IF(OR(C3177="",NOT(ISNUMBER(E3177))),"",IFERROR(E3177*N(INDEX(art_price,MATCH(C3177,art_ref,0))),""))</f>
        <v/>
      </c>
      <c r="K3177" s="39" t="str">
        <f>IF(OR(C3177="",NOT(ISNUMBER(E3177))),"",IFERROR(ROUND(N(INDEX(art_init,MATCH(C3177,art_ref,0)))+SUMIFS($E$5:E3177,$C$5:C3177,C3177,$B$5:B3177,"Entrée")-SUMIFS($E$5:E3177,$C$5:C3177,C3177,$B$5:B3177,"Sortie"),6),""))</f>
        <v/>
      </c>
      <c r="L3177" s="39" t="str">
        <f>IF(COUNTA(A3177:C3177,E3177)=0,"",IF(COUNTA(A3177:C3177,E3177)&lt;4,"Ligne incomplète",IF(NOT(ISNUMBER(A3177)),"Date invalide",IF(AND(B3177&lt;&gt;"Entrée",B3177&lt;&gt;"Sortie"),"Type inconnu",IF(ISNA(MATCH(C3177,art_ref,0)),"Référence inconnue",IF(OR(NOT(ISNUMBER(E3177)),N(E3177)&lt;=0),"Quantité invalide",IF(K3177&lt;0,"Stock négatif",IF(AND(ISNUMBER(A3176),A3177&lt;A3176),"Date hors ordre","OK"))))))))</f>
        <v/>
      </c>
      <c r="M3177" s="39" t="str">
        <f>IF(C3177="","",C3177&amp;"#"&amp;COUNTIF($C$5:C3177,C3177))</f>
        <v/>
      </c>
    </row>
    <row r="3178">
      <c r="A3178" s="41" t="n"/>
      <c r="B3178" s="37" t="n"/>
      <c r="C3178" s="37" t="n"/>
      <c r="D3178" s="39" t="str">
        <f>IF(C3178="","",IFERROR(INDEX(art_des,MATCH(C3178,art_ref,0))&amp;"","Référence inconnue"))</f>
        <v/>
      </c>
      <c r="E3178" s="37" t="n"/>
      <c r="F3178" s="39" t="str">
        <f>IF(C3178="","",IFERROR(INDEX(art_unit,MATCH(C3178,art_ref,0))&amp;"",""))</f>
        <v/>
      </c>
      <c r="G3178" s="37" t="n"/>
      <c r="H3178" s="37" t="n"/>
      <c r="I3178" s="37" t="n"/>
      <c r="J3178" s="40" t="str">
        <f>IF(OR(C3178="",NOT(ISNUMBER(E3178))),"",IFERROR(E3178*N(INDEX(art_price,MATCH(C3178,art_ref,0))),""))</f>
        <v/>
      </c>
      <c r="K3178" s="39" t="str">
        <f>IF(OR(C3178="",NOT(ISNUMBER(E3178))),"",IFERROR(ROUND(N(INDEX(art_init,MATCH(C3178,art_ref,0)))+SUMIFS($E$5:E3178,$C$5:C3178,C3178,$B$5:B3178,"Entrée")-SUMIFS($E$5:E3178,$C$5:C3178,C3178,$B$5:B3178,"Sortie"),6),""))</f>
        <v/>
      </c>
      <c r="L3178" s="39" t="str">
        <f>IF(COUNTA(A3178:C3178,E3178)=0,"",IF(COUNTA(A3178:C3178,E3178)&lt;4,"Ligne incomplète",IF(NOT(ISNUMBER(A3178)),"Date invalide",IF(AND(B3178&lt;&gt;"Entrée",B3178&lt;&gt;"Sortie"),"Type inconnu",IF(ISNA(MATCH(C3178,art_ref,0)),"Référence inconnue",IF(OR(NOT(ISNUMBER(E3178)),N(E3178)&lt;=0),"Quantité invalide",IF(K3178&lt;0,"Stock négatif",IF(AND(ISNUMBER(A3177),A3178&lt;A3177),"Date hors ordre","OK"))))))))</f>
        <v/>
      </c>
      <c r="M3178" s="39" t="str">
        <f>IF(C3178="","",C3178&amp;"#"&amp;COUNTIF($C$5:C3178,C3178))</f>
        <v/>
      </c>
    </row>
    <row r="3179">
      <c r="A3179" s="41" t="n"/>
      <c r="B3179" s="37" t="n"/>
      <c r="C3179" s="37" t="n"/>
      <c r="D3179" s="39" t="str">
        <f>IF(C3179="","",IFERROR(INDEX(art_des,MATCH(C3179,art_ref,0))&amp;"","Référence inconnue"))</f>
        <v/>
      </c>
      <c r="E3179" s="37" t="n"/>
      <c r="F3179" s="39" t="str">
        <f>IF(C3179="","",IFERROR(INDEX(art_unit,MATCH(C3179,art_ref,0))&amp;"",""))</f>
        <v/>
      </c>
      <c r="G3179" s="37" t="n"/>
      <c r="H3179" s="37" t="n"/>
      <c r="I3179" s="37" t="n"/>
      <c r="J3179" s="40" t="str">
        <f>IF(OR(C3179="",NOT(ISNUMBER(E3179))),"",IFERROR(E3179*N(INDEX(art_price,MATCH(C3179,art_ref,0))),""))</f>
        <v/>
      </c>
      <c r="K3179" s="39" t="str">
        <f>IF(OR(C3179="",NOT(ISNUMBER(E3179))),"",IFERROR(ROUND(N(INDEX(art_init,MATCH(C3179,art_ref,0)))+SUMIFS($E$5:E3179,$C$5:C3179,C3179,$B$5:B3179,"Entrée")-SUMIFS($E$5:E3179,$C$5:C3179,C3179,$B$5:B3179,"Sortie"),6),""))</f>
        <v/>
      </c>
      <c r="L3179" s="39" t="str">
        <f>IF(COUNTA(A3179:C3179,E3179)=0,"",IF(COUNTA(A3179:C3179,E3179)&lt;4,"Ligne incomplète",IF(NOT(ISNUMBER(A3179)),"Date invalide",IF(AND(B3179&lt;&gt;"Entrée",B3179&lt;&gt;"Sortie"),"Type inconnu",IF(ISNA(MATCH(C3179,art_ref,0)),"Référence inconnue",IF(OR(NOT(ISNUMBER(E3179)),N(E3179)&lt;=0),"Quantité invalide",IF(K3179&lt;0,"Stock négatif",IF(AND(ISNUMBER(A3178),A3179&lt;A3178),"Date hors ordre","OK"))))))))</f>
        <v/>
      </c>
      <c r="M3179" s="39" t="str">
        <f>IF(C3179="","",C3179&amp;"#"&amp;COUNTIF($C$5:C3179,C3179))</f>
        <v/>
      </c>
    </row>
    <row r="3180">
      <c r="A3180" s="41" t="n"/>
      <c r="B3180" s="37" t="n"/>
      <c r="C3180" s="37" t="n"/>
      <c r="D3180" s="39" t="str">
        <f>IF(C3180="","",IFERROR(INDEX(art_des,MATCH(C3180,art_ref,0))&amp;"","Référence inconnue"))</f>
        <v/>
      </c>
      <c r="E3180" s="37" t="n"/>
      <c r="F3180" s="39" t="str">
        <f>IF(C3180="","",IFERROR(INDEX(art_unit,MATCH(C3180,art_ref,0))&amp;"",""))</f>
        <v/>
      </c>
      <c r="G3180" s="37" t="n"/>
      <c r="H3180" s="37" t="n"/>
      <c r="I3180" s="37" t="n"/>
      <c r="J3180" s="40" t="str">
        <f>IF(OR(C3180="",NOT(ISNUMBER(E3180))),"",IFERROR(E3180*N(INDEX(art_price,MATCH(C3180,art_ref,0))),""))</f>
        <v/>
      </c>
      <c r="K3180" s="39" t="str">
        <f>IF(OR(C3180="",NOT(ISNUMBER(E3180))),"",IFERROR(ROUND(N(INDEX(art_init,MATCH(C3180,art_ref,0)))+SUMIFS($E$5:E3180,$C$5:C3180,C3180,$B$5:B3180,"Entrée")-SUMIFS($E$5:E3180,$C$5:C3180,C3180,$B$5:B3180,"Sortie"),6),""))</f>
        <v/>
      </c>
      <c r="L3180" s="39" t="str">
        <f>IF(COUNTA(A3180:C3180,E3180)=0,"",IF(COUNTA(A3180:C3180,E3180)&lt;4,"Ligne incomplète",IF(NOT(ISNUMBER(A3180)),"Date invalide",IF(AND(B3180&lt;&gt;"Entrée",B3180&lt;&gt;"Sortie"),"Type inconnu",IF(ISNA(MATCH(C3180,art_ref,0)),"Référence inconnue",IF(OR(NOT(ISNUMBER(E3180)),N(E3180)&lt;=0),"Quantité invalide",IF(K3180&lt;0,"Stock négatif",IF(AND(ISNUMBER(A3179),A3180&lt;A3179),"Date hors ordre","OK"))))))))</f>
        <v/>
      </c>
      <c r="M3180" s="39" t="str">
        <f>IF(C3180="","",C3180&amp;"#"&amp;COUNTIF($C$5:C3180,C3180))</f>
        <v/>
      </c>
    </row>
    <row r="3181">
      <c r="A3181" s="41" t="n"/>
      <c r="B3181" s="37" t="n"/>
      <c r="C3181" s="37" t="n"/>
      <c r="D3181" s="39" t="str">
        <f>IF(C3181="","",IFERROR(INDEX(art_des,MATCH(C3181,art_ref,0))&amp;"","Référence inconnue"))</f>
        <v/>
      </c>
      <c r="E3181" s="37" t="n"/>
      <c r="F3181" s="39" t="str">
        <f>IF(C3181="","",IFERROR(INDEX(art_unit,MATCH(C3181,art_ref,0))&amp;"",""))</f>
        <v/>
      </c>
      <c r="G3181" s="37" t="n"/>
      <c r="H3181" s="37" t="n"/>
      <c r="I3181" s="37" t="n"/>
      <c r="J3181" s="40" t="str">
        <f>IF(OR(C3181="",NOT(ISNUMBER(E3181))),"",IFERROR(E3181*N(INDEX(art_price,MATCH(C3181,art_ref,0))),""))</f>
        <v/>
      </c>
      <c r="K3181" s="39" t="str">
        <f>IF(OR(C3181="",NOT(ISNUMBER(E3181))),"",IFERROR(ROUND(N(INDEX(art_init,MATCH(C3181,art_ref,0)))+SUMIFS($E$5:E3181,$C$5:C3181,C3181,$B$5:B3181,"Entrée")-SUMIFS($E$5:E3181,$C$5:C3181,C3181,$B$5:B3181,"Sortie"),6),""))</f>
        <v/>
      </c>
      <c r="L3181" s="39" t="str">
        <f>IF(COUNTA(A3181:C3181,E3181)=0,"",IF(COUNTA(A3181:C3181,E3181)&lt;4,"Ligne incomplète",IF(NOT(ISNUMBER(A3181)),"Date invalide",IF(AND(B3181&lt;&gt;"Entrée",B3181&lt;&gt;"Sortie"),"Type inconnu",IF(ISNA(MATCH(C3181,art_ref,0)),"Référence inconnue",IF(OR(NOT(ISNUMBER(E3181)),N(E3181)&lt;=0),"Quantité invalide",IF(K3181&lt;0,"Stock négatif",IF(AND(ISNUMBER(A3180),A3181&lt;A3180),"Date hors ordre","OK"))))))))</f>
        <v/>
      </c>
      <c r="M3181" s="39" t="str">
        <f>IF(C3181="","",C3181&amp;"#"&amp;COUNTIF($C$5:C3181,C3181))</f>
        <v/>
      </c>
    </row>
    <row r="3182">
      <c r="A3182" s="41" t="n"/>
      <c r="B3182" s="37" t="n"/>
      <c r="C3182" s="37" t="n"/>
      <c r="D3182" s="39" t="str">
        <f>IF(C3182="","",IFERROR(INDEX(art_des,MATCH(C3182,art_ref,0))&amp;"","Référence inconnue"))</f>
        <v/>
      </c>
      <c r="E3182" s="37" t="n"/>
      <c r="F3182" s="39" t="str">
        <f>IF(C3182="","",IFERROR(INDEX(art_unit,MATCH(C3182,art_ref,0))&amp;"",""))</f>
        <v/>
      </c>
      <c r="G3182" s="37" t="n"/>
      <c r="H3182" s="37" t="n"/>
      <c r="I3182" s="37" t="n"/>
      <c r="J3182" s="40" t="str">
        <f>IF(OR(C3182="",NOT(ISNUMBER(E3182))),"",IFERROR(E3182*N(INDEX(art_price,MATCH(C3182,art_ref,0))),""))</f>
        <v/>
      </c>
      <c r="K3182" s="39" t="str">
        <f>IF(OR(C3182="",NOT(ISNUMBER(E3182))),"",IFERROR(ROUND(N(INDEX(art_init,MATCH(C3182,art_ref,0)))+SUMIFS($E$5:E3182,$C$5:C3182,C3182,$B$5:B3182,"Entrée")-SUMIFS($E$5:E3182,$C$5:C3182,C3182,$B$5:B3182,"Sortie"),6),""))</f>
        <v/>
      </c>
      <c r="L3182" s="39" t="str">
        <f>IF(COUNTA(A3182:C3182,E3182)=0,"",IF(COUNTA(A3182:C3182,E3182)&lt;4,"Ligne incomplète",IF(NOT(ISNUMBER(A3182)),"Date invalide",IF(AND(B3182&lt;&gt;"Entrée",B3182&lt;&gt;"Sortie"),"Type inconnu",IF(ISNA(MATCH(C3182,art_ref,0)),"Référence inconnue",IF(OR(NOT(ISNUMBER(E3182)),N(E3182)&lt;=0),"Quantité invalide",IF(K3182&lt;0,"Stock négatif",IF(AND(ISNUMBER(A3181),A3182&lt;A3181),"Date hors ordre","OK"))))))))</f>
        <v/>
      </c>
      <c r="M3182" s="39" t="str">
        <f>IF(C3182="","",C3182&amp;"#"&amp;COUNTIF($C$5:C3182,C3182))</f>
        <v/>
      </c>
    </row>
    <row r="3183">
      <c r="A3183" s="41" t="n"/>
      <c r="B3183" s="37" t="n"/>
      <c r="C3183" s="37" t="n"/>
      <c r="D3183" s="39" t="str">
        <f>IF(C3183="","",IFERROR(INDEX(art_des,MATCH(C3183,art_ref,0))&amp;"","Référence inconnue"))</f>
        <v/>
      </c>
      <c r="E3183" s="37" t="n"/>
      <c r="F3183" s="39" t="str">
        <f>IF(C3183="","",IFERROR(INDEX(art_unit,MATCH(C3183,art_ref,0))&amp;"",""))</f>
        <v/>
      </c>
      <c r="G3183" s="37" t="n"/>
      <c r="H3183" s="37" t="n"/>
      <c r="I3183" s="37" t="n"/>
      <c r="J3183" s="40" t="str">
        <f>IF(OR(C3183="",NOT(ISNUMBER(E3183))),"",IFERROR(E3183*N(INDEX(art_price,MATCH(C3183,art_ref,0))),""))</f>
        <v/>
      </c>
      <c r="K3183" s="39" t="str">
        <f>IF(OR(C3183="",NOT(ISNUMBER(E3183))),"",IFERROR(ROUND(N(INDEX(art_init,MATCH(C3183,art_ref,0)))+SUMIFS($E$5:E3183,$C$5:C3183,C3183,$B$5:B3183,"Entrée")-SUMIFS($E$5:E3183,$C$5:C3183,C3183,$B$5:B3183,"Sortie"),6),""))</f>
        <v/>
      </c>
      <c r="L3183" s="39" t="str">
        <f>IF(COUNTA(A3183:C3183,E3183)=0,"",IF(COUNTA(A3183:C3183,E3183)&lt;4,"Ligne incomplète",IF(NOT(ISNUMBER(A3183)),"Date invalide",IF(AND(B3183&lt;&gt;"Entrée",B3183&lt;&gt;"Sortie"),"Type inconnu",IF(ISNA(MATCH(C3183,art_ref,0)),"Référence inconnue",IF(OR(NOT(ISNUMBER(E3183)),N(E3183)&lt;=0),"Quantité invalide",IF(K3183&lt;0,"Stock négatif",IF(AND(ISNUMBER(A3182),A3183&lt;A3182),"Date hors ordre","OK"))))))))</f>
        <v/>
      </c>
      <c r="M3183" s="39" t="str">
        <f>IF(C3183="","",C3183&amp;"#"&amp;COUNTIF($C$5:C3183,C3183))</f>
        <v/>
      </c>
    </row>
    <row r="3184">
      <c r="A3184" s="41" t="n"/>
      <c r="B3184" s="37" t="n"/>
      <c r="C3184" s="37" t="n"/>
      <c r="D3184" s="39" t="str">
        <f>IF(C3184="","",IFERROR(INDEX(art_des,MATCH(C3184,art_ref,0))&amp;"","Référence inconnue"))</f>
        <v/>
      </c>
      <c r="E3184" s="37" t="n"/>
      <c r="F3184" s="39" t="str">
        <f>IF(C3184="","",IFERROR(INDEX(art_unit,MATCH(C3184,art_ref,0))&amp;"",""))</f>
        <v/>
      </c>
      <c r="G3184" s="37" t="n"/>
      <c r="H3184" s="37" t="n"/>
      <c r="I3184" s="37" t="n"/>
      <c r="J3184" s="40" t="str">
        <f>IF(OR(C3184="",NOT(ISNUMBER(E3184))),"",IFERROR(E3184*N(INDEX(art_price,MATCH(C3184,art_ref,0))),""))</f>
        <v/>
      </c>
      <c r="K3184" s="39" t="str">
        <f>IF(OR(C3184="",NOT(ISNUMBER(E3184))),"",IFERROR(ROUND(N(INDEX(art_init,MATCH(C3184,art_ref,0)))+SUMIFS($E$5:E3184,$C$5:C3184,C3184,$B$5:B3184,"Entrée")-SUMIFS($E$5:E3184,$C$5:C3184,C3184,$B$5:B3184,"Sortie"),6),""))</f>
        <v/>
      </c>
      <c r="L3184" s="39" t="str">
        <f>IF(COUNTA(A3184:C3184,E3184)=0,"",IF(COUNTA(A3184:C3184,E3184)&lt;4,"Ligne incomplète",IF(NOT(ISNUMBER(A3184)),"Date invalide",IF(AND(B3184&lt;&gt;"Entrée",B3184&lt;&gt;"Sortie"),"Type inconnu",IF(ISNA(MATCH(C3184,art_ref,0)),"Référence inconnue",IF(OR(NOT(ISNUMBER(E3184)),N(E3184)&lt;=0),"Quantité invalide",IF(K3184&lt;0,"Stock négatif",IF(AND(ISNUMBER(A3183),A3184&lt;A3183),"Date hors ordre","OK"))))))))</f>
        <v/>
      </c>
      <c r="M3184" s="39" t="str">
        <f>IF(C3184="","",C3184&amp;"#"&amp;COUNTIF($C$5:C3184,C3184))</f>
        <v/>
      </c>
    </row>
    <row r="3185">
      <c r="A3185" s="41" t="n"/>
      <c r="B3185" s="37" t="n"/>
      <c r="C3185" s="37" t="n"/>
      <c r="D3185" s="39" t="str">
        <f>IF(C3185="","",IFERROR(INDEX(art_des,MATCH(C3185,art_ref,0))&amp;"","Référence inconnue"))</f>
        <v/>
      </c>
      <c r="E3185" s="37" t="n"/>
      <c r="F3185" s="39" t="str">
        <f>IF(C3185="","",IFERROR(INDEX(art_unit,MATCH(C3185,art_ref,0))&amp;"",""))</f>
        <v/>
      </c>
      <c r="G3185" s="37" t="n"/>
      <c r="H3185" s="37" t="n"/>
      <c r="I3185" s="37" t="n"/>
      <c r="J3185" s="40" t="str">
        <f>IF(OR(C3185="",NOT(ISNUMBER(E3185))),"",IFERROR(E3185*N(INDEX(art_price,MATCH(C3185,art_ref,0))),""))</f>
        <v/>
      </c>
      <c r="K3185" s="39" t="str">
        <f>IF(OR(C3185="",NOT(ISNUMBER(E3185))),"",IFERROR(ROUND(N(INDEX(art_init,MATCH(C3185,art_ref,0)))+SUMIFS($E$5:E3185,$C$5:C3185,C3185,$B$5:B3185,"Entrée")-SUMIFS($E$5:E3185,$C$5:C3185,C3185,$B$5:B3185,"Sortie"),6),""))</f>
        <v/>
      </c>
      <c r="L3185" s="39" t="str">
        <f>IF(COUNTA(A3185:C3185,E3185)=0,"",IF(COUNTA(A3185:C3185,E3185)&lt;4,"Ligne incomplète",IF(NOT(ISNUMBER(A3185)),"Date invalide",IF(AND(B3185&lt;&gt;"Entrée",B3185&lt;&gt;"Sortie"),"Type inconnu",IF(ISNA(MATCH(C3185,art_ref,0)),"Référence inconnue",IF(OR(NOT(ISNUMBER(E3185)),N(E3185)&lt;=0),"Quantité invalide",IF(K3185&lt;0,"Stock négatif",IF(AND(ISNUMBER(A3184),A3185&lt;A3184),"Date hors ordre","OK"))))))))</f>
        <v/>
      </c>
      <c r="M3185" s="39" t="str">
        <f>IF(C3185="","",C3185&amp;"#"&amp;COUNTIF($C$5:C3185,C3185))</f>
        <v/>
      </c>
    </row>
    <row r="3186">
      <c r="A3186" s="41" t="n"/>
      <c r="B3186" s="37" t="n"/>
      <c r="C3186" s="37" t="n"/>
      <c r="D3186" s="39" t="str">
        <f>IF(C3186="","",IFERROR(INDEX(art_des,MATCH(C3186,art_ref,0))&amp;"","Référence inconnue"))</f>
        <v/>
      </c>
      <c r="E3186" s="37" t="n"/>
      <c r="F3186" s="39" t="str">
        <f>IF(C3186="","",IFERROR(INDEX(art_unit,MATCH(C3186,art_ref,0))&amp;"",""))</f>
        <v/>
      </c>
      <c r="G3186" s="37" t="n"/>
      <c r="H3186" s="37" t="n"/>
      <c r="I3186" s="37" t="n"/>
      <c r="J3186" s="40" t="str">
        <f>IF(OR(C3186="",NOT(ISNUMBER(E3186))),"",IFERROR(E3186*N(INDEX(art_price,MATCH(C3186,art_ref,0))),""))</f>
        <v/>
      </c>
      <c r="K3186" s="39" t="str">
        <f>IF(OR(C3186="",NOT(ISNUMBER(E3186))),"",IFERROR(ROUND(N(INDEX(art_init,MATCH(C3186,art_ref,0)))+SUMIFS($E$5:E3186,$C$5:C3186,C3186,$B$5:B3186,"Entrée")-SUMIFS($E$5:E3186,$C$5:C3186,C3186,$B$5:B3186,"Sortie"),6),""))</f>
        <v/>
      </c>
      <c r="L3186" s="39" t="str">
        <f>IF(COUNTA(A3186:C3186,E3186)=0,"",IF(COUNTA(A3186:C3186,E3186)&lt;4,"Ligne incomplète",IF(NOT(ISNUMBER(A3186)),"Date invalide",IF(AND(B3186&lt;&gt;"Entrée",B3186&lt;&gt;"Sortie"),"Type inconnu",IF(ISNA(MATCH(C3186,art_ref,0)),"Référence inconnue",IF(OR(NOT(ISNUMBER(E3186)),N(E3186)&lt;=0),"Quantité invalide",IF(K3186&lt;0,"Stock négatif",IF(AND(ISNUMBER(A3185),A3186&lt;A3185),"Date hors ordre","OK"))))))))</f>
        <v/>
      </c>
      <c r="M3186" s="39" t="str">
        <f>IF(C3186="","",C3186&amp;"#"&amp;COUNTIF($C$5:C3186,C3186))</f>
        <v/>
      </c>
    </row>
    <row r="3187">
      <c r="A3187" s="41" t="n"/>
      <c r="B3187" s="37" t="n"/>
      <c r="C3187" s="37" t="n"/>
      <c r="D3187" s="39" t="str">
        <f>IF(C3187="","",IFERROR(INDEX(art_des,MATCH(C3187,art_ref,0))&amp;"","Référence inconnue"))</f>
        <v/>
      </c>
      <c r="E3187" s="37" t="n"/>
      <c r="F3187" s="39" t="str">
        <f>IF(C3187="","",IFERROR(INDEX(art_unit,MATCH(C3187,art_ref,0))&amp;"",""))</f>
        <v/>
      </c>
      <c r="G3187" s="37" t="n"/>
      <c r="H3187" s="37" t="n"/>
      <c r="I3187" s="37" t="n"/>
      <c r="J3187" s="40" t="str">
        <f>IF(OR(C3187="",NOT(ISNUMBER(E3187))),"",IFERROR(E3187*N(INDEX(art_price,MATCH(C3187,art_ref,0))),""))</f>
        <v/>
      </c>
      <c r="K3187" s="39" t="str">
        <f>IF(OR(C3187="",NOT(ISNUMBER(E3187))),"",IFERROR(ROUND(N(INDEX(art_init,MATCH(C3187,art_ref,0)))+SUMIFS($E$5:E3187,$C$5:C3187,C3187,$B$5:B3187,"Entrée")-SUMIFS($E$5:E3187,$C$5:C3187,C3187,$B$5:B3187,"Sortie"),6),""))</f>
        <v/>
      </c>
      <c r="L3187" s="39" t="str">
        <f>IF(COUNTA(A3187:C3187,E3187)=0,"",IF(COUNTA(A3187:C3187,E3187)&lt;4,"Ligne incomplète",IF(NOT(ISNUMBER(A3187)),"Date invalide",IF(AND(B3187&lt;&gt;"Entrée",B3187&lt;&gt;"Sortie"),"Type inconnu",IF(ISNA(MATCH(C3187,art_ref,0)),"Référence inconnue",IF(OR(NOT(ISNUMBER(E3187)),N(E3187)&lt;=0),"Quantité invalide",IF(K3187&lt;0,"Stock négatif",IF(AND(ISNUMBER(A3186),A3187&lt;A3186),"Date hors ordre","OK"))))))))</f>
        <v/>
      </c>
      <c r="M3187" s="39" t="str">
        <f>IF(C3187="","",C3187&amp;"#"&amp;COUNTIF($C$5:C3187,C3187))</f>
        <v/>
      </c>
    </row>
    <row r="3188">
      <c r="A3188" s="41" t="n"/>
      <c r="B3188" s="37" t="n"/>
      <c r="C3188" s="37" t="n"/>
      <c r="D3188" s="39" t="str">
        <f>IF(C3188="","",IFERROR(INDEX(art_des,MATCH(C3188,art_ref,0))&amp;"","Référence inconnue"))</f>
        <v/>
      </c>
      <c r="E3188" s="37" t="n"/>
      <c r="F3188" s="39" t="str">
        <f>IF(C3188="","",IFERROR(INDEX(art_unit,MATCH(C3188,art_ref,0))&amp;"",""))</f>
        <v/>
      </c>
      <c r="G3188" s="37" t="n"/>
      <c r="H3188" s="37" t="n"/>
      <c r="I3188" s="37" t="n"/>
      <c r="J3188" s="40" t="str">
        <f>IF(OR(C3188="",NOT(ISNUMBER(E3188))),"",IFERROR(E3188*N(INDEX(art_price,MATCH(C3188,art_ref,0))),""))</f>
        <v/>
      </c>
      <c r="K3188" s="39" t="str">
        <f>IF(OR(C3188="",NOT(ISNUMBER(E3188))),"",IFERROR(ROUND(N(INDEX(art_init,MATCH(C3188,art_ref,0)))+SUMIFS($E$5:E3188,$C$5:C3188,C3188,$B$5:B3188,"Entrée")-SUMIFS($E$5:E3188,$C$5:C3188,C3188,$B$5:B3188,"Sortie"),6),""))</f>
        <v/>
      </c>
      <c r="L3188" s="39" t="str">
        <f>IF(COUNTA(A3188:C3188,E3188)=0,"",IF(COUNTA(A3188:C3188,E3188)&lt;4,"Ligne incomplète",IF(NOT(ISNUMBER(A3188)),"Date invalide",IF(AND(B3188&lt;&gt;"Entrée",B3188&lt;&gt;"Sortie"),"Type inconnu",IF(ISNA(MATCH(C3188,art_ref,0)),"Référence inconnue",IF(OR(NOT(ISNUMBER(E3188)),N(E3188)&lt;=0),"Quantité invalide",IF(K3188&lt;0,"Stock négatif",IF(AND(ISNUMBER(A3187),A3188&lt;A3187),"Date hors ordre","OK"))))))))</f>
        <v/>
      </c>
      <c r="M3188" s="39" t="str">
        <f>IF(C3188="","",C3188&amp;"#"&amp;COUNTIF($C$5:C3188,C3188))</f>
        <v/>
      </c>
    </row>
    <row r="3189">
      <c r="A3189" s="41" t="n"/>
      <c r="B3189" s="37" t="n"/>
      <c r="C3189" s="37" t="n"/>
      <c r="D3189" s="39" t="str">
        <f>IF(C3189="","",IFERROR(INDEX(art_des,MATCH(C3189,art_ref,0))&amp;"","Référence inconnue"))</f>
        <v/>
      </c>
      <c r="E3189" s="37" t="n"/>
      <c r="F3189" s="39" t="str">
        <f>IF(C3189="","",IFERROR(INDEX(art_unit,MATCH(C3189,art_ref,0))&amp;"",""))</f>
        <v/>
      </c>
      <c r="G3189" s="37" t="n"/>
      <c r="H3189" s="37" t="n"/>
      <c r="I3189" s="37" t="n"/>
      <c r="J3189" s="40" t="str">
        <f>IF(OR(C3189="",NOT(ISNUMBER(E3189))),"",IFERROR(E3189*N(INDEX(art_price,MATCH(C3189,art_ref,0))),""))</f>
        <v/>
      </c>
      <c r="K3189" s="39" t="str">
        <f>IF(OR(C3189="",NOT(ISNUMBER(E3189))),"",IFERROR(ROUND(N(INDEX(art_init,MATCH(C3189,art_ref,0)))+SUMIFS($E$5:E3189,$C$5:C3189,C3189,$B$5:B3189,"Entrée")-SUMIFS($E$5:E3189,$C$5:C3189,C3189,$B$5:B3189,"Sortie"),6),""))</f>
        <v/>
      </c>
      <c r="L3189" s="39" t="str">
        <f>IF(COUNTA(A3189:C3189,E3189)=0,"",IF(COUNTA(A3189:C3189,E3189)&lt;4,"Ligne incomplète",IF(NOT(ISNUMBER(A3189)),"Date invalide",IF(AND(B3189&lt;&gt;"Entrée",B3189&lt;&gt;"Sortie"),"Type inconnu",IF(ISNA(MATCH(C3189,art_ref,0)),"Référence inconnue",IF(OR(NOT(ISNUMBER(E3189)),N(E3189)&lt;=0),"Quantité invalide",IF(K3189&lt;0,"Stock négatif",IF(AND(ISNUMBER(A3188),A3189&lt;A3188),"Date hors ordre","OK"))))))))</f>
        <v/>
      </c>
      <c r="M3189" s="39" t="str">
        <f>IF(C3189="","",C3189&amp;"#"&amp;COUNTIF($C$5:C3189,C3189))</f>
        <v/>
      </c>
    </row>
    <row r="3190">
      <c r="A3190" s="41" t="n"/>
      <c r="B3190" s="37" t="n"/>
      <c r="C3190" s="37" t="n"/>
      <c r="D3190" s="39" t="str">
        <f>IF(C3190="","",IFERROR(INDEX(art_des,MATCH(C3190,art_ref,0))&amp;"","Référence inconnue"))</f>
        <v/>
      </c>
      <c r="E3190" s="37" t="n"/>
      <c r="F3190" s="39" t="str">
        <f>IF(C3190="","",IFERROR(INDEX(art_unit,MATCH(C3190,art_ref,0))&amp;"",""))</f>
        <v/>
      </c>
      <c r="G3190" s="37" t="n"/>
      <c r="H3190" s="37" t="n"/>
      <c r="I3190" s="37" t="n"/>
      <c r="J3190" s="40" t="str">
        <f>IF(OR(C3190="",NOT(ISNUMBER(E3190))),"",IFERROR(E3190*N(INDEX(art_price,MATCH(C3190,art_ref,0))),""))</f>
        <v/>
      </c>
      <c r="K3190" s="39" t="str">
        <f>IF(OR(C3190="",NOT(ISNUMBER(E3190))),"",IFERROR(ROUND(N(INDEX(art_init,MATCH(C3190,art_ref,0)))+SUMIFS($E$5:E3190,$C$5:C3190,C3190,$B$5:B3190,"Entrée")-SUMIFS($E$5:E3190,$C$5:C3190,C3190,$B$5:B3190,"Sortie"),6),""))</f>
        <v/>
      </c>
      <c r="L3190" s="39" t="str">
        <f>IF(COUNTA(A3190:C3190,E3190)=0,"",IF(COUNTA(A3190:C3190,E3190)&lt;4,"Ligne incomplète",IF(NOT(ISNUMBER(A3190)),"Date invalide",IF(AND(B3190&lt;&gt;"Entrée",B3190&lt;&gt;"Sortie"),"Type inconnu",IF(ISNA(MATCH(C3190,art_ref,0)),"Référence inconnue",IF(OR(NOT(ISNUMBER(E3190)),N(E3190)&lt;=0),"Quantité invalide",IF(K3190&lt;0,"Stock négatif",IF(AND(ISNUMBER(A3189),A3190&lt;A3189),"Date hors ordre","OK"))))))))</f>
        <v/>
      </c>
      <c r="M3190" s="39" t="str">
        <f>IF(C3190="","",C3190&amp;"#"&amp;COUNTIF($C$5:C3190,C3190))</f>
        <v/>
      </c>
    </row>
    <row r="3191">
      <c r="A3191" s="41" t="n"/>
      <c r="B3191" s="37" t="n"/>
      <c r="C3191" s="37" t="n"/>
      <c r="D3191" s="39" t="str">
        <f>IF(C3191="","",IFERROR(INDEX(art_des,MATCH(C3191,art_ref,0))&amp;"","Référence inconnue"))</f>
        <v/>
      </c>
      <c r="E3191" s="37" t="n"/>
      <c r="F3191" s="39" t="str">
        <f>IF(C3191="","",IFERROR(INDEX(art_unit,MATCH(C3191,art_ref,0))&amp;"",""))</f>
        <v/>
      </c>
      <c r="G3191" s="37" t="n"/>
      <c r="H3191" s="37" t="n"/>
      <c r="I3191" s="37" t="n"/>
      <c r="J3191" s="40" t="str">
        <f>IF(OR(C3191="",NOT(ISNUMBER(E3191))),"",IFERROR(E3191*N(INDEX(art_price,MATCH(C3191,art_ref,0))),""))</f>
        <v/>
      </c>
      <c r="K3191" s="39" t="str">
        <f>IF(OR(C3191="",NOT(ISNUMBER(E3191))),"",IFERROR(ROUND(N(INDEX(art_init,MATCH(C3191,art_ref,0)))+SUMIFS($E$5:E3191,$C$5:C3191,C3191,$B$5:B3191,"Entrée")-SUMIFS($E$5:E3191,$C$5:C3191,C3191,$B$5:B3191,"Sortie"),6),""))</f>
        <v/>
      </c>
      <c r="L3191" s="39" t="str">
        <f>IF(COUNTA(A3191:C3191,E3191)=0,"",IF(COUNTA(A3191:C3191,E3191)&lt;4,"Ligne incomplète",IF(NOT(ISNUMBER(A3191)),"Date invalide",IF(AND(B3191&lt;&gt;"Entrée",B3191&lt;&gt;"Sortie"),"Type inconnu",IF(ISNA(MATCH(C3191,art_ref,0)),"Référence inconnue",IF(OR(NOT(ISNUMBER(E3191)),N(E3191)&lt;=0),"Quantité invalide",IF(K3191&lt;0,"Stock négatif",IF(AND(ISNUMBER(A3190),A3191&lt;A3190),"Date hors ordre","OK"))))))))</f>
        <v/>
      </c>
      <c r="M3191" s="39" t="str">
        <f>IF(C3191="","",C3191&amp;"#"&amp;COUNTIF($C$5:C3191,C3191))</f>
        <v/>
      </c>
    </row>
    <row r="3192">
      <c r="A3192" s="41" t="n"/>
      <c r="B3192" s="37" t="n"/>
      <c r="C3192" s="37" t="n"/>
      <c r="D3192" s="39" t="str">
        <f>IF(C3192="","",IFERROR(INDEX(art_des,MATCH(C3192,art_ref,0))&amp;"","Référence inconnue"))</f>
        <v/>
      </c>
      <c r="E3192" s="37" t="n"/>
      <c r="F3192" s="39" t="str">
        <f>IF(C3192="","",IFERROR(INDEX(art_unit,MATCH(C3192,art_ref,0))&amp;"",""))</f>
        <v/>
      </c>
      <c r="G3192" s="37" t="n"/>
      <c r="H3192" s="37" t="n"/>
      <c r="I3192" s="37" t="n"/>
      <c r="J3192" s="40" t="str">
        <f>IF(OR(C3192="",NOT(ISNUMBER(E3192))),"",IFERROR(E3192*N(INDEX(art_price,MATCH(C3192,art_ref,0))),""))</f>
        <v/>
      </c>
      <c r="K3192" s="39" t="str">
        <f>IF(OR(C3192="",NOT(ISNUMBER(E3192))),"",IFERROR(ROUND(N(INDEX(art_init,MATCH(C3192,art_ref,0)))+SUMIFS($E$5:E3192,$C$5:C3192,C3192,$B$5:B3192,"Entrée")-SUMIFS($E$5:E3192,$C$5:C3192,C3192,$B$5:B3192,"Sortie"),6),""))</f>
        <v/>
      </c>
      <c r="L3192" s="39" t="str">
        <f>IF(COUNTA(A3192:C3192,E3192)=0,"",IF(COUNTA(A3192:C3192,E3192)&lt;4,"Ligne incomplète",IF(NOT(ISNUMBER(A3192)),"Date invalide",IF(AND(B3192&lt;&gt;"Entrée",B3192&lt;&gt;"Sortie"),"Type inconnu",IF(ISNA(MATCH(C3192,art_ref,0)),"Référence inconnue",IF(OR(NOT(ISNUMBER(E3192)),N(E3192)&lt;=0),"Quantité invalide",IF(K3192&lt;0,"Stock négatif",IF(AND(ISNUMBER(A3191),A3192&lt;A3191),"Date hors ordre","OK"))))))))</f>
        <v/>
      </c>
      <c r="M3192" s="39" t="str">
        <f>IF(C3192="","",C3192&amp;"#"&amp;COUNTIF($C$5:C3192,C3192))</f>
        <v/>
      </c>
    </row>
    <row r="3193">
      <c r="A3193" s="41" t="n"/>
      <c r="B3193" s="37" t="n"/>
      <c r="C3193" s="37" t="n"/>
      <c r="D3193" s="39" t="str">
        <f>IF(C3193="","",IFERROR(INDEX(art_des,MATCH(C3193,art_ref,0))&amp;"","Référence inconnue"))</f>
        <v/>
      </c>
      <c r="E3193" s="37" t="n"/>
      <c r="F3193" s="39" t="str">
        <f>IF(C3193="","",IFERROR(INDEX(art_unit,MATCH(C3193,art_ref,0))&amp;"",""))</f>
        <v/>
      </c>
      <c r="G3193" s="37" t="n"/>
      <c r="H3193" s="37" t="n"/>
      <c r="I3193" s="37" t="n"/>
      <c r="J3193" s="40" t="str">
        <f>IF(OR(C3193="",NOT(ISNUMBER(E3193))),"",IFERROR(E3193*N(INDEX(art_price,MATCH(C3193,art_ref,0))),""))</f>
        <v/>
      </c>
      <c r="K3193" s="39" t="str">
        <f>IF(OR(C3193="",NOT(ISNUMBER(E3193))),"",IFERROR(ROUND(N(INDEX(art_init,MATCH(C3193,art_ref,0)))+SUMIFS($E$5:E3193,$C$5:C3193,C3193,$B$5:B3193,"Entrée")-SUMIFS($E$5:E3193,$C$5:C3193,C3193,$B$5:B3193,"Sortie"),6),""))</f>
        <v/>
      </c>
      <c r="L3193" s="39" t="str">
        <f>IF(COUNTA(A3193:C3193,E3193)=0,"",IF(COUNTA(A3193:C3193,E3193)&lt;4,"Ligne incomplète",IF(NOT(ISNUMBER(A3193)),"Date invalide",IF(AND(B3193&lt;&gt;"Entrée",B3193&lt;&gt;"Sortie"),"Type inconnu",IF(ISNA(MATCH(C3193,art_ref,0)),"Référence inconnue",IF(OR(NOT(ISNUMBER(E3193)),N(E3193)&lt;=0),"Quantité invalide",IF(K3193&lt;0,"Stock négatif",IF(AND(ISNUMBER(A3192),A3193&lt;A3192),"Date hors ordre","OK"))))))))</f>
        <v/>
      </c>
      <c r="M3193" s="39" t="str">
        <f>IF(C3193="","",C3193&amp;"#"&amp;COUNTIF($C$5:C3193,C3193))</f>
        <v/>
      </c>
    </row>
    <row r="3194">
      <c r="A3194" s="41" t="n"/>
      <c r="B3194" s="37" t="n"/>
      <c r="C3194" s="37" t="n"/>
      <c r="D3194" s="39" t="str">
        <f>IF(C3194="","",IFERROR(INDEX(art_des,MATCH(C3194,art_ref,0))&amp;"","Référence inconnue"))</f>
        <v/>
      </c>
      <c r="E3194" s="37" t="n"/>
      <c r="F3194" s="39" t="str">
        <f>IF(C3194="","",IFERROR(INDEX(art_unit,MATCH(C3194,art_ref,0))&amp;"",""))</f>
        <v/>
      </c>
      <c r="G3194" s="37" t="n"/>
      <c r="H3194" s="37" t="n"/>
      <c r="I3194" s="37" t="n"/>
      <c r="J3194" s="40" t="str">
        <f>IF(OR(C3194="",NOT(ISNUMBER(E3194))),"",IFERROR(E3194*N(INDEX(art_price,MATCH(C3194,art_ref,0))),""))</f>
        <v/>
      </c>
      <c r="K3194" s="39" t="str">
        <f>IF(OR(C3194="",NOT(ISNUMBER(E3194))),"",IFERROR(ROUND(N(INDEX(art_init,MATCH(C3194,art_ref,0)))+SUMIFS($E$5:E3194,$C$5:C3194,C3194,$B$5:B3194,"Entrée")-SUMIFS($E$5:E3194,$C$5:C3194,C3194,$B$5:B3194,"Sortie"),6),""))</f>
        <v/>
      </c>
      <c r="L3194" s="39" t="str">
        <f>IF(COUNTA(A3194:C3194,E3194)=0,"",IF(COUNTA(A3194:C3194,E3194)&lt;4,"Ligne incomplète",IF(NOT(ISNUMBER(A3194)),"Date invalide",IF(AND(B3194&lt;&gt;"Entrée",B3194&lt;&gt;"Sortie"),"Type inconnu",IF(ISNA(MATCH(C3194,art_ref,0)),"Référence inconnue",IF(OR(NOT(ISNUMBER(E3194)),N(E3194)&lt;=0),"Quantité invalide",IF(K3194&lt;0,"Stock négatif",IF(AND(ISNUMBER(A3193),A3194&lt;A3193),"Date hors ordre","OK"))))))))</f>
        <v/>
      </c>
      <c r="M3194" s="39" t="str">
        <f>IF(C3194="","",C3194&amp;"#"&amp;COUNTIF($C$5:C3194,C3194))</f>
        <v/>
      </c>
    </row>
    <row r="3195">
      <c r="A3195" s="41" t="n"/>
      <c r="B3195" s="37" t="n"/>
      <c r="C3195" s="37" t="n"/>
      <c r="D3195" s="39" t="str">
        <f>IF(C3195="","",IFERROR(INDEX(art_des,MATCH(C3195,art_ref,0))&amp;"","Référence inconnue"))</f>
        <v/>
      </c>
      <c r="E3195" s="37" t="n"/>
      <c r="F3195" s="39" t="str">
        <f>IF(C3195="","",IFERROR(INDEX(art_unit,MATCH(C3195,art_ref,0))&amp;"",""))</f>
        <v/>
      </c>
      <c r="G3195" s="37" t="n"/>
      <c r="H3195" s="37" t="n"/>
      <c r="I3195" s="37" t="n"/>
      <c r="J3195" s="40" t="str">
        <f>IF(OR(C3195="",NOT(ISNUMBER(E3195))),"",IFERROR(E3195*N(INDEX(art_price,MATCH(C3195,art_ref,0))),""))</f>
        <v/>
      </c>
      <c r="K3195" s="39" t="str">
        <f>IF(OR(C3195="",NOT(ISNUMBER(E3195))),"",IFERROR(ROUND(N(INDEX(art_init,MATCH(C3195,art_ref,0)))+SUMIFS($E$5:E3195,$C$5:C3195,C3195,$B$5:B3195,"Entrée")-SUMIFS($E$5:E3195,$C$5:C3195,C3195,$B$5:B3195,"Sortie"),6),""))</f>
        <v/>
      </c>
      <c r="L3195" s="39" t="str">
        <f>IF(COUNTA(A3195:C3195,E3195)=0,"",IF(COUNTA(A3195:C3195,E3195)&lt;4,"Ligne incomplète",IF(NOT(ISNUMBER(A3195)),"Date invalide",IF(AND(B3195&lt;&gt;"Entrée",B3195&lt;&gt;"Sortie"),"Type inconnu",IF(ISNA(MATCH(C3195,art_ref,0)),"Référence inconnue",IF(OR(NOT(ISNUMBER(E3195)),N(E3195)&lt;=0),"Quantité invalide",IF(K3195&lt;0,"Stock négatif",IF(AND(ISNUMBER(A3194),A3195&lt;A3194),"Date hors ordre","OK"))))))))</f>
        <v/>
      </c>
      <c r="M3195" s="39" t="str">
        <f>IF(C3195="","",C3195&amp;"#"&amp;COUNTIF($C$5:C3195,C3195))</f>
        <v/>
      </c>
    </row>
    <row r="3196">
      <c r="A3196" s="41" t="n"/>
      <c r="B3196" s="37" t="n"/>
      <c r="C3196" s="37" t="n"/>
      <c r="D3196" s="39" t="str">
        <f>IF(C3196="","",IFERROR(INDEX(art_des,MATCH(C3196,art_ref,0))&amp;"","Référence inconnue"))</f>
        <v/>
      </c>
      <c r="E3196" s="37" t="n"/>
      <c r="F3196" s="39" t="str">
        <f>IF(C3196="","",IFERROR(INDEX(art_unit,MATCH(C3196,art_ref,0))&amp;"",""))</f>
        <v/>
      </c>
      <c r="G3196" s="37" t="n"/>
      <c r="H3196" s="37" t="n"/>
      <c r="I3196" s="37" t="n"/>
      <c r="J3196" s="40" t="str">
        <f>IF(OR(C3196="",NOT(ISNUMBER(E3196))),"",IFERROR(E3196*N(INDEX(art_price,MATCH(C3196,art_ref,0))),""))</f>
        <v/>
      </c>
      <c r="K3196" s="39" t="str">
        <f>IF(OR(C3196="",NOT(ISNUMBER(E3196))),"",IFERROR(ROUND(N(INDEX(art_init,MATCH(C3196,art_ref,0)))+SUMIFS($E$5:E3196,$C$5:C3196,C3196,$B$5:B3196,"Entrée")-SUMIFS($E$5:E3196,$C$5:C3196,C3196,$B$5:B3196,"Sortie"),6),""))</f>
        <v/>
      </c>
      <c r="L3196" s="39" t="str">
        <f>IF(COUNTA(A3196:C3196,E3196)=0,"",IF(COUNTA(A3196:C3196,E3196)&lt;4,"Ligne incomplète",IF(NOT(ISNUMBER(A3196)),"Date invalide",IF(AND(B3196&lt;&gt;"Entrée",B3196&lt;&gt;"Sortie"),"Type inconnu",IF(ISNA(MATCH(C3196,art_ref,0)),"Référence inconnue",IF(OR(NOT(ISNUMBER(E3196)),N(E3196)&lt;=0),"Quantité invalide",IF(K3196&lt;0,"Stock négatif",IF(AND(ISNUMBER(A3195),A3196&lt;A3195),"Date hors ordre","OK"))))))))</f>
        <v/>
      </c>
      <c r="M3196" s="39" t="str">
        <f>IF(C3196="","",C3196&amp;"#"&amp;COUNTIF($C$5:C3196,C3196))</f>
        <v/>
      </c>
    </row>
    <row r="3197">
      <c r="A3197" s="41" t="n"/>
      <c r="B3197" s="37" t="n"/>
      <c r="C3197" s="37" t="n"/>
      <c r="D3197" s="39" t="str">
        <f>IF(C3197="","",IFERROR(INDEX(art_des,MATCH(C3197,art_ref,0))&amp;"","Référence inconnue"))</f>
        <v/>
      </c>
      <c r="E3197" s="37" t="n"/>
      <c r="F3197" s="39" t="str">
        <f>IF(C3197="","",IFERROR(INDEX(art_unit,MATCH(C3197,art_ref,0))&amp;"",""))</f>
        <v/>
      </c>
      <c r="G3197" s="37" t="n"/>
      <c r="H3197" s="37" t="n"/>
      <c r="I3197" s="37" t="n"/>
      <c r="J3197" s="40" t="str">
        <f>IF(OR(C3197="",NOT(ISNUMBER(E3197))),"",IFERROR(E3197*N(INDEX(art_price,MATCH(C3197,art_ref,0))),""))</f>
        <v/>
      </c>
      <c r="K3197" s="39" t="str">
        <f>IF(OR(C3197="",NOT(ISNUMBER(E3197))),"",IFERROR(ROUND(N(INDEX(art_init,MATCH(C3197,art_ref,0)))+SUMIFS($E$5:E3197,$C$5:C3197,C3197,$B$5:B3197,"Entrée")-SUMIFS($E$5:E3197,$C$5:C3197,C3197,$B$5:B3197,"Sortie"),6),""))</f>
        <v/>
      </c>
      <c r="L3197" s="39" t="str">
        <f>IF(COUNTA(A3197:C3197,E3197)=0,"",IF(COUNTA(A3197:C3197,E3197)&lt;4,"Ligne incomplète",IF(NOT(ISNUMBER(A3197)),"Date invalide",IF(AND(B3197&lt;&gt;"Entrée",B3197&lt;&gt;"Sortie"),"Type inconnu",IF(ISNA(MATCH(C3197,art_ref,0)),"Référence inconnue",IF(OR(NOT(ISNUMBER(E3197)),N(E3197)&lt;=0),"Quantité invalide",IF(K3197&lt;0,"Stock négatif",IF(AND(ISNUMBER(A3196),A3197&lt;A3196),"Date hors ordre","OK"))))))))</f>
        <v/>
      </c>
      <c r="M3197" s="39" t="str">
        <f>IF(C3197="","",C3197&amp;"#"&amp;COUNTIF($C$5:C3197,C3197))</f>
        <v/>
      </c>
    </row>
    <row r="3198">
      <c r="A3198" s="41" t="n"/>
      <c r="B3198" s="37" t="n"/>
      <c r="C3198" s="37" t="n"/>
      <c r="D3198" s="39" t="str">
        <f>IF(C3198="","",IFERROR(INDEX(art_des,MATCH(C3198,art_ref,0))&amp;"","Référence inconnue"))</f>
        <v/>
      </c>
      <c r="E3198" s="37" t="n"/>
      <c r="F3198" s="39" t="str">
        <f>IF(C3198="","",IFERROR(INDEX(art_unit,MATCH(C3198,art_ref,0))&amp;"",""))</f>
        <v/>
      </c>
      <c r="G3198" s="37" t="n"/>
      <c r="H3198" s="37" t="n"/>
      <c r="I3198" s="37" t="n"/>
      <c r="J3198" s="40" t="str">
        <f>IF(OR(C3198="",NOT(ISNUMBER(E3198))),"",IFERROR(E3198*N(INDEX(art_price,MATCH(C3198,art_ref,0))),""))</f>
        <v/>
      </c>
      <c r="K3198" s="39" t="str">
        <f>IF(OR(C3198="",NOT(ISNUMBER(E3198))),"",IFERROR(ROUND(N(INDEX(art_init,MATCH(C3198,art_ref,0)))+SUMIFS($E$5:E3198,$C$5:C3198,C3198,$B$5:B3198,"Entrée")-SUMIFS($E$5:E3198,$C$5:C3198,C3198,$B$5:B3198,"Sortie"),6),""))</f>
        <v/>
      </c>
      <c r="L3198" s="39" t="str">
        <f>IF(COUNTA(A3198:C3198,E3198)=0,"",IF(COUNTA(A3198:C3198,E3198)&lt;4,"Ligne incomplète",IF(NOT(ISNUMBER(A3198)),"Date invalide",IF(AND(B3198&lt;&gt;"Entrée",B3198&lt;&gt;"Sortie"),"Type inconnu",IF(ISNA(MATCH(C3198,art_ref,0)),"Référence inconnue",IF(OR(NOT(ISNUMBER(E3198)),N(E3198)&lt;=0),"Quantité invalide",IF(K3198&lt;0,"Stock négatif",IF(AND(ISNUMBER(A3197),A3198&lt;A3197),"Date hors ordre","OK"))))))))</f>
        <v/>
      </c>
      <c r="M3198" s="39" t="str">
        <f>IF(C3198="","",C3198&amp;"#"&amp;COUNTIF($C$5:C3198,C3198))</f>
        <v/>
      </c>
    </row>
    <row r="3199">
      <c r="A3199" s="41" t="n"/>
      <c r="B3199" s="37" t="n"/>
      <c r="C3199" s="37" t="n"/>
      <c r="D3199" s="39" t="str">
        <f>IF(C3199="","",IFERROR(INDEX(art_des,MATCH(C3199,art_ref,0))&amp;"","Référence inconnue"))</f>
        <v/>
      </c>
      <c r="E3199" s="37" t="n"/>
      <c r="F3199" s="39" t="str">
        <f>IF(C3199="","",IFERROR(INDEX(art_unit,MATCH(C3199,art_ref,0))&amp;"",""))</f>
        <v/>
      </c>
      <c r="G3199" s="37" t="n"/>
      <c r="H3199" s="37" t="n"/>
      <c r="I3199" s="37" t="n"/>
      <c r="J3199" s="40" t="str">
        <f>IF(OR(C3199="",NOT(ISNUMBER(E3199))),"",IFERROR(E3199*N(INDEX(art_price,MATCH(C3199,art_ref,0))),""))</f>
        <v/>
      </c>
      <c r="K3199" s="39" t="str">
        <f>IF(OR(C3199="",NOT(ISNUMBER(E3199))),"",IFERROR(ROUND(N(INDEX(art_init,MATCH(C3199,art_ref,0)))+SUMIFS($E$5:E3199,$C$5:C3199,C3199,$B$5:B3199,"Entrée")-SUMIFS($E$5:E3199,$C$5:C3199,C3199,$B$5:B3199,"Sortie"),6),""))</f>
        <v/>
      </c>
      <c r="L3199" s="39" t="str">
        <f>IF(COUNTA(A3199:C3199,E3199)=0,"",IF(COUNTA(A3199:C3199,E3199)&lt;4,"Ligne incomplète",IF(NOT(ISNUMBER(A3199)),"Date invalide",IF(AND(B3199&lt;&gt;"Entrée",B3199&lt;&gt;"Sortie"),"Type inconnu",IF(ISNA(MATCH(C3199,art_ref,0)),"Référence inconnue",IF(OR(NOT(ISNUMBER(E3199)),N(E3199)&lt;=0),"Quantité invalide",IF(K3199&lt;0,"Stock négatif",IF(AND(ISNUMBER(A3198),A3199&lt;A3198),"Date hors ordre","OK"))))))))</f>
        <v/>
      </c>
      <c r="M3199" s="39" t="str">
        <f>IF(C3199="","",C3199&amp;"#"&amp;COUNTIF($C$5:C3199,C3199))</f>
        <v/>
      </c>
    </row>
    <row r="3200">
      <c r="A3200" s="41" t="n"/>
      <c r="B3200" s="37" t="n"/>
      <c r="C3200" s="37" t="n"/>
      <c r="D3200" s="39" t="str">
        <f>IF(C3200="","",IFERROR(INDEX(art_des,MATCH(C3200,art_ref,0))&amp;"","Référence inconnue"))</f>
        <v/>
      </c>
      <c r="E3200" s="37" t="n"/>
      <c r="F3200" s="39" t="str">
        <f>IF(C3200="","",IFERROR(INDEX(art_unit,MATCH(C3200,art_ref,0))&amp;"",""))</f>
        <v/>
      </c>
      <c r="G3200" s="37" t="n"/>
      <c r="H3200" s="37" t="n"/>
      <c r="I3200" s="37" t="n"/>
      <c r="J3200" s="40" t="str">
        <f>IF(OR(C3200="",NOT(ISNUMBER(E3200))),"",IFERROR(E3200*N(INDEX(art_price,MATCH(C3200,art_ref,0))),""))</f>
        <v/>
      </c>
      <c r="K3200" s="39" t="str">
        <f>IF(OR(C3200="",NOT(ISNUMBER(E3200))),"",IFERROR(ROUND(N(INDEX(art_init,MATCH(C3200,art_ref,0)))+SUMIFS($E$5:E3200,$C$5:C3200,C3200,$B$5:B3200,"Entrée")-SUMIFS($E$5:E3200,$C$5:C3200,C3200,$B$5:B3200,"Sortie"),6),""))</f>
        <v/>
      </c>
      <c r="L3200" s="39" t="str">
        <f>IF(COUNTA(A3200:C3200,E3200)=0,"",IF(COUNTA(A3200:C3200,E3200)&lt;4,"Ligne incomplète",IF(NOT(ISNUMBER(A3200)),"Date invalide",IF(AND(B3200&lt;&gt;"Entrée",B3200&lt;&gt;"Sortie"),"Type inconnu",IF(ISNA(MATCH(C3200,art_ref,0)),"Référence inconnue",IF(OR(NOT(ISNUMBER(E3200)),N(E3200)&lt;=0),"Quantité invalide",IF(K3200&lt;0,"Stock négatif",IF(AND(ISNUMBER(A3199),A3200&lt;A3199),"Date hors ordre","OK"))))))))</f>
        <v/>
      </c>
      <c r="M3200" s="39" t="str">
        <f>IF(C3200="","",C3200&amp;"#"&amp;COUNTIF($C$5:C3200,C3200))</f>
        <v/>
      </c>
    </row>
    <row r="3201">
      <c r="A3201" s="41" t="n"/>
      <c r="B3201" s="37" t="n"/>
      <c r="C3201" s="37" t="n"/>
      <c r="D3201" s="39" t="str">
        <f>IF(C3201="","",IFERROR(INDEX(art_des,MATCH(C3201,art_ref,0))&amp;"","Référence inconnue"))</f>
        <v/>
      </c>
      <c r="E3201" s="37" t="n"/>
      <c r="F3201" s="39" t="str">
        <f>IF(C3201="","",IFERROR(INDEX(art_unit,MATCH(C3201,art_ref,0))&amp;"",""))</f>
        <v/>
      </c>
      <c r="G3201" s="37" t="n"/>
      <c r="H3201" s="37" t="n"/>
      <c r="I3201" s="37" t="n"/>
      <c r="J3201" s="40" t="str">
        <f>IF(OR(C3201="",NOT(ISNUMBER(E3201))),"",IFERROR(E3201*N(INDEX(art_price,MATCH(C3201,art_ref,0))),""))</f>
        <v/>
      </c>
      <c r="K3201" s="39" t="str">
        <f>IF(OR(C3201="",NOT(ISNUMBER(E3201))),"",IFERROR(ROUND(N(INDEX(art_init,MATCH(C3201,art_ref,0)))+SUMIFS($E$5:E3201,$C$5:C3201,C3201,$B$5:B3201,"Entrée")-SUMIFS($E$5:E3201,$C$5:C3201,C3201,$B$5:B3201,"Sortie"),6),""))</f>
        <v/>
      </c>
      <c r="L3201" s="39" t="str">
        <f>IF(COUNTA(A3201:C3201,E3201)=0,"",IF(COUNTA(A3201:C3201,E3201)&lt;4,"Ligne incomplète",IF(NOT(ISNUMBER(A3201)),"Date invalide",IF(AND(B3201&lt;&gt;"Entrée",B3201&lt;&gt;"Sortie"),"Type inconnu",IF(ISNA(MATCH(C3201,art_ref,0)),"Référence inconnue",IF(OR(NOT(ISNUMBER(E3201)),N(E3201)&lt;=0),"Quantité invalide",IF(K3201&lt;0,"Stock négatif",IF(AND(ISNUMBER(A3200),A3201&lt;A3200),"Date hors ordre","OK"))))))))</f>
        <v/>
      </c>
      <c r="M3201" s="39" t="str">
        <f>IF(C3201="","",C3201&amp;"#"&amp;COUNTIF($C$5:C3201,C3201))</f>
        <v/>
      </c>
    </row>
    <row r="3202">
      <c r="A3202" s="41" t="n"/>
      <c r="B3202" s="37" t="n"/>
      <c r="C3202" s="37" t="n"/>
      <c r="D3202" s="39" t="str">
        <f>IF(C3202="","",IFERROR(INDEX(art_des,MATCH(C3202,art_ref,0))&amp;"","Référence inconnue"))</f>
        <v/>
      </c>
      <c r="E3202" s="37" t="n"/>
      <c r="F3202" s="39" t="str">
        <f>IF(C3202="","",IFERROR(INDEX(art_unit,MATCH(C3202,art_ref,0))&amp;"",""))</f>
        <v/>
      </c>
      <c r="G3202" s="37" t="n"/>
      <c r="H3202" s="37" t="n"/>
      <c r="I3202" s="37" t="n"/>
      <c r="J3202" s="40" t="str">
        <f>IF(OR(C3202="",NOT(ISNUMBER(E3202))),"",IFERROR(E3202*N(INDEX(art_price,MATCH(C3202,art_ref,0))),""))</f>
        <v/>
      </c>
      <c r="K3202" s="39" t="str">
        <f>IF(OR(C3202="",NOT(ISNUMBER(E3202))),"",IFERROR(ROUND(N(INDEX(art_init,MATCH(C3202,art_ref,0)))+SUMIFS($E$5:E3202,$C$5:C3202,C3202,$B$5:B3202,"Entrée")-SUMIFS($E$5:E3202,$C$5:C3202,C3202,$B$5:B3202,"Sortie"),6),""))</f>
        <v/>
      </c>
      <c r="L3202" s="39" t="str">
        <f>IF(COUNTA(A3202:C3202,E3202)=0,"",IF(COUNTA(A3202:C3202,E3202)&lt;4,"Ligne incomplète",IF(NOT(ISNUMBER(A3202)),"Date invalide",IF(AND(B3202&lt;&gt;"Entrée",B3202&lt;&gt;"Sortie"),"Type inconnu",IF(ISNA(MATCH(C3202,art_ref,0)),"Référence inconnue",IF(OR(NOT(ISNUMBER(E3202)),N(E3202)&lt;=0),"Quantité invalide",IF(K3202&lt;0,"Stock négatif",IF(AND(ISNUMBER(A3201),A3202&lt;A3201),"Date hors ordre","OK"))))))))</f>
        <v/>
      </c>
      <c r="M3202" s="39" t="str">
        <f>IF(C3202="","",C3202&amp;"#"&amp;COUNTIF($C$5:C3202,C3202))</f>
        <v/>
      </c>
    </row>
    <row r="3203">
      <c r="A3203" s="41" t="n"/>
      <c r="B3203" s="37" t="n"/>
      <c r="C3203" s="37" t="n"/>
      <c r="D3203" s="39" t="str">
        <f>IF(C3203="","",IFERROR(INDEX(art_des,MATCH(C3203,art_ref,0))&amp;"","Référence inconnue"))</f>
        <v/>
      </c>
      <c r="E3203" s="37" t="n"/>
      <c r="F3203" s="39" t="str">
        <f>IF(C3203="","",IFERROR(INDEX(art_unit,MATCH(C3203,art_ref,0))&amp;"",""))</f>
        <v/>
      </c>
      <c r="G3203" s="37" t="n"/>
      <c r="H3203" s="37" t="n"/>
      <c r="I3203" s="37" t="n"/>
      <c r="J3203" s="40" t="str">
        <f>IF(OR(C3203="",NOT(ISNUMBER(E3203))),"",IFERROR(E3203*N(INDEX(art_price,MATCH(C3203,art_ref,0))),""))</f>
        <v/>
      </c>
      <c r="K3203" s="39" t="str">
        <f>IF(OR(C3203="",NOT(ISNUMBER(E3203))),"",IFERROR(ROUND(N(INDEX(art_init,MATCH(C3203,art_ref,0)))+SUMIFS($E$5:E3203,$C$5:C3203,C3203,$B$5:B3203,"Entrée")-SUMIFS($E$5:E3203,$C$5:C3203,C3203,$B$5:B3203,"Sortie"),6),""))</f>
        <v/>
      </c>
      <c r="L3203" s="39" t="str">
        <f>IF(COUNTA(A3203:C3203,E3203)=0,"",IF(COUNTA(A3203:C3203,E3203)&lt;4,"Ligne incomplète",IF(NOT(ISNUMBER(A3203)),"Date invalide",IF(AND(B3203&lt;&gt;"Entrée",B3203&lt;&gt;"Sortie"),"Type inconnu",IF(ISNA(MATCH(C3203,art_ref,0)),"Référence inconnue",IF(OR(NOT(ISNUMBER(E3203)),N(E3203)&lt;=0),"Quantité invalide",IF(K3203&lt;0,"Stock négatif",IF(AND(ISNUMBER(A3202),A3203&lt;A3202),"Date hors ordre","OK"))))))))</f>
        <v/>
      </c>
      <c r="M3203" s="39" t="str">
        <f>IF(C3203="","",C3203&amp;"#"&amp;COUNTIF($C$5:C3203,C3203))</f>
        <v/>
      </c>
    </row>
    <row r="3204">
      <c r="A3204" s="41" t="n"/>
      <c r="B3204" s="37" t="n"/>
      <c r="C3204" s="37" t="n"/>
      <c r="D3204" s="39" t="str">
        <f>IF(C3204="","",IFERROR(INDEX(art_des,MATCH(C3204,art_ref,0))&amp;"","Référence inconnue"))</f>
        <v/>
      </c>
      <c r="E3204" s="37" t="n"/>
      <c r="F3204" s="39" t="str">
        <f>IF(C3204="","",IFERROR(INDEX(art_unit,MATCH(C3204,art_ref,0))&amp;"",""))</f>
        <v/>
      </c>
      <c r="G3204" s="37" t="n"/>
      <c r="H3204" s="37" t="n"/>
      <c r="I3204" s="37" t="n"/>
      <c r="J3204" s="40" t="str">
        <f>IF(OR(C3204="",NOT(ISNUMBER(E3204))),"",IFERROR(E3204*N(INDEX(art_price,MATCH(C3204,art_ref,0))),""))</f>
        <v/>
      </c>
      <c r="K3204" s="39" t="str">
        <f>IF(OR(C3204="",NOT(ISNUMBER(E3204))),"",IFERROR(ROUND(N(INDEX(art_init,MATCH(C3204,art_ref,0)))+SUMIFS($E$5:E3204,$C$5:C3204,C3204,$B$5:B3204,"Entrée")-SUMIFS($E$5:E3204,$C$5:C3204,C3204,$B$5:B3204,"Sortie"),6),""))</f>
        <v/>
      </c>
      <c r="L3204" s="39" t="str">
        <f>IF(COUNTA(A3204:C3204,E3204)=0,"",IF(COUNTA(A3204:C3204,E3204)&lt;4,"Ligne incomplète",IF(NOT(ISNUMBER(A3204)),"Date invalide",IF(AND(B3204&lt;&gt;"Entrée",B3204&lt;&gt;"Sortie"),"Type inconnu",IF(ISNA(MATCH(C3204,art_ref,0)),"Référence inconnue",IF(OR(NOT(ISNUMBER(E3204)),N(E3204)&lt;=0),"Quantité invalide",IF(K3204&lt;0,"Stock négatif",IF(AND(ISNUMBER(A3203),A3204&lt;A3203),"Date hors ordre","OK"))))))))</f>
        <v/>
      </c>
      <c r="M3204" s="39" t="str">
        <f>IF(C3204="","",C3204&amp;"#"&amp;COUNTIF($C$5:C3204,C3204))</f>
        <v/>
      </c>
    </row>
    <row r="3205">
      <c r="A3205" s="41" t="n"/>
      <c r="B3205" s="37" t="n"/>
      <c r="C3205" s="37" t="n"/>
      <c r="D3205" s="39" t="str">
        <f>IF(C3205="","",IFERROR(INDEX(art_des,MATCH(C3205,art_ref,0))&amp;"","Référence inconnue"))</f>
        <v/>
      </c>
      <c r="E3205" s="37" t="n"/>
      <c r="F3205" s="39" t="str">
        <f>IF(C3205="","",IFERROR(INDEX(art_unit,MATCH(C3205,art_ref,0))&amp;"",""))</f>
        <v/>
      </c>
      <c r="G3205" s="37" t="n"/>
      <c r="H3205" s="37" t="n"/>
      <c r="I3205" s="37" t="n"/>
      <c r="J3205" s="40" t="str">
        <f>IF(OR(C3205="",NOT(ISNUMBER(E3205))),"",IFERROR(E3205*N(INDEX(art_price,MATCH(C3205,art_ref,0))),""))</f>
        <v/>
      </c>
      <c r="K3205" s="39" t="str">
        <f>IF(OR(C3205="",NOT(ISNUMBER(E3205))),"",IFERROR(ROUND(N(INDEX(art_init,MATCH(C3205,art_ref,0)))+SUMIFS($E$5:E3205,$C$5:C3205,C3205,$B$5:B3205,"Entrée")-SUMIFS($E$5:E3205,$C$5:C3205,C3205,$B$5:B3205,"Sortie"),6),""))</f>
        <v/>
      </c>
      <c r="L3205" s="39" t="str">
        <f>IF(COUNTA(A3205:C3205,E3205)=0,"",IF(COUNTA(A3205:C3205,E3205)&lt;4,"Ligne incomplète",IF(NOT(ISNUMBER(A3205)),"Date invalide",IF(AND(B3205&lt;&gt;"Entrée",B3205&lt;&gt;"Sortie"),"Type inconnu",IF(ISNA(MATCH(C3205,art_ref,0)),"Référence inconnue",IF(OR(NOT(ISNUMBER(E3205)),N(E3205)&lt;=0),"Quantité invalide",IF(K3205&lt;0,"Stock négatif",IF(AND(ISNUMBER(A3204),A3205&lt;A3204),"Date hors ordre","OK"))))))))</f>
        <v/>
      </c>
      <c r="M3205" s="39" t="str">
        <f>IF(C3205="","",C3205&amp;"#"&amp;COUNTIF($C$5:C3205,C3205))</f>
        <v/>
      </c>
    </row>
    <row r="3206">
      <c r="A3206" s="41" t="n"/>
      <c r="B3206" s="37" t="n"/>
      <c r="C3206" s="37" t="n"/>
      <c r="D3206" s="39" t="str">
        <f>IF(C3206="","",IFERROR(INDEX(art_des,MATCH(C3206,art_ref,0))&amp;"","Référence inconnue"))</f>
        <v/>
      </c>
      <c r="E3206" s="37" t="n"/>
      <c r="F3206" s="39" t="str">
        <f>IF(C3206="","",IFERROR(INDEX(art_unit,MATCH(C3206,art_ref,0))&amp;"",""))</f>
        <v/>
      </c>
      <c r="G3206" s="37" t="n"/>
      <c r="H3206" s="37" t="n"/>
      <c r="I3206" s="37" t="n"/>
      <c r="J3206" s="40" t="str">
        <f>IF(OR(C3206="",NOT(ISNUMBER(E3206))),"",IFERROR(E3206*N(INDEX(art_price,MATCH(C3206,art_ref,0))),""))</f>
        <v/>
      </c>
      <c r="K3206" s="39" t="str">
        <f>IF(OR(C3206="",NOT(ISNUMBER(E3206))),"",IFERROR(ROUND(N(INDEX(art_init,MATCH(C3206,art_ref,0)))+SUMIFS($E$5:E3206,$C$5:C3206,C3206,$B$5:B3206,"Entrée")-SUMIFS($E$5:E3206,$C$5:C3206,C3206,$B$5:B3206,"Sortie"),6),""))</f>
        <v/>
      </c>
      <c r="L3206" s="39" t="str">
        <f>IF(COUNTA(A3206:C3206,E3206)=0,"",IF(COUNTA(A3206:C3206,E3206)&lt;4,"Ligne incomplète",IF(NOT(ISNUMBER(A3206)),"Date invalide",IF(AND(B3206&lt;&gt;"Entrée",B3206&lt;&gt;"Sortie"),"Type inconnu",IF(ISNA(MATCH(C3206,art_ref,0)),"Référence inconnue",IF(OR(NOT(ISNUMBER(E3206)),N(E3206)&lt;=0),"Quantité invalide",IF(K3206&lt;0,"Stock négatif",IF(AND(ISNUMBER(A3205),A3206&lt;A3205),"Date hors ordre","OK"))))))))</f>
        <v/>
      </c>
      <c r="M3206" s="39" t="str">
        <f>IF(C3206="","",C3206&amp;"#"&amp;COUNTIF($C$5:C3206,C3206))</f>
        <v/>
      </c>
    </row>
    <row r="3207">
      <c r="A3207" s="41" t="n"/>
      <c r="B3207" s="37" t="n"/>
      <c r="C3207" s="37" t="n"/>
      <c r="D3207" s="39" t="str">
        <f>IF(C3207="","",IFERROR(INDEX(art_des,MATCH(C3207,art_ref,0))&amp;"","Référence inconnue"))</f>
        <v/>
      </c>
      <c r="E3207" s="37" t="n"/>
      <c r="F3207" s="39" t="str">
        <f>IF(C3207="","",IFERROR(INDEX(art_unit,MATCH(C3207,art_ref,0))&amp;"",""))</f>
        <v/>
      </c>
      <c r="G3207" s="37" t="n"/>
      <c r="H3207" s="37" t="n"/>
      <c r="I3207" s="37" t="n"/>
      <c r="J3207" s="40" t="str">
        <f>IF(OR(C3207="",NOT(ISNUMBER(E3207))),"",IFERROR(E3207*N(INDEX(art_price,MATCH(C3207,art_ref,0))),""))</f>
        <v/>
      </c>
      <c r="K3207" s="39" t="str">
        <f>IF(OR(C3207="",NOT(ISNUMBER(E3207))),"",IFERROR(ROUND(N(INDEX(art_init,MATCH(C3207,art_ref,0)))+SUMIFS($E$5:E3207,$C$5:C3207,C3207,$B$5:B3207,"Entrée")-SUMIFS($E$5:E3207,$C$5:C3207,C3207,$B$5:B3207,"Sortie"),6),""))</f>
        <v/>
      </c>
      <c r="L3207" s="39" t="str">
        <f>IF(COUNTA(A3207:C3207,E3207)=0,"",IF(COUNTA(A3207:C3207,E3207)&lt;4,"Ligne incomplète",IF(NOT(ISNUMBER(A3207)),"Date invalide",IF(AND(B3207&lt;&gt;"Entrée",B3207&lt;&gt;"Sortie"),"Type inconnu",IF(ISNA(MATCH(C3207,art_ref,0)),"Référence inconnue",IF(OR(NOT(ISNUMBER(E3207)),N(E3207)&lt;=0),"Quantité invalide",IF(K3207&lt;0,"Stock négatif",IF(AND(ISNUMBER(A3206),A3207&lt;A3206),"Date hors ordre","OK"))))))))</f>
        <v/>
      </c>
      <c r="M3207" s="39" t="str">
        <f>IF(C3207="","",C3207&amp;"#"&amp;COUNTIF($C$5:C3207,C3207))</f>
        <v/>
      </c>
    </row>
    <row r="3208">
      <c r="A3208" s="41" t="n"/>
      <c r="B3208" s="37" t="n"/>
      <c r="C3208" s="37" t="n"/>
      <c r="D3208" s="39" t="str">
        <f>IF(C3208="","",IFERROR(INDEX(art_des,MATCH(C3208,art_ref,0))&amp;"","Référence inconnue"))</f>
        <v/>
      </c>
      <c r="E3208" s="37" t="n"/>
      <c r="F3208" s="39" t="str">
        <f>IF(C3208="","",IFERROR(INDEX(art_unit,MATCH(C3208,art_ref,0))&amp;"",""))</f>
        <v/>
      </c>
      <c r="G3208" s="37" t="n"/>
      <c r="H3208" s="37" t="n"/>
      <c r="I3208" s="37" t="n"/>
      <c r="J3208" s="40" t="str">
        <f>IF(OR(C3208="",NOT(ISNUMBER(E3208))),"",IFERROR(E3208*N(INDEX(art_price,MATCH(C3208,art_ref,0))),""))</f>
        <v/>
      </c>
      <c r="K3208" s="39" t="str">
        <f>IF(OR(C3208="",NOT(ISNUMBER(E3208))),"",IFERROR(ROUND(N(INDEX(art_init,MATCH(C3208,art_ref,0)))+SUMIFS($E$5:E3208,$C$5:C3208,C3208,$B$5:B3208,"Entrée")-SUMIFS($E$5:E3208,$C$5:C3208,C3208,$B$5:B3208,"Sortie"),6),""))</f>
        <v/>
      </c>
      <c r="L3208" s="39" t="str">
        <f>IF(COUNTA(A3208:C3208,E3208)=0,"",IF(COUNTA(A3208:C3208,E3208)&lt;4,"Ligne incomplète",IF(NOT(ISNUMBER(A3208)),"Date invalide",IF(AND(B3208&lt;&gt;"Entrée",B3208&lt;&gt;"Sortie"),"Type inconnu",IF(ISNA(MATCH(C3208,art_ref,0)),"Référence inconnue",IF(OR(NOT(ISNUMBER(E3208)),N(E3208)&lt;=0),"Quantité invalide",IF(K3208&lt;0,"Stock négatif",IF(AND(ISNUMBER(A3207),A3208&lt;A3207),"Date hors ordre","OK"))))))))</f>
        <v/>
      </c>
      <c r="M3208" s="39" t="str">
        <f>IF(C3208="","",C3208&amp;"#"&amp;COUNTIF($C$5:C3208,C3208))</f>
        <v/>
      </c>
    </row>
    <row r="3209">
      <c r="A3209" s="41" t="n"/>
      <c r="B3209" s="37" t="n"/>
      <c r="C3209" s="37" t="n"/>
      <c r="D3209" s="39" t="str">
        <f>IF(C3209="","",IFERROR(INDEX(art_des,MATCH(C3209,art_ref,0))&amp;"","Référence inconnue"))</f>
        <v/>
      </c>
      <c r="E3209" s="37" t="n"/>
      <c r="F3209" s="39" t="str">
        <f>IF(C3209="","",IFERROR(INDEX(art_unit,MATCH(C3209,art_ref,0))&amp;"",""))</f>
        <v/>
      </c>
      <c r="G3209" s="37" t="n"/>
      <c r="H3209" s="37" t="n"/>
      <c r="I3209" s="37" t="n"/>
      <c r="J3209" s="40" t="str">
        <f>IF(OR(C3209="",NOT(ISNUMBER(E3209))),"",IFERROR(E3209*N(INDEX(art_price,MATCH(C3209,art_ref,0))),""))</f>
        <v/>
      </c>
      <c r="K3209" s="39" t="str">
        <f>IF(OR(C3209="",NOT(ISNUMBER(E3209))),"",IFERROR(ROUND(N(INDEX(art_init,MATCH(C3209,art_ref,0)))+SUMIFS($E$5:E3209,$C$5:C3209,C3209,$B$5:B3209,"Entrée")-SUMIFS($E$5:E3209,$C$5:C3209,C3209,$B$5:B3209,"Sortie"),6),""))</f>
        <v/>
      </c>
      <c r="L3209" s="39" t="str">
        <f>IF(COUNTA(A3209:C3209,E3209)=0,"",IF(COUNTA(A3209:C3209,E3209)&lt;4,"Ligne incomplète",IF(NOT(ISNUMBER(A3209)),"Date invalide",IF(AND(B3209&lt;&gt;"Entrée",B3209&lt;&gt;"Sortie"),"Type inconnu",IF(ISNA(MATCH(C3209,art_ref,0)),"Référence inconnue",IF(OR(NOT(ISNUMBER(E3209)),N(E3209)&lt;=0),"Quantité invalide",IF(K3209&lt;0,"Stock négatif",IF(AND(ISNUMBER(A3208),A3209&lt;A3208),"Date hors ordre","OK"))))))))</f>
        <v/>
      </c>
      <c r="M3209" s="39" t="str">
        <f>IF(C3209="","",C3209&amp;"#"&amp;COUNTIF($C$5:C3209,C3209))</f>
        <v/>
      </c>
    </row>
    <row r="3210">
      <c r="A3210" s="41" t="n"/>
      <c r="B3210" s="37" t="n"/>
      <c r="C3210" s="37" t="n"/>
      <c r="D3210" s="39" t="str">
        <f>IF(C3210="","",IFERROR(INDEX(art_des,MATCH(C3210,art_ref,0))&amp;"","Référence inconnue"))</f>
        <v/>
      </c>
      <c r="E3210" s="37" t="n"/>
      <c r="F3210" s="39" t="str">
        <f>IF(C3210="","",IFERROR(INDEX(art_unit,MATCH(C3210,art_ref,0))&amp;"",""))</f>
        <v/>
      </c>
      <c r="G3210" s="37" t="n"/>
      <c r="H3210" s="37" t="n"/>
      <c r="I3210" s="37" t="n"/>
      <c r="J3210" s="40" t="str">
        <f>IF(OR(C3210="",NOT(ISNUMBER(E3210))),"",IFERROR(E3210*N(INDEX(art_price,MATCH(C3210,art_ref,0))),""))</f>
        <v/>
      </c>
      <c r="K3210" s="39" t="str">
        <f>IF(OR(C3210="",NOT(ISNUMBER(E3210))),"",IFERROR(ROUND(N(INDEX(art_init,MATCH(C3210,art_ref,0)))+SUMIFS($E$5:E3210,$C$5:C3210,C3210,$B$5:B3210,"Entrée")-SUMIFS($E$5:E3210,$C$5:C3210,C3210,$B$5:B3210,"Sortie"),6),""))</f>
        <v/>
      </c>
      <c r="L3210" s="39" t="str">
        <f>IF(COUNTA(A3210:C3210,E3210)=0,"",IF(COUNTA(A3210:C3210,E3210)&lt;4,"Ligne incomplète",IF(NOT(ISNUMBER(A3210)),"Date invalide",IF(AND(B3210&lt;&gt;"Entrée",B3210&lt;&gt;"Sortie"),"Type inconnu",IF(ISNA(MATCH(C3210,art_ref,0)),"Référence inconnue",IF(OR(NOT(ISNUMBER(E3210)),N(E3210)&lt;=0),"Quantité invalide",IF(K3210&lt;0,"Stock négatif",IF(AND(ISNUMBER(A3209),A3210&lt;A3209),"Date hors ordre","OK"))))))))</f>
        <v/>
      </c>
      <c r="M3210" s="39" t="str">
        <f>IF(C3210="","",C3210&amp;"#"&amp;COUNTIF($C$5:C3210,C3210))</f>
        <v/>
      </c>
    </row>
    <row r="3211">
      <c r="A3211" s="41" t="n"/>
      <c r="B3211" s="37" t="n"/>
      <c r="C3211" s="37" t="n"/>
      <c r="D3211" s="39" t="str">
        <f>IF(C3211="","",IFERROR(INDEX(art_des,MATCH(C3211,art_ref,0))&amp;"","Référence inconnue"))</f>
        <v/>
      </c>
      <c r="E3211" s="37" t="n"/>
      <c r="F3211" s="39" t="str">
        <f>IF(C3211="","",IFERROR(INDEX(art_unit,MATCH(C3211,art_ref,0))&amp;"",""))</f>
        <v/>
      </c>
      <c r="G3211" s="37" t="n"/>
      <c r="H3211" s="37" t="n"/>
      <c r="I3211" s="37" t="n"/>
      <c r="J3211" s="40" t="str">
        <f>IF(OR(C3211="",NOT(ISNUMBER(E3211))),"",IFERROR(E3211*N(INDEX(art_price,MATCH(C3211,art_ref,0))),""))</f>
        <v/>
      </c>
      <c r="K3211" s="39" t="str">
        <f>IF(OR(C3211="",NOT(ISNUMBER(E3211))),"",IFERROR(ROUND(N(INDEX(art_init,MATCH(C3211,art_ref,0)))+SUMIFS($E$5:E3211,$C$5:C3211,C3211,$B$5:B3211,"Entrée")-SUMIFS($E$5:E3211,$C$5:C3211,C3211,$B$5:B3211,"Sortie"),6),""))</f>
        <v/>
      </c>
      <c r="L3211" s="39" t="str">
        <f>IF(COUNTA(A3211:C3211,E3211)=0,"",IF(COUNTA(A3211:C3211,E3211)&lt;4,"Ligne incomplète",IF(NOT(ISNUMBER(A3211)),"Date invalide",IF(AND(B3211&lt;&gt;"Entrée",B3211&lt;&gt;"Sortie"),"Type inconnu",IF(ISNA(MATCH(C3211,art_ref,0)),"Référence inconnue",IF(OR(NOT(ISNUMBER(E3211)),N(E3211)&lt;=0),"Quantité invalide",IF(K3211&lt;0,"Stock négatif",IF(AND(ISNUMBER(A3210),A3211&lt;A3210),"Date hors ordre","OK"))))))))</f>
        <v/>
      </c>
      <c r="M3211" s="39" t="str">
        <f>IF(C3211="","",C3211&amp;"#"&amp;COUNTIF($C$5:C3211,C3211))</f>
        <v/>
      </c>
    </row>
    <row r="3212">
      <c r="A3212" s="41" t="n"/>
      <c r="B3212" s="37" t="n"/>
      <c r="C3212" s="37" t="n"/>
      <c r="D3212" s="39" t="str">
        <f>IF(C3212="","",IFERROR(INDEX(art_des,MATCH(C3212,art_ref,0))&amp;"","Référence inconnue"))</f>
        <v/>
      </c>
      <c r="E3212" s="37" t="n"/>
      <c r="F3212" s="39" t="str">
        <f>IF(C3212="","",IFERROR(INDEX(art_unit,MATCH(C3212,art_ref,0))&amp;"",""))</f>
        <v/>
      </c>
      <c r="G3212" s="37" t="n"/>
      <c r="H3212" s="37" t="n"/>
      <c r="I3212" s="37" t="n"/>
      <c r="J3212" s="40" t="str">
        <f>IF(OR(C3212="",NOT(ISNUMBER(E3212))),"",IFERROR(E3212*N(INDEX(art_price,MATCH(C3212,art_ref,0))),""))</f>
        <v/>
      </c>
      <c r="K3212" s="39" t="str">
        <f>IF(OR(C3212="",NOT(ISNUMBER(E3212))),"",IFERROR(ROUND(N(INDEX(art_init,MATCH(C3212,art_ref,0)))+SUMIFS($E$5:E3212,$C$5:C3212,C3212,$B$5:B3212,"Entrée")-SUMIFS($E$5:E3212,$C$5:C3212,C3212,$B$5:B3212,"Sortie"),6),""))</f>
        <v/>
      </c>
      <c r="L3212" s="39" t="str">
        <f>IF(COUNTA(A3212:C3212,E3212)=0,"",IF(COUNTA(A3212:C3212,E3212)&lt;4,"Ligne incomplète",IF(NOT(ISNUMBER(A3212)),"Date invalide",IF(AND(B3212&lt;&gt;"Entrée",B3212&lt;&gt;"Sortie"),"Type inconnu",IF(ISNA(MATCH(C3212,art_ref,0)),"Référence inconnue",IF(OR(NOT(ISNUMBER(E3212)),N(E3212)&lt;=0),"Quantité invalide",IF(K3212&lt;0,"Stock négatif",IF(AND(ISNUMBER(A3211),A3212&lt;A3211),"Date hors ordre","OK"))))))))</f>
        <v/>
      </c>
      <c r="M3212" s="39" t="str">
        <f>IF(C3212="","",C3212&amp;"#"&amp;COUNTIF($C$5:C3212,C3212))</f>
        <v/>
      </c>
    </row>
    <row r="3213">
      <c r="A3213" s="41" t="n"/>
      <c r="B3213" s="37" t="n"/>
      <c r="C3213" s="37" t="n"/>
      <c r="D3213" s="39" t="str">
        <f>IF(C3213="","",IFERROR(INDEX(art_des,MATCH(C3213,art_ref,0))&amp;"","Référence inconnue"))</f>
        <v/>
      </c>
      <c r="E3213" s="37" t="n"/>
      <c r="F3213" s="39" t="str">
        <f>IF(C3213="","",IFERROR(INDEX(art_unit,MATCH(C3213,art_ref,0))&amp;"",""))</f>
        <v/>
      </c>
      <c r="G3213" s="37" t="n"/>
      <c r="H3213" s="37" t="n"/>
      <c r="I3213" s="37" t="n"/>
      <c r="J3213" s="40" t="str">
        <f>IF(OR(C3213="",NOT(ISNUMBER(E3213))),"",IFERROR(E3213*N(INDEX(art_price,MATCH(C3213,art_ref,0))),""))</f>
        <v/>
      </c>
      <c r="K3213" s="39" t="str">
        <f>IF(OR(C3213="",NOT(ISNUMBER(E3213))),"",IFERROR(ROUND(N(INDEX(art_init,MATCH(C3213,art_ref,0)))+SUMIFS($E$5:E3213,$C$5:C3213,C3213,$B$5:B3213,"Entrée")-SUMIFS($E$5:E3213,$C$5:C3213,C3213,$B$5:B3213,"Sortie"),6),""))</f>
        <v/>
      </c>
      <c r="L3213" s="39" t="str">
        <f>IF(COUNTA(A3213:C3213,E3213)=0,"",IF(COUNTA(A3213:C3213,E3213)&lt;4,"Ligne incomplète",IF(NOT(ISNUMBER(A3213)),"Date invalide",IF(AND(B3213&lt;&gt;"Entrée",B3213&lt;&gt;"Sortie"),"Type inconnu",IF(ISNA(MATCH(C3213,art_ref,0)),"Référence inconnue",IF(OR(NOT(ISNUMBER(E3213)),N(E3213)&lt;=0),"Quantité invalide",IF(K3213&lt;0,"Stock négatif",IF(AND(ISNUMBER(A3212),A3213&lt;A3212),"Date hors ordre","OK"))))))))</f>
        <v/>
      </c>
      <c r="M3213" s="39" t="str">
        <f>IF(C3213="","",C3213&amp;"#"&amp;COUNTIF($C$5:C3213,C3213))</f>
        <v/>
      </c>
    </row>
    <row r="3214">
      <c r="A3214" s="41" t="n"/>
      <c r="B3214" s="37" t="n"/>
      <c r="C3214" s="37" t="n"/>
      <c r="D3214" s="39" t="str">
        <f>IF(C3214="","",IFERROR(INDEX(art_des,MATCH(C3214,art_ref,0))&amp;"","Référence inconnue"))</f>
        <v/>
      </c>
      <c r="E3214" s="37" t="n"/>
      <c r="F3214" s="39" t="str">
        <f>IF(C3214="","",IFERROR(INDEX(art_unit,MATCH(C3214,art_ref,0))&amp;"",""))</f>
        <v/>
      </c>
      <c r="G3214" s="37" t="n"/>
      <c r="H3214" s="37" t="n"/>
      <c r="I3214" s="37" t="n"/>
      <c r="J3214" s="40" t="str">
        <f>IF(OR(C3214="",NOT(ISNUMBER(E3214))),"",IFERROR(E3214*N(INDEX(art_price,MATCH(C3214,art_ref,0))),""))</f>
        <v/>
      </c>
      <c r="K3214" s="39" t="str">
        <f>IF(OR(C3214="",NOT(ISNUMBER(E3214))),"",IFERROR(ROUND(N(INDEX(art_init,MATCH(C3214,art_ref,0)))+SUMIFS($E$5:E3214,$C$5:C3214,C3214,$B$5:B3214,"Entrée")-SUMIFS($E$5:E3214,$C$5:C3214,C3214,$B$5:B3214,"Sortie"),6),""))</f>
        <v/>
      </c>
      <c r="L3214" s="39" t="str">
        <f>IF(COUNTA(A3214:C3214,E3214)=0,"",IF(COUNTA(A3214:C3214,E3214)&lt;4,"Ligne incomplète",IF(NOT(ISNUMBER(A3214)),"Date invalide",IF(AND(B3214&lt;&gt;"Entrée",B3214&lt;&gt;"Sortie"),"Type inconnu",IF(ISNA(MATCH(C3214,art_ref,0)),"Référence inconnue",IF(OR(NOT(ISNUMBER(E3214)),N(E3214)&lt;=0),"Quantité invalide",IF(K3214&lt;0,"Stock négatif",IF(AND(ISNUMBER(A3213),A3214&lt;A3213),"Date hors ordre","OK"))))))))</f>
        <v/>
      </c>
      <c r="M3214" s="39" t="str">
        <f>IF(C3214="","",C3214&amp;"#"&amp;COUNTIF($C$5:C3214,C3214))</f>
        <v/>
      </c>
    </row>
    <row r="3215">
      <c r="A3215" s="41" t="n"/>
      <c r="B3215" s="37" t="n"/>
      <c r="C3215" s="37" t="n"/>
      <c r="D3215" s="39" t="str">
        <f>IF(C3215="","",IFERROR(INDEX(art_des,MATCH(C3215,art_ref,0))&amp;"","Référence inconnue"))</f>
        <v/>
      </c>
      <c r="E3215" s="37" t="n"/>
      <c r="F3215" s="39" t="str">
        <f>IF(C3215="","",IFERROR(INDEX(art_unit,MATCH(C3215,art_ref,0))&amp;"",""))</f>
        <v/>
      </c>
      <c r="G3215" s="37" t="n"/>
      <c r="H3215" s="37" t="n"/>
      <c r="I3215" s="37" t="n"/>
      <c r="J3215" s="40" t="str">
        <f>IF(OR(C3215="",NOT(ISNUMBER(E3215))),"",IFERROR(E3215*N(INDEX(art_price,MATCH(C3215,art_ref,0))),""))</f>
        <v/>
      </c>
      <c r="K3215" s="39" t="str">
        <f>IF(OR(C3215="",NOT(ISNUMBER(E3215))),"",IFERROR(ROUND(N(INDEX(art_init,MATCH(C3215,art_ref,0)))+SUMIFS($E$5:E3215,$C$5:C3215,C3215,$B$5:B3215,"Entrée")-SUMIFS($E$5:E3215,$C$5:C3215,C3215,$B$5:B3215,"Sortie"),6),""))</f>
        <v/>
      </c>
      <c r="L3215" s="39" t="str">
        <f>IF(COUNTA(A3215:C3215,E3215)=0,"",IF(COUNTA(A3215:C3215,E3215)&lt;4,"Ligne incomplète",IF(NOT(ISNUMBER(A3215)),"Date invalide",IF(AND(B3215&lt;&gt;"Entrée",B3215&lt;&gt;"Sortie"),"Type inconnu",IF(ISNA(MATCH(C3215,art_ref,0)),"Référence inconnue",IF(OR(NOT(ISNUMBER(E3215)),N(E3215)&lt;=0),"Quantité invalide",IF(K3215&lt;0,"Stock négatif",IF(AND(ISNUMBER(A3214),A3215&lt;A3214),"Date hors ordre","OK"))))))))</f>
        <v/>
      </c>
      <c r="M3215" s="39" t="str">
        <f>IF(C3215="","",C3215&amp;"#"&amp;COUNTIF($C$5:C3215,C3215))</f>
        <v/>
      </c>
    </row>
    <row r="3216">
      <c r="A3216" s="41" t="n"/>
      <c r="B3216" s="37" t="n"/>
      <c r="C3216" s="37" t="n"/>
      <c r="D3216" s="39" t="str">
        <f>IF(C3216="","",IFERROR(INDEX(art_des,MATCH(C3216,art_ref,0))&amp;"","Référence inconnue"))</f>
        <v/>
      </c>
      <c r="E3216" s="37" t="n"/>
      <c r="F3216" s="39" t="str">
        <f>IF(C3216="","",IFERROR(INDEX(art_unit,MATCH(C3216,art_ref,0))&amp;"",""))</f>
        <v/>
      </c>
      <c r="G3216" s="37" t="n"/>
      <c r="H3216" s="37" t="n"/>
      <c r="I3216" s="37" t="n"/>
      <c r="J3216" s="40" t="str">
        <f>IF(OR(C3216="",NOT(ISNUMBER(E3216))),"",IFERROR(E3216*N(INDEX(art_price,MATCH(C3216,art_ref,0))),""))</f>
        <v/>
      </c>
      <c r="K3216" s="39" t="str">
        <f>IF(OR(C3216="",NOT(ISNUMBER(E3216))),"",IFERROR(ROUND(N(INDEX(art_init,MATCH(C3216,art_ref,0)))+SUMIFS($E$5:E3216,$C$5:C3216,C3216,$B$5:B3216,"Entrée")-SUMIFS($E$5:E3216,$C$5:C3216,C3216,$B$5:B3216,"Sortie"),6),""))</f>
        <v/>
      </c>
      <c r="L3216" s="39" t="str">
        <f>IF(COUNTA(A3216:C3216,E3216)=0,"",IF(COUNTA(A3216:C3216,E3216)&lt;4,"Ligne incomplète",IF(NOT(ISNUMBER(A3216)),"Date invalide",IF(AND(B3216&lt;&gt;"Entrée",B3216&lt;&gt;"Sortie"),"Type inconnu",IF(ISNA(MATCH(C3216,art_ref,0)),"Référence inconnue",IF(OR(NOT(ISNUMBER(E3216)),N(E3216)&lt;=0),"Quantité invalide",IF(K3216&lt;0,"Stock négatif",IF(AND(ISNUMBER(A3215),A3216&lt;A3215),"Date hors ordre","OK"))))))))</f>
        <v/>
      </c>
      <c r="M3216" s="39" t="str">
        <f>IF(C3216="","",C3216&amp;"#"&amp;COUNTIF($C$5:C3216,C3216))</f>
        <v/>
      </c>
    </row>
    <row r="3217">
      <c r="A3217" s="41" t="n"/>
      <c r="B3217" s="37" t="n"/>
      <c r="C3217" s="37" t="n"/>
      <c r="D3217" s="39" t="str">
        <f>IF(C3217="","",IFERROR(INDEX(art_des,MATCH(C3217,art_ref,0))&amp;"","Référence inconnue"))</f>
        <v/>
      </c>
      <c r="E3217" s="37" t="n"/>
      <c r="F3217" s="39" t="str">
        <f>IF(C3217="","",IFERROR(INDEX(art_unit,MATCH(C3217,art_ref,0))&amp;"",""))</f>
        <v/>
      </c>
      <c r="G3217" s="37" t="n"/>
      <c r="H3217" s="37" t="n"/>
      <c r="I3217" s="37" t="n"/>
      <c r="J3217" s="40" t="str">
        <f>IF(OR(C3217="",NOT(ISNUMBER(E3217))),"",IFERROR(E3217*N(INDEX(art_price,MATCH(C3217,art_ref,0))),""))</f>
        <v/>
      </c>
      <c r="K3217" s="39" t="str">
        <f>IF(OR(C3217="",NOT(ISNUMBER(E3217))),"",IFERROR(ROUND(N(INDEX(art_init,MATCH(C3217,art_ref,0)))+SUMIFS($E$5:E3217,$C$5:C3217,C3217,$B$5:B3217,"Entrée")-SUMIFS($E$5:E3217,$C$5:C3217,C3217,$B$5:B3217,"Sortie"),6),""))</f>
        <v/>
      </c>
      <c r="L3217" s="39" t="str">
        <f>IF(COUNTA(A3217:C3217,E3217)=0,"",IF(COUNTA(A3217:C3217,E3217)&lt;4,"Ligne incomplète",IF(NOT(ISNUMBER(A3217)),"Date invalide",IF(AND(B3217&lt;&gt;"Entrée",B3217&lt;&gt;"Sortie"),"Type inconnu",IF(ISNA(MATCH(C3217,art_ref,0)),"Référence inconnue",IF(OR(NOT(ISNUMBER(E3217)),N(E3217)&lt;=0),"Quantité invalide",IF(K3217&lt;0,"Stock négatif",IF(AND(ISNUMBER(A3216),A3217&lt;A3216),"Date hors ordre","OK"))))))))</f>
        <v/>
      </c>
      <c r="M3217" s="39" t="str">
        <f>IF(C3217="","",C3217&amp;"#"&amp;COUNTIF($C$5:C3217,C3217))</f>
        <v/>
      </c>
    </row>
    <row r="3218">
      <c r="A3218" s="41" t="n"/>
      <c r="B3218" s="37" t="n"/>
      <c r="C3218" s="37" t="n"/>
      <c r="D3218" s="39" t="str">
        <f>IF(C3218="","",IFERROR(INDEX(art_des,MATCH(C3218,art_ref,0))&amp;"","Référence inconnue"))</f>
        <v/>
      </c>
      <c r="E3218" s="37" t="n"/>
      <c r="F3218" s="39" t="str">
        <f>IF(C3218="","",IFERROR(INDEX(art_unit,MATCH(C3218,art_ref,0))&amp;"",""))</f>
        <v/>
      </c>
      <c r="G3218" s="37" t="n"/>
      <c r="H3218" s="37" t="n"/>
      <c r="I3218" s="37" t="n"/>
      <c r="J3218" s="40" t="str">
        <f>IF(OR(C3218="",NOT(ISNUMBER(E3218))),"",IFERROR(E3218*N(INDEX(art_price,MATCH(C3218,art_ref,0))),""))</f>
        <v/>
      </c>
      <c r="K3218" s="39" t="str">
        <f>IF(OR(C3218="",NOT(ISNUMBER(E3218))),"",IFERROR(ROUND(N(INDEX(art_init,MATCH(C3218,art_ref,0)))+SUMIFS($E$5:E3218,$C$5:C3218,C3218,$B$5:B3218,"Entrée")-SUMIFS($E$5:E3218,$C$5:C3218,C3218,$B$5:B3218,"Sortie"),6),""))</f>
        <v/>
      </c>
      <c r="L3218" s="39" t="str">
        <f>IF(COUNTA(A3218:C3218,E3218)=0,"",IF(COUNTA(A3218:C3218,E3218)&lt;4,"Ligne incomplète",IF(NOT(ISNUMBER(A3218)),"Date invalide",IF(AND(B3218&lt;&gt;"Entrée",B3218&lt;&gt;"Sortie"),"Type inconnu",IF(ISNA(MATCH(C3218,art_ref,0)),"Référence inconnue",IF(OR(NOT(ISNUMBER(E3218)),N(E3218)&lt;=0),"Quantité invalide",IF(K3218&lt;0,"Stock négatif",IF(AND(ISNUMBER(A3217),A3218&lt;A3217),"Date hors ordre","OK"))))))))</f>
        <v/>
      </c>
      <c r="M3218" s="39" t="str">
        <f>IF(C3218="","",C3218&amp;"#"&amp;COUNTIF($C$5:C3218,C3218))</f>
        <v/>
      </c>
    </row>
    <row r="3219">
      <c r="A3219" s="41" t="n"/>
      <c r="B3219" s="37" t="n"/>
      <c r="C3219" s="37" t="n"/>
      <c r="D3219" s="39" t="str">
        <f>IF(C3219="","",IFERROR(INDEX(art_des,MATCH(C3219,art_ref,0))&amp;"","Référence inconnue"))</f>
        <v/>
      </c>
      <c r="E3219" s="37" t="n"/>
      <c r="F3219" s="39" t="str">
        <f>IF(C3219="","",IFERROR(INDEX(art_unit,MATCH(C3219,art_ref,0))&amp;"",""))</f>
        <v/>
      </c>
      <c r="G3219" s="37" t="n"/>
      <c r="H3219" s="37" t="n"/>
      <c r="I3219" s="37" t="n"/>
      <c r="J3219" s="40" t="str">
        <f>IF(OR(C3219="",NOT(ISNUMBER(E3219))),"",IFERROR(E3219*N(INDEX(art_price,MATCH(C3219,art_ref,0))),""))</f>
        <v/>
      </c>
      <c r="K3219" s="39" t="str">
        <f>IF(OR(C3219="",NOT(ISNUMBER(E3219))),"",IFERROR(ROUND(N(INDEX(art_init,MATCH(C3219,art_ref,0)))+SUMIFS($E$5:E3219,$C$5:C3219,C3219,$B$5:B3219,"Entrée")-SUMIFS($E$5:E3219,$C$5:C3219,C3219,$B$5:B3219,"Sortie"),6),""))</f>
        <v/>
      </c>
      <c r="L3219" s="39" t="str">
        <f>IF(COUNTA(A3219:C3219,E3219)=0,"",IF(COUNTA(A3219:C3219,E3219)&lt;4,"Ligne incomplète",IF(NOT(ISNUMBER(A3219)),"Date invalide",IF(AND(B3219&lt;&gt;"Entrée",B3219&lt;&gt;"Sortie"),"Type inconnu",IF(ISNA(MATCH(C3219,art_ref,0)),"Référence inconnue",IF(OR(NOT(ISNUMBER(E3219)),N(E3219)&lt;=0),"Quantité invalide",IF(K3219&lt;0,"Stock négatif",IF(AND(ISNUMBER(A3218),A3219&lt;A3218),"Date hors ordre","OK"))))))))</f>
        <v/>
      </c>
      <c r="M3219" s="39" t="str">
        <f>IF(C3219="","",C3219&amp;"#"&amp;COUNTIF($C$5:C3219,C3219))</f>
        <v/>
      </c>
    </row>
    <row r="3220">
      <c r="A3220" s="41" t="n"/>
      <c r="B3220" s="37" t="n"/>
      <c r="C3220" s="37" t="n"/>
      <c r="D3220" s="39" t="str">
        <f>IF(C3220="","",IFERROR(INDEX(art_des,MATCH(C3220,art_ref,0))&amp;"","Référence inconnue"))</f>
        <v/>
      </c>
      <c r="E3220" s="37" t="n"/>
      <c r="F3220" s="39" t="str">
        <f>IF(C3220="","",IFERROR(INDEX(art_unit,MATCH(C3220,art_ref,0))&amp;"",""))</f>
        <v/>
      </c>
      <c r="G3220" s="37" t="n"/>
      <c r="H3220" s="37" t="n"/>
      <c r="I3220" s="37" t="n"/>
      <c r="J3220" s="40" t="str">
        <f>IF(OR(C3220="",NOT(ISNUMBER(E3220))),"",IFERROR(E3220*N(INDEX(art_price,MATCH(C3220,art_ref,0))),""))</f>
        <v/>
      </c>
      <c r="K3220" s="39" t="str">
        <f>IF(OR(C3220="",NOT(ISNUMBER(E3220))),"",IFERROR(ROUND(N(INDEX(art_init,MATCH(C3220,art_ref,0)))+SUMIFS($E$5:E3220,$C$5:C3220,C3220,$B$5:B3220,"Entrée")-SUMIFS($E$5:E3220,$C$5:C3220,C3220,$B$5:B3220,"Sortie"),6),""))</f>
        <v/>
      </c>
      <c r="L3220" s="39" t="str">
        <f>IF(COUNTA(A3220:C3220,E3220)=0,"",IF(COUNTA(A3220:C3220,E3220)&lt;4,"Ligne incomplète",IF(NOT(ISNUMBER(A3220)),"Date invalide",IF(AND(B3220&lt;&gt;"Entrée",B3220&lt;&gt;"Sortie"),"Type inconnu",IF(ISNA(MATCH(C3220,art_ref,0)),"Référence inconnue",IF(OR(NOT(ISNUMBER(E3220)),N(E3220)&lt;=0),"Quantité invalide",IF(K3220&lt;0,"Stock négatif",IF(AND(ISNUMBER(A3219),A3220&lt;A3219),"Date hors ordre","OK"))))))))</f>
        <v/>
      </c>
      <c r="M3220" s="39" t="str">
        <f>IF(C3220="","",C3220&amp;"#"&amp;COUNTIF($C$5:C3220,C3220))</f>
        <v/>
      </c>
    </row>
    <row r="3221">
      <c r="A3221" s="41" t="n"/>
      <c r="B3221" s="37" t="n"/>
      <c r="C3221" s="37" t="n"/>
      <c r="D3221" s="39" t="str">
        <f>IF(C3221="","",IFERROR(INDEX(art_des,MATCH(C3221,art_ref,0))&amp;"","Référence inconnue"))</f>
        <v/>
      </c>
      <c r="E3221" s="37" t="n"/>
      <c r="F3221" s="39" t="str">
        <f>IF(C3221="","",IFERROR(INDEX(art_unit,MATCH(C3221,art_ref,0))&amp;"",""))</f>
        <v/>
      </c>
      <c r="G3221" s="37" t="n"/>
      <c r="H3221" s="37" t="n"/>
      <c r="I3221" s="37" t="n"/>
      <c r="J3221" s="40" t="str">
        <f>IF(OR(C3221="",NOT(ISNUMBER(E3221))),"",IFERROR(E3221*N(INDEX(art_price,MATCH(C3221,art_ref,0))),""))</f>
        <v/>
      </c>
      <c r="K3221" s="39" t="str">
        <f>IF(OR(C3221="",NOT(ISNUMBER(E3221))),"",IFERROR(ROUND(N(INDEX(art_init,MATCH(C3221,art_ref,0)))+SUMIFS($E$5:E3221,$C$5:C3221,C3221,$B$5:B3221,"Entrée")-SUMIFS($E$5:E3221,$C$5:C3221,C3221,$B$5:B3221,"Sortie"),6),""))</f>
        <v/>
      </c>
      <c r="L3221" s="39" t="str">
        <f>IF(COUNTA(A3221:C3221,E3221)=0,"",IF(COUNTA(A3221:C3221,E3221)&lt;4,"Ligne incomplète",IF(NOT(ISNUMBER(A3221)),"Date invalide",IF(AND(B3221&lt;&gt;"Entrée",B3221&lt;&gt;"Sortie"),"Type inconnu",IF(ISNA(MATCH(C3221,art_ref,0)),"Référence inconnue",IF(OR(NOT(ISNUMBER(E3221)),N(E3221)&lt;=0),"Quantité invalide",IF(K3221&lt;0,"Stock négatif",IF(AND(ISNUMBER(A3220),A3221&lt;A3220),"Date hors ordre","OK"))))))))</f>
        <v/>
      </c>
      <c r="M3221" s="39" t="str">
        <f>IF(C3221="","",C3221&amp;"#"&amp;COUNTIF($C$5:C3221,C3221))</f>
        <v/>
      </c>
    </row>
    <row r="3222">
      <c r="A3222" s="41" t="n"/>
      <c r="B3222" s="37" t="n"/>
      <c r="C3222" s="37" t="n"/>
      <c r="D3222" s="39" t="str">
        <f>IF(C3222="","",IFERROR(INDEX(art_des,MATCH(C3222,art_ref,0))&amp;"","Référence inconnue"))</f>
        <v/>
      </c>
      <c r="E3222" s="37" t="n"/>
      <c r="F3222" s="39" t="str">
        <f>IF(C3222="","",IFERROR(INDEX(art_unit,MATCH(C3222,art_ref,0))&amp;"",""))</f>
        <v/>
      </c>
      <c r="G3222" s="37" t="n"/>
      <c r="H3222" s="37" t="n"/>
      <c r="I3222" s="37" t="n"/>
      <c r="J3222" s="40" t="str">
        <f>IF(OR(C3222="",NOT(ISNUMBER(E3222))),"",IFERROR(E3222*N(INDEX(art_price,MATCH(C3222,art_ref,0))),""))</f>
        <v/>
      </c>
      <c r="K3222" s="39" t="str">
        <f>IF(OR(C3222="",NOT(ISNUMBER(E3222))),"",IFERROR(ROUND(N(INDEX(art_init,MATCH(C3222,art_ref,0)))+SUMIFS($E$5:E3222,$C$5:C3222,C3222,$B$5:B3222,"Entrée")-SUMIFS($E$5:E3222,$C$5:C3222,C3222,$B$5:B3222,"Sortie"),6),""))</f>
        <v/>
      </c>
      <c r="L3222" s="39" t="str">
        <f>IF(COUNTA(A3222:C3222,E3222)=0,"",IF(COUNTA(A3222:C3222,E3222)&lt;4,"Ligne incomplète",IF(NOT(ISNUMBER(A3222)),"Date invalide",IF(AND(B3222&lt;&gt;"Entrée",B3222&lt;&gt;"Sortie"),"Type inconnu",IF(ISNA(MATCH(C3222,art_ref,0)),"Référence inconnue",IF(OR(NOT(ISNUMBER(E3222)),N(E3222)&lt;=0),"Quantité invalide",IF(K3222&lt;0,"Stock négatif",IF(AND(ISNUMBER(A3221),A3222&lt;A3221),"Date hors ordre","OK"))))))))</f>
        <v/>
      </c>
      <c r="M3222" s="39" t="str">
        <f>IF(C3222="","",C3222&amp;"#"&amp;COUNTIF($C$5:C3222,C3222))</f>
        <v/>
      </c>
    </row>
    <row r="3223">
      <c r="A3223" s="41" t="n"/>
      <c r="B3223" s="37" t="n"/>
      <c r="C3223" s="37" t="n"/>
      <c r="D3223" s="39" t="str">
        <f>IF(C3223="","",IFERROR(INDEX(art_des,MATCH(C3223,art_ref,0))&amp;"","Référence inconnue"))</f>
        <v/>
      </c>
      <c r="E3223" s="37" t="n"/>
      <c r="F3223" s="39" t="str">
        <f>IF(C3223="","",IFERROR(INDEX(art_unit,MATCH(C3223,art_ref,0))&amp;"",""))</f>
        <v/>
      </c>
      <c r="G3223" s="37" t="n"/>
      <c r="H3223" s="37" t="n"/>
      <c r="I3223" s="37" t="n"/>
      <c r="J3223" s="40" t="str">
        <f>IF(OR(C3223="",NOT(ISNUMBER(E3223))),"",IFERROR(E3223*N(INDEX(art_price,MATCH(C3223,art_ref,0))),""))</f>
        <v/>
      </c>
      <c r="K3223" s="39" t="str">
        <f>IF(OR(C3223="",NOT(ISNUMBER(E3223))),"",IFERROR(ROUND(N(INDEX(art_init,MATCH(C3223,art_ref,0)))+SUMIFS($E$5:E3223,$C$5:C3223,C3223,$B$5:B3223,"Entrée")-SUMIFS($E$5:E3223,$C$5:C3223,C3223,$B$5:B3223,"Sortie"),6),""))</f>
        <v/>
      </c>
      <c r="L3223" s="39" t="str">
        <f>IF(COUNTA(A3223:C3223,E3223)=0,"",IF(COUNTA(A3223:C3223,E3223)&lt;4,"Ligne incomplète",IF(NOT(ISNUMBER(A3223)),"Date invalide",IF(AND(B3223&lt;&gt;"Entrée",B3223&lt;&gt;"Sortie"),"Type inconnu",IF(ISNA(MATCH(C3223,art_ref,0)),"Référence inconnue",IF(OR(NOT(ISNUMBER(E3223)),N(E3223)&lt;=0),"Quantité invalide",IF(K3223&lt;0,"Stock négatif",IF(AND(ISNUMBER(A3222),A3223&lt;A3222),"Date hors ordre","OK"))))))))</f>
        <v/>
      </c>
      <c r="M3223" s="39" t="str">
        <f>IF(C3223="","",C3223&amp;"#"&amp;COUNTIF($C$5:C3223,C3223))</f>
        <v/>
      </c>
    </row>
    <row r="3224">
      <c r="A3224" s="41" t="n"/>
      <c r="B3224" s="37" t="n"/>
      <c r="C3224" s="37" t="n"/>
      <c r="D3224" s="39" t="str">
        <f>IF(C3224="","",IFERROR(INDEX(art_des,MATCH(C3224,art_ref,0))&amp;"","Référence inconnue"))</f>
        <v/>
      </c>
      <c r="E3224" s="37" t="n"/>
      <c r="F3224" s="39" t="str">
        <f>IF(C3224="","",IFERROR(INDEX(art_unit,MATCH(C3224,art_ref,0))&amp;"",""))</f>
        <v/>
      </c>
      <c r="G3224" s="37" t="n"/>
      <c r="H3224" s="37" t="n"/>
      <c r="I3224" s="37" t="n"/>
      <c r="J3224" s="40" t="str">
        <f>IF(OR(C3224="",NOT(ISNUMBER(E3224))),"",IFERROR(E3224*N(INDEX(art_price,MATCH(C3224,art_ref,0))),""))</f>
        <v/>
      </c>
      <c r="K3224" s="39" t="str">
        <f>IF(OR(C3224="",NOT(ISNUMBER(E3224))),"",IFERROR(ROUND(N(INDEX(art_init,MATCH(C3224,art_ref,0)))+SUMIFS($E$5:E3224,$C$5:C3224,C3224,$B$5:B3224,"Entrée")-SUMIFS($E$5:E3224,$C$5:C3224,C3224,$B$5:B3224,"Sortie"),6),""))</f>
        <v/>
      </c>
      <c r="L3224" s="39" t="str">
        <f>IF(COUNTA(A3224:C3224,E3224)=0,"",IF(COUNTA(A3224:C3224,E3224)&lt;4,"Ligne incomplète",IF(NOT(ISNUMBER(A3224)),"Date invalide",IF(AND(B3224&lt;&gt;"Entrée",B3224&lt;&gt;"Sortie"),"Type inconnu",IF(ISNA(MATCH(C3224,art_ref,0)),"Référence inconnue",IF(OR(NOT(ISNUMBER(E3224)),N(E3224)&lt;=0),"Quantité invalide",IF(K3224&lt;0,"Stock négatif",IF(AND(ISNUMBER(A3223),A3224&lt;A3223),"Date hors ordre","OK"))))))))</f>
        <v/>
      </c>
      <c r="M3224" s="39" t="str">
        <f>IF(C3224="","",C3224&amp;"#"&amp;COUNTIF($C$5:C3224,C3224))</f>
        <v/>
      </c>
    </row>
    <row r="3225">
      <c r="A3225" s="41" t="n"/>
      <c r="B3225" s="37" t="n"/>
      <c r="C3225" s="37" t="n"/>
      <c r="D3225" s="39" t="str">
        <f>IF(C3225="","",IFERROR(INDEX(art_des,MATCH(C3225,art_ref,0))&amp;"","Référence inconnue"))</f>
        <v/>
      </c>
      <c r="E3225" s="37" t="n"/>
      <c r="F3225" s="39" t="str">
        <f>IF(C3225="","",IFERROR(INDEX(art_unit,MATCH(C3225,art_ref,0))&amp;"",""))</f>
        <v/>
      </c>
      <c r="G3225" s="37" t="n"/>
      <c r="H3225" s="37" t="n"/>
      <c r="I3225" s="37" t="n"/>
      <c r="J3225" s="40" t="str">
        <f>IF(OR(C3225="",NOT(ISNUMBER(E3225))),"",IFERROR(E3225*N(INDEX(art_price,MATCH(C3225,art_ref,0))),""))</f>
        <v/>
      </c>
      <c r="K3225" s="39" t="str">
        <f>IF(OR(C3225="",NOT(ISNUMBER(E3225))),"",IFERROR(ROUND(N(INDEX(art_init,MATCH(C3225,art_ref,0)))+SUMIFS($E$5:E3225,$C$5:C3225,C3225,$B$5:B3225,"Entrée")-SUMIFS($E$5:E3225,$C$5:C3225,C3225,$B$5:B3225,"Sortie"),6),""))</f>
        <v/>
      </c>
      <c r="L3225" s="39" t="str">
        <f>IF(COUNTA(A3225:C3225,E3225)=0,"",IF(COUNTA(A3225:C3225,E3225)&lt;4,"Ligne incomplète",IF(NOT(ISNUMBER(A3225)),"Date invalide",IF(AND(B3225&lt;&gt;"Entrée",B3225&lt;&gt;"Sortie"),"Type inconnu",IF(ISNA(MATCH(C3225,art_ref,0)),"Référence inconnue",IF(OR(NOT(ISNUMBER(E3225)),N(E3225)&lt;=0),"Quantité invalide",IF(K3225&lt;0,"Stock négatif",IF(AND(ISNUMBER(A3224),A3225&lt;A3224),"Date hors ordre","OK"))))))))</f>
        <v/>
      </c>
      <c r="M3225" s="39" t="str">
        <f>IF(C3225="","",C3225&amp;"#"&amp;COUNTIF($C$5:C3225,C3225))</f>
        <v/>
      </c>
    </row>
    <row r="3226">
      <c r="A3226" s="41" t="n"/>
      <c r="B3226" s="37" t="n"/>
      <c r="C3226" s="37" t="n"/>
      <c r="D3226" s="39" t="str">
        <f>IF(C3226="","",IFERROR(INDEX(art_des,MATCH(C3226,art_ref,0))&amp;"","Référence inconnue"))</f>
        <v/>
      </c>
      <c r="E3226" s="37" t="n"/>
      <c r="F3226" s="39" t="str">
        <f>IF(C3226="","",IFERROR(INDEX(art_unit,MATCH(C3226,art_ref,0))&amp;"",""))</f>
        <v/>
      </c>
      <c r="G3226" s="37" t="n"/>
      <c r="H3226" s="37" t="n"/>
      <c r="I3226" s="37" t="n"/>
      <c r="J3226" s="40" t="str">
        <f>IF(OR(C3226="",NOT(ISNUMBER(E3226))),"",IFERROR(E3226*N(INDEX(art_price,MATCH(C3226,art_ref,0))),""))</f>
        <v/>
      </c>
      <c r="K3226" s="39" t="str">
        <f>IF(OR(C3226="",NOT(ISNUMBER(E3226))),"",IFERROR(ROUND(N(INDEX(art_init,MATCH(C3226,art_ref,0)))+SUMIFS($E$5:E3226,$C$5:C3226,C3226,$B$5:B3226,"Entrée")-SUMIFS($E$5:E3226,$C$5:C3226,C3226,$B$5:B3226,"Sortie"),6),""))</f>
        <v/>
      </c>
      <c r="L3226" s="39" t="str">
        <f>IF(COUNTA(A3226:C3226,E3226)=0,"",IF(COUNTA(A3226:C3226,E3226)&lt;4,"Ligne incomplète",IF(NOT(ISNUMBER(A3226)),"Date invalide",IF(AND(B3226&lt;&gt;"Entrée",B3226&lt;&gt;"Sortie"),"Type inconnu",IF(ISNA(MATCH(C3226,art_ref,0)),"Référence inconnue",IF(OR(NOT(ISNUMBER(E3226)),N(E3226)&lt;=0),"Quantité invalide",IF(K3226&lt;0,"Stock négatif",IF(AND(ISNUMBER(A3225),A3226&lt;A3225),"Date hors ordre","OK"))))))))</f>
        <v/>
      </c>
      <c r="M3226" s="39" t="str">
        <f>IF(C3226="","",C3226&amp;"#"&amp;COUNTIF($C$5:C3226,C3226))</f>
        <v/>
      </c>
    </row>
    <row r="3227">
      <c r="A3227" s="41" t="n"/>
      <c r="B3227" s="37" t="n"/>
      <c r="C3227" s="37" t="n"/>
      <c r="D3227" s="39" t="str">
        <f>IF(C3227="","",IFERROR(INDEX(art_des,MATCH(C3227,art_ref,0))&amp;"","Référence inconnue"))</f>
        <v/>
      </c>
      <c r="E3227" s="37" t="n"/>
      <c r="F3227" s="39" t="str">
        <f>IF(C3227="","",IFERROR(INDEX(art_unit,MATCH(C3227,art_ref,0))&amp;"",""))</f>
        <v/>
      </c>
      <c r="G3227" s="37" t="n"/>
      <c r="H3227" s="37" t="n"/>
      <c r="I3227" s="37" t="n"/>
      <c r="J3227" s="40" t="str">
        <f>IF(OR(C3227="",NOT(ISNUMBER(E3227))),"",IFERROR(E3227*N(INDEX(art_price,MATCH(C3227,art_ref,0))),""))</f>
        <v/>
      </c>
      <c r="K3227" s="39" t="str">
        <f>IF(OR(C3227="",NOT(ISNUMBER(E3227))),"",IFERROR(ROUND(N(INDEX(art_init,MATCH(C3227,art_ref,0)))+SUMIFS($E$5:E3227,$C$5:C3227,C3227,$B$5:B3227,"Entrée")-SUMIFS($E$5:E3227,$C$5:C3227,C3227,$B$5:B3227,"Sortie"),6),""))</f>
        <v/>
      </c>
      <c r="L3227" s="39" t="str">
        <f>IF(COUNTA(A3227:C3227,E3227)=0,"",IF(COUNTA(A3227:C3227,E3227)&lt;4,"Ligne incomplète",IF(NOT(ISNUMBER(A3227)),"Date invalide",IF(AND(B3227&lt;&gt;"Entrée",B3227&lt;&gt;"Sortie"),"Type inconnu",IF(ISNA(MATCH(C3227,art_ref,0)),"Référence inconnue",IF(OR(NOT(ISNUMBER(E3227)),N(E3227)&lt;=0),"Quantité invalide",IF(K3227&lt;0,"Stock négatif",IF(AND(ISNUMBER(A3226),A3227&lt;A3226),"Date hors ordre","OK"))))))))</f>
        <v/>
      </c>
      <c r="M3227" s="39" t="str">
        <f>IF(C3227="","",C3227&amp;"#"&amp;COUNTIF($C$5:C3227,C3227))</f>
        <v/>
      </c>
    </row>
    <row r="3228">
      <c r="A3228" s="41" t="n"/>
      <c r="B3228" s="37" t="n"/>
      <c r="C3228" s="37" t="n"/>
      <c r="D3228" s="39" t="str">
        <f>IF(C3228="","",IFERROR(INDEX(art_des,MATCH(C3228,art_ref,0))&amp;"","Référence inconnue"))</f>
        <v/>
      </c>
      <c r="E3228" s="37" t="n"/>
      <c r="F3228" s="39" t="str">
        <f>IF(C3228="","",IFERROR(INDEX(art_unit,MATCH(C3228,art_ref,0))&amp;"",""))</f>
        <v/>
      </c>
      <c r="G3228" s="37" t="n"/>
      <c r="H3228" s="37" t="n"/>
      <c r="I3228" s="37" t="n"/>
      <c r="J3228" s="40" t="str">
        <f>IF(OR(C3228="",NOT(ISNUMBER(E3228))),"",IFERROR(E3228*N(INDEX(art_price,MATCH(C3228,art_ref,0))),""))</f>
        <v/>
      </c>
      <c r="K3228" s="39" t="str">
        <f>IF(OR(C3228="",NOT(ISNUMBER(E3228))),"",IFERROR(ROUND(N(INDEX(art_init,MATCH(C3228,art_ref,0)))+SUMIFS($E$5:E3228,$C$5:C3228,C3228,$B$5:B3228,"Entrée")-SUMIFS($E$5:E3228,$C$5:C3228,C3228,$B$5:B3228,"Sortie"),6),""))</f>
        <v/>
      </c>
      <c r="L3228" s="39" t="str">
        <f>IF(COUNTA(A3228:C3228,E3228)=0,"",IF(COUNTA(A3228:C3228,E3228)&lt;4,"Ligne incomplète",IF(NOT(ISNUMBER(A3228)),"Date invalide",IF(AND(B3228&lt;&gt;"Entrée",B3228&lt;&gt;"Sortie"),"Type inconnu",IF(ISNA(MATCH(C3228,art_ref,0)),"Référence inconnue",IF(OR(NOT(ISNUMBER(E3228)),N(E3228)&lt;=0),"Quantité invalide",IF(K3228&lt;0,"Stock négatif",IF(AND(ISNUMBER(A3227),A3228&lt;A3227),"Date hors ordre","OK"))))))))</f>
        <v/>
      </c>
      <c r="M3228" s="39" t="str">
        <f>IF(C3228="","",C3228&amp;"#"&amp;COUNTIF($C$5:C3228,C3228))</f>
        <v/>
      </c>
    </row>
    <row r="3229">
      <c r="A3229" s="41" t="n"/>
      <c r="B3229" s="37" t="n"/>
      <c r="C3229" s="37" t="n"/>
      <c r="D3229" s="39" t="str">
        <f>IF(C3229="","",IFERROR(INDEX(art_des,MATCH(C3229,art_ref,0))&amp;"","Référence inconnue"))</f>
        <v/>
      </c>
      <c r="E3229" s="37" t="n"/>
      <c r="F3229" s="39" t="str">
        <f>IF(C3229="","",IFERROR(INDEX(art_unit,MATCH(C3229,art_ref,0))&amp;"",""))</f>
        <v/>
      </c>
      <c r="G3229" s="37" t="n"/>
      <c r="H3229" s="37" t="n"/>
      <c r="I3229" s="37" t="n"/>
      <c r="J3229" s="40" t="str">
        <f>IF(OR(C3229="",NOT(ISNUMBER(E3229))),"",IFERROR(E3229*N(INDEX(art_price,MATCH(C3229,art_ref,0))),""))</f>
        <v/>
      </c>
      <c r="K3229" s="39" t="str">
        <f>IF(OR(C3229="",NOT(ISNUMBER(E3229))),"",IFERROR(ROUND(N(INDEX(art_init,MATCH(C3229,art_ref,0)))+SUMIFS($E$5:E3229,$C$5:C3229,C3229,$B$5:B3229,"Entrée")-SUMIFS($E$5:E3229,$C$5:C3229,C3229,$B$5:B3229,"Sortie"),6),""))</f>
        <v/>
      </c>
      <c r="L3229" s="39" t="str">
        <f>IF(COUNTA(A3229:C3229,E3229)=0,"",IF(COUNTA(A3229:C3229,E3229)&lt;4,"Ligne incomplète",IF(NOT(ISNUMBER(A3229)),"Date invalide",IF(AND(B3229&lt;&gt;"Entrée",B3229&lt;&gt;"Sortie"),"Type inconnu",IF(ISNA(MATCH(C3229,art_ref,0)),"Référence inconnue",IF(OR(NOT(ISNUMBER(E3229)),N(E3229)&lt;=0),"Quantité invalide",IF(K3229&lt;0,"Stock négatif",IF(AND(ISNUMBER(A3228),A3229&lt;A3228),"Date hors ordre","OK"))))))))</f>
        <v/>
      </c>
      <c r="M3229" s="39" t="str">
        <f>IF(C3229="","",C3229&amp;"#"&amp;COUNTIF($C$5:C3229,C3229))</f>
        <v/>
      </c>
    </row>
    <row r="3230">
      <c r="A3230" s="41" t="n"/>
      <c r="B3230" s="37" t="n"/>
      <c r="C3230" s="37" t="n"/>
      <c r="D3230" s="39" t="str">
        <f>IF(C3230="","",IFERROR(INDEX(art_des,MATCH(C3230,art_ref,0))&amp;"","Référence inconnue"))</f>
        <v/>
      </c>
      <c r="E3230" s="37" t="n"/>
      <c r="F3230" s="39" t="str">
        <f>IF(C3230="","",IFERROR(INDEX(art_unit,MATCH(C3230,art_ref,0))&amp;"",""))</f>
        <v/>
      </c>
      <c r="G3230" s="37" t="n"/>
      <c r="H3230" s="37" t="n"/>
      <c r="I3230" s="37" t="n"/>
      <c r="J3230" s="40" t="str">
        <f>IF(OR(C3230="",NOT(ISNUMBER(E3230))),"",IFERROR(E3230*N(INDEX(art_price,MATCH(C3230,art_ref,0))),""))</f>
        <v/>
      </c>
      <c r="K3230" s="39" t="str">
        <f>IF(OR(C3230="",NOT(ISNUMBER(E3230))),"",IFERROR(ROUND(N(INDEX(art_init,MATCH(C3230,art_ref,0)))+SUMIFS($E$5:E3230,$C$5:C3230,C3230,$B$5:B3230,"Entrée")-SUMIFS($E$5:E3230,$C$5:C3230,C3230,$B$5:B3230,"Sortie"),6),""))</f>
        <v/>
      </c>
      <c r="L3230" s="39" t="str">
        <f>IF(COUNTA(A3230:C3230,E3230)=0,"",IF(COUNTA(A3230:C3230,E3230)&lt;4,"Ligne incomplète",IF(NOT(ISNUMBER(A3230)),"Date invalide",IF(AND(B3230&lt;&gt;"Entrée",B3230&lt;&gt;"Sortie"),"Type inconnu",IF(ISNA(MATCH(C3230,art_ref,0)),"Référence inconnue",IF(OR(NOT(ISNUMBER(E3230)),N(E3230)&lt;=0),"Quantité invalide",IF(K3230&lt;0,"Stock négatif",IF(AND(ISNUMBER(A3229),A3230&lt;A3229),"Date hors ordre","OK"))))))))</f>
        <v/>
      </c>
      <c r="M3230" s="39" t="str">
        <f>IF(C3230="","",C3230&amp;"#"&amp;COUNTIF($C$5:C3230,C3230))</f>
        <v/>
      </c>
    </row>
    <row r="3231">
      <c r="A3231" s="41" t="n"/>
      <c r="B3231" s="37" t="n"/>
      <c r="C3231" s="37" t="n"/>
      <c r="D3231" s="39" t="str">
        <f>IF(C3231="","",IFERROR(INDEX(art_des,MATCH(C3231,art_ref,0))&amp;"","Référence inconnue"))</f>
        <v/>
      </c>
      <c r="E3231" s="37" t="n"/>
      <c r="F3231" s="39" t="str">
        <f>IF(C3231="","",IFERROR(INDEX(art_unit,MATCH(C3231,art_ref,0))&amp;"",""))</f>
        <v/>
      </c>
      <c r="G3231" s="37" t="n"/>
      <c r="H3231" s="37" t="n"/>
      <c r="I3231" s="37" t="n"/>
      <c r="J3231" s="40" t="str">
        <f>IF(OR(C3231="",NOT(ISNUMBER(E3231))),"",IFERROR(E3231*N(INDEX(art_price,MATCH(C3231,art_ref,0))),""))</f>
        <v/>
      </c>
      <c r="K3231" s="39" t="str">
        <f>IF(OR(C3231="",NOT(ISNUMBER(E3231))),"",IFERROR(ROUND(N(INDEX(art_init,MATCH(C3231,art_ref,0)))+SUMIFS($E$5:E3231,$C$5:C3231,C3231,$B$5:B3231,"Entrée")-SUMIFS($E$5:E3231,$C$5:C3231,C3231,$B$5:B3231,"Sortie"),6),""))</f>
        <v/>
      </c>
      <c r="L3231" s="39" t="str">
        <f>IF(COUNTA(A3231:C3231,E3231)=0,"",IF(COUNTA(A3231:C3231,E3231)&lt;4,"Ligne incomplète",IF(NOT(ISNUMBER(A3231)),"Date invalide",IF(AND(B3231&lt;&gt;"Entrée",B3231&lt;&gt;"Sortie"),"Type inconnu",IF(ISNA(MATCH(C3231,art_ref,0)),"Référence inconnue",IF(OR(NOT(ISNUMBER(E3231)),N(E3231)&lt;=0),"Quantité invalide",IF(K3231&lt;0,"Stock négatif",IF(AND(ISNUMBER(A3230),A3231&lt;A3230),"Date hors ordre","OK"))))))))</f>
        <v/>
      </c>
      <c r="M3231" s="39" t="str">
        <f>IF(C3231="","",C3231&amp;"#"&amp;COUNTIF($C$5:C3231,C3231))</f>
        <v/>
      </c>
    </row>
    <row r="3232">
      <c r="A3232" s="41" t="n"/>
      <c r="B3232" s="37" t="n"/>
      <c r="C3232" s="37" t="n"/>
      <c r="D3232" s="39" t="str">
        <f>IF(C3232="","",IFERROR(INDEX(art_des,MATCH(C3232,art_ref,0))&amp;"","Référence inconnue"))</f>
        <v/>
      </c>
      <c r="E3232" s="37" t="n"/>
      <c r="F3232" s="39" t="str">
        <f>IF(C3232="","",IFERROR(INDEX(art_unit,MATCH(C3232,art_ref,0))&amp;"",""))</f>
        <v/>
      </c>
      <c r="G3232" s="37" t="n"/>
      <c r="H3232" s="37" t="n"/>
      <c r="I3232" s="37" t="n"/>
      <c r="J3232" s="40" t="str">
        <f>IF(OR(C3232="",NOT(ISNUMBER(E3232))),"",IFERROR(E3232*N(INDEX(art_price,MATCH(C3232,art_ref,0))),""))</f>
        <v/>
      </c>
      <c r="K3232" s="39" t="str">
        <f>IF(OR(C3232="",NOT(ISNUMBER(E3232))),"",IFERROR(ROUND(N(INDEX(art_init,MATCH(C3232,art_ref,0)))+SUMIFS($E$5:E3232,$C$5:C3232,C3232,$B$5:B3232,"Entrée")-SUMIFS($E$5:E3232,$C$5:C3232,C3232,$B$5:B3232,"Sortie"),6),""))</f>
        <v/>
      </c>
      <c r="L3232" s="39" t="str">
        <f>IF(COUNTA(A3232:C3232,E3232)=0,"",IF(COUNTA(A3232:C3232,E3232)&lt;4,"Ligne incomplète",IF(NOT(ISNUMBER(A3232)),"Date invalide",IF(AND(B3232&lt;&gt;"Entrée",B3232&lt;&gt;"Sortie"),"Type inconnu",IF(ISNA(MATCH(C3232,art_ref,0)),"Référence inconnue",IF(OR(NOT(ISNUMBER(E3232)),N(E3232)&lt;=0),"Quantité invalide",IF(K3232&lt;0,"Stock négatif",IF(AND(ISNUMBER(A3231),A3232&lt;A3231),"Date hors ordre","OK"))))))))</f>
        <v/>
      </c>
      <c r="M3232" s="39" t="str">
        <f>IF(C3232="","",C3232&amp;"#"&amp;COUNTIF($C$5:C3232,C3232))</f>
        <v/>
      </c>
    </row>
    <row r="3233">
      <c r="A3233" s="41" t="n"/>
      <c r="B3233" s="37" t="n"/>
      <c r="C3233" s="37" t="n"/>
      <c r="D3233" s="39" t="str">
        <f>IF(C3233="","",IFERROR(INDEX(art_des,MATCH(C3233,art_ref,0))&amp;"","Référence inconnue"))</f>
        <v/>
      </c>
      <c r="E3233" s="37" t="n"/>
      <c r="F3233" s="39" t="str">
        <f>IF(C3233="","",IFERROR(INDEX(art_unit,MATCH(C3233,art_ref,0))&amp;"",""))</f>
        <v/>
      </c>
      <c r="G3233" s="37" t="n"/>
      <c r="H3233" s="37" t="n"/>
      <c r="I3233" s="37" t="n"/>
      <c r="J3233" s="40" t="str">
        <f>IF(OR(C3233="",NOT(ISNUMBER(E3233))),"",IFERROR(E3233*N(INDEX(art_price,MATCH(C3233,art_ref,0))),""))</f>
        <v/>
      </c>
      <c r="K3233" s="39" t="str">
        <f>IF(OR(C3233="",NOT(ISNUMBER(E3233))),"",IFERROR(ROUND(N(INDEX(art_init,MATCH(C3233,art_ref,0)))+SUMIFS($E$5:E3233,$C$5:C3233,C3233,$B$5:B3233,"Entrée")-SUMIFS($E$5:E3233,$C$5:C3233,C3233,$B$5:B3233,"Sortie"),6),""))</f>
        <v/>
      </c>
      <c r="L3233" s="39" t="str">
        <f>IF(COUNTA(A3233:C3233,E3233)=0,"",IF(COUNTA(A3233:C3233,E3233)&lt;4,"Ligne incomplète",IF(NOT(ISNUMBER(A3233)),"Date invalide",IF(AND(B3233&lt;&gt;"Entrée",B3233&lt;&gt;"Sortie"),"Type inconnu",IF(ISNA(MATCH(C3233,art_ref,0)),"Référence inconnue",IF(OR(NOT(ISNUMBER(E3233)),N(E3233)&lt;=0),"Quantité invalide",IF(K3233&lt;0,"Stock négatif",IF(AND(ISNUMBER(A3232),A3233&lt;A3232),"Date hors ordre","OK"))))))))</f>
        <v/>
      </c>
      <c r="M3233" s="39" t="str">
        <f>IF(C3233="","",C3233&amp;"#"&amp;COUNTIF($C$5:C3233,C3233))</f>
        <v/>
      </c>
    </row>
    <row r="3234">
      <c r="A3234" s="41" t="n"/>
      <c r="B3234" s="37" t="n"/>
      <c r="C3234" s="37" t="n"/>
      <c r="D3234" s="39" t="str">
        <f>IF(C3234="","",IFERROR(INDEX(art_des,MATCH(C3234,art_ref,0))&amp;"","Référence inconnue"))</f>
        <v/>
      </c>
      <c r="E3234" s="37" t="n"/>
      <c r="F3234" s="39" t="str">
        <f>IF(C3234="","",IFERROR(INDEX(art_unit,MATCH(C3234,art_ref,0))&amp;"",""))</f>
        <v/>
      </c>
      <c r="G3234" s="37" t="n"/>
      <c r="H3234" s="37" t="n"/>
      <c r="I3234" s="37" t="n"/>
      <c r="J3234" s="40" t="str">
        <f>IF(OR(C3234="",NOT(ISNUMBER(E3234))),"",IFERROR(E3234*N(INDEX(art_price,MATCH(C3234,art_ref,0))),""))</f>
        <v/>
      </c>
      <c r="K3234" s="39" t="str">
        <f>IF(OR(C3234="",NOT(ISNUMBER(E3234))),"",IFERROR(ROUND(N(INDEX(art_init,MATCH(C3234,art_ref,0)))+SUMIFS($E$5:E3234,$C$5:C3234,C3234,$B$5:B3234,"Entrée")-SUMIFS($E$5:E3234,$C$5:C3234,C3234,$B$5:B3234,"Sortie"),6),""))</f>
        <v/>
      </c>
      <c r="L3234" s="39" t="str">
        <f>IF(COUNTA(A3234:C3234,E3234)=0,"",IF(COUNTA(A3234:C3234,E3234)&lt;4,"Ligne incomplète",IF(NOT(ISNUMBER(A3234)),"Date invalide",IF(AND(B3234&lt;&gt;"Entrée",B3234&lt;&gt;"Sortie"),"Type inconnu",IF(ISNA(MATCH(C3234,art_ref,0)),"Référence inconnue",IF(OR(NOT(ISNUMBER(E3234)),N(E3234)&lt;=0),"Quantité invalide",IF(K3234&lt;0,"Stock négatif",IF(AND(ISNUMBER(A3233),A3234&lt;A3233),"Date hors ordre","OK"))))))))</f>
        <v/>
      </c>
      <c r="M3234" s="39" t="str">
        <f>IF(C3234="","",C3234&amp;"#"&amp;COUNTIF($C$5:C3234,C3234))</f>
        <v/>
      </c>
    </row>
    <row r="3235">
      <c r="A3235" s="41" t="n"/>
      <c r="B3235" s="37" t="n"/>
      <c r="C3235" s="37" t="n"/>
      <c r="D3235" s="39" t="str">
        <f>IF(C3235="","",IFERROR(INDEX(art_des,MATCH(C3235,art_ref,0))&amp;"","Référence inconnue"))</f>
        <v/>
      </c>
      <c r="E3235" s="37" t="n"/>
      <c r="F3235" s="39" t="str">
        <f>IF(C3235="","",IFERROR(INDEX(art_unit,MATCH(C3235,art_ref,0))&amp;"",""))</f>
        <v/>
      </c>
      <c r="G3235" s="37" t="n"/>
      <c r="H3235" s="37" t="n"/>
      <c r="I3235" s="37" t="n"/>
      <c r="J3235" s="40" t="str">
        <f>IF(OR(C3235="",NOT(ISNUMBER(E3235))),"",IFERROR(E3235*N(INDEX(art_price,MATCH(C3235,art_ref,0))),""))</f>
        <v/>
      </c>
      <c r="K3235" s="39" t="str">
        <f>IF(OR(C3235="",NOT(ISNUMBER(E3235))),"",IFERROR(ROUND(N(INDEX(art_init,MATCH(C3235,art_ref,0)))+SUMIFS($E$5:E3235,$C$5:C3235,C3235,$B$5:B3235,"Entrée")-SUMIFS($E$5:E3235,$C$5:C3235,C3235,$B$5:B3235,"Sortie"),6),""))</f>
        <v/>
      </c>
      <c r="L3235" s="39" t="str">
        <f>IF(COUNTA(A3235:C3235,E3235)=0,"",IF(COUNTA(A3235:C3235,E3235)&lt;4,"Ligne incomplète",IF(NOT(ISNUMBER(A3235)),"Date invalide",IF(AND(B3235&lt;&gt;"Entrée",B3235&lt;&gt;"Sortie"),"Type inconnu",IF(ISNA(MATCH(C3235,art_ref,0)),"Référence inconnue",IF(OR(NOT(ISNUMBER(E3235)),N(E3235)&lt;=0),"Quantité invalide",IF(K3235&lt;0,"Stock négatif",IF(AND(ISNUMBER(A3234),A3235&lt;A3234),"Date hors ordre","OK"))))))))</f>
        <v/>
      </c>
      <c r="M3235" s="39" t="str">
        <f>IF(C3235="","",C3235&amp;"#"&amp;COUNTIF($C$5:C3235,C3235))</f>
        <v/>
      </c>
    </row>
    <row r="3236">
      <c r="A3236" s="41" t="n"/>
      <c r="B3236" s="37" t="n"/>
      <c r="C3236" s="37" t="n"/>
      <c r="D3236" s="39" t="str">
        <f>IF(C3236="","",IFERROR(INDEX(art_des,MATCH(C3236,art_ref,0))&amp;"","Référence inconnue"))</f>
        <v/>
      </c>
      <c r="E3236" s="37" t="n"/>
      <c r="F3236" s="39" t="str">
        <f>IF(C3236="","",IFERROR(INDEX(art_unit,MATCH(C3236,art_ref,0))&amp;"",""))</f>
        <v/>
      </c>
      <c r="G3236" s="37" t="n"/>
      <c r="H3236" s="37" t="n"/>
      <c r="I3236" s="37" t="n"/>
      <c r="J3236" s="40" t="str">
        <f>IF(OR(C3236="",NOT(ISNUMBER(E3236))),"",IFERROR(E3236*N(INDEX(art_price,MATCH(C3236,art_ref,0))),""))</f>
        <v/>
      </c>
      <c r="K3236" s="39" t="str">
        <f>IF(OR(C3236="",NOT(ISNUMBER(E3236))),"",IFERROR(ROUND(N(INDEX(art_init,MATCH(C3236,art_ref,0)))+SUMIFS($E$5:E3236,$C$5:C3236,C3236,$B$5:B3236,"Entrée")-SUMIFS($E$5:E3236,$C$5:C3236,C3236,$B$5:B3236,"Sortie"),6),""))</f>
        <v/>
      </c>
      <c r="L3236" s="39" t="str">
        <f>IF(COUNTA(A3236:C3236,E3236)=0,"",IF(COUNTA(A3236:C3236,E3236)&lt;4,"Ligne incomplète",IF(NOT(ISNUMBER(A3236)),"Date invalide",IF(AND(B3236&lt;&gt;"Entrée",B3236&lt;&gt;"Sortie"),"Type inconnu",IF(ISNA(MATCH(C3236,art_ref,0)),"Référence inconnue",IF(OR(NOT(ISNUMBER(E3236)),N(E3236)&lt;=0),"Quantité invalide",IF(K3236&lt;0,"Stock négatif",IF(AND(ISNUMBER(A3235),A3236&lt;A3235),"Date hors ordre","OK"))))))))</f>
        <v/>
      </c>
      <c r="M3236" s="39" t="str">
        <f>IF(C3236="","",C3236&amp;"#"&amp;COUNTIF($C$5:C3236,C3236))</f>
        <v/>
      </c>
    </row>
    <row r="3237">
      <c r="A3237" s="41" t="n"/>
      <c r="B3237" s="37" t="n"/>
      <c r="C3237" s="37" t="n"/>
      <c r="D3237" s="39" t="str">
        <f>IF(C3237="","",IFERROR(INDEX(art_des,MATCH(C3237,art_ref,0))&amp;"","Référence inconnue"))</f>
        <v/>
      </c>
      <c r="E3237" s="37" t="n"/>
      <c r="F3237" s="39" t="str">
        <f>IF(C3237="","",IFERROR(INDEX(art_unit,MATCH(C3237,art_ref,0))&amp;"",""))</f>
        <v/>
      </c>
      <c r="G3237" s="37" t="n"/>
      <c r="H3237" s="37" t="n"/>
      <c r="I3237" s="37" t="n"/>
      <c r="J3237" s="40" t="str">
        <f>IF(OR(C3237="",NOT(ISNUMBER(E3237))),"",IFERROR(E3237*N(INDEX(art_price,MATCH(C3237,art_ref,0))),""))</f>
        <v/>
      </c>
      <c r="K3237" s="39" t="str">
        <f>IF(OR(C3237="",NOT(ISNUMBER(E3237))),"",IFERROR(ROUND(N(INDEX(art_init,MATCH(C3237,art_ref,0)))+SUMIFS($E$5:E3237,$C$5:C3237,C3237,$B$5:B3237,"Entrée")-SUMIFS($E$5:E3237,$C$5:C3237,C3237,$B$5:B3237,"Sortie"),6),""))</f>
        <v/>
      </c>
      <c r="L3237" s="39" t="str">
        <f>IF(COUNTA(A3237:C3237,E3237)=0,"",IF(COUNTA(A3237:C3237,E3237)&lt;4,"Ligne incomplète",IF(NOT(ISNUMBER(A3237)),"Date invalide",IF(AND(B3237&lt;&gt;"Entrée",B3237&lt;&gt;"Sortie"),"Type inconnu",IF(ISNA(MATCH(C3237,art_ref,0)),"Référence inconnue",IF(OR(NOT(ISNUMBER(E3237)),N(E3237)&lt;=0),"Quantité invalide",IF(K3237&lt;0,"Stock négatif",IF(AND(ISNUMBER(A3236),A3237&lt;A3236),"Date hors ordre","OK"))))))))</f>
        <v/>
      </c>
      <c r="M3237" s="39" t="str">
        <f>IF(C3237="","",C3237&amp;"#"&amp;COUNTIF($C$5:C3237,C3237))</f>
        <v/>
      </c>
    </row>
    <row r="3238">
      <c r="A3238" s="41" t="n"/>
      <c r="B3238" s="37" t="n"/>
      <c r="C3238" s="37" t="n"/>
      <c r="D3238" s="39" t="str">
        <f>IF(C3238="","",IFERROR(INDEX(art_des,MATCH(C3238,art_ref,0))&amp;"","Référence inconnue"))</f>
        <v/>
      </c>
      <c r="E3238" s="37" t="n"/>
      <c r="F3238" s="39" t="str">
        <f>IF(C3238="","",IFERROR(INDEX(art_unit,MATCH(C3238,art_ref,0))&amp;"",""))</f>
        <v/>
      </c>
      <c r="G3238" s="37" t="n"/>
      <c r="H3238" s="37" t="n"/>
      <c r="I3238" s="37" t="n"/>
      <c r="J3238" s="40" t="str">
        <f>IF(OR(C3238="",NOT(ISNUMBER(E3238))),"",IFERROR(E3238*N(INDEX(art_price,MATCH(C3238,art_ref,0))),""))</f>
        <v/>
      </c>
      <c r="K3238" s="39" t="str">
        <f>IF(OR(C3238="",NOT(ISNUMBER(E3238))),"",IFERROR(ROUND(N(INDEX(art_init,MATCH(C3238,art_ref,0)))+SUMIFS($E$5:E3238,$C$5:C3238,C3238,$B$5:B3238,"Entrée")-SUMIFS($E$5:E3238,$C$5:C3238,C3238,$B$5:B3238,"Sortie"),6),""))</f>
        <v/>
      </c>
      <c r="L3238" s="39" t="str">
        <f>IF(COUNTA(A3238:C3238,E3238)=0,"",IF(COUNTA(A3238:C3238,E3238)&lt;4,"Ligne incomplète",IF(NOT(ISNUMBER(A3238)),"Date invalide",IF(AND(B3238&lt;&gt;"Entrée",B3238&lt;&gt;"Sortie"),"Type inconnu",IF(ISNA(MATCH(C3238,art_ref,0)),"Référence inconnue",IF(OR(NOT(ISNUMBER(E3238)),N(E3238)&lt;=0),"Quantité invalide",IF(K3238&lt;0,"Stock négatif",IF(AND(ISNUMBER(A3237),A3238&lt;A3237),"Date hors ordre","OK"))))))))</f>
        <v/>
      </c>
      <c r="M3238" s="39" t="str">
        <f>IF(C3238="","",C3238&amp;"#"&amp;COUNTIF($C$5:C3238,C3238))</f>
        <v/>
      </c>
    </row>
    <row r="3239">
      <c r="A3239" s="41" t="n"/>
      <c r="B3239" s="37" t="n"/>
      <c r="C3239" s="37" t="n"/>
      <c r="D3239" s="39" t="str">
        <f>IF(C3239="","",IFERROR(INDEX(art_des,MATCH(C3239,art_ref,0))&amp;"","Référence inconnue"))</f>
        <v/>
      </c>
      <c r="E3239" s="37" t="n"/>
      <c r="F3239" s="39" t="str">
        <f>IF(C3239="","",IFERROR(INDEX(art_unit,MATCH(C3239,art_ref,0))&amp;"",""))</f>
        <v/>
      </c>
      <c r="G3239" s="37" t="n"/>
      <c r="H3239" s="37" t="n"/>
      <c r="I3239" s="37" t="n"/>
      <c r="J3239" s="40" t="str">
        <f>IF(OR(C3239="",NOT(ISNUMBER(E3239))),"",IFERROR(E3239*N(INDEX(art_price,MATCH(C3239,art_ref,0))),""))</f>
        <v/>
      </c>
      <c r="K3239" s="39" t="str">
        <f>IF(OR(C3239="",NOT(ISNUMBER(E3239))),"",IFERROR(ROUND(N(INDEX(art_init,MATCH(C3239,art_ref,0)))+SUMIFS($E$5:E3239,$C$5:C3239,C3239,$B$5:B3239,"Entrée")-SUMIFS($E$5:E3239,$C$5:C3239,C3239,$B$5:B3239,"Sortie"),6),""))</f>
        <v/>
      </c>
      <c r="L3239" s="39" t="str">
        <f>IF(COUNTA(A3239:C3239,E3239)=0,"",IF(COUNTA(A3239:C3239,E3239)&lt;4,"Ligne incomplète",IF(NOT(ISNUMBER(A3239)),"Date invalide",IF(AND(B3239&lt;&gt;"Entrée",B3239&lt;&gt;"Sortie"),"Type inconnu",IF(ISNA(MATCH(C3239,art_ref,0)),"Référence inconnue",IF(OR(NOT(ISNUMBER(E3239)),N(E3239)&lt;=0),"Quantité invalide",IF(K3239&lt;0,"Stock négatif",IF(AND(ISNUMBER(A3238),A3239&lt;A3238),"Date hors ordre","OK"))))))))</f>
        <v/>
      </c>
      <c r="M3239" s="39" t="str">
        <f>IF(C3239="","",C3239&amp;"#"&amp;COUNTIF($C$5:C3239,C3239))</f>
        <v/>
      </c>
    </row>
    <row r="3240">
      <c r="A3240" s="41" t="n"/>
      <c r="B3240" s="37" t="n"/>
      <c r="C3240" s="37" t="n"/>
      <c r="D3240" s="39" t="str">
        <f>IF(C3240="","",IFERROR(INDEX(art_des,MATCH(C3240,art_ref,0))&amp;"","Référence inconnue"))</f>
        <v/>
      </c>
      <c r="E3240" s="37" t="n"/>
      <c r="F3240" s="39" t="str">
        <f>IF(C3240="","",IFERROR(INDEX(art_unit,MATCH(C3240,art_ref,0))&amp;"",""))</f>
        <v/>
      </c>
      <c r="G3240" s="37" t="n"/>
      <c r="H3240" s="37" t="n"/>
      <c r="I3240" s="37" t="n"/>
      <c r="J3240" s="40" t="str">
        <f>IF(OR(C3240="",NOT(ISNUMBER(E3240))),"",IFERROR(E3240*N(INDEX(art_price,MATCH(C3240,art_ref,0))),""))</f>
        <v/>
      </c>
      <c r="K3240" s="39" t="str">
        <f>IF(OR(C3240="",NOT(ISNUMBER(E3240))),"",IFERROR(ROUND(N(INDEX(art_init,MATCH(C3240,art_ref,0)))+SUMIFS($E$5:E3240,$C$5:C3240,C3240,$B$5:B3240,"Entrée")-SUMIFS($E$5:E3240,$C$5:C3240,C3240,$B$5:B3240,"Sortie"),6),""))</f>
        <v/>
      </c>
      <c r="L3240" s="39" t="str">
        <f>IF(COUNTA(A3240:C3240,E3240)=0,"",IF(COUNTA(A3240:C3240,E3240)&lt;4,"Ligne incomplète",IF(NOT(ISNUMBER(A3240)),"Date invalide",IF(AND(B3240&lt;&gt;"Entrée",B3240&lt;&gt;"Sortie"),"Type inconnu",IF(ISNA(MATCH(C3240,art_ref,0)),"Référence inconnue",IF(OR(NOT(ISNUMBER(E3240)),N(E3240)&lt;=0),"Quantité invalide",IF(K3240&lt;0,"Stock négatif",IF(AND(ISNUMBER(A3239),A3240&lt;A3239),"Date hors ordre","OK"))))))))</f>
        <v/>
      </c>
      <c r="M3240" s="39" t="str">
        <f>IF(C3240="","",C3240&amp;"#"&amp;COUNTIF($C$5:C3240,C3240))</f>
        <v/>
      </c>
    </row>
    <row r="3241">
      <c r="A3241" s="41" t="n"/>
      <c r="B3241" s="37" t="n"/>
      <c r="C3241" s="37" t="n"/>
      <c r="D3241" s="39" t="str">
        <f>IF(C3241="","",IFERROR(INDEX(art_des,MATCH(C3241,art_ref,0))&amp;"","Référence inconnue"))</f>
        <v/>
      </c>
      <c r="E3241" s="37" t="n"/>
      <c r="F3241" s="39" t="str">
        <f>IF(C3241="","",IFERROR(INDEX(art_unit,MATCH(C3241,art_ref,0))&amp;"",""))</f>
        <v/>
      </c>
      <c r="G3241" s="37" t="n"/>
      <c r="H3241" s="37" t="n"/>
      <c r="I3241" s="37" t="n"/>
      <c r="J3241" s="40" t="str">
        <f>IF(OR(C3241="",NOT(ISNUMBER(E3241))),"",IFERROR(E3241*N(INDEX(art_price,MATCH(C3241,art_ref,0))),""))</f>
        <v/>
      </c>
      <c r="K3241" s="39" t="str">
        <f>IF(OR(C3241="",NOT(ISNUMBER(E3241))),"",IFERROR(ROUND(N(INDEX(art_init,MATCH(C3241,art_ref,0)))+SUMIFS($E$5:E3241,$C$5:C3241,C3241,$B$5:B3241,"Entrée")-SUMIFS($E$5:E3241,$C$5:C3241,C3241,$B$5:B3241,"Sortie"),6),""))</f>
        <v/>
      </c>
      <c r="L3241" s="39" t="str">
        <f>IF(COUNTA(A3241:C3241,E3241)=0,"",IF(COUNTA(A3241:C3241,E3241)&lt;4,"Ligne incomplète",IF(NOT(ISNUMBER(A3241)),"Date invalide",IF(AND(B3241&lt;&gt;"Entrée",B3241&lt;&gt;"Sortie"),"Type inconnu",IF(ISNA(MATCH(C3241,art_ref,0)),"Référence inconnue",IF(OR(NOT(ISNUMBER(E3241)),N(E3241)&lt;=0),"Quantité invalide",IF(K3241&lt;0,"Stock négatif",IF(AND(ISNUMBER(A3240),A3241&lt;A3240),"Date hors ordre","OK"))))))))</f>
        <v/>
      </c>
      <c r="M3241" s="39" t="str">
        <f>IF(C3241="","",C3241&amp;"#"&amp;COUNTIF($C$5:C3241,C3241))</f>
        <v/>
      </c>
    </row>
    <row r="3242">
      <c r="A3242" s="41" t="n"/>
      <c r="B3242" s="37" t="n"/>
      <c r="C3242" s="37" t="n"/>
      <c r="D3242" s="39" t="str">
        <f>IF(C3242="","",IFERROR(INDEX(art_des,MATCH(C3242,art_ref,0))&amp;"","Référence inconnue"))</f>
        <v/>
      </c>
      <c r="E3242" s="37" t="n"/>
      <c r="F3242" s="39" t="str">
        <f>IF(C3242="","",IFERROR(INDEX(art_unit,MATCH(C3242,art_ref,0))&amp;"",""))</f>
        <v/>
      </c>
      <c r="G3242" s="37" t="n"/>
      <c r="H3242" s="37" t="n"/>
      <c r="I3242" s="37" t="n"/>
      <c r="J3242" s="40" t="str">
        <f>IF(OR(C3242="",NOT(ISNUMBER(E3242))),"",IFERROR(E3242*N(INDEX(art_price,MATCH(C3242,art_ref,0))),""))</f>
        <v/>
      </c>
      <c r="K3242" s="39" t="str">
        <f>IF(OR(C3242="",NOT(ISNUMBER(E3242))),"",IFERROR(ROUND(N(INDEX(art_init,MATCH(C3242,art_ref,0)))+SUMIFS($E$5:E3242,$C$5:C3242,C3242,$B$5:B3242,"Entrée")-SUMIFS($E$5:E3242,$C$5:C3242,C3242,$B$5:B3242,"Sortie"),6),""))</f>
        <v/>
      </c>
      <c r="L3242" s="39" t="str">
        <f>IF(COUNTA(A3242:C3242,E3242)=0,"",IF(COUNTA(A3242:C3242,E3242)&lt;4,"Ligne incomplète",IF(NOT(ISNUMBER(A3242)),"Date invalide",IF(AND(B3242&lt;&gt;"Entrée",B3242&lt;&gt;"Sortie"),"Type inconnu",IF(ISNA(MATCH(C3242,art_ref,0)),"Référence inconnue",IF(OR(NOT(ISNUMBER(E3242)),N(E3242)&lt;=0),"Quantité invalide",IF(K3242&lt;0,"Stock négatif",IF(AND(ISNUMBER(A3241),A3242&lt;A3241),"Date hors ordre","OK"))))))))</f>
        <v/>
      </c>
      <c r="M3242" s="39" t="str">
        <f>IF(C3242="","",C3242&amp;"#"&amp;COUNTIF($C$5:C3242,C3242))</f>
        <v/>
      </c>
    </row>
    <row r="3243">
      <c r="A3243" s="41" t="n"/>
      <c r="B3243" s="37" t="n"/>
      <c r="C3243" s="37" t="n"/>
      <c r="D3243" s="39" t="str">
        <f>IF(C3243="","",IFERROR(INDEX(art_des,MATCH(C3243,art_ref,0))&amp;"","Référence inconnue"))</f>
        <v/>
      </c>
      <c r="E3243" s="37" t="n"/>
      <c r="F3243" s="39" t="str">
        <f>IF(C3243="","",IFERROR(INDEX(art_unit,MATCH(C3243,art_ref,0))&amp;"",""))</f>
        <v/>
      </c>
      <c r="G3243" s="37" t="n"/>
      <c r="H3243" s="37" t="n"/>
      <c r="I3243" s="37" t="n"/>
      <c r="J3243" s="40" t="str">
        <f>IF(OR(C3243="",NOT(ISNUMBER(E3243))),"",IFERROR(E3243*N(INDEX(art_price,MATCH(C3243,art_ref,0))),""))</f>
        <v/>
      </c>
      <c r="K3243" s="39" t="str">
        <f>IF(OR(C3243="",NOT(ISNUMBER(E3243))),"",IFERROR(ROUND(N(INDEX(art_init,MATCH(C3243,art_ref,0)))+SUMIFS($E$5:E3243,$C$5:C3243,C3243,$B$5:B3243,"Entrée")-SUMIFS($E$5:E3243,$C$5:C3243,C3243,$B$5:B3243,"Sortie"),6),""))</f>
        <v/>
      </c>
      <c r="L3243" s="39" t="str">
        <f>IF(COUNTA(A3243:C3243,E3243)=0,"",IF(COUNTA(A3243:C3243,E3243)&lt;4,"Ligne incomplète",IF(NOT(ISNUMBER(A3243)),"Date invalide",IF(AND(B3243&lt;&gt;"Entrée",B3243&lt;&gt;"Sortie"),"Type inconnu",IF(ISNA(MATCH(C3243,art_ref,0)),"Référence inconnue",IF(OR(NOT(ISNUMBER(E3243)),N(E3243)&lt;=0),"Quantité invalide",IF(K3243&lt;0,"Stock négatif",IF(AND(ISNUMBER(A3242),A3243&lt;A3242),"Date hors ordre","OK"))))))))</f>
        <v/>
      </c>
      <c r="M3243" s="39" t="str">
        <f>IF(C3243="","",C3243&amp;"#"&amp;COUNTIF($C$5:C3243,C3243))</f>
        <v/>
      </c>
    </row>
    <row r="3244">
      <c r="A3244" s="41" t="n"/>
      <c r="B3244" s="37" t="n"/>
      <c r="C3244" s="37" t="n"/>
      <c r="D3244" s="39" t="str">
        <f>IF(C3244="","",IFERROR(INDEX(art_des,MATCH(C3244,art_ref,0))&amp;"","Référence inconnue"))</f>
        <v/>
      </c>
      <c r="E3244" s="37" t="n"/>
      <c r="F3244" s="39" t="str">
        <f>IF(C3244="","",IFERROR(INDEX(art_unit,MATCH(C3244,art_ref,0))&amp;"",""))</f>
        <v/>
      </c>
      <c r="G3244" s="37" t="n"/>
      <c r="H3244" s="37" t="n"/>
      <c r="I3244" s="37" t="n"/>
      <c r="J3244" s="40" t="str">
        <f>IF(OR(C3244="",NOT(ISNUMBER(E3244))),"",IFERROR(E3244*N(INDEX(art_price,MATCH(C3244,art_ref,0))),""))</f>
        <v/>
      </c>
      <c r="K3244" s="39" t="str">
        <f>IF(OR(C3244="",NOT(ISNUMBER(E3244))),"",IFERROR(ROUND(N(INDEX(art_init,MATCH(C3244,art_ref,0)))+SUMIFS($E$5:E3244,$C$5:C3244,C3244,$B$5:B3244,"Entrée")-SUMIFS($E$5:E3244,$C$5:C3244,C3244,$B$5:B3244,"Sortie"),6),""))</f>
        <v/>
      </c>
      <c r="L3244" s="39" t="str">
        <f>IF(COUNTA(A3244:C3244,E3244)=0,"",IF(COUNTA(A3244:C3244,E3244)&lt;4,"Ligne incomplète",IF(NOT(ISNUMBER(A3244)),"Date invalide",IF(AND(B3244&lt;&gt;"Entrée",B3244&lt;&gt;"Sortie"),"Type inconnu",IF(ISNA(MATCH(C3244,art_ref,0)),"Référence inconnue",IF(OR(NOT(ISNUMBER(E3244)),N(E3244)&lt;=0),"Quantité invalide",IF(K3244&lt;0,"Stock négatif",IF(AND(ISNUMBER(A3243),A3244&lt;A3243),"Date hors ordre","OK"))))))))</f>
        <v/>
      </c>
      <c r="M3244" s="39" t="str">
        <f>IF(C3244="","",C3244&amp;"#"&amp;COUNTIF($C$5:C3244,C3244))</f>
        <v/>
      </c>
    </row>
    <row r="3245">
      <c r="A3245" s="41" t="n"/>
      <c r="B3245" s="37" t="n"/>
      <c r="C3245" s="37" t="n"/>
      <c r="D3245" s="39" t="str">
        <f>IF(C3245="","",IFERROR(INDEX(art_des,MATCH(C3245,art_ref,0))&amp;"","Référence inconnue"))</f>
        <v/>
      </c>
      <c r="E3245" s="37" t="n"/>
      <c r="F3245" s="39" t="str">
        <f>IF(C3245="","",IFERROR(INDEX(art_unit,MATCH(C3245,art_ref,0))&amp;"",""))</f>
        <v/>
      </c>
      <c r="G3245" s="37" t="n"/>
      <c r="H3245" s="37" t="n"/>
      <c r="I3245" s="37" t="n"/>
      <c r="J3245" s="40" t="str">
        <f>IF(OR(C3245="",NOT(ISNUMBER(E3245))),"",IFERROR(E3245*N(INDEX(art_price,MATCH(C3245,art_ref,0))),""))</f>
        <v/>
      </c>
      <c r="K3245" s="39" t="str">
        <f>IF(OR(C3245="",NOT(ISNUMBER(E3245))),"",IFERROR(ROUND(N(INDEX(art_init,MATCH(C3245,art_ref,0)))+SUMIFS($E$5:E3245,$C$5:C3245,C3245,$B$5:B3245,"Entrée")-SUMIFS($E$5:E3245,$C$5:C3245,C3245,$B$5:B3245,"Sortie"),6),""))</f>
        <v/>
      </c>
      <c r="L3245" s="39" t="str">
        <f>IF(COUNTA(A3245:C3245,E3245)=0,"",IF(COUNTA(A3245:C3245,E3245)&lt;4,"Ligne incomplète",IF(NOT(ISNUMBER(A3245)),"Date invalide",IF(AND(B3245&lt;&gt;"Entrée",B3245&lt;&gt;"Sortie"),"Type inconnu",IF(ISNA(MATCH(C3245,art_ref,0)),"Référence inconnue",IF(OR(NOT(ISNUMBER(E3245)),N(E3245)&lt;=0),"Quantité invalide",IF(K3245&lt;0,"Stock négatif",IF(AND(ISNUMBER(A3244),A3245&lt;A3244),"Date hors ordre","OK"))))))))</f>
        <v/>
      </c>
      <c r="M3245" s="39" t="str">
        <f>IF(C3245="","",C3245&amp;"#"&amp;COUNTIF($C$5:C3245,C3245))</f>
        <v/>
      </c>
    </row>
    <row r="3246">
      <c r="A3246" s="41" t="n"/>
      <c r="B3246" s="37" t="n"/>
      <c r="C3246" s="37" t="n"/>
      <c r="D3246" s="39" t="str">
        <f>IF(C3246="","",IFERROR(INDEX(art_des,MATCH(C3246,art_ref,0))&amp;"","Référence inconnue"))</f>
        <v/>
      </c>
      <c r="E3246" s="37" t="n"/>
      <c r="F3246" s="39" t="str">
        <f>IF(C3246="","",IFERROR(INDEX(art_unit,MATCH(C3246,art_ref,0))&amp;"",""))</f>
        <v/>
      </c>
      <c r="G3246" s="37" t="n"/>
      <c r="H3246" s="37" t="n"/>
      <c r="I3246" s="37" t="n"/>
      <c r="J3246" s="40" t="str">
        <f>IF(OR(C3246="",NOT(ISNUMBER(E3246))),"",IFERROR(E3246*N(INDEX(art_price,MATCH(C3246,art_ref,0))),""))</f>
        <v/>
      </c>
      <c r="K3246" s="39" t="str">
        <f>IF(OR(C3246="",NOT(ISNUMBER(E3246))),"",IFERROR(ROUND(N(INDEX(art_init,MATCH(C3246,art_ref,0)))+SUMIFS($E$5:E3246,$C$5:C3246,C3246,$B$5:B3246,"Entrée")-SUMIFS($E$5:E3246,$C$5:C3246,C3246,$B$5:B3246,"Sortie"),6),""))</f>
        <v/>
      </c>
      <c r="L3246" s="39" t="str">
        <f>IF(COUNTA(A3246:C3246,E3246)=0,"",IF(COUNTA(A3246:C3246,E3246)&lt;4,"Ligne incomplète",IF(NOT(ISNUMBER(A3246)),"Date invalide",IF(AND(B3246&lt;&gt;"Entrée",B3246&lt;&gt;"Sortie"),"Type inconnu",IF(ISNA(MATCH(C3246,art_ref,0)),"Référence inconnue",IF(OR(NOT(ISNUMBER(E3246)),N(E3246)&lt;=0),"Quantité invalide",IF(K3246&lt;0,"Stock négatif",IF(AND(ISNUMBER(A3245),A3246&lt;A3245),"Date hors ordre","OK"))))))))</f>
        <v/>
      </c>
      <c r="M3246" s="39" t="str">
        <f>IF(C3246="","",C3246&amp;"#"&amp;COUNTIF($C$5:C3246,C3246))</f>
        <v/>
      </c>
    </row>
    <row r="3247">
      <c r="A3247" s="41" t="n"/>
      <c r="B3247" s="37" t="n"/>
      <c r="C3247" s="37" t="n"/>
      <c r="D3247" s="39" t="str">
        <f>IF(C3247="","",IFERROR(INDEX(art_des,MATCH(C3247,art_ref,0))&amp;"","Référence inconnue"))</f>
        <v/>
      </c>
      <c r="E3247" s="37" t="n"/>
      <c r="F3247" s="39" t="str">
        <f>IF(C3247="","",IFERROR(INDEX(art_unit,MATCH(C3247,art_ref,0))&amp;"",""))</f>
        <v/>
      </c>
      <c r="G3247" s="37" t="n"/>
      <c r="H3247" s="37" t="n"/>
      <c r="I3247" s="37" t="n"/>
      <c r="J3247" s="40" t="str">
        <f>IF(OR(C3247="",NOT(ISNUMBER(E3247))),"",IFERROR(E3247*N(INDEX(art_price,MATCH(C3247,art_ref,0))),""))</f>
        <v/>
      </c>
      <c r="K3247" s="39" t="str">
        <f>IF(OR(C3247="",NOT(ISNUMBER(E3247))),"",IFERROR(ROUND(N(INDEX(art_init,MATCH(C3247,art_ref,0)))+SUMIFS($E$5:E3247,$C$5:C3247,C3247,$B$5:B3247,"Entrée")-SUMIFS($E$5:E3247,$C$5:C3247,C3247,$B$5:B3247,"Sortie"),6),""))</f>
        <v/>
      </c>
      <c r="L3247" s="39" t="str">
        <f>IF(COUNTA(A3247:C3247,E3247)=0,"",IF(COUNTA(A3247:C3247,E3247)&lt;4,"Ligne incomplète",IF(NOT(ISNUMBER(A3247)),"Date invalide",IF(AND(B3247&lt;&gt;"Entrée",B3247&lt;&gt;"Sortie"),"Type inconnu",IF(ISNA(MATCH(C3247,art_ref,0)),"Référence inconnue",IF(OR(NOT(ISNUMBER(E3247)),N(E3247)&lt;=0),"Quantité invalide",IF(K3247&lt;0,"Stock négatif",IF(AND(ISNUMBER(A3246),A3247&lt;A3246),"Date hors ordre","OK"))))))))</f>
        <v/>
      </c>
      <c r="M3247" s="39" t="str">
        <f>IF(C3247="","",C3247&amp;"#"&amp;COUNTIF($C$5:C3247,C3247))</f>
        <v/>
      </c>
    </row>
    <row r="3248">
      <c r="A3248" s="41" t="n"/>
      <c r="B3248" s="37" t="n"/>
      <c r="C3248" s="37" t="n"/>
      <c r="D3248" s="39" t="str">
        <f>IF(C3248="","",IFERROR(INDEX(art_des,MATCH(C3248,art_ref,0))&amp;"","Référence inconnue"))</f>
        <v/>
      </c>
      <c r="E3248" s="37" t="n"/>
      <c r="F3248" s="39" t="str">
        <f>IF(C3248="","",IFERROR(INDEX(art_unit,MATCH(C3248,art_ref,0))&amp;"",""))</f>
        <v/>
      </c>
      <c r="G3248" s="37" t="n"/>
      <c r="H3248" s="37" t="n"/>
      <c r="I3248" s="37" t="n"/>
      <c r="J3248" s="40" t="str">
        <f>IF(OR(C3248="",NOT(ISNUMBER(E3248))),"",IFERROR(E3248*N(INDEX(art_price,MATCH(C3248,art_ref,0))),""))</f>
        <v/>
      </c>
      <c r="K3248" s="39" t="str">
        <f>IF(OR(C3248="",NOT(ISNUMBER(E3248))),"",IFERROR(ROUND(N(INDEX(art_init,MATCH(C3248,art_ref,0)))+SUMIFS($E$5:E3248,$C$5:C3248,C3248,$B$5:B3248,"Entrée")-SUMIFS($E$5:E3248,$C$5:C3248,C3248,$B$5:B3248,"Sortie"),6),""))</f>
        <v/>
      </c>
      <c r="L3248" s="39" t="str">
        <f>IF(COUNTA(A3248:C3248,E3248)=0,"",IF(COUNTA(A3248:C3248,E3248)&lt;4,"Ligne incomplète",IF(NOT(ISNUMBER(A3248)),"Date invalide",IF(AND(B3248&lt;&gt;"Entrée",B3248&lt;&gt;"Sortie"),"Type inconnu",IF(ISNA(MATCH(C3248,art_ref,0)),"Référence inconnue",IF(OR(NOT(ISNUMBER(E3248)),N(E3248)&lt;=0),"Quantité invalide",IF(K3248&lt;0,"Stock négatif",IF(AND(ISNUMBER(A3247),A3248&lt;A3247),"Date hors ordre","OK"))))))))</f>
        <v/>
      </c>
      <c r="M3248" s="39" t="str">
        <f>IF(C3248="","",C3248&amp;"#"&amp;COUNTIF($C$5:C3248,C3248))</f>
        <v/>
      </c>
    </row>
    <row r="3249">
      <c r="A3249" s="41" t="n"/>
      <c r="B3249" s="37" t="n"/>
      <c r="C3249" s="37" t="n"/>
      <c r="D3249" s="39" t="str">
        <f>IF(C3249="","",IFERROR(INDEX(art_des,MATCH(C3249,art_ref,0))&amp;"","Référence inconnue"))</f>
        <v/>
      </c>
      <c r="E3249" s="37" t="n"/>
      <c r="F3249" s="39" t="str">
        <f>IF(C3249="","",IFERROR(INDEX(art_unit,MATCH(C3249,art_ref,0))&amp;"",""))</f>
        <v/>
      </c>
      <c r="G3249" s="37" t="n"/>
      <c r="H3249" s="37" t="n"/>
      <c r="I3249" s="37" t="n"/>
      <c r="J3249" s="40" t="str">
        <f>IF(OR(C3249="",NOT(ISNUMBER(E3249))),"",IFERROR(E3249*N(INDEX(art_price,MATCH(C3249,art_ref,0))),""))</f>
        <v/>
      </c>
      <c r="K3249" s="39" t="str">
        <f>IF(OR(C3249="",NOT(ISNUMBER(E3249))),"",IFERROR(ROUND(N(INDEX(art_init,MATCH(C3249,art_ref,0)))+SUMIFS($E$5:E3249,$C$5:C3249,C3249,$B$5:B3249,"Entrée")-SUMIFS($E$5:E3249,$C$5:C3249,C3249,$B$5:B3249,"Sortie"),6),""))</f>
        <v/>
      </c>
      <c r="L3249" s="39" t="str">
        <f>IF(COUNTA(A3249:C3249,E3249)=0,"",IF(COUNTA(A3249:C3249,E3249)&lt;4,"Ligne incomplète",IF(NOT(ISNUMBER(A3249)),"Date invalide",IF(AND(B3249&lt;&gt;"Entrée",B3249&lt;&gt;"Sortie"),"Type inconnu",IF(ISNA(MATCH(C3249,art_ref,0)),"Référence inconnue",IF(OR(NOT(ISNUMBER(E3249)),N(E3249)&lt;=0),"Quantité invalide",IF(K3249&lt;0,"Stock négatif",IF(AND(ISNUMBER(A3248),A3249&lt;A3248),"Date hors ordre","OK"))))))))</f>
        <v/>
      </c>
      <c r="M3249" s="39" t="str">
        <f>IF(C3249="","",C3249&amp;"#"&amp;COUNTIF($C$5:C3249,C3249))</f>
        <v/>
      </c>
    </row>
    <row r="3250">
      <c r="A3250" s="41" t="n"/>
      <c r="B3250" s="37" t="n"/>
      <c r="C3250" s="37" t="n"/>
      <c r="D3250" s="39" t="str">
        <f>IF(C3250="","",IFERROR(INDEX(art_des,MATCH(C3250,art_ref,0))&amp;"","Référence inconnue"))</f>
        <v/>
      </c>
      <c r="E3250" s="37" t="n"/>
      <c r="F3250" s="39" t="str">
        <f>IF(C3250="","",IFERROR(INDEX(art_unit,MATCH(C3250,art_ref,0))&amp;"",""))</f>
        <v/>
      </c>
      <c r="G3250" s="37" t="n"/>
      <c r="H3250" s="37" t="n"/>
      <c r="I3250" s="37" t="n"/>
      <c r="J3250" s="40" t="str">
        <f>IF(OR(C3250="",NOT(ISNUMBER(E3250))),"",IFERROR(E3250*N(INDEX(art_price,MATCH(C3250,art_ref,0))),""))</f>
        <v/>
      </c>
      <c r="K3250" s="39" t="str">
        <f>IF(OR(C3250="",NOT(ISNUMBER(E3250))),"",IFERROR(ROUND(N(INDEX(art_init,MATCH(C3250,art_ref,0)))+SUMIFS($E$5:E3250,$C$5:C3250,C3250,$B$5:B3250,"Entrée")-SUMIFS($E$5:E3250,$C$5:C3250,C3250,$B$5:B3250,"Sortie"),6),""))</f>
        <v/>
      </c>
      <c r="L3250" s="39" t="str">
        <f>IF(COUNTA(A3250:C3250,E3250)=0,"",IF(COUNTA(A3250:C3250,E3250)&lt;4,"Ligne incomplète",IF(NOT(ISNUMBER(A3250)),"Date invalide",IF(AND(B3250&lt;&gt;"Entrée",B3250&lt;&gt;"Sortie"),"Type inconnu",IF(ISNA(MATCH(C3250,art_ref,0)),"Référence inconnue",IF(OR(NOT(ISNUMBER(E3250)),N(E3250)&lt;=0),"Quantité invalide",IF(K3250&lt;0,"Stock négatif",IF(AND(ISNUMBER(A3249),A3250&lt;A3249),"Date hors ordre","OK"))))))))</f>
        <v/>
      </c>
      <c r="M3250" s="39" t="str">
        <f>IF(C3250="","",C3250&amp;"#"&amp;COUNTIF($C$5:C3250,C3250))</f>
        <v/>
      </c>
    </row>
    <row r="3251">
      <c r="A3251" s="41" t="n"/>
      <c r="B3251" s="37" t="n"/>
      <c r="C3251" s="37" t="n"/>
      <c r="D3251" s="39" t="str">
        <f>IF(C3251="","",IFERROR(INDEX(art_des,MATCH(C3251,art_ref,0))&amp;"","Référence inconnue"))</f>
        <v/>
      </c>
      <c r="E3251" s="37" t="n"/>
      <c r="F3251" s="39" t="str">
        <f>IF(C3251="","",IFERROR(INDEX(art_unit,MATCH(C3251,art_ref,0))&amp;"",""))</f>
        <v/>
      </c>
      <c r="G3251" s="37" t="n"/>
      <c r="H3251" s="37" t="n"/>
      <c r="I3251" s="37" t="n"/>
      <c r="J3251" s="40" t="str">
        <f>IF(OR(C3251="",NOT(ISNUMBER(E3251))),"",IFERROR(E3251*N(INDEX(art_price,MATCH(C3251,art_ref,0))),""))</f>
        <v/>
      </c>
      <c r="K3251" s="39" t="str">
        <f>IF(OR(C3251="",NOT(ISNUMBER(E3251))),"",IFERROR(ROUND(N(INDEX(art_init,MATCH(C3251,art_ref,0)))+SUMIFS($E$5:E3251,$C$5:C3251,C3251,$B$5:B3251,"Entrée")-SUMIFS($E$5:E3251,$C$5:C3251,C3251,$B$5:B3251,"Sortie"),6),""))</f>
        <v/>
      </c>
      <c r="L3251" s="39" t="str">
        <f>IF(COUNTA(A3251:C3251,E3251)=0,"",IF(COUNTA(A3251:C3251,E3251)&lt;4,"Ligne incomplète",IF(NOT(ISNUMBER(A3251)),"Date invalide",IF(AND(B3251&lt;&gt;"Entrée",B3251&lt;&gt;"Sortie"),"Type inconnu",IF(ISNA(MATCH(C3251,art_ref,0)),"Référence inconnue",IF(OR(NOT(ISNUMBER(E3251)),N(E3251)&lt;=0),"Quantité invalide",IF(K3251&lt;0,"Stock négatif",IF(AND(ISNUMBER(A3250),A3251&lt;A3250),"Date hors ordre","OK"))))))))</f>
        <v/>
      </c>
      <c r="M3251" s="39" t="str">
        <f>IF(C3251="","",C3251&amp;"#"&amp;COUNTIF($C$5:C3251,C3251))</f>
        <v/>
      </c>
    </row>
    <row r="3252">
      <c r="A3252" s="41" t="n"/>
      <c r="B3252" s="37" t="n"/>
      <c r="C3252" s="37" t="n"/>
      <c r="D3252" s="39" t="str">
        <f>IF(C3252="","",IFERROR(INDEX(art_des,MATCH(C3252,art_ref,0))&amp;"","Référence inconnue"))</f>
        <v/>
      </c>
      <c r="E3252" s="37" t="n"/>
      <c r="F3252" s="39" t="str">
        <f>IF(C3252="","",IFERROR(INDEX(art_unit,MATCH(C3252,art_ref,0))&amp;"",""))</f>
        <v/>
      </c>
      <c r="G3252" s="37" t="n"/>
      <c r="H3252" s="37" t="n"/>
      <c r="I3252" s="37" t="n"/>
      <c r="J3252" s="40" t="str">
        <f>IF(OR(C3252="",NOT(ISNUMBER(E3252))),"",IFERROR(E3252*N(INDEX(art_price,MATCH(C3252,art_ref,0))),""))</f>
        <v/>
      </c>
      <c r="K3252" s="39" t="str">
        <f>IF(OR(C3252="",NOT(ISNUMBER(E3252))),"",IFERROR(ROUND(N(INDEX(art_init,MATCH(C3252,art_ref,0)))+SUMIFS($E$5:E3252,$C$5:C3252,C3252,$B$5:B3252,"Entrée")-SUMIFS($E$5:E3252,$C$5:C3252,C3252,$B$5:B3252,"Sortie"),6),""))</f>
        <v/>
      </c>
      <c r="L3252" s="39" t="str">
        <f>IF(COUNTA(A3252:C3252,E3252)=0,"",IF(COUNTA(A3252:C3252,E3252)&lt;4,"Ligne incomplète",IF(NOT(ISNUMBER(A3252)),"Date invalide",IF(AND(B3252&lt;&gt;"Entrée",B3252&lt;&gt;"Sortie"),"Type inconnu",IF(ISNA(MATCH(C3252,art_ref,0)),"Référence inconnue",IF(OR(NOT(ISNUMBER(E3252)),N(E3252)&lt;=0),"Quantité invalide",IF(K3252&lt;0,"Stock négatif",IF(AND(ISNUMBER(A3251),A3252&lt;A3251),"Date hors ordre","OK"))))))))</f>
        <v/>
      </c>
      <c r="M3252" s="39" t="str">
        <f>IF(C3252="","",C3252&amp;"#"&amp;COUNTIF($C$5:C3252,C3252))</f>
        <v/>
      </c>
    </row>
    <row r="3253">
      <c r="A3253" s="41" t="n"/>
      <c r="B3253" s="37" t="n"/>
      <c r="C3253" s="37" t="n"/>
      <c r="D3253" s="39" t="str">
        <f>IF(C3253="","",IFERROR(INDEX(art_des,MATCH(C3253,art_ref,0))&amp;"","Référence inconnue"))</f>
        <v/>
      </c>
      <c r="E3253" s="37" t="n"/>
      <c r="F3253" s="39" t="str">
        <f>IF(C3253="","",IFERROR(INDEX(art_unit,MATCH(C3253,art_ref,0))&amp;"",""))</f>
        <v/>
      </c>
      <c r="G3253" s="37" t="n"/>
      <c r="H3253" s="37" t="n"/>
      <c r="I3253" s="37" t="n"/>
      <c r="J3253" s="40" t="str">
        <f>IF(OR(C3253="",NOT(ISNUMBER(E3253))),"",IFERROR(E3253*N(INDEX(art_price,MATCH(C3253,art_ref,0))),""))</f>
        <v/>
      </c>
      <c r="K3253" s="39" t="str">
        <f>IF(OR(C3253="",NOT(ISNUMBER(E3253))),"",IFERROR(ROUND(N(INDEX(art_init,MATCH(C3253,art_ref,0)))+SUMIFS($E$5:E3253,$C$5:C3253,C3253,$B$5:B3253,"Entrée")-SUMIFS($E$5:E3253,$C$5:C3253,C3253,$B$5:B3253,"Sortie"),6),""))</f>
        <v/>
      </c>
      <c r="L3253" s="39" t="str">
        <f>IF(COUNTA(A3253:C3253,E3253)=0,"",IF(COUNTA(A3253:C3253,E3253)&lt;4,"Ligne incomplète",IF(NOT(ISNUMBER(A3253)),"Date invalide",IF(AND(B3253&lt;&gt;"Entrée",B3253&lt;&gt;"Sortie"),"Type inconnu",IF(ISNA(MATCH(C3253,art_ref,0)),"Référence inconnue",IF(OR(NOT(ISNUMBER(E3253)),N(E3253)&lt;=0),"Quantité invalide",IF(K3253&lt;0,"Stock négatif",IF(AND(ISNUMBER(A3252),A3253&lt;A3252),"Date hors ordre","OK"))))))))</f>
        <v/>
      </c>
      <c r="M3253" s="39" t="str">
        <f>IF(C3253="","",C3253&amp;"#"&amp;COUNTIF($C$5:C3253,C3253))</f>
        <v/>
      </c>
    </row>
    <row r="3254">
      <c r="A3254" s="41" t="n"/>
      <c r="B3254" s="37" t="n"/>
      <c r="C3254" s="37" t="n"/>
      <c r="D3254" s="39" t="str">
        <f>IF(C3254="","",IFERROR(INDEX(art_des,MATCH(C3254,art_ref,0))&amp;"","Référence inconnue"))</f>
        <v/>
      </c>
      <c r="E3254" s="37" t="n"/>
      <c r="F3254" s="39" t="str">
        <f>IF(C3254="","",IFERROR(INDEX(art_unit,MATCH(C3254,art_ref,0))&amp;"",""))</f>
        <v/>
      </c>
      <c r="G3254" s="37" t="n"/>
      <c r="H3254" s="37" t="n"/>
      <c r="I3254" s="37" t="n"/>
      <c r="J3254" s="40" t="str">
        <f>IF(OR(C3254="",NOT(ISNUMBER(E3254))),"",IFERROR(E3254*N(INDEX(art_price,MATCH(C3254,art_ref,0))),""))</f>
        <v/>
      </c>
      <c r="K3254" s="39" t="str">
        <f>IF(OR(C3254="",NOT(ISNUMBER(E3254))),"",IFERROR(ROUND(N(INDEX(art_init,MATCH(C3254,art_ref,0)))+SUMIFS($E$5:E3254,$C$5:C3254,C3254,$B$5:B3254,"Entrée")-SUMIFS($E$5:E3254,$C$5:C3254,C3254,$B$5:B3254,"Sortie"),6),""))</f>
        <v/>
      </c>
      <c r="L3254" s="39" t="str">
        <f>IF(COUNTA(A3254:C3254,E3254)=0,"",IF(COUNTA(A3254:C3254,E3254)&lt;4,"Ligne incomplète",IF(NOT(ISNUMBER(A3254)),"Date invalide",IF(AND(B3254&lt;&gt;"Entrée",B3254&lt;&gt;"Sortie"),"Type inconnu",IF(ISNA(MATCH(C3254,art_ref,0)),"Référence inconnue",IF(OR(NOT(ISNUMBER(E3254)),N(E3254)&lt;=0),"Quantité invalide",IF(K3254&lt;0,"Stock négatif",IF(AND(ISNUMBER(A3253),A3254&lt;A3253),"Date hors ordre","OK"))))))))</f>
        <v/>
      </c>
      <c r="M3254" s="39" t="str">
        <f>IF(C3254="","",C3254&amp;"#"&amp;COUNTIF($C$5:C3254,C3254))</f>
        <v/>
      </c>
    </row>
    <row r="3255">
      <c r="A3255" s="41" t="n"/>
      <c r="B3255" s="37" t="n"/>
      <c r="C3255" s="37" t="n"/>
      <c r="D3255" s="39" t="str">
        <f>IF(C3255="","",IFERROR(INDEX(art_des,MATCH(C3255,art_ref,0))&amp;"","Référence inconnue"))</f>
        <v/>
      </c>
      <c r="E3255" s="37" t="n"/>
      <c r="F3255" s="39" t="str">
        <f>IF(C3255="","",IFERROR(INDEX(art_unit,MATCH(C3255,art_ref,0))&amp;"",""))</f>
        <v/>
      </c>
      <c r="G3255" s="37" t="n"/>
      <c r="H3255" s="37" t="n"/>
      <c r="I3255" s="37" t="n"/>
      <c r="J3255" s="40" t="str">
        <f>IF(OR(C3255="",NOT(ISNUMBER(E3255))),"",IFERROR(E3255*N(INDEX(art_price,MATCH(C3255,art_ref,0))),""))</f>
        <v/>
      </c>
      <c r="K3255" s="39" t="str">
        <f>IF(OR(C3255="",NOT(ISNUMBER(E3255))),"",IFERROR(ROUND(N(INDEX(art_init,MATCH(C3255,art_ref,0)))+SUMIFS($E$5:E3255,$C$5:C3255,C3255,$B$5:B3255,"Entrée")-SUMIFS($E$5:E3255,$C$5:C3255,C3255,$B$5:B3255,"Sortie"),6),""))</f>
        <v/>
      </c>
      <c r="L3255" s="39" t="str">
        <f>IF(COUNTA(A3255:C3255,E3255)=0,"",IF(COUNTA(A3255:C3255,E3255)&lt;4,"Ligne incomplète",IF(NOT(ISNUMBER(A3255)),"Date invalide",IF(AND(B3255&lt;&gt;"Entrée",B3255&lt;&gt;"Sortie"),"Type inconnu",IF(ISNA(MATCH(C3255,art_ref,0)),"Référence inconnue",IF(OR(NOT(ISNUMBER(E3255)),N(E3255)&lt;=0),"Quantité invalide",IF(K3255&lt;0,"Stock négatif",IF(AND(ISNUMBER(A3254),A3255&lt;A3254),"Date hors ordre","OK"))))))))</f>
        <v/>
      </c>
      <c r="M3255" s="39" t="str">
        <f>IF(C3255="","",C3255&amp;"#"&amp;COUNTIF($C$5:C3255,C3255))</f>
        <v/>
      </c>
    </row>
    <row r="3256">
      <c r="A3256" s="41" t="n"/>
      <c r="B3256" s="37" t="n"/>
      <c r="C3256" s="37" t="n"/>
      <c r="D3256" s="39" t="str">
        <f>IF(C3256="","",IFERROR(INDEX(art_des,MATCH(C3256,art_ref,0))&amp;"","Référence inconnue"))</f>
        <v/>
      </c>
      <c r="E3256" s="37" t="n"/>
      <c r="F3256" s="39" t="str">
        <f>IF(C3256="","",IFERROR(INDEX(art_unit,MATCH(C3256,art_ref,0))&amp;"",""))</f>
        <v/>
      </c>
      <c r="G3256" s="37" t="n"/>
      <c r="H3256" s="37" t="n"/>
      <c r="I3256" s="37" t="n"/>
      <c r="J3256" s="40" t="str">
        <f>IF(OR(C3256="",NOT(ISNUMBER(E3256))),"",IFERROR(E3256*N(INDEX(art_price,MATCH(C3256,art_ref,0))),""))</f>
        <v/>
      </c>
      <c r="K3256" s="39" t="str">
        <f>IF(OR(C3256="",NOT(ISNUMBER(E3256))),"",IFERROR(ROUND(N(INDEX(art_init,MATCH(C3256,art_ref,0)))+SUMIFS($E$5:E3256,$C$5:C3256,C3256,$B$5:B3256,"Entrée")-SUMIFS($E$5:E3256,$C$5:C3256,C3256,$B$5:B3256,"Sortie"),6),""))</f>
        <v/>
      </c>
      <c r="L3256" s="39" t="str">
        <f>IF(COUNTA(A3256:C3256,E3256)=0,"",IF(COUNTA(A3256:C3256,E3256)&lt;4,"Ligne incomplète",IF(NOT(ISNUMBER(A3256)),"Date invalide",IF(AND(B3256&lt;&gt;"Entrée",B3256&lt;&gt;"Sortie"),"Type inconnu",IF(ISNA(MATCH(C3256,art_ref,0)),"Référence inconnue",IF(OR(NOT(ISNUMBER(E3256)),N(E3256)&lt;=0),"Quantité invalide",IF(K3256&lt;0,"Stock négatif",IF(AND(ISNUMBER(A3255),A3256&lt;A3255),"Date hors ordre","OK"))))))))</f>
        <v/>
      </c>
      <c r="M3256" s="39" t="str">
        <f>IF(C3256="","",C3256&amp;"#"&amp;COUNTIF($C$5:C3256,C3256))</f>
        <v/>
      </c>
    </row>
    <row r="3257">
      <c r="A3257" s="41" t="n"/>
      <c r="B3257" s="37" t="n"/>
      <c r="C3257" s="37" t="n"/>
      <c r="D3257" s="39" t="str">
        <f>IF(C3257="","",IFERROR(INDEX(art_des,MATCH(C3257,art_ref,0))&amp;"","Référence inconnue"))</f>
        <v/>
      </c>
      <c r="E3257" s="37" t="n"/>
      <c r="F3257" s="39" t="str">
        <f>IF(C3257="","",IFERROR(INDEX(art_unit,MATCH(C3257,art_ref,0))&amp;"",""))</f>
        <v/>
      </c>
      <c r="G3257" s="37" t="n"/>
      <c r="H3257" s="37" t="n"/>
      <c r="I3257" s="37" t="n"/>
      <c r="J3257" s="40" t="str">
        <f>IF(OR(C3257="",NOT(ISNUMBER(E3257))),"",IFERROR(E3257*N(INDEX(art_price,MATCH(C3257,art_ref,0))),""))</f>
        <v/>
      </c>
      <c r="K3257" s="39" t="str">
        <f>IF(OR(C3257="",NOT(ISNUMBER(E3257))),"",IFERROR(ROUND(N(INDEX(art_init,MATCH(C3257,art_ref,0)))+SUMIFS($E$5:E3257,$C$5:C3257,C3257,$B$5:B3257,"Entrée")-SUMIFS($E$5:E3257,$C$5:C3257,C3257,$B$5:B3257,"Sortie"),6),""))</f>
        <v/>
      </c>
      <c r="L3257" s="39" t="str">
        <f>IF(COUNTA(A3257:C3257,E3257)=0,"",IF(COUNTA(A3257:C3257,E3257)&lt;4,"Ligne incomplète",IF(NOT(ISNUMBER(A3257)),"Date invalide",IF(AND(B3257&lt;&gt;"Entrée",B3257&lt;&gt;"Sortie"),"Type inconnu",IF(ISNA(MATCH(C3257,art_ref,0)),"Référence inconnue",IF(OR(NOT(ISNUMBER(E3257)),N(E3257)&lt;=0),"Quantité invalide",IF(K3257&lt;0,"Stock négatif",IF(AND(ISNUMBER(A3256),A3257&lt;A3256),"Date hors ordre","OK"))))))))</f>
        <v/>
      </c>
      <c r="M3257" s="39" t="str">
        <f>IF(C3257="","",C3257&amp;"#"&amp;COUNTIF($C$5:C3257,C3257))</f>
        <v/>
      </c>
    </row>
    <row r="3258">
      <c r="A3258" s="41" t="n"/>
      <c r="B3258" s="37" t="n"/>
      <c r="C3258" s="37" t="n"/>
      <c r="D3258" s="39" t="str">
        <f>IF(C3258="","",IFERROR(INDEX(art_des,MATCH(C3258,art_ref,0))&amp;"","Référence inconnue"))</f>
        <v/>
      </c>
      <c r="E3258" s="37" t="n"/>
      <c r="F3258" s="39" t="str">
        <f>IF(C3258="","",IFERROR(INDEX(art_unit,MATCH(C3258,art_ref,0))&amp;"",""))</f>
        <v/>
      </c>
      <c r="G3258" s="37" t="n"/>
      <c r="H3258" s="37" t="n"/>
      <c r="I3258" s="37" t="n"/>
      <c r="J3258" s="40" t="str">
        <f>IF(OR(C3258="",NOT(ISNUMBER(E3258))),"",IFERROR(E3258*N(INDEX(art_price,MATCH(C3258,art_ref,0))),""))</f>
        <v/>
      </c>
      <c r="K3258" s="39" t="str">
        <f>IF(OR(C3258="",NOT(ISNUMBER(E3258))),"",IFERROR(ROUND(N(INDEX(art_init,MATCH(C3258,art_ref,0)))+SUMIFS($E$5:E3258,$C$5:C3258,C3258,$B$5:B3258,"Entrée")-SUMIFS($E$5:E3258,$C$5:C3258,C3258,$B$5:B3258,"Sortie"),6),""))</f>
        <v/>
      </c>
      <c r="L3258" s="39" t="str">
        <f>IF(COUNTA(A3258:C3258,E3258)=0,"",IF(COUNTA(A3258:C3258,E3258)&lt;4,"Ligne incomplète",IF(NOT(ISNUMBER(A3258)),"Date invalide",IF(AND(B3258&lt;&gt;"Entrée",B3258&lt;&gt;"Sortie"),"Type inconnu",IF(ISNA(MATCH(C3258,art_ref,0)),"Référence inconnue",IF(OR(NOT(ISNUMBER(E3258)),N(E3258)&lt;=0),"Quantité invalide",IF(K3258&lt;0,"Stock négatif",IF(AND(ISNUMBER(A3257),A3258&lt;A3257),"Date hors ordre","OK"))))))))</f>
        <v/>
      </c>
      <c r="M3258" s="39" t="str">
        <f>IF(C3258="","",C3258&amp;"#"&amp;COUNTIF($C$5:C3258,C3258))</f>
        <v/>
      </c>
    </row>
    <row r="3259">
      <c r="A3259" s="41" t="n"/>
      <c r="B3259" s="37" t="n"/>
      <c r="C3259" s="37" t="n"/>
      <c r="D3259" s="39" t="str">
        <f>IF(C3259="","",IFERROR(INDEX(art_des,MATCH(C3259,art_ref,0))&amp;"","Référence inconnue"))</f>
        <v/>
      </c>
      <c r="E3259" s="37" t="n"/>
      <c r="F3259" s="39" t="str">
        <f>IF(C3259="","",IFERROR(INDEX(art_unit,MATCH(C3259,art_ref,0))&amp;"",""))</f>
        <v/>
      </c>
      <c r="G3259" s="37" t="n"/>
      <c r="H3259" s="37" t="n"/>
      <c r="I3259" s="37" t="n"/>
      <c r="J3259" s="40" t="str">
        <f>IF(OR(C3259="",NOT(ISNUMBER(E3259))),"",IFERROR(E3259*N(INDEX(art_price,MATCH(C3259,art_ref,0))),""))</f>
        <v/>
      </c>
      <c r="K3259" s="39" t="str">
        <f>IF(OR(C3259="",NOT(ISNUMBER(E3259))),"",IFERROR(ROUND(N(INDEX(art_init,MATCH(C3259,art_ref,0)))+SUMIFS($E$5:E3259,$C$5:C3259,C3259,$B$5:B3259,"Entrée")-SUMIFS($E$5:E3259,$C$5:C3259,C3259,$B$5:B3259,"Sortie"),6),""))</f>
        <v/>
      </c>
      <c r="L3259" s="39" t="str">
        <f>IF(COUNTA(A3259:C3259,E3259)=0,"",IF(COUNTA(A3259:C3259,E3259)&lt;4,"Ligne incomplète",IF(NOT(ISNUMBER(A3259)),"Date invalide",IF(AND(B3259&lt;&gt;"Entrée",B3259&lt;&gt;"Sortie"),"Type inconnu",IF(ISNA(MATCH(C3259,art_ref,0)),"Référence inconnue",IF(OR(NOT(ISNUMBER(E3259)),N(E3259)&lt;=0),"Quantité invalide",IF(K3259&lt;0,"Stock négatif",IF(AND(ISNUMBER(A3258),A3259&lt;A3258),"Date hors ordre","OK"))))))))</f>
        <v/>
      </c>
      <c r="M3259" s="39" t="str">
        <f>IF(C3259="","",C3259&amp;"#"&amp;COUNTIF($C$5:C3259,C3259))</f>
        <v/>
      </c>
    </row>
    <row r="3260">
      <c r="A3260" s="41" t="n"/>
      <c r="B3260" s="37" t="n"/>
      <c r="C3260" s="37" t="n"/>
      <c r="D3260" s="39" t="str">
        <f>IF(C3260="","",IFERROR(INDEX(art_des,MATCH(C3260,art_ref,0))&amp;"","Référence inconnue"))</f>
        <v/>
      </c>
      <c r="E3260" s="37" t="n"/>
      <c r="F3260" s="39" t="str">
        <f>IF(C3260="","",IFERROR(INDEX(art_unit,MATCH(C3260,art_ref,0))&amp;"",""))</f>
        <v/>
      </c>
      <c r="G3260" s="37" t="n"/>
      <c r="H3260" s="37" t="n"/>
      <c r="I3260" s="37" t="n"/>
      <c r="J3260" s="40" t="str">
        <f>IF(OR(C3260="",NOT(ISNUMBER(E3260))),"",IFERROR(E3260*N(INDEX(art_price,MATCH(C3260,art_ref,0))),""))</f>
        <v/>
      </c>
      <c r="K3260" s="39" t="str">
        <f>IF(OR(C3260="",NOT(ISNUMBER(E3260))),"",IFERROR(ROUND(N(INDEX(art_init,MATCH(C3260,art_ref,0)))+SUMIFS($E$5:E3260,$C$5:C3260,C3260,$B$5:B3260,"Entrée")-SUMIFS($E$5:E3260,$C$5:C3260,C3260,$B$5:B3260,"Sortie"),6),""))</f>
        <v/>
      </c>
      <c r="L3260" s="39" t="str">
        <f>IF(COUNTA(A3260:C3260,E3260)=0,"",IF(COUNTA(A3260:C3260,E3260)&lt;4,"Ligne incomplète",IF(NOT(ISNUMBER(A3260)),"Date invalide",IF(AND(B3260&lt;&gt;"Entrée",B3260&lt;&gt;"Sortie"),"Type inconnu",IF(ISNA(MATCH(C3260,art_ref,0)),"Référence inconnue",IF(OR(NOT(ISNUMBER(E3260)),N(E3260)&lt;=0),"Quantité invalide",IF(K3260&lt;0,"Stock négatif",IF(AND(ISNUMBER(A3259),A3260&lt;A3259),"Date hors ordre","OK"))))))))</f>
        <v/>
      </c>
      <c r="M3260" s="39" t="str">
        <f>IF(C3260="","",C3260&amp;"#"&amp;COUNTIF($C$5:C3260,C3260))</f>
        <v/>
      </c>
    </row>
    <row r="3261">
      <c r="A3261" s="41" t="n"/>
      <c r="B3261" s="37" t="n"/>
      <c r="C3261" s="37" t="n"/>
      <c r="D3261" s="39" t="str">
        <f>IF(C3261="","",IFERROR(INDEX(art_des,MATCH(C3261,art_ref,0))&amp;"","Référence inconnue"))</f>
        <v/>
      </c>
      <c r="E3261" s="37" t="n"/>
      <c r="F3261" s="39" t="str">
        <f>IF(C3261="","",IFERROR(INDEX(art_unit,MATCH(C3261,art_ref,0))&amp;"",""))</f>
        <v/>
      </c>
      <c r="G3261" s="37" t="n"/>
      <c r="H3261" s="37" t="n"/>
      <c r="I3261" s="37" t="n"/>
      <c r="J3261" s="40" t="str">
        <f>IF(OR(C3261="",NOT(ISNUMBER(E3261))),"",IFERROR(E3261*N(INDEX(art_price,MATCH(C3261,art_ref,0))),""))</f>
        <v/>
      </c>
      <c r="K3261" s="39" t="str">
        <f>IF(OR(C3261="",NOT(ISNUMBER(E3261))),"",IFERROR(ROUND(N(INDEX(art_init,MATCH(C3261,art_ref,0)))+SUMIFS($E$5:E3261,$C$5:C3261,C3261,$B$5:B3261,"Entrée")-SUMIFS($E$5:E3261,$C$5:C3261,C3261,$B$5:B3261,"Sortie"),6),""))</f>
        <v/>
      </c>
      <c r="L3261" s="39" t="str">
        <f>IF(COUNTA(A3261:C3261,E3261)=0,"",IF(COUNTA(A3261:C3261,E3261)&lt;4,"Ligne incomplète",IF(NOT(ISNUMBER(A3261)),"Date invalide",IF(AND(B3261&lt;&gt;"Entrée",B3261&lt;&gt;"Sortie"),"Type inconnu",IF(ISNA(MATCH(C3261,art_ref,0)),"Référence inconnue",IF(OR(NOT(ISNUMBER(E3261)),N(E3261)&lt;=0),"Quantité invalide",IF(K3261&lt;0,"Stock négatif",IF(AND(ISNUMBER(A3260),A3261&lt;A3260),"Date hors ordre","OK"))))))))</f>
        <v/>
      </c>
      <c r="M3261" s="39" t="str">
        <f>IF(C3261="","",C3261&amp;"#"&amp;COUNTIF($C$5:C3261,C3261))</f>
        <v/>
      </c>
    </row>
    <row r="3262">
      <c r="A3262" s="41" t="n"/>
      <c r="B3262" s="37" t="n"/>
      <c r="C3262" s="37" t="n"/>
      <c r="D3262" s="39" t="str">
        <f>IF(C3262="","",IFERROR(INDEX(art_des,MATCH(C3262,art_ref,0))&amp;"","Référence inconnue"))</f>
        <v/>
      </c>
      <c r="E3262" s="37" t="n"/>
      <c r="F3262" s="39" t="str">
        <f>IF(C3262="","",IFERROR(INDEX(art_unit,MATCH(C3262,art_ref,0))&amp;"",""))</f>
        <v/>
      </c>
      <c r="G3262" s="37" t="n"/>
      <c r="H3262" s="37" t="n"/>
      <c r="I3262" s="37" t="n"/>
      <c r="J3262" s="40" t="str">
        <f>IF(OR(C3262="",NOT(ISNUMBER(E3262))),"",IFERROR(E3262*N(INDEX(art_price,MATCH(C3262,art_ref,0))),""))</f>
        <v/>
      </c>
      <c r="K3262" s="39" t="str">
        <f>IF(OR(C3262="",NOT(ISNUMBER(E3262))),"",IFERROR(ROUND(N(INDEX(art_init,MATCH(C3262,art_ref,0)))+SUMIFS($E$5:E3262,$C$5:C3262,C3262,$B$5:B3262,"Entrée")-SUMIFS($E$5:E3262,$C$5:C3262,C3262,$B$5:B3262,"Sortie"),6),""))</f>
        <v/>
      </c>
      <c r="L3262" s="39" t="str">
        <f>IF(COUNTA(A3262:C3262,E3262)=0,"",IF(COUNTA(A3262:C3262,E3262)&lt;4,"Ligne incomplète",IF(NOT(ISNUMBER(A3262)),"Date invalide",IF(AND(B3262&lt;&gt;"Entrée",B3262&lt;&gt;"Sortie"),"Type inconnu",IF(ISNA(MATCH(C3262,art_ref,0)),"Référence inconnue",IF(OR(NOT(ISNUMBER(E3262)),N(E3262)&lt;=0),"Quantité invalide",IF(K3262&lt;0,"Stock négatif",IF(AND(ISNUMBER(A3261),A3262&lt;A3261),"Date hors ordre","OK"))))))))</f>
        <v/>
      </c>
      <c r="M3262" s="39" t="str">
        <f>IF(C3262="","",C3262&amp;"#"&amp;COUNTIF($C$5:C3262,C3262))</f>
        <v/>
      </c>
    </row>
    <row r="3263">
      <c r="A3263" s="41" t="n"/>
      <c r="B3263" s="37" t="n"/>
      <c r="C3263" s="37" t="n"/>
      <c r="D3263" s="39" t="str">
        <f>IF(C3263="","",IFERROR(INDEX(art_des,MATCH(C3263,art_ref,0))&amp;"","Référence inconnue"))</f>
        <v/>
      </c>
      <c r="E3263" s="37" t="n"/>
      <c r="F3263" s="39" t="str">
        <f>IF(C3263="","",IFERROR(INDEX(art_unit,MATCH(C3263,art_ref,0))&amp;"",""))</f>
        <v/>
      </c>
      <c r="G3263" s="37" t="n"/>
      <c r="H3263" s="37" t="n"/>
      <c r="I3263" s="37" t="n"/>
      <c r="J3263" s="40" t="str">
        <f>IF(OR(C3263="",NOT(ISNUMBER(E3263))),"",IFERROR(E3263*N(INDEX(art_price,MATCH(C3263,art_ref,0))),""))</f>
        <v/>
      </c>
      <c r="K3263" s="39" t="str">
        <f>IF(OR(C3263="",NOT(ISNUMBER(E3263))),"",IFERROR(ROUND(N(INDEX(art_init,MATCH(C3263,art_ref,0)))+SUMIFS($E$5:E3263,$C$5:C3263,C3263,$B$5:B3263,"Entrée")-SUMIFS($E$5:E3263,$C$5:C3263,C3263,$B$5:B3263,"Sortie"),6),""))</f>
        <v/>
      </c>
      <c r="L3263" s="39" t="str">
        <f>IF(COUNTA(A3263:C3263,E3263)=0,"",IF(COUNTA(A3263:C3263,E3263)&lt;4,"Ligne incomplète",IF(NOT(ISNUMBER(A3263)),"Date invalide",IF(AND(B3263&lt;&gt;"Entrée",B3263&lt;&gt;"Sortie"),"Type inconnu",IF(ISNA(MATCH(C3263,art_ref,0)),"Référence inconnue",IF(OR(NOT(ISNUMBER(E3263)),N(E3263)&lt;=0),"Quantité invalide",IF(K3263&lt;0,"Stock négatif",IF(AND(ISNUMBER(A3262),A3263&lt;A3262),"Date hors ordre","OK"))))))))</f>
        <v/>
      </c>
      <c r="M3263" s="39" t="str">
        <f>IF(C3263="","",C3263&amp;"#"&amp;COUNTIF($C$5:C3263,C3263))</f>
        <v/>
      </c>
    </row>
    <row r="3264">
      <c r="A3264" s="41" t="n"/>
      <c r="B3264" s="37" t="n"/>
      <c r="C3264" s="37" t="n"/>
      <c r="D3264" s="39" t="str">
        <f>IF(C3264="","",IFERROR(INDEX(art_des,MATCH(C3264,art_ref,0))&amp;"","Référence inconnue"))</f>
        <v/>
      </c>
      <c r="E3264" s="37" t="n"/>
      <c r="F3264" s="39" t="str">
        <f>IF(C3264="","",IFERROR(INDEX(art_unit,MATCH(C3264,art_ref,0))&amp;"",""))</f>
        <v/>
      </c>
      <c r="G3264" s="37" t="n"/>
      <c r="H3264" s="37" t="n"/>
      <c r="I3264" s="37" t="n"/>
      <c r="J3264" s="40" t="str">
        <f>IF(OR(C3264="",NOT(ISNUMBER(E3264))),"",IFERROR(E3264*N(INDEX(art_price,MATCH(C3264,art_ref,0))),""))</f>
        <v/>
      </c>
      <c r="K3264" s="39" t="str">
        <f>IF(OR(C3264="",NOT(ISNUMBER(E3264))),"",IFERROR(ROUND(N(INDEX(art_init,MATCH(C3264,art_ref,0)))+SUMIFS($E$5:E3264,$C$5:C3264,C3264,$B$5:B3264,"Entrée")-SUMIFS($E$5:E3264,$C$5:C3264,C3264,$B$5:B3264,"Sortie"),6),""))</f>
        <v/>
      </c>
      <c r="L3264" s="39" t="str">
        <f>IF(COUNTA(A3264:C3264,E3264)=0,"",IF(COUNTA(A3264:C3264,E3264)&lt;4,"Ligne incomplète",IF(NOT(ISNUMBER(A3264)),"Date invalide",IF(AND(B3264&lt;&gt;"Entrée",B3264&lt;&gt;"Sortie"),"Type inconnu",IF(ISNA(MATCH(C3264,art_ref,0)),"Référence inconnue",IF(OR(NOT(ISNUMBER(E3264)),N(E3264)&lt;=0),"Quantité invalide",IF(K3264&lt;0,"Stock négatif",IF(AND(ISNUMBER(A3263),A3264&lt;A3263),"Date hors ordre","OK"))))))))</f>
        <v/>
      </c>
      <c r="M3264" s="39" t="str">
        <f>IF(C3264="","",C3264&amp;"#"&amp;COUNTIF($C$5:C3264,C3264))</f>
        <v/>
      </c>
    </row>
    <row r="3265">
      <c r="A3265" s="41" t="n"/>
      <c r="B3265" s="37" t="n"/>
      <c r="C3265" s="37" t="n"/>
      <c r="D3265" s="39" t="str">
        <f>IF(C3265="","",IFERROR(INDEX(art_des,MATCH(C3265,art_ref,0))&amp;"","Référence inconnue"))</f>
        <v/>
      </c>
      <c r="E3265" s="37" t="n"/>
      <c r="F3265" s="39" t="str">
        <f>IF(C3265="","",IFERROR(INDEX(art_unit,MATCH(C3265,art_ref,0))&amp;"",""))</f>
        <v/>
      </c>
      <c r="G3265" s="37" t="n"/>
      <c r="H3265" s="37" t="n"/>
      <c r="I3265" s="37" t="n"/>
      <c r="J3265" s="40" t="str">
        <f>IF(OR(C3265="",NOT(ISNUMBER(E3265))),"",IFERROR(E3265*N(INDEX(art_price,MATCH(C3265,art_ref,0))),""))</f>
        <v/>
      </c>
      <c r="K3265" s="39" t="str">
        <f>IF(OR(C3265="",NOT(ISNUMBER(E3265))),"",IFERROR(ROUND(N(INDEX(art_init,MATCH(C3265,art_ref,0)))+SUMIFS($E$5:E3265,$C$5:C3265,C3265,$B$5:B3265,"Entrée")-SUMIFS($E$5:E3265,$C$5:C3265,C3265,$B$5:B3265,"Sortie"),6),""))</f>
        <v/>
      </c>
      <c r="L3265" s="39" t="str">
        <f>IF(COUNTA(A3265:C3265,E3265)=0,"",IF(COUNTA(A3265:C3265,E3265)&lt;4,"Ligne incomplète",IF(NOT(ISNUMBER(A3265)),"Date invalide",IF(AND(B3265&lt;&gt;"Entrée",B3265&lt;&gt;"Sortie"),"Type inconnu",IF(ISNA(MATCH(C3265,art_ref,0)),"Référence inconnue",IF(OR(NOT(ISNUMBER(E3265)),N(E3265)&lt;=0),"Quantité invalide",IF(K3265&lt;0,"Stock négatif",IF(AND(ISNUMBER(A3264),A3265&lt;A3264),"Date hors ordre","OK"))))))))</f>
        <v/>
      </c>
      <c r="M3265" s="39" t="str">
        <f>IF(C3265="","",C3265&amp;"#"&amp;COUNTIF($C$5:C3265,C3265))</f>
        <v/>
      </c>
    </row>
    <row r="3266">
      <c r="A3266" s="41" t="n"/>
      <c r="B3266" s="37" t="n"/>
      <c r="C3266" s="37" t="n"/>
      <c r="D3266" s="39" t="str">
        <f>IF(C3266="","",IFERROR(INDEX(art_des,MATCH(C3266,art_ref,0))&amp;"","Référence inconnue"))</f>
        <v/>
      </c>
      <c r="E3266" s="37" t="n"/>
      <c r="F3266" s="39" t="str">
        <f>IF(C3266="","",IFERROR(INDEX(art_unit,MATCH(C3266,art_ref,0))&amp;"",""))</f>
        <v/>
      </c>
      <c r="G3266" s="37" t="n"/>
      <c r="H3266" s="37" t="n"/>
      <c r="I3266" s="37" t="n"/>
      <c r="J3266" s="40" t="str">
        <f>IF(OR(C3266="",NOT(ISNUMBER(E3266))),"",IFERROR(E3266*N(INDEX(art_price,MATCH(C3266,art_ref,0))),""))</f>
        <v/>
      </c>
      <c r="K3266" s="39" t="str">
        <f>IF(OR(C3266="",NOT(ISNUMBER(E3266))),"",IFERROR(ROUND(N(INDEX(art_init,MATCH(C3266,art_ref,0)))+SUMIFS($E$5:E3266,$C$5:C3266,C3266,$B$5:B3266,"Entrée")-SUMIFS($E$5:E3266,$C$5:C3266,C3266,$B$5:B3266,"Sortie"),6),""))</f>
        <v/>
      </c>
      <c r="L3266" s="39" t="str">
        <f>IF(COUNTA(A3266:C3266,E3266)=0,"",IF(COUNTA(A3266:C3266,E3266)&lt;4,"Ligne incomplète",IF(NOT(ISNUMBER(A3266)),"Date invalide",IF(AND(B3266&lt;&gt;"Entrée",B3266&lt;&gt;"Sortie"),"Type inconnu",IF(ISNA(MATCH(C3266,art_ref,0)),"Référence inconnue",IF(OR(NOT(ISNUMBER(E3266)),N(E3266)&lt;=0),"Quantité invalide",IF(K3266&lt;0,"Stock négatif",IF(AND(ISNUMBER(A3265),A3266&lt;A3265),"Date hors ordre","OK"))))))))</f>
        <v/>
      </c>
      <c r="M3266" s="39" t="str">
        <f>IF(C3266="","",C3266&amp;"#"&amp;COUNTIF($C$5:C3266,C3266))</f>
        <v/>
      </c>
    </row>
    <row r="3267">
      <c r="A3267" s="41" t="n"/>
      <c r="B3267" s="37" t="n"/>
      <c r="C3267" s="37" t="n"/>
      <c r="D3267" s="39" t="str">
        <f>IF(C3267="","",IFERROR(INDEX(art_des,MATCH(C3267,art_ref,0))&amp;"","Référence inconnue"))</f>
        <v/>
      </c>
      <c r="E3267" s="37" t="n"/>
      <c r="F3267" s="39" t="str">
        <f>IF(C3267="","",IFERROR(INDEX(art_unit,MATCH(C3267,art_ref,0))&amp;"",""))</f>
        <v/>
      </c>
      <c r="G3267" s="37" t="n"/>
      <c r="H3267" s="37" t="n"/>
      <c r="I3267" s="37" t="n"/>
      <c r="J3267" s="40" t="str">
        <f>IF(OR(C3267="",NOT(ISNUMBER(E3267))),"",IFERROR(E3267*N(INDEX(art_price,MATCH(C3267,art_ref,0))),""))</f>
        <v/>
      </c>
      <c r="K3267" s="39" t="str">
        <f>IF(OR(C3267="",NOT(ISNUMBER(E3267))),"",IFERROR(ROUND(N(INDEX(art_init,MATCH(C3267,art_ref,0)))+SUMIFS($E$5:E3267,$C$5:C3267,C3267,$B$5:B3267,"Entrée")-SUMIFS($E$5:E3267,$C$5:C3267,C3267,$B$5:B3267,"Sortie"),6),""))</f>
        <v/>
      </c>
      <c r="L3267" s="39" t="str">
        <f>IF(COUNTA(A3267:C3267,E3267)=0,"",IF(COUNTA(A3267:C3267,E3267)&lt;4,"Ligne incomplète",IF(NOT(ISNUMBER(A3267)),"Date invalide",IF(AND(B3267&lt;&gt;"Entrée",B3267&lt;&gt;"Sortie"),"Type inconnu",IF(ISNA(MATCH(C3267,art_ref,0)),"Référence inconnue",IF(OR(NOT(ISNUMBER(E3267)),N(E3267)&lt;=0),"Quantité invalide",IF(K3267&lt;0,"Stock négatif",IF(AND(ISNUMBER(A3266),A3267&lt;A3266),"Date hors ordre","OK"))))))))</f>
        <v/>
      </c>
      <c r="M3267" s="39" t="str">
        <f>IF(C3267="","",C3267&amp;"#"&amp;COUNTIF($C$5:C3267,C3267))</f>
        <v/>
      </c>
    </row>
    <row r="3268">
      <c r="A3268" s="41" t="n"/>
      <c r="B3268" s="37" t="n"/>
      <c r="C3268" s="37" t="n"/>
      <c r="D3268" s="39" t="str">
        <f>IF(C3268="","",IFERROR(INDEX(art_des,MATCH(C3268,art_ref,0))&amp;"","Référence inconnue"))</f>
        <v/>
      </c>
      <c r="E3268" s="37" t="n"/>
      <c r="F3268" s="39" t="str">
        <f>IF(C3268="","",IFERROR(INDEX(art_unit,MATCH(C3268,art_ref,0))&amp;"",""))</f>
        <v/>
      </c>
      <c r="G3268" s="37" t="n"/>
      <c r="H3268" s="37" t="n"/>
      <c r="I3268" s="37" t="n"/>
      <c r="J3268" s="40" t="str">
        <f>IF(OR(C3268="",NOT(ISNUMBER(E3268))),"",IFERROR(E3268*N(INDEX(art_price,MATCH(C3268,art_ref,0))),""))</f>
        <v/>
      </c>
      <c r="K3268" s="39" t="str">
        <f>IF(OR(C3268="",NOT(ISNUMBER(E3268))),"",IFERROR(ROUND(N(INDEX(art_init,MATCH(C3268,art_ref,0)))+SUMIFS($E$5:E3268,$C$5:C3268,C3268,$B$5:B3268,"Entrée")-SUMIFS($E$5:E3268,$C$5:C3268,C3268,$B$5:B3268,"Sortie"),6),""))</f>
        <v/>
      </c>
      <c r="L3268" s="39" t="str">
        <f>IF(COUNTA(A3268:C3268,E3268)=0,"",IF(COUNTA(A3268:C3268,E3268)&lt;4,"Ligne incomplète",IF(NOT(ISNUMBER(A3268)),"Date invalide",IF(AND(B3268&lt;&gt;"Entrée",B3268&lt;&gt;"Sortie"),"Type inconnu",IF(ISNA(MATCH(C3268,art_ref,0)),"Référence inconnue",IF(OR(NOT(ISNUMBER(E3268)),N(E3268)&lt;=0),"Quantité invalide",IF(K3268&lt;0,"Stock négatif",IF(AND(ISNUMBER(A3267),A3268&lt;A3267),"Date hors ordre","OK"))))))))</f>
        <v/>
      </c>
      <c r="M3268" s="39" t="str">
        <f>IF(C3268="","",C3268&amp;"#"&amp;COUNTIF($C$5:C3268,C3268))</f>
        <v/>
      </c>
    </row>
    <row r="3269">
      <c r="A3269" s="41" t="n"/>
      <c r="B3269" s="37" t="n"/>
      <c r="C3269" s="37" t="n"/>
      <c r="D3269" s="39" t="str">
        <f>IF(C3269="","",IFERROR(INDEX(art_des,MATCH(C3269,art_ref,0))&amp;"","Référence inconnue"))</f>
        <v/>
      </c>
      <c r="E3269" s="37" t="n"/>
      <c r="F3269" s="39" t="str">
        <f>IF(C3269="","",IFERROR(INDEX(art_unit,MATCH(C3269,art_ref,0))&amp;"",""))</f>
        <v/>
      </c>
      <c r="G3269" s="37" t="n"/>
      <c r="H3269" s="37" t="n"/>
      <c r="I3269" s="37" t="n"/>
      <c r="J3269" s="40" t="str">
        <f>IF(OR(C3269="",NOT(ISNUMBER(E3269))),"",IFERROR(E3269*N(INDEX(art_price,MATCH(C3269,art_ref,0))),""))</f>
        <v/>
      </c>
      <c r="K3269" s="39" t="str">
        <f>IF(OR(C3269="",NOT(ISNUMBER(E3269))),"",IFERROR(ROUND(N(INDEX(art_init,MATCH(C3269,art_ref,0)))+SUMIFS($E$5:E3269,$C$5:C3269,C3269,$B$5:B3269,"Entrée")-SUMIFS($E$5:E3269,$C$5:C3269,C3269,$B$5:B3269,"Sortie"),6),""))</f>
        <v/>
      </c>
      <c r="L3269" s="39" t="str">
        <f>IF(COUNTA(A3269:C3269,E3269)=0,"",IF(COUNTA(A3269:C3269,E3269)&lt;4,"Ligne incomplète",IF(NOT(ISNUMBER(A3269)),"Date invalide",IF(AND(B3269&lt;&gt;"Entrée",B3269&lt;&gt;"Sortie"),"Type inconnu",IF(ISNA(MATCH(C3269,art_ref,0)),"Référence inconnue",IF(OR(NOT(ISNUMBER(E3269)),N(E3269)&lt;=0),"Quantité invalide",IF(K3269&lt;0,"Stock négatif",IF(AND(ISNUMBER(A3268),A3269&lt;A3268),"Date hors ordre","OK"))))))))</f>
        <v/>
      </c>
      <c r="M3269" s="39" t="str">
        <f>IF(C3269="","",C3269&amp;"#"&amp;COUNTIF($C$5:C3269,C3269))</f>
        <v/>
      </c>
    </row>
    <row r="3270">
      <c r="A3270" s="41" t="n"/>
      <c r="B3270" s="37" t="n"/>
      <c r="C3270" s="37" t="n"/>
      <c r="D3270" s="39" t="str">
        <f>IF(C3270="","",IFERROR(INDEX(art_des,MATCH(C3270,art_ref,0))&amp;"","Référence inconnue"))</f>
        <v/>
      </c>
      <c r="E3270" s="37" t="n"/>
      <c r="F3270" s="39" t="str">
        <f>IF(C3270="","",IFERROR(INDEX(art_unit,MATCH(C3270,art_ref,0))&amp;"",""))</f>
        <v/>
      </c>
      <c r="G3270" s="37" t="n"/>
      <c r="H3270" s="37" t="n"/>
      <c r="I3270" s="37" t="n"/>
      <c r="J3270" s="40" t="str">
        <f>IF(OR(C3270="",NOT(ISNUMBER(E3270))),"",IFERROR(E3270*N(INDEX(art_price,MATCH(C3270,art_ref,0))),""))</f>
        <v/>
      </c>
      <c r="K3270" s="39" t="str">
        <f>IF(OR(C3270="",NOT(ISNUMBER(E3270))),"",IFERROR(ROUND(N(INDEX(art_init,MATCH(C3270,art_ref,0)))+SUMIFS($E$5:E3270,$C$5:C3270,C3270,$B$5:B3270,"Entrée")-SUMIFS($E$5:E3270,$C$5:C3270,C3270,$B$5:B3270,"Sortie"),6),""))</f>
        <v/>
      </c>
      <c r="L3270" s="39" t="str">
        <f>IF(COUNTA(A3270:C3270,E3270)=0,"",IF(COUNTA(A3270:C3270,E3270)&lt;4,"Ligne incomplète",IF(NOT(ISNUMBER(A3270)),"Date invalide",IF(AND(B3270&lt;&gt;"Entrée",B3270&lt;&gt;"Sortie"),"Type inconnu",IF(ISNA(MATCH(C3270,art_ref,0)),"Référence inconnue",IF(OR(NOT(ISNUMBER(E3270)),N(E3270)&lt;=0),"Quantité invalide",IF(K3270&lt;0,"Stock négatif",IF(AND(ISNUMBER(A3269),A3270&lt;A3269),"Date hors ordre","OK"))))))))</f>
        <v/>
      </c>
      <c r="M3270" s="39" t="str">
        <f>IF(C3270="","",C3270&amp;"#"&amp;COUNTIF($C$5:C3270,C3270))</f>
        <v/>
      </c>
    </row>
    <row r="3271">
      <c r="A3271" s="41" t="n"/>
      <c r="B3271" s="37" t="n"/>
      <c r="C3271" s="37" t="n"/>
      <c r="D3271" s="39" t="str">
        <f>IF(C3271="","",IFERROR(INDEX(art_des,MATCH(C3271,art_ref,0))&amp;"","Référence inconnue"))</f>
        <v/>
      </c>
      <c r="E3271" s="37" t="n"/>
      <c r="F3271" s="39" t="str">
        <f>IF(C3271="","",IFERROR(INDEX(art_unit,MATCH(C3271,art_ref,0))&amp;"",""))</f>
        <v/>
      </c>
      <c r="G3271" s="37" t="n"/>
      <c r="H3271" s="37" t="n"/>
      <c r="I3271" s="37" t="n"/>
      <c r="J3271" s="40" t="str">
        <f>IF(OR(C3271="",NOT(ISNUMBER(E3271))),"",IFERROR(E3271*N(INDEX(art_price,MATCH(C3271,art_ref,0))),""))</f>
        <v/>
      </c>
      <c r="K3271" s="39" t="str">
        <f>IF(OR(C3271="",NOT(ISNUMBER(E3271))),"",IFERROR(ROUND(N(INDEX(art_init,MATCH(C3271,art_ref,0)))+SUMIFS($E$5:E3271,$C$5:C3271,C3271,$B$5:B3271,"Entrée")-SUMIFS($E$5:E3271,$C$5:C3271,C3271,$B$5:B3271,"Sortie"),6),""))</f>
        <v/>
      </c>
      <c r="L3271" s="39" t="str">
        <f>IF(COUNTA(A3271:C3271,E3271)=0,"",IF(COUNTA(A3271:C3271,E3271)&lt;4,"Ligne incomplète",IF(NOT(ISNUMBER(A3271)),"Date invalide",IF(AND(B3271&lt;&gt;"Entrée",B3271&lt;&gt;"Sortie"),"Type inconnu",IF(ISNA(MATCH(C3271,art_ref,0)),"Référence inconnue",IF(OR(NOT(ISNUMBER(E3271)),N(E3271)&lt;=0),"Quantité invalide",IF(K3271&lt;0,"Stock négatif",IF(AND(ISNUMBER(A3270),A3271&lt;A3270),"Date hors ordre","OK"))))))))</f>
        <v/>
      </c>
      <c r="M3271" s="39" t="str">
        <f>IF(C3271="","",C3271&amp;"#"&amp;COUNTIF($C$5:C3271,C3271))</f>
        <v/>
      </c>
    </row>
    <row r="3272">
      <c r="A3272" s="41" t="n"/>
      <c r="B3272" s="37" t="n"/>
      <c r="C3272" s="37" t="n"/>
      <c r="D3272" s="39" t="str">
        <f>IF(C3272="","",IFERROR(INDEX(art_des,MATCH(C3272,art_ref,0))&amp;"","Référence inconnue"))</f>
        <v/>
      </c>
      <c r="E3272" s="37" t="n"/>
      <c r="F3272" s="39" t="str">
        <f>IF(C3272="","",IFERROR(INDEX(art_unit,MATCH(C3272,art_ref,0))&amp;"",""))</f>
        <v/>
      </c>
      <c r="G3272" s="37" t="n"/>
      <c r="H3272" s="37" t="n"/>
      <c r="I3272" s="37" t="n"/>
      <c r="J3272" s="40" t="str">
        <f>IF(OR(C3272="",NOT(ISNUMBER(E3272))),"",IFERROR(E3272*N(INDEX(art_price,MATCH(C3272,art_ref,0))),""))</f>
        <v/>
      </c>
      <c r="K3272" s="39" t="str">
        <f>IF(OR(C3272="",NOT(ISNUMBER(E3272))),"",IFERROR(ROUND(N(INDEX(art_init,MATCH(C3272,art_ref,0)))+SUMIFS($E$5:E3272,$C$5:C3272,C3272,$B$5:B3272,"Entrée")-SUMIFS($E$5:E3272,$C$5:C3272,C3272,$B$5:B3272,"Sortie"),6),""))</f>
        <v/>
      </c>
      <c r="L3272" s="39" t="str">
        <f>IF(COUNTA(A3272:C3272,E3272)=0,"",IF(COUNTA(A3272:C3272,E3272)&lt;4,"Ligne incomplète",IF(NOT(ISNUMBER(A3272)),"Date invalide",IF(AND(B3272&lt;&gt;"Entrée",B3272&lt;&gt;"Sortie"),"Type inconnu",IF(ISNA(MATCH(C3272,art_ref,0)),"Référence inconnue",IF(OR(NOT(ISNUMBER(E3272)),N(E3272)&lt;=0),"Quantité invalide",IF(K3272&lt;0,"Stock négatif",IF(AND(ISNUMBER(A3271),A3272&lt;A3271),"Date hors ordre","OK"))))))))</f>
        <v/>
      </c>
      <c r="M3272" s="39" t="str">
        <f>IF(C3272="","",C3272&amp;"#"&amp;COUNTIF($C$5:C3272,C3272))</f>
        <v/>
      </c>
    </row>
    <row r="3273">
      <c r="A3273" s="41" t="n"/>
      <c r="B3273" s="37" t="n"/>
      <c r="C3273" s="37" t="n"/>
      <c r="D3273" s="39" t="str">
        <f>IF(C3273="","",IFERROR(INDEX(art_des,MATCH(C3273,art_ref,0))&amp;"","Référence inconnue"))</f>
        <v/>
      </c>
      <c r="E3273" s="37" t="n"/>
      <c r="F3273" s="39" t="str">
        <f>IF(C3273="","",IFERROR(INDEX(art_unit,MATCH(C3273,art_ref,0))&amp;"",""))</f>
        <v/>
      </c>
      <c r="G3273" s="37" t="n"/>
      <c r="H3273" s="37" t="n"/>
      <c r="I3273" s="37" t="n"/>
      <c r="J3273" s="40" t="str">
        <f>IF(OR(C3273="",NOT(ISNUMBER(E3273))),"",IFERROR(E3273*N(INDEX(art_price,MATCH(C3273,art_ref,0))),""))</f>
        <v/>
      </c>
      <c r="K3273" s="39" t="str">
        <f>IF(OR(C3273="",NOT(ISNUMBER(E3273))),"",IFERROR(ROUND(N(INDEX(art_init,MATCH(C3273,art_ref,0)))+SUMIFS($E$5:E3273,$C$5:C3273,C3273,$B$5:B3273,"Entrée")-SUMIFS($E$5:E3273,$C$5:C3273,C3273,$B$5:B3273,"Sortie"),6),""))</f>
        <v/>
      </c>
      <c r="L3273" s="39" t="str">
        <f>IF(COUNTA(A3273:C3273,E3273)=0,"",IF(COUNTA(A3273:C3273,E3273)&lt;4,"Ligne incomplète",IF(NOT(ISNUMBER(A3273)),"Date invalide",IF(AND(B3273&lt;&gt;"Entrée",B3273&lt;&gt;"Sortie"),"Type inconnu",IF(ISNA(MATCH(C3273,art_ref,0)),"Référence inconnue",IF(OR(NOT(ISNUMBER(E3273)),N(E3273)&lt;=0),"Quantité invalide",IF(K3273&lt;0,"Stock négatif",IF(AND(ISNUMBER(A3272),A3273&lt;A3272),"Date hors ordre","OK"))))))))</f>
        <v/>
      </c>
      <c r="M3273" s="39" t="str">
        <f>IF(C3273="","",C3273&amp;"#"&amp;COUNTIF($C$5:C3273,C3273))</f>
        <v/>
      </c>
    </row>
    <row r="3274">
      <c r="A3274" s="41" t="n"/>
      <c r="B3274" s="37" t="n"/>
      <c r="C3274" s="37" t="n"/>
      <c r="D3274" s="39" t="str">
        <f>IF(C3274="","",IFERROR(INDEX(art_des,MATCH(C3274,art_ref,0))&amp;"","Référence inconnue"))</f>
        <v/>
      </c>
      <c r="E3274" s="37" t="n"/>
      <c r="F3274" s="39" t="str">
        <f>IF(C3274="","",IFERROR(INDEX(art_unit,MATCH(C3274,art_ref,0))&amp;"",""))</f>
        <v/>
      </c>
      <c r="G3274" s="37" t="n"/>
      <c r="H3274" s="37" t="n"/>
      <c r="I3274" s="37" t="n"/>
      <c r="J3274" s="40" t="str">
        <f>IF(OR(C3274="",NOT(ISNUMBER(E3274))),"",IFERROR(E3274*N(INDEX(art_price,MATCH(C3274,art_ref,0))),""))</f>
        <v/>
      </c>
      <c r="K3274" s="39" t="str">
        <f>IF(OR(C3274="",NOT(ISNUMBER(E3274))),"",IFERROR(ROUND(N(INDEX(art_init,MATCH(C3274,art_ref,0)))+SUMIFS($E$5:E3274,$C$5:C3274,C3274,$B$5:B3274,"Entrée")-SUMIFS($E$5:E3274,$C$5:C3274,C3274,$B$5:B3274,"Sortie"),6),""))</f>
        <v/>
      </c>
      <c r="L3274" s="39" t="str">
        <f>IF(COUNTA(A3274:C3274,E3274)=0,"",IF(COUNTA(A3274:C3274,E3274)&lt;4,"Ligne incomplète",IF(NOT(ISNUMBER(A3274)),"Date invalide",IF(AND(B3274&lt;&gt;"Entrée",B3274&lt;&gt;"Sortie"),"Type inconnu",IF(ISNA(MATCH(C3274,art_ref,0)),"Référence inconnue",IF(OR(NOT(ISNUMBER(E3274)),N(E3274)&lt;=0),"Quantité invalide",IF(K3274&lt;0,"Stock négatif",IF(AND(ISNUMBER(A3273),A3274&lt;A3273),"Date hors ordre","OK"))))))))</f>
        <v/>
      </c>
      <c r="M3274" s="39" t="str">
        <f>IF(C3274="","",C3274&amp;"#"&amp;COUNTIF($C$5:C3274,C3274))</f>
        <v/>
      </c>
    </row>
    <row r="3275">
      <c r="A3275" s="41" t="n"/>
      <c r="B3275" s="37" t="n"/>
      <c r="C3275" s="37" t="n"/>
      <c r="D3275" s="39" t="str">
        <f>IF(C3275="","",IFERROR(INDEX(art_des,MATCH(C3275,art_ref,0))&amp;"","Référence inconnue"))</f>
        <v/>
      </c>
      <c r="E3275" s="37" t="n"/>
      <c r="F3275" s="39" t="str">
        <f>IF(C3275="","",IFERROR(INDEX(art_unit,MATCH(C3275,art_ref,0))&amp;"",""))</f>
        <v/>
      </c>
      <c r="G3275" s="37" t="n"/>
      <c r="H3275" s="37" t="n"/>
      <c r="I3275" s="37" t="n"/>
      <c r="J3275" s="40" t="str">
        <f>IF(OR(C3275="",NOT(ISNUMBER(E3275))),"",IFERROR(E3275*N(INDEX(art_price,MATCH(C3275,art_ref,0))),""))</f>
        <v/>
      </c>
      <c r="K3275" s="39" t="str">
        <f>IF(OR(C3275="",NOT(ISNUMBER(E3275))),"",IFERROR(ROUND(N(INDEX(art_init,MATCH(C3275,art_ref,0)))+SUMIFS($E$5:E3275,$C$5:C3275,C3275,$B$5:B3275,"Entrée")-SUMIFS($E$5:E3275,$C$5:C3275,C3275,$B$5:B3275,"Sortie"),6),""))</f>
        <v/>
      </c>
      <c r="L3275" s="39" t="str">
        <f>IF(COUNTA(A3275:C3275,E3275)=0,"",IF(COUNTA(A3275:C3275,E3275)&lt;4,"Ligne incomplète",IF(NOT(ISNUMBER(A3275)),"Date invalide",IF(AND(B3275&lt;&gt;"Entrée",B3275&lt;&gt;"Sortie"),"Type inconnu",IF(ISNA(MATCH(C3275,art_ref,0)),"Référence inconnue",IF(OR(NOT(ISNUMBER(E3275)),N(E3275)&lt;=0),"Quantité invalide",IF(K3275&lt;0,"Stock négatif",IF(AND(ISNUMBER(A3274),A3275&lt;A3274),"Date hors ordre","OK"))))))))</f>
        <v/>
      </c>
      <c r="M3275" s="39" t="str">
        <f>IF(C3275="","",C3275&amp;"#"&amp;COUNTIF($C$5:C3275,C3275))</f>
        <v/>
      </c>
    </row>
    <row r="3276">
      <c r="A3276" s="41" t="n"/>
      <c r="B3276" s="37" t="n"/>
      <c r="C3276" s="37" t="n"/>
      <c r="D3276" s="39" t="str">
        <f>IF(C3276="","",IFERROR(INDEX(art_des,MATCH(C3276,art_ref,0))&amp;"","Référence inconnue"))</f>
        <v/>
      </c>
      <c r="E3276" s="37" t="n"/>
      <c r="F3276" s="39" t="str">
        <f>IF(C3276="","",IFERROR(INDEX(art_unit,MATCH(C3276,art_ref,0))&amp;"",""))</f>
        <v/>
      </c>
      <c r="G3276" s="37" t="n"/>
      <c r="H3276" s="37" t="n"/>
      <c r="I3276" s="37" t="n"/>
      <c r="J3276" s="40" t="str">
        <f>IF(OR(C3276="",NOT(ISNUMBER(E3276))),"",IFERROR(E3276*N(INDEX(art_price,MATCH(C3276,art_ref,0))),""))</f>
        <v/>
      </c>
      <c r="K3276" s="39" t="str">
        <f>IF(OR(C3276="",NOT(ISNUMBER(E3276))),"",IFERROR(ROUND(N(INDEX(art_init,MATCH(C3276,art_ref,0)))+SUMIFS($E$5:E3276,$C$5:C3276,C3276,$B$5:B3276,"Entrée")-SUMIFS($E$5:E3276,$C$5:C3276,C3276,$B$5:B3276,"Sortie"),6),""))</f>
        <v/>
      </c>
      <c r="L3276" s="39" t="str">
        <f>IF(COUNTA(A3276:C3276,E3276)=0,"",IF(COUNTA(A3276:C3276,E3276)&lt;4,"Ligne incomplète",IF(NOT(ISNUMBER(A3276)),"Date invalide",IF(AND(B3276&lt;&gt;"Entrée",B3276&lt;&gt;"Sortie"),"Type inconnu",IF(ISNA(MATCH(C3276,art_ref,0)),"Référence inconnue",IF(OR(NOT(ISNUMBER(E3276)),N(E3276)&lt;=0),"Quantité invalide",IF(K3276&lt;0,"Stock négatif",IF(AND(ISNUMBER(A3275),A3276&lt;A3275),"Date hors ordre","OK"))))))))</f>
        <v/>
      </c>
      <c r="M3276" s="39" t="str">
        <f>IF(C3276="","",C3276&amp;"#"&amp;COUNTIF($C$5:C3276,C3276))</f>
        <v/>
      </c>
    </row>
    <row r="3277">
      <c r="A3277" s="41" t="n"/>
      <c r="B3277" s="37" t="n"/>
      <c r="C3277" s="37" t="n"/>
      <c r="D3277" s="39" t="str">
        <f>IF(C3277="","",IFERROR(INDEX(art_des,MATCH(C3277,art_ref,0))&amp;"","Référence inconnue"))</f>
        <v/>
      </c>
      <c r="E3277" s="37" t="n"/>
      <c r="F3277" s="39" t="str">
        <f>IF(C3277="","",IFERROR(INDEX(art_unit,MATCH(C3277,art_ref,0))&amp;"",""))</f>
        <v/>
      </c>
      <c r="G3277" s="37" t="n"/>
      <c r="H3277" s="37" t="n"/>
      <c r="I3277" s="37" t="n"/>
      <c r="J3277" s="40" t="str">
        <f>IF(OR(C3277="",NOT(ISNUMBER(E3277))),"",IFERROR(E3277*N(INDEX(art_price,MATCH(C3277,art_ref,0))),""))</f>
        <v/>
      </c>
      <c r="K3277" s="39" t="str">
        <f>IF(OR(C3277="",NOT(ISNUMBER(E3277))),"",IFERROR(ROUND(N(INDEX(art_init,MATCH(C3277,art_ref,0)))+SUMIFS($E$5:E3277,$C$5:C3277,C3277,$B$5:B3277,"Entrée")-SUMIFS($E$5:E3277,$C$5:C3277,C3277,$B$5:B3277,"Sortie"),6),""))</f>
        <v/>
      </c>
      <c r="L3277" s="39" t="str">
        <f>IF(COUNTA(A3277:C3277,E3277)=0,"",IF(COUNTA(A3277:C3277,E3277)&lt;4,"Ligne incomplète",IF(NOT(ISNUMBER(A3277)),"Date invalide",IF(AND(B3277&lt;&gt;"Entrée",B3277&lt;&gt;"Sortie"),"Type inconnu",IF(ISNA(MATCH(C3277,art_ref,0)),"Référence inconnue",IF(OR(NOT(ISNUMBER(E3277)),N(E3277)&lt;=0),"Quantité invalide",IF(K3277&lt;0,"Stock négatif",IF(AND(ISNUMBER(A3276),A3277&lt;A3276),"Date hors ordre","OK"))))))))</f>
        <v/>
      </c>
      <c r="M3277" s="39" t="str">
        <f>IF(C3277="","",C3277&amp;"#"&amp;COUNTIF($C$5:C3277,C3277))</f>
        <v/>
      </c>
    </row>
    <row r="3278">
      <c r="A3278" s="41" t="n"/>
      <c r="B3278" s="37" t="n"/>
      <c r="C3278" s="37" t="n"/>
      <c r="D3278" s="39" t="str">
        <f>IF(C3278="","",IFERROR(INDEX(art_des,MATCH(C3278,art_ref,0))&amp;"","Référence inconnue"))</f>
        <v/>
      </c>
      <c r="E3278" s="37" t="n"/>
      <c r="F3278" s="39" t="str">
        <f>IF(C3278="","",IFERROR(INDEX(art_unit,MATCH(C3278,art_ref,0))&amp;"",""))</f>
        <v/>
      </c>
      <c r="G3278" s="37" t="n"/>
      <c r="H3278" s="37" t="n"/>
      <c r="I3278" s="37" t="n"/>
      <c r="J3278" s="40" t="str">
        <f>IF(OR(C3278="",NOT(ISNUMBER(E3278))),"",IFERROR(E3278*N(INDEX(art_price,MATCH(C3278,art_ref,0))),""))</f>
        <v/>
      </c>
      <c r="K3278" s="39" t="str">
        <f>IF(OR(C3278="",NOT(ISNUMBER(E3278))),"",IFERROR(ROUND(N(INDEX(art_init,MATCH(C3278,art_ref,0)))+SUMIFS($E$5:E3278,$C$5:C3278,C3278,$B$5:B3278,"Entrée")-SUMIFS($E$5:E3278,$C$5:C3278,C3278,$B$5:B3278,"Sortie"),6),""))</f>
        <v/>
      </c>
      <c r="L3278" s="39" t="str">
        <f>IF(COUNTA(A3278:C3278,E3278)=0,"",IF(COUNTA(A3278:C3278,E3278)&lt;4,"Ligne incomplète",IF(NOT(ISNUMBER(A3278)),"Date invalide",IF(AND(B3278&lt;&gt;"Entrée",B3278&lt;&gt;"Sortie"),"Type inconnu",IF(ISNA(MATCH(C3278,art_ref,0)),"Référence inconnue",IF(OR(NOT(ISNUMBER(E3278)),N(E3278)&lt;=0),"Quantité invalide",IF(K3278&lt;0,"Stock négatif",IF(AND(ISNUMBER(A3277),A3278&lt;A3277),"Date hors ordre","OK"))))))))</f>
        <v/>
      </c>
      <c r="M3278" s="39" t="str">
        <f>IF(C3278="","",C3278&amp;"#"&amp;COUNTIF($C$5:C3278,C3278))</f>
        <v/>
      </c>
    </row>
    <row r="3279">
      <c r="A3279" s="41" t="n"/>
      <c r="B3279" s="37" t="n"/>
      <c r="C3279" s="37" t="n"/>
      <c r="D3279" s="39" t="str">
        <f>IF(C3279="","",IFERROR(INDEX(art_des,MATCH(C3279,art_ref,0))&amp;"","Référence inconnue"))</f>
        <v/>
      </c>
      <c r="E3279" s="37" t="n"/>
      <c r="F3279" s="39" t="str">
        <f>IF(C3279="","",IFERROR(INDEX(art_unit,MATCH(C3279,art_ref,0))&amp;"",""))</f>
        <v/>
      </c>
      <c r="G3279" s="37" t="n"/>
      <c r="H3279" s="37" t="n"/>
      <c r="I3279" s="37" t="n"/>
      <c r="J3279" s="40" t="str">
        <f>IF(OR(C3279="",NOT(ISNUMBER(E3279))),"",IFERROR(E3279*N(INDEX(art_price,MATCH(C3279,art_ref,0))),""))</f>
        <v/>
      </c>
      <c r="K3279" s="39" t="str">
        <f>IF(OR(C3279="",NOT(ISNUMBER(E3279))),"",IFERROR(ROUND(N(INDEX(art_init,MATCH(C3279,art_ref,0)))+SUMIFS($E$5:E3279,$C$5:C3279,C3279,$B$5:B3279,"Entrée")-SUMIFS($E$5:E3279,$C$5:C3279,C3279,$B$5:B3279,"Sortie"),6),""))</f>
        <v/>
      </c>
      <c r="L3279" s="39" t="str">
        <f>IF(COUNTA(A3279:C3279,E3279)=0,"",IF(COUNTA(A3279:C3279,E3279)&lt;4,"Ligne incomplète",IF(NOT(ISNUMBER(A3279)),"Date invalide",IF(AND(B3279&lt;&gt;"Entrée",B3279&lt;&gt;"Sortie"),"Type inconnu",IF(ISNA(MATCH(C3279,art_ref,0)),"Référence inconnue",IF(OR(NOT(ISNUMBER(E3279)),N(E3279)&lt;=0),"Quantité invalide",IF(K3279&lt;0,"Stock négatif",IF(AND(ISNUMBER(A3278),A3279&lt;A3278),"Date hors ordre","OK"))))))))</f>
        <v/>
      </c>
      <c r="M3279" s="39" t="str">
        <f>IF(C3279="","",C3279&amp;"#"&amp;COUNTIF($C$5:C3279,C3279))</f>
        <v/>
      </c>
    </row>
    <row r="3280">
      <c r="A3280" s="41" t="n"/>
      <c r="B3280" s="37" t="n"/>
      <c r="C3280" s="37" t="n"/>
      <c r="D3280" s="39" t="str">
        <f>IF(C3280="","",IFERROR(INDEX(art_des,MATCH(C3280,art_ref,0))&amp;"","Référence inconnue"))</f>
        <v/>
      </c>
      <c r="E3280" s="37" t="n"/>
      <c r="F3280" s="39" t="str">
        <f>IF(C3280="","",IFERROR(INDEX(art_unit,MATCH(C3280,art_ref,0))&amp;"",""))</f>
        <v/>
      </c>
      <c r="G3280" s="37" t="n"/>
      <c r="H3280" s="37" t="n"/>
      <c r="I3280" s="37" t="n"/>
      <c r="J3280" s="40" t="str">
        <f>IF(OR(C3280="",NOT(ISNUMBER(E3280))),"",IFERROR(E3280*N(INDEX(art_price,MATCH(C3280,art_ref,0))),""))</f>
        <v/>
      </c>
      <c r="K3280" s="39" t="str">
        <f>IF(OR(C3280="",NOT(ISNUMBER(E3280))),"",IFERROR(ROUND(N(INDEX(art_init,MATCH(C3280,art_ref,0)))+SUMIFS($E$5:E3280,$C$5:C3280,C3280,$B$5:B3280,"Entrée")-SUMIFS($E$5:E3280,$C$5:C3280,C3280,$B$5:B3280,"Sortie"),6),""))</f>
        <v/>
      </c>
      <c r="L3280" s="39" t="str">
        <f>IF(COUNTA(A3280:C3280,E3280)=0,"",IF(COUNTA(A3280:C3280,E3280)&lt;4,"Ligne incomplète",IF(NOT(ISNUMBER(A3280)),"Date invalide",IF(AND(B3280&lt;&gt;"Entrée",B3280&lt;&gt;"Sortie"),"Type inconnu",IF(ISNA(MATCH(C3280,art_ref,0)),"Référence inconnue",IF(OR(NOT(ISNUMBER(E3280)),N(E3280)&lt;=0),"Quantité invalide",IF(K3280&lt;0,"Stock négatif",IF(AND(ISNUMBER(A3279),A3280&lt;A3279),"Date hors ordre","OK"))))))))</f>
        <v/>
      </c>
      <c r="M3280" s="39" t="str">
        <f>IF(C3280="","",C3280&amp;"#"&amp;COUNTIF($C$5:C3280,C3280))</f>
        <v/>
      </c>
    </row>
    <row r="3281">
      <c r="A3281" s="41" t="n"/>
      <c r="B3281" s="37" t="n"/>
      <c r="C3281" s="37" t="n"/>
      <c r="D3281" s="39" t="str">
        <f>IF(C3281="","",IFERROR(INDEX(art_des,MATCH(C3281,art_ref,0))&amp;"","Référence inconnue"))</f>
        <v/>
      </c>
      <c r="E3281" s="37" t="n"/>
      <c r="F3281" s="39" t="str">
        <f>IF(C3281="","",IFERROR(INDEX(art_unit,MATCH(C3281,art_ref,0))&amp;"",""))</f>
        <v/>
      </c>
      <c r="G3281" s="37" t="n"/>
      <c r="H3281" s="37" t="n"/>
      <c r="I3281" s="37" t="n"/>
      <c r="J3281" s="40" t="str">
        <f>IF(OR(C3281="",NOT(ISNUMBER(E3281))),"",IFERROR(E3281*N(INDEX(art_price,MATCH(C3281,art_ref,0))),""))</f>
        <v/>
      </c>
      <c r="K3281" s="39" t="str">
        <f>IF(OR(C3281="",NOT(ISNUMBER(E3281))),"",IFERROR(ROUND(N(INDEX(art_init,MATCH(C3281,art_ref,0)))+SUMIFS($E$5:E3281,$C$5:C3281,C3281,$B$5:B3281,"Entrée")-SUMIFS($E$5:E3281,$C$5:C3281,C3281,$B$5:B3281,"Sortie"),6),""))</f>
        <v/>
      </c>
      <c r="L3281" s="39" t="str">
        <f>IF(COUNTA(A3281:C3281,E3281)=0,"",IF(COUNTA(A3281:C3281,E3281)&lt;4,"Ligne incomplète",IF(NOT(ISNUMBER(A3281)),"Date invalide",IF(AND(B3281&lt;&gt;"Entrée",B3281&lt;&gt;"Sortie"),"Type inconnu",IF(ISNA(MATCH(C3281,art_ref,0)),"Référence inconnue",IF(OR(NOT(ISNUMBER(E3281)),N(E3281)&lt;=0),"Quantité invalide",IF(K3281&lt;0,"Stock négatif",IF(AND(ISNUMBER(A3280),A3281&lt;A3280),"Date hors ordre","OK"))))))))</f>
        <v/>
      </c>
      <c r="M3281" s="39" t="str">
        <f>IF(C3281="","",C3281&amp;"#"&amp;COUNTIF($C$5:C3281,C3281))</f>
        <v/>
      </c>
    </row>
    <row r="3282">
      <c r="A3282" s="41" t="n"/>
      <c r="B3282" s="37" t="n"/>
      <c r="C3282" s="37" t="n"/>
      <c r="D3282" s="39" t="str">
        <f>IF(C3282="","",IFERROR(INDEX(art_des,MATCH(C3282,art_ref,0))&amp;"","Référence inconnue"))</f>
        <v/>
      </c>
      <c r="E3282" s="37" t="n"/>
      <c r="F3282" s="39" t="str">
        <f>IF(C3282="","",IFERROR(INDEX(art_unit,MATCH(C3282,art_ref,0))&amp;"",""))</f>
        <v/>
      </c>
      <c r="G3282" s="37" t="n"/>
      <c r="H3282" s="37" t="n"/>
      <c r="I3282" s="37" t="n"/>
      <c r="J3282" s="40" t="str">
        <f>IF(OR(C3282="",NOT(ISNUMBER(E3282))),"",IFERROR(E3282*N(INDEX(art_price,MATCH(C3282,art_ref,0))),""))</f>
        <v/>
      </c>
      <c r="K3282" s="39" t="str">
        <f>IF(OR(C3282="",NOT(ISNUMBER(E3282))),"",IFERROR(ROUND(N(INDEX(art_init,MATCH(C3282,art_ref,0)))+SUMIFS($E$5:E3282,$C$5:C3282,C3282,$B$5:B3282,"Entrée")-SUMIFS($E$5:E3282,$C$5:C3282,C3282,$B$5:B3282,"Sortie"),6),""))</f>
        <v/>
      </c>
      <c r="L3282" s="39" t="str">
        <f>IF(COUNTA(A3282:C3282,E3282)=0,"",IF(COUNTA(A3282:C3282,E3282)&lt;4,"Ligne incomplète",IF(NOT(ISNUMBER(A3282)),"Date invalide",IF(AND(B3282&lt;&gt;"Entrée",B3282&lt;&gt;"Sortie"),"Type inconnu",IF(ISNA(MATCH(C3282,art_ref,0)),"Référence inconnue",IF(OR(NOT(ISNUMBER(E3282)),N(E3282)&lt;=0),"Quantité invalide",IF(K3282&lt;0,"Stock négatif",IF(AND(ISNUMBER(A3281),A3282&lt;A3281),"Date hors ordre","OK"))))))))</f>
        <v/>
      </c>
      <c r="M3282" s="39" t="str">
        <f>IF(C3282="","",C3282&amp;"#"&amp;COUNTIF($C$5:C3282,C3282))</f>
        <v/>
      </c>
    </row>
    <row r="3283">
      <c r="A3283" s="41" t="n"/>
      <c r="B3283" s="37" t="n"/>
      <c r="C3283" s="37" t="n"/>
      <c r="D3283" s="39" t="str">
        <f>IF(C3283="","",IFERROR(INDEX(art_des,MATCH(C3283,art_ref,0))&amp;"","Référence inconnue"))</f>
        <v/>
      </c>
      <c r="E3283" s="37" t="n"/>
      <c r="F3283" s="39" t="str">
        <f>IF(C3283="","",IFERROR(INDEX(art_unit,MATCH(C3283,art_ref,0))&amp;"",""))</f>
        <v/>
      </c>
      <c r="G3283" s="37" t="n"/>
      <c r="H3283" s="37" t="n"/>
      <c r="I3283" s="37" t="n"/>
      <c r="J3283" s="40" t="str">
        <f>IF(OR(C3283="",NOT(ISNUMBER(E3283))),"",IFERROR(E3283*N(INDEX(art_price,MATCH(C3283,art_ref,0))),""))</f>
        <v/>
      </c>
      <c r="K3283" s="39" t="str">
        <f>IF(OR(C3283="",NOT(ISNUMBER(E3283))),"",IFERROR(ROUND(N(INDEX(art_init,MATCH(C3283,art_ref,0)))+SUMIFS($E$5:E3283,$C$5:C3283,C3283,$B$5:B3283,"Entrée")-SUMIFS($E$5:E3283,$C$5:C3283,C3283,$B$5:B3283,"Sortie"),6),""))</f>
        <v/>
      </c>
      <c r="L3283" s="39" t="str">
        <f>IF(COUNTA(A3283:C3283,E3283)=0,"",IF(COUNTA(A3283:C3283,E3283)&lt;4,"Ligne incomplète",IF(NOT(ISNUMBER(A3283)),"Date invalide",IF(AND(B3283&lt;&gt;"Entrée",B3283&lt;&gt;"Sortie"),"Type inconnu",IF(ISNA(MATCH(C3283,art_ref,0)),"Référence inconnue",IF(OR(NOT(ISNUMBER(E3283)),N(E3283)&lt;=0),"Quantité invalide",IF(K3283&lt;0,"Stock négatif",IF(AND(ISNUMBER(A3282),A3283&lt;A3282),"Date hors ordre","OK"))))))))</f>
        <v/>
      </c>
      <c r="M3283" s="39" t="str">
        <f>IF(C3283="","",C3283&amp;"#"&amp;COUNTIF($C$5:C3283,C3283))</f>
        <v/>
      </c>
    </row>
    <row r="3284">
      <c r="A3284" s="41" t="n"/>
      <c r="B3284" s="37" t="n"/>
      <c r="C3284" s="37" t="n"/>
      <c r="D3284" s="39" t="str">
        <f>IF(C3284="","",IFERROR(INDEX(art_des,MATCH(C3284,art_ref,0))&amp;"","Référence inconnue"))</f>
        <v/>
      </c>
      <c r="E3284" s="37" t="n"/>
      <c r="F3284" s="39" t="str">
        <f>IF(C3284="","",IFERROR(INDEX(art_unit,MATCH(C3284,art_ref,0))&amp;"",""))</f>
        <v/>
      </c>
      <c r="G3284" s="37" t="n"/>
      <c r="H3284" s="37" t="n"/>
      <c r="I3284" s="37" t="n"/>
      <c r="J3284" s="40" t="str">
        <f>IF(OR(C3284="",NOT(ISNUMBER(E3284))),"",IFERROR(E3284*N(INDEX(art_price,MATCH(C3284,art_ref,0))),""))</f>
        <v/>
      </c>
      <c r="K3284" s="39" t="str">
        <f>IF(OR(C3284="",NOT(ISNUMBER(E3284))),"",IFERROR(ROUND(N(INDEX(art_init,MATCH(C3284,art_ref,0)))+SUMIFS($E$5:E3284,$C$5:C3284,C3284,$B$5:B3284,"Entrée")-SUMIFS($E$5:E3284,$C$5:C3284,C3284,$B$5:B3284,"Sortie"),6),""))</f>
        <v/>
      </c>
      <c r="L3284" s="39" t="str">
        <f>IF(COUNTA(A3284:C3284,E3284)=0,"",IF(COUNTA(A3284:C3284,E3284)&lt;4,"Ligne incomplète",IF(NOT(ISNUMBER(A3284)),"Date invalide",IF(AND(B3284&lt;&gt;"Entrée",B3284&lt;&gt;"Sortie"),"Type inconnu",IF(ISNA(MATCH(C3284,art_ref,0)),"Référence inconnue",IF(OR(NOT(ISNUMBER(E3284)),N(E3284)&lt;=0),"Quantité invalide",IF(K3284&lt;0,"Stock négatif",IF(AND(ISNUMBER(A3283),A3284&lt;A3283),"Date hors ordre","OK"))))))))</f>
        <v/>
      </c>
      <c r="M3284" s="39" t="str">
        <f>IF(C3284="","",C3284&amp;"#"&amp;COUNTIF($C$5:C3284,C3284))</f>
        <v/>
      </c>
    </row>
    <row r="3285">
      <c r="A3285" s="41" t="n"/>
      <c r="B3285" s="37" t="n"/>
      <c r="C3285" s="37" t="n"/>
      <c r="D3285" s="39" t="str">
        <f>IF(C3285="","",IFERROR(INDEX(art_des,MATCH(C3285,art_ref,0))&amp;"","Référence inconnue"))</f>
        <v/>
      </c>
      <c r="E3285" s="37" t="n"/>
      <c r="F3285" s="39" t="str">
        <f>IF(C3285="","",IFERROR(INDEX(art_unit,MATCH(C3285,art_ref,0))&amp;"",""))</f>
        <v/>
      </c>
      <c r="G3285" s="37" t="n"/>
      <c r="H3285" s="37" t="n"/>
      <c r="I3285" s="37" t="n"/>
      <c r="J3285" s="40" t="str">
        <f>IF(OR(C3285="",NOT(ISNUMBER(E3285))),"",IFERROR(E3285*N(INDEX(art_price,MATCH(C3285,art_ref,0))),""))</f>
        <v/>
      </c>
      <c r="K3285" s="39" t="str">
        <f>IF(OR(C3285="",NOT(ISNUMBER(E3285))),"",IFERROR(ROUND(N(INDEX(art_init,MATCH(C3285,art_ref,0)))+SUMIFS($E$5:E3285,$C$5:C3285,C3285,$B$5:B3285,"Entrée")-SUMIFS($E$5:E3285,$C$5:C3285,C3285,$B$5:B3285,"Sortie"),6),""))</f>
        <v/>
      </c>
      <c r="L3285" s="39" t="str">
        <f>IF(COUNTA(A3285:C3285,E3285)=0,"",IF(COUNTA(A3285:C3285,E3285)&lt;4,"Ligne incomplète",IF(NOT(ISNUMBER(A3285)),"Date invalide",IF(AND(B3285&lt;&gt;"Entrée",B3285&lt;&gt;"Sortie"),"Type inconnu",IF(ISNA(MATCH(C3285,art_ref,0)),"Référence inconnue",IF(OR(NOT(ISNUMBER(E3285)),N(E3285)&lt;=0),"Quantité invalide",IF(K3285&lt;0,"Stock négatif",IF(AND(ISNUMBER(A3284),A3285&lt;A3284),"Date hors ordre","OK"))))))))</f>
        <v/>
      </c>
      <c r="M3285" s="39" t="str">
        <f>IF(C3285="","",C3285&amp;"#"&amp;COUNTIF($C$5:C3285,C3285))</f>
        <v/>
      </c>
    </row>
    <row r="3286">
      <c r="A3286" s="41" t="n"/>
      <c r="B3286" s="37" t="n"/>
      <c r="C3286" s="37" t="n"/>
      <c r="D3286" s="39" t="str">
        <f>IF(C3286="","",IFERROR(INDEX(art_des,MATCH(C3286,art_ref,0))&amp;"","Référence inconnue"))</f>
        <v/>
      </c>
      <c r="E3286" s="37" t="n"/>
      <c r="F3286" s="39" t="str">
        <f>IF(C3286="","",IFERROR(INDEX(art_unit,MATCH(C3286,art_ref,0))&amp;"",""))</f>
        <v/>
      </c>
      <c r="G3286" s="37" t="n"/>
      <c r="H3286" s="37" t="n"/>
      <c r="I3286" s="37" t="n"/>
      <c r="J3286" s="40" t="str">
        <f>IF(OR(C3286="",NOT(ISNUMBER(E3286))),"",IFERROR(E3286*N(INDEX(art_price,MATCH(C3286,art_ref,0))),""))</f>
        <v/>
      </c>
      <c r="K3286" s="39" t="str">
        <f>IF(OR(C3286="",NOT(ISNUMBER(E3286))),"",IFERROR(ROUND(N(INDEX(art_init,MATCH(C3286,art_ref,0)))+SUMIFS($E$5:E3286,$C$5:C3286,C3286,$B$5:B3286,"Entrée")-SUMIFS($E$5:E3286,$C$5:C3286,C3286,$B$5:B3286,"Sortie"),6),""))</f>
        <v/>
      </c>
      <c r="L3286" s="39" t="str">
        <f>IF(COUNTA(A3286:C3286,E3286)=0,"",IF(COUNTA(A3286:C3286,E3286)&lt;4,"Ligne incomplète",IF(NOT(ISNUMBER(A3286)),"Date invalide",IF(AND(B3286&lt;&gt;"Entrée",B3286&lt;&gt;"Sortie"),"Type inconnu",IF(ISNA(MATCH(C3286,art_ref,0)),"Référence inconnue",IF(OR(NOT(ISNUMBER(E3286)),N(E3286)&lt;=0),"Quantité invalide",IF(K3286&lt;0,"Stock négatif",IF(AND(ISNUMBER(A3285),A3286&lt;A3285),"Date hors ordre","OK"))))))))</f>
        <v/>
      </c>
      <c r="M3286" s="39" t="str">
        <f>IF(C3286="","",C3286&amp;"#"&amp;COUNTIF($C$5:C3286,C3286))</f>
        <v/>
      </c>
    </row>
    <row r="3287">
      <c r="A3287" s="41" t="n"/>
      <c r="B3287" s="37" t="n"/>
      <c r="C3287" s="37" t="n"/>
      <c r="D3287" s="39" t="str">
        <f>IF(C3287="","",IFERROR(INDEX(art_des,MATCH(C3287,art_ref,0))&amp;"","Référence inconnue"))</f>
        <v/>
      </c>
      <c r="E3287" s="37" t="n"/>
      <c r="F3287" s="39" t="str">
        <f>IF(C3287="","",IFERROR(INDEX(art_unit,MATCH(C3287,art_ref,0))&amp;"",""))</f>
        <v/>
      </c>
      <c r="G3287" s="37" t="n"/>
      <c r="H3287" s="37" t="n"/>
      <c r="I3287" s="37" t="n"/>
      <c r="J3287" s="40" t="str">
        <f>IF(OR(C3287="",NOT(ISNUMBER(E3287))),"",IFERROR(E3287*N(INDEX(art_price,MATCH(C3287,art_ref,0))),""))</f>
        <v/>
      </c>
      <c r="K3287" s="39" t="str">
        <f>IF(OR(C3287="",NOT(ISNUMBER(E3287))),"",IFERROR(ROUND(N(INDEX(art_init,MATCH(C3287,art_ref,0)))+SUMIFS($E$5:E3287,$C$5:C3287,C3287,$B$5:B3287,"Entrée")-SUMIFS($E$5:E3287,$C$5:C3287,C3287,$B$5:B3287,"Sortie"),6),""))</f>
        <v/>
      </c>
      <c r="L3287" s="39" t="str">
        <f>IF(COUNTA(A3287:C3287,E3287)=0,"",IF(COUNTA(A3287:C3287,E3287)&lt;4,"Ligne incomplète",IF(NOT(ISNUMBER(A3287)),"Date invalide",IF(AND(B3287&lt;&gt;"Entrée",B3287&lt;&gt;"Sortie"),"Type inconnu",IF(ISNA(MATCH(C3287,art_ref,0)),"Référence inconnue",IF(OR(NOT(ISNUMBER(E3287)),N(E3287)&lt;=0),"Quantité invalide",IF(K3287&lt;0,"Stock négatif",IF(AND(ISNUMBER(A3286),A3287&lt;A3286),"Date hors ordre","OK"))))))))</f>
        <v/>
      </c>
      <c r="M3287" s="39" t="str">
        <f>IF(C3287="","",C3287&amp;"#"&amp;COUNTIF($C$5:C3287,C3287))</f>
        <v/>
      </c>
    </row>
    <row r="3288">
      <c r="A3288" s="41" t="n"/>
      <c r="B3288" s="37" t="n"/>
      <c r="C3288" s="37" t="n"/>
      <c r="D3288" s="39" t="str">
        <f>IF(C3288="","",IFERROR(INDEX(art_des,MATCH(C3288,art_ref,0))&amp;"","Référence inconnue"))</f>
        <v/>
      </c>
      <c r="E3288" s="37" t="n"/>
      <c r="F3288" s="39" t="str">
        <f>IF(C3288="","",IFERROR(INDEX(art_unit,MATCH(C3288,art_ref,0))&amp;"",""))</f>
        <v/>
      </c>
      <c r="G3288" s="37" t="n"/>
      <c r="H3288" s="37" t="n"/>
      <c r="I3288" s="37" t="n"/>
      <c r="J3288" s="40" t="str">
        <f>IF(OR(C3288="",NOT(ISNUMBER(E3288))),"",IFERROR(E3288*N(INDEX(art_price,MATCH(C3288,art_ref,0))),""))</f>
        <v/>
      </c>
      <c r="K3288" s="39" t="str">
        <f>IF(OR(C3288="",NOT(ISNUMBER(E3288))),"",IFERROR(ROUND(N(INDEX(art_init,MATCH(C3288,art_ref,0)))+SUMIFS($E$5:E3288,$C$5:C3288,C3288,$B$5:B3288,"Entrée")-SUMIFS($E$5:E3288,$C$5:C3288,C3288,$B$5:B3288,"Sortie"),6),""))</f>
        <v/>
      </c>
      <c r="L3288" s="39" t="str">
        <f>IF(COUNTA(A3288:C3288,E3288)=0,"",IF(COUNTA(A3288:C3288,E3288)&lt;4,"Ligne incomplète",IF(NOT(ISNUMBER(A3288)),"Date invalide",IF(AND(B3288&lt;&gt;"Entrée",B3288&lt;&gt;"Sortie"),"Type inconnu",IF(ISNA(MATCH(C3288,art_ref,0)),"Référence inconnue",IF(OR(NOT(ISNUMBER(E3288)),N(E3288)&lt;=0),"Quantité invalide",IF(K3288&lt;0,"Stock négatif",IF(AND(ISNUMBER(A3287),A3288&lt;A3287),"Date hors ordre","OK"))))))))</f>
        <v/>
      </c>
      <c r="M3288" s="39" t="str">
        <f>IF(C3288="","",C3288&amp;"#"&amp;COUNTIF($C$5:C3288,C3288))</f>
        <v/>
      </c>
    </row>
    <row r="3289">
      <c r="A3289" s="41" t="n"/>
      <c r="B3289" s="37" t="n"/>
      <c r="C3289" s="37" t="n"/>
      <c r="D3289" s="39" t="str">
        <f>IF(C3289="","",IFERROR(INDEX(art_des,MATCH(C3289,art_ref,0))&amp;"","Référence inconnue"))</f>
        <v/>
      </c>
      <c r="E3289" s="37" t="n"/>
      <c r="F3289" s="39" t="str">
        <f>IF(C3289="","",IFERROR(INDEX(art_unit,MATCH(C3289,art_ref,0))&amp;"",""))</f>
        <v/>
      </c>
      <c r="G3289" s="37" t="n"/>
      <c r="H3289" s="37" t="n"/>
      <c r="I3289" s="37" t="n"/>
      <c r="J3289" s="40" t="str">
        <f>IF(OR(C3289="",NOT(ISNUMBER(E3289))),"",IFERROR(E3289*N(INDEX(art_price,MATCH(C3289,art_ref,0))),""))</f>
        <v/>
      </c>
      <c r="K3289" s="39" t="str">
        <f>IF(OR(C3289="",NOT(ISNUMBER(E3289))),"",IFERROR(ROUND(N(INDEX(art_init,MATCH(C3289,art_ref,0)))+SUMIFS($E$5:E3289,$C$5:C3289,C3289,$B$5:B3289,"Entrée")-SUMIFS($E$5:E3289,$C$5:C3289,C3289,$B$5:B3289,"Sortie"),6),""))</f>
        <v/>
      </c>
      <c r="L3289" s="39" t="str">
        <f>IF(COUNTA(A3289:C3289,E3289)=0,"",IF(COUNTA(A3289:C3289,E3289)&lt;4,"Ligne incomplète",IF(NOT(ISNUMBER(A3289)),"Date invalide",IF(AND(B3289&lt;&gt;"Entrée",B3289&lt;&gt;"Sortie"),"Type inconnu",IF(ISNA(MATCH(C3289,art_ref,0)),"Référence inconnue",IF(OR(NOT(ISNUMBER(E3289)),N(E3289)&lt;=0),"Quantité invalide",IF(K3289&lt;0,"Stock négatif",IF(AND(ISNUMBER(A3288),A3289&lt;A3288),"Date hors ordre","OK"))))))))</f>
        <v/>
      </c>
      <c r="M3289" s="39" t="str">
        <f>IF(C3289="","",C3289&amp;"#"&amp;COUNTIF($C$5:C3289,C3289))</f>
        <v/>
      </c>
    </row>
    <row r="3290">
      <c r="A3290" s="41" t="n"/>
      <c r="B3290" s="37" t="n"/>
      <c r="C3290" s="37" t="n"/>
      <c r="D3290" s="39" t="str">
        <f>IF(C3290="","",IFERROR(INDEX(art_des,MATCH(C3290,art_ref,0))&amp;"","Référence inconnue"))</f>
        <v/>
      </c>
      <c r="E3290" s="37" t="n"/>
      <c r="F3290" s="39" t="str">
        <f>IF(C3290="","",IFERROR(INDEX(art_unit,MATCH(C3290,art_ref,0))&amp;"",""))</f>
        <v/>
      </c>
      <c r="G3290" s="37" t="n"/>
      <c r="H3290" s="37" t="n"/>
      <c r="I3290" s="37" t="n"/>
      <c r="J3290" s="40" t="str">
        <f>IF(OR(C3290="",NOT(ISNUMBER(E3290))),"",IFERROR(E3290*N(INDEX(art_price,MATCH(C3290,art_ref,0))),""))</f>
        <v/>
      </c>
      <c r="K3290" s="39" t="str">
        <f>IF(OR(C3290="",NOT(ISNUMBER(E3290))),"",IFERROR(ROUND(N(INDEX(art_init,MATCH(C3290,art_ref,0)))+SUMIFS($E$5:E3290,$C$5:C3290,C3290,$B$5:B3290,"Entrée")-SUMIFS($E$5:E3290,$C$5:C3290,C3290,$B$5:B3290,"Sortie"),6),""))</f>
        <v/>
      </c>
      <c r="L3290" s="39" t="str">
        <f>IF(COUNTA(A3290:C3290,E3290)=0,"",IF(COUNTA(A3290:C3290,E3290)&lt;4,"Ligne incomplète",IF(NOT(ISNUMBER(A3290)),"Date invalide",IF(AND(B3290&lt;&gt;"Entrée",B3290&lt;&gt;"Sortie"),"Type inconnu",IF(ISNA(MATCH(C3290,art_ref,0)),"Référence inconnue",IF(OR(NOT(ISNUMBER(E3290)),N(E3290)&lt;=0),"Quantité invalide",IF(K3290&lt;0,"Stock négatif",IF(AND(ISNUMBER(A3289),A3290&lt;A3289),"Date hors ordre","OK"))))))))</f>
        <v/>
      </c>
      <c r="M3290" s="39" t="str">
        <f>IF(C3290="","",C3290&amp;"#"&amp;COUNTIF($C$5:C3290,C3290))</f>
        <v/>
      </c>
    </row>
    <row r="3291">
      <c r="A3291" s="41" t="n"/>
      <c r="B3291" s="37" t="n"/>
      <c r="C3291" s="37" t="n"/>
      <c r="D3291" s="39" t="str">
        <f>IF(C3291="","",IFERROR(INDEX(art_des,MATCH(C3291,art_ref,0))&amp;"","Référence inconnue"))</f>
        <v/>
      </c>
      <c r="E3291" s="37" t="n"/>
      <c r="F3291" s="39" t="str">
        <f>IF(C3291="","",IFERROR(INDEX(art_unit,MATCH(C3291,art_ref,0))&amp;"",""))</f>
        <v/>
      </c>
      <c r="G3291" s="37" t="n"/>
      <c r="H3291" s="37" t="n"/>
      <c r="I3291" s="37" t="n"/>
      <c r="J3291" s="40" t="str">
        <f>IF(OR(C3291="",NOT(ISNUMBER(E3291))),"",IFERROR(E3291*N(INDEX(art_price,MATCH(C3291,art_ref,0))),""))</f>
        <v/>
      </c>
      <c r="K3291" s="39" t="str">
        <f>IF(OR(C3291="",NOT(ISNUMBER(E3291))),"",IFERROR(ROUND(N(INDEX(art_init,MATCH(C3291,art_ref,0)))+SUMIFS($E$5:E3291,$C$5:C3291,C3291,$B$5:B3291,"Entrée")-SUMIFS($E$5:E3291,$C$5:C3291,C3291,$B$5:B3291,"Sortie"),6),""))</f>
        <v/>
      </c>
      <c r="L3291" s="39" t="str">
        <f>IF(COUNTA(A3291:C3291,E3291)=0,"",IF(COUNTA(A3291:C3291,E3291)&lt;4,"Ligne incomplète",IF(NOT(ISNUMBER(A3291)),"Date invalide",IF(AND(B3291&lt;&gt;"Entrée",B3291&lt;&gt;"Sortie"),"Type inconnu",IF(ISNA(MATCH(C3291,art_ref,0)),"Référence inconnue",IF(OR(NOT(ISNUMBER(E3291)),N(E3291)&lt;=0),"Quantité invalide",IF(K3291&lt;0,"Stock négatif",IF(AND(ISNUMBER(A3290),A3291&lt;A3290),"Date hors ordre","OK"))))))))</f>
        <v/>
      </c>
      <c r="M3291" s="39" t="str">
        <f>IF(C3291="","",C3291&amp;"#"&amp;COUNTIF($C$5:C3291,C3291))</f>
        <v/>
      </c>
    </row>
    <row r="3292">
      <c r="A3292" s="41" t="n"/>
      <c r="B3292" s="37" t="n"/>
      <c r="C3292" s="37" t="n"/>
      <c r="D3292" s="39" t="str">
        <f>IF(C3292="","",IFERROR(INDEX(art_des,MATCH(C3292,art_ref,0))&amp;"","Référence inconnue"))</f>
        <v/>
      </c>
      <c r="E3292" s="37" t="n"/>
      <c r="F3292" s="39" t="str">
        <f>IF(C3292="","",IFERROR(INDEX(art_unit,MATCH(C3292,art_ref,0))&amp;"",""))</f>
        <v/>
      </c>
      <c r="G3292" s="37" t="n"/>
      <c r="H3292" s="37" t="n"/>
      <c r="I3292" s="37" t="n"/>
      <c r="J3292" s="40" t="str">
        <f>IF(OR(C3292="",NOT(ISNUMBER(E3292))),"",IFERROR(E3292*N(INDEX(art_price,MATCH(C3292,art_ref,0))),""))</f>
        <v/>
      </c>
      <c r="K3292" s="39" t="str">
        <f>IF(OR(C3292="",NOT(ISNUMBER(E3292))),"",IFERROR(ROUND(N(INDEX(art_init,MATCH(C3292,art_ref,0)))+SUMIFS($E$5:E3292,$C$5:C3292,C3292,$B$5:B3292,"Entrée")-SUMIFS($E$5:E3292,$C$5:C3292,C3292,$B$5:B3292,"Sortie"),6),""))</f>
        <v/>
      </c>
      <c r="L3292" s="39" t="str">
        <f>IF(COUNTA(A3292:C3292,E3292)=0,"",IF(COUNTA(A3292:C3292,E3292)&lt;4,"Ligne incomplète",IF(NOT(ISNUMBER(A3292)),"Date invalide",IF(AND(B3292&lt;&gt;"Entrée",B3292&lt;&gt;"Sortie"),"Type inconnu",IF(ISNA(MATCH(C3292,art_ref,0)),"Référence inconnue",IF(OR(NOT(ISNUMBER(E3292)),N(E3292)&lt;=0),"Quantité invalide",IF(K3292&lt;0,"Stock négatif",IF(AND(ISNUMBER(A3291),A3292&lt;A3291),"Date hors ordre","OK"))))))))</f>
        <v/>
      </c>
      <c r="M3292" s="39" t="str">
        <f>IF(C3292="","",C3292&amp;"#"&amp;COUNTIF($C$5:C3292,C3292))</f>
        <v/>
      </c>
    </row>
    <row r="3293">
      <c r="A3293" s="41" t="n"/>
      <c r="B3293" s="37" t="n"/>
      <c r="C3293" s="37" t="n"/>
      <c r="D3293" s="39" t="str">
        <f>IF(C3293="","",IFERROR(INDEX(art_des,MATCH(C3293,art_ref,0))&amp;"","Référence inconnue"))</f>
        <v/>
      </c>
      <c r="E3293" s="37" t="n"/>
      <c r="F3293" s="39" t="str">
        <f>IF(C3293="","",IFERROR(INDEX(art_unit,MATCH(C3293,art_ref,0))&amp;"",""))</f>
        <v/>
      </c>
      <c r="G3293" s="37" t="n"/>
      <c r="H3293" s="37" t="n"/>
      <c r="I3293" s="37" t="n"/>
      <c r="J3293" s="40" t="str">
        <f>IF(OR(C3293="",NOT(ISNUMBER(E3293))),"",IFERROR(E3293*N(INDEX(art_price,MATCH(C3293,art_ref,0))),""))</f>
        <v/>
      </c>
      <c r="K3293" s="39" t="str">
        <f>IF(OR(C3293="",NOT(ISNUMBER(E3293))),"",IFERROR(ROUND(N(INDEX(art_init,MATCH(C3293,art_ref,0)))+SUMIFS($E$5:E3293,$C$5:C3293,C3293,$B$5:B3293,"Entrée")-SUMIFS($E$5:E3293,$C$5:C3293,C3293,$B$5:B3293,"Sortie"),6),""))</f>
        <v/>
      </c>
      <c r="L3293" s="39" t="str">
        <f>IF(COUNTA(A3293:C3293,E3293)=0,"",IF(COUNTA(A3293:C3293,E3293)&lt;4,"Ligne incomplète",IF(NOT(ISNUMBER(A3293)),"Date invalide",IF(AND(B3293&lt;&gt;"Entrée",B3293&lt;&gt;"Sortie"),"Type inconnu",IF(ISNA(MATCH(C3293,art_ref,0)),"Référence inconnue",IF(OR(NOT(ISNUMBER(E3293)),N(E3293)&lt;=0),"Quantité invalide",IF(K3293&lt;0,"Stock négatif",IF(AND(ISNUMBER(A3292),A3293&lt;A3292),"Date hors ordre","OK"))))))))</f>
        <v/>
      </c>
      <c r="M3293" s="39" t="str">
        <f>IF(C3293="","",C3293&amp;"#"&amp;COUNTIF($C$5:C3293,C3293))</f>
        <v/>
      </c>
    </row>
    <row r="3294">
      <c r="A3294" s="41" t="n"/>
      <c r="B3294" s="37" t="n"/>
      <c r="C3294" s="37" t="n"/>
      <c r="D3294" s="39" t="str">
        <f>IF(C3294="","",IFERROR(INDEX(art_des,MATCH(C3294,art_ref,0))&amp;"","Référence inconnue"))</f>
        <v/>
      </c>
      <c r="E3294" s="37" t="n"/>
      <c r="F3294" s="39" t="str">
        <f>IF(C3294="","",IFERROR(INDEX(art_unit,MATCH(C3294,art_ref,0))&amp;"",""))</f>
        <v/>
      </c>
      <c r="G3294" s="37" t="n"/>
      <c r="H3294" s="37" t="n"/>
      <c r="I3294" s="37" t="n"/>
      <c r="J3294" s="40" t="str">
        <f>IF(OR(C3294="",NOT(ISNUMBER(E3294))),"",IFERROR(E3294*N(INDEX(art_price,MATCH(C3294,art_ref,0))),""))</f>
        <v/>
      </c>
      <c r="K3294" s="39" t="str">
        <f>IF(OR(C3294="",NOT(ISNUMBER(E3294))),"",IFERROR(ROUND(N(INDEX(art_init,MATCH(C3294,art_ref,0)))+SUMIFS($E$5:E3294,$C$5:C3294,C3294,$B$5:B3294,"Entrée")-SUMIFS($E$5:E3294,$C$5:C3294,C3294,$B$5:B3294,"Sortie"),6),""))</f>
        <v/>
      </c>
      <c r="L3294" s="39" t="str">
        <f>IF(COUNTA(A3294:C3294,E3294)=0,"",IF(COUNTA(A3294:C3294,E3294)&lt;4,"Ligne incomplète",IF(NOT(ISNUMBER(A3294)),"Date invalide",IF(AND(B3294&lt;&gt;"Entrée",B3294&lt;&gt;"Sortie"),"Type inconnu",IF(ISNA(MATCH(C3294,art_ref,0)),"Référence inconnue",IF(OR(NOT(ISNUMBER(E3294)),N(E3294)&lt;=0),"Quantité invalide",IF(K3294&lt;0,"Stock négatif",IF(AND(ISNUMBER(A3293),A3294&lt;A3293),"Date hors ordre","OK"))))))))</f>
        <v/>
      </c>
      <c r="M3294" s="39" t="str">
        <f>IF(C3294="","",C3294&amp;"#"&amp;COUNTIF($C$5:C3294,C3294))</f>
        <v/>
      </c>
    </row>
    <row r="3295">
      <c r="A3295" s="41" t="n"/>
      <c r="B3295" s="37" t="n"/>
      <c r="C3295" s="37" t="n"/>
      <c r="D3295" s="39" t="str">
        <f>IF(C3295="","",IFERROR(INDEX(art_des,MATCH(C3295,art_ref,0))&amp;"","Référence inconnue"))</f>
        <v/>
      </c>
      <c r="E3295" s="37" t="n"/>
      <c r="F3295" s="39" t="str">
        <f>IF(C3295="","",IFERROR(INDEX(art_unit,MATCH(C3295,art_ref,0))&amp;"",""))</f>
        <v/>
      </c>
      <c r="G3295" s="37" t="n"/>
      <c r="H3295" s="37" t="n"/>
      <c r="I3295" s="37" t="n"/>
      <c r="J3295" s="40" t="str">
        <f>IF(OR(C3295="",NOT(ISNUMBER(E3295))),"",IFERROR(E3295*N(INDEX(art_price,MATCH(C3295,art_ref,0))),""))</f>
        <v/>
      </c>
      <c r="K3295" s="39" t="str">
        <f>IF(OR(C3295="",NOT(ISNUMBER(E3295))),"",IFERROR(ROUND(N(INDEX(art_init,MATCH(C3295,art_ref,0)))+SUMIFS($E$5:E3295,$C$5:C3295,C3295,$B$5:B3295,"Entrée")-SUMIFS($E$5:E3295,$C$5:C3295,C3295,$B$5:B3295,"Sortie"),6),""))</f>
        <v/>
      </c>
      <c r="L3295" s="39" t="str">
        <f>IF(COUNTA(A3295:C3295,E3295)=0,"",IF(COUNTA(A3295:C3295,E3295)&lt;4,"Ligne incomplète",IF(NOT(ISNUMBER(A3295)),"Date invalide",IF(AND(B3295&lt;&gt;"Entrée",B3295&lt;&gt;"Sortie"),"Type inconnu",IF(ISNA(MATCH(C3295,art_ref,0)),"Référence inconnue",IF(OR(NOT(ISNUMBER(E3295)),N(E3295)&lt;=0),"Quantité invalide",IF(K3295&lt;0,"Stock négatif",IF(AND(ISNUMBER(A3294),A3295&lt;A3294),"Date hors ordre","OK"))))))))</f>
        <v/>
      </c>
      <c r="M3295" s="39" t="str">
        <f>IF(C3295="","",C3295&amp;"#"&amp;COUNTIF($C$5:C3295,C3295))</f>
        <v/>
      </c>
    </row>
    <row r="3296">
      <c r="A3296" s="41" t="n"/>
      <c r="B3296" s="37" t="n"/>
      <c r="C3296" s="37" t="n"/>
      <c r="D3296" s="39" t="str">
        <f>IF(C3296="","",IFERROR(INDEX(art_des,MATCH(C3296,art_ref,0))&amp;"","Référence inconnue"))</f>
        <v/>
      </c>
      <c r="E3296" s="37" t="n"/>
      <c r="F3296" s="39" t="str">
        <f>IF(C3296="","",IFERROR(INDEX(art_unit,MATCH(C3296,art_ref,0))&amp;"",""))</f>
        <v/>
      </c>
      <c r="G3296" s="37" t="n"/>
      <c r="H3296" s="37" t="n"/>
      <c r="I3296" s="37" t="n"/>
      <c r="J3296" s="40" t="str">
        <f>IF(OR(C3296="",NOT(ISNUMBER(E3296))),"",IFERROR(E3296*N(INDEX(art_price,MATCH(C3296,art_ref,0))),""))</f>
        <v/>
      </c>
      <c r="K3296" s="39" t="str">
        <f>IF(OR(C3296="",NOT(ISNUMBER(E3296))),"",IFERROR(ROUND(N(INDEX(art_init,MATCH(C3296,art_ref,0)))+SUMIFS($E$5:E3296,$C$5:C3296,C3296,$B$5:B3296,"Entrée")-SUMIFS($E$5:E3296,$C$5:C3296,C3296,$B$5:B3296,"Sortie"),6),""))</f>
        <v/>
      </c>
      <c r="L3296" s="39" t="str">
        <f>IF(COUNTA(A3296:C3296,E3296)=0,"",IF(COUNTA(A3296:C3296,E3296)&lt;4,"Ligne incomplète",IF(NOT(ISNUMBER(A3296)),"Date invalide",IF(AND(B3296&lt;&gt;"Entrée",B3296&lt;&gt;"Sortie"),"Type inconnu",IF(ISNA(MATCH(C3296,art_ref,0)),"Référence inconnue",IF(OR(NOT(ISNUMBER(E3296)),N(E3296)&lt;=0),"Quantité invalide",IF(K3296&lt;0,"Stock négatif",IF(AND(ISNUMBER(A3295),A3296&lt;A3295),"Date hors ordre","OK"))))))))</f>
        <v/>
      </c>
      <c r="M3296" s="39" t="str">
        <f>IF(C3296="","",C3296&amp;"#"&amp;COUNTIF($C$5:C3296,C3296))</f>
        <v/>
      </c>
    </row>
    <row r="3297">
      <c r="A3297" s="41" t="n"/>
      <c r="B3297" s="37" t="n"/>
      <c r="C3297" s="37" t="n"/>
      <c r="D3297" s="39" t="str">
        <f>IF(C3297="","",IFERROR(INDEX(art_des,MATCH(C3297,art_ref,0))&amp;"","Référence inconnue"))</f>
        <v/>
      </c>
      <c r="E3297" s="37" t="n"/>
      <c r="F3297" s="39" t="str">
        <f>IF(C3297="","",IFERROR(INDEX(art_unit,MATCH(C3297,art_ref,0))&amp;"",""))</f>
        <v/>
      </c>
      <c r="G3297" s="37" t="n"/>
      <c r="H3297" s="37" t="n"/>
      <c r="I3297" s="37" t="n"/>
      <c r="J3297" s="40" t="str">
        <f>IF(OR(C3297="",NOT(ISNUMBER(E3297))),"",IFERROR(E3297*N(INDEX(art_price,MATCH(C3297,art_ref,0))),""))</f>
        <v/>
      </c>
      <c r="K3297" s="39" t="str">
        <f>IF(OR(C3297="",NOT(ISNUMBER(E3297))),"",IFERROR(ROUND(N(INDEX(art_init,MATCH(C3297,art_ref,0)))+SUMIFS($E$5:E3297,$C$5:C3297,C3297,$B$5:B3297,"Entrée")-SUMIFS($E$5:E3297,$C$5:C3297,C3297,$B$5:B3297,"Sortie"),6),""))</f>
        <v/>
      </c>
      <c r="L3297" s="39" t="str">
        <f>IF(COUNTA(A3297:C3297,E3297)=0,"",IF(COUNTA(A3297:C3297,E3297)&lt;4,"Ligne incomplète",IF(NOT(ISNUMBER(A3297)),"Date invalide",IF(AND(B3297&lt;&gt;"Entrée",B3297&lt;&gt;"Sortie"),"Type inconnu",IF(ISNA(MATCH(C3297,art_ref,0)),"Référence inconnue",IF(OR(NOT(ISNUMBER(E3297)),N(E3297)&lt;=0),"Quantité invalide",IF(K3297&lt;0,"Stock négatif",IF(AND(ISNUMBER(A3296),A3297&lt;A3296),"Date hors ordre","OK"))))))))</f>
        <v/>
      </c>
      <c r="M3297" s="39" t="str">
        <f>IF(C3297="","",C3297&amp;"#"&amp;COUNTIF($C$5:C3297,C3297))</f>
        <v/>
      </c>
    </row>
    <row r="3298">
      <c r="A3298" s="41" t="n"/>
      <c r="B3298" s="37" t="n"/>
      <c r="C3298" s="37" t="n"/>
      <c r="D3298" s="39" t="str">
        <f>IF(C3298="","",IFERROR(INDEX(art_des,MATCH(C3298,art_ref,0))&amp;"","Référence inconnue"))</f>
        <v/>
      </c>
      <c r="E3298" s="37" t="n"/>
      <c r="F3298" s="39" t="str">
        <f>IF(C3298="","",IFERROR(INDEX(art_unit,MATCH(C3298,art_ref,0))&amp;"",""))</f>
        <v/>
      </c>
      <c r="G3298" s="37" t="n"/>
      <c r="H3298" s="37" t="n"/>
      <c r="I3298" s="37" t="n"/>
      <c r="J3298" s="40" t="str">
        <f>IF(OR(C3298="",NOT(ISNUMBER(E3298))),"",IFERROR(E3298*N(INDEX(art_price,MATCH(C3298,art_ref,0))),""))</f>
        <v/>
      </c>
      <c r="K3298" s="39" t="str">
        <f>IF(OR(C3298="",NOT(ISNUMBER(E3298))),"",IFERROR(ROUND(N(INDEX(art_init,MATCH(C3298,art_ref,0)))+SUMIFS($E$5:E3298,$C$5:C3298,C3298,$B$5:B3298,"Entrée")-SUMIFS($E$5:E3298,$C$5:C3298,C3298,$B$5:B3298,"Sortie"),6),""))</f>
        <v/>
      </c>
      <c r="L3298" s="39" t="str">
        <f>IF(COUNTA(A3298:C3298,E3298)=0,"",IF(COUNTA(A3298:C3298,E3298)&lt;4,"Ligne incomplète",IF(NOT(ISNUMBER(A3298)),"Date invalide",IF(AND(B3298&lt;&gt;"Entrée",B3298&lt;&gt;"Sortie"),"Type inconnu",IF(ISNA(MATCH(C3298,art_ref,0)),"Référence inconnue",IF(OR(NOT(ISNUMBER(E3298)),N(E3298)&lt;=0),"Quantité invalide",IF(K3298&lt;0,"Stock négatif",IF(AND(ISNUMBER(A3297),A3298&lt;A3297),"Date hors ordre","OK"))))))))</f>
        <v/>
      </c>
      <c r="M3298" s="39" t="str">
        <f>IF(C3298="","",C3298&amp;"#"&amp;COUNTIF($C$5:C3298,C3298))</f>
        <v/>
      </c>
    </row>
    <row r="3299">
      <c r="A3299" s="41" t="n"/>
      <c r="B3299" s="37" t="n"/>
      <c r="C3299" s="37" t="n"/>
      <c r="D3299" s="39" t="str">
        <f>IF(C3299="","",IFERROR(INDEX(art_des,MATCH(C3299,art_ref,0))&amp;"","Référence inconnue"))</f>
        <v/>
      </c>
      <c r="E3299" s="37" t="n"/>
      <c r="F3299" s="39" t="str">
        <f>IF(C3299="","",IFERROR(INDEX(art_unit,MATCH(C3299,art_ref,0))&amp;"",""))</f>
        <v/>
      </c>
      <c r="G3299" s="37" t="n"/>
      <c r="H3299" s="37" t="n"/>
      <c r="I3299" s="37" t="n"/>
      <c r="J3299" s="40" t="str">
        <f>IF(OR(C3299="",NOT(ISNUMBER(E3299))),"",IFERROR(E3299*N(INDEX(art_price,MATCH(C3299,art_ref,0))),""))</f>
        <v/>
      </c>
      <c r="K3299" s="39" t="str">
        <f>IF(OR(C3299="",NOT(ISNUMBER(E3299))),"",IFERROR(ROUND(N(INDEX(art_init,MATCH(C3299,art_ref,0)))+SUMIFS($E$5:E3299,$C$5:C3299,C3299,$B$5:B3299,"Entrée")-SUMIFS($E$5:E3299,$C$5:C3299,C3299,$B$5:B3299,"Sortie"),6),""))</f>
        <v/>
      </c>
      <c r="L3299" s="39" t="str">
        <f>IF(COUNTA(A3299:C3299,E3299)=0,"",IF(COUNTA(A3299:C3299,E3299)&lt;4,"Ligne incomplète",IF(NOT(ISNUMBER(A3299)),"Date invalide",IF(AND(B3299&lt;&gt;"Entrée",B3299&lt;&gt;"Sortie"),"Type inconnu",IF(ISNA(MATCH(C3299,art_ref,0)),"Référence inconnue",IF(OR(NOT(ISNUMBER(E3299)),N(E3299)&lt;=0),"Quantité invalide",IF(K3299&lt;0,"Stock négatif",IF(AND(ISNUMBER(A3298),A3299&lt;A3298),"Date hors ordre","OK"))))))))</f>
        <v/>
      </c>
      <c r="M3299" s="39" t="str">
        <f>IF(C3299="","",C3299&amp;"#"&amp;COUNTIF($C$5:C3299,C3299))</f>
        <v/>
      </c>
    </row>
    <row r="3300">
      <c r="A3300" s="41" t="n"/>
      <c r="B3300" s="37" t="n"/>
      <c r="C3300" s="37" t="n"/>
      <c r="D3300" s="39" t="str">
        <f>IF(C3300="","",IFERROR(INDEX(art_des,MATCH(C3300,art_ref,0))&amp;"","Référence inconnue"))</f>
        <v/>
      </c>
      <c r="E3300" s="37" t="n"/>
      <c r="F3300" s="39" t="str">
        <f>IF(C3300="","",IFERROR(INDEX(art_unit,MATCH(C3300,art_ref,0))&amp;"",""))</f>
        <v/>
      </c>
      <c r="G3300" s="37" t="n"/>
      <c r="H3300" s="37" t="n"/>
      <c r="I3300" s="37" t="n"/>
      <c r="J3300" s="40" t="str">
        <f>IF(OR(C3300="",NOT(ISNUMBER(E3300))),"",IFERROR(E3300*N(INDEX(art_price,MATCH(C3300,art_ref,0))),""))</f>
        <v/>
      </c>
      <c r="K3300" s="39" t="str">
        <f>IF(OR(C3300="",NOT(ISNUMBER(E3300))),"",IFERROR(ROUND(N(INDEX(art_init,MATCH(C3300,art_ref,0)))+SUMIFS($E$5:E3300,$C$5:C3300,C3300,$B$5:B3300,"Entrée")-SUMIFS($E$5:E3300,$C$5:C3300,C3300,$B$5:B3300,"Sortie"),6),""))</f>
        <v/>
      </c>
      <c r="L3300" s="39" t="str">
        <f>IF(COUNTA(A3300:C3300,E3300)=0,"",IF(COUNTA(A3300:C3300,E3300)&lt;4,"Ligne incomplète",IF(NOT(ISNUMBER(A3300)),"Date invalide",IF(AND(B3300&lt;&gt;"Entrée",B3300&lt;&gt;"Sortie"),"Type inconnu",IF(ISNA(MATCH(C3300,art_ref,0)),"Référence inconnue",IF(OR(NOT(ISNUMBER(E3300)),N(E3300)&lt;=0),"Quantité invalide",IF(K3300&lt;0,"Stock négatif",IF(AND(ISNUMBER(A3299),A3300&lt;A3299),"Date hors ordre","OK"))))))))</f>
        <v/>
      </c>
      <c r="M3300" s="39" t="str">
        <f>IF(C3300="","",C3300&amp;"#"&amp;COUNTIF($C$5:C3300,C3300))</f>
        <v/>
      </c>
    </row>
    <row r="3301">
      <c r="A3301" s="41" t="n"/>
      <c r="B3301" s="37" t="n"/>
      <c r="C3301" s="37" t="n"/>
      <c r="D3301" s="39" t="str">
        <f>IF(C3301="","",IFERROR(INDEX(art_des,MATCH(C3301,art_ref,0))&amp;"","Référence inconnue"))</f>
        <v/>
      </c>
      <c r="E3301" s="37" t="n"/>
      <c r="F3301" s="39" t="str">
        <f>IF(C3301="","",IFERROR(INDEX(art_unit,MATCH(C3301,art_ref,0))&amp;"",""))</f>
        <v/>
      </c>
      <c r="G3301" s="37" t="n"/>
      <c r="H3301" s="37" t="n"/>
      <c r="I3301" s="37" t="n"/>
      <c r="J3301" s="40" t="str">
        <f>IF(OR(C3301="",NOT(ISNUMBER(E3301))),"",IFERROR(E3301*N(INDEX(art_price,MATCH(C3301,art_ref,0))),""))</f>
        <v/>
      </c>
      <c r="K3301" s="39" t="str">
        <f>IF(OR(C3301="",NOT(ISNUMBER(E3301))),"",IFERROR(ROUND(N(INDEX(art_init,MATCH(C3301,art_ref,0)))+SUMIFS($E$5:E3301,$C$5:C3301,C3301,$B$5:B3301,"Entrée")-SUMIFS($E$5:E3301,$C$5:C3301,C3301,$B$5:B3301,"Sortie"),6),""))</f>
        <v/>
      </c>
      <c r="L3301" s="39" t="str">
        <f>IF(COUNTA(A3301:C3301,E3301)=0,"",IF(COUNTA(A3301:C3301,E3301)&lt;4,"Ligne incomplète",IF(NOT(ISNUMBER(A3301)),"Date invalide",IF(AND(B3301&lt;&gt;"Entrée",B3301&lt;&gt;"Sortie"),"Type inconnu",IF(ISNA(MATCH(C3301,art_ref,0)),"Référence inconnue",IF(OR(NOT(ISNUMBER(E3301)),N(E3301)&lt;=0),"Quantité invalide",IF(K3301&lt;0,"Stock négatif",IF(AND(ISNUMBER(A3300),A3301&lt;A3300),"Date hors ordre","OK"))))))))</f>
        <v/>
      </c>
      <c r="M3301" s="39" t="str">
        <f>IF(C3301="","",C3301&amp;"#"&amp;COUNTIF($C$5:C3301,C3301))</f>
        <v/>
      </c>
    </row>
    <row r="3302">
      <c r="A3302" s="41" t="n"/>
      <c r="B3302" s="37" t="n"/>
      <c r="C3302" s="37" t="n"/>
      <c r="D3302" s="39" t="str">
        <f>IF(C3302="","",IFERROR(INDEX(art_des,MATCH(C3302,art_ref,0))&amp;"","Référence inconnue"))</f>
        <v/>
      </c>
      <c r="E3302" s="37" t="n"/>
      <c r="F3302" s="39" t="str">
        <f>IF(C3302="","",IFERROR(INDEX(art_unit,MATCH(C3302,art_ref,0))&amp;"",""))</f>
        <v/>
      </c>
      <c r="G3302" s="37" t="n"/>
      <c r="H3302" s="37" t="n"/>
      <c r="I3302" s="37" t="n"/>
      <c r="J3302" s="40" t="str">
        <f>IF(OR(C3302="",NOT(ISNUMBER(E3302))),"",IFERROR(E3302*N(INDEX(art_price,MATCH(C3302,art_ref,0))),""))</f>
        <v/>
      </c>
      <c r="K3302" s="39" t="str">
        <f>IF(OR(C3302="",NOT(ISNUMBER(E3302))),"",IFERROR(ROUND(N(INDEX(art_init,MATCH(C3302,art_ref,0)))+SUMIFS($E$5:E3302,$C$5:C3302,C3302,$B$5:B3302,"Entrée")-SUMIFS($E$5:E3302,$C$5:C3302,C3302,$B$5:B3302,"Sortie"),6),""))</f>
        <v/>
      </c>
      <c r="L3302" s="39" t="str">
        <f>IF(COUNTA(A3302:C3302,E3302)=0,"",IF(COUNTA(A3302:C3302,E3302)&lt;4,"Ligne incomplète",IF(NOT(ISNUMBER(A3302)),"Date invalide",IF(AND(B3302&lt;&gt;"Entrée",B3302&lt;&gt;"Sortie"),"Type inconnu",IF(ISNA(MATCH(C3302,art_ref,0)),"Référence inconnue",IF(OR(NOT(ISNUMBER(E3302)),N(E3302)&lt;=0),"Quantité invalide",IF(K3302&lt;0,"Stock négatif",IF(AND(ISNUMBER(A3301),A3302&lt;A3301),"Date hors ordre","OK"))))))))</f>
        <v/>
      </c>
      <c r="M3302" s="39" t="str">
        <f>IF(C3302="","",C3302&amp;"#"&amp;COUNTIF($C$5:C3302,C3302))</f>
        <v/>
      </c>
    </row>
    <row r="3303">
      <c r="A3303" s="41" t="n"/>
      <c r="B3303" s="37" t="n"/>
      <c r="C3303" s="37" t="n"/>
      <c r="D3303" s="39" t="str">
        <f>IF(C3303="","",IFERROR(INDEX(art_des,MATCH(C3303,art_ref,0))&amp;"","Référence inconnue"))</f>
        <v/>
      </c>
      <c r="E3303" s="37" t="n"/>
      <c r="F3303" s="39" t="str">
        <f>IF(C3303="","",IFERROR(INDEX(art_unit,MATCH(C3303,art_ref,0))&amp;"",""))</f>
        <v/>
      </c>
      <c r="G3303" s="37" t="n"/>
      <c r="H3303" s="37" t="n"/>
      <c r="I3303" s="37" t="n"/>
      <c r="J3303" s="40" t="str">
        <f>IF(OR(C3303="",NOT(ISNUMBER(E3303))),"",IFERROR(E3303*N(INDEX(art_price,MATCH(C3303,art_ref,0))),""))</f>
        <v/>
      </c>
      <c r="K3303" s="39" t="str">
        <f>IF(OR(C3303="",NOT(ISNUMBER(E3303))),"",IFERROR(ROUND(N(INDEX(art_init,MATCH(C3303,art_ref,0)))+SUMIFS($E$5:E3303,$C$5:C3303,C3303,$B$5:B3303,"Entrée")-SUMIFS($E$5:E3303,$C$5:C3303,C3303,$B$5:B3303,"Sortie"),6),""))</f>
        <v/>
      </c>
      <c r="L3303" s="39" t="str">
        <f>IF(COUNTA(A3303:C3303,E3303)=0,"",IF(COUNTA(A3303:C3303,E3303)&lt;4,"Ligne incomplète",IF(NOT(ISNUMBER(A3303)),"Date invalide",IF(AND(B3303&lt;&gt;"Entrée",B3303&lt;&gt;"Sortie"),"Type inconnu",IF(ISNA(MATCH(C3303,art_ref,0)),"Référence inconnue",IF(OR(NOT(ISNUMBER(E3303)),N(E3303)&lt;=0),"Quantité invalide",IF(K3303&lt;0,"Stock négatif",IF(AND(ISNUMBER(A3302),A3303&lt;A3302),"Date hors ordre","OK"))))))))</f>
        <v/>
      </c>
      <c r="M3303" s="39" t="str">
        <f>IF(C3303="","",C3303&amp;"#"&amp;COUNTIF($C$5:C3303,C3303))</f>
        <v/>
      </c>
    </row>
    <row r="3304">
      <c r="A3304" s="41" t="n"/>
      <c r="B3304" s="37" t="n"/>
      <c r="C3304" s="37" t="n"/>
      <c r="D3304" s="39" t="str">
        <f>IF(C3304="","",IFERROR(INDEX(art_des,MATCH(C3304,art_ref,0))&amp;"","Référence inconnue"))</f>
        <v/>
      </c>
      <c r="E3304" s="37" t="n"/>
      <c r="F3304" s="39" t="str">
        <f>IF(C3304="","",IFERROR(INDEX(art_unit,MATCH(C3304,art_ref,0))&amp;"",""))</f>
        <v/>
      </c>
      <c r="G3304" s="37" t="n"/>
      <c r="H3304" s="37" t="n"/>
      <c r="I3304" s="37" t="n"/>
      <c r="J3304" s="40" t="str">
        <f>IF(OR(C3304="",NOT(ISNUMBER(E3304))),"",IFERROR(E3304*N(INDEX(art_price,MATCH(C3304,art_ref,0))),""))</f>
        <v/>
      </c>
      <c r="K3304" s="39" t="str">
        <f>IF(OR(C3304="",NOT(ISNUMBER(E3304))),"",IFERROR(ROUND(N(INDEX(art_init,MATCH(C3304,art_ref,0)))+SUMIFS($E$5:E3304,$C$5:C3304,C3304,$B$5:B3304,"Entrée")-SUMIFS($E$5:E3304,$C$5:C3304,C3304,$B$5:B3304,"Sortie"),6),""))</f>
        <v/>
      </c>
      <c r="L3304" s="39" t="str">
        <f>IF(COUNTA(A3304:C3304,E3304)=0,"",IF(COUNTA(A3304:C3304,E3304)&lt;4,"Ligne incomplète",IF(NOT(ISNUMBER(A3304)),"Date invalide",IF(AND(B3304&lt;&gt;"Entrée",B3304&lt;&gt;"Sortie"),"Type inconnu",IF(ISNA(MATCH(C3304,art_ref,0)),"Référence inconnue",IF(OR(NOT(ISNUMBER(E3304)),N(E3304)&lt;=0),"Quantité invalide",IF(K3304&lt;0,"Stock négatif",IF(AND(ISNUMBER(A3303),A3304&lt;A3303),"Date hors ordre","OK"))))))))</f>
        <v/>
      </c>
      <c r="M3304" s="39" t="str">
        <f>IF(C3304="","",C3304&amp;"#"&amp;COUNTIF($C$5:C3304,C3304))</f>
        <v/>
      </c>
    </row>
    <row r="3305">
      <c r="A3305" s="41" t="n"/>
      <c r="B3305" s="37" t="n"/>
      <c r="C3305" s="37" t="n"/>
      <c r="D3305" s="39" t="str">
        <f>IF(C3305="","",IFERROR(INDEX(art_des,MATCH(C3305,art_ref,0))&amp;"","Référence inconnue"))</f>
        <v/>
      </c>
      <c r="E3305" s="37" t="n"/>
      <c r="F3305" s="39" t="str">
        <f>IF(C3305="","",IFERROR(INDEX(art_unit,MATCH(C3305,art_ref,0))&amp;"",""))</f>
        <v/>
      </c>
      <c r="G3305" s="37" t="n"/>
      <c r="H3305" s="37" t="n"/>
      <c r="I3305" s="37" t="n"/>
      <c r="J3305" s="40" t="str">
        <f>IF(OR(C3305="",NOT(ISNUMBER(E3305))),"",IFERROR(E3305*N(INDEX(art_price,MATCH(C3305,art_ref,0))),""))</f>
        <v/>
      </c>
      <c r="K3305" s="39" t="str">
        <f>IF(OR(C3305="",NOT(ISNUMBER(E3305))),"",IFERROR(ROUND(N(INDEX(art_init,MATCH(C3305,art_ref,0)))+SUMIFS($E$5:E3305,$C$5:C3305,C3305,$B$5:B3305,"Entrée")-SUMIFS($E$5:E3305,$C$5:C3305,C3305,$B$5:B3305,"Sortie"),6),""))</f>
        <v/>
      </c>
      <c r="L3305" s="39" t="str">
        <f>IF(COUNTA(A3305:C3305,E3305)=0,"",IF(COUNTA(A3305:C3305,E3305)&lt;4,"Ligne incomplète",IF(NOT(ISNUMBER(A3305)),"Date invalide",IF(AND(B3305&lt;&gt;"Entrée",B3305&lt;&gt;"Sortie"),"Type inconnu",IF(ISNA(MATCH(C3305,art_ref,0)),"Référence inconnue",IF(OR(NOT(ISNUMBER(E3305)),N(E3305)&lt;=0),"Quantité invalide",IF(K3305&lt;0,"Stock négatif",IF(AND(ISNUMBER(A3304),A3305&lt;A3304),"Date hors ordre","OK"))))))))</f>
        <v/>
      </c>
      <c r="M3305" s="39" t="str">
        <f>IF(C3305="","",C3305&amp;"#"&amp;COUNTIF($C$5:C3305,C3305))</f>
        <v/>
      </c>
    </row>
    <row r="3306">
      <c r="A3306" s="41" t="n"/>
      <c r="B3306" s="37" t="n"/>
      <c r="C3306" s="37" t="n"/>
      <c r="D3306" s="39" t="str">
        <f>IF(C3306="","",IFERROR(INDEX(art_des,MATCH(C3306,art_ref,0))&amp;"","Référence inconnue"))</f>
        <v/>
      </c>
      <c r="E3306" s="37" t="n"/>
      <c r="F3306" s="39" t="str">
        <f>IF(C3306="","",IFERROR(INDEX(art_unit,MATCH(C3306,art_ref,0))&amp;"",""))</f>
        <v/>
      </c>
      <c r="G3306" s="37" t="n"/>
      <c r="H3306" s="37" t="n"/>
      <c r="I3306" s="37" t="n"/>
      <c r="J3306" s="40" t="str">
        <f>IF(OR(C3306="",NOT(ISNUMBER(E3306))),"",IFERROR(E3306*N(INDEX(art_price,MATCH(C3306,art_ref,0))),""))</f>
        <v/>
      </c>
      <c r="K3306" s="39" t="str">
        <f>IF(OR(C3306="",NOT(ISNUMBER(E3306))),"",IFERROR(ROUND(N(INDEX(art_init,MATCH(C3306,art_ref,0)))+SUMIFS($E$5:E3306,$C$5:C3306,C3306,$B$5:B3306,"Entrée")-SUMIFS($E$5:E3306,$C$5:C3306,C3306,$B$5:B3306,"Sortie"),6),""))</f>
        <v/>
      </c>
      <c r="L3306" s="39" t="str">
        <f>IF(COUNTA(A3306:C3306,E3306)=0,"",IF(COUNTA(A3306:C3306,E3306)&lt;4,"Ligne incomplète",IF(NOT(ISNUMBER(A3306)),"Date invalide",IF(AND(B3306&lt;&gt;"Entrée",B3306&lt;&gt;"Sortie"),"Type inconnu",IF(ISNA(MATCH(C3306,art_ref,0)),"Référence inconnue",IF(OR(NOT(ISNUMBER(E3306)),N(E3306)&lt;=0),"Quantité invalide",IF(K3306&lt;0,"Stock négatif",IF(AND(ISNUMBER(A3305),A3306&lt;A3305),"Date hors ordre","OK"))))))))</f>
        <v/>
      </c>
      <c r="M3306" s="39" t="str">
        <f>IF(C3306="","",C3306&amp;"#"&amp;COUNTIF($C$5:C3306,C3306))</f>
        <v/>
      </c>
    </row>
    <row r="3307">
      <c r="A3307" s="41" t="n"/>
      <c r="B3307" s="37" t="n"/>
      <c r="C3307" s="37" t="n"/>
      <c r="D3307" s="39" t="str">
        <f>IF(C3307="","",IFERROR(INDEX(art_des,MATCH(C3307,art_ref,0))&amp;"","Référence inconnue"))</f>
        <v/>
      </c>
      <c r="E3307" s="37" t="n"/>
      <c r="F3307" s="39" t="str">
        <f>IF(C3307="","",IFERROR(INDEX(art_unit,MATCH(C3307,art_ref,0))&amp;"",""))</f>
        <v/>
      </c>
      <c r="G3307" s="37" t="n"/>
      <c r="H3307" s="37" t="n"/>
      <c r="I3307" s="37" t="n"/>
      <c r="J3307" s="40" t="str">
        <f>IF(OR(C3307="",NOT(ISNUMBER(E3307))),"",IFERROR(E3307*N(INDEX(art_price,MATCH(C3307,art_ref,0))),""))</f>
        <v/>
      </c>
      <c r="K3307" s="39" t="str">
        <f>IF(OR(C3307="",NOT(ISNUMBER(E3307))),"",IFERROR(ROUND(N(INDEX(art_init,MATCH(C3307,art_ref,0)))+SUMIFS($E$5:E3307,$C$5:C3307,C3307,$B$5:B3307,"Entrée")-SUMIFS($E$5:E3307,$C$5:C3307,C3307,$B$5:B3307,"Sortie"),6),""))</f>
        <v/>
      </c>
      <c r="L3307" s="39" t="str">
        <f>IF(COUNTA(A3307:C3307,E3307)=0,"",IF(COUNTA(A3307:C3307,E3307)&lt;4,"Ligne incomplète",IF(NOT(ISNUMBER(A3307)),"Date invalide",IF(AND(B3307&lt;&gt;"Entrée",B3307&lt;&gt;"Sortie"),"Type inconnu",IF(ISNA(MATCH(C3307,art_ref,0)),"Référence inconnue",IF(OR(NOT(ISNUMBER(E3307)),N(E3307)&lt;=0),"Quantité invalide",IF(K3307&lt;0,"Stock négatif",IF(AND(ISNUMBER(A3306),A3307&lt;A3306),"Date hors ordre","OK"))))))))</f>
        <v/>
      </c>
      <c r="M3307" s="39" t="str">
        <f>IF(C3307="","",C3307&amp;"#"&amp;COUNTIF($C$5:C3307,C3307))</f>
        <v/>
      </c>
    </row>
    <row r="3308">
      <c r="A3308" s="41" t="n"/>
      <c r="B3308" s="37" t="n"/>
      <c r="C3308" s="37" t="n"/>
      <c r="D3308" s="39" t="str">
        <f>IF(C3308="","",IFERROR(INDEX(art_des,MATCH(C3308,art_ref,0))&amp;"","Référence inconnue"))</f>
        <v/>
      </c>
      <c r="E3308" s="37" t="n"/>
      <c r="F3308" s="39" t="str">
        <f>IF(C3308="","",IFERROR(INDEX(art_unit,MATCH(C3308,art_ref,0))&amp;"",""))</f>
        <v/>
      </c>
      <c r="G3308" s="37" t="n"/>
      <c r="H3308" s="37" t="n"/>
      <c r="I3308" s="37" t="n"/>
      <c r="J3308" s="40" t="str">
        <f>IF(OR(C3308="",NOT(ISNUMBER(E3308))),"",IFERROR(E3308*N(INDEX(art_price,MATCH(C3308,art_ref,0))),""))</f>
        <v/>
      </c>
      <c r="K3308" s="39" t="str">
        <f>IF(OR(C3308="",NOT(ISNUMBER(E3308))),"",IFERROR(ROUND(N(INDEX(art_init,MATCH(C3308,art_ref,0)))+SUMIFS($E$5:E3308,$C$5:C3308,C3308,$B$5:B3308,"Entrée")-SUMIFS($E$5:E3308,$C$5:C3308,C3308,$B$5:B3308,"Sortie"),6),""))</f>
        <v/>
      </c>
      <c r="L3308" s="39" t="str">
        <f>IF(COUNTA(A3308:C3308,E3308)=0,"",IF(COUNTA(A3308:C3308,E3308)&lt;4,"Ligne incomplète",IF(NOT(ISNUMBER(A3308)),"Date invalide",IF(AND(B3308&lt;&gt;"Entrée",B3308&lt;&gt;"Sortie"),"Type inconnu",IF(ISNA(MATCH(C3308,art_ref,0)),"Référence inconnue",IF(OR(NOT(ISNUMBER(E3308)),N(E3308)&lt;=0),"Quantité invalide",IF(K3308&lt;0,"Stock négatif",IF(AND(ISNUMBER(A3307),A3308&lt;A3307),"Date hors ordre","OK"))))))))</f>
        <v/>
      </c>
      <c r="M3308" s="39" t="str">
        <f>IF(C3308="","",C3308&amp;"#"&amp;COUNTIF($C$5:C3308,C3308))</f>
        <v/>
      </c>
    </row>
    <row r="3309">
      <c r="A3309" s="41" t="n"/>
      <c r="B3309" s="37" t="n"/>
      <c r="C3309" s="37" t="n"/>
      <c r="D3309" s="39" t="str">
        <f>IF(C3309="","",IFERROR(INDEX(art_des,MATCH(C3309,art_ref,0))&amp;"","Référence inconnue"))</f>
        <v/>
      </c>
      <c r="E3309" s="37" t="n"/>
      <c r="F3309" s="39" t="str">
        <f>IF(C3309="","",IFERROR(INDEX(art_unit,MATCH(C3309,art_ref,0))&amp;"",""))</f>
        <v/>
      </c>
      <c r="G3309" s="37" t="n"/>
      <c r="H3309" s="37" t="n"/>
      <c r="I3309" s="37" t="n"/>
      <c r="J3309" s="40" t="str">
        <f>IF(OR(C3309="",NOT(ISNUMBER(E3309))),"",IFERROR(E3309*N(INDEX(art_price,MATCH(C3309,art_ref,0))),""))</f>
        <v/>
      </c>
      <c r="K3309" s="39" t="str">
        <f>IF(OR(C3309="",NOT(ISNUMBER(E3309))),"",IFERROR(ROUND(N(INDEX(art_init,MATCH(C3309,art_ref,0)))+SUMIFS($E$5:E3309,$C$5:C3309,C3309,$B$5:B3309,"Entrée")-SUMIFS($E$5:E3309,$C$5:C3309,C3309,$B$5:B3309,"Sortie"),6),""))</f>
        <v/>
      </c>
      <c r="L3309" s="39" t="str">
        <f>IF(COUNTA(A3309:C3309,E3309)=0,"",IF(COUNTA(A3309:C3309,E3309)&lt;4,"Ligne incomplète",IF(NOT(ISNUMBER(A3309)),"Date invalide",IF(AND(B3309&lt;&gt;"Entrée",B3309&lt;&gt;"Sortie"),"Type inconnu",IF(ISNA(MATCH(C3309,art_ref,0)),"Référence inconnue",IF(OR(NOT(ISNUMBER(E3309)),N(E3309)&lt;=0),"Quantité invalide",IF(K3309&lt;0,"Stock négatif",IF(AND(ISNUMBER(A3308),A3309&lt;A3308),"Date hors ordre","OK"))))))))</f>
        <v/>
      </c>
      <c r="M3309" s="39" t="str">
        <f>IF(C3309="","",C3309&amp;"#"&amp;COUNTIF($C$5:C3309,C3309))</f>
        <v/>
      </c>
    </row>
    <row r="3310">
      <c r="A3310" s="41" t="n"/>
      <c r="B3310" s="37" t="n"/>
      <c r="C3310" s="37" t="n"/>
      <c r="D3310" s="39" t="str">
        <f>IF(C3310="","",IFERROR(INDEX(art_des,MATCH(C3310,art_ref,0))&amp;"","Référence inconnue"))</f>
        <v/>
      </c>
      <c r="E3310" s="37" t="n"/>
      <c r="F3310" s="39" t="str">
        <f>IF(C3310="","",IFERROR(INDEX(art_unit,MATCH(C3310,art_ref,0))&amp;"",""))</f>
        <v/>
      </c>
      <c r="G3310" s="37" t="n"/>
      <c r="H3310" s="37" t="n"/>
      <c r="I3310" s="37" t="n"/>
      <c r="J3310" s="40" t="str">
        <f>IF(OR(C3310="",NOT(ISNUMBER(E3310))),"",IFERROR(E3310*N(INDEX(art_price,MATCH(C3310,art_ref,0))),""))</f>
        <v/>
      </c>
      <c r="K3310" s="39" t="str">
        <f>IF(OR(C3310="",NOT(ISNUMBER(E3310))),"",IFERROR(ROUND(N(INDEX(art_init,MATCH(C3310,art_ref,0)))+SUMIFS($E$5:E3310,$C$5:C3310,C3310,$B$5:B3310,"Entrée")-SUMIFS($E$5:E3310,$C$5:C3310,C3310,$B$5:B3310,"Sortie"),6),""))</f>
        <v/>
      </c>
      <c r="L3310" s="39" t="str">
        <f>IF(COUNTA(A3310:C3310,E3310)=0,"",IF(COUNTA(A3310:C3310,E3310)&lt;4,"Ligne incomplète",IF(NOT(ISNUMBER(A3310)),"Date invalide",IF(AND(B3310&lt;&gt;"Entrée",B3310&lt;&gt;"Sortie"),"Type inconnu",IF(ISNA(MATCH(C3310,art_ref,0)),"Référence inconnue",IF(OR(NOT(ISNUMBER(E3310)),N(E3310)&lt;=0),"Quantité invalide",IF(K3310&lt;0,"Stock négatif",IF(AND(ISNUMBER(A3309),A3310&lt;A3309),"Date hors ordre","OK"))))))))</f>
        <v/>
      </c>
      <c r="M3310" s="39" t="str">
        <f>IF(C3310="","",C3310&amp;"#"&amp;COUNTIF($C$5:C3310,C3310))</f>
        <v/>
      </c>
    </row>
    <row r="3311">
      <c r="A3311" s="41" t="n"/>
      <c r="B3311" s="37" t="n"/>
      <c r="C3311" s="37" t="n"/>
      <c r="D3311" s="39" t="str">
        <f>IF(C3311="","",IFERROR(INDEX(art_des,MATCH(C3311,art_ref,0))&amp;"","Référence inconnue"))</f>
        <v/>
      </c>
      <c r="E3311" s="37" t="n"/>
      <c r="F3311" s="39" t="str">
        <f>IF(C3311="","",IFERROR(INDEX(art_unit,MATCH(C3311,art_ref,0))&amp;"",""))</f>
        <v/>
      </c>
      <c r="G3311" s="37" t="n"/>
      <c r="H3311" s="37" t="n"/>
      <c r="I3311" s="37" t="n"/>
      <c r="J3311" s="40" t="str">
        <f>IF(OR(C3311="",NOT(ISNUMBER(E3311))),"",IFERROR(E3311*N(INDEX(art_price,MATCH(C3311,art_ref,0))),""))</f>
        <v/>
      </c>
      <c r="K3311" s="39" t="str">
        <f>IF(OR(C3311="",NOT(ISNUMBER(E3311))),"",IFERROR(ROUND(N(INDEX(art_init,MATCH(C3311,art_ref,0)))+SUMIFS($E$5:E3311,$C$5:C3311,C3311,$B$5:B3311,"Entrée")-SUMIFS($E$5:E3311,$C$5:C3311,C3311,$B$5:B3311,"Sortie"),6),""))</f>
        <v/>
      </c>
      <c r="L3311" s="39" t="str">
        <f>IF(COUNTA(A3311:C3311,E3311)=0,"",IF(COUNTA(A3311:C3311,E3311)&lt;4,"Ligne incomplète",IF(NOT(ISNUMBER(A3311)),"Date invalide",IF(AND(B3311&lt;&gt;"Entrée",B3311&lt;&gt;"Sortie"),"Type inconnu",IF(ISNA(MATCH(C3311,art_ref,0)),"Référence inconnue",IF(OR(NOT(ISNUMBER(E3311)),N(E3311)&lt;=0),"Quantité invalide",IF(K3311&lt;0,"Stock négatif",IF(AND(ISNUMBER(A3310),A3311&lt;A3310),"Date hors ordre","OK"))))))))</f>
        <v/>
      </c>
      <c r="M3311" s="39" t="str">
        <f>IF(C3311="","",C3311&amp;"#"&amp;COUNTIF($C$5:C3311,C3311))</f>
        <v/>
      </c>
    </row>
    <row r="3312">
      <c r="A3312" s="41" t="n"/>
      <c r="B3312" s="37" t="n"/>
      <c r="C3312" s="37" t="n"/>
      <c r="D3312" s="39" t="str">
        <f>IF(C3312="","",IFERROR(INDEX(art_des,MATCH(C3312,art_ref,0))&amp;"","Référence inconnue"))</f>
        <v/>
      </c>
      <c r="E3312" s="37" t="n"/>
      <c r="F3312" s="39" t="str">
        <f>IF(C3312="","",IFERROR(INDEX(art_unit,MATCH(C3312,art_ref,0))&amp;"",""))</f>
        <v/>
      </c>
      <c r="G3312" s="37" t="n"/>
      <c r="H3312" s="37" t="n"/>
      <c r="I3312" s="37" t="n"/>
      <c r="J3312" s="40" t="str">
        <f>IF(OR(C3312="",NOT(ISNUMBER(E3312))),"",IFERROR(E3312*N(INDEX(art_price,MATCH(C3312,art_ref,0))),""))</f>
        <v/>
      </c>
      <c r="K3312" s="39" t="str">
        <f>IF(OR(C3312="",NOT(ISNUMBER(E3312))),"",IFERROR(ROUND(N(INDEX(art_init,MATCH(C3312,art_ref,0)))+SUMIFS($E$5:E3312,$C$5:C3312,C3312,$B$5:B3312,"Entrée")-SUMIFS($E$5:E3312,$C$5:C3312,C3312,$B$5:B3312,"Sortie"),6),""))</f>
        <v/>
      </c>
      <c r="L3312" s="39" t="str">
        <f>IF(COUNTA(A3312:C3312,E3312)=0,"",IF(COUNTA(A3312:C3312,E3312)&lt;4,"Ligne incomplète",IF(NOT(ISNUMBER(A3312)),"Date invalide",IF(AND(B3312&lt;&gt;"Entrée",B3312&lt;&gt;"Sortie"),"Type inconnu",IF(ISNA(MATCH(C3312,art_ref,0)),"Référence inconnue",IF(OR(NOT(ISNUMBER(E3312)),N(E3312)&lt;=0),"Quantité invalide",IF(K3312&lt;0,"Stock négatif",IF(AND(ISNUMBER(A3311),A3312&lt;A3311),"Date hors ordre","OK"))))))))</f>
        <v/>
      </c>
      <c r="M3312" s="39" t="str">
        <f>IF(C3312="","",C3312&amp;"#"&amp;COUNTIF($C$5:C3312,C3312))</f>
        <v/>
      </c>
    </row>
    <row r="3313">
      <c r="A3313" s="41" t="n"/>
      <c r="B3313" s="37" t="n"/>
      <c r="C3313" s="37" t="n"/>
      <c r="D3313" s="39" t="str">
        <f>IF(C3313="","",IFERROR(INDEX(art_des,MATCH(C3313,art_ref,0))&amp;"","Référence inconnue"))</f>
        <v/>
      </c>
      <c r="E3313" s="37" t="n"/>
      <c r="F3313" s="39" t="str">
        <f>IF(C3313="","",IFERROR(INDEX(art_unit,MATCH(C3313,art_ref,0))&amp;"",""))</f>
        <v/>
      </c>
      <c r="G3313" s="37" t="n"/>
      <c r="H3313" s="37" t="n"/>
      <c r="I3313" s="37" t="n"/>
      <c r="J3313" s="40" t="str">
        <f>IF(OR(C3313="",NOT(ISNUMBER(E3313))),"",IFERROR(E3313*N(INDEX(art_price,MATCH(C3313,art_ref,0))),""))</f>
        <v/>
      </c>
      <c r="K3313" s="39" t="str">
        <f>IF(OR(C3313="",NOT(ISNUMBER(E3313))),"",IFERROR(ROUND(N(INDEX(art_init,MATCH(C3313,art_ref,0)))+SUMIFS($E$5:E3313,$C$5:C3313,C3313,$B$5:B3313,"Entrée")-SUMIFS($E$5:E3313,$C$5:C3313,C3313,$B$5:B3313,"Sortie"),6),""))</f>
        <v/>
      </c>
      <c r="L3313" s="39" t="str">
        <f>IF(COUNTA(A3313:C3313,E3313)=0,"",IF(COUNTA(A3313:C3313,E3313)&lt;4,"Ligne incomplète",IF(NOT(ISNUMBER(A3313)),"Date invalide",IF(AND(B3313&lt;&gt;"Entrée",B3313&lt;&gt;"Sortie"),"Type inconnu",IF(ISNA(MATCH(C3313,art_ref,0)),"Référence inconnue",IF(OR(NOT(ISNUMBER(E3313)),N(E3313)&lt;=0),"Quantité invalide",IF(K3313&lt;0,"Stock négatif",IF(AND(ISNUMBER(A3312),A3313&lt;A3312),"Date hors ordre","OK"))))))))</f>
        <v/>
      </c>
      <c r="M3313" s="39" t="str">
        <f>IF(C3313="","",C3313&amp;"#"&amp;COUNTIF($C$5:C3313,C3313))</f>
        <v/>
      </c>
    </row>
    <row r="3314">
      <c r="A3314" s="41" t="n"/>
      <c r="B3314" s="37" t="n"/>
      <c r="C3314" s="37" t="n"/>
      <c r="D3314" s="39" t="str">
        <f>IF(C3314="","",IFERROR(INDEX(art_des,MATCH(C3314,art_ref,0))&amp;"","Référence inconnue"))</f>
        <v/>
      </c>
      <c r="E3314" s="37" t="n"/>
      <c r="F3314" s="39" t="str">
        <f>IF(C3314="","",IFERROR(INDEX(art_unit,MATCH(C3314,art_ref,0))&amp;"",""))</f>
        <v/>
      </c>
      <c r="G3314" s="37" t="n"/>
      <c r="H3314" s="37" t="n"/>
      <c r="I3314" s="37" t="n"/>
      <c r="J3314" s="40" t="str">
        <f>IF(OR(C3314="",NOT(ISNUMBER(E3314))),"",IFERROR(E3314*N(INDEX(art_price,MATCH(C3314,art_ref,0))),""))</f>
        <v/>
      </c>
      <c r="K3314" s="39" t="str">
        <f>IF(OR(C3314="",NOT(ISNUMBER(E3314))),"",IFERROR(ROUND(N(INDEX(art_init,MATCH(C3314,art_ref,0)))+SUMIFS($E$5:E3314,$C$5:C3314,C3314,$B$5:B3314,"Entrée")-SUMIFS($E$5:E3314,$C$5:C3314,C3314,$B$5:B3314,"Sortie"),6),""))</f>
        <v/>
      </c>
      <c r="L3314" s="39" t="str">
        <f>IF(COUNTA(A3314:C3314,E3314)=0,"",IF(COUNTA(A3314:C3314,E3314)&lt;4,"Ligne incomplète",IF(NOT(ISNUMBER(A3314)),"Date invalide",IF(AND(B3314&lt;&gt;"Entrée",B3314&lt;&gt;"Sortie"),"Type inconnu",IF(ISNA(MATCH(C3314,art_ref,0)),"Référence inconnue",IF(OR(NOT(ISNUMBER(E3314)),N(E3314)&lt;=0),"Quantité invalide",IF(K3314&lt;0,"Stock négatif",IF(AND(ISNUMBER(A3313),A3314&lt;A3313),"Date hors ordre","OK"))))))))</f>
        <v/>
      </c>
      <c r="M3314" s="39" t="str">
        <f>IF(C3314="","",C3314&amp;"#"&amp;COUNTIF($C$5:C3314,C3314))</f>
        <v/>
      </c>
    </row>
    <row r="3315">
      <c r="A3315" s="41" t="n"/>
      <c r="B3315" s="37" t="n"/>
      <c r="C3315" s="37" t="n"/>
      <c r="D3315" s="39" t="str">
        <f>IF(C3315="","",IFERROR(INDEX(art_des,MATCH(C3315,art_ref,0))&amp;"","Référence inconnue"))</f>
        <v/>
      </c>
      <c r="E3315" s="37" t="n"/>
      <c r="F3315" s="39" t="str">
        <f>IF(C3315="","",IFERROR(INDEX(art_unit,MATCH(C3315,art_ref,0))&amp;"",""))</f>
        <v/>
      </c>
      <c r="G3315" s="37" t="n"/>
      <c r="H3315" s="37" t="n"/>
      <c r="I3315" s="37" t="n"/>
      <c r="J3315" s="40" t="str">
        <f>IF(OR(C3315="",NOT(ISNUMBER(E3315))),"",IFERROR(E3315*N(INDEX(art_price,MATCH(C3315,art_ref,0))),""))</f>
        <v/>
      </c>
      <c r="K3315" s="39" t="str">
        <f>IF(OR(C3315="",NOT(ISNUMBER(E3315))),"",IFERROR(ROUND(N(INDEX(art_init,MATCH(C3315,art_ref,0)))+SUMIFS($E$5:E3315,$C$5:C3315,C3315,$B$5:B3315,"Entrée")-SUMIFS($E$5:E3315,$C$5:C3315,C3315,$B$5:B3315,"Sortie"),6),""))</f>
        <v/>
      </c>
      <c r="L3315" s="39" t="str">
        <f>IF(COUNTA(A3315:C3315,E3315)=0,"",IF(COUNTA(A3315:C3315,E3315)&lt;4,"Ligne incomplète",IF(NOT(ISNUMBER(A3315)),"Date invalide",IF(AND(B3315&lt;&gt;"Entrée",B3315&lt;&gt;"Sortie"),"Type inconnu",IF(ISNA(MATCH(C3315,art_ref,0)),"Référence inconnue",IF(OR(NOT(ISNUMBER(E3315)),N(E3315)&lt;=0),"Quantité invalide",IF(K3315&lt;0,"Stock négatif",IF(AND(ISNUMBER(A3314),A3315&lt;A3314),"Date hors ordre","OK"))))))))</f>
        <v/>
      </c>
      <c r="M3315" s="39" t="str">
        <f>IF(C3315="","",C3315&amp;"#"&amp;COUNTIF($C$5:C3315,C3315))</f>
        <v/>
      </c>
    </row>
    <row r="3316">
      <c r="A3316" s="41" t="n"/>
      <c r="B3316" s="37" t="n"/>
      <c r="C3316" s="37" t="n"/>
      <c r="D3316" s="39" t="str">
        <f>IF(C3316="","",IFERROR(INDEX(art_des,MATCH(C3316,art_ref,0))&amp;"","Référence inconnue"))</f>
        <v/>
      </c>
      <c r="E3316" s="37" t="n"/>
      <c r="F3316" s="39" t="str">
        <f>IF(C3316="","",IFERROR(INDEX(art_unit,MATCH(C3316,art_ref,0))&amp;"",""))</f>
        <v/>
      </c>
      <c r="G3316" s="37" t="n"/>
      <c r="H3316" s="37" t="n"/>
      <c r="I3316" s="37" t="n"/>
      <c r="J3316" s="40" t="str">
        <f>IF(OR(C3316="",NOT(ISNUMBER(E3316))),"",IFERROR(E3316*N(INDEX(art_price,MATCH(C3316,art_ref,0))),""))</f>
        <v/>
      </c>
      <c r="K3316" s="39" t="str">
        <f>IF(OR(C3316="",NOT(ISNUMBER(E3316))),"",IFERROR(ROUND(N(INDEX(art_init,MATCH(C3316,art_ref,0)))+SUMIFS($E$5:E3316,$C$5:C3316,C3316,$B$5:B3316,"Entrée")-SUMIFS($E$5:E3316,$C$5:C3316,C3316,$B$5:B3316,"Sortie"),6),""))</f>
        <v/>
      </c>
      <c r="L3316" s="39" t="str">
        <f>IF(COUNTA(A3316:C3316,E3316)=0,"",IF(COUNTA(A3316:C3316,E3316)&lt;4,"Ligne incomplète",IF(NOT(ISNUMBER(A3316)),"Date invalide",IF(AND(B3316&lt;&gt;"Entrée",B3316&lt;&gt;"Sortie"),"Type inconnu",IF(ISNA(MATCH(C3316,art_ref,0)),"Référence inconnue",IF(OR(NOT(ISNUMBER(E3316)),N(E3316)&lt;=0),"Quantité invalide",IF(K3316&lt;0,"Stock négatif",IF(AND(ISNUMBER(A3315),A3316&lt;A3315),"Date hors ordre","OK"))))))))</f>
        <v/>
      </c>
      <c r="M3316" s="39" t="str">
        <f>IF(C3316="","",C3316&amp;"#"&amp;COUNTIF($C$5:C3316,C3316))</f>
        <v/>
      </c>
    </row>
    <row r="3317">
      <c r="A3317" s="41" t="n"/>
      <c r="B3317" s="37" t="n"/>
      <c r="C3317" s="37" t="n"/>
      <c r="D3317" s="39" t="str">
        <f>IF(C3317="","",IFERROR(INDEX(art_des,MATCH(C3317,art_ref,0))&amp;"","Référence inconnue"))</f>
        <v/>
      </c>
      <c r="E3317" s="37" t="n"/>
      <c r="F3317" s="39" t="str">
        <f>IF(C3317="","",IFERROR(INDEX(art_unit,MATCH(C3317,art_ref,0))&amp;"",""))</f>
        <v/>
      </c>
      <c r="G3317" s="37" t="n"/>
      <c r="H3317" s="37" t="n"/>
      <c r="I3317" s="37" t="n"/>
      <c r="J3317" s="40" t="str">
        <f>IF(OR(C3317="",NOT(ISNUMBER(E3317))),"",IFERROR(E3317*N(INDEX(art_price,MATCH(C3317,art_ref,0))),""))</f>
        <v/>
      </c>
      <c r="K3317" s="39" t="str">
        <f>IF(OR(C3317="",NOT(ISNUMBER(E3317))),"",IFERROR(ROUND(N(INDEX(art_init,MATCH(C3317,art_ref,0)))+SUMIFS($E$5:E3317,$C$5:C3317,C3317,$B$5:B3317,"Entrée")-SUMIFS($E$5:E3317,$C$5:C3317,C3317,$B$5:B3317,"Sortie"),6),""))</f>
        <v/>
      </c>
      <c r="L3317" s="39" t="str">
        <f>IF(COUNTA(A3317:C3317,E3317)=0,"",IF(COUNTA(A3317:C3317,E3317)&lt;4,"Ligne incomplète",IF(NOT(ISNUMBER(A3317)),"Date invalide",IF(AND(B3317&lt;&gt;"Entrée",B3317&lt;&gt;"Sortie"),"Type inconnu",IF(ISNA(MATCH(C3317,art_ref,0)),"Référence inconnue",IF(OR(NOT(ISNUMBER(E3317)),N(E3317)&lt;=0),"Quantité invalide",IF(K3317&lt;0,"Stock négatif",IF(AND(ISNUMBER(A3316),A3317&lt;A3316),"Date hors ordre","OK"))))))))</f>
        <v/>
      </c>
      <c r="M3317" s="39" t="str">
        <f>IF(C3317="","",C3317&amp;"#"&amp;COUNTIF($C$5:C3317,C3317))</f>
        <v/>
      </c>
    </row>
    <row r="3318">
      <c r="A3318" s="41" t="n"/>
      <c r="B3318" s="37" t="n"/>
      <c r="C3318" s="37" t="n"/>
      <c r="D3318" s="39" t="str">
        <f>IF(C3318="","",IFERROR(INDEX(art_des,MATCH(C3318,art_ref,0))&amp;"","Référence inconnue"))</f>
        <v/>
      </c>
      <c r="E3318" s="37" t="n"/>
      <c r="F3318" s="39" t="str">
        <f>IF(C3318="","",IFERROR(INDEX(art_unit,MATCH(C3318,art_ref,0))&amp;"",""))</f>
        <v/>
      </c>
      <c r="G3318" s="37" t="n"/>
      <c r="H3318" s="37" t="n"/>
      <c r="I3318" s="37" t="n"/>
      <c r="J3318" s="40" t="str">
        <f>IF(OR(C3318="",NOT(ISNUMBER(E3318))),"",IFERROR(E3318*N(INDEX(art_price,MATCH(C3318,art_ref,0))),""))</f>
        <v/>
      </c>
      <c r="K3318" s="39" t="str">
        <f>IF(OR(C3318="",NOT(ISNUMBER(E3318))),"",IFERROR(ROUND(N(INDEX(art_init,MATCH(C3318,art_ref,0)))+SUMIFS($E$5:E3318,$C$5:C3318,C3318,$B$5:B3318,"Entrée")-SUMIFS($E$5:E3318,$C$5:C3318,C3318,$B$5:B3318,"Sortie"),6),""))</f>
        <v/>
      </c>
      <c r="L3318" s="39" t="str">
        <f>IF(COUNTA(A3318:C3318,E3318)=0,"",IF(COUNTA(A3318:C3318,E3318)&lt;4,"Ligne incomplète",IF(NOT(ISNUMBER(A3318)),"Date invalide",IF(AND(B3318&lt;&gt;"Entrée",B3318&lt;&gt;"Sortie"),"Type inconnu",IF(ISNA(MATCH(C3318,art_ref,0)),"Référence inconnue",IF(OR(NOT(ISNUMBER(E3318)),N(E3318)&lt;=0),"Quantité invalide",IF(K3318&lt;0,"Stock négatif",IF(AND(ISNUMBER(A3317),A3318&lt;A3317),"Date hors ordre","OK"))))))))</f>
        <v/>
      </c>
      <c r="M3318" s="39" t="str">
        <f>IF(C3318="","",C3318&amp;"#"&amp;COUNTIF($C$5:C3318,C3318))</f>
        <v/>
      </c>
    </row>
    <row r="3319">
      <c r="A3319" s="41" t="n"/>
      <c r="B3319" s="37" t="n"/>
      <c r="C3319" s="37" t="n"/>
      <c r="D3319" s="39" t="str">
        <f>IF(C3319="","",IFERROR(INDEX(art_des,MATCH(C3319,art_ref,0))&amp;"","Référence inconnue"))</f>
        <v/>
      </c>
      <c r="E3319" s="37" t="n"/>
      <c r="F3319" s="39" t="str">
        <f>IF(C3319="","",IFERROR(INDEX(art_unit,MATCH(C3319,art_ref,0))&amp;"",""))</f>
        <v/>
      </c>
      <c r="G3319" s="37" t="n"/>
      <c r="H3319" s="37" t="n"/>
      <c r="I3319" s="37" t="n"/>
      <c r="J3319" s="40" t="str">
        <f>IF(OR(C3319="",NOT(ISNUMBER(E3319))),"",IFERROR(E3319*N(INDEX(art_price,MATCH(C3319,art_ref,0))),""))</f>
        <v/>
      </c>
      <c r="K3319" s="39" t="str">
        <f>IF(OR(C3319="",NOT(ISNUMBER(E3319))),"",IFERROR(ROUND(N(INDEX(art_init,MATCH(C3319,art_ref,0)))+SUMIFS($E$5:E3319,$C$5:C3319,C3319,$B$5:B3319,"Entrée")-SUMIFS($E$5:E3319,$C$5:C3319,C3319,$B$5:B3319,"Sortie"),6),""))</f>
        <v/>
      </c>
      <c r="L3319" s="39" t="str">
        <f>IF(COUNTA(A3319:C3319,E3319)=0,"",IF(COUNTA(A3319:C3319,E3319)&lt;4,"Ligne incomplète",IF(NOT(ISNUMBER(A3319)),"Date invalide",IF(AND(B3319&lt;&gt;"Entrée",B3319&lt;&gt;"Sortie"),"Type inconnu",IF(ISNA(MATCH(C3319,art_ref,0)),"Référence inconnue",IF(OR(NOT(ISNUMBER(E3319)),N(E3319)&lt;=0),"Quantité invalide",IF(K3319&lt;0,"Stock négatif",IF(AND(ISNUMBER(A3318),A3319&lt;A3318),"Date hors ordre","OK"))))))))</f>
        <v/>
      </c>
      <c r="M3319" s="39" t="str">
        <f>IF(C3319="","",C3319&amp;"#"&amp;COUNTIF($C$5:C3319,C3319))</f>
        <v/>
      </c>
    </row>
    <row r="3320">
      <c r="A3320" s="41" t="n"/>
      <c r="B3320" s="37" t="n"/>
      <c r="C3320" s="37" t="n"/>
      <c r="D3320" s="39" t="str">
        <f>IF(C3320="","",IFERROR(INDEX(art_des,MATCH(C3320,art_ref,0))&amp;"","Référence inconnue"))</f>
        <v/>
      </c>
      <c r="E3320" s="37" t="n"/>
      <c r="F3320" s="39" t="str">
        <f>IF(C3320="","",IFERROR(INDEX(art_unit,MATCH(C3320,art_ref,0))&amp;"",""))</f>
        <v/>
      </c>
      <c r="G3320" s="37" t="n"/>
      <c r="H3320" s="37" t="n"/>
      <c r="I3320" s="37" t="n"/>
      <c r="J3320" s="40" t="str">
        <f>IF(OR(C3320="",NOT(ISNUMBER(E3320))),"",IFERROR(E3320*N(INDEX(art_price,MATCH(C3320,art_ref,0))),""))</f>
        <v/>
      </c>
      <c r="K3320" s="39" t="str">
        <f>IF(OR(C3320="",NOT(ISNUMBER(E3320))),"",IFERROR(ROUND(N(INDEX(art_init,MATCH(C3320,art_ref,0)))+SUMIFS($E$5:E3320,$C$5:C3320,C3320,$B$5:B3320,"Entrée")-SUMIFS($E$5:E3320,$C$5:C3320,C3320,$B$5:B3320,"Sortie"),6),""))</f>
        <v/>
      </c>
      <c r="L3320" s="39" t="str">
        <f>IF(COUNTA(A3320:C3320,E3320)=0,"",IF(COUNTA(A3320:C3320,E3320)&lt;4,"Ligne incomplète",IF(NOT(ISNUMBER(A3320)),"Date invalide",IF(AND(B3320&lt;&gt;"Entrée",B3320&lt;&gt;"Sortie"),"Type inconnu",IF(ISNA(MATCH(C3320,art_ref,0)),"Référence inconnue",IF(OR(NOT(ISNUMBER(E3320)),N(E3320)&lt;=0),"Quantité invalide",IF(K3320&lt;0,"Stock négatif",IF(AND(ISNUMBER(A3319),A3320&lt;A3319),"Date hors ordre","OK"))))))))</f>
        <v/>
      </c>
      <c r="M3320" s="39" t="str">
        <f>IF(C3320="","",C3320&amp;"#"&amp;COUNTIF($C$5:C3320,C3320))</f>
        <v/>
      </c>
    </row>
    <row r="3321">
      <c r="A3321" s="41" t="n"/>
      <c r="B3321" s="37" t="n"/>
      <c r="C3321" s="37" t="n"/>
      <c r="D3321" s="39" t="str">
        <f>IF(C3321="","",IFERROR(INDEX(art_des,MATCH(C3321,art_ref,0))&amp;"","Référence inconnue"))</f>
        <v/>
      </c>
      <c r="E3321" s="37" t="n"/>
      <c r="F3321" s="39" t="str">
        <f>IF(C3321="","",IFERROR(INDEX(art_unit,MATCH(C3321,art_ref,0))&amp;"",""))</f>
        <v/>
      </c>
      <c r="G3321" s="37" t="n"/>
      <c r="H3321" s="37" t="n"/>
      <c r="I3321" s="37" t="n"/>
      <c r="J3321" s="40" t="str">
        <f>IF(OR(C3321="",NOT(ISNUMBER(E3321))),"",IFERROR(E3321*N(INDEX(art_price,MATCH(C3321,art_ref,0))),""))</f>
        <v/>
      </c>
      <c r="K3321" s="39" t="str">
        <f>IF(OR(C3321="",NOT(ISNUMBER(E3321))),"",IFERROR(ROUND(N(INDEX(art_init,MATCH(C3321,art_ref,0)))+SUMIFS($E$5:E3321,$C$5:C3321,C3321,$B$5:B3321,"Entrée")-SUMIFS($E$5:E3321,$C$5:C3321,C3321,$B$5:B3321,"Sortie"),6),""))</f>
        <v/>
      </c>
      <c r="L3321" s="39" t="str">
        <f>IF(COUNTA(A3321:C3321,E3321)=0,"",IF(COUNTA(A3321:C3321,E3321)&lt;4,"Ligne incomplète",IF(NOT(ISNUMBER(A3321)),"Date invalide",IF(AND(B3321&lt;&gt;"Entrée",B3321&lt;&gt;"Sortie"),"Type inconnu",IF(ISNA(MATCH(C3321,art_ref,0)),"Référence inconnue",IF(OR(NOT(ISNUMBER(E3321)),N(E3321)&lt;=0),"Quantité invalide",IF(K3321&lt;0,"Stock négatif",IF(AND(ISNUMBER(A3320),A3321&lt;A3320),"Date hors ordre","OK"))))))))</f>
        <v/>
      </c>
      <c r="M3321" s="39" t="str">
        <f>IF(C3321="","",C3321&amp;"#"&amp;COUNTIF($C$5:C3321,C3321))</f>
        <v/>
      </c>
    </row>
    <row r="3322">
      <c r="A3322" s="41" t="n"/>
      <c r="B3322" s="37" t="n"/>
      <c r="C3322" s="37" t="n"/>
      <c r="D3322" s="39" t="str">
        <f>IF(C3322="","",IFERROR(INDEX(art_des,MATCH(C3322,art_ref,0))&amp;"","Référence inconnue"))</f>
        <v/>
      </c>
      <c r="E3322" s="37" t="n"/>
      <c r="F3322" s="39" t="str">
        <f>IF(C3322="","",IFERROR(INDEX(art_unit,MATCH(C3322,art_ref,0))&amp;"",""))</f>
        <v/>
      </c>
      <c r="G3322" s="37" t="n"/>
      <c r="H3322" s="37" t="n"/>
      <c r="I3322" s="37" t="n"/>
      <c r="J3322" s="40" t="str">
        <f>IF(OR(C3322="",NOT(ISNUMBER(E3322))),"",IFERROR(E3322*N(INDEX(art_price,MATCH(C3322,art_ref,0))),""))</f>
        <v/>
      </c>
      <c r="K3322" s="39" t="str">
        <f>IF(OR(C3322="",NOT(ISNUMBER(E3322))),"",IFERROR(ROUND(N(INDEX(art_init,MATCH(C3322,art_ref,0)))+SUMIFS($E$5:E3322,$C$5:C3322,C3322,$B$5:B3322,"Entrée")-SUMIFS($E$5:E3322,$C$5:C3322,C3322,$B$5:B3322,"Sortie"),6),""))</f>
        <v/>
      </c>
      <c r="L3322" s="39" t="str">
        <f>IF(COUNTA(A3322:C3322,E3322)=0,"",IF(COUNTA(A3322:C3322,E3322)&lt;4,"Ligne incomplète",IF(NOT(ISNUMBER(A3322)),"Date invalide",IF(AND(B3322&lt;&gt;"Entrée",B3322&lt;&gt;"Sortie"),"Type inconnu",IF(ISNA(MATCH(C3322,art_ref,0)),"Référence inconnue",IF(OR(NOT(ISNUMBER(E3322)),N(E3322)&lt;=0),"Quantité invalide",IF(K3322&lt;0,"Stock négatif",IF(AND(ISNUMBER(A3321),A3322&lt;A3321),"Date hors ordre","OK"))))))))</f>
        <v/>
      </c>
      <c r="M3322" s="39" t="str">
        <f>IF(C3322="","",C3322&amp;"#"&amp;COUNTIF($C$5:C3322,C3322))</f>
        <v/>
      </c>
    </row>
    <row r="3323">
      <c r="A3323" s="41" t="n"/>
      <c r="B3323" s="37" t="n"/>
      <c r="C3323" s="37" t="n"/>
      <c r="D3323" s="39" t="str">
        <f>IF(C3323="","",IFERROR(INDEX(art_des,MATCH(C3323,art_ref,0))&amp;"","Référence inconnue"))</f>
        <v/>
      </c>
      <c r="E3323" s="37" t="n"/>
      <c r="F3323" s="39" t="str">
        <f>IF(C3323="","",IFERROR(INDEX(art_unit,MATCH(C3323,art_ref,0))&amp;"",""))</f>
        <v/>
      </c>
      <c r="G3323" s="37" t="n"/>
      <c r="H3323" s="37" t="n"/>
      <c r="I3323" s="37" t="n"/>
      <c r="J3323" s="40" t="str">
        <f>IF(OR(C3323="",NOT(ISNUMBER(E3323))),"",IFERROR(E3323*N(INDEX(art_price,MATCH(C3323,art_ref,0))),""))</f>
        <v/>
      </c>
      <c r="K3323" s="39" t="str">
        <f>IF(OR(C3323="",NOT(ISNUMBER(E3323))),"",IFERROR(ROUND(N(INDEX(art_init,MATCH(C3323,art_ref,0)))+SUMIFS($E$5:E3323,$C$5:C3323,C3323,$B$5:B3323,"Entrée")-SUMIFS($E$5:E3323,$C$5:C3323,C3323,$B$5:B3323,"Sortie"),6),""))</f>
        <v/>
      </c>
      <c r="L3323" s="39" t="str">
        <f>IF(COUNTA(A3323:C3323,E3323)=0,"",IF(COUNTA(A3323:C3323,E3323)&lt;4,"Ligne incomplète",IF(NOT(ISNUMBER(A3323)),"Date invalide",IF(AND(B3323&lt;&gt;"Entrée",B3323&lt;&gt;"Sortie"),"Type inconnu",IF(ISNA(MATCH(C3323,art_ref,0)),"Référence inconnue",IF(OR(NOT(ISNUMBER(E3323)),N(E3323)&lt;=0),"Quantité invalide",IF(K3323&lt;0,"Stock négatif",IF(AND(ISNUMBER(A3322),A3323&lt;A3322),"Date hors ordre","OK"))))))))</f>
        <v/>
      </c>
      <c r="M3323" s="39" t="str">
        <f>IF(C3323="","",C3323&amp;"#"&amp;COUNTIF($C$5:C3323,C3323))</f>
        <v/>
      </c>
    </row>
    <row r="3324">
      <c r="A3324" s="41" t="n"/>
      <c r="B3324" s="37" t="n"/>
      <c r="C3324" s="37" t="n"/>
      <c r="D3324" s="39" t="str">
        <f>IF(C3324="","",IFERROR(INDEX(art_des,MATCH(C3324,art_ref,0))&amp;"","Référence inconnue"))</f>
        <v/>
      </c>
      <c r="E3324" s="37" t="n"/>
      <c r="F3324" s="39" t="str">
        <f>IF(C3324="","",IFERROR(INDEX(art_unit,MATCH(C3324,art_ref,0))&amp;"",""))</f>
        <v/>
      </c>
      <c r="G3324" s="37" t="n"/>
      <c r="H3324" s="37" t="n"/>
      <c r="I3324" s="37" t="n"/>
      <c r="J3324" s="40" t="str">
        <f>IF(OR(C3324="",NOT(ISNUMBER(E3324))),"",IFERROR(E3324*N(INDEX(art_price,MATCH(C3324,art_ref,0))),""))</f>
        <v/>
      </c>
      <c r="K3324" s="39" t="str">
        <f>IF(OR(C3324="",NOT(ISNUMBER(E3324))),"",IFERROR(ROUND(N(INDEX(art_init,MATCH(C3324,art_ref,0)))+SUMIFS($E$5:E3324,$C$5:C3324,C3324,$B$5:B3324,"Entrée")-SUMIFS($E$5:E3324,$C$5:C3324,C3324,$B$5:B3324,"Sortie"),6),""))</f>
        <v/>
      </c>
      <c r="L3324" s="39" t="str">
        <f>IF(COUNTA(A3324:C3324,E3324)=0,"",IF(COUNTA(A3324:C3324,E3324)&lt;4,"Ligne incomplète",IF(NOT(ISNUMBER(A3324)),"Date invalide",IF(AND(B3324&lt;&gt;"Entrée",B3324&lt;&gt;"Sortie"),"Type inconnu",IF(ISNA(MATCH(C3324,art_ref,0)),"Référence inconnue",IF(OR(NOT(ISNUMBER(E3324)),N(E3324)&lt;=0),"Quantité invalide",IF(K3324&lt;0,"Stock négatif",IF(AND(ISNUMBER(A3323),A3324&lt;A3323),"Date hors ordre","OK"))))))))</f>
        <v/>
      </c>
      <c r="M3324" s="39" t="str">
        <f>IF(C3324="","",C3324&amp;"#"&amp;COUNTIF($C$5:C3324,C3324))</f>
        <v/>
      </c>
    </row>
    <row r="3325">
      <c r="A3325" s="41" t="n"/>
      <c r="B3325" s="37" t="n"/>
      <c r="C3325" s="37" t="n"/>
      <c r="D3325" s="39" t="str">
        <f>IF(C3325="","",IFERROR(INDEX(art_des,MATCH(C3325,art_ref,0))&amp;"","Référence inconnue"))</f>
        <v/>
      </c>
      <c r="E3325" s="37" t="n"/>
      <c r="F3325" s="39" t="str">
        <f>IF(C3325="","",IFERROR(INDEX(art_unit,MATCH(C3325,art_ref,0))&amp;"",""))</f>
        <v/>
      </c>
      <c r="G3325" s="37" t="n"/>
      <c r="H3325" s="37" t="n"/>
      <c r="I3325" s="37" t="n"/>
      <c r="J3325" s="40" t="str">
        <f>IF(OR(C3325="",NOT(ISNUMBER(E3325))),"",IFERROR(E3325*N(INDEX(art_price,MATCH(C3325,art_ref,0))),""))</f>
        <v/>
      </c>
      <c r="K3325" s="39" t="str">
        <f>IF(OR(C3325="",NOT(ISNUMBER(E3325))),"",IFERROR(ROUND(N(INDEX(art_init,MATCH(C3325,art_ref,0)))+SUMIFS($E$5:E3325,$C$5:C3325,C3325,$B$5:B3325,"Entrée")-SUMIFS($E$5:E3325,$C$5:C3325,C3325,$B$5:B3325,"Sortie"),6),""))</f>
        <v/>
      </c>
      <c r="L3325" s="39" t="str">
        <f>IF(COUNTA(A3325:C3325,E3325)=0,"",IF(COUNTA(A3325:C3325,E3325)&lt;4,"Ligne incomplète",IF(NOT(ISNUMBER(A3325)),"Date invalide",IF(AND(B3325&lt;&gt;"Entrée",B3325&lt;&gt;"Sortie"),"Type inconnu",IF(ISNA(MATCH(C3325,art_ref,0)),"Référence inconnue",IF(OR(NOT(ISNUMBER(E3325)),N(E3325)&lt;=0),"Quantité invalide",IF(K3325&lt;0,"Stock négatif",IF(AND(ISNUMBER(A3324),A3325&lt;A3324),"Date hors ordre","OK"))))))))</f>
        <v/>
      </c>
      <c r="M3325" s="39" t="str">
        <f>IF(C3325="","",C3325&amp;"#"&amp;COUNTIF($C$5:C3325,C3325))</f>
        <v/>
      </c>
    </row>
    <row r="3326">
      <c r="A3326" s="41" t="n"/>
      <c r="B3326" s="37" t="n"/>
      <c r="C3326" s="37" t="n"/>
      <c r="D3326" s="39" t="str">
        <f>IF(C3326="","",IFERROR(INDEX(art_des,MATCH(C3326,art_ref,0))&amp;"","Référence inconnue"))</f>
        <v/>
      </c>
      <c r="E3326" s="37" t="n"/>
      <c r="F3326" s="39" t="str">
        <f>IF(C3326="","",IFERROR(INDEX(art_unit,MATCH(C3326,art_ref,0))&amp;"",""))</f>
        <v/>
      </c>
      <c r="G3326" s="37" t="n"/>
      <c r="H3326" s="37" t="n"/>
      <c r="I3326" s="37" t="n"/>
      <c r="J3326" s="40" t="str">
        <f>IF(OR(C3326="",NOT(ISNUMBER(E3326))),"",IFERROR(E3326*N(INDEX(art_price,MATCH(C3326,art_ref,0))),""))</f>
        <v/>
      </c>
      <c r="K3326" s="39" t="str">
        <f>IF(OR(C3326="",NOT(ISNUMBER(E3326))),"",IFERROR(ROUND(N(INDEX(art_init,MATCH(C3326,art_ref,0)))+SUMIFS($E$5:E3326,$C$5:C3326,C3326,$B$5:B3326,"Entrée")-SUMIFS($E$5:E3326,$C$5:C3326,C3326,$B$5:B3326,"Sortie"),6),""))</f>
        <v/>
      </c>
      <c r="L3326" s="39" t="str">
        <f>IF(COUNTA(A3326:C3326,E3326)=0,"",IF(COUNTA(A3326:C3326,E3326)&lt;4,"Ligne incomplète",IF(NOT(ISNUMBER(A3326)),"Date invalide",IF(AND(B3326&lt;&gt;"Entrée",B3326&lt;&gt;"Sortie"),"Type inconnu",IF(ISNA(MATCH(C3326,art_ref,0)),"Référence inconnue",IF(OR(NOT(ISNUMBER(E3326)),N(E3326)&lt;=0),"Quantité invalide",IF(K3326&lt;0,"Stock négatif",IF(AND(ISNUMBER(A3325),A3326&lt;A3325),"Date hors ordre","OK"))))))))</f>
        <v/>
      </c>
      <c r="M3326" s="39" t="str">
        <f>IF(C3326="","",C3326&amp;"#"&amp;COUNTIF($C$5:C3326,C3326))</f>
        <v/>
      </c>
    </row>
    <row r="3327">
      <c r="A3327" s="41" t="n"/>
      <c r="B3327" s="37" t="n"/>
      <c r="C3327" s="37" t="n"/>
      <c r="D3327" s="39" t="str">
        <f>IF(C3327="","",IFERROR(INDEX(art_des,MATCH(C3327,art_ref,0))&amp;"","Référence inconnue"))</f>
        <v/>
      </c>
      <c r="E3327" s="37" t="n"/>
      <c r="F3327" s="39" t="str">
        <f>IF(C3327="","",IFERROR(INDEX(art_unit,MATCH(C3327,art_ref,0))&amp;"",""))</f>
        <v/>
      </c>
      <c r="G3327" s="37" t="n"/>
      <c r="H3327" s="37" t="n"/>
      <c r="I3327" s="37" t="n"/>
      <c r="J3327" s="40" t="str">
        <f>IF(OR(C3327="",NOT(ISNUMBER(E3327))),"",IFERROR(E3327*N(INDEX(art_price,MATCH(C3327,art_ref,0))),""))</f>
        <v/>
      </c>
      <c r="K3327" s="39" t="str">
        <f>IF(OR(C3327="",NOT(ISNUMBER(E3327))),"",IFERROR(ROUND(N(INDEX(art_init,MATCH(C3327,art_ref,0)))+SUMIFS($E$5:E3327,$C$5:C3327,C3327,$B$5:B3327,"Entrée")-SUMIFS($E$5:E3327,$C$5:C3327,C3327,$B$5:B3327,"Sortie"),6),""))</f>
        <v/>
      </c>
      <c r="L3327" s="39" t="str">
        <f>IF(COUNTA(A3327:C3327,E3327)=0,"",IF(COUNTA(A3327:C3327,E3327)&lt;4,"Ligne incomplète",IF(NOT(ISNUMBER(A3327)),"Date invalide",IF(AND(B3327&lt;&gt;"Entrée",B3327&lt;&gt;"Sortie"),"Type inconnu",IF(ISNA(MATCH(C3327,art_ref,0)),"Référence inconnue",IF(OR(NOT(ISNUMBER(E3327)),N(E3327)&lt;=0),"Quantité invalide",IF(K3327&lt;0,"Stock négatif",IF(AND(ISNUMBER(A3326),A3327&lt;A3326),"Date hors ordre","OK"))))))))</f>
        <v/>
      </c>
      <c r="M3327" s="39" t="str">
        <f>IF(C3327="","",C3327&amp;"#"&amp;COUNTIF($C$5:C3327,C3327))</f>
        <v/>
      </c>
    </row>
    <row r="3328">
      <c r="A3328" s="41" t="n"/>
      <c r="B3328" s="37" t="n"/>
      <c r="C3328" s="37" t="n"/>
      <c r="D3328" s="39" t="str">
        <f>IF(C3328="","",IFERROR(INDEX(art_des,MATCH(C3328,art_ref,0))&amp;"","Référence inconnue"))</f>
        <v/>
      </c>
      <c r="E3328" s="37" t="n"/>
      <c r="F3328" s="39" t="str">
        <f>IF(C3328="","",IFERROR(INDEX(art_unit,MATCH(C3328,art_ref,0))&amp;"",""))</f>
        <v/>
      </c>
      <c r="G3328" s="37" t="n"/>
      <c r="H3328" s="37" t="n"/>
      <c r="I3328" s="37" t="n"/>
      <c r="J3328" s="40" t="str">
        <f>IF(OR(C3328="",NOT(ISNUMBER(E3328))),"",IFERROR(E3328*N(INDEX(art_price,MATCH(C3328,art_ref,0))),""))</f>
        <v/>
      </c>
      <c r="K3328" s="39" t="str">
        <f>IF(OR(C3328="",NOT(ISNUMBER(E3328))),"",IFERROR(ROUND(N(INDEX(art_init,MATCH(C3328,art_ref,0)))+SUMIFS($E$5:E3328,$C$5:C3328,C3328,$B$5:B3328,"Entrée")-SUMIFS($E$5:E3328,$C$5:C3328,C3328,$B$5:B3328,"Sortie"),6),""))</f>
        <v/>
      </c>
      <c r="L3328" s="39" t="str">
        <f>IF(COUNTA(A3328:C3328,E3328)=0,"",IF(COUNTA(A3328:C3328,E3328)&lt;4,"Ligne incomplète",IF(NOT(ISNUMBER(A3328)),"Date invalide",IF(AND(B3328&lt;&gt;"Entrée",B3328&lt;&gt;"Sortie"),"Type inconnu",IF(ISNA(MATCH(C3328,art_ref,0)),"Référence inconnue",IF(OR(NOT(ISNUMBER(E3328)),N(E3328)&lt;=0),"Quantité invalide",IF(K3328&lt;0,"Stock négatif",IF(AND(ISNUMBER(A3327),A3328&lt;A3327),"Date hors ordre","OK"))))))))</f>
        <v/>
      </c>
      <c r="M3328" s="39" t="str">
        <f>IF(C3328="","",C3328&amp;"#"&amp;COUNTIF($C$5:C3328,C3328))</f>
        <v/>
      </c>
    </row>
    <row r="3329">
      <c r="A3329" s="41" t="n"/>
      <c r="B3329" s="37" t="n"/>
      <c r="C3329" s="37" t="n"/>
      <c r="D3329" s="39" t="str">
        <f>IF(C3329="","",IFERROR(INDEX(art_des,MATCH(C3329,art_ref,0))&amp;"","Référence inconnue"))</f>
        <v/>
      </c>
      <c r="E3329" s="37" t="n"/>
      <c r="F3329" s="39" t="str">
        <f>IF(C3329="","",IFERROR(INDEX(art_unit,MATCH(C3329,art_ref,0))&amp;"",""))</f>
        <v/>
      </c>
      <c r="G3329" s="37" t="n"/>
      <c r="H3329" s="37" t="n"/>
      <c r="I3329" s="37" t="n"/>
      <c r="J3329" s="40" t="str">
        <f>IF(OR(C3329="",NOT(ISNUMBER(E3329))),"",IFERROR(E3329*N(INDEX(art_price,MATCH(C3329,art_ref,0))),""))</f>
        <v/>
      </c>
      <c r="K3329" s="39" t="str">
        <f>IF(OR(C3329="",NOT(ISNUMBER(E3329))),"",IFERROR(ROUND(N(INDEX(art_init,MATCH(C3329,art_ref,0)))+SUMIFS($E$5:E3329,$C$5:C3329,C3329,$B$5:B3329,"Entrée")-SUMIFS($E$5:E3329,$C$5:C3329,C3329,$B$5:B3329,"Sortie"),6),""))</f>
        <v/>
      </c>
      <c r="L3329" s="39" t="str">
        <f>IF(COUNTA(A3329:C3329,E3329)=0,"",IF(COUNTA(A3329:C3329,E3329)&lt;4,"Ligne incomplète",IF(NOT(ISNUMBER(A3329)),"Date invalide",IF(AND(B3329&lt;&gt;"Entrée",B3329&lt;&gt;"Sortie"),"Type inconnu",IF(ISNA(MATCH(C3329,art_ref,0)),"Référence inconnue",IF(OR(NOT(ISNUMBER(E3329)),N(E3329)&lt;=0),"Quantité invalide",IF(K3329&lt;0,"Stock négatif",IF(AND(ISNUMBER(A3328),A3329&lt;A3328),"Date hors ordre","OK"))))))))</f>
        <v/>
      </c>
      <c r="M3329" s="39" t="str">
        <f>IF(C3329="","",C3329&amp;"#"&amp;COUNTIF($C$5:C3329,C3329))</f>
        <v/>
      </c>
    </row>
    <row r="3330">
      <c r="A3330" s="41" t="n"/>
      <c r="B3330" s="37" t="n"/>
      <c r="C3330" s="37" t="n"/>
      <c r="D3330" s="39" t="str">
        <f>IF(C3330="","",IFERROR(INDEX(art_des,MATCH(C3330,art_ref,0))&amp;"","Référence inconnue"))</f>
        <v/>
      </c>
      <c r="E3330" s="37" t="n"/>
      <c r="F3330" s="39" t="str">
        <f>IF(C3330="","",IFERROR(INDEX(art_unit,MATCH(C3330,art_ref,0))&amp;"",""))</f>
        <v/>
      </c>
      <c r="G3330" s="37" t="n"/>
      <c r="H3330" s="37" t="n"/>
      <c r="I3330" s="37" t="n"/>
      <c r="J3330" s="40" t="str">
        <f>IF(OR(C3330="",NOT(ISNUMBER(E3330))),"",IFERROR(E3330*N(INDEX(art_price,MATCH(C3330,art_ref,0))),""))</f>
        <v/>
      </c>
      <c r="K3330" s="39" t="str">
        <f>IF(OR(C3330="",NOT(ISNUMBER(E3330))),"",IFERROR(ROUND(N(INDEX(art_init,MATCH(C3330,art_ref,0)))+SUMIFS($E$5:E3330,$C$5:C3330,C3330,$B$5:B3330,"Entrée")-SUMIFS($E$5:E3330,$C$5:C3330,C3330,$B$5:B3330,"Sortie"),6),""))</f>
        <v/>
      </c>
      <c r="L3330" s="39" t="str">
        <f>IF(COUNTA(A3330:C3330,E3330)=0,"",IF(COUNTA(A3330:C3330,E3330)&lt;4,"Ligne incomplète",IF(NOT(ISNUMBER(A3330)),"Date invalide",IF(AND(B3330&lt;&gt;"Entrée",B3330&lt;&gt;"Sortie"),"Type inconnu",IF(ISNA(MATCH(C3330,art_ref,0)),"Référence inconnue",IF(OR(NOT(ISNUMBER(E3330)),N(E3330)&lt;=0),"Quantité invalide",IF(K3330&lt;0,"Stock négatif",IF(AND(ISNUMBER(A3329),A3330&lt;A3329),"Date hors ordre","OK"))))))))</f>
        <v/>
      </c>
      <c r="M3330" s="39" t="str">
        <f>IF(C3330="","",C3330&amp;"#"&amp;COUNTIF($C$5:C3330,C3330))</f>
        <v/>
      </c>
    </row>
    <row r="3331">
      <c r="A3331" s="41" t="n"/>
      <c r="B3331" s="37" t="n"/>
      <c r="C3331" s="37" t="n"/>
      <c r="D3331" s="39" t="str">
        <f>IF(C3331="","",IFERROR(INDEX(art_des,MATCH(C3331,art_ref,0))&amp;"","Référence inconnue"))</f>
        <v/>
      </c>
      <c r="E3331" s="37" t="n"/>
      <c r="F3331" s="39" t="str">
        <f>IF(C3331="","",IFERROR(INDEX(art_unit,MATCH(C3331,art_ref,0))&amp;"",""))</f>
        <v/>
      </c>
      <c r="G3331" s="37" t="n"/>
      <c r="H3331" s="37" t="n"/>
      <c r="I3331" s="37" t="n"/>
      <c r="J3331" s="40" t="str">
        <f>IF(OR(C3331="",NOT(ISNUMBER(E3331))),"",IFERROR(E3331*N(INDEX(art_price,MATCH(C3331,art_ref,0))),""))</f>
        <v/>
      </c>
      <c r="K3331" s="39" t="str">
        <f>IF(OR(C3331="",NOT(ISNUMBER(E3331))),"",IFERROR(ROUND(N(INDEX(art_init,MATCH(C3331,art_ref,0)))+SUMIFS($E$5:E3331,$C$5:C3331,C3331,$B$5:B3331,"Entrée")-SUMIFS($E$5:E3331,$C$5:C3331,C3331,$B$5:B3331,"Sortie"),6),""))</f>
        <v/>
      </c>
      <c r="L3331" s="39" t="str">
        <f>IF(COUNTA(A3331:C3331,E3331)=0,"",IF(COUNTA(A3331:C3331,E3331)&lt;4,"Ligne incomplète",IF(NOT(ISNUMBER(A3331)),"Date invalide",IF(AND(B3331&lt;&gt;"Entrée",B3331&lt;&gt;"Sortie"),"Type inconnu",IF(ISNA(MATCH(C3331,art_ref,0)),"Référence inconnue",IF(OR(NOT(ISNUMBER(E3331)),N(E3331)&lt;=0),"Quantité invalide",IF(K3331&lt;0,"Stock négatif",IF(AND(ISNUMBER(A3330),A3331&lt;A3330),"Date hors ordre","OK"))))))))</f>
        <v/>
      </c>
      <c r="M3331" s="39" t="str">
        <f>IF(C3331="","",C3331&amp;"#"&amp;COUNTIF($C$5:C3331,C3331))</f>
        <v/>
      </c>
    </row>
    <row r="3332">
      <c r="A3332" s="41" t="n"/>
      <c r="B3332" s="37" t="n"/>
      <c r="C3332" s="37" t="n"/>
      <c r="D3332" s="39" t="str">
        <f>IF(C3332="","",IFERROR(INDEX(art_des,MATCH(C3332,art_ref,0))&amp;"","Référence inconnue"))</f>
        <v/>
      </c>
      <c r="E3332" s="37" t="n"/>
      <c r="F3332" s="39" t="str">
        <f>IF(C3332="","",IFERROR(INDEX(art_unit,MATCH(C3332,art_ref,0))&amp;"",""))</f>
        <v/>
      </c>
      <c r="G3332" s="37" t="n"/>
      <c r="H3332" s="37" t="n"/>
      <c r="I3332" s="37" t="n"/>
      <c r="J3332" s="40" t="str">
        <f>IF(OR(C3332="",NOT(ISNUMBER(E3332))),"",IFERROR(E3332*N(INDEX(art_price,MATCH(C3332,art_ref,0))),""))</f>
        <v/>
      </c>
      <c r="K3332" s="39" t="str">
        <f>IF(OR(C3332="",NOT(ISNUMBER(E3332))),"",IFERROR(ROUND(N(INDEX(art_init,MATCH(C3332,art_ref,0)))+SUMIFS($E$5:E3332,$C$5:C3332,C3332,$B$5:B3332,"Entrée")-SUMIFS($E$5:E3332,$C$5:C3332,C3332,$B$5:B3332,"Sortie"),6),""))</f>
        <v/>
      </c>
      <c r="L3332" s="39" t="str">
        <f>IF(COUNTA(A3332:C3332,E3332)=0,"",IF(COUNTA(A3332:C3332,E3332)&lt;4,"Ligne incomplète",IF(NOT(ISNUMBER(A3332)),"Date invalide",IF(AND(B3332&lt;&gt;"Entrée",B3332&lt;&gt;"Sortie"),"Type inconnu",IF(ISNA(MATCH(C3332,art_ref,0)),"Référence inconnue",IF(OR(NOT(ISNUMBER(E3332)),N(E3332)&lt;=0),"Quantité invalide",IF(K3332&lt;0,"Stock négatif",IF(AND(ISNUMBER(A3331),A3332&lt;A3331),"Date hors ordre","OK"))))))))</f>
        <v/>
      </c>
      <c r="M3332" s="39" t="str">
        <f>IF(C3332="","",C3332&amp;"#"&amp;COUNTIF($C$5:C3332,C3332))</f>
        <v/>
      </c>
    </row>
    <row r="3333">
      <c r="A3333" s="41" t="n"/>
      <c r="B3333" s="37" t="n"/>
      <c r="C3333" s="37" t="n"/>
      <c r="D3333" s="39" t="str">
        <f>IF(C3333="","",IFERROR(INDEX(art_des,MATCH(C3333,art_ref,0))&amp;"","Référence inconnue"))</f>
        <v/>
      </c>
      <c r="E3333" s="37" t="n"/>
      <c r="F3333" s="39" t="str">
        <f>IF(C3333="","",IFERROR(INDEX(art_unit,MATCH(C3333,art_ref,0))&amp;"",""))</f>
        <v/>
      </c>
      <c r="G3333" s="37" t="n"/>
      <c r="H3333" s="37" t="n"/>
      <c r="I3333" s="37" t="n"/>
      <c r="J3333" s="40" t="str">
        <f>IF(OR(C3333="",NOT(ISNUMBER(E3333))),"",IFERROR(E3333*N(INDEX(art_price,MATCH(C3333,art_ref,0))),""))</f>
        <v/>
      </c>
      <c r="K3333" s="39" t="str">
        <f>IF(OR(C3333="",NOT(ISNUMBER(E3333))),"",IFERROR(ROUND(N(INDEX(art_init,MATCH(C3333,art_ref,0)))+SUMIFS($E$5:E3333,$C$5:C3333,C3333,$B$5:B3333,"Entrée")-SUMIFS($E$5:E3333,$C$5:C3333,C3333,$B$5:B3333,"Sortie"),6),""))</f>
        <v/>
      </c>
      <c r="L3333" s="39" t="str">
        <f>IF(COUNTA(A3333:C3333,E3333)=0,"",IF(COUNTA(A3333:C3333,E3333)&lt;4,"Ligne incomplète",IF(NOT(ISNUMBER(A3333)),"Date invalide",IF(AND(B3333&lt;&gt;"Entrée",B3333&lt;&gt;"Sortie"),"Type inconnu",IF(ISNA(MATCH(C3333,art_ref,0)),"Référence inconnue",IF(OR(NOT(ISNUMBER(E3333)),N(E3333)&lt;=0),"Quantité invalide",IF(K3333&lt;0,"Stock négatif",IF(AND(ISNUMBER(A3332),A3333&lt;A3332),"Date hors ordre","OK"))))))))</f>
        <v/>
      </c>
      <c r="M3333" s="39" t="str">
        <f>IF(C3333="","",C3333&amp;"#"&amp;COUNTIF($C$5:C3333,C3333))</f>
        <v/>
      </c>
    </row>
    <row r="3334">
      <c r="A3334" s="41" t="n"/>
      <c r="B3334" s="37" t="n"/>
      <c r="C3334" s="37" t="n"/>
      <c r="D3334" s="39" t="str">
        <f>IF(C3334="","",IFERROR(INDEX(art_des,MATCH(C3334,art_ref,0))&amp;"","Référence inconnue"))</f>
        <v/>
      </c>
      <c r="E3334" s="37" t="n"/>
      <c r="F3334" s="39" t="str">
        <f>IF(C3334="","",IFERROR(INDEX(art_unit,MATCH(C3334,art_ref,0))&amp;"",""))</f>
        <v/>
      </c>
      <c r="G3334" s="37" t="n"/>
      <c r="H3334" s="37" t="n"/>
      <c r="I3334" s="37" t="n"/>
      <c r="J3334" s="40" t="str">
        <f>IF(OR(C3334="",NOT(ISNUMBER(E3334))),"",IFERROR(E3334*N(INDEX(art_price,MATCH(C3334,art_ref,0))),""))</f>
        <v/>
      </c>
      <c r="K3334" s="39" t="str">
        <f>IF(OR(C3334="",NOT(ISNUMBER(E3334))),"",IFERROR(ROUND(N(INDEX(art_init,MATCH(C3334,art_ref,0)))+SUMIFS($E$5:E3334,$C$5:C3334,C3334,$B$5:B3334,"Entrée")-SUMIFS($E$5:E3334,$C$5:C3334,C3334,$B$5:B3334,"Sortie"),6),""))</f>
        <v/>
      </c>
      <c r="L3334" s="39" t="str">
        <f>IF(COUNTA(A3334:C3334,E3334)=0,"",IF(COUNTA(A3334:C3334,E3334)&lt;4,"Ligne incomplète",IF(NOT(ISNUMBER(A3334)),"Date invalide",IF(AND(B3334&lt;&gt;"Entrée",B3334&lt;&gt;"Sortie"),"Type inconnu",IF(ISNA(MATCH(C3334,art_ref,0)),"Référence inconnue",IF(OR(NOT(ISNUMBER(E3334)),N(E3334)&lt;=0),"Quantité invalide",IF(K3334&lt;0,"Stock négatif",IF(AND(ISNUMBER(A3333),A3334&lt;A3333),"Date hors ordre","OK"))))))))</f>
        <v/>
      </c>
      <c r="M3334" s="39" t="str">
        <f>IF(C3334="","",C3334&amp;"#"&amp;COUNTIF($C$5:C3334,C3334))</f>
        <v/>
      </c>
    </row>
    <row r="3335">
      <c r="A3335" s="41" t="n"/>
      <c r="B3335" s="37" t="n"/>
      <c r="C3335" s="37" t="n"/>
      <c r="D3335" s="39" t="str">
        <f>IF(C3335="","",IFERROR(INDEX(art_des,MATCH(C3335,art_ref,0))&amp;"","Référence inconnue"))</f>
        <v/>
      </c>
      <c r="E3335" s="37" t="n"/>
      <c r="F3335" s="39" t="str">
        <f>IF(C3335="","",IFERROR(INDEX(art_unit,MATCH(C3335,art_ref,0))&amp;"",""))</f>
        <v/>
      </c>
      <c r="G3335" s="37" t="n"/>
      <c r="H3335" s="37" t="n"/>
      <c r="I3335" s="37" t="n"/>
      <c r="J3335" s="40" t="str">
        <f>IF(OR(C3335="",NOT(ISNUMBER(E3335))),"",IFERROR(E3335*N(INDEX(art_price,MATCH(C3335,art_ref,0))),""))</f>
        <v/>
      </c>
      <c r="K3335" s="39" t="str">
        <f>IF(OR(C3335="",NOT(ISNUMBER(E3335))),"",IFERROR(ROUND(N(INDEX(art_init,MATCH(C3335,art_ref,0)))+SUMIFS($E$5:E3335,$C$5:C3335,C3335,$B$5:B3335,"Entrée")-SUMIFS($E$5:E3335,$C$5:C3335,C3335,$B$5:B3335,"Sortie"),6),""))</f>
        <v/>
      </c>
      <c r="L3335" s="39" t="str">
        <f>IF(COUNTA(A3335:C3335,E3335)=0,"",IF(COUNTA(A3335:C3335,E3335)&lt;4,"Ligne incomplète",IF(NOT(ISNUMBER(A3335)),"Date invalide",IF(AND(B3335&lt;&gt;"Entrée",B3335&lt;&gt;"Sortie"),"Type inconnu",IF(ISNA(MATCH(C3335,art_ref,0)),"Référence inconnue",IF(OR(NOT(ISNUMBER(E3335)),N(E3335)&lt;=0),"Quantité invalide",IF(K3335&lt;0,"Stock négatif",IF(AND(ISNUMBER(A3334),A3335&lt;A3334),"Date hors ordre","OK"))))))))</f>
        <v/>
      </c>
      <c r="M3335" s="39" t="str">
        <f>IF(C3335="","",C3335&amp;"#"&amp;COUNTIF($C$5:C3335,C3335))</f>
        <v/>
      </c>
    </row>
    <row r="3336">
      <c r="A3336" s="41" t="n"/>
      <c r="B3336" s="37" t="n"/>
      <c r="C3336" s="37" t="n"/>
      <c r="D3336" s="39" t="str">
        <f>IF(C3336="","",IFERROR(INDEX(art_des,MATCH(C3336,art_ref,0))&amp;"","Référence inconnue"))</f>
        <v/>
      </c>
      <c r="E3336" s="37" t="n"/>
      <c r="F3336" s="39" t="str">
        <f>IF(C3336="","",IFERROR(INDEX(art_unit,MATCH(C3336,art_ref,0))&amp;"",""))</f>
        <v/>
      </c>
      <c r="G3336" s="37" t="n"/>
      <c r="H3336" s="37" t="n"/>
      <c r="I3336" s="37" t="n"/>
      <c r="J3336" s="40" t="str">
        <f>IF(OR(C3336="",NOT(ISNUMBER(E3336))),"",IFERROR(E3336*N(INDEX(art_price,MATCH(C3336,art_ref,0))),""))</f>
        <v/>
      </c>
      <c r="K3336" s="39" t="str">
        <f>IF(OR(C3336="",NOT(ISNUMBER(E3336))),"",IFERROR(ROUND(N(INDEX(art_init,MATCH(C3336,art_ref,0)))+SUMIFS($E$5:E3336,$C$5:C3336,C3336,$B$5:B3336,"Entrée")-SUMIFS($E$5:E3336,$C$5:C3336,C3336,$B$5:B3336,"Sortie"),6),""))</f>
        <v/>
      </c>
      <c r="L3336" s="39" t="str">
        <f>IF(COUNTA(A3336:C3336,E3336)=0,"",IF(COUNTA(A3336:C3336,E3336)&lt;4,"Ligne incomplète",IF(NOT(ISNUMBER(A3336)),"Date invalide",IF(AND(B3336&lt;&gt;"Entrée",B3336&lt;&gt;"Sortie"),"Type inconnu",IF(ISNA(MATCH(C3336,art_ref,0)),"Référence inconnue",IF(OR(NOT(ISNUMBER(E3336)),N(E3336)&lt;=0),"Quantité invalide",IF(K3336&lt;0,"Stock négatif",IF(AND(ISNUMBER(A3335),A3336&lt;A3335),"Date hors ordre","OK"))))))))</f>
        <v/>
      </c>
      <c r="M3336" s="39" t="str">
        <f>IF(C3336="","",C3336&amp;"#"&amp;COUNTIF($C$5:C3336,C3336))</f>
        <v/>
      </c>
    </row>
    <row r="3337">
      <c r="A3337" s="41" t="n"/>
      <c r="B3337" s="37" t="n"/>
      <c r="C3337" s="37" t="n"/>
      <c r="D3337" s="39" t="str">
        <f>IF(C3337="","",IFERROR(INDEX(art_des,MATCH(C3337,art_ref,0))&amp;"","Référence inconnue"))</f>
        <v/>
      </c>
      <c r="E3337" s="37" t="n"/>
      <c r="F3337" s="39" t="str">
        <f>IF(C3337="","",IFERROR(INDEX(art_unit,MATCH(C3337,art_ref,0))&amp;"",""))</f>
        <v/>
      </c>
      <c r="G3337" s="37" t="n"/>
      <c r="H3337" s="37" t="n"/>
      <c r="I3337" s="37" t="n"/>
      <c r="J3337" s="40" t="str">
        <f>IF(OR(C3337="",NOT(ISNUMBER(E3337))),"",IFERROR(E3337*N(INDEX(art_price,MATCH(C3337,art_ref,0))),""))</f>
        <v/>
      </c>
      <c r="K3337" s="39" t="str">
        <f>IF(OR(C3337="",NOT(ISNUMBER(E3337))),"",IFERROR(ROUND(N(INDEX(art_init,MATCH(C3337,art_ref,0)))+SUMIFS($E$5:E3337,$C$5:C3337,C3337,$B$5:B3337,"Entrée")-SUMIFS($E$5:E3337,$C$5:C3337,C3337,$B$5:B3337,"Sortie"),6),""))</f>
        <v/>
      </c>
      <c r="L3337" s="39" t="str">
        <f>IF(COUNTA(A3337:C3337,E3337)=0,"",IF(COUNTA(A3337:C3337,E3337)&lt;4,"Ligne incomplète",IF(NOT(ISNUMBER(A3337)),"Date invalide",IF(AND(B3337&lt;&gt;"Entrée",B3337&lt;&gt;"Sortie"),"Type inconnu",IF(ISNA(MATCH(C3337,art_ref,0)),"Référence inconnue",IF(OR(NOT(ISNUMBER(E3337)),N(E3337)&lt;=0),"Quantité invalide",IF(K3337&lt;0,"Stock négatif",IF(AND(ISNUMBER(A3336),A3337&lt;A3336),"Date hors ordre","OK"))))))))</f>
        <v/>
      </c>
      <c r="M3337" s="39" t="str">
        <f>IF(C3337="","",C3337&amp;"#"&amp;COUNTIF($C$5:C3337,C3337))</f>
        <v/>
      </c>
    </row>
    <row r="3338">
      <c r="A3338" s="41" t="n"/>
      <c r="B3338" s="37" t="n"/>
      <c r="C3338" s="37" t="n"/>
      <c r="D3338" s="39" t="str">
        <f>IF(C3338="","",IFERROR(INDEX(art_des,MATCH(C3338,art_ref,0))&amp;"","Référence inconnue"))</f>
        <v/>
      </c>
      <c r="E3338" s="37" t="n"/>
      <c r="F3338" s="39" t="str">
        <f>IF(C3338="","",IFERROR(INDEX(art_unit,MATCH(C3338,art_ref,0))&amp;"",""))</f>
        <v/>
      </c>
      <c r="G3338" s="37" t="n"/>
      <c r="H3338" s="37" t="n"/>
      <c r="I3338" s="37" t="n"/>
      <c r="J3338" s="40" t="str">
        <f>IF(OR(C3338="",NOT(ISNUMBER(E3338))),"",IFERROR(E3338*N(INDEX(art_price,MATCH(C3338,art_ref,0))),""))</f>
        <v/>
      </c>
      <c r="K3338" s="39" t="str">
        <f>IF(OR(C3338="",NOT(ISNUMBER(E3338))),"",IFERROR(ROUND(N(INDEX(art_init,MATCH(C3338,art_ref,0)))+SUMIFS($E$5:E3338,$C$5:C3338,C3338,$B$5:B3338,"Entrée")-SUMIFS($E$5:E3338,$C$5:C3338,C3338,$B$5:B3338,"Sortie"),6),""))</f>
        <v/>
      </c>
      <c r="L3338" s="39" t="str">
        <f>IF(COUNTA(A3338:C3338,E3338)=0,"",IF(COUNTA(A3338:C3338,E3338)&lt;4,"Ligne incomplète",IF(NOT(ISNUMBER(A3338)),"Date invalide",IF(AND(B3338&lt;&gt;"Entrée",B3338&lt;&gt;"Sortie"),"Type inconnu",IF(ISNA(MATCH(C3338,art_ref,0)),"Référence inconnue",IF(OR(NOT(ISNUMBER(E3338)),N(E3338)&lt;=0),"Quantité invalide",IF(K3338&lt;0,"Stock négatif",IF(AND(ISNUMBER(A3337),A3338&lt;A3337),"Date hors ordre","OK"))))))))</f>
        <v/>
      </c>
      <c r="M3338" s="39" t="str">
        <f>IF(C3338="","",C3338&amp;"#"&amp;COUNTIF($C$5:C3338,C3338))</f>
        <v/>
      </c>
    </row>
    <row r="3339">
      <c r="A3339" s="41" t="n"/>
      <c r="B3339" s="37" t="n"/>
      <c r="C3339" s="37" t="n"/>
      <c r="D3339" s="39" t="str">
        <f>IF(C3339="","",IFERROR(INDEX(art_des,MATCH(C3339,art_ref,0))&amp;"","Référence inconnue"))</f>
        <v/>
      </c>
      <c r="E3339" s="37" t="n"/>
      <c r="F3339" s="39" t="str">
        <f>IF(C3339="","",IFERROR(INDEX(art_unit,MATCH(C3339,art_ref,0))&amp;"",""))</f>
        <v/>
      </c>
      <c r="G3339" s="37" t="n"/>
      <c r="H3339" s="37" t="n"/>
      <c r="I3339" s="37" t="n"/>
      <c r="J3339" s="40" t="str">
        <f>IF(OR(C3339="",NOT(ISNUMBER(E3339))),"",IFERROR(E3339*N(INDEX(art_price,MATCH(C3339,art_ref,0))),""))</f>
        <v/>
      </c>
      <c r="K3339" s="39" t="str">
        <f>IF(OR(C3339="",NOT(ISNUMBER(E3339))),"",IFERROR(ROUND(N(INDEX(art_init,MATCH(C3339,art_ref,0)))+SUMIFS($E$5:E3339,$C$5:C3339,C3339,$B$5:B3339,"Entrée")-SUMIFS($E$5:E3339,$C$5:C3339,C3339,$B$5:B3339,"Sortie"),6),""))</f>
        <v/>
      </c>
      <c r="L3339" s="39" t="str">
        <f>IF(COUNTA(A3339:C3339,E3339)=0,"",IF(COUNTA(A3339:C3339,E3339)&lt;4,"Ligne incomplète",IF(NOT(ISNUMBER(A3339)),"Date invalide",IF(AND(B3339&lt;&gt;"Entrée",B3339&lt;&gt;"Sortie"),"Type inconnu",IF(ISNA(MATCH(C3339,art_ref,0)),"Référence inconnue",IF(OR(NOT(ISNUMBER(E3339)),N(E3339)&lt;=0),"Quantité invalide",IF(K3339&lt;0,"Stock négatif",IF(AND(ISNUMBER(A3338),A3339&lt;A3338),"Date hors ordre","OK"))))))))</f>
        <v/>
      </c>
      <c r="M3339" s="39" t="str">
        <f>IF(C3339="","",C3339&amp;"#"&amp;COUNTIF($C$5:C3339,C3339))</f>
        <v/>
      </c>
    </row>
    <row r="3340">
      <c r="A3340" s="41" t="n"/>
      <c r="B3340" s="37" t="n"/>
      <c r="C3340" s="37" t="n"/>
      <c r="D3340" s="39" t="str">
        <f>IF(C3340="","",IFERROR(INDEX(art_des,MATCH(C3340,art_ref,0))&amp;"","Référence inconnue"))</f>
        <v/>
      </c>
      <c r="E3340" s="37" t="n"/>
      <c r="F3340" s="39" t="str">
        <f>IF(C3340="","",IFERROR(INDEX(art_unit,MATCH(C3340,art_ref,0))&amp;"",""))</f>
        <v/>
      </c>
      <c r="G3340" s="37" t="n"/>
      <c r="H3340" s="37" t="n"/>
      <c r="I3340" s="37" t="n"/>
      <c r="J3340" s="40" t="str">
        <f>IF(OR(C3340="",NOT(ISNUMBER(E3340))),"",IFERROR(E3340*N(INDEX(art_price,MATCH(C3340,art_ref,0))),""))</f>
        <v/>
      </c>
      <c r="K3340" s="39" t="str">
        <f>IF(OR(C3340="",NOT(ISNUMBER(E3340))),"",IFERROR(ROUND(N(INDEX(art_init,MATCH(C3340,art_ref,0)))+SUMIFS($E$5:E3340,$C$5:C3340,C3340,$B$5:B3340,"Entrée")-SUMIFS($E$5:E3340,$C$5:C3340,C3340,$B$5:B3340,"Sortie"),6),""))</f>
        <v/>
      </c>
      <c r="L3340" s="39" t="str">
        <f>IF(COUNTA(A3340:C3340,E3340)=0,"",IF(COUNTA(A3340:C3340,E3340)&lt;4,"Ligne incomplète",IF(NOT(ISNUMBER(A3340)),"Date invalide",IF(AND(B3340&lt;&gt;"Entrée",B3340&lt;&gt;"Sortie"),"Type inconnu",IF(ISNA(MATCH(C3340,art_ref,0)),"Référence inconnue",IF(OR(NOT(ISNUMBER(E3340)),N(E3340)&lt;=0),"Quantité invalide",IF(K3340&lt;0,"Stock négatif",IF(AND(ISNUMBER(A3339),A3340&lt;A3339),"Date hors ordre","OK"))))))))</f>
        <v/>
      </c>
      <c r="M3340" s="39" t="str">
        <f>IF(C3340="","",C3340&amp;"#"&amp;COUNTIF($C$5:C3340,C3340))</f>
        <v/>
      </c>
    </row>
    <row r="3341">
      <c r="A3341" s="41" t="n"/>
      <c r="B3341" s="37" t="n"/>
      <c r="C3341" s="37" t="n"/>
      <c r="D3341" s="39" t="str">
        <f>IF(C3341="","",IFERROR(INDEX(art_des,MATCH(C3341,art_ref,0))&amp;"","Référence inconnue"))</f>
        <v/>
      </c>
      <c r="E3341" s="37" t="n"/>
      <c r="F3341" s="39" t="str">
        <f>IF(C3341="","",IFERROR(INDEX(art_unit,MATCH(C3341,art_ref,0))&amp;"",""))</f>
        <v/>
      </c>
      <c r="G3341" s="37" t="n"/>
      <c r="H3341" s="37" t="n"/>
      <c r="I3341" s="37" t="n"/>
      <c r="J3341" s="40" t="str">
        <f>IF(OR(C3341="",NOT(ISNUMBER(E3341))),"",IFERROR(E3341*N(INDEX(art_price,MATCH(C3341,art_ref,0))),""))</f>
        <v/>
      </c>
      <c r="K3341" s="39" t="str">
        <f>IF(OR(C3341="",NOT(ISNUMBER(E3341))),"",IFERROR(ROUND(N(INDEX(art_init,MATCH(C3341,art_ref,0)))+SUMIFS($E$5:E3341,$C$5:C3341,C3341,$B$5:B3341,"Entrée")-SUMIFS($E$5:E3341,$C$5:C3341,C3341,$B$5:B3341,"Sortie"),6),""))</f>
        <v/>
      </c>
      <c r="L3341" s="39" t="str">
        <f>IF(COUNTA(A3341:C3341,E3341)=0,"",IF(COUNTA(A3341:C3341,E3341)&lt;4,"Ligne incomplète",IF(NOT(ISNUMBER(A3341)),"Date invalide",IF(AND(B3341&lt;&gt;"Entrée",B3341&lt;&gt;"Sortie"),"Type inconnu",IF(ISNA(MATCH(C3341,art_ref,0)),"Référence inconnue",IF(OR(NOT(ISNUMBER(E3341)),N(E3341)&lt;=0),"Quantité invalide",IF(K3341&lt;0,"Stock négatif",IF(AND(ISNUMBER(A3340),A3341&lt;A3340),"Date hors ordre","OK"))))))))</f>
        <v/>
      </c>
      <c r="M3341" s="39" t="str">
        <f>IF(C3341="","",C3341&amp;"#"&amp;COUNTIF($C$5:C3341,C3341))</f>
        <v/>
      </c>
    </row>
    <row r="3342">
      <c r="A3342" s="41" t="n"/>
      <c r="B3342" s="37" t="n"/>
      <c r="C3342" s="37" t="n"/>
      <c r="D3342" s="39" t="str">
        <f>IF(C3342="","",IFERROR(INDEX(art_des,MATCH(C3342,art_ref,0))&amp;"","Référence inconnue"))</f>
        <v/>
      </c>
      <c r="E3342" s="37" t="n"/>
      <c r="F3342" s="39" t="str">
        <f>IF(C3342="","",IFERROR(INDEX(art_unit,MATCH(C3342,art_ref,0))&amp;"",""))</f>
        <v/>
      </c>
      <c r="G3342" s="37" t="n"/>
      <c r="H3342" s="37" t="n"/>
      <c r="I3342" s="37" t="n"/>
      <c r="J3342" s="40" t="str">
        <f>IF(OR(C3342="",NOT(ISNUMBER(E3342))),"",IFERROR(E3342*N(INDEX(art_price,MATCH(C3342,art_ref,0))),""))</f>
        <v/>
      </c>
      <c r="K3342" s="39" t="str">
        <f>IF(OR(C3342="",NOT(ISNUMBER(E3342))),"",IFERROR(ROUND(N(INDEX(art_init,MATCH(C3342,art_ref,0)))+SUMIFS($E$5:E3342,$C$5:C3342,C3342,$B$5:B3342,"Entrée")-SUMIFS($E$5:E3342,$C$5:C3342,C3342,$B$5:B3342,"Sortie"),6),""))</f>
        <v/>
      </c>
      <c r="L3342" s="39" t="str">
        <f>IF(COUNTA(A3342:C3342,E3342)=0,"",IF(COUNTA(A3342:C3342,E3342)&lt;4,"Ligne incomplète",IF(NOT(ISNUMBER(A3342)),"Date invalide",IF(AND(B3342&lt;&gt;"Entrée",B3342&lt;&gt;"Sortie"),"Type inconnu",IF(ISNA(MATCH(C3342,art_ref,0)),"Référence inconnue",IF(OR(NOT(ISNUMBER(E3342)),N(E3342)&lt;=0),"Quantité invalide",IF(K3342&lt;0,"Stock négatif",IF(AND(ISNUMBER(A3341),A3342&lt;A3341),"Date hors ordre","OK"))))))))</f>
        <v/>
      </c>
      <c r="M3342" s="39" t="str">
        <f>IF(C3342="","",C3342&amp;"#"&amp;COUNTIF($C$5:C3342,C3342))</f>
        <v/>
      </c>
    </row>
    <row r="3343">
      <c r="A3343" s="41" t="n"/>
      <c r="B3343" s="37" t="n"/>
      <c r="C3343" s="37" t="n"/>
      <c r="D3343" s="39" t="str">
        <f>IF(C3343="","",IFERROR(INDEX(art_des,MATCH(C3343,art_ref,0))&amp;"","Référence inconnue"))</f>
        <v/>
      </c>
      <c r="E3343" s="37" t="n"/>
      <c r="F3343" s="39" t="str">
        <f>IF(C3343="","",IFERROR(INDEX(art_unit,MATCH(C3343,art_ref,0))&amp;"",""))</f>
        <v/>
      </c>
      <c r="G3343" s="37" t="n"/>
      <c r="H3343" s="37" t="n"/>
      <c r="I3343" s="37" t="n"/>
      <c r="J3343" s="40" t="str">
        <f>IF(OR(C3343="",NOT(ISNUMBER(E3343))),"",IFERROR(E3343*N(INDEX(art_price,MATCH(C3343,art_ref,0))),""))</f>
        <v/>
      </c>
      <c r="K3343" s="39" t="str">
        <f>IF(OR(C3343="",NOT(ISNUMBER(E3343))),"",IFERROR(ROUND(N(INDEX(art_init,MATCH(C3343,art_ref,0)))+SUMIFS($E$5:E3343,$C$5:C3343,C3343,$B$5:B3343,"Entrée")-SUMIFS($E$5:E3343,$C$5:C3343,C3343,$B$5:B3343,"Sortie"),6),""))</f>
        <v/>
      </c>
      <c r="L3343" s="39" t="str">
        <f>IF(COUNTA(A3343:C3343,E3343)=0,"",IF(COUNTA(A3343:C3343,E3343)&lt;4,"Ligne incomplète",IF(NOT(ISNUMBER(A3343)),"Date invalide",IF(AND(B3343&lt;&gt;"Entrée",B3343&lt;&gt;"Sortie"),"Type inconnu",IF(ISNA(MATCH(C3343,art_ref,0)),"Référence inconnue",IF(OR(NOT(ISNUMBER(E3343)),N(E3343)&lt;=0),"Quantité invalide",IF(K3343&lt;0,"Stock négatif",IF(AND(ISNUMBER(A3342),A3343&lt;A3342),"Date hors ordre","OK"))))))))</f>
        <v/>
      </c>
      <c r="M3343" s="39" t="str">
        <f>IF(C3343="","",C3343&amp;"#"&amp;COUNTIF($C$5:C3343,C3343))</f>
        <v/>
      </c>
    </row>
    <row r="3344">
      <c r="A3344" s="41" t="n"/>
      <c r="B3344" s="37" t="n"/>
      <c r="C3344" s="37" t="n"/>
      <c r="D3344" s="39" t="str">
        <f>IF(C3344="","",IFERROR(INDEX(art_des,MATCH(C3344,art_ref,0))&amp;"","Référence inconnue"))</f>
        <v/>
      </c>
      <c r="E3344" s="37" t="n"/>
      <c r="F3344" s="39" t="str">
        <f>IF(C3344="","",IFERROR(INDEX(art_unit,MATCH(C3344,art_ref,0))&amp;"",""))</f>
        <v/>
      </c>
      <c r="G3344" s="37" t="n"/>
      <c r="H3344" s="37" t="n"/>
      <c r="I3344" s="37" t="n"/>
      <c r="J3344" s="40" t="str">
        <f>IF(OR(C3344="",NOT(ISNUMBER(E3344))),"",IFERROR(E3344*N(INDEX(art_price,MATCH(C3344,art_ref,0))),""))</f>
        <v/>
      </c>
      <c r="K3344" s="39" t="str">
        <f>IF(OR(C3344="",NOT(ISNUMBER(E3344))),"",IFERROR(ROUND(N(INDEX(art_init,MATCH(C3344,art_ref,0)))+SUMIFS($E$5:E3344,$C$5:C3344,C3344,$B$5:B3344,"Entrée")-SUMIFS($E$5:E3344,$C$5:C3344,C3344,$B$5:B3344,"Sortie"),6),""))</f>
        <v/>
      </c>
      <c r="L3344" s="39" t="str">
        <f>IF(COUNTA(A3344:C3344,E3344)=0,"",IF(COUNTA(A3344:C3344,E3344)&lt;4,"Ligne incomplète",IF(NOT(ISNUMBER(A3344)),"Date invalide",IF(AND(B3344&lt;&gt;"Entrée",B3344&lt;&gt;"Sortie"),"Type inconnu",IF(ISNA(MATCH(C3344,art_ref,0)),"Référence inconnue",IF(OR(NOT(ISNUMBER(E3344)),N(E3344)&lt;=0),"Quantité invalide",IF(K3344&lt;0,"Stock négatif",IF(AND(ISNUMBER(A3343),A3344&lt;A3343),"Date hors ordre","OK"))))))))</f>
        <v/>
      </c>
      <c r="M3344" s="39" t="str">
        <f>IF(C3344="","",C3344&amp;"#"&amp;COUNTIF($C$5:C3344,C3344))</f>
        <v/>
      </c>
    </row>
    <row r="3345">
      <c r="A3345" s="41" t="n"/>
      <c r="B3345" s="37" t="n"/>
      <c r="C3345" s="37" t="n"/>
      <c r="D3345" s="39" t="str">
        <f>IF(C3345="","",IFERROR(INDEX(art_des,MATCH(C3345,art_ref,0))&amp;"","Référence inconnue"))</f>
        <v/>
      </c>
      <c r="E3345" s="37" t="n"/>
      <c r="F3345" s="39" t="str">
        <f>IF(C3345="","",IFERROR(INDEX(art_unit,MATCH(C3345,art_ref,0))&amp;"",""))</f>
        <v/>
      </c>
      <c r="G3345" s="37" t="n"/>
      <c r="H3345" s="37" t="n"/>
      <c r="I3345" s="37" t="n"/>
      <c r="J3345" s="40" t="str">
        <f>IF(OR(C3345="",NOT(ISNUMBER(E3345))),"",IFERROR(E3345*N(INDEX(art_price,MATCH(C3345,art_ref,0))),""))</f>
        <v/>
      </c>
      <c r="K3345" s="39" t="str">
        <f>IF(OR(C3345="",NOT(ISNUMBER(E3345))),"",IFERROR(ROUND(N(INDEX(art_init,MATCH(C3345,art_ref,0)))+SUMIFS($E$5:E3345,$C$5:C3345,C3345,$B$5:B3345,"Entrée")-SUMIFS($E$5:E3345,$C$5:C3345,C3345,$B$5:B3345,"Sortie"),6),""))</f>
        <v/>
      </c>
      <c r="L3345" s="39" t="str">
        <f>IF(COUNTA(A3345:C3345,E3345)=0,"",IF(COUNTA(A3345:C3345,E3345)&lt;4,"Ligne incomplète",IF(NOT(ISNUMBER(A3345)),"Date invalide",IF(AND(B3345&lt;&gt;"Entrée",B3345&lt;&gt;"Sortie"),"Type inconnu",IF(ISNA(MATCH(C3345,art_ref,0)),"Référence inconnue",IF(OR(NOT(ISNUMBER(E3345)),N(E3345)&lt;=0),"Quantité invalide",IF(K3345&lt;0,"Stock négatif",IF(AND(ISNUMBER(A3344),A3345&lt;A3344),"Date hors ordre","OK"))))))))</f>
        <v/>
      </c>
      <c r="M3345" s="39" t="str">
        <f>IF(C3345="","",C3345&amp;"#"&amp;COUNTIF($C$5:C3345,C3345))</f>
        <v/>
      </c>
    </row>
    <row r="3346">
      <c r="A3346" s="41" t="n"/>
      <c r="B3346" s="37" t="n"/>
      <c r="C3346" s="37" t="n"/>
      <c r="D3346" s="39" t="str">
        <f>IF(C3346="","",IFERROR(INDEX(art_des,MATCH(C3346,art_ref,0))&amp;"","Référence inconnue"))</f>
        <v/>
      </c>
      <c r="E3346" s="37" t="n"/>
      <c r="F3346" s="39" t="str">
        <f>IF(C3346="","",IFERROR(INDEX(art_unit,MATCH(C3346,art_ref,0))&amp;"",""))</f>
        <v/>
      </c>
      <c r="G3346" s="37" t="n"/>
      <c r="H3346" s="37" t="n"/>
      <c r="I3346" s="37" t="n"/>
      <c r="J3346" s="40" t="str">
        <f>IF(OR(C3346="",NOT(ISNUMBER(E3346))),"",IFERROR(E3346*N(INDEX(art_price,MATCH(C3346,art_ref,0))),""))</f>
        <v/>
      </c>
      <c r="K3346" s="39" t="str">
        <f>IF(OR(C3346="",NOT(ISNUMBER(E3346))),"",IFERROR(ROUND(N(INDEX(art_init,MATCH(C3346,art_ref,0)))+SUMIFS($E$5:E3346,$C$5:C3346,C3346,$B$5:B3346,"Entrée")-SUMIFS($E$5:E3346,$C$5:C3346,C3346,$B$5:B3346,"Sortie"),6),""))</f>
        <v/>
      </c>
      <c r="L3346" s="39" t="str">
        <f>IF(COUNTA(A3346:C3346,E3346)=0,"",IF(COUNTA(A3346:C3346,E3346)&lt;4,"Ligne incomplète",IF(NOT(ISNUMBER(A3346)),"Date invalide",IF(AND(B3346&lt;&gt;"Entrée",B3346&lt;&gt;"Sortie"),"Type inconnu",IF(ISNA(MATCH(C3346,art_ref,0)),"Référence inconnue",IF(OR(NOT(ISNUMBER(E3346)),N(E3346)&lt;=0),"Quantité invalide",IF(K3346&lt;0,"Stock négatif",IF(AND(ISNUMBER(A3345),A3346&lt;A3345),"Date hors ordre","OK"))))))))</f>
        <v/>
      </c>
      <c r="M3346" s="39" t="str">
        <f>IF(C3346="","",C3346&amp;"#"&amp;COUNTIF($C$5:C3346,C3346))</f>
        <v/>
      </c>
    </row>
    <row r="3347">
      <c r="A3347" s="41" t="n"/>
      <c r="B3347" s="37" t="n"/>
      <c r="C3347" s="37" t="n"/>
      <c r="D3347" s="39" t="str">
        <f>IF(C3347="","",IFERROR(INDEX(art_des,MATCH(C3347,art_ref,0))&amp;"","Référence inconnue"))</f>
        <v/>
      </c>
      <c r="E3347" s="37" t="n"/>
      <c r="F3347" s="39" t="str">
        <f>IF(C3347="","",IFERROR(INDEX(art_unit,MATCH(C3347,art_ref,0))&amp;"",""))</f>
        <v/>
      </c>
      <c r="G3347" s="37" t="n"/>
      <c r="H3347" s="37" t="n"/>
      <c r="I3347" s="37" t="n"/>
      <c r="J3347" s="40" t="str">
        <f>IF(OR(C3347="",NOT(ISNUMBER(E3347))),"",IFERROR(E3347*N(INDEX(art_price,MATCH(C3347,art_ref,0))),""))</f>
        <v/>
      </c>
      <c r="K3347" s="39" t="str">
        <f>IF(OR(C3347="",NOT(ISNUMBER(E3347))),"",IFERROR(ROUND(N(INDEX(art_init,MATCH(C3347,art_ref,0)))+SUMIFS($E$5:E3347,$C$5:C3347,C3347,$B$5:B3347,"Entrée")-SUMIFS($E$5:E3347,$C$5:C3347,C3347,$B$5:B3347,"Sortie"),6),""))</f>
        <v/>
      </c>
      <c r="L3347" s="39" t="str">
        <f>IF(COUNTA(A3347:C3347,E3347)=0,"",IF(COUNTA(A3347:C3347,E3347)&lt;4,"Ligne incomplète",IF(NOT(ISNUMBER(A3347)),"Date invalide",IF(AND(B3347&lt;&gt;"Entrée",B3347&lt;&gt;"Sortie"),"Type inconnu",IF(ISNA(MATCH(C3347,art_ref,0)),"Référence inconnue",IF(OR(NOT(ISNUMBER(E3347)),N(E3347)&lt;=0),"Quantité invalide",IF(K3347&lt;0,"Stock négatif",IF(AND(ISNUMBER(A3346),A3347&lt;A3346),"Date hors ordre","OK"))))))))</f>
        <v/>
      </c>
      <c r="M3347" s="39" t="str">
        <f>IF(C3347="","",C3347&amp;"#"&amp;COUNTIF($C$5:C3347,C3347))</f>
        <v/>
      </c>
    </row>
    <row r="3348">
      <c r="A3348" s="41" t="n"/>
      <c r="B3348" s="37" t="n"/>
      <c r="C3348" s="37" t="n"/>
      <c r="D3348" s="39" t="str">
        <f>IF(C3348="","",IFERROR(INDEX(art_des,MATCH(C3348,art_ref,0))&amp;"","Référence inconnue"))</f>
        <v/>
      </c>
      <c r="E3348" s="37" t="n"/>
      <c r="F3348" s="39" t="str">
        <f>IF(C3348="","",IFERROR(INDEX(art_unit,MATCH(C3348,art_ref,0))&amp;"",""))</f>
        <v/>
      </c>
      <c r="G3348" s="37" t="n"/>
      <c r="H3348" s="37" t="n"/>
      <c r="I3348" s="37" t="n"/>
      <c r="J3348" s="40" t="str">
        <f>IF(OR(C3348="",NOT(ISNUMBER(E3348))),"",IFERROR(E3348*N(INDEX(art_price,MATCH(C3348,art_ref,0))),""))</f>
        <v/>
      </c>
      <c r="K3348" s="39" t="str">
        <f>IF(OR(C3348="",NOT(ISNUMBER(E3348))),"",IFERROR(ROUND(N(INDEX(art_init,MATCH(C3348,art_ref,0)))+SUMIFS($E$5:E3348,$C$5:C3348,C3348,$B$5:B3348,"Entrée")-SUMIFS($E$5:E3348,$C$5:C3348,C3348,$B$5:B3348,"Sortie"),6),""))</f>
        <v/>
      </c>
      <c r="L3348" s="39" t="str">
        <f>IF(COUNTA(A3348:C3348,E3348)=0,"",IF(COUNTA(A3348:C3348,E3348)&lt;4,"Ligne incomplète",IF(NOT(ISNUMBER(A3348)),"Date invalide",IF(AND(B3348&lt;&gt;"Entrée",B3348&lt;&gt;"Sortie"),"Type inconnu",IF(ISNA(MATCH(C3348,art_ref,0)),"Référence inconnue",IF(OR(NOT(ISNUMBER(E3348)),N(E3348)&lt;=0),"Quantité invalide",IF(K3348&lt;0,"Stock négatif",IF(AND(ISNUMBER(A3347),A3348&lt;A3347),"Date hors ordre","OK"))))))))</f>
        <v/>
      </c>
      <c r="M3348" s="39" t="str">
        <f>IF(C3348="","",C3348&amp;"#"&amp;COUNTIF($C$5:C3348,C3348))</f>
        <v/>
      </c>
    </row>
    <row r="3349">
      <c r="A3349" s="41" t="n"/>
      <c r="B3349" s="37" t="n"/>
      <c r="C3349" s="37" t="n"/>
      <c r="D3349" s="39" t="str">
        <f>IF(C3349="","",IFERROR(INDEX(art_des,MATCH(C3349,art_ref,0))&amp;"","Référence inconnue"))</f>
        <v/>
      </c>
      <c r="E3349" s="37" t="n"/>
      <c r="F3349" s="39" t="str">
        <f>IF(C3349="","",IFERROR(INDEX(art_unit,MATCH(C3349,art_ref,0))&amp;"",""))</f>
        <v/>
      </c>
      <c r="G3349" s="37" t="n"/>
      <c r="H3349" s="37" t="n"/>
      <c r="I3349" s="37" t="n"/>
      <c r="J3349" s="40" t="str">
        <f>IF(OR(C3349="",NOT(ISNUMBER(E3349))),"",IFERROR(E3349*N(INDEX(art_price,MATCH(C3349,art_ref,0))),""))</f>
        <v/>
      </c>
      <c r="K3349" s="39" t="str">
        <f>IF(OR(C3349="",NOT(ISNUMBER(E3349))),"",IFERROR(ROUND(N(INDEX(art_init,MATCH(C3349,art_ref,0)))+SUMIFS($E$5:E3349,$C$5:C3349,C3349,$B$5:B3349,"Entrée")-SUMIFS($E$5:E3349,$C$5:C3349,C3349,$B$5:B3349,"Sortie"),6),""))</f>
        <v/>
      </c>
      <c r="L3349" s="39" t="str">
        <f>IF(COUNTA(A3349:C3349,E3349)=0,"",IF(COUNTA(A3349:C3349,E3349)&lt;4,"Ligne incomplète",IF(NOT(ISNUMBER(A3349)),"Date invalide",IF(AND(B3349&lt;&gt;"Entrée",B3349&lt;&gt;"Sortie"),"Type inconnu",IF(ISNA(MATCH(C3349,art_ref,0)),"Référence inconnue",IF(OR(NOT(ISNUMBER(E3349)),N(E3349)&lt;=0),"Quantité invalide",IF(K3349&lt;0,"Stock négatif",IF(AND(ISNUMBER(A3348),A3349&lt;A3348),"Date hors ordre","OK"))))))))</f>
        <v/>
      </c>
      <c r="M3349" s="39" t="str">
        <f>IF(C3349="","",C3349&amp;"#"&amp;COUNTIF($C$5:C3349,C3349))</f>
        <v/>
      </c>
    </row>
    <row r="3350">
      <c r="A3350" s="41" t="n"/>
      <c r="B3350" s="37" t="n"/>
      <c r="C3350" s="37" t="n"/>
      <c r="D3350" s="39" t="str">
        <f>IF(C3350="","",IFERROR(INDEX(art_des,MATCH(C3350,art_ref,0))&amp;"","Référence inconnue"))</f>
        <v/>
      </c>
      <c r="E3350" s="37" t="n"/>
      <c r="F3350" s="39" t="str">
        <f>IF(C3350="","",IFERROR(INDEX(art_unit,MATCH(C3350,art_ref,0))&amp;"",""))</f>
        <v/>
      </c>
      <c r="G3350" s="37" t="n"/>
      <c r="H3350" s="37" t="n"/>
      <c r="I3350" s="37" t="n"/>
      <c r="J3350" s="40" t="str">
        <f>IF(OR(C3350="",NOT(ISNUMBER(E3350))),"",IFERROR(E3350*N(INDEX(art_price,MATCH(C3350,art_ref,0))),""))</f>
        <v/>
      </c>
      <c r="K3350" s="39" t="str">
        <f>IF(OR(C3350="",NOT(ISNUMBER(E3350))),"",IFERROR(ROUND(N(INDEX(art_init,MATCH(C3350,art_ref,0)))+SUMIFS($E$5:E3350,$C$5:C3350,C3350,$B$5:B3350,"Entrée")-SUMIFS($E$5:E3350,$C$5:C3350,C3350,$B$5:B3350,"Sortie"),6),""))</f>
        <v/>
      </c>
      <c r="L3350" s="39" t="str">
        <f>IF(COUNTA(A3350:C3350,E3350)=0,"",IF(COUNTA(A3350:C3350,E3350)&lt;4,"Ligne incomplète",IF(NOT(ISNUMBER(A3350)),"Date invalide",IF(AND(B3350&lt;&gt;"Entrée",B3350&lt;&gt;"Sortie"),"Type inconnu",IF(ISNA(MATCH(C3350,art_ref,0)),"Référence inconnue",IF(OR(NOT(ISNUMBER(E3350)),N(E3350)&lt;=0),"Quantité invalide",IF(K3350&lt;0,"Stock négatif",IF(AND(ISNUMBER(A3349),A3350&lt;A3349),"Date hors ordre","OK"))))))))</f>
        <v/>
      </c>
      <c r="M3350" s="39" t="str">
        <f>IF(C3350="","",C3350&amp;"#"&amp;COUNTIF($C$5:C3350,C3350))</f>
        <v/>
      </c>
    </row>
    <row r="3351">
      <c r="A3351" s="41" t="n"/>
      <c r="B3351" s="37" t="n"/>
      <c r="C3351" s="37" t="n"/>
      <c r="D3351" s="39" t="str">
        <f>IF(C3351="","",IFERROR(INDEX(art_des,MATCH(C3351,art_ref,0))&amp;"","Référence inconnue"))</f>
        <v/>
      </c>
      <c r="E3351" s="37" t="n"/>
      <c r="F3351" s="39" t="str">
        <f>IF(C3351="","",IFERROR(INDEX(art_unit,MATCH(C3351,art_ref,0))&amp;"",""))</f>
        <v/>
      </c>
      <c r="G3351" s="37" t="n"/>
      <c r="H3351" s="37" t="n"/>
      <c r="I3351" s="37" t="n"/>
      <c r="J3351" s="40" t="str">
        <f>IF(OR(C3351="",NOT(ISNUMBER(E3351))),"",IFERROR(E3351*N(INDEX(art_price,MATCH(C3351,art_ref,0))),""))</f>
        <v/>
      </c>
      <c r="K3351" s="39" t="str">
        <f>IF(OR(C3351="",NOT(ISNUMBER(E3351))),"",IFERROR(ROUND(N(INDEX(art_init,MATCH(C3351,art_ref,0)))+SUMIFS($E$5:E3351,$C$5:C3351,C3351,$B$5:B3351,"Entrée")-SUMIFS($E$5:E3351,$C$5:C3351,C3351,$B$5:B3351,"Sortie"),6),""))</f>
        <v/>
      </c>
      <c r="L3351" s="39" t="str">
        <f>IF(COUNTA(A3351:C3351,E3351)=0,"",IF(COUNTA(A3351:C3351,E3351)&lt;4,"Ligne incomplète",IF(NOT(ISNUMBER(A3351)),"Date invalide",IF(AND(B3351&lt;&gt;"Entrée",B3351&lt;&gt;"Sortie"),"Type inconnu",IF(ISNA(MATCH(C3351,art_ref,0)),"Référence inconnue",IF(OR(NOT(ISNUMBER(E3351)),N(E3351)&lt;=0),"Quantité invalide",IF(K3351&lt;0,"Stock négatif",IF(AND(ISNUMBER(A3350),A3351&lt;A3350),"Date hors ordre","OK"))))))))</f>
        <v/>
      </c>
      <c r="M3351" s="39" t="str">
        <f>IF(C3351="","",C3351&amp;"#"&amp;COUNTIF($C$5:C3351,C3351))</f>
        <v/>
      </c>
    </row>
    <row r="3352">
      <c r="A3352" s="41" t="n"/>
      <c r="B3352" s="37" t="n"/>
      <c r="C3352" s="37" t="n"/>
      <c r="D3352" s="39" t="str">
        <f>IF(C3352="","",IFERROR(INDEX(art_des,MATCH(C3352,art_ref,0))&amp;"","Référence inconnue"))</f>
        <v/>
      </c>
      <c r="E3352" s="37" t="n"/>
      <c r="F3352" s="39" t="str">
        <f>IF(C3352="","",IFERROR(INDEX(art_unit,MATCH(C3352,art_ref,0))&amp;"",""))</f>
        <v/>
      </c>
      <c r="G3352" s="37" t="n"/>
      <c r="H3352" s="37" t="n"/>
      <c r="I3352" s="37" t="n"/>
      <c r="J3352" s="40" t="str">
        <f>IF(OR(C3352="",NOT(ISNUMBER(E3352))),"",IFERROR(E3352*N(INDEX(art_price,MATCH(C3352,art_ref,0))),""))</f>
        <v/>
      </c>
      <c r="K3352" s="39" t="str">
        <f>IF(OR(C3352="",NOT(ISNUMBER(E3352))),"",IFERROR(ROUND(N(INDEX(art_init,MATCH(C3352,art_ref,0)))+SUMIFS($E$5:E3352,$C$5:C3352,C3352,$B$5:B3352,"Entrée")-SUMIFS($E$5:E3352,$C$5:C3352,C3352,$B$5:B3352,"Sortie"),6),""))</f>
        <v/>
      </c>
      <c r="L3352" s="39" t="str">
        <f>IF(COUNTA(A3352:C3352,E3352)=0,"",IF(COUNTA(A3352:C3352,E3352)&lt;4,"Ligne incomplète",IF(NOT(ISNUMBER(A3352)),"Date invalide",IF(AND(B3352&lt;&gt;"Entrée",B3352&lt;&gt;"Sortie"),"Type inconnu",IF(ISNA(MATCH(C3352,art_ref,0)),"Référence inconnue",IF(OR(NOT(ISNUMBER(E3352)),N(E3352)&lt;=0),"Quantité invalide",IF(K3352&lt;0,"Stock négatif",IF(AND(ISNUMBER(A3351),A3352&lt;A3351),"Date hors ordre","OK"))))))))</f>
        <v/>
      </c>
      <c r="M3352" s="39" t="str">
        <f>IF(C3352="","",C3352&amp;"#"&amp;COUNTIF($C$5:C3352,C3352))</f>
        <v/>
      </c>
    </row>
    <row r="3353">
      <c r="A3353" s="41" t="n"/>
      <c r="B3353" s="37" t="n"/>
      <c r="C3353" s="37" t="n"/>
      <c r="D3353" s="39" t="str">
        <f>IF(C3353="","",IFERROR(INDEX(art_des,MATCH(C3353,art_ref,0))&amp;"","Référence inconnue"))</f>
        <v/>
      </c>
      <c r="E3353" s="37" t="n"/>
      <c r="F3353" s="39" t="str">
        <f>IF(C3353="","",IFERROR(INDEX(art_unit,MATCH(C3353,art_ref,0))&amp;"",""))</f>
        <v/>
      </c>
      <c r="G3353" s="37" t="n"/>
      <c r="H3353" s="37" t="n"/>
      <c r="I3353" s="37" t="n"/>
      <c r="J3353" s="40" t="str">
        <f>IF(OR(C3353="",NOT(ISNUMBER(E3353))),"",IFERROR(E3353*N(INDEX(art_price,MATCH(C3353,art_ref,0))),""))</f>
        <v/>
      </c>
      <c r="K3353" s="39" t="str">
        <f>IF(OR(C3353="",NOT(ISNUMBER(E3353))),"",IFERROR(ROUND(N(INDEX(art_init,MATCH(C3353,art_ref,0)))+SUMIFS($E$5:E3353,$C$5:C3353,C3353,$B$5:B3353,"Entrée")-SUMIFS($E$5:E3353,$C$5:C3353,C3353,$B$5:B3353,"Sortie"),6),""))</f>
        <v/>
      </c>
      <c r="L3353" s="39" t="str">
        <f>IF(COUNTA(A3353:C3353,E3353)=0,"",IF(COUNTA(A3353:C3353,E3353)&lt;4,"Ligne incomplète",IF(NOT(ISNUMBER(A3353)),"Date invalide",IF(AND(B3353&lt;&gt;"Entrée",B3353&lt;&gt;"Sortie"),"Type inconnu",IF(ISNA(MATCH(C3353,art_ref,0)),"Référence inconnue",IF(OR(NOT(ISNUMBER(E3353)),N(E3353)&lt;=0),"Quantité invalide",IF(K3353&lt;0,"Stock négatif",IF(AND(ISNUMBER(A3352),A3353&lt;A3352),"Date hors ordre","OK"))))))))</f>
        <v/>
      </c>
      <c r="M3353" s="39" t="str">
        <f>IF(C3353="","",C3353&amp;"#"&amp;COUNTIF($C$5:C3353,C3353))</f>
        <v/>
      </c>
    </row>
    <row r="3354">
      <c r="A3354" s="41" t="n"/>
      <c r="B3354" s="37" t="n"/>
      <c r="C3354" s="37" t="n"/>
      <c r="D3354" s="39" t="str">
        <f>IF(C3354="","",IFERROR(INDEX(art_des,MATCH(C3354,art_ref,0))&amp;"","Référence inconnue"))</f>
        <v/>
      </c>
      <c r="E3354" s="37" t="n"/>
      <c r="F3354" s="39" t="str">
        <f>IF(C3354="","",IFERROR(INDEX(art_unit,MATCH(C3354,art_ref,0))&amp;"",""))</f>
        <v/>
      </c>
      <c r="G3354" s="37" t="n"/>
      <c r="H3354" s="37" t="n"/>
      <c r="I3354" s="37" t="n"/>
      <c r="J3354" s="40" t="str">
        <f>IF(OR(C3354="",NOT(ISNUMBER(E3354))),"",IFERROR(E3354*N(INDEX(art_price,MATCH(C3354,art_ref,0))),""))</f>
        <v/>
      </c>
      <c r="K3354" s="39" t="str">
        <f>IF(OR(C3354="",NOT(ISNUMBER(E3354))),"",IFERROR(ROUND(N(INDEX(art_init,MATCH(C3354,art_ref,0)))+SUMIFS($E$5:E3354,$C$5:C3354,C3354,$B$5:B3354,"Entrée")-SUMIFS($E$5:E3354,$C$5:C3354,C3354,$B$5:B3354,"Sortie"),6),""))</f>
        <v/>
      </c>
      <c r="L3354" s="39" t="str">
        <f>IF(COUNTA(A3354:C3354,E3354)=0,"",IF(COUNTA(A3354:C3354,E3354)&lt;4,"Ligne incomplète",IF(NOT(ISNUMBER(A3354)),"Date invalide",IF(AND(B3354&lt;&gt;"Entrée",B3354&lt;&gt;"Sortie"),"Type inconnu",IF(ISNA(MATCH(C3354,art_ref,0)),"Référence inconnue",IF(OR(NOT(ISNUMBER(E3354)),N(E3354)&lt;=0),"Quantité invalide",IF(K3354&lt;0,"Stock négatif",IF(AND(ISNUMBER(A3353),A3354&lt;A3353),"Date hors ordre","OK"))))))))</f>
        <v/>
      </c>
      <c r="M3354" s="39" t="str">
        <f>IF(C3354="","",C3354&amp;"#"&amp;COUNTIF($C$5:C3354,C3354))</f>
        <v/>
      </c>
    </row>
    <row r="3355">
      <c r="A3355" s="41" t="n"/>
      <c r="B3355" s="37" t="n"/>
      <c r="C3355" s="37" t="n"/>
      <c r="D3355" s="39" t="str">
        <f>IF(C3355="","",IFERROR(INDEX(art_des,MATCH(C3355,art_ref,0))&amp;"","Référence inconnue"))</f>
        <v/>
      </c>
      <c r="E3355" s="37" t="n"/>
      <c r="F3355" s="39" t="str">
        <f>IF(C3355="","",IFERROR(INDEX(art_unit,MATCH(C3355,art_ref,0))&amp;"",""))</f>
        <v/>
      </c>
      <c r="G3355" s="37" t="n"/>
      <c r="H3355" s="37" t="n"/>
      <c r="I3355" s="37" t="n"/>
      <c r="J3355" s="40" t="str">
        <f>IF(OR(C3355="",NOT(ISNUMBER(E3355))),"",IFERROR(E3355*N(INDEX(art_price,MATCH(C3355,art_ref,0))),""))</f>
        <v/>
      </c>
      <c r="K3355" s="39" t="str">
        <f>IF(OR(C3355="",NOT(ISNUMBER(E3355))),"",IFERROR(ROUND(N(INDEX(art_init,MATCH(C3355,art_ref,0)))+SUMIFS($E$5:E3355,$C$5:C3355,C3355,$B$5:B3355,"Entrée")-SUMIFS($E$5:E3355,$C$5:C3355,C3355,$B$5:B3355,"Sortie"),6),""))</f>
        <v/>
      </c>
      <c r="L3355" s="39" t="str">
        <f>IF(COUNTA(A3355:C3355,E3355)=0,"",IF(COUNTA(A3355:C3355,E3355)&lt;4,"Ligne incomplète",IF(NOT(ISNUMBER(A3355)),"Date invalide",IF(AND(B3355&lt;&gt;"Entrée",B3355&lt;&gt;"Sortie"),"Type inconnu",IF(ISNA(MATCH(C3355,art_ref,0)),"Référence inconnue",IF(OR(NOT(ISNUMBER(E3355)),N(E3355)&lt;=0),"Quantité invalide",IF(K3355&lt;0,"Stock négatif",IF(AND(ISNUMBER(A3354),A3355&lt;A3354),"Date hors ordre","OK"))))))))</f>
        <v/>
      </c>
      <c r="M3355" s="39" t="str">
        <f>IF(C3355="","",C3355&amp;"#"&amp;COUNTIF($C$5:C3355,C3355))</f>
        <v/>
      </c>
    </row>
    <row r="3356">
      <c r="A3356" s="41" t="n"/>
      <c r="B3356" s="37" t="n"/>
      <c r="C3356" s="37" t="n"/>
      <c r="D3356" s="39" t="str">
        <f>IF(C3356="","",IFERROR(INDEX(art_des,MATCH(C3356,art_ref,0))&amp;"","Référence inconnue"))</f>
        <v/>
      </c>
      <c r="E3356" s="37" t="n"/>
      <c r="F3356" s="39" t="str">
        <f>IF(C3356="","",IFERROR(INDEX(art_unit,MATCH(C3356,art_ref,0))&amp;"",""))</f>
        <v/>
      </c>
      <c r="G3356" s="37" t="n"/>
      <c r="H3356" s="37" t="n"/>
      <c r="I3356" s="37" t="n"/>
      <c r="J3356" s="40" t="str">
        <f>IF(OR(C3356="",NOT(ISNUMBER(E3356))),"",IFERROR(E3356*N(INDEX(art_price,MATCH(C3356,art_ref,0))),""))</f>
        <v/>
      </c>
      <c r="K3356" s="39" t="str">
        <f>IF(OR(C3356="",NOT(ISNUMBER(E3356))),"",IFERROR(ROUND(N(INDEX(art_init,MATCH(C3356,art_ref,0)))+SUMIFS($E$5:E3356,$C$5:C3356,C3356,$B$5:B3356,"Entrée")-SUMIFS($E$5:E3356,$C$5:C3356,C3356,$B$5:B3356,"Sortie"),6),""))</f>
        <v/>
      </c>
      <c r="L3356" s="39" t="str">
        <f>IF(COUNTA(A3356:C3356,E3356)=0,"",IF(COUNTA(A3356:C3356,E3356)&lt;4,"Ligne incomplète",IF(NOT(ISNUMBER(A3356)),"Date invalide",IF(AND(B3356&lt;&gt;"Entrée",B3356&lt;&gt;"Sortie"),"Type inconnu",IF(ISNA(MATCH(C3356,art_ref,0)),"Référence inconnue",IF(OR(NOT(ISNUMBER(E3356)),N(E3356)&lt;=0),"Quantité invalide",IF(K3356&lt;0,"Stock négatif",IF(AND(ISNUMBER(A3355),A3356&lt;A3355),"Date hors ordre","OK"))))))))</f>
        <v/>
      </c>
      <c r="M3356" s="39" t="str">
        <f>IF(C3356="","",C3356&amp;"#"&amp;COUNTIF($C$5:C3356,C3356))</f>
        <v/>
      </c>
    </row>
    <row r="3357">
      <c r="A3357" s="41" t="n"/>
      <c r="B3357" s="37" t="n"/>
      <c r="C3357" s="37" t="n"/>
      <c r="D3357" s="39" t="str">
        <f>IF(C3357="","",IFERROR(INDEX(art_des,MATCH(C3357,art_ref,0))&amp;"","Référence inconnue"))</f>
        <v/>
      </c>
      <c r="E3357" s="37" t="n"/>
      <c r="F3357" s="39" t="str">
        <f>IF(C3357="","",IFERROR(INDEX(art_unit,MATCH(C3357,art_ref,0))&amp;"",""))</f>
        <v/>
      </c>
      <c r="G3357" s="37" t="n"/>
      <c r="H3357" s="37" t="n"/>
      <c r="I3357" s="37" t="n"/>
      <c r="J3357" s="40" t="str">
        <f>IF(OR(C3357="",NOT(ISNUMBER(E3357))),"",IFERROR(E3357*N(INDEX(art_price,MATCH(C3357,art_ref,0))),""))</f>
        <v/>
      </c>
      <c r="K3357" s="39" t="str">
        <f>IF(OR(C3357="",NOT(ISNUMBER(E3357))),"",IFERROR(ROUND(N(INDEX(art_init,MATCH(C3357,art_ref,0)))+SUMIFS($E$5:E3357,$C$5:C3357,C3357,$B$5:B3357,"Entrée")-SUMIFS($E$5:E3357,$C$5:C3357,C3357,$B$5:B3357,"Sortie"),6),""))</f>
        <v/>
      </c>
      <c r="L3357" s="39" t="str">
        <f>IF(COUNTA(A3357:C3357,E3357)=0,"",IF(COUNTA(A3357:C3357,E3357)&lt;4,"Ligne incomplète",IF(NOT(ISNUMBER(A3357)),"Date invalide",IF(AND(B3357&lt;&gt;"Entrée",B3357&lt;&gt;"Sortie"),"Type inconnu",IF(ISNA(MATCH(C3357,art_ref,0)),"Référence inconnue",IF(OR(NOT(ISNUMBER(E3357)),N(E3357)&lt;=0),"Quantité invalide",IF(K3357&lt;0,"Stock négatif",IF(AND(ISNUMBER(A3356),A3357&lt;A3356),"Date hors ordre","OK"))))))))</f>
        <v/>
      </c>
      <c r="M3357" s="39" t="str">
        <f>IF(C3357="","",C3357&amp;"#"&amp;COUNTIF($C$5:C3357,C3357))</f>
        <v/>
      </c>
    </row>
    <row r="3358">
      <c r="A3358" s="41" t="n"/>
      <c r="B3358" s="37" t="n"/>
      <c r="C3358" s="37" t="n"/>
      <c r="D3358" s="39" t="str">
        <f>IF(C3358="","",IFERROR(INDEX(art_des,MATCH(C3358,art_ref,0))&amp;"","Référence inconnue"))</f>
        <v/>
      </c>
      <c r="E3358" s="37" t="n"/>
      <c r="F3358" s="39" t="str">
        <f>IF(C3358="","",IFERROR(INDEX(art_unit,MATCH(C3358,art_ref,0))&amp;"",""))</f>
        <v/>
      </c>
      <c r="G3358" s="37" t="n"/>
      <c r="H3358" s="37" t="n"/>
      <c r="I3358" s="37" t="n"/>
      <c r="J3358" s="40" t="str">
        <f>IF(OR(C3358="",NOT(ISNUMBER(E3358))),"",IFERROR(E3358*N(INDEX(art_price,MATCH(C3358,art_ref,0))),""))</f>
        <v/>
      </c>
      <c r="K3358" s="39" t="str">
        <f>IF(OR(C3358="",NOT(ISNUMBER(E3358))),"",IFERROR(ROUND(N(INDEX(art_init,MATCH(C3358,art_ref,0)))+SUMIFS($E$5:E3358,$C$5:C3358,C3358,$B$5:B3358,"Entrée")-SUMIFS($E$5:E3358,$C$5:C3358,C3358,$B$5:B3358,"Sortie"),6),""))</f>
        <v/>
      </c>
      <c r="L3358" s="39" t="str">
        <f>IF(COUNTA(A3358:C3358,E3358)=0,"",IF(COUNTA(A3358:C3358,E3358)&lt;4,"Ligne incomplète",IF(NOT(ISNUMBER(A3358)),"Date invalide",IF(AND(B3358&lt;&gt;"Entrée",B3358&lt;&gt;"Sortie"),"Type inconnu",IF(ISNA(MATCH(C3358,art_ref,0)),"Référence inconnue",IF(OR(NOT(ISNUMBER(E3358)),N(E3358)&lt;=0),"Quantité invalide",IF(K3358&lt;0,"Stock négatif",IF(AND(ISNUMBER(A3357),A3358&lt;A3357),"Date hors ordre","OK"))))))))</f>
        <v/>
      </c>
      <c r="M3358" s="39" t="str">
        <f>IF(C3358="","",C3358&amp;"#"&amp;COUNTIF($C$5:C3358,C3358))</f>
        <v/>
      </c>
    </row>
    <row r="3359">
      <c r="A3359" s="41" t="n"/>
      <c r="B3359" s="37" t="n"/>
      <c r="C3359" s="37" t="n"/>
      <c r="D3359" s="39" t="str">
        <f>IF(C3359="","",IFERROR(INDEX(art_des,MATCH(C3359,art_ref,0))&amp;"","Référence inconnue"))</f>
        <v/>
      </c>
      <c r="E3359" s="37" t="n"/>
      <c r="F3359" s="39" t="str">
        <f>IF(C3359="","",IFERROR(INDEX(art_unit,MATCH(C3359,art_ref,0))&amp;"",""))</f>
        <v/>
      </c>
      <c r="G3359" s="37" t="n"/>
      <c r="H3359" s="37" t="n"/>
      <c r="I3359" s="37" t="n"/>
      <c r="J3359" s="40" t="str">
        <f>IF(OR(C3359="",NOT(ISNUMBER(E3359))),"",IFERROR(E3359*N(INDEX(art_price,MATCH(C3359,art_ref,0))),""))</f>
        <v/>
      </c>
      <c r="K3359" s="39" t="str">
        <f>IF(OR(C3359="",NOT(ISNUMBER(E3359))),"",IFERROR(ROUND(N(INDEX(art_init,MATCH(C3359,art_ref,0)))+SUMIFS($E$5:E3359,$C$5:C3359,C3359,$B$5:B3359,"Entrée")-SUMIFS($E$5:E3359,$C$5:C3359,C3359,$B$5:B3359,"Sortie"),6),""))</f>
        <v/>
      </c>
      <c r="L3359" s="39" t="str">
        <f>IF(COUNTA(A3359:C3359,E3359)=0,"",IF(COUNTA(A3359:C3359,E3359)&lt;4,"Ligne incomplète",IF(NOT(ISNUMBER(A3359)),"Date invalide",IF(AND(B3359&lt;&gt;"Entrée",B3359&lt;&gt;"Sortie"),"Type inconnu",IF(ISNA(MATCH(C3359,art_ref,0)),"Référence inconnue",IF(OR(NOT(ISNUMBER(E3359)),N(E3359)&lt;=0),"Quantité invalide",IF(K3359&lt;0,"Stock négatif",IF(AND(ISNUMBER(A3358),A3359&lt;A3358),"Date hors ordre","OK"))))))))</f>
        <v/>
      </c>
      <c r="M3359" s="39" t="str">
        <f>IF(C3359="","",C3359&amp;"#"&amp;COUNTIF($C$5:C3359,C3359))</f>
        <v/>
      </c>
    </row>
    <row r="3360">
      <c r="A3360" s="41" t="n"/>
      <c r="B3360" s="37" t="n"/>
      <c r="C3360" s="37" t="n"/>
      <c r="D3360" s="39" t="str">
        <f>IF(C3360="","",IFERROR(INDEX(art_des,MATCH(C3360,art_ref,0))&amp;"","Référence inconnue"))</f>
        <v/>
      </c>
      <c r="E3360" s="37" t="n"/>
      <c r="F3360" s="39" t="str">
        <f>IF(C3360="","",IFERROR(INDEX(art_unit,MATCH(C3360,art_ref,0))&amp;"",""))</f>
        <v/>
      </c>
      <c r="G3360" s="37" t="n"/>
      <c r="H3360" s="37" t="n"/>
      <c r="I3360" s="37" t="n"/>
      <c r="J3360" s="40" t="str">
        <f>IF(OR(C3360="",NOT(ISNUMBER(E3360))),"",IFERROR(E3360*N(INDEX(art_price,MATCH(C3360,art_ref,0))),""))</f>
        <v/>
      </c>
      <c r="K3360" s="39" t="str">
        <f>IF(OR(C3360="",NOT(ISNUMBER(E3360))),"",IFERROR(ROUND(N(INDEX(art_init,MATCH(C3360,art_ref,0)))+SUMIFS($E$5:E3360,$C$5:C3360,C3360,$B$5:B3360,"Entrée")-SUMIFS($E$5:E3360,$C$5:C3360,C3360,$B$5:B3360,"Sortie"),6),""))</f>
        <v/>
      </c>
      <c r="L3360" s="39" t="str">
        <f>IF(COUNTA(A3360:C3360,E3360)=0,"",IF(COUNTA(A3360:C3360,E3360)&lt;4,"Ligne incomplète",IF(NOT(ISNUMBER(A3360)),"Date invalide",IF(AND(B3360&lt;&gt;"Entrée",B3360&lt;&gt;"Sortie"),"Type inconnu",IF(ISNA(MATCH(C3360,art_ref,0)),"Référence inconnue",IF(OR(NOT(ISNUMBER(E3360)),N(E3360)&lt;=0),"Quantité invalide",IF(K3360&lt;0,"Stock négatif",IF(AND(ISNUMBER(A3359),A3360&lt;A3359),"Date hors ordre","OK"))))))))</f>
        <v/>
      </c>
      <c r="M3360" s="39" t="str">
        <f>IF(C3360="","",C3360&amp;"#"&amp;COUNTIF($C$5:C3360,C3360))</f>
        <v/>
      </c>
    </row>
    <row r="3361">
      <c r="A3361" s="41" t="n"/>
      <c r="B3361" s="37" t="n"/>
      <c r="C3361" s="37" t="n"/>
      <c r="D3361" s="39" t="str">
        <f>IF(C3361="","",IFERROR(INDEX(art_des,MATCH(C3361,art_ref,0))&amp;"","Référence inconnue"))</f>
        <v/>
      </c>
      <c r="E3361" s="37" t="n"/>
      <c r="F3361" s="39" t="str">
        <f>IF(C3361="","",IFERROR(INDEX(art_unit,MATCH(C3361,art_ref,0))&amp;"",""))</f>
        <v/>
      </c>
      <c r="G3361" s="37" t="n"/>
      <c r="H3361" s="37" t="n"/>
      <c r="I3361" s="37" t="n"/>
      <c r="J3361" s="40" t="str">
        <f>IF(OR(C3361="",NOT(ISNUMBER(E3361))),"",IFERROR(E3361*N(INDEX(art_price,MATCH(C3361,art_ref,0))),""))</f>
        <v/>
      </c>
      <c r="K3361" s="39" t="str">
        <f>IF(OR(C3361="",NOT(ISNUMBER(E3361))),"",IFERROR(ROUND(N(INDEX(art_init,MATCH(C3361,art_ref,0)))+SUMIFS($E$5:E3361,$C$5:C3361,C3361,$B$5:B3361,"Entrée")-SUMIFS($E$5:E3361,$C$5:C3361,C3361,$B$5:B3361,"Sortie"),6),""))</f>
        <v/>
      </c>
      <c r="L3361" s="39" t="str">
        <f>IF(COUNTA(A3361:C3361,E3361)=0,"",IF(COUNTA(A3361:C3361,E3361)&lt;4,"Ligne incomplète",IF(NOT(ISNUMBER(A3361)),"Date invalide",IF(AND(B3361&lt;&gt;"Entrée",B3361&lt;&gt;"Sortie"),"Type inconnu",IF(ISNA(MATCH(C3361,art_ref,0)),"Référence inconnue",IF(OR(NOT(ISNUMBER(E3361)),N(E3361)&lt;=0),"Quantité invalide",IF(K3361&lt;0,"Stock négatif",IF(AND(ISNUMBER(A3360),A3361&lt;A3360),"Date hors ordre","OK"))))))))</f>
        <v/>
      </c>
      <c r="M3361" s="39" t="str">
        <f>IF(C3361="","",C3361&amp;"#"&amp;COUNTIF($C$5:C3361,C3361))</f>
        <v/>
      </c>
    </row>
    <row r="3362">
      <c r="A3362" s="41" t="n"/>
      <c r="B3362" s="37" t="n"/>
      <c r="C3362" s="37" t="n"/>
      <c r="D3362" s="39" t="str">
        <f>IF(C3362="","",IFERROR(INDEX(art_des,MATCH(C3362,art_ref,0))&amp;"","Référence inconnue"))</f>
        <v/>
      </c>
      <c r="E3362" s="37" t="n"/>
      <c r="F3362" s="39" t="str">
        <f>IF(C3362="","",IFERROR(INDEX(art_unit,MATCH(C3362,art_ref,0))&amp;"",""))</f>
        <v/>
      </c>
      <c r="G3362" s="37" t="n"/>
      <c r="H3362" s="37" t="n"/>
      <c r="I3362" s="37" t="n"/>
      <c r="J3362" s="40" t="str">
        <f>IF(OR(C3362="",NOT(ISNUMBER(E3362))),"",IFERROR(E3362*N(INDEX(art_price,MATCH(C3362,art_ref,0))),""))</f>
        <v/>
      </c>
      <c r="K3362" s="39" t="str">
        <f>IF(OR(C3362="",NOT(ISNUMBER(E3362))),"",IFERROR(ROUND(N(INDEX(art_init,MATCH(C3362,art_ref,0)))+SUMIFS($E$5:E3362,$C$5:C3362,C3362,$B$5:B3362,"Entrée")-SUMIFS($E$5:E3362,$C$5:C3362,C3362,$B$5:B3362,"Sortie"),6),""))</f>
        <v/>
      </c>
      <c r="L3362" s="39" t="str">
        <f>IF(COUNTA(A3362:C3362,E3362)=0,"",IF(COUNTA(A3362:C3362,E3362)&lt;4,"Ligne incomplète",IF(NOT(ISNUMBER(A3362)),"Date invalide",IF(AND(B3362&lt;&gt;"Entrée",B3362&lt;&gt;"Sortie"),"Type inconnu",IF(ISNA(MATCH(C3362,art_ref,0)),"Référence inconnue",IF(OR(NOT(ISNUMBER(E3362)),N(E3362)&lt;=0),"Quantité invalide",IF(K3362&lt;0,"Stock négatif",IF(AND(ISNUMBER(A3361),A3362&lt;A3361),"Date hors ordre","OK"))))))))</f>
        <v/>
      </c>
      <c r="M3362" s="39" t="str">
        <f>IF(C3362="","",C3362&amp;"#"&amp;COUNTIF($C$5:C3362,C3362))</f>
        <v/>
      </c>
    </row>
    <row r="3363">
      <c r="A3363" s="41" t="n"/>
      <c r="B3363" s="37" t="n"/>
      <c r="C3363" s="37" t="n"/>
      <c r="D3363" s="39" t="str">
        <f>IF(C3363="","",IFERROR(INDEX(art_des,MATCH(C3363,art_ref,0))&amp;"","Référence inconnue"))</f>
        <v/>
      </c>
      <c r="E3363" s="37" t="n"/>
      <c r="F3363" s="39" t="str">
        <f>IF(C3363="","",IFERROR(INDEX(art_unit,MATCH(C3363,art_ref,0))&amp;"",""))</f>
        <v/>
      </c>
      <c r="G3363" s="37" t="n"/>
      <c r="H3363" s="37" t="n"/>
      <c r="I3363" s="37" t="n"/>
      <c r="J3363" s="40" t="str">
        <f>IF(OR(C3363="",NOT(ISNUMBER(E3363))),"",IFERROR(E3363*N(INDEX(art_price,MATCH(C3363,art_ref,0))),""))</f>
        <v/>
      </c>
      <c r="K3363" s="39" t="str">
        <f>IF(OR(C3363="",NOT(ISNUMBER(E3363))),"",IFERROR(ROUND(N(INDEX(art_init,MATCH(C3363,art_ref,0)))+SUMIFS($E$5:E3363,$C$5:C3363,C3363,$B$5:B3363,"Entrée")-SUMIFS($E$5:E3363,$C$5:C3363,C3363,$B$5:B3363,"Sortie"),6),""))</f>
        <v/>
      </c>
      <c r="L3363" s="39" t="str">
        <f>IF(COUNTA(A3363:C3363,E3363)=0,"",IF(COUNTA(A3363:C3363,E3363)&lt;4,"Ligne incomplète",IF(NOT(ISNUMBER(A3363)),"Date invalide",IF(AND(B3363&lt;&gt;"Entrée",B3363&lt;&gt;"Sortie"),"Type inconnu",IF(ISNA(MATCH(C3363,art_ref,0)),"Référence inconnue",IF(OR(NOT(ISNUMBER(E3363)),N(E3363)&lt;=0),"Quantité invalide",IF(K3363&lt;0,"Stock négatif",IF(AND(ISNUMBER(A3362),A3363&lt;A3362),"Date hors ordre","OK"))))))))</f>
        <v/>
      </c>
      <c r="M3363" s="39" t="str">
        <f>IF(C3363="","",C3363&amp;"#"&amp;COUNTIF($C$5:C3363,C3363))</f>
        <v/>
      </c>
    </row>
    <row r="3364">
      <c r="A3364" s="41" t="n"/>
      <c r="B3364" s="37" t="n"/>
      <c r="C3364" s="37" t="n"/>
      <c r="D3364" s="39" t="str">
        <f>IF(C3364="","",IFERROR(INDEX(art_des,MATCH(C3364,art_ref,0))&amp;"","Référence inconnue"))</f>
        <v/>
      </c>
      <c r="E3364" s="37" t="n"/>
      <c r="F3364" s="39" t="str">
        <f>IF(C3364="","",IFERROR(INDEX(art_unit,MATCH(C3364,art_ref,0))&amp;"",""))</f>
        <v/>
      </c>
      <c r="G3364" s="37" t="n"/>
      <c r="H3364" s="37" t="n"/>
      <c r="I3364" s="37" t="n"/>
      <c r="J3364" s="40" t="str">
        <f>IF(OR(C3364="",NOT(ISNUMBER(E3364))),"",IFERROR(E3364*N(INDEX(art_price,MATCH(C3364,art_ref,0))),""))</f>
        <v/>
      </c>
      <c r="K3364" s="39" t="str">
        <f>IF(OR(C3364="",NOT(ISNUMBER(E3364))),"",IFERROR(ROUND(N(INDEX(art_init,MATCH(C3364,art_ref,0)))+SUMIFS($E$5:E3364,$C$5:C3364,C3364,$B$5:B3364,"Entrée")-SUMIFS($E$5:E3364,$C$5:C3364,C3364,$B$5:B3364,"Sortie"),6),""))</f>
        <v/>
      </c>
      <c r="L3364" s="39" t="str">
        <f>IF(COUNTA(A3364:C3364,E3364)=0,"",IF(COUNTA(A3364:C3364,E3364)&lt;4,"Ligne incomplète",IF(NOT(ISNUMBER(A3364)),"Date invalide",IF(AND(B3364&lt;&gt;"Entrée",B3364&lt;&gt;"Sortie"),"Type inconnu",IF(ISNA(MATCH(C3364,art_ref,0)),"Référence inconnue",IF(OR(NOT(ISNUMBER(E3364)),N(E3364)&lt;=0),"Quantité invalide",IF(K3364&lt;0,"Stock négatif",IF(AND(ISNUMBER(A3363),A3364&lt;A3363),"Date hors ordre","OK"))))))))</f>
        <v/>
      </c>
      <c r="M3364" s="39" t="str">
        <f>IF(C3364="","",C3364&amp;"#"&amp;COUNTIF($C$5:C3364,C3364))</f>
        <v/>
      </c>
    </row>
    <row r="3365">
      <c r="A3365" s="41" t="n"/>
      <c r="B3365" s="37" t="n"/>
      <c r="C3365" s="37" t="n"/>
      <c r="D3365" s="39" t="str">
        <f>IF(C3365="","",IFERROR(INDEX(art_des,MATCH(C3365,art_ref,0))&amp;"","Référence inconnue"))</f>
        <v/>
      </c>
      <c r="E3365" s="37" t="n"/>
      <c r="F3365" s="39" t="str">
        <f>IF(C3365="","",IFERROR(INDEX(art_unit,MATCH(C3365,art_ref,0))&amp;"",""))</f>
        <v/>
      </c>
      <c r="G3365" s="37" t="n"/>
      <c r="H3365" s="37" t="n"/>
      <c r="I3365" s="37" t="n"/>
      <c r="J3365" s="40" t="str">
        <f>IF(OR(C3365="",NOT(ISNUMBER(E3365))),"",IFERROR(E3365*N(INDEX(art_price,MATCH(C3365,art_ref,0))),""))</f>
        <v/>
      </c>
      <c r="K3365" s="39" t="str">
        <f>IF(OR(C3365="",NOT(ISNUMBER(E3365))),"",IFERROR(ROUND(N(INDEX(art_init,MATCH(C3365,art_ref,0)))+SUMIFS($E$5:E3365,$C$5:C3365,C3365,$B$5:B3365,"Entrée")-SUMIFS($E$5:E3365,$C$5:C3365,C3365,$B$5:B3365,"Sortie"),6),""))</f>
        <v/>
      </c>
      <c r="L3365" s="39" t="str">
        <f>IF(COUNTA(A3365:C3365,E3365)=0,"",IF(COUNTA(A3365:C3365,E3365)&lt;4,"Ligne incomplète",IF(NOT(ISNUMBER(A3365)),"Date invalide",IF(AND(B3365&lt;&gt;"Entrée",B3365&lt;&gt;"Sortie"),"Type inconnu",IF(ISNA(MATCH(C3365,art_ref,0)),"Référence inconnue",IF(OR(NOT(ISNUMBER(E3365)),N(E3365)&lt;=0),"Quantité invalide",IF(K3365&lt;0,"Stock négatif",IF(AND(ISNUMBER(A3364),A3365&lt;A3364),"Date hors ordre","OK"))))))))</f>
        <v/>
      </c>
      <c r="M3365" s="39" t="str">
        <f>IF(C3365="","",C3365&amp;"#"&amp;COUNTIF($C$5:C3365,C3365))</f>
        <v/>
      </c>
    </row>
    <row r="3366">
      <c r="A3366" s="41" t="n"/>
      <c r="B3366" s="37" t="n"/>
      <c r="C3366" s="37" t="n"/>
      <c r="D3366" s="39" t="str">
        <f>IF(C3366="","",IFERROR(INDEX(art_des,MATCH(C3366,art_ref,0))&amp;"","Référence inconnue"))</f>
        <v/>
      </c>
      <c r="E3366" s="37" t="n"/>
      <c r="F3366" s="39" t="str">
        <f>IF(C3366="","",IFERROR(INDEX(art_unit,MATCH(C3366,art_ref,0))&amp;"",""))</f>
        <v/>
      </c>
      <c r="G3366" s="37" t="n"/>
      <c r="H3366" s="37" t="n"/>
      <c r="I3366" s="37" t="n"/>
      <c r="J3366" s="40" t="str">
        <f>IF(OR(C3366="",NOT(ISNUMBER(E3366))),"",IFERROR(E3366*N(INDEX(art_price,MATCH(C3366,art_ref,0))),""))</f>
        <v/>
      </c>
      <c r="K3366" s="39" t="str">
        <f>IF(OR(C3366="",NOT(ISNUMBER(E3366))),"",IFERROR(ROUND(N(INDEX(art_init,MATCH(C3366,art_ref,0)))+SUMIFS($E$5:E3366,$C$5:C3366,C3366,$B$5:B3366,"Entrée")-SUMIFS($E$5:E3366,$C$5:C3366,C3366,$B$5:B3366,"Sortie"),6),""))</f>
        <v/>
      </c>
      <c r="L3366" s="39" t="str">
        <f>IF(COUNTA(A3366:C3366,E3366)=0,"",IF(COUNTA(A3366:C3366,E3366)&lt;4,"Ligne incomplète",IF(NOT(ISNUMBER(A3366)),"Date invalide",IF(AND(B3366&lt;&gt;"Entrée",B3366&lt;&gt;"Sortie"),"Type inconnu",IF(ISNA(MATCH(C3366,art_ref,0)),"Référence inconnue",IF(OR(NOT(ISNUMBER(E3366)),N(E3366)&lt;=0),"Quantité invalide",IF(K3366&lt;0,"Stock négatif",IF(AND(ISNUMBER(A3365),A3366&lt;A3365),"Date hors ordre","OK"))))))))</f>
        <v/>
      </c>
      <c r="M3366" s="39" t="str">
        <f>IF(C3366="","",C3366&amp;"#"&amp;COUNTIF($C$5:C3366,C3366))</f>
        <v/>
      </c>
    </row>
    <row r="3367">
      <c r="A3367" s="41" t="n"/>
      <c r="B3367" s="37" t="n"/>
      <c r="C3367" s="37" t="n"/>
      <c r="D3367" s="39" t="str">
        <f>IF(C3367="","",IFERROR(INDEX(art_des,MATCH(C3367,art_ref,0))&amp;"","Référence inconnue"))</f>
        <v/>
      </c>
      <c r="E3367" s="37" t="n"/>
      <c r="F3367" s="39" t="str">
        <f>IF(C3367="","",IFERROR(INDEX(art_unit,MATCH(C3367,art_ref,0))&amp;"",""))</f>
        <v/>
      </c>
      <c r="G3367" s="37" t="n"/>
      <c r="H3367" s="37" t="n"/>
      <c r="I3367" s="37" t="n"/>
      <c r="J3367" s="40" t="str">
        <f>IF(OR(C3367="",NOT(ISNUMBER(E3367))),"",IFERROR(E3367*N(INDEX(art_price,MATCH(C3367,art_ref,0))),""))</f>
        <v/>
      </c>
      <c r="K3367" s="39" t="str">
        <f>IF(OR(C3367="",NOT(ISNUMBER(E3367))),"",IFERROR(ROUND(N(INDEX(art_init,MATCH(C3367,art_ref,0)))+SUMIFS($E$5:E3367,$C$5:C3367,C3367,$B$5:B3367,"Entrée")-SUMIFS($E$5:E3367,$C$5:C3367,C3367,$B$5:B3367,"Sortie"),6),""))</f>
        <v/>
      </c>
      <c r="L3367" s="39" t="str">
        <f>IF(COUNTA(A3367:C3367,E3367)=0,"",IF(COUNTA(A3367:C3367,E3367)&lt;4,"Ligne incomplète",IF(NOT(ISNUMBER(A3367)),"Date invalide",IF(AND(B3367&lt;&gt;"Entrée",B3367&lt;&gt;"Sortie"),"Type inconnu",IF(ISNA(MATCH(C3367,art_ref,0)),"Référence inconnue",IF(OR(NOT(ISNUMBER(E3367)),N(E3367)&lt;=0),"Quantité invalide",IF(K3367&lt;0,"Stock négatif",IF(AND(ISNUMBER(A3366),A3367&lt;A3366),"Date hors ordre","OK"))))))))</f>
        <v/>
      </c>
      <c r="M3367" s="39" t="str">
        <f>IF(C3367="","",C3367&amp;"#"&amp;COUNTIF($C$5:C3367,C3367))</f>
        <v/>
      </c>
    </row>
    <row r="3368">
      <c r="A3368" s="41" t="n"/>
      <c r="B3368" s="37" t="n"/>
      <c r="C3368" s="37" t="n"/>
      <c r="D3368" s="39" t="str">
        <f>IF(C3368="","",IFERROR(INDEX(art_des,MATCH(C3368,art_ref,0))&amp;"","Référence inconnue"))</f>
        <v/>
      </c>
      <c r="E3368" s="37" t="n"/>
      <c r="F3368" s="39" t="str">
        <f>IF(C3368="","",IFERROR(INDEX(art_unit,MATCH(C3368,art_ref,0))&amp;"",""))</f>
        <v/>
      </c>
      <c r="G3368" s="37" t="n"/>
      <c r="H3368" s="37" t="n"/>
      <c r="I3368" s="37" t="n"/>
      <c r="J3368" s="40" t="str">
        <f>IF(OR(C3368="",NOT(ISNUMBER(E3368))),"",IFERROR(E3368*N(INDEX(art_price,MATCH(C3368,art_ref,0))),""))</f>
        <v/>
      </c>
      <c r="K3368" s="39" t="str">
        <f>IF(OR(C3368="",NOT(ISNUMBER(E3368))),"",IFERROR(ROUND(N(INDEX(art_init,MATCH(C3368,art_ref,0)))+SUMIFS($E$5:E3368,$C$5:C3368,C3368,$B$5:B3368,"Entrée")-SUMIFS($E$5:E3368,$C$5:C3368,C3368,$B$5:B3368,"Sortie"),6),""))</f>
        <v/>
      </c>
      <c r="L3368" s="39" t="str">
        <f>IF(COUNTA(A3368:C3368,E3368)=0,"",IF(COUNTA(A3368:C3368,E3368)&lt;4,"Ligne incomplète",IF(NOT(ISNUMBER(A3368)),"Date invalide",IF(AND(B3368&lt;&gt;"Entrée",B3368&lt;&gt;"Sortie"),"Type inconnu",IF(ISNA(MATCH(C3368,art_ref,0)),"Référence inconnue",IF(OR(NOT(ISNUMBER(E3368)),N(E3368)&lt;=0),"Quantité invalide",IF(K3368&lt;0,"Stock négatif",IF(AND(ISNUMBER(A3367),A3368&lt;A3367),"Date hors ordre","OK"))))))))</f>
        <v/>
      </c>
      <c r="M3368" s="39" t="str">
        <f>IF(C3368="","",C3368&amp;"#"&amp;COUNTIF($C$5:C3368,C3368))</f>
        <v/>
      </c>
    </row>
    <row r="3369">
      <c r="A3369" s="41" t="n"/>
      <c r="B3369" s="37" t="n"/>
      <c r="C3369" s="37" t="n"/>
      <c r="D3369" s="39" t="str">
        <f>IF(C3369="","",IFERROR(INDEX(art_des,MATCH(C3369,art_ref,0))&amp;"","Référence inconnue"))</f>
        <v/>
      </c>
      <c r="E3369" s="37" t="n"/>
      <c r="F3369" s="39" t="str">
        <f>IF(C3369="","",IFERROR(INDEX(art_unit,MATCH(C3369,art_ref,0))&amp;"",""))</f>
        <v/>
      </c>
      <c r="G3369" s="37" t="n"/>
      <c r="H3369" s="37" t="n"/>
      <c r="I3369" s="37" t="n"/>
      <c r="J3369" s="40" t="str">
        <f>IF(OR(C3369="",NOT(ISNUMBER(E3369))),"",IFERROR(E3369*N(INDEX(art_price,MATCH(C3369,art_ref,0))),""))</f>
        <v/>
      </c>
      <c r="K3369" s="39" t="str">
        <f>IF(OR(C3369="",NOT(ISNUMBER(E3369))),"",IFERROR(ROUND(N(INDEX(art_init,MATCH(C3369,art_ref,0)))+SUMIFS($E$5:E3369,$C$5:C3369,C3369,$B$5:B3369,"Entrée")-SUMIFS($E$5:E3369,$C$5:C3369,C3369,$B$5:B3369,"Sortie"),6),""))</f>
        <v/>
      </c>
      <c r="L3369" s="39" t="str">
        <f>IF(COUNTA(A3369:C3369,E3369)=0,"",IF(COUNTA(A3369:C3369,E3369)&lt;4,"Ligne incomplète",IF(NOT(ISNUMBER(A3369)),"Date invalide",IF(AND(B3369&lt;&gt;"Entrée",B3369&lt;&gt;"Sortie"),"Type inconnu",IF(ISNA(MATCH(C3369,art_ref,0)),"Référence inconnue",IF(OR(NOT(ISNUMBER(E3369)),N(E3369)&lt;=0),"Quantité invalide",IF(K3369&lt;0,"Stock négatif",IF(AND(ISNUMBER(A3368),A3369&lt;A3368),"Date hors ordre","OK"))))))))</f>
        <v/>
      </c>
      <c r="M3369" s="39" t="str">
        <f>IF(C3369="","",C3369&amp;"#"&amp;COUNTIF($C$5:C3369,C3369))</f>
        <v/>
      </c>
    </row>
    <row r="3370">
      <c r="A3370" s="41" t="n"/>
      <c r="B3370" s="37" t="n"/>
      <c r="C3370" s="37" t="n"/>
      <c r="D3370" s="39" t="str">
        <f>IF(C3370="","",IFERROR(INDEX(art_des,MATCH(C3370,art_ref,0))&amp;"","Référence inconnue"))</f>
        <v/>
      </c>
      <c r="E3370" s="37" t="n"/>
      <c r="F3370" s="39" t="str">
        <f>IF(C3370="","",IFERROR(INDEX(art_unit,MATCH(C3370,art_ref,0))&amp;"",""))</f>
        <v/>
      </c>
      <c r="G3370" s="37" t="n"/>
      <c r="H3370" s="37" t="n"/>
      <c r="I3370" s="37" t="n"/>
      <c r="J3370" s="40" t="str">
        <f>IF(OR(C3370="",NOT(ISNUMBER(E3370))),"",IFERROR(E3370*N(INDEX(art_price,MATCH(C3370,art_ref,0))),""))</f>
        <v/>
      </c>
      <c r="K3370" s="39" t="str">
        <f>IF(OR(C3370="",NOT(ISNUMBER(E3370))),"",IFERROR(ROUND(N(INDEX(art_init,MATCH(C3370,art_ref,0)))+SUMIFS($E$5:E3370,$C$5:C3370,C3370,$B$5:B3370,"Entrée")-SUMIFS($E$5:E3370,$C$5:C3370,C3370,$B$5:B3370,"Sortie"),6),""))</f>
        <v/>
      </c>
      <c r="L3370" s="39" t="str">
        <f>IF(COUNTA(A3370:C3370,E3370)=0,"",IF(COUNTA(A3370:C3370,E3370)&lt;4,"Ligne incomplète",IF(NOT(ISNUMBER(A3370)),"Date invalide",IF(AND(B3370&lt;&gt;"Entrée",B3370&lt;&gt;"Sortie"),"Type inconnu",IF(ISNA(MATCH(C3370,art_ref,0)),"Référence inconnue",IF(OR(NOT(ISNUMBER(E3370)),N(E3370)&lt;=0),"Quantité invalide",IF(K3370&lt;0,"Stock négatif",IF(AND(ISNUMBER(A3369),A3370&lt;A3369),"Date hors ordre","OK"))))))))</f>
        <v/>
      </c>
      <c r="M3370" s="39" t="str">
        <f>IF(C3370="","",C3370&amp;"#"&amp;COUNTIF($C$5:C3370,C3370))</f>
        <v/>
      </c>
    </row>
    <row r="3371">
      <c r="A3371" s="41" t="n"/>
      <c r="B3371" s="37" t="n"/>
      <c r="C3371" s="37" t="n"/>
      <c r="D3371" s="39" t="str">
        <f>IF(C3371="","",IFERROR(INDEX(art_des,MATCH(C3371,art_ref,0))&amp;"","Référence inconnue"))</f>
        <v/>
      </c>
      <c r="E3371" s="37" t="n"/>
      <c r="F3371" s="39" t="str">
        <f>IF(C3371="","",IFERROR(INDEX(art_unit,MATCH(C3371,art_ref,0))&amp;"",""))</f>
        <v/>
      </c>
      <c r="G3371" s="37" t="n"/>
      <c r="H3371" s="37" t="n"/>
      <c r="I3371" s="37" t="n"/>
      <c r="J3371" s="40" t="str">
        <f>IF(OR(C3371="",NOT(ISNUMBER(E3371))),"",IFERROR(E3371*N(INDEX(art_price,MATCH(C3371,art_ref,0))),""))</f>
        <v/>
      </c>
      <c r="K3371" s="39" t="str">
        <f>IF(OR(C3371="",NOT(ISNUMBER(E3371))),"",IFERROR(ROUND(N(INDEX(art_init,MATCH(C3371,art_ref,0)))+SUMIFS($E$5:E3371,$C$5:C3371,C3371,$B$5:B3371,"Entrée")-SUMIFS($E$5:E3371,$C$5:C3371,C3371,$B$5:B3371,"Sortie"),6),""))</f>
        <v/>
      </c>
      <c r="L3371" s="39" t="str">
        <f>IF(COUNTA(A3371:C3371,E3371)=0,"",IF(COUNTA(A3371:C3371,E3371)&lt;4,"Ligne incomplète",IF(NOT(ISNUMBER(A3371)),"Date invalide",IF(AND(B3371&lt;&gt;"Entrée",B3371&lt;&gt;"Sortie"),"Type inconnu",IF(ISNA(MATCH(C3371,art_ref,0)),"Référence inconnue",IF(OR(NOT(ISNUMBER(E3371)),N(E3371)&lt;=0),"Quantité invalide",IF(K3371&lt;0,"Stock négatif",IF(AND(ISNUMBER(A3370),A3371&lt;A3370),"Date hors ordre","OK"))))))))</f>
        <v/>
      </c>
      <c r="M3371" s="39" t="str">
        <f>IF(C3371="","",C3371&amp;"#"&amp;COUNTIF($C$5:C3371,C3371))</f>
        <v/>
      </c>
    </row>
    <row r="3372">
      <c r="A3372" s="41" t="n"/>
      <c r="B3372" s="37" t="n"/>
      <c r="C3372" s="37" t="n"/>
      <c r="D3372" s="39" t="str">
        <f>IF(C3372="","",IFERROR(INDEX(art_des,MATCH(C3372,art_ref,0))&amp;"","Référence inconnue"))</f>
        <v/>
      </c>
      <c r="E3372" s="37" t="n"/>
      <c r="F3372" s="39" t="str">
        <f>IF(C3372="","",IFERROR(INDEX(art_unit,MATCH(C3372,art_ref,0))&amp;"",""))</f>
        <v/>
      </c>
      <c r="G3372" s="37" t="n"/>
      <c r="H3372" s="37" t="n"/>
      <c r="I3372" s="37" t="n"/>
      <c r="J3372" s="40" t="str">
        <f>IF(OR(C3372="",NOT(ISNUMBER(E3372))),"",IFERROR(E3372*N(INDEX(art_price,MATCH(C3372,art_ref,0))),""))</f>
        <v/>
      </c>
      <c r="K3372" s="39" t="str">
        <f>IF(OR(C3372="",NOT(ISNUMBER(E3372))),"",IFERROR(ROUND(N(INDEX(art_init,MATCH(C3372,art_ref,0)))+SUMIFS($E$5:E3372,$C$5:C3372,C3372,$B$5:B3372,"Entrée")-SUMIFS($E$5:E3372,$C$5:C3372,C3372,$B$5:B3372,"Sortie"),6),""))</f>
        <v/>
      </c>
      <c r="L3372" s="39" t="str">
        <f>IF(COUNTA(A3372:C3372,E3372)=0,"",IF(COUNTA(A3372:C3372,E3372)&lt;4,"Ligne incomplète",IF(NOT(ISNUMBER(A3372)),"Date invalide",IF(AND(B3372&lt;&gt;"Entrée",B3372&lt;&gt;"Sortie"),"Type inconnu",IF(ISNA(MATCH(C3372,art_ref,0)),"Référence inconnue",IF(OR(NOT(ISNUMBER(E3372)),N(E3372)&lt;=0),"Quantité invalide",IF(K3372&lt;0,"Stock négatif",IF(AND(ISNUMBER(A3371),A3372&lt;A3371),"Date hors ordre","OK"))))))))</f>
        <v/>
      </c>
      <c r="M3372" s="39" t="str">
        <f>IF(C3372="","",C3372&amp;"#"&amp;COUNTIF($C$5:C3372,C3372))</f>
        <v/>
      </c>
    </row>
    <row r="3373">
      <c r="A3373" s="41" t="n"/>
      <c r="B3373" s="37" t="n"/>
      <c r="C3373" s="37" t="n"/>
      <c r="D3373" s="39" t="str">
        <f>IF(C3373="","",IFERROR(INDEX(art_des,MATCH(C3373,art_ref,0))&amp;"","Référence inconnue"))</f>
        <v/>
      </c>
      <c r="E3373" s="37" t="n"/>
      <c r="F3373" s="39" t="str">
        <f>IF(C3373="","",IFERROR(INDEX(art_unit,MATCH(C3373,art_ref,0))&amp;"",""))</f>
        <v/>
      </c>
      <c r="G3373" s="37" t="n"/>
      <c r="H3373" s="37" t="n"/>
      <c r="I3373" s="37" t="n"/>
      <c r="J3373" s="40" t="str">
        <f>IF(OR(C3373="",NOT(ISNUMBER(E3373))),"",IFERROR(E3373*N(INDEX(art_price,MATCH(C3373,art_ref,0))),""))</f>
        <v/>
      </c>
      <c r="K3373" s="39" t="str">
        <f>IF(OR(C3373="",NOT(ISNUMBER(E3373))),"",IFERROR(ROUND(N(INDEX(art_init,MATCH(C3373,art_ref,0)))+SUMIFS($E$5:E3373,$C$5:C3373,C3373,$B$5:B3373,"Entrée")-SUMIFS($E$5:E3373,$C$5:C3373,C3373,$B$5:B3373,"Sortie"),6),""))</f>
        <v/>
      </c>
      <c r="L3373" s="39" t="str">
        <f>IF(COUNTA(A3373:C3373,E3373)=0,"",IF(COUNTA(A3373:C3373,E3373)&lt;4,"Ligne incomplète",IF(NOT(ISNUMBER(A3373)),"Date invalide",IF(AND(B3373&lt;&gt;"Entrée",B3373&lt;&gt;"Sortie"),"Type inconnu",IF(ISNA(MATCH(C3373,art_ref,0)),"Référence inconnue",IF(OR(NOT(ISNUMBER(E3373)),N(E3373)&lt;=0),"Quantité invalide",IF(K3373&lt;0,"Stock négatif",IF(AND(ISNUMBER(A3372),A3373&lt;A3372),"Date hors ordre","OK"))))))))</f>
        <v/>
      </c>
      <c r="M3373" s="39" t="str">
        <f>IF(C3373="","",C3373&amp;"#"&amp;COUNTIF($C$5:C3373,C3373))</f>
        <v/>
      </c>
    </row>
    <row r="3374">
      <c r="A3374" s="41" t="n"/>
      <c r="B3374" s="37" t="n"/>
      <c r="C3374" s="37" t="n"/>
      <c r="D3374" s="39" t="str">
        <f>IF(C3374="","",IFERROR(INDEX(art_des,MATCH(C3374,art_ref,0))&amp;"","Référence inconnue"))</f>
        <v/>
      </c>
      <c r="E3374" s="37" t="n"/>
      <c r="F3374" s="39" t="str">
        <f>IF(C3374="","",IFERROR(INDEX(art_unit,MATCH(C3374,art_ref,0))&amp;"",""))</f>
        <v/>
      </c>
      <c r="G3374" s="37" t="n"/>
      <c r="H3374" s="37" t="n"/>
      <c r="I3374" s="37" t="n"/>
      <c r="J3374" s="40" t="str">
        <f>IF(OR(C3374="",NOT(ISNUMBER(E3374))),"",IFERROR(E3374*N(INDEX(art_price,MATCH(C3374,art_ref,0))),""))</f>
        <v/>
      </c>
      <c r="K3374" s="39" t="str">
        <f>IF(OR(C3374="",NOT(ISNUMBER(E3374))),"",IFERROR(ROUND(N(INDEX(art_init,MATCH(C3374,art_ref,0)))+SUMIFS($E$5:E3374,$C$5:C3374,C3374,$B$5:B3374,"Entrée")-SUMIFS($E$5:E3374,$C$5:C3374,C3374,$B$5:B3374,"Sortie"),6),""))</f>
        <v/>
      </c>
      <c r="L3374" s="39" t="str">
        <f>IF(COUNTA(A3374:C3374,E3374)=0,"",IF(COUNTA(A3374:C3374,E3374)&lt;4,"Ligne incomplète",IF(NOT(ISNUMBER(A3374)),"Date invalide",IF(AND(B3374&lt;&gt;"Entrée",B3374&lt;&gt;"Sortie"),"Type inconnu",IF(ISNA(MATCH(C3374,art_ref,0)),"Référence inconnue",IF(OR(NOT(ISNUMBER(E3374)),N(E3374)&lt;=0),"Quantité invalide",IF(K3374&lt;0,"Stock négatif",IF(AND(ISNUMBER(A3373),A3374&lt;A3373),"Date hors ordre","OK"))))))))</f>
        <v/>
      </c>
      <c r="M3374" s="39" t="str">
        <f>IF(C3374="","",C3374&amp;"#"&amp;COUNTIF($C$5:C3374,C3374))</f>
        <v/>
      </c>
    </row>
    <row r="3375">
      <c r="A3375" s="41" t="n"/>
      <c r="B3375" s="37" t="n"/>
      <c r="C3375" s="37" t="n"/>
      <c r="D3375" s="39" t="str">
        <f>IF(C3375="","",IFERROR(INDEX(art_des,MATCH(C3375,art_ref,0))&amp;"","Référence inconnue"))</f>
        <v/>
      </c>
      <c r="E3375" s="37" t="n"/>
      <c r="F3375" s="39" t="str">
        <f>IF(C3375="","",IFERROR(INDEX(art_unit,MATCH(C3375,art_ref,0))&amp;"",""))</f>
        <v/>
      </c>
      <c r="G3375" s="37" t="n"/>
      <c r="H3375" s="37" t="n"/>
      <c r="I3375" s="37" t="n"/>
      <c r="J3375" s="40" t="str">
        <f>IF(OR(C3375="",NOT(ISNUMBER(E3375))),"",IFERROR(E3375*N(INDEX(art_price,MATCH(C3375,art_ref,0))),""))</f>
        <v/>
      </c>
      <c r="K3375" s="39" t="str">
        <f>IF(OR(C3375="",NOT(ISNUMBER(E3375))),"",IFERROR(ROUND(N(INDEX(art_init,MATCH(C3375,art_ref,0)))+SUMIFS($E$5:E3375,$C$5:C3375,C3375,$B$5:B3375,"Entrée")-SUMIFS($E$5:E3375,$C$5:C3375,C3375,$B$5:B3375,"Sortie"),6),""))</f>
        <v/>
      </c>
      <c r="L3375" s="39" t="str">
        <f>IF(COUNTA(A3375:C3375,E3375)=0,"",IF(COUNTA(A3375:C3375,E3375)&lt;4,"Ligne incomplète",IF(NOT(ISNUMBER(A3375)),"Date invalide",IF(AND(B3375&lt;&gt;"Entrée",B3375&lt;&gt;"Sortie"),"Type inconnu",IF(ISNA(MATCH(C3375,art_ref,0)),"Référence inconnue",IF(OR(NOT(ISNUMBER(E3375)),N(E3375)&lt;=0),"Quantité invalide",IF(K3375&lt;0,"Stock négatif",IF(AND(ISNUMBER(A3374),A3375&lt;A3374),"Date hors ordre","OK"))))))))</f>
        <v/>
      </c>
      <c r="M3375" s="39" t="str">
        <f>IF(C3375="","",C3375&amp;"#"&amp;COUNTIF($C$5:C3375,C3375))</f>
        <v/>
      </c>
    </row>
    <row r="3376">
      <c r="A3376" s="41" t="n"/>
      <c r="B3376" s="37" t="n"/>
      <c r="C3376" s="37" t="n"/>
      <c r="D3376" s="39" t="str">
        <f>IF(C3376="","",IFERROR(INDEX(art_des,MATCH(C3376,art_ref,0))&amp;"","Référence inconnue"))</f>
        <v/>
      </c>
      <c r="E3376" s="37" t="n"/>
      <c r="F3376" s="39" t="str">
        <f>IF(C3376="","",IFERROR(INDEX(art_unit,MATCH(C3376,art_ref,0))&amp;"",""))</f>
        <v/>
      </c>
      <c r="G3376" s="37" t="n"/>
      <c r="H3376" s="37" t="n"/>
      <c r="I3376" s="37" t="n"/>
      <c r="J3376" s="40" t="str">
        <f>IF(OR(C3376="",NOT(ISNUMBER(E3376))),"",IFERROR(E3376*N(INDEX(art_price,MATCH(C3376,art_ref,0))),""))</f>
        <v/>
      </c>
      <c r="K3376" s="39" t="str">
        <f>IF(OR(C3376="",NOT(ISNUMBER(E3376))),"",IFERROR(ROUND(N(INDEX(art_init,MATCH(C3376,art_ref,0)))+SUMIFS($E$5:E3376,$C$5:C3376,C3376,$B$5:B3376,"Entrée")-SUMIFS($E$5:E3376,$C$5:C3376,C3376,$B$5:B3376,"Sortie"),6),""))</f>
        <v/>
      </c>
      <c r="L3376" s="39" t="str">
        <f>IF(COUNTA(A3376:C3376,E3376)=0,"",IF(COUNTA(A3376:C3376,E3376)&lt;4,"Ligne incomplète",IF(NOT(ISNUMBER(A3376)),"Date invalide",IF(AND(B3376&lt;&gt;"Entrée",B3376&lt;&gt;"Sortie"),"Type inconnu",IF(ISNA(MATCH(C3376,art_ref,0)),"Référence inconnue",IF(OR(NOT(ISNUMBER(E3376)),N(E3376)&lt;=0),"Quantité invalide",IF(K3376&lt;0,"Stock négatif",IF(AND(ISNUMBER(A3375),A3376&lt;A3375),"Date hors ordre","OK"))))))))</f>
        <v/>
      </c>
      <c r="M3376" s="39" t="str">
        <f>IF(C3376="","",C3376&amp;"#"&amp;COUNTIF($C$5:C3376,C3376))</f>
        <v/>
      </c>
    </row>
    <row r="3377">
      <c r="A3377" s="41" t="n"/>
      <c r="B3377" s="37" t="n"/>
      <c r="C3377" s="37" t="n"/>
      <c r="D3377" s="39" t="str">
        <f>IF(C3377="","",IFERROR(INDEX(art_des,MATCH(C3377,art_ref,0))&amp;"","Référence inconnue"))</f>
        <v/>
      </c>
      <c r="E3377" s="37" t="n"/>
      <c r="F3377" s="39" t="str">
        <f>IF(C3377="","",IFERROR(INDEX(art_unit,MATCH(C3377,art_ref,0))&amp;"",""))</f>
        <v/>
      </c>
      <c r="G3377" s="37" t="n"/>
      <c r="H3377" s="37" t="n"/>
      <c r="I3377" s="37" t="n"/>
      <c r="J3377" s="40" t="str">
        <f>IF(OR(C3377="",NOT(ISNUMBER(E3377))),"",IFERROR(E3377*N(INDEX(art_price,MATCH(C3377,art_ref,0))),""))</f>
        <v/>
      </c>
      <c r="K3377" s="39" t="str">
        <f>IF(OR(C3377="",NOT(ISNUMBER(E3377))),"",IFERROR(ROUND(N(INDEX(art_init,MATCH(C3377,art_ref,0)))+SUMIFS($E$5:E3377,$C$5:C3377,C3377,$B$5:B3377,"Entrée")-SUMIFS($E$5:E3377,$C$5:C3377,C3377,$B$5:B3377,"Sortie"),6),""))</f>
        <v/>
      </c>
      <c r="L3377" s="39" t="str">
        <f>IF(COUNTA(A3377:C3377,E3377)=0,"",IF(COUNTA(A3377:C3377,E3377)&lt;4,"Ligne incomplète",IF(NOT(ISNUMBER(A3377)),"Date invalide",IF(AND(B3377&lt;&gt;"Entrée",B3377&lt;&gt;"Sortie"),"Type inconnu",IF(ISNA(MATCH(C3377,art_ref,0)),"Référence inconnue",IF(OR(NOT(ISNUMBER(E3377)),N(E3377)&lt;=0),"Quantité invalide",IF(K3377&lt;0,"Stock négatif",IF(AND(ISNUMBER(A3376),A3377&lt;A3376),"Date hors ordre","OK"))))))))</f>
        <v/>
      </c>
      <c r="M3377" s="39" t="str">
        <f>IF(C3377="","",C3377&amp;"#"&amp;COUNTIF($C$5:C3377,C3377))</f>
        <v/>
      </c>
    </row>
    <row r="3378">
      <c r="A3378" s="41" t="n"/>
      <c r="B3378" s="37" t="n"/>
      <c r="C3378" s="37" t="n"/>
      <c r="D3378" s="39" t="str">
        <f>IF(C3378="","",IFERROR(INDEX(art_des,MATCH(C3378,art_ref,0))&amp;"","Référence inconnue"))</f>
        <v/>
      </c>
      <c r="E3378" s="37" t="n"/>
      <c r="F3378" s="39" t="str">
        <f>IF(C3378="","",IFERROR(INDEX(art_unit,MATCH(C3378,art_ref,0))&amp;"",""))</f>
        <v/>
      </c>
      <c r="G3378" s="37" t="n"/>
      <c r="H3378" s="37" t="n"/>
      <c r="I3378" s="37" t="n"/>
      <c r="J3378" s="40" t="str">
        <f>IF(OR(C3378="",NOT(ISNUMBER(E3378))),"",IFERROR(E3378*N(INDEX(art_price,MATCH(C3378,art_ref,0))),""))</f>
        <v/>
      </c>
      <c r="K3378" s="39" t="str">
        <f>IF(OR(C3378="",NOT(ISNUMBER(E3378))),"",IFERROR(ROUND(N(INDEX(art_init,MATCH(C3378,art_ref,0)))+SUMIFS($E$5:E3378,$C$5:C3378,C3378,$B$5:B3378,"Entrée")-SUMIFS($E$5:E3378,$C$5:C3378,C3378,$B$5:B3378,"Sortie"),6),""))</f>
        <v/>
      </c>
      <c r="L3378" s="39" t="str">
        <f>IF(COUNTA(A3378:C3378,E3378)=0,"",IF(COUNTA(A3378:C3378,E3378)&lt;4,"Ligne incomplète",IF(NOT(ISNUMBER(A3378)),"Date invalide",IF(AND(B3378&lt;&gt;"Entrée",B3378&lt;&gt;"Sortie"),"Type inconnu",IF(ISNA(MATCH(C3378,art_ref,0)),"Référence inconnue",IF(OR(NOT(ISNUMBER(E3378)),N(E3378)&lt;=0),"Quantité invalide",IF(K3378&lt;0,"Stock négatif",IF(AND(ISNUMBER(A3377),A3378&lt;A3377),"Date hors ordre","OK"))))))))</f>
        <v/>
      </c>
      <c r="M3378" s="39" t="str">
        <f>IF(C3378="","",C3378&amp;"#"&amp;COUNTIF($C$5:C3378,C3378))</f>
        <v/>
      </c>
    </row>
    <row r="3379">
      <c r="A3379" s="41" t="n"/>
      <c r="B3379" s="37" t="n"/>
      <c r="C3379" s="37" t="n"/>
      <c r="D3379" s="39" t="str">
        <f>IF(C3379="","",IFERROR(INDEX(art_des,MATCH(C3379,art_ref,0))&amp;"","Référence inconnue"))</f>
        <v/>
      </c>
      <c r="E3379" s="37" t="n"/>
      <c r="F3379" s="39" t="str">
        <f>IF(C3379="","",IFERROR(INDEX(art_unit,MATCH(C3379,art_ref,0))&amp;"",""))</f>
        <v/>
      </c>
      <c r="G3379" s="37" t="n"/>
      <c r="H3379" s="37" t="n"/>
      <c r="I3379" s="37" t="n"/>
      <c r="J3379" s="40" t="str">
        <f>IF(OR(C3379="",NOT(ISNUMBER(E3379))),"",IFERROR(E3379*N(INDEX(art_price,MATCH(C3379,art_ref,0))),""))</f>
        <v/>
      </c>
      <c r="K3379" s="39" t="str">
        <f>IF(OR(C3379="",NOT(ISNUMBER(E3379))),"",IFERROR(ROUND(N(INDEX(art_init,MATCH(C3379,art_ref,0)))+SUMIFS($E$5:E3379,$C$5:C3379,C3379,$B$5:B3379,"Entrée")-SUMIFS($E$5:E3379,$C$5:C3379,C3379,$B$5:B3379,"Sortie"),6),""))</f>
        <v/>
      </c>
      <c r="L3379" s="39" t="str">
        <f>IF(COUNTA(A3379:C3379,E3379)=0,"",IF(COUNTA(A3379:C3379,E3379)&lt;4,"Ligne incomplète",IF(NOT(ISNUMBER(A3379)),"Date invalide",IF(AND(B3379&lt;&gt;"Entrée",B3379&lt;&gt;"Sortie"),"Type inconnu",IF(ISNA(MATCH(C3379,art_ref,0)),"Référence inconnue",IF(OR(NOT(ISNUMBER(E3379)),N(E3379)&lt;=0),"Quantité invalide",IF(K3379&lt;0,"Stock négatif",IF(AND(ISNUMBER(A3378),A3379&lt;A3378),"Date hors ordre","OK"))))))))</f>
        <v/>
      </c>
      <c r="M3379" s="39" t="str">
        <f>IF(C3379="","",C3379&amp;"#"&amp;COUNTIF($C$5:C3379,C3379))</f>
        <v/>
      </c>
    </row>
    <row r="3380">
      <c r="A3380" s="41" t="n"/>
      <c r="B3380" s="37" t="n"/>
      <c r="C3380" s="37" t="n"/>
      <c r="D3380" s="39" t="str">
        <f>IF(C3380="","",IFERROR(INDEX(art_des,MATCH(C3380,art_ref,0))&amp;"","Référence inconnue"))</f>
        <v/>
      </c>
      <c r="E3380" s="37" t="n"/>
      <c r="F3380" s="39" t="str">
        <f>IF(C3380="","",IFERROR(INDEX(art_unit,MATCH(C3380,art_ref,0))&amp;"",""))</f>
        <v/>
      </c>
      <c r="G3380" s="37" t="n"/>
      <c r="H3380" s="37" t="n"/>
      <c r="I3380" s="37" t="n"/>
      <c r="J3380" s="40" t="str">
        <f>IF(OR(C3380="",NOT(ISNUMBER(E3380))),"",IFERROR(E3380*N(INDEX(art_price,MATCH(C3380,art_ref,0))),""))</f>
        <v/>
      </c>
      <c r="K3380" s="39" t="str">
        <f>IF(OR(C3380="",NOT(ISNUMBER(E3380))),"",IFERROR(ROUND(N(INDEX(art_init,MATCH(C3380,art_ref,0)))+SUMIFS($E$5:E3380,$C$5:C3380,C3380,$B$5:B3380,"Entrée")-SUMIFS($E$5:E3380,$C$5:C3380,C3380,$B$5:B3380,"Sortie"),6),""))</f>
        <v/>
      </c>
      <c r="L3380" s="39" t="str">
        <f>IF(COUNTA(A3380:C3380,E3380)=0,"",IF(COUNTA(A3380:C3380,E3380)&lt;4,"Ligne incomplète",IF(NOT(ISNUMBER(A3380)),"Date invalide",IF(AND(B3380&lt;&gt;"Entrée",B3380&lt;&gt;"Sortie"),"Type inconnu",IF(ISNA(MATCH(C3380,art_ref,0)),"Référence inconnue",IF(OR(NOT(ISNUMBER(E3380)),N(E3380)&lt;=0),"Quantité invalide",IF(K3380&lt;0,"Stock négatif",IF(AND(ISNUMBER(A3379),A3380&lt;A3379),"Date hors ordre","OK"))))))))</f>
        <v/>
      </c>
      <c r="M3380" s="39" t="str">
        <f>IF(C3380="","",C3380&amp;"#"&amp;COUNTIF($C$5:C3380,C3380))</f>
        <v/>
      </c>
    </row>
    <row r="3381">
      <c r="A3381" s="41" t="n"/>
      <c r="B3381" s="37" t="n"/>
      <c r="C3381" s="37" t="n"/>
      <c r="D3381" s="39" t="str">
        <f>IF(C3381="","",IFERROR(INDEX(art_des,MATCH(C3381,art_ref,0))&amp;"","Référence inconnue"))</f>
        <v/>
      </c>
      <c r="E3381" s="37" t="n"/>
      <c r="F3381" s="39" t="str">
        <f>IF(C3381="","",IFERROR(INDEX(art_unit,MATCH(C3381,art_ref,0))&amp;"",""))</f>
        <v/>
      </c>
      <c r="G3381" s="37" t="n"/>
      <c r="H3381" s="37" t="n"/>
      <c r="I3381" s="37" t="n"/>
      <c r="J3381" s="40" t="str">
        <f>IF(OR(C3381="",NOT(ISNUMBER(E3381))),"",IFERROR(E3381*N(INDEX(art_price,MATCH(C3381,art_ref,0))),""))</f>
        <v/>
      </c>
      <c r="K3381" s="39" t="str">
        <f>IF(OR(C3381="",NOT(ISNUMBER(E3381))),"",IFERROR(ROUND(N(INDEX(art_init,MATCH(C3381,art_ref,0)))+SUMIFS($E$5:E3381,$C$5:C3381,C3381,$B$5:B3381,"Entrée")-SUMIFS($E$5:E3381,$C$5:C3381,C3381,$B$5:B3381,"Sortie"),6),""))</f>
        <v/>
      </c>
      <c r="L3381" s="39" t="str">
        <f>IF(COUNTA(A3381:C3381,E3381)=0,"",IF(COUNTA(A3381:C3381,E3381)&lt;4,"Ligne incomplète",IF(NOT(ISNUMBER(A3381)),"Date invalide",IF(AND(B3381&lt;&gt;"Entrée",B3381&lt;&gt;"Sortie"),"Type inconnu",IF(ISNA(MATCH(C3381,art_ref,0)),"Référence inconnue",IF(OR(NOT(ISNUMBER(E3381)),N(E3381)&lt;=0),"Quantité invalide",IF(K3381&lt;0,"Stock négatif",IF(AND(ISNUMBER(A3380),A3381&lt;A3380),"Date hors ordre","OK"))))))))</f>
        <v/>
      </c>
      <c r="M3381" s="39" t="str">
        <f>IF(C3381="","",C3381&amp;"#"&amp;COUNTIF($C$5:C3381,C3381))</f>
        <v/>
      </c>
    </row>
    <row r="3382">
      <c r="A3382" s="41" t="n"/>
      <c r="B3382" s="37" t="n"/>
      <c r="C3382" s="37" t="n"/>
      <c r="D3382" s="39" t="str">
        <f>IF(C3382="","",IFERROR(INDEX(art_des,MATCH(C3382,art_ref,0))&amp;"","Référence inconnue"))</f>
        <v/>
      </c>
      <c r="E3382" s="37" t="n"/>
      <c r="F3382" s="39" t="str">
        <f>IF(C3382="","",IFERROR(INDEX(art_unit,MATCH(C3382,art_ref,0))&amp;"",""))</f>
        <v/>
      </c>
      <c r="G3382" s="37" t="n"/>
      <c r="H3382" s="37" t="n"/>
      <c r="I3382" s="37" t="n"/>
      <c r="J3382" s="40" t="str">
        <f>IF(OR(C3382="",NOT(ISNUMBER(E3382))),"",IFERROR(E3382*N(INDEX(art_price,MATCH(C3382,art_ref,0))),""))</f>
        <v/>
      </c>
      <c r="K3382" s="39" t="str">
        <f>IF(OR(C3382="",NOT(ISNUMBER(E3382))),"",IFERROR(ROUND(N(INDEX(art_init,MATCH(C3382,art_ref,0)))+SUMIFS($E$5:E3382,$C$5:C3382,C3382,$B$5:B3382,"Entrée")-SUMIFS($E$5:E3382,$C$5:C3382,C3382,$B$5:B3382,"Sortie"),6),""))</f>
        <v/>
      </c>
      <c r="L3382" s="39" t="str">
        <f>IF(COUNTA(A3382:C3382,E3382)=0,"",IF(COUNTA(A3382:C3382,E3382)&lt;4,"Ligne incomplète",IF(NOT(ISNUMBER(A3382)),"Date invalide",IF(AND(B3382&lt;&gt;"Entrée",B3382&lt;&gt;"Sortie"),"Type inconnu",IF(ISNA(MATCH(C3382,art_ref,0)),"Référence inconnue",IF(OR(NOT(ISNUMBER(E3382)),N(E3382)&lt;=0),"Quantité invalide",IF(K3382&lt;0,"Stock négatif",IF(AND(ISNUMBER(A3381),A3382&lt;A3381),"Date hors ordre","OK"))))))))</f>
        <v/>
      </c>
      <c r="M3382" s="39" t="str">
        <f>IF(C3382="","",C3382&amp;"#"&amp;COUNTIF($C$5:C3382,C3382))</f>
        <v/>
      </c>
    </row>
    <row r="3383">
      <c r="A3383" s="41" t="n"/>
      <c r="B3383" s="37" t="n"/>
      <c r="C3383" s="37" t="n"/>
      <c r="D3383" s="39" t="str">
        <f>IF(C3383="","",IFERROR(INDEX(art_des,MATCH(C3383,art_ref,0))&amp;"","Référence inconnue"))</f>
        <v/>
      </c>
      <c r="E3383" s="37" t="n"/>
      <c r="F3383" s="39" t="str">
        <f>IF(C3383="","",IFERROR(INDEX(art_unit,MATCH(C3383,art_ref,0))&amp;"",""))</f>
        <v/>
      </c>
      <c r="G3383" s="37" t="n"/>
      <c r="H3383" s="37" t="n"/>
      <c r="I3383" s="37" t="n"/>
      <c r="J3383" s="40" t="str">
        <f>IF(OR(C3383="",NOT(ISNUMBER(E3383))),"",IFERROR(E3383*N(INDEX(art_price,MATCH(C3383,art_ref,0))),""))</f>
        <v/>
      </c>
      <c r="K3383" s="39" t="str">
        <f>IF(OR(C3383="",NOT(ISNUMBER(E3383))),"",IFERROR(ROUND(N(INDEX(art_init,MATCH(C3383,art_ref,0)))+SUMIFS($E$5:E3383,$C$5:C3383,C3383,$B$5:B3383,"Entrée")-SUMIFS($E$5:E3383,$C$5:C3383,C3383,$B$5:B3383,"Sortie"),6),""))</f>
        <v/>
      </c>
      <c r="L3383" s="39" t="str">
        <f>IF(COUNTA(A3383:C3383,E3383)=0,"",IF(COUNTA(A3383:C3383,E3383)&lt;4,"Ligne incomplète",IF(NOT(ISNUMBER(A3383)),"Date invalide",IF(AND(B3383&lt;&gt;"Entrée",B3383&lt;&gt;"Sortie"),"Type inconnu",IF(ISNA(MATCH(C3383,art_ref,0)),"Référence inconnue",IF(OR(NOT(ISNUMBER(E3383)),N(E3383)&lt;=0),"Quantité invalide",IF(K3383&lt;0,"Stock négatif",IF(AND(ISNUMBER(A3382),A3383&lt;A3382),"Date hors ordre","OK"))))))))</f>
        <v/>
      </c>
      <c r="M3383" s="39" t="str">
        <f>IF(C3383="","",C3383&amp;"#"&amp;COUNTIF($C$5:C3383,C3383))</f>
        <v/>
      </c>
    </row>
    <row r="3384">
      <c r="A3384" s="41" t="n"/>
      <c r="B3384" s="37" t="n"/>
      <c r="C3384" s="37" t="n"/>
      <c r="D3384" s="39" t="str">
        <f>IF(C3384="","",IFERROR(INDEX(art_des,MATCH(C3384,art_ref,0))&amp;"","Référence inconnue"))</f>
        <v/>
      </c>
      <c r="E3384" s="37" t="n"/>
      <c r="F3384" s="39" t="str">
        <f>IF(C3384="","",IFERROR(INDEX(art_unit,MATCH(C3384,art_ref,0))&amp;"",""))</f>
        <v/>
      </c>
      <c r="G3384" s="37" t="n"/>
      <c r="H3384" s="37" t="n"/>
      <c r="I3384" s="37" t="n"/>
      <c r="J3384" s="40" t="str">
        <f>IF(OR(C3384="",NOT(ISNUMBER(E3384))),"",IFERROR(E3384*N(INDEX(art_price,MATCH(C3384,art_ref,0))),""))</f>
        <v/>
      </c>
      <c r="K3384" s="39" t="str">
        <f>IF(OR(C3384="",NOT(ISNUMBER(E3384))),"",IFERROR(ROUND(N(INDEX(art_init,MATCH(C3384,art_ref,0)))+SUMIFS($E$5:E3384,$C$5:C3384,C3384,$B$5:B3384,"Entrée")-SUMIFS($E$5:E3384,$C$5:C3384,C3384,$B$5:B3384,"Sortie"),6),""))</f>
        <v/>
      </c>
      <c r="L3384" s="39" t="str">
        <f>IF(COUNTA(A3384:C3384,E3384)=0,"",IF(COUNTA(A3384:C3384,E3384)&lt;4,"Ligne incomplète",IF(NOT(ISNUMBER(A3384)),"Date invalide",IF(AND(B3384&lt;&gt;"Entrée",B3384&lt;&gt;"Sortie"),"Type inconnu",IF(ISNA(MATCH(C3384,art_ref,0)),"Référence inconnue",IF(OR(NOT(ISNUMBER(E3384)),N(E3384)&lt;=0),"Quantité invalide",IF(K3384&lt;0,"Stock négatif",IF(AND(ISNUMBER(A3383),A3384&lt;A3383),"Date hors ordre","OK"))))))))</f>
        <v/>
      </c>
      <c r="M3384" s="39" t="str">
        <f>IF(C3384="","",C3384&amp;"#"&amp;COUNTIF($C$5:C3384,C3384))</f>
        <v/>
      </c>
    </row>
    <row r="3385">
      <c r="A3385" s="41" t="n"/>
      <c r="B3385" s="37" t="n"/>
      <c r="C3385" s="37" t="n"/>
      <c r="D3385" s="39" t="str">
        <f>IF(C3385="","",IFERROR(INDEX(art_des,MATCH(C3385,art_ref,0))&amp;"","Référence inconnue"))</f>
        <v/>
      </c>
      <c r="E3385" s="37" t="n"/>
      <c r="F3385" s="39" t="str">
        <f>IF(C3385="","",IFERROR(INDEX(art_unit,MATCH(C3385,art_ref,0))&amp;"",""))</f>
        <v/>
      </c>
      <c r="G3385" s="37" t="n"/>
      <c r="H3385" s="37" t="n"/>
      <c r="I3385" s="37" t="n"/>
      <c r="J3385" s="40" t="str">
        <f>IF(OR(C3385="",NOT(ISNUMBER(E3385))),"",IFERROR(E3385*N(INDEX(art_price,MATCH(C3385,art_ref,0))),""))</f>
        <v/>
      </c>
      <c r="K3385" s="39" t="str">
        <f>IF(OR(C3385="",NOT(ISNUMBER(E3385))),"",IFERROR(ROUND(N(INDEX(art_init,MATCH(C3385,art_ref,0)))+SUMIFS($E$5:E3385,$C$5:C3385,C3385,$B$5:B3385,"Entrée")-SUMIFS($E$5:E3385,$C$5:C3385,C3385,$B$5:B3385,"Sortie"),6),""))</f>
        <v/>
      </c>
      <c r="L3385" s="39" t="str">
        <f>IF(COUNTA(A3385:C3385,E3385)=0,"",IF(COUNTA(A3385:C3385,E3385)&lt;4,"Ligne incomplète",IF(NOT(ISNUMBER(A3385)),"Date invalide",IF(AND(B3385&lt;&gt;"Entrée",B3385&lt;&gt;"Sortie"),"Type inconnu",IF(ISNA(MATCH(C3385,art_ref,0)),"Référence inconnue",IF(OR(NOT(ISNUMBER(E3385)),N(E3385)&lt;=0),"Quantité invalide",IF(K3385&lt;0,"Stock négatif",IF(AND(ISNUMBER(A3384),A3385&lt;A3384),"Date hors ordre","OK"))))))))</f>
        <v/>
      </c>
      <c r="M3385" s="39" t="str">
        <f>IF(C3385="","",C3385&amp;"#"&amp;COUNTIF($C$5:C3385,C3385))</f>
        <v/>
      </c>
    </row>
    <row r="3386">
      <c r="A3386" s="41" t="n"/>
      <c r="B3386" s="37" t="n"/>
      <c r="C3386" s="37" t="n"/>
      <c r="D3386" s="39" t="str">
        <f>IF(C3386="","",IFERROR(INDEX(art_des,MATCH(C3386,art_ref,0))&amp;"","Référence inconnue"))</f>
        <v/>
      </c>
      <c r="E3386" s="37" t="n"/>
      <c r="F3386" s="39" t="str">
        <f>IF(C3386="","",IFERROR(INDEX(art_unit,MATCH(C3386,art_ref,0))&amp;"",""))</f>
        <v/>
      </c>
      <c r="G3386" s="37" t="n"/>
      <c r="H3386" s="37" t="n"/>
      <c r="I3386" s="37" t="n"/>
      <c r="J3386" s="40" t="str">
        <f>IF(OR(C3386="",NOT(ISNUMBER(E3386))),"",IFERROR(E3386*N(INDEX(art_price,MATCH(C3386,art_ref,0))),""))</f>
        <v/>
      </c>
      <c r="K3386" s="39" t="str">
        <f>IF(OR(C3386="",NOT(ISNUMBER(E3386))),"",IFERROR(ROUND(N(INDEX(art_init,MATCH(C3386,art_ref,0)))+SUMIFS($E$5:E3386,$C$5:C3386,C3386,$B$5:B3386,"Entrée")-SUMIFS($E$5:E3386,$C$5:C3386,C3386,$B$5:B3386,"Sortie"),6),""))</f>
        <v/>
      </c>
      <c r="L3386" s="39" t="str">
        <f>IF(COUNTA(A3386:C3386,E3386)=0,"",IF(COUNTA(A3386:C3386,E3386)&lt;4,"Ligne incomplète",IF(NOT(ISNUMBER(A3386)),"Date invalide",IF(AND(B3386&lt;&gt;"Entrée",B3386&lt;&gt;"Sortie"),"Type inconnu",IF(ISNA(MATCH(C3386,art_ref,0)),"Référence inconnue",IF(OR(NOT(ISNUMBER(E3386)),N(E3386)&lt;=0),"Quantité invalide",IF(K3386&lt;0,"Stock négatif",IF(AND(ISNUMBER(A3385),A3386&lt;A3385),"Date hors ordre","OK"))))))))</f>
        <v/>
      </c>
      <c r="M3386" s="39" t="str">
        <f>IF(C3386="","",C3386&amp;"#"&amp;COUNTIF($C$5:C3386,C3386))</f>
        <v/>
      </c>
    </row>
    <row r="3387">
      <c r="A3387" s="41" t="n"/>
      <c r="B3387" s="37" t="n"/>
      <c r="C3387" s="37" t="n"/>
      <c r="D3387" s="39" t="str">
        <f>IF(C3387="","",IFERROR(INDEX(art_des,MATCH(C3387,art_ref,0))&amp;"","Référence inconnue"))</f>
        <v/>
      </c>
      <c r="E3387" s="37" t="n"/>
      <c r="F3387" s="39" t="str">
        <f>IF(C3387="","",IFERROR(INDEX(art_unit,MATCH(C3387,art_ref,0))&amp;"",""))</f>
        <v/>
      </c>
      <c r="G3387" s="37" t="n"/>
      <c r="H3387" s="37" t="n"/>
      <c r="I3387" s="37" t="n"/>
      <c r="J3387" s="40" t="str">
        <f>IF(OR(C3387="",NOT(ISNUMBER(E3387))),"",IFERROR(E3387*N(INDEX(art_price,MATCH(C3387,art_ref,0))),""))</f>
        <v/>
      </c>
      <c r="K3387" s="39" t="str">
        <f>IF(OR(C3387="",NOT(ISNUMBER(E3387))),"",IFERROR(ROUND(N(INDEX(art_init,MATCH(C3387,art_ref,0)))+SUMIFS($E$5:E3387,$C$5:C3387,C3387,$B$5:B3387,"Entrée")-SUMIFS($E$5:E3387,$C$5:C3387,C3387,$B$5:B3387,"Sortie"),6),""))</f>
        <v/>
      </c>
      <c r="L3387" s="39" t="str">
        <f>IF(COUNTA(A3387:C3387,E3387)=0,"",IF(COUNTA(A3387:C3387,E3387)&lt;4,"Ligne incomplète",IF(NOT(ISNUMBER(A3387)),"Date invalide",IF(AND(B3387&lt;&gt;"Entrée",B3387&lt;&gt;"Sortie"),"Type inconnu",IF(ISNA(MATCH(C3387,art_ref,0)),"Référence inconnue",IF(OR(NOT(ISNUMBER(E3387)),N(E3387)&lt;=0),"Quantité invalide",IF(K3387&lt;0,"Stock négatif",IF(AND(ISNUMBER(A3386),A3387&lt;A3386),"Date hors ordre","OK"))))))))</f>
        <v/>
      </c>
      <c r="M3387" s="39" t="str">
        <f>IF(C3387="","",C3387&amp;"#"&amp;COUNTIF($C$5:C3387,C3387))</f>
        <v/>
      </c>
    </row>
    <row r="3388">
      <c r="A3388" s="41" t="n"/>
      <c r="B3388" s="37" t="n"/>
      <c r="C3388" s="37" t="n"/>
      <c r="D3388" s="39" t="str">
        <f>IF(C3388="","",IFERROR(INDEX(art_des,MATCH(C3388,art_ref,0))&amp;"","Référence inconnue"))</f>
        <v/>
      </c>
      <c r="E3388" s="37" t="n"/>
      <c r="F3388" s="39" t="str">
        <f>IF(C3388="","",IFERROR(INDEX(art_unit,MATCH(C3388,art_ref,0))&amp;"",""))</f>
        <v/>
      </c>
      <c r="G3388" s="37" t="n"/>
      <c r="H3388" s="37" t="n"/>
      <c r="I3388" s="37" t="n"/>
      <c r="J3388" s="40" t="str">
        <f>IF(OR(C3388="",NOT(ISNUMBER(E3388))),"",IFERROR(E3388*N(INDEX(art_price,MATCH(C3388,art_ref,0))),""))</f>
        <v/>
      </c>
      <c r="K3388" s="39" t="str">
        <f>IF(OR(C3388="",NOT(ISNUMBER(E3388))),"",IFERROR(ROUND(N(INDEX(art_init,MATCH(C3388,art_ref,0)))+SUMIFS($E$5:E3388,$C$5:C3388,C3388,$B$5:B3388,"Entrée")-SUMIFS($E$5:E3388,$C$5:C3388,C3388,$B$5:B3388,"Sortie"),6),""))</f>
        <v/>
      </c>
      <c r="L3388" s="39" t="str">
        <f>IF(COUNTA(A3388:C3388,E3388)=0,"",IF(COUNTA(A3388:C3388,E3388)&lt;4,"Ligne incomplète",IF(NOT(ISNUMBER(A3388)),"Date invalide",IF(AND(B3388&lt;&gt;"Entrée",B3388&lt;&gt;"Sortie"),"Type inconnu",IF(ISNA(MATCH(C3388,art_ref,0)),"Référence inconnue",IF(OR(NOT(ISNUMBER(E3388)),N(E3388)&lt;=0),"Quantité invalide",IF(K3388&lt;0,"Stock négatif",IF(AND(ISNUMBER(A3387),A3388&lt;A3387),"Date hors ordre","OK"))))))))</f>
        <v/>
      </c>
      <c r="M3388" s="39" t="str">
        <f>IF(C3388="","",C3388&amp;"#"&amp;COUNTIF($C$5:C3388,C3388))</f>
        <v/>
      </c>
    </row>
    <row r="3389">
      <c r="A3389" s="41" t="n"/>
      <c r="B3389" s="37" t="n"/>
      <c r="C3389" s="37" t="n"/>
      <c r="D3389" s="39" t="str">
        <f>IF(C3389="","",IFERROR(INDEX(art_des,MATCH(C3389,art_ref,0))&amp;"","Référence inconnue"))</f>
        <v/>
      </c>
      <c r="E3389" s="37" t="n"/>
      <c r="F3389" s="39" t="str">
        <f>IF(C3389="","",IFERROR(INDEX(art_unit,MATCH(C3389,art_ref,0))&amp;"",""))</f>
        <v/>
      </c>
      <c r="G3389" s="37" t="n"/>
      <c r="H3389" s="37" t="n"/>
      <c r="I3389" s="37" t="n"/>
      <c r="J3389" s="40" t="str">
        <f>IF(OR(C3389="",NOT(ISNUMBER(E3389))),"",IFERROR(E3389*N(INDEX(art_price,MATCH(C3389,art_ref,0))),""))</f>
        <v/>
      </c>
      <c r="K3389" s="39" t="str">
        <f>IF(OR(C3389="",NOT(ISNUMBER(E3389))),"",IFERROR(ROUND(N(INDEX(art_init,MATCH(C3389,art_ref,0)))+SUMIFS($E$5:E3389,$C$5:C3389,C3389,$B$5:B3389,"Entrée")-SUMIFS($E$5:E3389,$C$5:C3389,C3389,$B$5:B3389,"Sortie"),6),""))</f>
        <v/>
      </c>
      <c r="L3389" s="39" t="str">
        <f>IF(COUNTA(A3389:C3389,E3389)=0,"",IF(COUNTA(A3389:C3389,E3389)&lt;4,"Ligne incomplète",IF(NOT(ISNUMBER(A3389)),"Date invalide",IF(AND(B3389&lt;&gt;"Entrée",B3389&lt;&gt;"Sortie"),"Type inconnu",IF(ISNA(MATCH(C3389,art_ref,0)),"Référence inconnue",IF(OR(NOT(ISNUMBER(E3389)),N(E3389)&lt;=0),"Quantité invalide",IF(K3389&lt;0,"Stock négatif",IF(AND(ISNUMBER(A3388),A3389&lt;A3388),"Date hors ordre","OK"))))))))</f>
        <v/>
      </c>
      <c r="M3389" s="39" t="str">
        <f>IF(C3389="","",C3389&amp;"#"&amp;COUNTIF($C$5:C3389,C3389))</f>
        <v/>
      </c>
    </row>
    <row r="3390">
      <c r="A3390" s="41" t="n"/>
      <c r="B3390" s="37" t="n"/>
      <c r="C3390" s="37" t="n"/>
      <c r="D3390" s="39" t="str">
        <f>IF(C3390="","",IFERROR(INDEX(art_des,MATCH(C3390,art_ref,0))&amp;"","Référence inconnue"))</f>
        <v/>
      </c>
      <c r="E3390" s="37" t="n"/>
      <c r="F3390" s="39" t="str">
        <f>IF(C3390="","",IFERROR(INDEX(art_unit,MATCH(C3390,art_ref,0))&amp;"",""))</f>
        <v/>
      </c>
      <c r="G3390" s="37" t="n"/>
      <c r="H3390" s="37" t="n"/>
      <c r="I3390" s="37" t="n"/>
      <c r="J3390" s="40" t="str">
        <f>IF(OR(C3390="",NOT(ISNUMBER(E3390))),"",IFERROR(E3390*N(INDEX(art_price,MATCH(C3390,art_ref,0))),""))</f>
        <v/>
      </c>
      <c r="K3390" s="39" t="str">
        <f>IF(OR(C3390="",NOT(ISNUMBER(E3390))),"",IFERROR(ROUND(N(INDEX(art_init,MATCH(C3390,art_ref,0)))+SUMIFS($E$5:E3390,$C$5:C3390,C3390,$B$5:B3390,"Entrée")-SUMIFS($E$5:E3390,$C$5:C3390,C3390,$B$5:B3390,"Sortie"),6),""))</f>
        <v/>
      </c>
      <c r="L3390" s="39" t="str">
        <f>IF(COUNTA(A3390:C3390,E3390)=0,"",IF(COUNTA(A3390:C3390,E3390)&lt;4,"Ligne incomplète",IF(NOT(ISNUMBER(A3390)),"Date invalide",IF(AND(B3390&lt;&gt;"Entrée",B3390&lt;&gt;"Sortie"),"Type inconnu",IF(ISNA(MATCH(C3390,art_ref,0)),"Référence inconnue",IF(OR(NOT(ISNUMBER(E3390)),N(E3390)&lt;=0),"Quantité invalide",IF(K3390&lt;0,"Stock négatif",IF(AND(ISNUMBER(A3389),A3390&lt;A3389),"Date hors ordre","OK"))))))))</f>
        <v/>
      </c>
      <c r="M3390" s="39" t="str">
        <f>IF(C3390="","",C3390&amp;"#"&amp;COUNTIF($C$5:C3390,C3390))</f>
        <v/>
      </c>
    </row>
    <row r="3391">
      <c r="A3391" s="41" t="n"/>
      <c r="B3391" s="37" t="n"/>
      <c r="C3391" s="37" t="n"/>
      <c r="D3391" s="39" t="str">
        <f>IF(C3391="","",IFERROR(INDEX(art_des,MATCH(C3391,art_ref,0))&amp;"","Référence inconnue"))</f>
        <v/>
      </c>
      <c r="E3391" s="37" t="n"/>
      <c r="F3391" s="39" t="str">
        <f>IF(C3391="","",IFERROR(INDEX(art_unit,MATCH(C3391,art_ref,0))&amp;"",""))</f>
        <v/>
      </c>
      <c r="G3391" s="37" t="n"/>
      <c r="H3391" s="37" t="n"/>
      <c r="I3391" s="37" t="n"/>
      <c r="J3391" s="40" t="str">
        <f>IF(OR(C3391="",NOT(ISNUMBER(E3391))),"",IFERROR(E3391*N(INDEX(art_price,MATCH(C3391,art_ref,0))),""))</f>
        <v/>
      </c>
      <c r="K3391" s="39" t="str">
        <f>IF(OR(C3391="",NOT(ISNUMBER(E3391))),"",IFERROR(ROUND(N(INDEX(art_init,MATCH(C3391,art_ref,0)))+SUMIFS($E$5:E3391,$C$5:C3391,C3391,$B$5:B3391,"Entrée")-SUMIFS($E$5:E3391,$C$5:C3391,C3391,$B$5:B3391,"Sortie"),6),""))</f>
        <v/>
      </c>
      <c r="L3391" s="39" t="str">
        <f>IF(COUNTA(A3391:C3391,E3391)=0,"",IF(COUNTA(A3391:C3391,E3391)&lt;4,"Ligne incomplète",IF(NOT(ISNUMBER(A3391)),"Date invalide",IF(AND(B3391&lt;&gt;"Entrée",B3391&lt;&gt;"Sortie"),"Type inconnu",IF(ISNA(MATCH(C3391,art_ref,0)),"Référence inconnue",IF(OR(NOT(ISNUMBER(E3391)),N(E3391)&lt;=0),"Quantité invalide",IF(K3391&lt;0,"Stock négatif",IF(AND(ISNUMBER(A3390),A3391&lt;A3390),"Date hors ordre","OK"))))))))</f>
        <v/>
      </c>
      <c r="M3391" s="39" t="str">
        <f>IF(C3391="","",C3391&amp;"#"&amp;COUNTIF($C$5:C3391,C3391))</f>
        <v/>
      </c>
    </row>
    <row r="3392">
      <c r="A3392" s="41" t="n"/>
      <c r="B3392" s="37" t="n"/>
      <c r="C3392" s="37" t="n"/>
      <c r="D3392" s="39" t="str">
        <f>IF(C3392="","",IFERROR(INDEX(art_des,MATCH(C3392,art_ref,0))&amp;"","Référence inconnue"))</f>
        <v/>
      </c>
      <c r="E3392" s="37" t="n"/>
      <c r="F3392" s="39" t="str">
        <f>IF(C3392="","",IFERROR(INDEX(art_unit,MATCH(C3392,art_ref,0))&amp;"",""))</f>
        <v/>
      </c>
      <c r="G3392" s="37" t="n"/>
      <c r="H3392" s="37" t="n"/>
      <c r="I3392" s="37" t="n"/>
      <c r="J3392" s="40" t="str">
        <f>IF(OR(C3392="",NOT(ISNUMBER(E3392))),"",IFERROR(E3392*N(INDEX(art_price,MATCH(C3392,art_ref,0))),""))</f>
        <v/>
      </c>
      <c r="K3392" s="39" t="str">
        <f>IF(OR(C3392="",NOT(ISNUMBER(E3392))),"",IFERROR(ROUND(N(INDEX(art_init,MATCH(C3392,art_ref,0)))+SUMIFS($E$5:E3392,$C$5:C3392,C3392,$B$5:B3392,"Entrée")-SUMIFS($E$5:E3392,$C$5:C3392,C3392,$B$5:B3392,"Sortie"),6),""))</f>
        <v/>
      </c>
      <c r="L3392" s="39" t="str">
        <f>IF(COUNTA(A3392:C3392,E3392)=0,"",IF(COUNTA(A3392:C3392,E3392)&lt;4,"Ligne incomplète",IF(NOT(ISNUMBER(A3392)),"Date invalide",IF(AND(B3392&lt;&gt;"Entrée",B3392&lt;&gt;"Sortie"),"Type inconnu",IF(ISNA(MATCH(C3392,art_ref,0)),"Référence inconnue",IF(OR(NOT(ISNUMBER(E3392)),N(E3392)&lt;=0),"Quantité invalide",IF(K3392&lt;0,"Stock négatif",IF(AND(ISNUMBER(A3391),A3392&lt;A3391),"Date hors ordre","OK"))))))))</f>
        <v/>
      </c>
      <c r="M3392" s="39" t="str">
        <f>IF(C3392="","",C3392&amp;"#"&amp;COUNTIF($C$5:C3392,C3392))</f>
        <v/>
      </c>
    </row>
    <row r="3393">
      <c r="A3393" s="41" t="n"/>
      <c r="B3393" s="37" t="n"/>
      <c r="C3393" s="37" t="n"/>
      <c r="D3393" s="39" t="str">
        <f>IF(C3393="","",IFERROR(INDEX(art_des,MATCH(C3393,art_ref,0))&amp;"","Référence inconnue"))</f>
        <v/>
      </c>
      <c r="E3393" s="37" t="n"/>
      <c r="F3393" s="39" t="str">
        <f>IF(C3393="","",IFERROR(INDEX(art_unit,MATCH(C3393,art_ref,0))&amp;"",""))</f>
        <v/>
      </c>
      <c r="G3393" s="37" t="n"/>
      <c r="H3393" s="37" t="n"/>
      <c r="I3393" s="37" t="n"/>
      <c r="J3393" s="40" t="str">
        <f>IF(OR(C3393="",NOT(ISNUMBER(E3393))),"",IFERROR(E3393*N(INDEX(art_price,MATCH(C3393,art_ref,0))),""))</f>
        <v/>
      </c>
      <c r="K3393" s="39" t="str">
        <f>IF(OR(C3393="",NOT(ISNUMBER(E3393))),"",IFERROR(ROUND(N(INDEX(art_init,MATCH(C3393,art_ref,0)))+SUMIFS($E$5:E3393,$C$5:C3393,C3393,$B$5:B3393,"Entrée")-SUMIFS($E$5:E3393,$C$5:C3393,C3393,$B$5:B3393,"Sortie"),6),""))</f>
        <v/>
      </c>
      <c r="L3393" s="39" t="str">
        <f>IF(COUNTA(A3393:C3393,E3393)=0,"",IF(COUNTA(A3393:C3393,E3393)&lt;4,"Ligne incomplète",IF(NOT(ISNUMBER(A3393)),"Date invalide",IF(AND(B3393&lt;&gt;"Entrée",B3393&lt;&gt;"Sortie"),"Type inconnu",IF(ISNA(MATCH(C3393,art_ref,0)),"Référence inconnue",IF(OR(NOT(ISNUMBER(E3393)),N(E3393)&lt;=0),"Quantité invalide",IF(K3393&lt;0,"Stock négatif",IF(AND(ISNUMBER(A3392),A3393&lt;A3392),"Date hors ordre","OK"))))))))</f>
        <v/>
      </c>
      <c r="M3393" s="39" t="str">
        <f>IF(C3393="","",C3393&amp;"#"&amp;COUNTIF($C$5:C3393,C3393))</f>
        <v/>
      </c>
    </row>
    <row r="3394">
      <c r="A3394" s="41" t="n"/>
      <c r="B3394" s="37" t="n"/>
      <c r="C3394" s="37" t="n"/>
      <c r="D3394" s="39" t="str">
        <f>IF(C3394="","",IFERROR(INDEX(art_des,MATCH(C3394,art_ref,0))&amp;"","Référence inconnue"))</f>
        <v/>
      </c>
      <c r="E3394" s="37" t="n"/>
      <c r="F3394" s="39" t="str">
        <f>IF(C3394="","",IFERROR(INDEX(art_unit,MATCH(C3394,art_ref,0))&amp;"",""))</f>
        <v/>
      </c>
      <c r="G3394" s="37" t="n"/>
      <c r="H3394" s="37" t="n"/>
      <c r="I3394" s="37" t="n"/>
      <c r="J3394" s="40" t="str">
        <f>IF(OR(C3394="",NOT(ISNUMBER(E3394))),"",IFERROR(E3394*N(INDEX(art_price,MATCH(C3394,art_ref,0))),""))</f>
        <v/>
      </c>
      <c r="K3394" s="39" t="str">
        <f>IF(OR(C3394="",NOT(ISNUMBER(E3394))),"",IFERROR(ROUND(N(INDEX(art_init,MATCH(C3394,art_ref,0)))+SUMIFS($E$5:E3394,$C$5:C3394,C3394,$B$5:B3394,"Entrée")-SUMIFS($E$5:E3394,$C$5:C3394,C3394,$B$5:B3394,"Sortie"),6),""))</f>
        <v/>
      </c>
      <c r="L3394" s="39" t="str">
        <f>IF(COUNTA(A3394:C3394,E3394)=0,"",IF(COUNTA(A3394:C3394,E3394)&lt;4,"Ligne incomplète",IF(NOT(ISNUMBER(A3394)),"Date invalide",IF(AND(B3394&lt;&gt;"Entrée",B3394&lt;&gt;"Sortie"),"Type inconnu",IF(ISNA(MATCH(C3394,art_ref,0)),"Référence inconnue",IF(OR(NOT(ISNUMBER(E3394)),N(E3394)&lt;=0),"Quantité invalide",IF(K3394&lt;0,"Stock négatif",IF(AND(ISNUMBER(A3393),A3394&lt;A3393),"Date hors ordre","OK"))))))))</f>
        <v/>
      </c>
      <c r="M3394" s="39" t="str">
        <f>IF(C3394="","",C3394&amp;"#"&amp;COUNTIF($C$5:C3394,C3394))</f>
        <v/>
      </c>
    </row>
    <row r="3395">
      <c r="A3395" s="41" t="n"/>
      <c r="B3395" s="37" t="n"/>
      <c r="C3395" s="37" t="n"/>
      <c r="D3395" s="39" t="str">
        <f>IF(C3395="","",IFERROR(INDEX(art_des,MATCH(C3395,art_ref,0))&amp;"","Référence inconnue"))</f>
        <v/>
      </c>
      <c r="E3395" s="37" t="n"/>
      <c r="F3395" s="39" t="str">
        <f>IF(C3395="","",IFERROR(INDEX(art_unit,MATCH(C3395,art_ref,0))&amp;"",""))</f>
        <v/>
      </c>
      <c r="G3395" s="37" t="n"/>
      <c r="H3395" s="37" t="n"/>
      <c r="I3395" s="37" t="n"/>
      <c r="J3395" s="40" t="str">
        <f>IF(OR(C3395="",NOT(ISNUMBER(E3395))),"",IFERROR(E3395*N(INDEX(art_price,MATCH(C3395,art_ref,0))),""))</f>
        <v/>
      </c>
      <c r="K3395" s="39" t="str">
        <f>IF(OR(C3395="",NOT(ISNUMBER(E3395))),"",IFERROR(ROUND(N(INDEX(art_init,MATCH(C3395,art_ref,0)))+SUMIFS($E$5:E3395,$C$5:C3395,C3395,$B$5:B3395,"Entrée")-SUMIFS($E$5:E3395,$C$5:C3395,C3395,$B$5:B3395,"Sortie"),6),""))</f>
        <v/>
      </c>
      <c r="L3395" s="39" t="str">
        <f>IF(COUNTA(A3395:C3395,E3395)=0,"",IF(COUNTA(A3395:C3395,E3395)&lt;4,"Ligne incomplète",IF(NOT(ISNUMBER(A3395)),"Date invalide",IF(AND(B3395&lt;&gt;"Entrée",B3395&lt;&gt;"Sortie"),"Type inconnu",IF(ISNA(MATCH(C3395,art_ref,0)),"Référence inconnue",IF(OR(NOT(ISNUMBER(E3395)),N(E3395)&lt;=0),"Quantité invalide",IF(K3395&lt;0,"Stock négatif",IF(AND(ISNUMBER(A3394),A3395&lt;A3394),"Date hors ordre","OK"))))))))</f>
        <v/>
      </c>
      <c r="M3395" s="39" t="str">
        <f>IF(C3395="","",C3395&amp;"#"&amp;COUNTIF($C$5:C3395,C3395))</f>
        <v/>
      </c>
    </row>
    <row r="3396">
      <c r="A3396" s="41" t="n"/>
      <c r="B3396" s="37" t="n"/>
      <c r="C3396" s="37" t="n"/>
      <c r="D3396" s="39" t="str">
        <f>IF(C3396="","",IFERROR(INDEX(art_des,MATCH(C3396,art_ref,0))&amp;"","Référence inconnue"))</f>
        <v/>
      </c>
      <c r="E3396" s="37" t="n"/>
      <c r="F3396" s="39" t="str">
        <f>IF(C3396="","",IFERROR(INDEX(art_unit,MATCH(C3396,art_ref,0))&amp;"",""))</f>
        <v/>
      </c>
      <c r="G3396" s="37" t="n"/>
      <c r="H3396" s="37" t="n"/>
      <c r="I3396" s="37" t="n"/>
      <c r="J3396" s="40" t="str">
        <f>IF(OR(C3396="",NOT(ISNUMBER(E3396))),"",IFERROR(E3396*N(INDEX(art_price,MATCH(C3396,art_ref,0))),""))</f>
        <v/>
      </c>
      <c r="K3396" s="39" t="str">
        <f>IF(OR(C3396="",NOT(ISNUMBER(E3396))),"",IFERROR(ROUND(N(INDEX(art_init,MATCH(C3396,art_ref,0)))+SUMIFS($E$5:E3396,$C$5:C3396,C3396,$B$5:B3396,"Entrée")-SUMIFS($E$5:E3396,$C$5:C3396,C3396,$B$5:B3396,"Sortie"),6),""))</f>
        <v/>
      </c>
      <c r="L3396" s="39" t="str">
        <f>IF(COUNTA(A3396:C3396,E3396)=0,"",IF(COUNTA(A3396:C3396,E3396)&lt;4,"Ligne incomplète",IF(NOT(ISNUMBER(A3396)),"Date invalide",IF(AND(B3396&lt;&gt;"Entrée",B3396&lt;&gt;"Sortie"),"Type inconnu",IF(ISNA(MATCH(C3396,art_ref,0)),"Référence inconnue",IF(OR(NOT(ISNUMBER(E3396)),N(E3396)&lt;=0),"Quantité invalide",IF(K3396&lt;0,"Stock négatif",IF(AND(ISNUMBER(A3395),A3396&lt;A3395),"Date hors ordre","OK"))))))))</f>
        <v/>
      </c>
      <c r="M3396" s="39" t="str">
        <f>IF(C3396="","",C3396&amp;"#"&amp;COUNTIF($C$5:C3396,C3396))</f>
        <v/>
      </c>
    </row>
    <row r="3397">
      <c r="A3397" s="41" t="n"/>
      <c r="B3397" s="37" t="n"/>
      <c r="C3397" s="37" t="n"/>
      <c r="D3397" s="39" t="str">
        <f>IF(C3397="","",IFERROR(INDEX(art_des,MATCH(C3397,art_ref,0))&amp;"","Référence inconnue"))</f>
        <v/>
      </c>
      <c r="E3397" s="37" t="n"/>
      <c r="F3397" s="39" t="str">
        <f>IF(C3397="","",IFERROR(INDEX(art_unit,MATCH(C3397,art_ref,0))&amp;"",""))</f>
        <v/>
      </c>
      <c r="G3397" s="37" t="n"/>
      <c r="H3397" s="37" t="n"/>
      <c r="I3397" s="37" t="n"/>
      <c r="J3397" s="40" t="str">
        <f>IF(OR(C3397="",NOT(ISNUMBER(E3397))),"",IFERROR(E3397*N(INDEX(art_price,MATCH(C3397,art_ref,0))),""))</f>
        <v/>
      </c>
      <c r="K3397" s="39" t="str">
        <f>IF(OR(C3397="",NOT(ISNUMBER(E3397))),"",IFERROR(ROUND(N(INDEX(art_init,MATCH(C3397,art_ref,0)))+SUMIFS($E$5:E3397,$C$5:C3397,C3397,$B$5:B3397,"Entrée")-SUMIFS($E$5:E3397,$C$5:C3397,C3397,$B$5:B3397,"Sortie"),6),""))</f>
        <v/>
      </c>
      <c r="L3397" s="39" t="str">
        <f>IF(COUNTA(A3397:C3397,E3397)=0,"",IF(COUNTA(A3397:C3397,E3397)&lt;4,"Ligne incomplète",IF(NOT(ISNUMBER(A3397)),"Date invalide",IF(AND(B3397&lt;&gt;"Entrée",B3397&lt;&gt;"Sortie"),"Type inconnu",IF(ISNA(MATCH(C3397,art_ref,0)),"Référence inconnue",IF(OR(NOT(ISNUMBER(E3397)),N(E3397)&lt;=0),"Quantité invalide",IF(K3397&lt;0,"Stock négatif",IF(AND(ISNUMBER(A3396),A3397&lt;A3396),"Date hors ordre","OK"))))))))</f>
        <v/>
      </c>
      <c r="M3397" s="39" t="str">
        <f>IF(C3397="","",C3397&amp;"#"&amp;COUNTIF($C$5:C3397,C3397))</f>
        <v/>
      </c>
    </row>
    <row r="3398">
      <c r="A3398" s="41" t="n"/>
      <c r="B3398" s="37" t="n"/>
      <c r="C3398" s="37" t="n"/>
      <c r="D3398" s="39" t="str">
        <f>IF(C3398="","",IFERROR(INDEX(art_des,MATCH(C3398,art_ref,0))&amp;"","Référence inconnue"))</f>
        <v/>
      </c>
      <c r="E3398" s="37" t="n"/>
      <c r="F3398" s="39" t="str">
        <f>IF(C3398="","",IFERROR(INDEX(art_unit,MATCH(C3398,art_ref,0))&amp;"",""))</f>
        <v/>
      </c>
      <c r="G3398" s="37" t="n"/>
      <c r="H3398" s="37" t="n"/>
      <c r="I3398" s="37" t="n"/>
      <c r="J3398" s="40" t="str">
        <f>IF(OR(C3398="",NOT(ISNUMBER(E3398))),"",IFERROR(E3398*N(INDEX(art_price,MATCH(C3398,art_ref,0))),""))</f>
        <v/>
      </c>
      <c r="K3398" s="39" t="str">
        <f>IF(OR(C3398="",NOT(ISNUMBER(E3398))),"",IFERROR(ROUND(N(INDEX(art_init,MATCH(C3398,art_ref,0)))+SUMIFS($E$5:E3398,$C$5:C3398,C3398,$B$5:B3398,"Entrée")-SUMIFS($E$5:E3398,$C$5:C3398,C3398,$B$5:B3398,"Sortie"),6),""))</f>
        <v/>
      </c>
      <c r="L3398" s="39" t="str">
        <f>IF(COUNTA(A3398:C3398,E3398)=0,"",IF(COUNTA(A3398:C3398,E3398)&lt;4,"Ligne incomplète",IF(NOT(ISNUMBER(A3398)),"Date invalide",IF(AND(B3398&lt;&gt;"Entrée",B3398&lt;&gt;"Sortie"),"Type inconnu",IF(ISNA(MATCH(C3398,art_ref,0)),"Référence inconnue",IF(OR(NOT(ISNUMBER(E3398)),N(E3398)&lt;=0),"Quantité invalide",IF(K3398&lt;0,"Stock négatif",IF(AND(ISNUMBER(A3397),A3398&lt;A3397),"Date hors ordre","OK"))))))))</f>
        <v/>
      </c>
      <c r="M3398" s="39" t="str">
        <f>IF(C3398="","",C3398&amp;"#"&amp;COUNTIF($C$5:C3398,C3398))</f>
        <v/>
      </c>
    </row>
    <row r="3399">
      <c r="A3399" s="41" t="n"/>
      <c r="B3399" s="37" t="n"/>
      <c r="C3399" s="37" t="n"/>
      <c r="D3399" s="39" t="str">
        <f>IF(C3399="","",IFERROR(INDEX(art_des,MATCH(C3399,art_ref,0))&amp;"","Référence inconnue"))</f>
        <v/>
      </c>
      <c r="E3399" s="37" t="n"/>
      <c r="F3399" s="39" t="str">
        <f>IF(C3399="","",IFERROR(INDEX(art_unit,MATCH(C3399,art_ref,0))&amp;"",""))</f>
        <v/>
      </c>
      <c r="G3399" s="37" t="n"/>
      <c r="H3399" s="37" t="n"/>
      <c r="I3399" s="37" t="n"/>
      <c r="J3399" s="40" t="str">
        <f>IF(OR(C3399="",NOT(ISNUMBER(E3399))),"",IFERROR(E3399*N(INDEX(art_price,MATCH(C3399,art_ref,0))),""))</f>
        <v/>
      </c>
      <c r="K3399" s="39" t="str">
        <f>IF(OR(C3399="",NOT(ISNUMBER(E3399))),"",IFERROR(ROUND(N(INDEX(art_init,MATCH(C3399,art_ref,0)))+SUMIFS($E$5:E3399,$C$5:C3399,C3399,$B$5:B3399,"Entrée")-SUMIFS($E$5:E3399,$C$5:C3399,C3399,$B$5:B3399,"Sortie"),6),""))</f>
        <v/>
      </c>
      <c r="L3399" s="39" t="str">
        <f>IF(COUNTA(A3399:C3399,E3399)=0,"",IF(COUNTA(A3399:C3399,E3399)&lt;4,"Ligne incomplète",IF(NOT(ISNUMBER(A3399)),"Date invalide",IF(AND(B3399&lt;&gt;"Entrée",B3399&lt;&gt;"Sortie"),"Type inconnu",IF(ISNA(MATCH(C3399,art_ref,0)),"Référence inconnue",IF(OR(NOT(ISNUMBER(E3399)),N(E3399)&lt;=0),"Quantité invalide",IF(K3399&lt;0,"Stock négatif",IF(AND(ISNUMBER(A3398),A3399&lt;A3398),"Date hors ordre","OK"))))))))</f>
        <v/>
      </c>
      <c r="M3399" s="39" t="str">
        <f>IF(C3399="","",C3399&amp;"#"&amp;COUNTIF($C$5:C3399,C3399))</f>
        <v/>
      </c>
    </row>
    <row r="3400">
      <c r="A3400" s="41" t="n"/>
      <c r="B3400" s="37" t="n"/>
      <c r="C3400" s="37" t="n"/>
      <c r="D3400" s="39" t="str">
        <f>IF(C3400="","",IFERROR(INDEX(art_des,MATCH(C3400,art_ref,0))&amp;"","Référence inconnue"))</f>
        <v/>
      </c>
      <c r="E3400" s="37" t="n"/>
      <c r="F3400" s="39" t="str">
        <f>IF(C3400="","",IFERROR(INDEX(art_unit,MATCH(C3400,art_ref,0))&amp;"",""))</f>
        <v/>
      </c>
      <c r="G3400" s="37" t="n"/>
      <c r="H3400" s="37" t="n"/>
      <c r="I3400" s="37" t="n"/>
      <c r="J3400" s="40" t="str">
        <f>IF(OR(C3400="",NOT(ISNUMBER(E3400))),"",IFERROR(E3400*N(INDEX(art_price,MATCH(C3400,art_ref,0))),""))</f>
        <v/>
      </c>
      <c r="K3400" s="39" t="str">
        <f>IF(OR(C3400="",NOT(ISNUMBER(E3400))),"",IFERROR(ROUND(N(INDEX(art_init,MATCH(C3400,art_ref,0)))+SUMIFS($E$5:E3400,$C$5:C3400,C3400,$B$5:B3400,"Entrée")-SUMIFS($E$5:E3400,$C$5:C3400,C3400,$B$5:B3400,"Sortie"),6),""))</f>
        <v/>
      </c>
      <c r="L3400" s="39" t="str">
        <f>IF(COUNTA(A3400:C3400,E3400)=0,"",IF(COUNTA(A3400:C3400,E3400)&lt;4,"Ligne incomplète",IF(NOT(ISNUMBER(A3400)),"Date invalide",IF(AND(B3400&lt;&gt;"Entrée",B3400&lt;&gt;"Sortie"),"Type inconnu",IF(ISNA(MATCH(C3400,art_ref,0)),"Référence inconnue",IF(OR(NOT(ISNUMBER(E3400)),N(E3400)&lt;=0),"Quantité invalide",IF(K3400&lt;0,"Stock négatif",IF(AND(ISNUMBER(A3399),A3400&lt;A3399),"Date hors ordre","OK"))))))))</f>
        <v/>
      </c>
      <c r="M3400" s="39" t="str">
        <f>IF(C3400="","",C3400&amp;"#"&amp;COUNTIF($C$5:C3400,C3400))</f>
        <v/>
      </c>
    </row>
    <row r="3401">
      <c r="A3401" s="41" t="n"/>
      <c r="B3401" s="37" t="n"/>
      <c r="C3401" s="37" t="n"/>
      <c r="D3401" s="39" t="str">
        <f>IF(C3401="","",IFERROR(INDEX(art_des,MATCH(C3401,art_ref,0))&amp;"","Référence inconnue"))</f>
        <v/>
      </c>
      <c r="E3401" s="37" t="n"/>
      <c r="F3401" s="39" t="str">
        <f>IF(C3401="","",IFERROR(INDEX(art_unit,MATCH(C3401,art_ref,0))&amp;"",""))</f>
        <v/>
      </c>
      <c r="G3401" s="37" t="n"/>
      <c r="H3401" s="37" t="n"/>
      <c r="I3401" s="37" t="n"/>
      <c r="J3401" s="40" t="str">
        <f>IF(OR(C3401="",NOT(ISNUMBER(E3401))),"",IFERROR(E3401*N(INDEX(art_price,MATCH(C3401,art_ref,0))),""))</f>
        <v/>
      </c>
      <c r="K3401" s="39" t="str">
        <f>IF(OR(C3401="",NOT(ISNUMBER(E3401))),"",IFERROR(ROUND(N(INDEX(art_init,MATCH(C3401,art_ref,0)))+SUMIFS($E$5:E3401,$C$5:C3401,C3401,$B$5:B3401,"Entrée")-SUMIFS($E$5:E3401,$C$5:C3401,C3401,$B$5:B3401,"Sortie"),6),""))</f>
        <v/>
      </c>
      <c r="L3401" s="39" t="str">
        <f>IF(COUNTA(A3401:C3401,E3401)=0,"",IF(COUNTA(A3401:C3401,E3401)&lt;4,"Ligne incomplète",IF(NOT(ISNUMBER(A3401)),"Date invalide",IF(AND(B3401&lt;&gt;"Entrée",B3401&lt;&gt;"Sortie"),"Type inconnu",IF(ISNA(MATCH(C3401,art_ref,0)),"Référence inconnue",IF(OR(NOT(ISNUMBER(E3401)),N(E3401)&lt;=0),"Quantité invalide",IF(K3401&lt;0,"Stock négatif",IF(AND(ISNUMBER(A3400),A3401&lt;A3400),"Date hors ordre","OK"))))))))</f>
        <v/>
      </c>
      <c r="M3401" s="39" t="str">
        <f>IF(C3401="","",C3401&amp;"#"&amp;COUNTIF($C$5:C3401,C3401))</f>
        <v/>
      </c>
    </row>
    <row r="3402">
      <c r="A3402" s="41" t="n"/>
      <c r="B3402" s="37" t="n"/>
      <c r="C3402" s="37" t="n"/>
      <c r="D3402" s="39" t="str">
        <f>IF(C3402="","",IFERROR(INDEX(art_des,MATCH(C3402,art_ref,0))&amp;"","Référence inconnue"))</f>
        <v/>
      </c>
      <c r="E3402" s="37" t="n"/>
      <c r="F3402" s="39" t="str">
        <f>IF(C3402="","",IFERROR(INDEX(art_unit,MATCH(C3402,art_ref,0))&amp;"",""))</f>
        <v/>
      </c>
      <c r="G3402" s="37" t="n"/>
      <c r="H3402" s="37" t="n"/>
      <c r="I3402" s="37" t="n"/>
      <c r="J3402" s="40" t="str">
        <f>IF(OR(C3402="",NOT(ISNUMBER(E3402))),"",IFERROR(E3402*N(INDEX(art_price,MATCH(C3402,art_ref,0))),""))</f>
        <v/>
      </c>
      <c r="K3402" s="39" t="str">
        <f>IF(OR(C3402="",NOT(ISNUMBER(E3402))),"",IFERROR(ROUND(N(INDEX(art_init,MATCH(C3402,art_ref,0)))+SUMIFS($E$5:E3402,$C$5:C3402,C3402,$B$5:B3402,"Entrée")-SUMIFS($E$5:E3402,$C$5:C3402,C3402,$B$5:B3402,"Sortie"),6),""))</f>
        <v/>
      </c>
      <c r="L3402" s="39" t="str">
        <f>IF(COUNTA(A3402:C3402,E3402)=0,"",IF(COUNTA(A3402:C3402,E3402)&lt;4,"Ligne incomplète",IF(NOT(ISNUMBER(A3402)),"Date invalide",IF(AND(B3402&lt;&gt;"Entrée",B3402&lt;&gt;"Sortie"),"Type inconnu",IF(ISNA(MATCH(C3402,art_ref,0)),"Référence inconnue",IF(OR(NOT(ISNUMBER(E3402)),N(E3402)&lt;=0),"Quantité invalide",IF(K3402&lt;0,"Stock négatif",IF(AND(ISNUMBER(A3401),A3402&lt;A3401),"Date hors ordre","OK"))))))))</f>
        <v/>
      </c>
      <c r="M3402" s="39" t="str">
        <f>IF(C3402="","",C3402&amp;"#"&amp;COUNTIF($C$5:C3402,C3402))</f>
        <v/>
      </c>
    </row>
    <row r="3403">
      <c r="A3403" s="41" t="n"/>
      <c r="B3403" s="37" t="n"/>
      <c r="C3403" s="37" t="n"/>
      <c r="D3403" s="39" t="str">
        <f>IF(C3403="","",IFERROR(INDEX(art_des,MATCH(C3403,art_ref,0))&amp;"","Référence inconnue"))</f>
        <v/>
      </c>
      <c r="E3403" s="37" t="n"/>
      <c r="F3403" s="39" t="str">
        <f>IF(C3403="","",IFERROR(INDEX(art_unit,MATCH(C3403,art_ref,0))&amp;"",""))</f>
        <v/>
      </c>
      <c r="G3403" s="37" t="n"/>
      <c r="H3403" s="37" t="n"/>
      <c r="I3403" s="37" t="n"/>
      <c r="J3403" s="40" t="str">
        <f>IF(OR(C3403="",NOT(ISNUMBER(E3403))),"",IFERROR(E3403*N(INDEX(art_price,MATCH(C3403,art_ref,0))),""))</f>
        <v/>
      </c>
      <c r="K3403" s="39" t="str">
        <f>IF(OR(C3403="",NOT(ISNUMBER(E3403))),"",IFERROR(ROUND(N(INDEX(art_init,MATCH(C3403,art_ref,0)))+SUMIFS($E$5:E3403,$C$5:C3403,C3403,$B$5:B3403,"Entrée")-SUMIFS($E$5:E3403,$C$5:C3403,C3403,$B$5:B3403,"Sortie"),6),""))</f>
        <v/>
      </c>
      <c r="L3403" s="39" t="str">
        <f>IF(COUNTA(A3403:C3403,E3403)=0,"",IF(COUNTA(A3403:C3403,E3403)&lt;4,"Ligne incomplète",IF(NOT(ISNUMBER(A3403)),"Date invalide",IF(AND(B3403&lt;&gt;"Entrée",B3403&lt;&gt;"Sortie"),"Type inconnu",IF(ISNA(MATCH(C3403,art_ref,0)),"Référence inconnue",IF(OR(NOT(ISNUMBER(E3403)),N(E3403)&lt;=0),"Quantité invalide",IF(K3403&lt;0,"Stock négatif",IF(AND(ISNUMBER(A3402),A3403&lt;A3402),"Date hors ordre","OK"))))))))</f>
        <v/>
      </c>
      <c r="M3403" s="39" t="str">
        <f>IF(C3403="","",C3403&amp;"#"&amp;COUNTIF($C$5:C3403,C3403))</f>
        <v/>
      </c>
    </row>
    <row r="3404">
      <c r="A3404" s="41" t="n"/>
      <c r="B3404" s="37" t="n"/>
      <c r="C3404" s="37" t="n"/>
      <c r="D3404" s="39" t="str">
        <f>IF(C3404="","",IFERROR(INDEX(art_des,MATCH(C3404,art_ref,0))&amp;"","Référence inconnue"))</f>
        <v/>
      </c>
      <c r="E3404" s="37" t="n"/>
      <c r="F3404" s="39" t="str">
        <f>IF(C3404="","",IFERROR(INDEX(art_unit,MATCH(C3404,art_ref,0))&amp;"",""))</f>
        <v/>
      </c>
      <c r="G3404" s="37" t="n"/>
      <c r="H3404" s="37" t="n"/>
      <c r="I3404" s="37" t="n"/>
      <c r="J3404" s="40" t="str">
        <f>IF(OR(C3404="",NOT(ISNUMBER(E3404))),"",IFERROR(E3404*N(INDEX(art_price,MATCH(C3404,art_ref,0))),""))</f>
        <v/>
      </c>
      <c r="K3404" s="39" t="str">
        <f>IF(OR(C3404="",NOT(ISNUMBER(E3404))),"",IFERROR(ROUND(N(INDEX(art_init,MATCH(C3404,art_ref,0)))+SUMIFS($E$5:E3404,$C$5:C3404,C3404,$B$5:B3404,"Entrée")-SUMIFS($E$5:E3404,$C$5:C3404,C3404,$B$5:B3404,"Sortie"),6),""))</f>
        <v/>
      </c>
      <c r="L3404" s="39" t="str">
        <f>IF(COUNTA(A3404:C3404,E3404)=0,"",IF(COUNTA(A3404:C3404,E3404)&lt;4,"Ligne incomplète",IF(NOT(ISNUMBER(A3404)),"Date invalide",IF(AND(B3404&lt;&gt;"Entrée",B3404&lt;&gt;"Sortie"),"Type inconnu",IF(ISNA(MATCH(C3404,art_ref,0)),"Référence inconnue",IF(OR(NOT(ISNUMBER(E3404)),N(E3404)&lt;=0),"Quantité invalide",IF(K3404&lt;0,"Stock négatif",IF(AND(ISNUMBER(A3403),A3404&lt;A3403),"Date hors ordre","OK"))))))))</f>
        <v/>
      </c>
      <c r="M3404" s="39" t="str">
        <f>IF(C3404="","",C3404&amp;"#"&amp;COUNTIF($C$5:C3404,C3404))</f>
        <v/>
      </c>
    </row>
    <row r="3405">
      <c r="A3405" s="41" t="n"/>
      <c r="B3405" s="37" t="n"/>
      <c r="C3405" s="37" t="n"/>
      <c r="D3405" s="39" t="str">
        <f>IF(C3405="","",IFERROR(INDEX(art_des,MATCH(C3405,art_ref,0))&amp;"","Référence inconnue"))</f>
        <v/>
      </c>
      <c r="E3405" s="37" t="n"/>
      <c r="F3405" s="39" t="str">
        <f>IF(C3405="","",IFERROR(INDEX(art_unit,MATCH(C3405,art_ref,0))&amp;"",""))</f>
        <v/>
      </c>
      <c r="G3405" s="37" t="n"/>
      <c r="H3405" s="37" t="n"/>
      <c r="I3405" s="37" t="n"/>
      <c r="J3405" s="40" t="str">
        <f>IF(OR(C3405="",NOT(ISNUMBER(E3405))),"",IFERROR(E3405*N(INDEX(art_price,MATCH(C3405,art_ref,0))),""))</f>
        <v/>
      </c>
      <c r="K3405" s="39" t="str">
        <f>IF(OR(C3405="",NOT(ISNUMBER(E3405))),"",IFERROR(ROUND(N(INDEX(art_init,MATCH(C3405,art_ref,0)))+SUMIFS($E$5:E3405,$C$5:C3405,C3405,$B$5:B3405,"Entrée")-SUMIFS($E$5:E3405,$C$5:C3405,C3405,$B$5:B3405,"Sortie"),6),""))</f>
        <v/>
      </c>
      <c r="L3405" s="39" t="str">
        <f>IF(COUNTA(A3405:C3405,E3405)=0,"",IF(COUNTA(A3405:C3405,E3405)&lt;4,"Ligne incomplète",IF(NOT(ISNUMBER(A3405)),"Date invalide",IF(AND(B3405&lt;&gt;"Entrée",B3405&lt;&gt;"Sortie"),"Type inconnu",IF(ISNA(MATCH(C3405,art_ref,0)),"Référence inconnue",IF(OR(NOT(ISNUMBER(E3405)),N(E3405)&lt;=0),"Quantité invalide",IF(K3405&lt;0,"Stock négatif",IF(AND(ISNUMBER(A3404),A3405&lt;A3404),"Date hors ordre","OK"))))))))</f>
        <v/>
      </c>
      <c r="M3405" s="39" t="str">
        <f>IF(C3405="","",C3405&amp;"#"&amp;COUNTIF($C$5:C3405,C3405))</f>
        <v/>
      </c>
    </row>
    <row r="3406">
      <c r="A3406" s="41" t="n"/>
      <c r="B3406" s="37" t="n"/>
      <c r="C3406" s="37" t="n"/>
      <c r="D3406" s="39" t="str">
        <f>IF(C3406="","",IFERROR(INDEX(art_des,MATCH(C3406,art_ref,0))&amp;"","Référence inconnue"))</f>
        <v/>
      </c>
      <c r="E3406" s="37" t="n"/>
      <c r="F3406" s="39" t="str">
        <f>IF(C3406="","",IFERROR(INDEX(art_unit,MATCH(C3406,art_ref,0))&amp;"",""))</f>
        <v/>
      </c>
      <c r="G3406" s="37" t="n"/>
      <c r="H3406" s="37" t="n"/>
      <c r="I3406" s="37" t="n"/>
      <c r="J3406" s="40" t="str">
        <f>IF(OR(C3406="",NOT(ISNUMBER(E3406))),"",IFERROR(E3406*N(INDEX(art_price,MATCH(C3406,art_ref,0))),""))</f>
        <v/>
      </c>
      <c r="K3406" s="39" t="str">
        <f>IF(OR(C3406="",NOT(ISNUMBER(E3406))),"",IFERROR(ROUND(N(INDEX(art_init,MATCH(C3406,art_ref,0)))+SUMIFS($E$5:E3406,$C$5:C3406,C3406,$B$5:B3406,"Entrée")-SUMIFS($E$5:E3406,$C$5:C3406,C3406,$B$5:B3406,"Sortie"),6),""))</f>
        <v/>
      </c>
      <c r="L3406" s="39" t="str">
        <f>IF(COUNTA(A3406:C3406,E3406)=0,"",IF(COUNTA(A3406:C3406,E3406)&lt;4,"Ligne incomplète",IF(NOT(ISNUMBER(A3406)),"Date invalide",IF(AND(B3406&lt;&gt;"Entrée",B3406&lt;&gt;"Sortie"),"Type inconnu",IF(ISNA(MATCH(C3406,art_ref,0)),"Référence inconnue",IF(OR(NOT(ISNUMBER(E3406)),N(E3406)&lt;=0),"Quantité invalide",IF(K3406&lt;0,"Stock négatif",IF(AND(ISNUMBER(A3405),A3406&lt;A3405),"Date hors ordre","OK"))))))))</f>
        <v/>
      </c>
      <c r="M3406" s="39" t="str">
        <f>IF(C3406="","",C3406&amp;"#"&amp;COUNTIF($C$5:C3406,C3406))</f>
        <v/>
      </c>
    </row>
    <row r="3407">
      <c r="A3407" s="41" t="n"/>
      <c r="B3407" s="37" t="n"/>
      <c r="C3407" s="37" t="n"/>
      <c r="D3407" s="39" t="str">
        <f>IF(C3407="","",IFERROR(INDEX(art_des,MATCH(C3407,art_ref,0))&amp;"","Référence inconnue"))</f>
        <v/>
      </c>
      <c r="E3407" s="37" t="n"/>
      <c r="F3407" s="39" t="str">
        <f>IF(C3407="","",IFERROR(INDEX(art_unit,MATCH(C3407,art_ref,0))&amp;"",""))</f>
        <v/>
      </c>
      <c r="G3407" s="37" t="n"/>
      <c r="H3407" s="37" t="n"/>
      <c r="I3407" s="37" t="n"/>
      <c r="J3407" s="40" t="str">
        <f>IF(OR(C3407="",NOT(ISNUMBER(E3407))),"",IFERROR(E3407*N(INDEX(art_price,MATCH(C3407,art_ref,0))),""))</f>
        <v/>
      </c>
      <c r="K3407" s="39" t="str">
        <f>IF(OR(C3407="",NOT(ISNUMBER(E3407))),"",IFERROR(ROUND(N(INDEX(art_init,MATCH(C3407,art_ref,0)))+SUMIFS($E$5:E3407,$C$5:C3407,C3407,$B$5:B3407,"Entrée")-SUMIFS($E$5:E3407,$C$5:C3407,C3407,$B$5:B3407,"Sortie"),6),""))</f>
        <v/>
      </c>
      <c r="L3407" s="39" t="str">
        <f>IF(COUNTA(A3407:C3407,E3407)=0,"",IF(COUNTA(A3407:C3407,E3407)&lt;4,"Ligne incomplète",IF(NOT(ISNUMBER(A3407)),"Date invalide",IF(AND(B3407&lt;&gt;"Entrée",B3407&lt;&gt;"Sortie"),"Type inconnu",IF(ISNA(MATCH(C3407,art_ref,0)),"Référence inconnue",IF(OR(NOT(ISNUMBER(E3407)),N(E3407)&lt;=0),"Quantité invalide",IF(K3407&lt;0,"Stock négatif",IF(AND(ISNUMBER(A3406),A3407&lt;A3406),"Date hors ordre","OK"))))))))</f>
        <v/>
      </c>
      <c r="M3407" s="39" t="str">
        <f>IF(C3407="","",C3407&amp;"#"&amp;COUNTIF($C$5:C3407,C3407))</f>
        <v/>
      </c>
    </row>
    <row r="3408">
      <c r="A3408" s="41" t="n"/>
      <c r="B3408" s="37" t="n"/>
      <c r="C3408" s="37" t="n"/>
      <c r="D3408" s="39" t="str">
        <f>IF(C3408="","",IFERROR(INDEX(art_des,MATCH(C3408,art_ref,0))&amp;"","Référence inconnue"))</f>
        <v/>
      </c>
      <c r="E3408" s="37" t="n"/>
      <c r="F3408" s="39" t="str">
        <f>IF(C3408="","",IFERROR(INDEX(art_unit,MATCH(C3408,art_ref,0))&amp;"",""))</f>
        <v/>
      </c>
      <c r="G3408" s="37" t="n"/>
      <c r="H3408" s="37" t="n"/>
      <c r="I3408" s="37" t="n"/>
      <c r="J3408" s="40" t="str">
        <f>IF(OR(C3408="",NOT(ISNUMBER(E3408))),"",IFERROR(E3408*N(INDEX(art_price,MATCH(C3408,art_ref,0))),""))</f>
        <v/>
      </c>
      <c r="K3408" s="39" t="str">
        <f>IF(OR(C3408="",NOT(ISNUMBER(E3408))),"",IFERROR(ROUND(N(INDEX(art_init,MATCH(C3408,art_ref,0)))+SUMIFS($E$5:E3408,$C$5:C3408,C3408,$B$5:B3408,"Entrée")-SUMIFS($E$5:E3408,$C$5:C3408,C3408,$B$5:B3408,"Sortie"),6),""))</f>
        <v/>
      </c>
      <c r="L3408" s="39" t="str">
        <f>IF(COUNTA(A3408:C3408,E3408)=0,"",IF(COUNTA(A3408:C3408,E3408)&lt;4,"Ligne incomplète",IF(NOT(ISNUMBER(A3408)),"Date invalide",IF(AND(B3408&lt;&gt;"Entrée",B3408&lt;&gt;"Sortie"),"Type inconnu",IF(ISNA(MATCH(C3408,art_ref,0)),"Référence inconnue",IF(OR(NOT(ISNUMBER(E3408)),N(E3408)&lt;=0),"Quantité invalide",IF(K3408&lt;0,"Stock négatif",IF(AND(ISNUMBER(A3407),A3408&lt;A3407),"Date hors ordre","OK"))))))))</f>
        <v/>
      </c>
      <c r="M3408" s="39" t="str">
        <f>IF(C3408="","",C3408&amp;"#"&amp;COUNTIF($C$5:C3408,C3408))</f>
        <v/>
      </c>
    </row>
    <row r="3409">
      <c r="A3409" s="41" t="n"/>
      <c r="B3409" s="37" t="n"/>
      <c r="C3409" s="37" t="n"/>
      <c r="D3409" s="39" t="str">
        <f>IF(C3409="","",IFERROR(INDEX(art_des,MATCH(C3409,art_ref,0))&amp;"","Référence inconnue"))</f>
        <v/>
      </c>
      <c r="E3409" s="37" t="n"/>
      <c r="F3409" s="39" t="str">
        <f>IF(C3409="","",IFERROR(INDEX(art_unit,MATCH(C3409,art_ref,0))&amp;"",""))</f>
        <v/>
      </c>
      <c r="G3409" s="37" t="n"/>
      <c r="H3409" s="37" t="n"/>
      <c r="I3409" s="37" t="n"/>
      <c r="J3409" s="40" t="str">
        <f>IF(OR(C3409="",NOT(ISNUMBER(E3409))),"",IFERROR(E3409*N(INDEX(art_price,MATCH(C3409,art_ref,0))),""))</f>
        <v/>
      </c>
      <c r="K3409" s="39" t="str">
        <f>IF(OR(C3409="",NOT(ISNUMBER(E3409))),"",IFERROR(ROUND(N(INDEX(art_init,MATCH(C3409,art_ref,0)))+SUMIFS($E$5:E3409,$C$5:C3409,C3409,$B$5:B3409,"Entrée")-SUMIFS($E$5:E3409,$C$5:C3409,C3409,$B$5:B3409,"Sortie"),6),""))</f>
        <v/>
      </c>
      <c r="L3409" s="39" t="str">
        <f>IF(COUNTA(A3409:C3409,E3409)=0,"",IF(COUNTA(A3409:C3409,E3409)&lt;4,"Ligne incomplète",IF(NOT(ISNUMBER(A3409)),"Date invalide",IF(AND(B3409&lt;&gt;"Entrée",B3409&lt;&gt;"Sortie"),"Type inconnu",IF(ISNA(MATCH(C3409,art_ref,0)),"Référence inconnue",IF(OR(NOT(ISNUMBER(E3409)),N(E3409)&lt;=0),"Quantité invalide",IF(K3409&lt;0,"Stock négatif",IF(AND(ISNUMBER(A3408),A3409&lt;A3408),"Date hors ordre","OK"))))))))</f>
        <v/>
      </c>
      <c r="M3409" s="39" t="str">
        <f>IF(C3409="","",C3409&amp;"#"&amp;COUNTIF($C$5:C3409,C3409))</f>
        <v/>
      </c>
    </row>
    <row r="3410">
      <c r="A3410" s="41" t="n"/>
      <c r="B3410" s="37" t="n"/>
      <c r="C3410" s="37" t="n"/>
      <c r="D3410" s="39" t="str">
        <f>IF(C3410="","",IFERROR(INDEX(art_des,MATCH(C3410,art_ref,0))&amp;"","Référence inconnue"))</f>
        <v/>
      </c>
      <c r="E3410" s="37" t="n"/>
      <c r="F3410" s="39" t="str">
        <f>IF(C3410="","",IFERROR(INDEX(art_unit,MATCH(C3410,art_ref,0))&amp;"",""))</f>
        <v/>
      </c>
      <c r="G3410" s="37" t="n"/>
      <c r="H3410" s="37" t="n"/>
      <c r="I3410" s="37" t="n"/>
      <c r="J3410" s="40" t="str">
        <f>IF(OR(C3410="",NOT(ISNUMBER(E3410))),"",IFERROR(E3410*N(INDEX(art_price,MATCH(C3410,art_ref,0))),""))</f>
        <v/>
      </c>
      <c r="K3410" s="39" t="str">
        <f>IF(OR(C3410="",NOT(ISNUMBER(E3410))),"",IFERROR(ROUND(N(INDEX(art_init,MATCH(C3410,art_ref,0)))+SUMIFS($E$5:E3410,$C$5:C3410,C3410,$B$5:B3410,"Entrée")-SUMIFS($E$5:E3410,$C$5:C3410,C3410,$B$5:B3410,"Sortie"),6),""))</f>
        <v/>
      </c>
      <c r="L3410" s="39" t="str">
        <f>IF(COUNTA(A3410:C3410,E3410)=0,"",IF(COUNTA(A3410:C3410,E3410)&lt;4,"Ligne incomplète",IF(NOT(ISNUMBER(A3410)),"Date invalide",IF(AND(B3410&lt;&gt;"Entrée",B3410&lt;&gt;"Sortie"),"Type inconnu",IF(ISNA(MATCH(C3410,art_ref,0)),"Référence inconnue",IF(OR(NOT(ISNUMBER(E3410)),N(E3410)&lt;=0),"Quantité invalide",IF(K3410&lt;0,"Stock négatif",IF(AND(ISNUMBER(A3409),A3410&lt;A3409),"Date hors ordre","OK"))))))))</f>
        <v/>
      </c>
      <c r="M3410" s="39" t="str">
        <f>IF(C3410="","",C3410&amp;"#"&amp;COUNTIF($C$5:C3410,C3410))</f>
        <v/>
      </c>
    </row>
    <row r="3411">
      <c r="A3411" s="41" t="n"/>
      <c r="B3411" s="37" t="n"/>
      <c r="C3411" s="37" t="n"/>
      <c r="D3411" s="39" t="str">
        <f>IF(C3411="","",IFERROR(INDEX(art_des,MATCH(C3411,art_ref,0))&amp;"","Référence inconnue"))</f>
        <v/>
      </c>
      <c r="E3411" s="37" t="n"/>
      <c r="F3411" s="39" t="str">
        <f>IF(C3411="","",IFERROR(INDEX(art_unit,MATCH(C3411,art_ref,0))&amp;"",""))</f>
        <v/>
      </c>
      <c r="G3411" s="37" t="n"/>
      <c r="H3411" s="37" t="n"/>
      <c r="I3411" s="37" t="n"/>
      <c r="J3411" s="40" t="str">
        <f>IF(OR(C3411="",NOT(ISNUMBER(E3411))),"",IFERROR(E3411*N(INDEX(art_price,MATCH(C3411,art_ref,0))),""))</f>
        <v/>
      </c>
      <c r="K3411" s="39" t="str">
        <f>IF(OR(C3411="",NOT(ISNUMBER(E3411))),"",IFERROR(ROUND(N(INDEX(art_init,MATCH(C3411,art_ref,0)))+SUMIFS($E$5:E3411,$C$5:C3411,C3411,$B$5:B3411,"Entrée")-SUMIFS($E$5:E3411,$C$5:C3411,C3411,$B$5:B3411,"Sortie"),6),""))</f>
        <v/>
      </c>
      <c r="L3411" s="39" t="str">
        <f>IF(COUNTA(A3411:C3411,E3411)=0,"",IF(COUNTA(A3411:C3411,E3411)&lt;4,"Ligne incomplète",IF(NOT(ISNUMBER(A3411)),"Date invalide",IF(AND(B3411&lt;&gt;"Entrée",B3411&lt;&gt;"Sortie"),"Type inconnu",IF(ISNA(MATCH(C3411,art_ref,0)),"Référence inconnue",IF(OR(NOT(ISNUMBER(E3411)),N(E3411)&lt;=0),"Quantité invalide",IF(K3411&lt;0,"Stock négatif",IF(AND(ISNUMBER(A3410),A3411&lt;A3410),"Date hors ordre","OK"))))))))</f>
        <v/>
      </c>
      <c r="M3411" s="39" t="str">
        <f>IF(C3411="","",C3411&amp;"#"&amp;COUNTIF($C$5:C3411,C3411))</f>
        <v/>
      </c>
    </row>
    <row r="3412">
      <c r="A3412" s="41" t="n"/>
      <c r="B3412" s="37" t="n"/>
      <c r="C3412" s="37" t="n"/>
      <c r="D3412" s="39" t="str">
        <f>IF(C3412="","",IFERROR(INDEX(art_des,MATCH(C3412,art_ref,0))&amp;"","Référence inconnue"))</f>
        <v/>
      </c>
      <c r="E3412" s="37" t="n"/>
      <c r="F3412" s="39" t="str">
        <f>IF(C3412="","",IFERROR(INDEX(art_unit,MATCH(C3412,art_ref,0))&amp;"",""))</f>
        <v/>
      </c>
      <c r="G3412" s="37" t="n"/>
      <c r="H3412" s="37" t="n"/>
      <c r="I3412" s="37" t="n"/>
      <c r="J3412" s="40" t="str">
        <f>IF(OR(C3412="",NOT(ISNUMBER(E3412))),"",IFERROR(E3412*N(INDEX(art_price,MATCH(C3412,art_ref,0))),""))</f>
        <v/>
      </c>
      <c r="K3412" s="39" t="str">
        <f>IF(OR(C3412="",NOT(ISNUMBER(E3412))),"",IFERROR(ROUND(N(INDEX(art_init,MATCH(C3412,art_ref,0)))+SUMIFS($E$5:E3412,$C$5:C3412,C3412,$B$5:B3412,"Entrée")-SUMIFS($E$5:E3412,$C$5:C3412,C3412,$B$5:B3412,"Sortie"),6),""))</f>
        <v/>
      </c>
      <c r="L3412" s="39" t="str">
        <f>IF(COUNTA(A3412:C3412,E3412)=0,"",IF(COUNTA(A3412:C3412,E3412)&lt;4,"Ligne incomplète",IF(NOT(ISNUMBER(A3412)),"Date invalide",IF(AND(B3412&lt;&gt;"Entrée",B3412&lt;&gt;"Sortie"),"Type inconnu",IF(ISNA(MATCH(C3412,art_ref,0)),"Référence inconnue",IF(OR(NOT(ISNUMBER(E3412)),N(E3412)&lt;=0),"Quantité invalide",IF(K3412&lt;0,"Stock négatif",IF(AND(ISNUMBER(A3411),A3412&lt;A3411),"Date hors ordre","OK"))))))))</f>
        <v/>
      </c>
      <c r="M3412" s="39" t="str">
        <f>IF(C3412="","",C3412&amp;"#"&amp;COUNTIF($C$5:C3412,C3412))</f>
        <v/>
      </c>
    </row>
    <row r="3413">
      <c r="A3413" s="41" t="n"/>
      <c r="B3413" s="37" t="n"/>
      <c r="C3413" s="37" t="n"/>
      <c r="D3413" s="39" t="str">
        <f>IF(C3413="","",IFERROR(INDEX(art_des,MATCH(C3413,art_ref,0))&amp;"","Référence inconnue"))</f>
        <v/>
      </c>
      <c r="E3413" s="37" t="n"/>
      <c r="F3413" s="39" t="str">
        <f>IF(C3413="","",IFERROR(INDEX(art_unit,MATCH(C3413,art_ref,0))&amp;"",""))</f>
        <v/>
      </c>
      <c r="G3413" s="37" t="n"/>
      <c r="H3413" s="37" t="n"/>
      <c r="I3413" s="37" t="n"/>
      <c r="J3413" s="40" t="str">
        <f>IF(OR(C3413="",NOT(ISNUMBER(E3413))),"",IFERROR(E3413*N(INDEX(art_price,MATCH(C3413,art_ref,0))),""))</f>
        <v/>
      </c>
      <c r="K3413" s="39" t="str">
        <f>IF(OR(C3413="",NOT(ISNUMBER(E3413))),"",IFERROR(ROUND(N(INDEX(art_init,MATCH(C3413,art_ref,0)))+SUMIFS($E$5:E3413,$C$5:C3413,C3413,$B$5:B3413,"Entrée")-SUMIFS($E$5:E3413,$C$5:C3413,C3413,$B$5:B3413,"Sortie"),6),""))</f>
        <v/>
      </c>
      <c r="L3413" s="39" t="str">
        <f>IF(COUNTA(A3413:C3413,E3413)=0,"",IF(COUNTA(A3413:C3413,E3413)&lt;4,"Ligne incomplète",IF(NOT(ISNUMBER(A3413)),"Date invalide",IF(AND(B3413&lt;&gt;"Entrée",B3413&lt;&gt;"Sortie"),"Type inconnu",IF(ISNA(MATCH(C3413,art_ref,0)),"Référence inconnue",IF(OR(NOT(ISNUMBER(E3413)),N(E3413)&lt;=0),"Quantité invalide",IF(K3413&lt;0,"Stock négatif",IF(AND(ISNUMBER(A3412),A3413&lt;A3412),"Date hors ordre","OK"))))))))</f>
        <v/>
      </c>
      <c r="M3413" s="39" t="str">
        <f>IF(C3413="","",C3413&amp;"#"&amp;COUNTIF($C$5:C3413,C3413))</f>
        <v/>
      </c>
    </row>
    <row r="3414">
      <c r="A3414" s="41" t="n"/>
      <c r="B3414" s="37" t="n"/>
      <c r="C3414" s="37" t="n"/>
      <c r="D3414" s="39" t="str">
        <f>IF(C3414="","",IFERROR(INDEX(art_des,MATCH(C3414,art_ref,0))&amp;"","Référence inconnue"))</f>
        <v/>
      </c>
      <c r="E3414" s="37" t="n"/>
      <c r="F3414" s="39" t="str">
        <f>IF(C3414="","",IFERROR(INDEX(art_unit,MATCH(C3414,art_ref,0))&amp;"",""))</f>
        <v/>
      </c>
      <c r="G3414" s="37" t="n"/>
      <c r="H3414" s="37" t="n"/>
      <c r="I3414" s="37" t="n"/>
      <c r="J3414" s="40" t="str">
        <f>IF(OR(C3414="",NOT(ISNUMBER(E3414))),"",IFERROR(E3414*N(INDEX(art_price,MATCH(C3414,art_ref,0))),""))</f>
        <v/>
      </c>
      <c r="K3414" s="39" t="str">
        <f>IF(OR(C3414="",NOT(ISNUMBER(E3414))),"",IFERROR(ROUND(N(INDEX(art_init,MATCH(C3414,art_ref,0)))+SUMIFS($E$5:E3414,$C$5:C3414,C3414,$B$5:B3414,"Entrée")-SUMIFS($E$5:E3414,$C$5:C3414,C3414,$B$5:B3414,"Sortie"),6),""))</f>
        <v/>
      </c>
      <c r="L3414" s="39" t="str">
        <f>IF(COUNTA(A3414:C3414,E3414)=0,"",IF(COUNTA(A3414:C3414,E3414)&lt;4,"Ligne incomplète",IF(NOT(ISNUMBER(A3414)),"Date invalide",IF(AND(B3414&lt;&gt;"Entrée",B3414&lt;&gt;"Sortie"),"Type inconnu",IF(ISNA(MATCH(C3414,art_ref,0)),"Référence inconnue",IF(OR(NOT(ISNUMBER(E3414)),N(E3414)&lt;=0),"Quantité invalide",IF(K3414&lt;0,"Stock négatif",IF(AND(ISNUMBER(A3413),A3414&lt;A3413),"Date hors ordre","OK"))))))))</f>
        <v/>
      </c>
      <c r="M3414" s="39" t="str">
        <f>IF(C3414="","",C3414&amp;"#"&amp;COUNTIF($C$5:C3414,C3414))</f>
        <v/>
      </c>
    </row>
    <row r="3415">
      <c r="A3415" s="41" t="n"/>
      <c r="B3415" s="37" t="n"/>
      <c r="C3415" s="37" t="n"/>
      <c r="D3415" s="39" t="str">
        <f>IF(C3415="","",IFERROR(INDEX(art_des,MATCH(C3415,art_ref,0))&amp;"","Référence inconnue"))</f>
        <v/>
      </c>
      <c r="E3415" s="37" t="n"/>
      <c r="F3415" s="39" t="str">
        <f>IF(C3415="","",IFERROR(INDEX(art_unit,MATCH(C3415,art_ref,0))&amp;"",""))</f>
        <v/>
      </c>
      <c r="G3415" s="37" t="n"/>
      <c r="H3415" s="37" t="n"/>
      <c r="I3415" s="37" t="n"/>
      <c r="J3415" s="40" t="str">
        <f>IF(OR(C3415="",NOT(ISNUMBER(E3415))),"",IFERROR(E3415*N(INDEX(art_price,MATCH(C3415,art_ref,0))),""))</f>
        <v/>
      </c>
      <c r="K3415" s="39" t="str">
        <f>IF(OR(C3415="",NOT(ISNUMBER(E3415))),"",IFERROR(ROUND(N(INDEX(art_init,MATCH(C3415,art_ref,0)))+SUMIFS($E$5:E3415,$C$5:C3415,C3415,$B$5:B3415,"Entrée")-SUMIFS($E$5:E3415,$C$5:C3415,C3415,$B$5:B3415,"Sortie"),6),""))</f>
        <v/>
      </c>
      <c r="L3415" s="39" t="str">
        <f>IF(COUNTA(A3415:C3415,E3415)=0,"",IF(COUNTA(A3415:C3415,E3415)&lt;4,"Ligne incomplète",IF(NOT(ISNUMBER(A3415)),"Date invalide",IF(AND(B3415&lt;&gt;"Entrée",B3415&lt;&gt;"Sortie"),"Type inconnu",IF(ISNA(MATCH(C3415,art_ref,0)),"Référence inconnue",IF(OR(NOT(ISNUMBER(E3415)),N(E3415)&lt;=0),"Quantité invalide",IF(K3415&lt;0,"Stock négatif",IF(AND(ISNUMBER(A3414),A3415&lt;A3414),"Date hors ordre","OK"))))))))</f>
        <v/>
      </c>
      <c r="M3415" s="39" t="str">
        <f>IF(C3415="","",C3415&amp;"#"&amp;COUNTIF($C$5:C3415,C3415))</f>
        <v/>
      </c>
    </row>
    <row r="3416">
      <c r="A3416" s="41" t="n"/>
      <c r="B3416" s="37" t="n"/>
      <c r="C3416" s="37" t="n"/>
      <c r="D3416" s="39" t="str">
        <f>IF(C3416="","",IFERROR(INDEX(art_des,MATCH(C3416,art_ref,0))&amp;"","Référence inconnue"))</f>
        <v/>
      </c>
      <c r="E3416" s="37" t="n"/>
      <c r="F3416" s="39" t="str">
        <f>IF(C3416="","",IFERROR(INDEX(art_unit,MATCH(C3416,art_ref,0))&amp;"",""))</f>
        <v/>
      </c>
      <c r="G3416" s="37" t="n"/>
      <c r="H3416" s="37" t="n"/>
      <c r="I3416" s="37" t="n"/>
      <c r="J3416" s="40" t="str">
        <f>IF(OR(C3416="",NOT(ISNUMBER(E3416))),"",IFERROR(E3416*N(INDEX(art_price,MATCH(C3416,art_ref,0))),""))</f>
        <v/>
      </c>
      <c r="K3416" s="39" t="str">
        <f>IF(OR(C3416="",NOT(ISNUMBER(E3416))),"",IFERROR(ROUND(N(INDEX(art_init,MATCH(C3416,art_ref,0)))+SUMIFS($E$5:E3416,$C$5:C3416,C3416,$B$5:B3416,"Entrée")-SUMIFS($E$5:E3416,$C$5:C3416,C3416,$B$5:B3416,"Sortie"),6),""))</f>
        <v/>
      </c>
      <c r="L3416" s="39" t="str">
        <f>IF(COUNTA(A3416:C3416,E3416)=0,"",IF(COUNTA(A3416:C3416,E3416)&lt;4,"Ligne incomplète",IF(NOT(ISNUMBER(A3416)),"Date invalide",IF(AND(B3416&lt;&gt;"Entrée",B3416&lt;&gt;"Sortie"),"Type inconnu",IF(ISNA(MATCH(C3416,art_ref,0)),"Référence inconnue",IF(OR(NOT(ISNUMBER(E3416)),N(E3416)&lt;=0),"Quantité invalide",IF(K3416&lt;0,"Stock négatif",IF(AND(ISNUMBER(A3415),A3416&lt;A3415),"Date hors ordre","OK"))))))))</f>
        <v/>
      </c>
      <c r="M3416" s="39" t="str">
        <f>IF(C3416="","",C3416&amp;"#"&amp;COUNTIF($C$5:C3416,C3416))</f>
        <v/>
      </c>
    </row>
    <row r="3417">
      <c r="A3417" s="41" t="n"/>
      <c r="B3417" s="37" t="n"/>
      <c r="C3417" s="37" t="n"/>
      <c r="D3417" s="39" t="str">
        <f>IF(C3417="","",IFERROR(INDEX(art_des,MATCH(C3417,art_ref,0))&amp;"","Référence inconnue"))</f>
        <v/>
      </c>
      <c r="E3417" s="37" t="n"/>
      <c r="F3417" s="39" t="str">
        <f>IF(C3417="","",IFERROR(INDEX(art_unit,MATCH(C3417,art_ref,0))&amp;"",""))</f>
        <v/>
      </c>
      <c r="G3417" s="37" t="n"/>
      <c r="H3417" s="37" t="n"/>
      <c r="I3417" s="37" t="n"/>
      <c r="J3417" s="40" t="str">
        <f>IF(OR(C3417="",NOT(ISNUMBER(E3417))),"",IFERROR(E3417*N(INDEX(art_price,MATCH(C3417,art_ref,0))),""))</f>
        <v/>
      </c>
      <c r="K3417" s="39" t="str">
        <f>IF(OR(C3417="",NOT(ISNUMBER(E3417))),"",IFERROR(ROUND(N(INDEX(art_init,MATCH(C3417,art_ref,0)))+SUMIFS($E$5:E3417,$C$5:C3417,C3417,$B$5:B3417,"Entrée")-SUMIFS($E$5:E3417,$C$5:C3417,C3417,$B$5:B3417,"Sortie"),6),""))</f>
        <v/>
      </c>
      <c r="L3417" s="39" t="str">
        <f>IF(COUNTA(A3417:C3417,E3417)=0,"",IF(COUNTA(A3417:C3417,E3417)&lt;4,"Ligne incomplète",IF(NOT(ISNUMBER(A3417)),"Date invalide",IF(AND(B3417&lt;&gt;"Entrée",B3417&lt;&gt;"Sortie"),"Type inconnu",IF(ISNA(MATCH(C3417,art_ref,0)),"Référence inconnue",IF(OR(NOT(ISNUMBER(E3417)),N(E3417)&lt;=0),"Quantité invalide",IF(K3417&lt;0,"Stock négatif",IF(AND(ISNUMBER(A3416),A3417&lt;A3416),"Date hors ordre","OK"))))))))</f>
        <v/>
      </c>
      <c r="M3417" s="39" t="str">
        <f>IF(C3417="","",C3417&amp;"#"&amp;COUNTIF($C$5:C3417,C3417))</f>
        <v/>
      </c>
    </row>
    <row r="3418">
      <c r="A3418" s="41" t="n"/>
      <c r="B3418" s="37" t="n"/>
      <c r="C3418" s="37" t="n"/>
      <c r="D3418" s="39" t="str">
        <f>IF(C3418="","",IFERROR(INDEX(art_des,MATCH(C3418,art_ref,0))&amp;"","Référence inconnue"))</f>
        <v/>
      </c>
      <c r="E3418" s="37" t="n"/>
      <c r="F3418" s="39" t="str">
        <f>IF(C3418="","",IFERROR(INDEX(art_unit,MATCH(C3418,art_ref,0))&amp;"",""))</f>
        <v/>
      </c>
      <c r="G3418" s="37" t="n"/>
      <c r="H3418" s="37" t="n"/>
      <c r="I3418" s="37" t="n"/>
      <c r="J3418" s="40" t="str">
        <f>IF(OR(C3418="",NOT(ISNUMBER(E3418))),"",IFERROR(E3418*N(INDEX(art_price,MATCH(C3418,art_ref,0))),""))</f>
        <v/>
      </c>
      <c r="K3418" s="39" t="str">
        <f>IF(OR(C3418="",NOT(ISNUMBER(E3418))),"",IFERROR(ROUND(N(INDEX(art_init,MATCH(C3418,art_ref,0)))+SUMIFS($E$5:E3418,$C$5:C3418,C3418,$B$5:B3418,"Entrée")-SUMIFS($E$5:E3418,$C$5:C3418,C3418,$B$5:B3418,"Sortie"),6),""))</f>
        <v/>
      </c>
      <c r="L3418" s="39" t="str">
        <f>IF(COUNTA(A3418:C3418,E3418)=0,"",IF(COUNTA(A3418:C3418,E3418)&lt;4,"Ligne incomplète",IF(NOT(ISNUMBER(A3418)),"Date invalide",IF(AND(B3418&lt;&gt;"Entrée",B3418&lt;&gt;"Sortie"),"Type inconnu",IF(ISNA(MATCH(C3418,art_ref,0)),"Référence inconnue",IF(OR(NOT(ISNUMBER(E3418)),N(E3418)&lt;=0),"Quantité invalide",IF(K3418&lt;0,"Stock négatif",IF(AND(ISNUMBER(A3417),A3418&lt;A3417),"Date hors ordre","OK"))))))))</f>
        <v/>
      </c>
      <c r="M3418" s="39" t="str">
        <f>IF(C3418="","",C3418&amp;"#"&amp;COUNTIF($C$5:C3418,C3418))</f>
        <v/>
      </c>
    </row>
    <row r="3419">
      <c r="A3419" s="41" t="n"/>
      <c r="B3419" s="37" t="n"/>
      <c r="C3419" s="37" t="n"/>
      <c r="D3419" s="39" t="str">
        <f>IF(C3419="","",IFERROR(INDEX(art_des,MATCH(C3419,art_ref,0))&amp;"","Référence inconnue"))</f>
        <v/>
      </c>
      <c r="E3419" s="37" t="n"/>
      <c r="F3419" s="39" t="str">
        <f>IF(C3419="","",IFERROR(INDEX(art_unit,MATCH(C3419,art_ref,0))&amp;"",""))</f>
        <v/>
      </c>
      <c r="G3419" s="37" t="n"/>
      <c r="H3419" s="37" t="n"/>
      <c r="I3419" s="37" t="n"/>
      <c r="J3419" s="40" t="str">
        <f>IF(OR(C3419="",NOT(ISNUMBER(E3419))),"",IFERROR(E3419*N(INDEX(art_price,MATCH(C3419,art_ref,0))),""))</f>
        <v/>
      </c>
      <c r="K3419" s="39" t="str">
        <f>IF(OR(C3419="",NOT(ISNUMBER(E3419))),"",IFERROR(ROUND(N(INDEX(art_init,MATCH(C3419,art_ref,0)))+SUMIFS($E$5:E3419,$C$5:C3419,C3419,$B$5:B3419,"Entrée")-SUMIFS($E$5:E3419,$C$5:C3419,C3419,$B$5:B3419,"Sortie"),6),""))</f>
        <v/>
      </c>
      <c r="L3419" s="39" t="str">
        <f>IF(COUNTA(A3419:C3419,E3419)=0,"",IF(COUNTA(A3419:C3419,E3419)&lt;4,"Ligne incomplète",IF(NOT(ISNUMBER(A3419)),"Date invalide",IF(AND(B3419&lt;&gt;"Entrée",B3419&lt;&gt;"Sortie"),"Type inconnu",IF(ISNA(MATCH(C3419,art_ref,0)),"Référence inconnue",IF(OR(NOT(ISNUMBER(E3419)),N(E3419)&lt;=0),"Quantité invalide",IF(K3419&lt;0,"Stock négatif",IF(AND(ISNUMBER(A3418),A3419&lt;A3418),"Date hors ordre","OK"))))))))</f>
        <v/>
      </c>
      <c r="M3419" s="39" t="str">
        <f>IF(C3419="","",C3419&amp;"#"&amp;COUNTIF($C$5:C3419,C3419))</f>
        <v/>
      </c>
    </row>
    <row r="3420">
      <c r="A3420" s="41" t="n"/>
      <c r="B3420" s="37" t="n"/>
      <c r="C3420" s="37" t="n"/>
      <c r="D3420" s="39" t="str">
        <f>IF(C3420="","",IFERROR(INDEX(art_des,MATCH(C3420,art_ref,0))&amp;"","Référence inconnue"))</f>
        <v/>
      </c>
      <c r="E3420" s="37" t="n"/>
      <c r="F3420" s="39" t="str">
        <f>IF(C3420="","",IFERROR(INDEX(art_unit,MATCH(C3420,art_ref,0))&amp;"",""))</f>
        <v/>
      </c>
      <c r="G3420" s="37" t="n"/>
      <c r="H3420" s="37" t="n"/>
      <c r="I3420" s="37" t="n"/>
      <c r="J3420" s="40" t="str">
        <f>IF(OR(C3420="",NOT(ISNUMBER(E3420))),"",IFERROR(E3420*N(INDEX(art_price,MATCH(C3420,art_ref,0))),""))</f>
        <v/>
      </c>
      <c r="K3420" s="39" t="str">
        <f>IF(OR(C3420="",NOT(ISNUMBER(E3420))),"",IFERROR(ROUND(N(INDEX(art_init,MATCH(C3420,art_ref,0)))+SUMIFS($E$5:E3420,$C$5:C3420,C3420,$B$5:B3420,"Entrée")-SUMIFS($E$5:E3420,$C$5:C3420,C3420,$B$5:B3420,"Sortie"),6),""))</f>
        <v/>
      </c>
      <c r="L3420" s="39" t="str">
        <f>IF(COUNTA(A3420:C3420,E3420)=0,"",IF(COUNTA(A3420:C3420,E3420)&lt;4,"Ligne incomplète",IF(NOT(ISNUMBER(A3420)),"Date invalide",IF(AND(B3420&lt;&gt;"Entrée",B3420&lt;&gt;"Sortie"),"Type inconnu",IF(ISNA(MATCH(C3420,art_ref,0)),"Référence inconnue",IF(OR(NOT(ISNUMBER(E3420)),N(E3420)&lt;=0),"Quantité invalide",IF(K3420&lt;0,"Stock négatif",IF(AND(ISNUMBER(A3419),A3420&lt;A3419),"Date hors ordre","OK"))))))))</f>
        <v/>
      </c>
      <c r="M3420" s="39" t="str">
        <f>IF(C3420="","",C3420&amp;"#"&amp;COUNTIF($C$5:C3420,C3420))</f>
        <v/>
      </c>
    </row>
    <row r="3421">
      <c r="A3421" s="41" t="n"/>
      <c r="B3421" s="37" t="n"/>
      <c r="C3421" s="37" t="n"/>
      <c r="D3421" s="39" t="str">
        <f>IF(C3421="","",IFERROR(INDEX(art_des,MATCH(C3421,art_ref,0))&amp;"","Référence inconnue"))</f>
        <v/>
      </c>
      <c r="E3421" s="37" t="n"/>
      <c r="F3421" s="39" t="str">
        <f>IF(C3421="","",IFERROR(INDEX(art_unit,MATCH(C3421,art_ref,0))&amp;"",""))</f>
        <v/>
      </c>
      <c r="G3421" s="37" t="n"/>
      <c r="H3421" s="37" t="n"/>
      <c r="I3421" s="37" t="n"/>
      <c r="J3421" s="40" t="str">
        <f>IF(OR(C3421="",NOT(ISNUMBER(E3421))),"",IFERROR(E3421*N(INDEX(art_price,MATCH(C3421,art_ref,0))),""))</f>
        <v/>
      </c>
      <c r="K3421" s="39" t="str">
        <f>IF(OR(C3421="",NOT(ISNUMBER(E3421))),"",IFERROR(ROUND(N(INDEX(art_init,MATCH(C3421,art_ref,0)))+SUMIFS($E$5:E3421,$C$5:C3421,C3421,$B$5:B3421,"Entrée")-SUMIFS($E$5:E3421,$C$5:C3421,C3421,$B$5:B3421,"Sortie"),6),""))</f>
        <v/>
      </c>
      <c r="L3421" s="39" t="str">
        <f>IF(COUNTA(A3421:C3421,E3421)=0,"",IF(COUNTA(A3421:C3421,E3421)&lt;4,"Ligne incomplète",IF(NOT(ISNUMBER(A3421)),"Date invalide",IF(AND(B3421&lt;&gt;"Entrée",B3421&lt;&gt;"Sortie"),"Type inconnu",IF(ISNA(MATCH(C3421,art_ref,0)),"Référence inconnue",IF(OR(NOT(ISNUMBER(E3421)),N(E3421)&lt;=0),"Quantité invalide",IF(K3421&lt;0,"Stock négatif",IF(AND(ISNUMBER(A3420),A3421&lt;A3420),"Date hors ordre","OK"))))))))</f>
        <v/>
      </c>
      <c r="M3421" s="39" t="str">
        <f>IF(C3421="","",C3421&amp;"#"&amp;COUNTIF($C$5:C3421,C3421))</f>
        <v/>
      </c>
    </row>
    <row r="3422">
      <c r="A3422" s="41" t="n"/>
      <c r="B3422" s="37" t="n"/>
      <c r="C3422" s="37" t="n"/>
      <c r="D3422" s="39" t="str">
        <f>IF(C3422="","",IFERROR(INDEX(art_des,MATCH(C3422,art_ref,0))&amp;"","Référence inconnue"))</f>
        <v/>
      </c>
      <c r="E3422" s="37" t="n"/>
      <c r="F3422" s="39" t="str">
        <f>IF(C3422="","",IFERROR(INDEX(art_unit,MATCH(C3422,art_ref,0))&amp;"",""))</f>
        <v/>
      </c>
      <c r="G3422" s="37" t="n"/>
      <c r="H3422" s="37" t="n"/>
      <c r="I3422" s="37" t="n"/>
      <c r="J3422" s="40" t="str">
        <f>IF(OR(C3422="",NOT(ISNUMBER(E3422))),"",IFERROR(E3422*N(INDEX(art_price,MATCH(C3422,art_ref,0))),""))</f>
        <v/>
      </c>
      <c r="K3422" s="39" t="str">
        <f>IF(OR(C3422="",NOT(ISNUMBER(E3422))),"",IFERROR(ROUND(N(INDEX(art_init,MATCH(C3422,art_ref,0)))+SUMIFS($E$5:E3422,$C$5:C3422,C3422,$B$5:B3422,"Entrée")-SUMIFS($E$5:E3422,$C$5:C3422,C3422,$B$5:B3422,"Sortie"),6),""))</f>
        <v/>
      </c>
      <c r="L3422" s="39" t="str">
        <f>IF(COUNTA(A3422:C3422,E3422)=0,"",IF(COUNTA(A3422:C3422,E3422)&lt;4,"Ligne incomplète",IF(NOT(ISNUMBER(A3422)),"Date invalide",IF(AND(B3422&lt;&gt;"Entrée",B3422&lt;&gt;"Sortie"),"Type inconnu",IF(ISNA(MATCH(C3422,art_ref,0)),"Référence inconnue",IF(OR(NOT(ISNUMBER(E3422)),N(E3422)&lt;=0),"Quantité invalide",IF(K3422&lt;0,"Stock négatif",IF(AND(ISNUMBER(A3421),A3422&lt;A3421),"Date hors ordre","OK"))))))))</f>
        <v/>
      </c>
      <c r="M3422" s="39" t="str">
        <f>IF(C3422="","",C3422&amp;"#"&amp;COUNTIF($C$5:C3422,C3422))</f>
        <v/>
      </c>
    </row>
    <row r="3423">
      <c r="A3423" s="41" t="n"/>
      <c r="B3423" s="37" t="n"/>
      <c r="C3423" s="37" t="n"/>
      <c r="D3423" s="39" t="str">
        <f>IF(C3423="","",IFERROR(INDEX(art_des,MATCH(C3423,art_ref,0))&amp;"","Référence inconnue"))</f>
        <v/>
      </c>
      <c r="E3423" s="37" t="n"/>
      <c r="F3423" s="39" t="str">
        <f>IF(C3423="","",IFERROR(INDEX(art_unit,MATCH(C3423,art_ref,0))&amp;"",""))</f>
        <v/>
      </c>
      <c r="G3423" s="37" t="n"/>
      <c r="H3423" s="37" t="n"/>
      <c r="I3423" s="37" t="n"/>
      <c r="J3423" s="40" t="str">
        <f>IF(OR(C3423="",NOT(ISNUMBER(E3423))),"",IFERROR(E3423*N(INDEX(art_price,MATCH(C3423,art_ref,0))),""))</f>
        <v/>
      </c>
      <c r="K3423" s="39" t="str">
        <f>IF(OR(C3423="",NOT(ISNUMBER(E3423))),"",IFERROR(ROUND(N(INDEX(art_init,MATCH(C3423,art_ref,0)))+SUMIFS($E$5:E3423,$C$5:C3423,C3423,$B$5:B3423,"Entrée")-SUMIFS($E$5:E3423,$C$5:C3423,C3423,$B$5:B3423,"Sortie"),6),""))</f>
        <v/>
      </c>
      <c r="L3423" s="39" t="str">
        <f>IF(COUNTA(A3423:C3423,E3423)=0,"",IF(COUNTA(A3423:C3423,E3423)&lt;4,"Ligne incomplète",IF(NOT(ISNUMBER(A3423)),"Date invalide",IF(AND(B3423&lt;&gt;"Entrée",B3423&lt;&gt;"Sortie"),"Type inconnu",IF(ISNA(MATCH(C3423,art_ref,0)),"Référence inconnue",IF(OR(NOT(ISNUMBER(E3423)),N(E3423)&lt;=0),"Quantité invalide",IF(K3423&lt;0,"Stock négatif",IF(AND(ISNUMBER(A3422),A3423&lt;A3422),"Date hors ordre","OK"))))))))</f>
        <v/>
      </c>
      <c r="M3423" s="39" t="str">
        <f>IF(C3423="","",C3423&amp;"#"&amp;COUNTIF($C$5:C3423,C3423))</f>
        <v/>
      </c>
    </row>
    <row r="3424">
      <c r="A3424" s="41" t="n"/>
      <c r="B3424" s="37" t="n"/>
      <c r="C3424" s="37" t="n"/>
      <c r="D3424" s="39" t="str">
        <f>IF(C3424="","",IFERROR(INDEX(art_des,MATCH(C3424,art_ref,0))&amp;"","Référence inconnue"))</f>
        <v/>
      </c>
      <c r="E3424" s="37" t="n"/>
      <c r="F3424" s="39" t="str">
        <f>IF(C3424="","",IFERROR(INDEX(art_unit,MATCH(C3424,art_ref,0))&amp;"",""))</f>
        <v/>
      </c>
      <c r="G3424" s="37" t="n"/>
      <c r="H3424" s="37" t="n"/>
      <c r="I3424" s="37" t="n"/>
      <c r="J3424" s="40" t="str">
        <f>IF(OR(C3424="",NOT(ISNUMBER(E3424))),"",IFERROR(E3424*N(INDEX(art_price,MATCH(C3424,art_ref,0))),""))</f>
        <v/>
      </c>
      <c r="K3424" s="39" t="str">
        <f>IF(OR(C3424="",NOT(ISNUMBER(E3424))),"",IFERROR(ROUND(N(INDEX(art_init,MATCH(C3424,art_ref,0)))+SUMIFS($E$5:E3424,$C$5:C3424,C3424,$B$5:B3424,"Entrée")-SUMIFS($E$5:E3424,$C$5:C3424,C3424,$B$5:B3424,"Sortie"),6),""))</f>
        <v/>
      </c>
      <c r="L3424" s="39" t="str">
        <f>IF(COUNTA(A3424:C3424,E3424)=0,"",IF(COUNTA(A3424:C3424,E3424)&lt;4,"Ligne incomplète",IF(NOT(ISNUMBER(A3424)),"Date invalide",IF(AND(B3424&lt;&gt;"Entrée",B3424&lt;&gt;"Sortie"),"Type inconnu",IF(ISNA(MATCH(C3424,art_ref,0)),"Référence inconnue",IF(OR(NOT(ISNUMBER(E3424)),N(E3424)&lt;=0),"Quantité invalide",IF(K3424&lt;0,"Stock négatif",IF(AND(ISNUMBER(A3423),A3424&lt;A3423),"Date hors ordre","OK"))))))))</f>
        <v/>
      </c>
      <c r="M3424" s="39" t="str">
        <f>IF(C3424="","",C3424&amp;"#"&amp;COUNTIF($C$5:C3424,C3424))</f>
        <v/>
      </c>
    </row>
    <row r="3425">
      <c r="A3425" s="41" t="n"/>
      <c r="B3425" s="37" t="n"/>
      <c r="C3425" s="37" t="n"/>
      <c r="D3425" s="39" t="str">
        <f>IF(C3425="","",IFERROR(INDEX(art_des,MATCH(C3425,art_ref,0))&amp;"","Référence inconnue"))</f>
        <v/>
      </c>
      <c r="E3425" s="37" t="n"/>
      <c r="F3425" s="39" t="str">
        <f>IF(C3425="","",IFERROR(INDEX(art_unit,MATCH(C3425,art_ref,0))&amp;"",""))</f>
        <v/>
      </c>
      <c r="G3425" s="37" t="n"/>
      <c r="H3425" s="37" t="n"/>
      <c r="I3425" s="37" t="n"/>
      <c r="J3425" s="40" t="str">
        <f>IF(OR(C3425="",NOT(ISNUMBER(E3425))),"",IFERROR(E3425*N(INDEX(art_price,MATCH(C3425,art_ref,0))),""))</f>
        <v/>
      </c>
      <c r="K3425" s="39" t="str">
        <f>IF(OR(C3425="",NOT(ISNUMBER(E3425))),"",IFERROR(ROUND(N(INDEX(art_init,MATCH(C3425,art_ref,0)))+SUMIFS($E$5:E3425,$C$5:C3425,C3425,$B$5:B3425,"Entrée")-SUMIFS($E$5:E3425,$C$5:C3425,C3425,$B$5:B3425,"Sortie"),6),""))</f>
        <v/>
      </c>
      <c r="L3425" s="39" t="str">
        <f>IF(COUNTA(A3425:C3425,E3425)=0,"",IF(COUNTA(A3425:C3425,E3425)&lt;4,"Ligne incomplète",IF(NOT(ISNUMBER(A3425)),"Date invalide",IF(AND(B3425&lt;&gt;"Entrée",B3425&lt;&gt;"Sortie"),"Type inconnu",IF(ISNA(MATCH(C3425,art_ref,0)),"Référence inconnue",IF(OR(NOT(ISNUMBER(E3425)),N(E3425)&lt;=0),"Quantité invalide",IF(K3425&lt;0,"Stock négatif",IF(AND(ISNUMBER(A3424),A3425&lt;A3424),"Date hors ordre","OK"))))))))</f>
        <v/>
      </c>
      <c r="M3425" s="39" t="str">
        <f>IF(C3425="","",C3425&amp;"#"&amp;COUNTIF($C$5:C3425,C3425))</f>
        <v/>
      </c>
    </row>
    <row r="3426">
      <c r="A3426" s="41" t="n"/>
      <c r="B3426" s="37" t="n"/>
      <c r="C3426" s="37" t="n"/>
      <c r="D3426" s="39" t="str">
        <f>IF(C3426="","",IFERROR(INDEX(art_des,MATCH(C3426,art_ref,0))&amp;"","Référence inconnue"))</f>
        <v/>
      </c>
      <c r="E3426" s="37" t="n"/>
      <c r="F3426" s="39" t="str">
        <f>IF(C3426="","",IFERROR(INDEX(art_unit,MATCH(C3426,art_ref,0))&amp;"",""))</f>
        <v/>
      </c>
      <c r="G3426" s="37" t="n"/>
      <c r="H3426" s="37" t="n"/>
      <c r="I3426" s="37" t="n"/>
      <c r="J3426" s="40" t="str">
        <f>IF(OR(C3426="",NOT(ISNUMBER(E3426))),"",IFERROR(E3426*N(INDEX(art_price,MATCH(C3426,art_ref,0))),""))</f>
        <v/>
      </c>
      <c r="K3426" s="39" t="str">
        <f>IF(OR(C3426="",NOT(ISNUMBER(E3426))),"",IFERROR(ROUND(N(INDEX(art_init,MATCH(C3426,art_ref,0)))+SUMIFS($E$5:E3426,$C$5:C3426,C3426,$B$5:B3426,"Entrée")-SUMIFS($E$5:E3426,$C$5:C3426,C3426,$B$5:B3426,"Sortie"),6),""))</f>
        <v/>
      </c>
      <c r="L3426" s="39" t="str">
        <f>IF(COUNTA(A3426:C3426,E3426)=0,"",IF(COUNTA(A3426:C3426,E3426)&lt;4,"Ligne incomplète",IF(NOT(ISNUMBER(A3426)),"Date invalide",IF(AND(B3426&lt;&gt;"Entrée",B3426&lt;&gt;"Sortie"),"Type inconnu",IF(ISNA(MATCH(C3426,art_ref,0)),"Référence inconnue",IF(OR(NOT(ISNUMBER(E3426)),N(E3426)&lt;=0),"Quantité invalide",IF(K3426&lt;0,"Stock négatif",IF(AND(ISNUMBER(A3425),A3426&lt;A3425),"Date hors ordre","OK"))))))))</f>
        <v/>
      </c>
      <c r="M3426" s="39" t="str">
        <f>IF(C3426="","",C3426&amp;"#"&amp;COUNTIF($C$5:C3426,C3426))</f>
        <v/>
      </c>
    </row>
    <row r="3427">
      <c r="A3427" s="41" t="n"/>
      <c r="B3427" s="37" t="n"/>
      <c r="C3427" s="37" t="n"/>
      <c r="D3427" s="39" t="str">
        <f>IF(C3427="","",IFERROR(INDEX(art_des,MATCH(C3427,art_ref,0))&amp;"","Référence inconnue"))</f>
        <v/>
      </c>
      <c r="E3427" s="37" t="n"/>
      <c r="F3427" s="39" t="str">
        <f>IF(C3427="","",IFERROR(INDEX(art_unit,MATCH(C3427,art_ref,0))&amp;"",""))</f>
        <v/>
      </c>
      <c r="G3427" s="37" t="n"/>
      <c r="H3427" s="37" t="n"/>
      <c r="I3427" s="37" t="n"/>
      <c r="J3427" s="40" t="str">
        <f>IF(OR(C3427="",NOT(ISNUMBER(E3427))),"",IFERROR(E3427*N(INDEX(art_price,MATCH(C3427,art_ref,0))),""))</f>
        <v/>
      </c>
      <c r="K3427" s="39" t="str">
        <f>IF(OR(C3427="",NOT(ISNUMBER(E3427))),"",IFERROR(ROUND(N(INDEX(art_init,MATCH(C3427,art_ref,0)))+SUMIFS($E$5:E3427,$C$5:C3427,C3427,$B$5:B3427,"Entrée")-SUMIFS($E$5:E3427,$C$5:C3427,C3427,$B$5:B3427,"Sortie"),6),""))</f>
        <v/>
      </c>
      <c r="L3427" s="39" t="str">
        <f>IF(COUNTA(A3427:C3427,E3427)=0,"",IF(COUNTA(A3427:C3427,E3427)&lt;4,"Ligne incomplète",IF(NOT(ISNUMBER(A3427)),"Date invalide",IF(AND(B3427&lt;&gt;"Entrée",B3427&lt;&gt;"Sortie"),"Type inconnu",IF(ISNA(MATCH(C3427,art_ref,0)),"Référence inconnue",IF(OR(NOT(ISNUMBER(E3427)),N(E3427)&lt;=0),"Quantité invalide",IF(K3427&lt;0,"Stock négatif",IF(AND(ISNUMBER(A3426),A3427&lt;A3426),"Date hors ordre","OK"))))))))</f>
        <v/>
      </c>
      <c r="M3427" s="39" t="str">
        <f>IF(C3427="","",C3427&amp;"#"&amp;COUNTIF($C$5:C3427,C3427))</f>
        <v/>
      </c>
    </row>
    <row r="3428">
      <c r="A3428" s="41" t="n"/>
      <c r="B3428" s="37" t="n"/>
      <c r="C3428" s="37" t="n"/>
      <c r="D3428" s="39" t="str">
        <f>IF(C3428="","",IFERROR(INDEX(art_des,MATCH(C3428,art_ref,0))&amp;"","Référence inconnue"))</f>
        <v/>
      </c>
      <c r="E3428" s="37" t="n"/>
      <c r="F3428" s="39" t="str">
        <f>IF(C3428="","",IFERROR(INDEX(art_unit,MATCH(C3428,art_ref,0))&amp;"",""))</f>
        <v/>
      </c>
      <c r="G3428" s="37" t="n"/>
      <c r="H3428" s="37" t="n"/>
      <c r="I3428" s="37" t="n"/>
      <c r="J3428" s="40" t="str">
        <f>IF(OR(C3428="",NOT(ISNUMBER(E3428))),"",IFERROR(E3428*N(INDEX(art_price,MATCH(C3428,art_ref,0))),""))</f>
        <v/>
      </c>
      <c r="K3428" s="39" t="str">
        <f>IF(OR(C3428="",NOT(ISNUMBER(E3428))),"",IFERROR(ROUND(N(INDEX(art_init,MATCH(C3428,art_ref,0)))+SUMIFS($E$5:E3428,$C$5:C3428,C3428,$B$5:B3428,"Entrée")-SUMIFS($E$5:E3428,$C$5:C3428,C3428,$B$5:B3428,"Sortie"),6),""))</f>
        <v/>
      </c>
      <c r="L3428" s="39" t="str">
        <f>IF(COUNTA(A3428:C3428,E3428)=0,"",IF(COUNTA(A3428:C3428,E3428)&lt;4,"Ligne incomplète",IF(NOT(ISNUMBER(A3428)),"Date invalide",IF(AND(B3428&lt;&gt;"Entrée",B3428&lt;&gt;"Sortie"),"Type inconnu",IF(ISNA(MATCH(C3428,art_ref,0)),"Référence inconnue",IF(OR(NOT(ISNUMBER(E3428)),N(E3428)&lt;=0),"Quantité invalide",IF(K3428&lt;0,"Stock négatif",IF(AND(ISNUMBER(A3427),A3428&lt;A3427),"Date hors ordre","OK"))))))))</f>
        <v/>
      </c>
      <c r="M3428" s="39" t="str">
        <f>IF(C3428="","",C3428&amp;"#"&amp;COUNTIF($C$5:C3428,C3428))</f>
        <v/>
      </c>
    </row>
    <row r="3429">
      <c r="A3429" s="41" t="n"/>
      <c r="B3429" s="37" t="n"/>
      <c r="C3429" s="37" t="n"/>
      <c r="D3429" s="39" t="str">
        <f>IF(C3429="","",IFERROR(INDEX(art_des,MATCH(C3429,art_ref,0))&amp;"","Référence inconnue"))</f>
        <v/>
      </c>
      <c r="E3429" s="37" t="n"/>
      <c r="F3429" s="39" t="str">
        <f>IF(C3429="","",IFERROR(INDEX(art_unit,MATCH(C3429,art_ref,0))&amp;"",""))</f>
        <v/>
      </c>
      <c r="G3429" s="37" t="n"/>
      <c r="H3429" s="37" t="n"/>
      <c r="I3429" s="37" t="n"/>
      <c r="J3429" s="40" t="str">
        <f>IF(OR(C3429="",NOT(ISNUMBER(E3429))),"",IFERROR(E3429*N(INDEX(art_price,MATCH(C3429,art_ref,0))),""))</f>
        <v/>
      </c>
      <c r="K3429" s="39" t="str">
        <f>IF(OR(C3429="",NOT(ISNUMBER(E3429))),"",IFERROR(ROUND(N(INDEX(art_init,MATCH(C3429,art_ref,0)))+SUMIFS($E$5:E3429,$C$5:C3429,C3429,$B$5:B3429,"Entrée")-SUMIFS($E$5:E3429,$C$5:C3429,C3429,$B$5:B3429,"Sortie"),6),""))</f>
        <v/>
      </c>
      <c r="L3429" s="39" t="str">
        <f>IF(COUNTA(A3429:C3429,E3429)=0,"",IF(COUNTA(A3429:C3429,E3429)&lt;4,"Ligne incomplète",IF(NOT(ISNUMBER(A3429)),"Date invalide",IF(AND(B3429&lt;&gt;"Entrée",B3429&lt;&gt;"Sortie"),"Type inconnu",IF(ISNA(MATCH(C3429,art_ref,0)),"Référence inconnue",IF(OR(NOT(ISNUMBER(E3429)),N(E3429)&lt;=0),"Quantité invalide",IF(K3429&lt;0,"Stock négatif",IF(AND(ISNUMBER(A3428),A3429&lt;A3428),"Date hors ordre","OK"))))))))</f>
        <v/>
      </c>
      <c r="M3429" s="39" t="str">
        <f>IF(C3429="","",C3429&amp;"#"&amp;COUNTIF($C$5:C3429,C3429))</f>
        <v/>
      </c>
    </row>
    <row r="3430">
      <c r="A3430" s="41" t="n"/>
      <c r="B3430" s="37" t="n"/>
      <c r="C3430" s="37" t="n"/>
      <c r="D3430" s="39" t="str">
        <f>IF(C3430="","",IFERROR(INDEX(art_des,MATCH(C3430,art_ref,0))&amp;"","Référence inconnue"))</f>
        <v/>
      </c>
      <c r="E3430" s="37" t="n"/>
      <c r="F3430" s="39" t="str">
        <f>IF(C3430="","",IFERROR(INDEX(art_unit,MATCH(C3430,art_ref,0))&amp;"",""))</f>
        <v/>
      </c>
      <c r="G3430" s="37" t="n"/>
      <c r="H3430" s="37" t="n"/>
      <c r="I3430" s="37" t="n"/>
      <c r="J3430" s="40" t="str">
        <f>IF(OR(C3430="",NOT(ISNUMBER(E3430))),"",IFERROR(E3430*N(INDEX(art_price,MATCH(C3430,art_ref,0))),""))</f>
        <v/>
      </c>
      <c r="K3430" s="39" t="str">
        <f>IF(OR(C3430="",NOT(ISNUMBER(E3430))),"",IFERROR(ROUND(N(INDEX(art_init,MATCH(C3430,art_ref,0)))+SUMIFS($E$5:E3430,$C$5:C3430,C3430,$B$5:B3430,"Entrée")-SUMIFS($E$5:E3430,$C$5:C3430,C3430,$B$5:B3430,"Sortie"),6),""))</f>
        <v/>
      </c>
      <c r="L3430" s="39" t="str">
        <f>IF(COUNTA(A3430:C3430,E3430)=0,"",IF(COUNTA(A3430:C3430,E3430)&lt;4,"Ligne incomplète",IF(NOT(ISNUMBER(A3430)),"Date invalide",IF(AND(B3430&lt;&gt;"Entrée",B3430&lt;&gt;"Sortie"),"Type inconnu",IF(ISNA(MATCH(C3430,art_ref,0)),"Référence inconnue",IF(OR(NOT(ISNUMBER(E3430)),N(E3430)&lt;=0),"Quantité invalide",IF(K3430&lt;0,"Stock négatif",IF(AND(ISNUMBER(A3429),A3430&lt;A3429),"Date hors ordre","OK"))))))))</f>
        <v/>
      </c>
      <c r="M3430" s="39" t="str">
        <f>IF(C3430="","",C3430&amp;"#"&amp;COUNTIF($C$5:C3430,C3430))</f>
        <v/>
      </c>
    </row>
    <row r="3431">
      <c r="A3431" s="41" t="n"/>
      <c r="B3431" s="37" t="n"/>
      <c r="C3431" s="37" t="n"/>
      <c r="D3431" s="39" t="str">
        <f>IF(C3431="","",IFERROR(INDEX(art_des,MATCH(C3431,art_ref,0))&amp;"","Référence inconnue"))</f>
        <v/>
      </c>
      <c r="E3431" s="37" t="n"/>
      <c r="F3431" s="39" t="str">
        <f>IF(C3431="","",IFERROR(INDEX(art_unit,MATCH(C3431,art_ref,0))&amp;"",""))</f>
        <v/>
      </c>
      <c r="G3431" s="37" t="n"/>
      <c r="H3431" s="37" t="n"/>
      <c r="I3431" s="37" t="n"/>
      <c r="J3431" s="40" t="str">
        <f>IF(OR(C3431="",NOT(ISNUMBER(E3431))),"",IFERROR(E3431*N(INDEX(art_price,MATCH(C3431,art_ref,0))),""))</f>
        <v/>
      </c>
      <c r="K3431" s="39" t="str">
        <f>IF(OR(C3431="",NOT(ISNUMBER(E3431))),"",IFERROR(ROUND(N(INDEX(art_init,MATCH(C3431,art_ref,0)))+SUMIFS($E$5:E3431,$C$5:C3431,C3431,$B$5:B3431,"Entrée")-SUMIFS($E$5:E3431,$C$5:C3431,C3431,$B$5:B3431,"Sortie"),6),""))</f>
        <v/>
      </c>
      <c r="L3431" s="39" t="str">
        <f>IF(COUNTA(A3431:C3431,E3431)=0,"",IF(COUNTA(A3431:C3431,E3431)&lt;4,"Ligne incomplète",IF(NOT(ISNUMBER(A3431)),"Date invalide",IF(AND(B3431&lt;&gt;"Entrée",B3431&lt;&gt;"Sortie"),"Type inconnu",IF(ISNA(MATCH(C3431,art_ref,0)),"Référence inconnue",IF(OR(NOT(ISNUMBER(E3431)),N(E3431)&lt;=0),"Quantité invalide",IF(K3431&lt;0,"Stock négatif",IF(AND(ISNUMBER(A3430),A3431&lt;A3430),"Date hors ordre","OK"))))))))</f>
        <v/>
      </c>
      <c r="M3431" s="39" t="str">
        <f>IF(C3431="","",C3431&amp;"#"&amp;COUNTIF($C$5:C3431,C3431))</f>
        <v/>
      </c>
    </row>
    <row r="3432">
      <c r="A3432" s="41" t="n"/>
      <c r="B3432" s="37" t="n"/>
      <c r="C3432" s="37" t="n"/>
      <c r="D3432" s="39" t="str">
        <f>IF(C3432="","",IFERROR(INDEX(art_des,MATCH(C3432,art_ref,0))&amp;"","Référence inconnue"))</f>
        <v/>
      </c>
      <c r="E3432" s="37" t="n"/>
      <c r="F3432" s="39" t="str">
        <f>IF(C3432="","",IFERROR(INDEX(art_unit,MATCH(C3432,art_ref,0))&amp;"",""))</f>
        <v/>
      </c>
      <c r="G3432" s="37" t="n"/>
      <c r="H3432" s="37" t="n"/>
      <c r="I3432" s="37" t="n"/>
      <c r="J3432" s="40" t="str">
        <f>IF(OR(C3432="",NOT(ISNUMBER(E3432))),"",IFERROR(E3432*N(INDEX(art_price,MATCH(C3432,art_ref,0))),""))</f>
        <v/>
      </c>
      <c r="K3432" s="39" t="str">
        <f>IF(OR(C3432="",NOT(ISNUMBER(E3432))),"",IFERROR(ROUND(N(INDEX(art_init,MATCH(C3432,art_ref,0)))+SUMIFS($E$5:E3432,$C$5:C3432,C3432,$B$5:B3432,"Entrée")-SUMIFS($E$5:E3432,$C$5:C3432,C3432,$B$5:B3432,"Sortie"),6),""))</f>
        <v/>
      </c>
      <c r="L3432" s="39" t="str">
        <f>IF(COUNTA(A3432:C3432,E3432)=0,"",IF(COUNTA(A3432:C3432,E3432)&lt;4,"Ligne incomplète",IF(NOT(ISNUMBER(A3432)),"Date invalide",IF(AND(B3432&lt;&gt;"Entrée",B3432&lt;&gt;"Sortie"),"Type inconnu",IF(ISNA(MATCH(C3432,art_ref,0)),"Référence inconnue",IF(OR(NOT(ISNUMBER(E3432)),N(E3432)&lt;=0),"Quantité invalide",IF(K3432&lt;0,"Stock négatif",IF(AND(ISNUMBER(A3431),A3432&lt;A3431),"Date hors ordre","OK"))))))))</f>
        <v/>
      </c>
      <c r="M3432" s="39" t="str">
        <f>IF(C3432="","",C3432&amp;"#"&amp;COUNTIF($C$5:C3432,C3432))</f>
        <v/>
      </c>
    </row>
    <row r="3433">
      <c r="A3433" s="41" t="n"/>
      <c r="B3433" s="37" t="n"/>
      <c r="C3433" s="37" t="n"/>
      <c r="D3433" s="39" t="str">
        <f>IF(C3433="","",IFERROR(INDEX(art_des,MATCH(C3433,art_ref,0))&amp;"","Référence inconnue"))</f>
        <v/>
      </c>
      <c r="E3433" s="37" t="n"/>
      <c r="F3433" s="39" t="str">
        <f>IF(C3433="","",IFERROR(INDEX(art_unit,MATCH(C3433,art_ref,0))&amp;"",""))</f>
        <v/>
      </c>
      <c r="G3433" s="37" t="n"/>
      <c r="H3433" s="37" t="n"/>
      <c r="I3433" s="37" t="n"/>
      <c r="J3433" s="40" t="str">
        <f>IF(OR(C3433="",NOT(ISNUMBER(E3433))),"",IFERROR(E3433*N(INDEX(art_price,MATCH(C3433,art_ref,0))),""))</f>
        <v/>
      </c>
      <c r="K3433" s="39" t="str">
        <f>IF(OR(C3433="",NOT(ISNUMBER(E3433))),"",IFERROR(ROUND(N(INDEX(art_init,MATCH(C3433,art_ref,0)))+SUMIFS($E$5:E3433,$C$5:C3433,C3433,$B$5:B3433,"Entrée")-SUMIFS($E$5:E3433,$C$5:C3433,C3433,$B$5:B3433,"Sortie"),6),""))</f>
        <v/>
      </c>
      <c r="L3433" s="39" t="str">
        <f>IF(COUNTA(A3433:C3433,E3433)=0,"",IF(COUNTA(A3433:C3433,E3433)&lt;4,"Ligne incomplète",IF(NOT(ISNUMBER(A3433)),"Date invalide",IF(AND(B3433&lt;&gt;"Entrée",B3433&lt;&gt;"Sortie"),"Type inconnu",IF(ISNA(MATCH(C3433,art_ref,0)),"Référence inconnue",IF(OR(NOT(ISNUMBER(E3433)),N(E3433)&lt;=0),"Quantité invalide",IF(K3433&lt;0,"Stock négatif",IF(AND(ISNUMBER(A3432),A3433&lt;A3432),"Date hors ordre","OK"))))))))</f>
        <v/>
      </c>
      <c r="M3433" s="39" t="str">
        <f>IF(C3433="","",C3433&amp;"#"&amp;COUNTIF($C$5:C3433,C3433))</f>
        <v/>
      </c>
    </row>
    <row r="3434">
      <c r="A3434" s="41" t="n"/>
      <c r="B3434" s="37" t="n"/>
      <c r="C3434" s="37" t="n"/>
      <c r="D3434" s="39" t="str">
        <f>IF(C3434="","",IFERROR(INDEX(art_des,MATCH(C3434,art_ref,0))&amp;"","Référence inconnue"))</f>
        <v/>
      </c>
      <c r="E3434" s="37" t="n"/>
      <c r="F3434" s="39" t="str">
        <f>IF(C3434="","",IFERROR(INDEX(art_unit,MATCH(C3434,art_ref,0))&amp;"",""))</f>
        <v/>
      </c>
      <c r="G3434" s="37" t="n"/>
      <c r="H3434" s="37" t="n"/>
      <c r="I3434" s="37" t="n"/>
      <c r="J3434" s="40" t="str">
        <f>IF(OR(C3434="",NOT(ISNUMBER(E3434))),"",IFERROR(E3434*N(INDEX(art_price,MATCH(C3434,art_ref,0))),""))</f>
        <v/>
      </c>
      <c r="K3434" s="39" t="str">
        <f>IF(OR(C3434="",NOT(ISNUMBER(E3434))),"",IFERROR(ROUND(N(INDEX(art_init,MATCH(C3434,art_ref,0)))+SUMIFS($E$5:E3434,$C$5:C3434,C3434,$B$5:B3434,"Entrée")-SUMIFS($E$5:E3434,$C$5:C3434,C3434,$B$5:B3434,"Sortie"),6),""))</f>
        <v/>
      </c>
      <c r="L3434" s="39" t="str">
        <f>IF(COUNTA(A3434:C3434,E3434)=0,"",IF(COUNTA(A3434:C3434,E3434)&lt;4,"Ligne incomplète",IF(NOT(ISNUMBER(A3434)),"Date invalide",IF(AND(B3434&lt;&gt;"Entrée",B3434&lt;&gt;"Sortie"),"Type inconnu",IF(ISNA(MATCH(C3434,art_ref,0)),"Référence inconnue",IF(OR(NOT(ISNUMBER(E3434)),N(E3434)&lt;=0),"Quantité invalide",IF(K3434&lt;0,"Stock négatif",IF(AND(ISNUMBER(A3433),A3434&lt;A3433),"Date hors ordre","OK"))))))))</f>
        <v/>
      </c>
      <c r="M3434" s="39" t="str">
        <f>IF(C3434="","",C3434&amp;"#"&amp;COUNTIF($C$5:C3434,C3434))</f>
        <v/>
      </c>
    </row>
    <row r="3435">
      <c r="A3435" s="41" t="n"/>
      <c r="B3435" s="37" t="n"/>
      <c r="C3435" s="37" t="n"/>
      <c r="D3435" s="39" t="str">
        <f>IF(C3435="","",IFERROR(INDEX(art_des,MATCH(C3435,art_ref,0))&amp;"","Référence inconnue"))</f>
        <v/>
      </c>
      <c r="E3435" s="37" t="n"/>
      <c r="F3435" s="39" t="str">
        <f>IF(C3435="","",IFERROR(INDEX(art_unit,MATCH(C3435,art_ref,0))&amp;"",""))</f>
        <v/>
      </c>
      <c r="G3435" s="37" t="n"/>
      <c r="H3435" s="37" t="n"/>
      <c r="I3435" s="37" t="n"/>
      <c r="J3435" s="40" t="str">
        <f>IF(OR(C3435="",NOT(ISNUMBER(E3435))),"",IFERROR(E3435*N(INDEX(art_price,MATCH(C3435,art_ref,0))),""))</f>
        <v/>
      </c>
      <c r="K3435" s="39" t="str">
        <f>IF(OR(C3435="",NOT(ISNUMBER(E3435))),"",IFERROR(ROUND(N(INDEX(art_init,MATCH(C3435,art_ref,0)))+SUMIFS($E$5:E3435,$C$5:C3435,C3435,$B$5:B3435,"Entrée")-SUMIFS($E$5:E3435,$C$5:C3435,C3435,$B$5:B3435,"Sortie"),6),""))</f>
        <v/>
      </c>
      <c r="L3435" s="39" t="str">
        <f>IF(COUNTA(A3435:C3435,E3435)=0,"",IF(COUNTA(A3435:C3435,E3435)&lt;4,"Ligne incomplète",IF(NOT(ISNUMBER(A3435)),"Date invalide",IF(AND(B3435&lt;&gt;"Entrée",B3435&lt;&gt;"Sortie"),"Type inconnu",IF(ISNA(MATCH(C3435,art_ref,0)),"Référence inconnue",IF(OR(NOT(ISNUMBER(E3435)),N(E3435)&lt;=0),"Quantité invalide",IF(K3435&lt;0,"Stock négatif",IF(AND(ISNUMBER(A3434),A3435&lt;A3434),"Date hors ordre","OK"))))))))</f>
        <v/>
      </c>
      <c r="M3435" s="39" t="str">
        <f>IF(C3435="","",C3435&amp;"#"&amp;COUNTIF($C$5:C3435,C3435))</f>
        <v/>
      </c>
    </row>
    <row r="3436">
      <c r="A3436" s="41" t="n"/>
      <c r="B3436" s="37" t="n"/>
      <c r="C3436" s="37" t="n"/>
      <c r="D3436" s="39" t="str">
        <f>IF(C3436="","",IFERROR(INDEX(art_des,MATCH(C3436,art_ref,0))&amp;"","Référence inconnue"))</f>
        <v/>
      </c>
      <c r="E3436" s="37" t="n"/>
      <c r="F3436" s="39" t="str">
        <f>IF(C3436="","",IFERROR(INDEX(art_unit,MATCH(C3436,art_ref,0))&amp;"",""))</f>
        <v/>
      </c>
      <c r="G3436" s="37" t="n"/>
      <c r="H3436" s="37" t="n"/>
      <c r="I3436" s="37" t="n"/>
      <c r="J3436" s="40" t="str">
        <f>IF(OR(C3436="",NOT(ISNUMBER(E3436))),"",IFERROR(E3436*N(INDEX(art_price,MATCH(C3436,art_ref,0))),""))</f>
        <v/>
      </c>
      <c r="K3436" s="39" t="str">
        <f>IF(OR(C3436="",NOT(ISNUMBER(E3436))),"",IFERROR(ROUND(N(INDEX(art_init,MATCH(C3436,art_ref,0)))+SUMIFS($E$5:E3436,$C$5:C3436,C3436,$B$5:B3436,"Entrée")-SUMIFS($E$5:E3436,$C$5:C3436,C3436,$B$5:B3436,"Sortie"),6),""))</f>
        <v/>
      </c>
      <c r="L3436" s="39" t="str">
        <f>IF(COUNTA(A3436:C3436,E3436)=0,"",IF(COUNTA(A3436:C3436,E3436)&lt;4,"Ligne incomplète",IF(NOT(ISNUMBER(A3436)),"Date invalide",IF(AND(B3436&lt;&gt;"Entrée",B3436&lt;&gt;"Sortie"),"Type inconnu",IF(ISNA(MATCH(C3436,art_ref,0)),"Référence inconnue",IF(OR(NOT(ISNUMBER(E3436)),N(E3436)&lt;=0),"Quantité invalide",IF(K3436&lt;0,"Stock négatif",IF(AND(ISNUMBER(A3435),A3436&lt;A3435),"Date hors ordre","OK"))))))))</f>
        <v/>
      </c>
      <c r="M3436" s="39" t="str">
        <f>IF(C3436="","",C3436&amp;"#"&amp;COUNTIF($C$5:C3436,C3436))</f>
        <v/>
      </c>
    </row>
    <row r="3437">
      <c r="A3437" s="41" t="n"/>
      <c r="B3437" s="37" t="n"/>
      <c r="C3437" s="37" t="n"/>
      <c r="D3437" s="39" t="str">
        <f>IF(C3437="","",IFERROR(INDEX(art_des,MATCH(C3437,art_ref,0))&amp;"","Référence inconnue"))</f>
        <v/>
      </c>
      <c r="E3437" s="37" t="n"/>
      <c r="F3437" s="39" t="str">
        <f>IF(C3437="","",IFERROR(INDEX(art_unit,MATCH(C3437,art_ref,0))&amp;"",""))</f>
        <v/>
      </c>
      <c r="G3437" s="37" t="n"/>
      <c r="H3437" s="37" t="n"/>
      <c r="I3437" s="37" t="n"/>
      <c r="J3437" s="40" t="str">
        <f>IF(OR(C3437="",NOT(ISNUMBER(E3437))),"",IFERROR(E3437*N(INDEX(art_price,MATCH(C3437,art_ref,0))),""))</f>
        <v/>
      </c>
      <c r="K3437" s="39" t="str">
        <f>IF(OR(C3437="",NOT(ISNUMBER(E3437))),"",IFERROR(ROUND(N(INDEX(art_init,MATCH(C3437,art_ref,0)))+SUMIFS($E$5:E3437,$C$5:C3437,C3437,$B$5:B3437,"Entrée")-SUMIFS($E$5:E3437,$C$5:C3437,C3437,$B$5:B3437,"Sortie"),6),""))</f>
        <v/>
      </c>
      <c r="L3437" s="39" t="str">
        <f>IF(COUNTA(A3437:C3437,E3437)=0,"",IF(COUNTA(A3437:C3437,E3437)&lt;4,"Ligne incomplète",IF(NOT(ISNUMBER(A3437)),"Date invalide",IF(AND(B3437&lt;&gt;"Entrée",B3437&lt;&gt;"Sortie"),"Type inconnu",IF(ISNA(MATCH(C3437,art_ref,0)),"Référence inconnue",IF(OR(NOT(ISNUMBER(E3437)),N(E3437)&lt;=0),"Quantité invalide",IF(K3437&lt;0,"Stock négatif",IF(AND(ISNUMBER(A3436),A3437&lt;A3436),"Date hors ordre","OK"))))))))</f>
        <v/>
      </c>
      <c r="M3437" s="39" t="str">
        <f>IF(C3437="","",C3437&amp;"#"&amp;COUNTIF($C$5:C3437,C3437))</f>
        <v/>
      </c>
    </row>
    <row r="3438">
      <c r="A3438" s="41" t="n"/>
      <c r="B3438" s="37" t="n"/>
      <c r="C3438" s="37" t="n"/>
      <c r="D3438" s="39" t="str">
        <f>IF(C3438="","",IFERROR(INDEX(art_des,MATCH(C3438,art_ref,0))&amp;"","Référence inconnue"))</f>
        <v/>
      </c>
      <c r="E3438" s="37" t="n"/>
      <c r="F3438" s="39" t="str">
        <f>IF(C3438="","",IFERROR(INDEX(art_unit,MATCH(C3438,art_ref,0))&amp;"",""))</f>
        <v/>
      </c>
      <c r="G3438" s="37" t="n"/>
      <c r="H3438" s="37" t="n"/>
      <c r="I3438" s="37" t="n"/>
      <c r="J3438" s="40" t="str">
        <f>IF(OR(C3438="",NOT(ISNUMBER(E3438))),"",IFERROR(E3438*N(INDEX(art_price,MATCH(C3438,art_ref,0))),""))</f>
        <v/>
      </c>
      <c r="K3438" s="39" t="str">
        <f>IF(OR(C3438="",NOT(ISNUMBER(E3438))),"",IFERROR(ROUND(N(INDEX(art_init,MATCH(C3438,art_ref,0)))+SUMIFS($E$5:E3438,$C$5:C3438,C3438,$B$5:B3438,"Entrée")-SUMIFS($E$5:E3438,$C$5:C3438,C3438,$B$5:B3438,"Sortie"),6),""))</f>
        <v/>
      </c>
      <c r="L3438" s="39" t="str">
        <f>IF(COUNTA(A3438:C3438,E3438)=0,"",IF(COUNTA(A3438:C3438,E3438)&lt;4,"Ligne incomplète",IF(NOT(ISNUMBER(A3438)),"Date invalide",IF(AND(B3438&lt;&gt;"Entrée",B3438&lt;&gt;"Sortie"),"Type inconnu",IF(ISNA(MATCH(C3438,art_ref,0)),"Référence inconnue",IF(OR(NOT(ISNUMBER(E3438)),N(E3438)&lt;=0),"Quantité invalide",IF(K3438&lt;0,"Stock négatif",IF(AND(ISNUMBER(A3437),A3438&lt;A3437),"Date hors ordre","OK"))))))))</f>
        <v/>
      </c>
      <c r="M3438" s="39" t="str">
        <f>IF(C3438="","",C3438&amp;"#"&amp;COUNTIF($C$5:C3438,C3438))</f>
        <v/>
      </c>
    </row>
    <row r="3439">
      <c r="A3439" s="41" t="n"/>
      <c r="B3439" s="37" t="n"/>
      <c r="C3439" s="37" t="n"/>
      <c r="D3439" s="39" t="str">
        <f>IF(C3439="","",IFERROR(INDEX(art_des,MATCH(C3439,art_ref,0))&amp;"","Référence inconnue"))</f>
        <v/>
      </c>
      <c r="E3439" s="37" t="n"/>
      <c r="F3439" s="39" t="str">
        <f>IF(C3439="","",IFERROR(INDEX(art_unit,MATCH(C3439,art_ref,0))&amp;"",""))</f>
        <v/>
      </c>
      <c r="G3439" s="37" t="n"/>
      <c r="H3439" s="37" t="n"/>
      <c r="I3439" s="37" t="n"/>
      <c r="J3439" s="40" t="str">
        <f>IF(OR(C3439="",NOT(ISNUMBER(E3439))),"",IFERROR(E3439*N(INDEX(art_price,MATCH(C3439,art_ref,0))),""))</f>
        <v/>
      </c>
      <c r="K3439" s="39" t="str">
        <f>IF(OR(C3439="",NOT(ISNUMBER(E3439))),"",IFERROR(ROUND(N(INDEX(art_init,MATCH(C3439,art_ref,0)))+SUMIFS($E$5:E3439,$C$5:C3439,C3439,$B$5:B3439,"Entrée")-SUMIFS($E$5:E3439,$C$5:C3439,C3439,$B$5:B3439,"Sortie"),6),""))</f>
        <v/>
      </c>
      <c r="L3439" s="39" t="str">
        <f>IF(COUNTA(A3439:C3439,E3439)=0,"",IF(COUNTA(A3439:C3439,E3439)&lt;4,"Ligne incomplète",IF(NOT(ISNUMBER(A3439)),"Date invalide",IF(AND(B3439&lt;&gt;"Entrée",B3439&lt;&gt;"Sortie"),"Type inconnu",IF(ISNA(MATCH(C3439,art_ref,0)),"Référence inconnue",IF(OR(NOT(ISNUMBER(E3439)),N(E3439)&lt;=0),"Quantité invalide",IF(K3439&lt;0,"Stock négatif",IF(AND(ISNUMBER(A3438),A3439&lt;A3438),"Date hors ordre","OK"))))))))</f>
        <v/>
      </c>
      <c r="M3439" s="39" t="str">
        <f>IF(C3439="","",C3439&amp;"#"&amp;COUNTIF($C$5:C3439,C3439))</f>
        <v/>
      </c>
    </row>
    <row r="3440">
      <c r="A3440" s="41" t="n"/>
      <c r="B3440" s="37" t="n"/>
      <c r="C3440" s="37" t="n"/>
      <c r="D3440" s="39" t="str">
        <f>IF(C3440="","",IFERROR(INDEX(art_des,MATCH(C3440,art_ref,0))&amp;"","Référence inconnue"))</f>
        <v/>
      </c>
      <c r="E3440" s="37" t="n"/>
      <c r="F3440" s="39" t="str">
        <f>IF(C3440="","",IFERROR(INDEX(art_unit,MATCH(C3440,art_ref,0))&amp;"",""))</f>
        <v/>
      </c>
      <c r="G3440" s="37" t="n"/>
      <c r="H3440" s="37" t="n"/>
      <c r="I3440" s="37" t="n"/>
      <c r="J3440" s="40" t="str">
        <f>IF(OR(C3440="",NOT(ISNUMBER(E3440))),"",IFERROR(E3440*N(INDEX(art_price,MATCH(C3440,art_ref,0))),""))</f>
        <v/>
      </c>
      <c r="K3440" s="39" t="str">
        <f>IF(OR(C3440="",NOT(ISNUMBER(E3440))),"",IFERROR(ROUND(N(INDEX(art_init,MATCH(C3440,art_ref,0)))+SUMIFS($E$5:E3440,$C$5:C3440,C3440,$B$5:B3440,"Entrée")-SUMIFS($E$5:E3440,$C$5:C3440,C3440,$B$5:B3440,"Sortie"),6),""))</f>
        <v/>
      </c>
      <c r="L3440" s="39" t="str">
        <f>IF(COUNTA(A3440:C3440,E3440)=0,"",IF(COUNTA(A3440:C3440,E3440)&lt;4,"Ligne incomplète",IF(NOT(ISNUMBER(A3440)),"Date invalide",IF(AND(B3440&lt;&gt;"Entrée",B3440&lt;&gt;"Sortie"),"Type inconnu",IF(ISNA(MATCH(C3440,art_ref,0)),"Référence inconnue",IF(OR(NOT(ISNUMBER(E3440)),N(E3440)&lt;=0),"Quantité invalide",IF(K3440&lt;0,"Stock négatif",IF(AND(ISNUMBER(A3439),A3440&lt;A3439),"Date hors ordre","OK"))))))))</f>
        <v/>
      </c>
      <c r="M3440" s="39" t="str">
        <f>IF(C3440="","",C3440&amp;"#"&amp;COUNTIF($C$5:C3440,C3440))</f>
        <v/>
      </c>
    </row>
    <row r="3441">
      <c r="A3441" s="41" t="n"/>
      <c r="B3441" s="37" t="n"/>
      <c r="C3441" s="37" t="n"/>
      <c r="D3441" s="39" t="str">
        <f>IF(C3441="","",IFERROR(INDEX(art_des,MATCH(C3441,art_ref,0))&amp;"","Référence inconnue"))</f>
        <v/>
      </c>
      <c r="E3441" s="37" t="n"/>
      <c r="F3441" s="39" t="str">
        <f>IF(C3441="","",IFERROR(INDEX(art_unit,MATCH(C3441,art_ref,0))&amp;"",""))</f>
        <v/>
      </c>
      <c r="G3441" s="37" t="n"/>
      <c r="H3441" s="37" t="n"/>
      <c r="I3441" s="37" t="n"/>
      <c r="J3441" s="40" t="str">
        <f>IF(OR(C3441="",NOT(ISNUMBER(E3441))),"",IFERROR(E3441*N(INDEX(art_price,MATCH(C3441,art_ref,0))),""))</f>
        <v/>
      </c>
      <c r="K3441" s="39" t="str">
        <f>IF(OR(C3441="",NOT(ISNUMBER(E3441))),"",IFERROR(ROUND(N(INDEX(art_init,MATCH(C3441,art_ref,0)))+SUMIFS($E$5:E3441,$C$5:C3441,C3441,$B$5:B3441,"Entrée")-SUMIFS($E$5:E3441,$C$5:C3441,C3441,$B$5:B3441,"Sortie"),6),""))</f>
        <v/>
      </c>
      <c r="L3441" s="39" t="str">
        <f>IF(COUNTA(A3441:C3441,E3441)=0,"",IF(COUNTA(A3441:C3441,E3441)&lt;4,"Ligne incomplète",IF(NOT(ISNUMBER(A3441)),"Date invalide",IF(AND(B3441&lt;&gt;"Entrée",B3441&lt;&gt;"Sortie"),"Type inconnu",IF(ISNA(MATCH(C3441,art_ref,0)),"Référence inconnue",IF(OR(NOT(ISNUMBER(E3441)),N(E3441)&lt;=0),"Quantité invalide",IF(K3441&lt;0,"Stock négatif",IF(AND(ISNUMBER(A3440),A3441&lt;A3440),"Date hors ordre","OK"))))))))</f>
        <v/>
      </c>
      <c r="M3441" s="39" t="str">
        <f>IF(C3441="","",C3441&amp;"#"&amp;COUNTIF($C$5:C3441,C3441))</f>
        <v/>
      </c>
    </row>
    <row r="3442">
      <c r="A3442" s="41" t="n"/>
      <c r="B3442" s="37" t="n"/>
      <c r="C3442" s="37" t="n"/>
      <c r="D3442" s="39" t="str">
        <f>IF(C3442="","",IFERROR(INDEX(art_des,MATCH(C3442,art_ref,0))&amp;"","Référence inconnue"))</f>
        <v/>
      </c>
      <c r="E3442" s="37" t="n"/>
      <c r="F3442" s="39" t="str">
        <f>IF(C3442="","",IFERROR(INDEX(art_unit,MATCH(C3442,art_ref,0))&amp;"",""))</f>
        <v/>
      </c>
      <c r="G3442" s="37" t="n"/>
      <c r="H3442" s="37" t="n"/>
      <c r="I3442" s="37" t="n"/>
      <c r="J3442" s="40" t="str">
        <f>IF(OR(C3442="",NOT(ISNUMBER(E3442))),"",IFERROR(E3442*N(INDEX(art_price,MATCH(C3442,art_ref,0))),""))</f>
        <v/>
      </c>
      <c r="K3442" s="39" t="str">
        <f>IF(OR(C3442="",NOT(ISNUMBER(E3442))),"",IFERROR(ROUND(N(INDEX(art_init,MATCH(C3442,art_ref,0)))+SUMIFS($E$5:E3442,$C$5:C3442,C3442,$B$5:B3442,"Entrée")-SUMIFS($E$5:E3442,$C$5:C3442,C3442,$B$5:B3442,"Sortie"),6),""))</f>
        <v/>
      </c>
      <c r="L3442" s="39" t="str">
        <f>IF(COUNTA(A3442:C3442,E3442)=0,"",IF(COUNTA(A3442:C3442,E3442)&lt;4,"Ligne incomplète",IF(NOT(ISNUMBER(A3442)),"Date invalide",IF(AND(B3442&lt;&gt;"Entrée",B3442&lt;&gt;"Sortie"),"Type inconnu",IF(ISNA(MATCH(C3442,art_ref,0)),"Référence inconnue",IF(OR(NOT(ISNUMBER(E3442)),N(E3442)&lt;=0),"Quantité invalide",IF(K3442&lt;0,"Stock négatif",IF(AND(ISNUMBER(A3441),A3442&lt;A3441),"Date hors ordre","OK"))))))))</f>
        <v/>
      </c>
      <c r="M3442" s="39" t="str">
        <f>IF(C3442="","",C3442&amp;"#"&amp;COUNTIF($C$5:C3442,C3442))</f>
        <v/>
      </c>
    </row>
    <row r="3443">
      <c r="A3443" s="41" t="n"/>
      <c r="B3443" s="37" t="n"/>
      <c r="C3443" s="37" t="n"/>
      <c r="D3443" s="39" t="str">
        <f>IF(C3443="","",IFERROR(INDEX(art_des,MATCH(C3443,art_ref,0))&amp;"","Référence inconnue"))</f>
        <v/>
      </c>
      <c r="E3443" s="37" t="n"/>
      <c r="F3443" s="39" t="str">
        <f>IF(C3443="","",IFERROR(INDEX(art_unit,MATCH(C3443,art_ref,0))&amp;"",""))</f>
        <v/>
      </c>
      <c r="G3443" s="37" t="n"/>
      <c r="H3443" s="37" t="n"/>
      <c r="I3443" s="37" t="n"/>
      <c r="J3443" s="40" t="str">
        <f>IF(OR(C3443="",NOT(ISNUMBER(E3443))),"",IFERROR(E3443*N(INDEX(art_price,MATCH(C3443,art_ref,0))),""))</f>
        <v/>
      </c>
      <c r="K3443" s="39" t="str">
        <f>IF(OR(C3443="",NOT(ISNUMBER(E3443))),"",IFERROR(ROUND(N(INDEX(art_init,MATCH(C3443,art_ref,0)))+SUMIFS($E$5:E3443,$C$5:C3443,C3443,$B$5:B3443,"Entrée")-SUMIFS($E$5:E3443,$C$5:C3443,C3443,$B$5:B3443,"Sortie"),6),""))</f>
        <v/>
      </c>
      <c r="L3443" s="39" t="str">
        <f>IF(COUNTA(A3443:C3443,E3443)=0,"",IF(COUNTA(A3443:C3443,E3443)&lt;4,"Ligne incomplète",IF(NOT(ISNUMBER(A3443)),"Date invalide",IF(AND(B3443&lt;&gt;"Entrée",B3443&lt;&gt;"Sortie"),"Type inconnu",IF(ISNA(MATCH(C3443,art_ref,0)),"Référence inconnue",IF(OR(NOT(ISNUMBER(E3443)),N(E3443)&lt;=0),"Quantité invalide",IF(K3443&lt;0,"Stock négatif",IF(AND(ISNUMBER(A3442),A3443&lt;A3442),"Date hors ordre","OK"))))))))</f>
        <v/>
      </c>
      <c r="M3443" s="39" t="str">
        <f>IF(C3443="","",C3443&amp;"#"&amp;COUNTIF($C$5:C3443,C3443))</f>
        <v/>
      </c>
    </row>
    <row r="3444">
      <c r="A3444" s="41" t="n"/>
      <c r="B3444" s="37" t="n"/>
      <c r="C3444" s="37" t="n"/>
      <c r="D3444" s="39" t="str">
        <f>IF(C3444="","",IFERROR(INDEX(art_des,MATCH(C3444,art_ref,0))&amp;"","Référence inconnue"))</f>
        <v/>
      </c>
      <c r="E3444" s="37" t="n"/>
      <c r="F3444" s="39" t="str">
        <f>IF(C3444="","",IFERROR(INDEX(art_unit,MATCH(C3444,art_ref,0))&amp;"",""))</f>
        <v/>
      </c>
      <c r="G3444" s="37" t="n"/>
      <c r="H3444" s="37" t="n"/>
      <c r="I3444" s="37" t="n"/>
      <c r="J3444" s="40" t="str">
        <f>IF(OR(C3444="",NOT(ISNUMBER(E3444))),"",IFERROR(E3444*N(INDEX(art_price,MATCH(C3444,art_ref,0))),""))</f>
        <v/>
      </c>
      <c r="K3444" s="39" t="str">
        <f>IF(OR(C3444="",NOT(ISNUMBER(E3444))),"",IFERROR(ROUND(N(INDEX(art_init,MATCH(C3444,art_ref,0)))+SUMIFS($E$5:E3444,$C$5:C3444,C3444,$B$5:B3444,"Entrée")-SUMIFS($E$5:E3444,$C$5:C3444,C3444,$B$5:B3444,"Sortie"),6),""))</f>
        <v/>
      </c>
      <c r="L3444" s="39" t="str">
        <f>IF(COUNTA(A3444:C3444,E3444)=0,"",IF(COUNTA(A3444:C3444,E3444)&lt;4,"Ligne incomplète",IF(NOT(ISNUMBER(A3444)),"Date invalide",IF(AND(B3444&lt;&gt;"Entrée",B3444&lt;&gt;"Sortie"),"Type inconnu",IF(ISNA(MATCH(C3444,art_ref,0)),"Référence inconnue",IF(OR(NOT(ISNUMBER(E3444)),N(E3444)&lt;=0),"Quantité invalide",IF(K3444&lt;0,"Stock négatif",IF(AND(ISNUMBER(A3443),A3444&lt;A3443),"Date hors ordre","OK"))))))))</f>
        <v/>
      </c>
      <c r="M3444" s="39" t="str">
        <f>IF(C3444="","",C3444&amp;"#"&amp;COUNTIF($C$5:C3444,C3444))</f>
        <v/>
      </c>
    </row>
    <row r="3445">
      <c r="A3445" s="41" t="n"/>
      <c r="B3445" s="37" t="n"/>
      <c r="C3445" s="37" t="n"/>
      <c r="D3445" s="39" t="str">
        <f>IF(C3445="","",IFERROR(INDEX(art_des,MATCH(C3445,art_ref,0))&amp;"","Référence inconnue"))</f>
        <v/>
      </c>
      <c r="E3445" s="37" t="n"/>
      <c r="F3445" s="39" t="str">
        <f>IF(C3445="","",IFERROR(INDEX(art_unit,MATCH(C3445,art_ref,0))&amp;"",""))</f>
        <v/>
      </c>
      <c r="G3445" s="37" t="n"/>
      <c r="H3445" s="37" t="n"/>
      <c r="I3445" s="37" t="n"/>
      <c r="J3445" s="40" t="str">
        <f>IF(OR(C3445="",NOT(ISNUMBER(E3445))),"",IFERROR(E3445*N(INDEX(art_price,MATCH(C3445,art_ref,0))),""))</f>
        <v/>
      </c>
      <c r="K3445" s="39" t="str">
        <f>IF(OR(C3445="",NOT(ISNUMBER(E3445))),"",IFERROR(ROUND(N(INDEX(art_init,MATCH(C3445,art_ref,0)))+SUMIFS($E$5:E3445,$C$5:C3445,C3445,$B$5:B3445,"Entrée")-SUMIFS($E$5:E3445,$C$5:C3445,C3445,$B$5:B3445,"Sortie"),6),""))</f>
        <v/>
      </c>
      <c r="L3445" s="39" t="str">
        <f>IF(COUNTA(A3445:C3445,E3445)=0,"",IF(COUNTA(A3445:C3445,E3445)&lt;4,"Ligne incomplète",IF(NOT(ISNUMBER(A3445)),"Date invalide",IF(AND(B3445&lt;&gt;"Entrée",B3445&lt;&gt;"Sortie"),"Type inconnu",IF(ISNA(MATCH(C3445,art_ref,0)),"Référence inconnue",IF(OR(NOT(ISNUMBER(E3445)),N(E3445)&lt;=0),"Quantité invalide",IF(K3445&lt;0,"Stock négatif",IF(AND(ISNUMBER(A3444),A3445&lt;A3444),"Date hors ordre","OK"))))))))</f>
        <v/>
      </c>
      <c r="M3445" s="39" t="str">
        <f>IF(C3445="","",C3445&amp;"#"&amp;COUNTIF($C$5:C3445,C3445))</f>
        <v/>
      </c>
    </row>
    <row r="3446">
      <c r="A3446" s="41" t="n"/>
      <c r="B3446" s="37" t="n"/>
      <c r="C3446" s="37" t="n"/>
      <c r="D3446" s="39" t="str">
        <f>IF(C3446="","",IFERROR(INDEX(art_des,MATCH(C3446,art_ref,0))&amp;"","Référence inconnue"))</f>
        <v/>
      </c>
      <c r="E3446" s="37" t="n"/>
      <c r="F3446" s="39" t="str">
        <f>IF(C3446="","",IFERROR(INDEX(art_unit,MATCH(C3446,art_ref,0))&amp;"",""))</f>
        <v/>
      </c>
      <c r="G3446" s="37" t="n"/>
      <c r="H3446" s="37" t="n"/>
      <c r="I3446" s="37" t="n"/>
      <c r="J3446" s="40" t="str">
        <f>IF(OR(C3446="",NOT(ISNUMBER(E3446))),"",IFERROR(E3446*N(INDEX(art_price,MATCH(C3446,art_ref,0))),""))</f>
        <v/>
      </c>
      <c r="K3446" s="39" t="str">
        <f>IF(OR(C3446="",NOT(ISNUMBER(E3446))),"",IFERROR(ROUND(N(INDEX(art_init,MATCH(C3446,art_ref,0)))+SUMIFS($E$5:E3446,$C$5:C3446,C3446,$B$5:B3446,"Entrée")-SUMIFS($E$5:E3446,$C$5:C3446,C3446,$B$5:B3446,"Sortie"),6),""))</f>
        <v/>
      </c>
      <c r="L3446" s="39" t="str">
        <f>IF(COUNTA(A3446:C3446,E3446)=0,"",IF(COUNTA(A3446:C3446,E3446)&lt;4,"Ligne incomplète",IF(NOT(ISNUMBER(A3446)),"Date invalide",IF(AND(B3446&lt;&gt;"Entrée",B3446&lt;&gt;"Sortie"),"Type inconnu",IF(ISNA(MATCH(C3446,art_ref,0)),"Référence inconnue",IF(OR(NOT(ISNUMBER(E3446)),N(E3446)&lt;=0),"Quantité invalide",IF(K3446&lt;0,"Stock négatif",IF(AND(ISNUMBER(A3445),A3446&lt;A3445),"Date hors ordre","OK"))))))))</f>
        <v/>
      </c>
      <c r="M3446" s="39" t="str">
        <f>IF(C3446="","",C3446&amp;"#"&amp;COUNTIF($C$5:C3446,C3446))</f>
        <v/>
      </c>
    </row>
    <row r="3447">
      <c r="A3447" s="41" t="n"/>
      <c r="B3447" s="37" t="n"/>
      <c r="C3447" s="37" t="n"/>
      <c r="D3447" s="39" t="str">
        <f>IF(C3447="","",IFERROR(INDEX(art_des,MATCH(C3447,art_ref,0))&amp;"","Référence inconnue"))</f>
        <v/>
      </c>
      <c r="E3447" s="37" t="n"/>
      <c r="F3447" s="39" t="str">
        <f>IF(C3447="","",IFERROR(INDEX(art_unit,MATCH(C3447,art_ref,0))&amp;"",""))</f>
        <v/>
      </c>
      <c r="G3447" s="37" t="n"/>
      <c r="H3447" s="37" t="n"/>
      <c r="I3447" s="37" t="n"/>
      <c r="J3447" s="40" t="str">
        <f>IF(OR(C3447="",NOT(ISNUMBER(E3447))),"",IFERROR(E3447*N(INDEX(art_price,MATCH(C3447,art_ref,0))),""))</f>
        <v/>
      </c>
      <c r="K3447" s="39" t="str">
        <f>IF(OR(C3447="",NOT(ISNUMBER(E3447))),"",IFERROR(ROUND(N(INDEX(art_init,MATCH(C3447,art_ref,0)))+SUMIFS($E$5:E3447,$C$5:C3447,C3447,$B$5:B3447,"Entrée")-SUMIFS($E$5:E3447,$C$5:C3447,C3447,$B$5:B3447,"Sortie"),6),""))</f>
        <v/>
      </c>
      <c r="L3447" s="39" t="str">
        <f>IF(COUNTA(A3447:C3447,E3447)=0,"",IF(COUNTA(A3447:C3447,E3447)&lt;4,"Ligne incomplète",IF(NOT(ISNUMBER(A3447)),"Date invalide",IF(AND(B3447&lt;&gt;"Entrée",B3447&lt;&gt;"Sortie"),"Type inconnu",IF(ISNA(MATCH(C3447,art_ref,0)),"Référence inconnue",IF(OR(NOT(ISNUMBER(E3447)),N(E3447)&lt;=0),"Quantité invalide",IF(K3447&lt;0,"Stock négatif",IF(AND(ISNUMBER(A3446),A3447&lt;A3446),"Date hors ordre","OK"))))))))</f>
        <v/>
      </c>
      <c r="M3447" s="39" t="str">
        <f>IF(C3447="","",C3447&amp;"#"&amp;COUNTIF($C$5:C3447,C3447))</f>
        <v/>
      </c>
    </row>
    <row r="3448">
      <c r="A3448" s="41" t="n"/>
      <c r="B3448" s="37" t="n"/>
      <c r="C3448" s="37" t="n"/>
      <c r="D3448" s="39" t="str">
        <f>IF(C3448="","",IFERROR(INDEX(art_des,MATCH(C3448,art_ref,0))&amp;"","Référence inconnue"))</f>
        <v/>
      </c>
      <c r="E3448" s="37" t="n"/>
      <c r="F3448" s="39" t="str">
        <f>IF(C3448="","",IFERROR(INDEX(art_unit,MATCH(C3448,art_ref,0))&amp;"",""))</f>
        <v/>
      </c>
      <c r="G3448" s="37" t="n"/>
      <c r="H3448" s="37" t="n"/>
      <c r="I3448" s="37" t="n"/>
      <c r="J3448" s="40" t="str">
        <f>IF(OR(C3448="",NOT(ISNUMBER(E3448))),"",IFERROR(E3448*N(INDEX(art_price,MATCH(C3448,art_ref,0))),""))</f>
        <v/>
      </c>
      <c r="K3448" s="39" t="str">
        <f>IF(OR(C3448="",NOT(ISNUMBER(E3448))),"",IFERROR(ROUND(N(INDEX(art_init,MATCH(C3448,art_ref,0)))+SUMIFS($E$5:E3448,$C$5:C3448,C3448,$B$5:B3448,"Entrée")-SUMIFS($E$5:E3448,$C$5:C3448,C3448,$B$5:B3448,"Sortie"),6),""))</f>
        <v/>
      </c>
      <c r="L3448" s="39" t="str">
        <f>IF(COUNTA(A3448:C3448,E3448)=0,"",IF(COUNTA(A3448:C3448,E3448)&lt;4,"Ligne incomplète",IF(NOT(ISNUMBER(A3448)),"Date invalide",IF(AND(B3448&lt;&gt;"Entrée",B3448&lt;&gt;"Sortie"),"Type inconnu",IF(ISNA(MATCH(C3448,art_ref,0)),"Référence inconnue",IF(OR(NOT(ISNUMBER(E3448)),N(E3448)&lt;=0),"Quantité invalide",IF(K3448&lt;0,"Stock négatif",IF(AND(ISNUMBER(A3447),A3448&lt;A3447),"Date hors ordre","OK"))))))))</f>
        <v/>
      </c>
      <c r="M3448" s="39" t="str">
        <f>IF(C3448="","",C3448&amp;"#"&amp;COUNTIF($C$5:C3448,C3448))</f>
        <v/>
      </c>
    </row>
    <row r="3449">
      <c r="A3449" s="41" t="n"/>
      <c r="B3449" s="37" t="n"/>
      <c r="C3449" s="37" t="n"/>
      <c r="D3449" s="39" t="str">
        <f>IF(C3449="","",IFERROR(INDEX(art_des,MATCH(C3449,art_ref,0))&amp;"","Référence inconnue"))</f>
        <v/>
      </c>
      <c r="E3449" s="37" t="n"/>
      <c r="F3449" s="39" t="str">
        <f>IF(C3449="","",IFERROR(INDEX(art_unit,MATCH(C3449,art_ref,0))&amp;"",""))</f>
        <v/>
      </c>
      <c r="G3449" s="37" t="n"/>
      <c r="H3449" s="37" t="n"/>
      <c r="I3449" s="37" t="n"/>
      <c r="J3449" s="40" t="str">
        <f>IF(OR(C3449="",NOT(ISNUMBER(E3449))),"",IFERROR(E3449*N(INDEX(art_price,MATCH(C3449,art_ref,0))),""))</f>
        <v/>
      </c>
      <c r="K3449" s="39" t="str">
        <f>IF(OR(C3449="",NOT(ISNUMBER(E3449))),"",IFERROR(ROUND(N(INDEX(art_init,MATCH(C3449,art_ref,0)))+SUMIFS($E$5:E3449,$C$5:C3449,C3449,$B$5:B3449,"Entrée")-SUMIFS($E$5:E3449,$C$5:C3449,C3449,$B$5:B3449,"Sortie"),6),""))</f>
        <v/>
      </c>
      <c r="L3449" s="39" t="str">
        <f>IF(COUNTA(A3449:C3449,E3449)=0,"",IF(COUNTA(A3449:C3449,E3449)&lt;4,"Ligne incomplète",IF(NOT(ISNUMBER(A3449)),"Date invalide",IF(AND(B3449&lt;&gt;"Entrée",B3449&lt;&gt;"Sortie"),"Type inconnu",IF(ISNA(MATCH(C3449,art_ref,0)),"Référence inconnue",IF(OR(NOT(ISNUMBER(E3449)),N(E3449)&lt;=0),"Quantité invalide",IF(K3449&lt;0,"Stock négatif",IF(AND(ISNUMBER(A3448),A3449&lt;A3448),"Date hors ordre","OK"))))))))</f>
        <v/>
      </c>
      <c r="M3449" s="39" t="str">
        <f>IF(C3449="","",C3449&amp;"#"&amp;COUNTIF($C$5:C3449,C3449))</f>
        <v/>
      </c>
    </row>
    <row r="3450">
      <c r="A3450" s="41" t="n"/>
      <c r="B3450" s="37" t="n"/>
      <c r="C3450" s="37" t="n"/>
      <c r="D3450" s="39" t="str">
        <f>IF(C3450="","",IFERROR(INDEX(art_des,MATCH(C3450,art_ref,0))&amp;"","Référence inconnue"))</f>
        <v/>
      </c>
      <c r="E3450" s="37" t="n"/>
      <c r="F3450" s="39" t="str">
        <f>IF(C3450="","",IFERROR(INDEX(art_unit,MATCH(C3450,art_ref,0))&amp;"",""))</f>
        <v/>
      </c>
      <c r="G3450" s="37" t="n"/>
      <c r="H3450" s="37" t="n"/>
      <c r="I3450" s="37" t="n"/>
      <c r="J3450" s="40" t="str">
        <f>IF(OR(C3450="",NOT(ISNUMBER(E3450))),"",IFERROR(E3450*N(INDEX(art_price,MATCH(C3450,art_ref,0))),""))</f>
        <v/>
      </c>
      <c r="K3450" s="39" t="str">
        <f>IF(OR(C3450="",NOT(ISNUMBER(E3450))),"",IFERROR(ROUND(N(INDEX(art_init,MATCH(C3450,art_ref,0)))+SUMIFS($E$5:E3450,$C$5:C3450,C3450,$B$5:B3450,"Entrée")-SUMIFS($E$5:E3450,$C$5:C3450,C3450,$B$5:B3450,"Sortie"),6),""))</f>
        <v/>
      </c>
      <c r="L3450" s="39" t="str">
        <f>IF(COUNTA(A3450:C3450,E3450)=0,"",IF(COUNTA(A3450:C3450,E3450)&lt;4,"Ligne incomplète",IF(NOT(ISNUMBER(A3450)),"Date invalide",IF(AND(B3450&lt;&gt;"Entrée",B3450&lt;&gt;"Sortie"),"Type inconnu",IF(ISNA(MATCH(C3450,art_ref,0)),"Référence inconnue",IF(OR(NOT(ISNUMBER(E3450)),N(E3450)&lt;=0),"Quantité invalide",IF(K3450&lt;0,"Stock négatif",IF(AND(ISNUMBER(A3449),A3450&lt;A3449),"Date hors ordre","OK"))))))))</f>
        <v/>
      </c>
      <c r="M3450" s="39" t="str">
        <f>IF(C3450="","",C3450&amp;"#"&amp;COUNTIF($C$5:C3450,C3450))</f>
        <v/>
      </c>
    </row>
    <row r="3451">
      <c r="A3451" s="41" t="n"/>
      <c r="B3451" s="37" t="n"/>
      <c r="C3451" s="37" t="n"/>
      <c r="D3451" s="39" t="str">
        <f>IF(C3451="","",IFERROR(INDEX(art_des,MATCH(C3451,art_ref,0))&amp;"","Référence inconnue"))</f>
        <v/>
      </c>
      <c r="E3451" s="37" t="n"/>
      <c r="F3451" s="39" t="str">
        <f>IF(C3451="","",IFERROR(INDEX(art_unit,MATCH(C3451,art_ref,0))&amp;"",""))</f>
        <v/>
      </c>
      <c r="G3451" s="37" t="n"/>
      <c r="H3451" s="37" t="n"/>
      <c r="I3451" s="37" t="n"/>
      <c r="J3451" s="40" t="str">
        <f>IF(OR(C3451="",NOT(ISNUMBER(E3451))),"",IFERROR(E3451*N(INDEX(art_price,MATCH(C3451,art_ref,0))),""))</f>
        <v/>
      </c>
      <c r="K3451" s="39" t="str">
        <f>IF(OR(C3451="",NOT(ISNUMBER(E3451))),"",IFERROR(ROUND(N(INDEX(art_init,MATCH(C3451,art_ref,0)))+SUMIFS($E$5:E3451,$C$5:C3451,C3451,$B$5:B3451,"Entrée")-SUMIFS($E$5:E3451,$C$5:C3451,C3451,$B$5:B3451,"Sortie"),6),""))</f>
        <v/>
      </c>
      <c r="L3451" s="39" t="str">
        <f>IF(COUNTA(A3451:C3451,E3451)=0,"",IF(COUNTA(A3451:C3451,E3451)&lt;4,"Ligne incomplète",IF(NOT(ISNUMBER(A3451)),"Date invalide",IF(AND(B3451&lt;&gt;"Entrée",B3451&lt;&gt;"Sortie"),"Type inconnu",IF(ISNA(MATCH(C3451,art_ref,0)),"Référence inconnue",IF(OR(NOT(ISNUMBER(E3451)),N(E3451)&lt;=0),"Quantité invalide",IF(K3451&lt;0,"Stock négatif",IF(AND(ISNUMBER(A3450),A3451&lt;A3450),"Date hors ordre","OK"))))))))</f>
        <v/>
      </c>
      <c r="M3451" s="39" t="str">
        <f>IF(C3451="","",C3451&amp;"#"&amp;COUNTIF($C$5:C3451,C3451))</f>
        <v/>
      </c>
    </row>
    <row r="3452">
      <c r="A3452" s="41" t="n"/>
      <c r="B3452" s="37" t="n"/>
      <c r="C3452" s="37" t="n"/>
      <c r="D3452" s="39" t="str">
        <f>IF(C3452="","",IFERROR(INDEX(art_des,MATCH(C3452,art_ref,0))&amp;"","Référence inconnue"))</f>
        <v/>
      </c>
      <c r="E3452" s="37" t="n"/>
      <c r="F3452" s="39" t="str">
        <f>IF(C3452="","",IFERROR(INDEX(art_unit,MATCH(C3452,art_ref,0))&amp;"",""))</f>
        <v/>
      </c>
      <c r="G3452" s="37" t="n"/>
      <c r="H3452" s="37" t="n"/>
      <c r="I3452" s="37" t="n"/>
      <c r="J3452" s="40" t="str">
        <f>IF(OR(C3452="",NOT(ISNUMBER(E3452))),"",IFERROR(E3452*N(INDEX(art_price,MATCH(C3452,art_ref,0))),""))</f>
        <v/>
      </c>
      <c r="K3452" s="39" t="str">
        <f>IF(OR(C3452="",NOT(ISNUMBER(E3452))),"",IFERROR(ROUND(N(INDEX(art_init,MATCH(C3452,art_ref,0)))+SUMIFS($E$5:E3452,$C$5:C3452,C3452,$B$5:B3452,"Entrée")-SUMIFS($E$5:E3452,$C$5:C3452,C3452,$B$5:B3452,"Sortie"),6),""))</f>
        <v/>
      </c>
      <c r="L3452" s="39" t="str">
        <f>IF(COUNTA(A3452:C3452,E3452)=0,"",IF(COUNTA(A3452:C3452,E3452)&lt;4,"Ligne incomplète",IF(NOT(ISNUMBER(A3452)),"Date invalide",IF(AND(B3452&lt;&gt;"Entrée",B3452&lt;&gt;"Sortie"),"Type inconnu",IF(ISNA(MATCH(C3452,art_ref,0)),"Référence inconnue",IF(OR(NOT(ISNUMBER(E3452)),N(E3452)&lt;=0),"Quantité invalide",IF(K3452&lt;0,"Stock négatif",IF(AND(ISNUMBER(A3451),A3452&lt;A3451),"Date hors ordre","OK"))))))))</f>
        <v/>
      </c>
      <c r="M3452" s="39" t="str">
        <f>IF(C3452="","",C3452&amp;"#"&amp;COUNTIF($C$5:C3452,C3452))</f>
        <v/>
      </c>
    </row>
    <row r="3453">
      <c r="A3453" s="41" t="n"/>
      <c r="B3453" s="37" t="n"/>
      <c r="C3453" s="37" t="n"/>
      <c r="D3453" s="39" t="str">
        <f>IF(C3453="","",IFERROR(INDEX(art_des,MATCH(C3453,art_ref,0))&amp;"","Référence inconnue"))</f>
        <v/>
      </c>
      <c r="E3453" s="37" t="n"/>
      <c r="F3453" s="39" t="str">
        <f>IF(C3453="","",IFERROR(INDEX(art_unit,MATCH(C3453,art_ref,0))&amp;"",""))</f>
        <v/>
      </c>
      <c r="G3453" s="37" t="n"/>
      <c r="H3453" s="37" t="n"/>
      <c r="I3453" s="37" t="n"/>
      <c r="J3453" s="40" t="str">
        <f>IF(OR(C3453="",NOT(ISNUMBER(E3453))),"",IFERROR(E3453*N(INDEX(art_price,MATCH(C3453,art_ref,0))),""))</f>
        <v/>
      </c>
      <c r="K3453" s="39" t="str">
        <f>IF(OR(C3453="",NOT(ISNUMBER(E3453))),"",IFERROR(ROUND(N(INDEX(art_init,MATCH(C3453,art_ref,0)))+SUMIFS($E$5:E3453,$C$5:C3453,C3453,$B$5:B3453,"Entrée")-SUMIFS($E$5:E3453,$C$5:C3453,C3453,$B$5:B3453,"Sortie"),6),""))</f>
        <v/>
      </c>
      <c r="L3453" s="39" t="str">
        <f>IF(COUNTA(A3453:C3453,E3453)=0,"",IF(COUNTA(A3453:C3453,E3453)&lt;4,"Ligne incomplète",IF(NOT(ISNUMBER(A3453)),"Date invalide",IF(AND(B3453&lt;&gt;"Entrée",B3453&lt;&gt;"Sortie"),"Type inconnu",IF(ISNA(MATCH(C3453,art_ref,0)),"Référence inconnue",IF(OR(NOT(ISNUMBER(E3453)),N(E3453)&lt;=0),"Quantité invalide",IF(K3453&lt;0,"Stock négatif",IF(AND(ISNUMBER(A3452),A3453&lt;A3452),"Date hors ordre","OK"))))))))</f>
        <v/>
      </c>
      <c r="M3453" s="39" t="str">
        <f>IF(C3453="","",C3453&amp;"#"&amp;COUNTIF($C$5:C3453,C3453))</f>
        <v/>
      </c>
    </row>
    <row r="3454">
      <c r="A3454" s="41" t="n"/>
      <c r="B3454" s="37" t="n"/>
      <c r="C3454" s="37" t="n"/>
      <c r="D3454" s="39" t="str">
        <f>IF(C3454="","",IFERROR(INDEX(art_des,MATCH(C3454,art_ref,0))&amp;"","Référence inconnue"))</f>
        <v/>
      </c>
      <c r="E3454" s="37" t="n"/>
      <c r="F3454" s="39" t="str">
        <f>IF(C3454="","",IFERROR(INDEX(art_unit,MATCH(C3454,art_ref,0))&amp;"",""))</f>
        <v/>
      </c>
      <c r="G3454" s="37" t="n"/>
      <c r="H3454" s="37" t="n"/>
      <c r="I3454" s="37" t="n"/>
      <c r="J3454" s="40" t="str">
        <f>IF(OR(C3454="",NOT(ISNUMBER(E3454))),"",IFERROR(E3454*N(INDEX(art_price,MATCH(C3454,art_ref,0))),""))</f>
        <v/>
      </c>
      <c r="K3454" s="39" t="str">
        <f>IF(OR(C3454="",NOT(ISNUMBER(E3454))),"",IFERROR(ROUND(N(INDEX(art_init,MATCH(C3454,art_ref,0)))+SUMIFS($E$5:E3454,$C$5:C3454,C3454,$B$5:B3454,"Entrée")-SUMIFS($E$5:E3454,$C$5:C3454,C3454,$B$5:B3454,"Sortie"),6),""))</f>
        <v/>
      </c>
      <c r="L3454" s="39" t="str">
        <f>IF(COUNTA(A3454:C3454,E3454)=0,"",IF(COUNTA(A3454:C3454,E3454)&lt;4,"Ligne incomplète",IF(NOT(ISNUMBER(A3454)),"Date invalide",IF(AND(B3454&lt;&gt;"Entrée",B3454&lt;&gt;"Sortie"),"Type inconnu",IF(ISNA(MATCH(C3454,art_ref,0)),"Référence inconnue",IF(OR(NOT(ISNUMBER(E3454)),N(E3454)&lt;=0),"Quantité invalide",IF(K3454&lt;0,"Stock négatif",IF(AND(ISNUMBER(A3453),A3454&lt;A3453),"Date hors ordre","OK"))))))))</f>
        <v/>
      </c>
      <c r="M3454" s="39" t="str">
        <f>IF(C3454="","",C3454&amp;"#"&amp;COUNTIF($C$5:C3454,C3454))</f>
        <v/>
      </c>
    </row>
    <row r="3455">
      <c r="A3455" s="41" t="n"/>
      <c r="B3455" s="37" t="n"/>
      <c r="C3455" s="37" t="n"/>
      <c r="D3455" s="39" t="str">
        <f>IF(C3455="","",IFERROR(INDEX(art_des,MATCH(C3455,art_ref,0))&amp;"","Référence inconnue"))</f>
        <v/>
      </c>
      <c r="E3455" s="37" t="n"/>
      <c r="F3455" s="39" t="str">
        <f>IF(C3455="","",IFERROR(INDEX(art_unit,MATCH(C3455,art_ref,0))&amp;"",""))</f>
        <v/>
      </c>
      <c r="G3455" s="37" t="n"/>
      <c r="H3455" s="37" t="n"/>
      <c r="I3455" s="37" t="n"/>
      <c r="J3455" s="40" t="str">
        <f>IF(OR(C3455="",NOT(ISNUMBER(E3455))),"",IFERROR(E3455*N(INDEX(art_price,MATCH(C3455,art_ref,0))),""))</f>
        <v/>
      </c>
      <c r="K3455" s="39" t="str">
        <f>IF(OR(C3455="",NOT(ISNUMBER(E3455))),"",IFERROR(ROUND(N(INDEX(art_init,MATCH(C3455,art_ref,0)))+SUMIFS($E$5:E3455,$C$5:C3455,C3455,$B$5:B3455,"Entrée")-SUMIFS($E$5:E3455,$C$5:C3455,C3455,$B$5:B3455,"Sortie"),6),""))</f>
        <v/>
      </c>
      <c r="L3455" s="39" t="str">
        <f>IF(COUNTA(A3455:C3455,E3455)=0,"",IF(COUNTA(A3455:C3455,E3455)&lt;4,"Ligne incomplète",IF(NOT(ISNUMBER(A3455)),"Date invalide",IF(AND(B3455&lt;&gt;"Entrée",B3455&lt;&gt;"Sortie"),"Type inconnu",IF(ISNA(MATCH(C3455,art_ref,0)),"Référence inconnue",IF(OR(NOT(ISNUMBER(E3455)),N(E3455)&lt;=0),"Quantité invalide",IF(K3455&lt;0,"Stock négatif",IF(AND(ISNUMBER(A3454),A3455&lt;A3454),"Date hors ordre","OK"))))))))</f>
        <v/>
      </c>
      <c r="M3455" s="39" t="str">
        <f>IF(C3455="","",C3455&amp;"#"&amp;COUNTIF($C$5:C3455,C3455))</f>
        <v/>
      </c>
    </row>
    <row r="3456">
      <c r="A3456" s="41" t="n"/>
      <c r="B3456" s="37" t="n"/>
      <c r="C3456" s="37" t="n"/>
      <c r="D3456" s="39" t="str">
        <f>IF(C3456="","",IFERROR(INDEX(art_des,MATCH(C3456,art_ref,0))&amp;"","Référence inconnue"))</f>
        <v/>
      </c>
      <c r="E3456" s="37" t="n"/>
      <c r="F3456" s="39" t="str">
        <f>IF(C3456="","",IFERROR(INDEX(art_unit,MATCH(C3456,art_ref,0))&amp;"",""))</f>
        <v/>
      </c>
      <c r="G3456" s="37" t="n"/>
      <c r="H3456" s="37" t="n"/>
      <c r="I3456" s="37" t="n"/>
      <c r="J3456" s="40" t="str">
        <f>IF(OR(C3456="",NOT(ISNUMBER(E3456))),"",IFERROR(E3456*N(INDEX(art_price,MATCH(C3456,art_ref,0))),""))</f>
        <v/>
      </c>
      <c r="K3456" s="39" t="str">
        <f>IF(OR(C3456="",NOT(ISNUMBER(E3456))),"",IFERROR(ROUND(N(INDEX(art_init,MATCH(C3456,art_ref,0)))+SUMIFS($E$5:E3456,$C$5:C3456,C3456,$B$5:B3456,"Entrée")-SUMIFS($E$5:E3456,$C$5:C3456,C3456,$B$5:B3456,"Sortie"),6),""))</f>
        <v/>
      </c>
      <c r="L3456" s="39" t="str">
        <f>IF(COUNTA(A3456:C3456,E3456)=0,"",IF(COUNTA(A3456:C3456,E3456)&lt;4,"Ligne incomplète",IF(NOT(ISNUMBER(A3456)),"Date invalide",IF(AND(B3456&lt;&gt;"Entrée",B3456&lt;&gt;"Sortie"),"Type inconnu",IF(ISNA(MATCH(C3456,art_ref,0)),"Référence inconnue",IF(OR(NOT(ISNUMBER(E3456)),N(E3456)&lt;=0),"Quantité invalide",IF(K3456&lt;0,"Stock négatif",IF(AND(ISNUMBER(A3455),A3456&lt;A3455),"Date hors ordre","OK"))))))))</f>
        <v/>
      </c>
      <c r="M3456" s="39" t="str">
        <f>IF(C3456="","",C3456&amp;"#"&amp;COUNTIF($C$5:C3456,C3456))</f>
        <v/>
      </c>
    </row>
    <row r="3457">
      <c r="A3457" s="41" t="n"/>
      <c r="B3457" s="37" t="n"/>
      <c r="C3457" s="37" t="n"/>
      <c r="D3457" s="39" t="str">
        <f>IF(C3457="","",IFERROR(INDEX(art_des,MATCH(C3457,art_ref,0))&amp;"","Référence inconnue"))</f>
        <v/>
      </c>
      <c r="E3457" s="37" t="n"/>
      <c r="F3457" s="39" t="str">
        <f>IF(C3457="","",IFERROR(INDEX(art_unit,MATCH(C3457,art_ref,0))&amp;"",""))</f>
        <v/>
      </c>
      <c r="G3457" s="37" t="n"/>
      <c r="H3457" s="37" t="n"/>
      <c r="I3457" s="37" t="n"/>
      <c r="J3457" s="40" t="str">
        <f>IF(OR(C3457="",NOT(ISNUMBER(E3457))),"",IFERROR(E3457*N(INDEX(art_price,MATCH(C3457,art_ref,0))),""))</f>
        <v/>
      </c>
      <c r="K3457" s="39" t="str">
        <f>IF(OR(C3457="",NOT(ISNUMBER(E3457))),"",IFERROR(ROUND(N(INDEX(art_init,MATCH(C3457,art_ref,0)))+SUMIFS($E$5:E3457,$C$5:C3457,C3457,$B$5:B3457,"Entrée")-SUMIFS($E$5:E3457,$C$5:C3457,C3457,$B$5:B3457,"Sortie"),6),""))</f>
        <v/>
      </c>
      <c r="L3457" s="39" t="str">
        <f>IF(COUNTA(A3457:C3457,E3457)=0,"",IF(COUNTA(A3457:C3457,E3457)&lt;4,"Ligne incomplète",IF(NOT(ISNUMBER(A3457)),"Date invalide",IF(AND(B3457&lt;&gt;"Entrée",B3457&lt;&gt;"Sortie"),"Type inconnu",IF(ISNA(MATCH(C3457,art_ref,0)),"Référence inconnue",IF(OR(NOT(ISNUMBER(E3457)),N(E3457)&lt;=0),"Quantité invalide",IF(K3457&lt;0,"Stock négatif",IF(AND(ISNUMBER(A3456),A3457&lt;A3456),"Date hors ordre","OK"))))))))</f>
        <v/>
      </c>
      <c r="M3457" s="39" t="str">
        <f>IF(C3457="","",C3457&amp;"#"&amp;COUNTIF($C$5:C3457,C3457))</f>
        <v/>
      </c>
    </row>
    <row r="3458">
      <c r="A3458" s="41" t="n"/>
      <c r="B3458" s="37" t="n"/>
      <c r="C3458" s="37" t="n"/>
      <c r="D3458" s="39" t="str">
        <f>IF(C3458="","",IFERROR(INDEX(art_des,MATCH(C3458,art_ref,0))&amp;"","Référence inconnue"))</f>
        <v/>
      </c>
      <c r="E3458" s="37" t="n"/>
      <c r="F3458" s="39" t="str">
        <f>IF(C3458="","",IFERROR(INDEX(art_unit,MATCH(C3458,art_ref,0))&amp;"",""))</f>
        <v/>
      </c>
      <c r="G3458" s="37" t="n"/>
      <c r="H3458" s="37" t="n"/>
      <c r="I3458" s="37" t="n"/>
      <c r="J3458" s="40" t="str">
        <f>IF(OR(C3458="",NOT(ISNUMBER(E3458))),"",IFERROR(E3458*N(INDEX(art_price,MATCH(C3458,art_ref,0))),""))</f>
        <v/>
      </c>
      <c r="K3458" s="39" t="str">
        <f>IF(OR(C3458="",NOT(ISNUMBER(E3458))),"",IFERROR(ROUND(N(INDEX(art_init,MATCH(C3458,art_ref,0)))+SUMIFS($E$5:E3458,$C$5:C3458,C3458,$B$5:B3458,"Entrée")-SUMIFS($E$5:E3458,$C$5:C3458,C3458,$B$5:B3458,"Sortie"),6),""))</f>
        <v/>
      </c>
      <c r="L3458" s="39" t="str">
        <f>IF(COUNTA(A3458:C3458,E3458)=0,"",IF(COUNTA(A3458:C3458,E3458)&lt;4,"Ligne incomplète",IF(NOT(ISNUMBER(A3458)),"Date invalide",IF(AND(B3458&lt;&gt;"Entrée",B3458&lt;&gt;"Sortie"),"Type inconnu",IF(ISNA(MATCH(C3458,art_ref,0)),"Référence inconnue",IF(OR(NOT(ISNUMBER(E3458)),N(E3458)&lt;=0),"Quantité invalide",IF(K3458&lt;0,"Stock négatif",IF(AND(ISNUMBER(A3457),A3458&lt;A3457),"Date hors ordre","OK"))))))))</f>
        <v/>
      </c>
      <c r="M3458" s="39" t="str">
        <f>IF(C3458="","",C3458&amp;"#"&amp;COUNTIF($C$5:C3458,C3458))</f>
        <v/>
      </c>
    </row>
    <row r="3459">
      <c r="A3459" s="41" t="n"/>
      <c r="B3459" s="37" t="n"/>
      <c r="C3459" s="37" t="n"/>
      <c r="D3459" s="39" t="str">
        <f>IF(C3459="","",IFERROR(INDEX(art_des,MATCH(C3459,art_ref,0))&amp;"","Référence inconnue"))</f>
        <v/>
      </c>
      <c r="E3459" s="37" t="n"/>
      <c r="F3459" s="39" t="str">
        <f>IF(C3459="","",IFERROR(INDEX(art_unit,MATCH(C3459,art_ref,0))&amp;"",""))</f>
        <v/>
      </c>
      <c r="G3459" s="37" t="n"/>
      <c r="H3459" s="37" t="n"/>
      <c r="I3459" s="37" t="n"/>
      <c r="J3459" s="40" t="str">
        <f>IF(OR(C3459="",NOT(ISNUMBER(E3459))),"",IFERROR(E3459*N(INDEX(art_price,MATCH(C3459,art_ref,0))),""))</f>
        <v/>
      </c>
      <c r="K3459" s="39" t="str">
        <f>IF(OR(C3459="",NOT(ISNUMBER(E3459))),"",IFERROR(ROUND(N(INDEX(art_init,MATCH(C3459,art_ref,0)))+SUMIFS($E$5:E3459,$C$5:C3459,C3459,$B$5:B3459,"Entrée")-SUMIFS($E$5:E3459,$C$5:C3459,C3459,$B$5:B3459,"Sortie"),6),""))</f>
        <v/>
      </c>
      <c r="L3459" s="39" t="str">
        <f>IF(COUNTA(A3459:C3459,E3459)=0,"",IF(COUNTA(A3459:C3459,E3459)&lt;4,"Ligne incomplète",IF(NOT(ISNUMBER(A3459)),"Date invalide",IF(AND(B3459&lt;&gt;"Entrée",B3459&lt;&gt;"Sortie"),"Type inconnu",IF(ISNA(MATCH(C3459,art_ref,0)),"Référence inconnue",IF(OR(NOT(ISNUMBER(E3459)),N(E3459)&lt;=0),"Quantité invalide",IF(K3459&lt;0,"Stock négatif",IF(AND(ISNUMBER(A3458),A3459&lt;A3458),"Date hors ordre","OK"))))))))</f>
        <v/>
      </c>
      <c r="M3459" s="39" t="str">
        <f>IF(C3459="","",C3459&amp;"#"&amp;COUNTIF($C$5:C3459,C3459))</f>
        <v/>
      </c>
    </row>
    <row r="3460">
      <c r="A3460" s="41" t="n"/>
      <c r="B3460" s="37" t="n"/>
      <c r="C3460" s="37" t="n"/>
      <c r="D3460" s="39" t="str">
        <f>IF(C3460="","",IFERROR(INDEX(art_des,MATCH(C3460,art_ref,0))&amp;"","Référence inconnue"))</f>
        <v/>
      </c>
      <c r="E3460" s="37" t="n"/>
      <c r="F3460" s="39" t="str">
        <f>IF(C3460="","",IFERROR(INDEX(art_unit,MATCH(C3460,art_ref,0))&amp;"",""))</f>
        <v/>
      </c>
      <c r="G3460" s="37" t="n"/>
      <c r="H3460" s="37" t="n"/>
      <c r="I3460" s="37" t="n"/>
      <c r="J3460" s="40" t="str">
        <f>IF(OR(C3460="",NOT(ISNUMBER(E3460))),"",IFERROR(E3460*N(INDEX(art_price,MATCH(C3460,art_ref,0))),""))</f>
        <v/>
      </c>
      <c r="K3460" s="39" t="str">
        <f>IF(OR(C3460="",NOT(ISNUMBER(E3460))),"",IFERROR(ROUND(N(INDEX(art_init,MATCH(C3460,art_ref,0)))+SUMIFS($E$5:E3460,$C$5:C3460,C3460,$B$5:B3460,"Entrée")-SUMIFS($E$5:E3460,$C$5:C3460,C3460,$B$5:B3460,"Sortie"),6),""))</f>
        <v/>
      </c>
      <c r="L3460" s="39" t="str">
        <f>IF(COUNTA(A3460:C3460,E3460)=0,"",IF(COUNTA(A3460:C3460,E3460)&lt;4,"Ligne incomplète",IF(NOT(ISNUMBER(A3460)),"Date invalide",IF(AND(B3460&lt;&gt;"Entrée",B3460&lt;&gt;"Sortie"),"Type inconnu",IF(ISNA(MATCH(C3460,art_ref,0)),"Référence inconnue",IF(OR(NOT(ISNUMBER(E3460)),N(E3460)&lt;=0),"Quantité invalide",IF(K3460&lt;0,"Stock négatif",IF(AND(ISNUMBER(A3459),A3460&lt;A3459),"Date hors ordre","OK"))))))))</f>
        <v/>
      </c>
      <c r="M3460" s="39" t="str">
        <f>IF(C3460="","",C3460&amp;"#"&amp;COUNTIF($C$5:C3460,C3460))</f>
        <v/>
      </c>
    </row>
    <row r="3461">
      <c r="A3461" s="41" t="n"/>
      <c r="B3461" s="37" t="n"/>
      <c r="C3461" s="37" t="n"/>
      <c r="D3461" s="39" t="str">
        <f>IF(C3461="","",IFERROR(INDEX(art_des,MATCH(C3461,art_ref,0))&amp;"","Référence inconnue"))</f>
        <v/>
      </c>
      <c r="E3461" s="37" t="n"/>
      <c r="F3461" s="39" t="str">
        <f>IF(C3461="","",IFERROR(INDEX(art_unit,MATCH(C3461,art_ref,0))&amp;"",""))</f>
        <v/>
      </c>
      <c r="G3461" s="37" t="n"/>
      <c r="H3461" s="37" t="n"/>
      <c r="I3461" s="37" t="n"/>
      <c r="J3461" s="40" t="str">
        <f>IF(OR(C3461="",NOT(ISNUMBER(E3461))),"",IFERROR(E3461*N(INDEX(art_price,MATCH(C3461,art_ref,0))),""))</f>
        <v/>
      </c>
      <c r="K3461" s="39" t="str">
        <f>IF(OR(C3461="",NOT(ISNUMBER(E3461))),"",IFERROR(ROUND(N(INDEX(art_init,MATCH(C3461,art_ref,0)))+SUMIFS($E$5:E3461,$C$5:C3461,C3461,$B$5:B3461,"Entrée")-SUMIFS($E$5:E3461,$C$5:C3461,C3461,$B$5:B3461,"Sortie"),6),""))</f>
        <v/>
      </c>
      <c r="L3461" s="39" t="str">
        <f>IF(COUNTA(A3461:C3461,E3461)=0,"",IF(COUNTA(A3461:C3461,E3461)&lt;4,"Ligne incomplète",IF(NOT(ISNUMBER(A3461)),"Date invalide",IF(AND(B3461&lt;&gt;"Entrée",B3461&lt;&gt;"Sortie"),"Type inconnu",IF(ISNA(MATCH(C3461,art_ref,0)),"Référence inconnue",IF(OR(NOT(ISNUMBER(E3461)),N(E3461)&lt;=0),"Quantité invalide",IF(K3461&lt;0,"Stock négatif",IF(AND(ISNUMBER(A3460),A3461&lt;A3460),"Date hors ordre","OK"))))))))</f>
        <v/>
      </c>
      <c r="M3461" s="39" t="str">
        <f>IF(C3461="","",C3461&amp;"#"&amp;COUNTIF($C$5:C3461,C3461))</f>
        <v/>
      </c>
    </row>
    <row r="3462">
      <c r="A3462" s="41" t="n"/>
      <c r="B3462" s="37" t="n"/>
      <c r="C3462" s="37" t="n"/>
      <c r="D3462" s="39" t="str">
        <f>IF(C3462="","",IFERROR(INDEX(art_des,MATCH(C3462,art_ref,0))&amp;"","Référence inconnue"))</f>
        <v/>
      </c>
      <c r="E3462" s="37" t="n"/>
      <c r="F3462" s="39" t="str">
        <f>IF(C3462="","",IFERROR(INDEX(art_unit,MATCH(C3462,art_ref,0))&amp;"",""))</f>
        <v/>
      </c>
      <c r="G3462" s="37" t="n"/>
      <c r="H3462" s="37" t="n"/>
      <c r="I3462" s="37" t="n"/>
      <c r="J3462" s="40" t="str">
        <f>IF(OR(C3462="",NOT(ISNUMBER(E3462))),"",IFERROR(E3462*N(INDEX(art_price,MATCH(C3462,art_ref,0))),""))</f>
        <v/>
      </c>
      <c r="K3462" s="39" t="str">
        <f>IF(OR(C3462="",NOT(ISNUMBER(E3462))),"",IFERROR(ROUND(N(INDEX(art_init,MATCH(C3462,art_ref,0)))+SUMIFS($E$5:E3462,$C$5:C3462,C3462,$B$5:B3462,"Entrée")-SUMIFS($E$5:E3462,$C$5:C3462,C3462,$B$5:B3462,"Sortie"),6),""))</f>
        <v/>
      </c>
      <c r="L3462" s="39" t="str">
        <f>IF(COUNTA(A3462:C3462,E3462)=0,"",IF(COUNTA(A3462:C3462,E3462)&lt;4,"Ligne incomplète",IF(NOT(ISNUMBER(A3462)),"Date invalide",IF(AND(B3462&lt;&gt;"Entrée",B3462&lt;&gt;"Sortie"),"Type inconnu",IF(ISNA(MATCH(C3462,art_ref,0)),"Référence inconnue",IF(OR(NOT(ISNUMBER(E3462)),N(E3462)&lt;=0),"Quantité invalide",IF(K3462&lt;0,"Stock négatif",IF(AND(ISNUMBER(A3461),A3462&lt;A3461),"Date hors ordre","OK"))))))))</f>
        <v/>
      </c>
      <c r="M3462" s="39" t="str">
        <f>IF(C3462="","",C3462&amp;"#"&amp;COUNTIF($C$5:C3462,C3462))</f>
        <v/>
      </c>
    </row>
    <row r="3463">
      <c r="A3463" s="41" t="n"/>
      <c r="B3463" s="37" t="n"/>
      <c r="C3463" s="37" t="n"/>
      <c r="D3463" s="39" t="str">
        <f>IF(C3463="","",IFERROR(INDEX(art_des,MATCH(C3463,art_ref,0))&amp;"","Référence inconnue"))</f>
        <v/>
      </c>
      <c r="E3463" s="37" t="n"/>
      <c r="F3463" s="39" t="str">
        <f>IF(C3463="","",IFERROR(INDEX(art_unit,MATCH(C3463,art_ref,0))&amp;"",""))</f>
        <v/>
      </c>
      <c r="G3463" s="37" t="n"/>
      <c r="H3463" s="37" t="n"/>
      <c r="I3463" s="37" t="n"/>
      <c r="J3463" s="40" t="str">
        <f>IF(OR(C3463="",NOT(ISNUMBER(E3463))),"",IFERROR(E3463*N(INDEX(art_price,MATCH(C3463,art_ref,0))),""))</f>
        <v/>
      </c>
      <c r="K3463" s="39" t="str">
        <f>IF(OR(C3463="",NOT(ISNUMBER(E3463))),"",IFERROR(ROUND(N(INDEX(art_init,MATCH(C3463,art_ref,0)))+SUMIFS($E$5:E3463,$C$5:C3463,C3463,$B$5:B3463,"Entrée")-SUMIFS($E$5:E3463,$C$5:C3463,C3463,$B$5:B3463,"Sortie"),6),""))</f>
        <v/>
      </c>
      <c r="L3463" s="39" t="str">
        <f>IF(COUNTA(A3463:C3463,E3463)=0,"",IF(COUNTA(A3463:C3463,E3463)&lt;4,"Ligne incomplète",IF(NOT(ISNUMBER(A3463)),"Date invalide",IF(AND(B3463&lt;&gt;"Entrée",B3463&lt;&gt;"Sortie"),"Type inconnu",IF(ISNA(MATCH(C3463,art_ref,0)),"Référence inconnue",IF(OR(NOT(ISNUMBER(E3463)),N(E3463)&lt;=0),"Quantité invalide",IF(K3463&lt;0,"Stock négatif",IF(AND(ISNUMBER(A3462),A3463&lt;A3462),"Date hors ordre","OK"))))))))</f>
        <v/>
      </c>
      <c r="M3463" s="39" t="str">
        <f>IF(C3463="","",C3463&amp;"#"&amp;COUNTIF($C$5:C3463,C3463))</f>
        <v/>
      </c>
    </row>
    <row r="3464">
      <c r="A3464" s="41" t="n"/>
      <c r="B3464" s="37" t="n"/>
      <c r="C3464" s="37" t="n"/>
      <c r="D3464" s="39" t="str">
        <f>IF(C3464="","",IFERROR(INDEX(art_des,MATCH(C3464,art_ref,0))&amp;"","Référence inconnue"))</f>
        <v/>
      </c>
      <c r="E3464" s="37" t="n"/>
      <c r="F3464" s="39" t="str">
        <f>IF(C3464="","",IFERROR(INDEX(art_unit,MATCH(C3464,art_ref,0))&amp;"",""))</f>
        <v/>
      </c>
      <c r="G3464" s="37" t="n"/>
      <c r="H3464" s="37" t="n"/>
      <c r="I3464" s="37" t="n"/>
      <c r="J3464" s="40" t="str">
        <f>IF(OR(C3464="",NOT(ISNUMBER(E3464))),"",IFERROR(E3464*N(INDEX(art_price,MATCH(C3464,art_ref,0))),""))</f>
        <v/>
      </c>
      <c r="K3464" s="39" t="str">
        <f>IF(OR(C3464="",NOT(ISNUMBER(E3464))),"",IFERROR(ROUND(N(INDEX(art_init,MATCH(C3464,art_ref,0)))+SUMIFS($E$5:E3464,$C$5:C3464,C3464,$B$5:B3464,"Entrée")-SUMIFS($E$5:E3464,$C$5:C3464,C3464,$B$5:B3464,"Sortie"),6),""))</f>
        <v/>
      </c>
      <c r="L3464" s="39" t="str">
        <f>IF(COUNTA(A3464:C3464,E3464)=0,"",IF(COUNTA(A3464:C3464,E3464)&lt;4,"Ligne incomplète",IF(NOT(ISNUMBER(A3464)),"Date invalide",IF(AND(B3464&lt;&gt;"Entrée",B3464&lt;&gt;"Sortie"),"Type inconnu",IF(ISNA(MATCH(C3464,art_ref,0)),"Référence inconnue",IF(OR(NOT(ISNUMBER(E3464)),N(E3464)&lt;=0),"Quantité invalide",IF(K3464&lt;0,"Stock négatif",IF(AND(ISNUMBER(A3463),A3464&lt;A3463),"Date hors ordre","OK"))))))))</f>
        <v/>
      </c>
      <c r="M3464" s="39" t="str">
        <f>IF(C3464="","",C3464&amp;"#"&amp;COUNTIF($C$5:C3464,C3464))</f>
        <v/>
      </c>
    </row>
    <row r="3465">
      <c r="A3465" s="41" t="n"/>
      <c r="B3465" s="37" t="n"/>
      <c r="C3465" s="37" t="n"/>
      <c r="D3465" s="39" t="str">
        <f>IF(C3465="","",IFERROR(INDEX(art_des,MATCH(C3465,art_ref,0))&amp;"","Référence inconnue"))</f>
        <v/>
      </c>
      <c r="E3465" s="37" t="n"/>
      <c r="F3465" s="39" t="str">
        <f>IF(C3465="","",IFERROR(INDEX(art_unit,MATCH(C3465,art_ref,0))&amp;"",""))</f>
        <v/>
      </c>
      <c r="G3465" s="37" t="n"/>
      <c r="H3465" s="37" t="n"/>
      <c r="I3465" s="37" t="n"/>
      <c r="J3465" s="40" t="str">
        <f>IF(OR(C3465="",NOT(ISNUMBER(E3465))),"",IFERROR(E3465*N(INDEX(art_price,MATCH(C3465,art_ref,0))),""))</f>
        <v/>
      </c>
      <c r="K3465" s="39" t="str">
        <f>IF(OR(C3465="",NOT(ISNUMBER(E3465))),"",IFERROR(ROUND(N(INDEX(art_init,MATCH(C3465,art_ref,0)))+SUMIFS($E$5:E3465,$C$5:C3465,C3465,$B$5:B3465,"Entrée")-SUMIFS($E$5:E3465,$C$5:C3465,C3465,$B$5:B3465,"Sortie"),6),""))</f>
        <v/>
      </c>
      <c r="L3465" s="39" t="str">
        <f>IF(COUNTA(A3465:C3465,E3465)=0,"",IF(COUNTA(A3465:C3465,E3465)&lt;4,"Ligne incomplète",IF(NOT(ISNUMBER(A3465)),"Date invalide",IF(AND(B3465&lt;&gt;"Entrée",B3465&lt;&gt;"Sortie"),"Type inconnu",IF(ISNA(MATCH(C3465,art_ref,0)),"Référence inconnue",IF(OR(NOT(ISNUMBER(E3465)),N(E3465)&lt;=0),"Quantité invalide",IF(K3465&lt;0,"Stock négatif",IF(AND(ISNUMBER(A3464),A3465&lt;A3464),"Date hors ordre","OK"))))))))</f>
        <v/>
      </c>
      <c r="M3465" s="39" t="str">
        <f>IF(C3465="","",C3465&amp;"#"&amp;COUNTIF($C$5:C3465,C3465))</f>
        <v/>
      </c>
    </row>
    <row r="3466">
      <c r="A3466" s="41" t="n"/>
      <c r="B3466" s="37" t="n"/>
      <c r="C3466" s="37" t="n"/>
      <c r="D3466" s="39" t="str">
        <f>IF(C3466="","",IFERROR(INDEX(art_des,MATCH(C3466,art_ref,0))&amp;"","Référence inconnue"))</f>
        <v/>
      </c>
      <c r="E3466" s="37" t="n"/>
      <c r="F3466" s="39" t="str">
        <f>IF(C3466="","",IFERROR(INDEX(art_unit,MATCH(C3466,art_ref,0))&amp;"",""))</f>
        <v/>
      </c>
      <c r="G3466" s="37" t="n"/>
      <c r="H3466" s="37" t="n"/>
      <c r="I3466" s="37" t="n"/>
      <c r="J3466" s="40" t="str">
        <f>IF(OR(C3466="",NOT(ISNUMBER(E3466))),"",IFERROR(E3466*N(INDEX(art_price,MATCH(C3466,art_ref,0))),""))</f>
        <v/>
      </c>
      <c r="K3466" s="39" t="str">
        <f>IF(OR(C3466="",NOT(ISNUMBER(E3466))),"",IFERROR(ROUND(N(INDEX(art_init,MATCH(C3466,art_ref,0)))+SUMIFS($E$5:E3466,$C$5:C3466,C3466,$B$5:B3466,"Entrée")-SUMIFS($E$5:E3466,$C$5:C3466,C3466,$B$5:B3466,"Sortie"),6),""))</f>
        <v/>
      </c>
      <c r="L3466" s="39" t="str">
        <f>IF(COUNTA(A3466:C3466,E3466)=0,"",IF(COUNTA(A3466:C3466,E3466)&lt;4,"Ligne incomplète",IF(NOT(ISNUMBER(A3466)),"Date invalide",IF(AND(B3466&lt;&gt;"Entrée",B3466&lt;&gt;"Sortie"),"Type inconnu",IF(ISNA(MATCH(C3466,art_ref,0)),"Référence inconnue",IF(OR(NOT(ISNUMBER(E3466)),N(E3466)&lt;=0),"Quantité invalide",IF(K3466&lt;0,"Stock négatif",IF(AND(ISNUMBER(A3465),A3466&lt;A3465),"Date hors ordre","OK"))))))))</f>
        <v/>
      </c>
      <c r="M3466" s="39" t="str">
        <f>IF(C3466="","",C3466&amp;"#"&amp;COUNTIF($C$5:C3466,C3466))</f>
        <v/>
      </c>
    </row>
    <row r="3467">
      <c r="A3467" s="41" t="n"/>
      <c r="B3467" s="37" t="n"/>
      <c r="C3467" s="37" t="n"/>
      <c r="D3467" s="39" t="str">
        <f>IF(C3467="","",IFERROR(INDEX(art_des,MATCH(C3467,art_ref,0))&amp;"","Référence inconnue"))</f>
        <v/>
      </c>
      <c r="E3467" s="37" t="n"/>
      <c r="F3467" s="39" t="str">
        <f>IF(C3467="","",IFERROR(INDEX(art_unit,MATCH(C3467,art_ref,0))&amp;"",""))</f>
        <v/>
      </c>
      <c r="G3467" s="37" t="n"/>
      <c r="H3467" s="37" t="n"/>
      <c r="I3467" s="37" t="n"/>
      <c r="J3467" s="40" t="str">
        <f>IF(OR(C3467="",NOT(ISNUMBER(E3467))),"",IFERROR(E3467*N(INDEX(art_price,MATCH(C3467,art_ref,0))),""))</f>
        <v/>
      </c>
      <c r="K3467" s="39" t="str">
        <f>IF(OR(C3467="",NOT(ISNUMBER(E3467))),"",IFERROR(ROUND(N(INDEX(art_init,MATCH(C3467,art_ref,0)))+SUMIFS($E$5:E3467,$C$5:C3467,C3467,$B$5:B3467,"Entrée")-SUMIFS($E$5:E3467,$C$5:C3467,C3467,$B$5:B3467,"Sortie"),6),""))</f>
        <v/>
      </c>
      <c r="L3467" s="39" t="str">
        <f>IF(COUNTA(A3467:C3467,E3467)=0,"",IF(COUNTA(A3467:C3467,E3467)&lt;4,"Ligne incomplète",IF(NOT(ISNUMBER(A3467)),"Date invalide",IF(AND(B3467&lt;&gt;"Entrée",B3467&lt;&gt;"Sortie"),"Type inconnu",IF(ISNA(MATCH(C3467,art_ref,0)),"Référence inconnue",IF(OR(NOT(ISNUMBER(E3467)),N(E3467)&lt;=0),"Quantité invalide",IF(K3467&lt;0,"Stock négatif",IF(AND(ISNUMBER(A3466),A3467&lt;A3466),"Date hors ordre","OK"))))))))</f>
        <v/>
      </c>
      <c r="M3467" s="39" t="str">
        <f>IF(C3467="","",C3467&amp;"#"&amp;COUNTIF($C$5:C3467,C3467))</f>
        <v/>
      </c>
    </row>
    <row r="3468">
      <c r="A3468" s="41" t="n"/>
      <c r="B3468" s="37" t="n"/>
      <c r="C3468" s="37" t="n"/>
      <c r="D3468" s="39" t="str">
        <f>IF(C3468="","",IFERROR(INDEX(art_des,MATCH(C3468,art_ref,0))&amp;"","Référence inconnue"))</f>
        <v/>
      </c>
      <c r="E3468" s="37" t="n"/>
      <c r="F3468" s="39" t="str">
        <f>IF(C3468="","",IFERROR(INDEX(art_unit,MATCH(C3468,art_ref,0))&amp;"",""))</f>
        <v/>
      </c>
      <c r="G3468" s="37" t="n"/>
      <c r="H3468" s="37" t="n"/>
      <c r="I3468" s="37" t="n"/>
      <c r="J3468" s="40" t="str">
        <f>IF(OR(C3468="",NOT(ISNUMBER(E3468))),"",IFERROR(E3468*N(INDEX(art_price,MATCH(C3468,art_ref,0))),""))</f>
        <v/>
      </c>
      <c r="K3468" s="39" t="str">
        <f>IF(OR(C3468="",NOT(ISNUMBER(E3468))),"",IFERROR(ROUND(N(INDEX(art_init,MATCH(C3468,art_ref,0)))+SUMIFS($E$5:E3468,$C$5:C3468,C3468,$B$5:B3468,"Entrée")-SUMIFS($E$5:E3468,$C$5:C3468,C3468,$B$5:B3468,"Sortie"),6),""))</f>
        <v/>
      </c>
      <c r="L3468" s="39" t="str">
        <f>IF(COUNTA(A3468:C3468,E3468)=0,"",IF(COUNTA(A3468:C3468,E3468)&lt;4,"Ligne incomplète",IF(NOT(ISNUMBER(A3468)),"Date invalide",IF(AND(B3468&lt;&gt;"Entrée",B3468&lt;&gt;"Sortie"),"Type inconnu",IF(ISNA(MATCH(C3468,art_ref,0)),"Référence inconnue",IF(OR(NOT(ISNUMBER(E3468)),N(E3468)&lt;=0),"Quantité invalide",IF(K3468&lt;0,"Stock négatif",IF(AND(ISNUMBER(A3467),A3468&lt;A3467),"Date hors ordre","OK"))))))))</f>
        <v/>
      </c>
      <c r="M3468" s="39" t="str">
        <f>IF(C3468="","",C3468&amp;"#"&amp;COUNTIF($C$5:C3468,C3468))</f>
        <v/>
      </c>
    </row>
    <row r="3469">
      <c r="A3469" s="41" t="n"/>
      <c r="B3469" s="37" t="n"/>
      <c r="C3469" s="37" t="n"/>
      <c r="D3469" s="39" t="str">
        <f>IF(C3469="","",IFERROR(INDEX(art_des,MATCH(C3469,art_ref,0))&amp;"","Référence inconnue"))</f>
        <v/>
      </c>
      <c r="E3469" s="37" t="n"/>
      <c r="F3469" s="39" t="str">
        <f>IF(C3469="","",IFERROR(INDEX(art_unit,MATCH(C3469,art_ref,0))&amp;"",""))</f>
        <v/>
      </c>
      <c r="G3469" s="37" t="n"/>
      <c r="H3469" s="37" t="n"/>
      <c r="I3469" s="37" t="n"/>
      <c r="J3469" s="40" t="str">
        <f>IF(OR(C3469="",NOT(ISNUMBER(E3469))),"",IFERROR(E3469*N(INDEX(art_price,MATCH(C3469,art_ref,0))),""))</f>
        <v/>
      </c>
      <c r="K3469" s="39" t="str">
        <f>IF(OR(C3469="",NOT(ISNUMBER(E3469))),"",IFERROR(ROUND(N(INDEX(art_init,MATCH(C3469,art_ref,0)))+SUMIFS($E$5:E3469,$C$5:C3469,C3469,$B$5:B3469,"Entrée")-SUMIFS($E$5:E3469,$C$5:C3469,C3469,$B$5:B3469,"Sortie"),6),""))</f>
        <v/>
      </c>
      <c r="L3469" s="39" t="str">
        <f>IF(COUNTA(A3469:C3469,E3469)=0,"",IF(COUNTA(A3469:C3469,E3469)&lt;4,"Ligne incomplète",IF(NOT(ISNUMBER(A3469)),"Date invalide",IF(AND(B3469&lt;&gt;"Entrée",B3469&lt;&gt;"Sortie"),"Type inconnu",IF(ISNA(MATCH(C3469,art_ref,0)),"Référence inconnue",IF(OR(NOT(ISNUMBER(E3469)),N(E3469)&lt;=0),"Quantité invalide",IF(K3469&lt;0,"Stock négatif",IF(AND(ISNUMBER(A3468),A3469&lt;A3468),"Date hors ordre","OK"))))))))</f>
        <v/>
      </c>
      <c r="M3469" s="39" t="str">
        <f>IF(C3469="","",C3469&amp;"#"&amp;COUNTIF($C$5:C3469,C3469))</f>
        <v/>
      </c>
    </row>
    <row r="3470">
      <c r="A3470" s="41" t="n"/>
      <c r="B3470" s="37" t="n"/>
      <c r="C3470" s="37" t="n"/>
      <c r="D3470" s="39" t="str">
        <f>IF(C3470="","",IFERROR(INDEX(art_des,MATCH(C3470,art_ref,0))&amp;"","Référence inconnue"))</f>
        <v/>
      </c>
      <c r="E3470" s="37" t="n"/>
      <c r="F3470" s="39" t="str">
        <f>IF(C3470="","",IFERROR(INDEX(art_unit,MATCH(C3470,art_ref,0))&amp;"",""))</f>
        <v/>
      </c>
      <c r="G3470" s="37" t="n"/>
      <c r="H3470" s="37" t="n"/>
      <c r="I3470" s="37" t="n"/>
      <c r="J3470" s="40" t="str">
        <f>IF(OR(C3470="",NOT(ISNUMBER(E3470))),"",IFERROR(E3470*N(INDEX(art_price,MATCH(C3470,art_ref,0))),""))</f>
        <v/>
      </c>
      <c r="K3470" s="39" t="str">
        <f>IF(OR(C3470="",NOT(ISNUMBER(E3470))),"",IFERROR(ROUND(N(INDEX(art_init,MATCH(C3470,art_ref,0)))+SUMIFS($E$5:E3470,$C$5:C3470,C3470,$B$5:B3470,"Entrée")-SUMIFS($E$5:E3470,$C$5:C3470,C3470,$B$5:B3470,"Sortie"),6),""))</f>
        <v/>
      </c>
      <c r="L3470" s="39" t="str">
        <f>IF(COUNTA(A3470:C3470,E3470)=0,"",IF(COUNTA(A3470:C3470,E3470)&lt;4,"Ligne incomplète",IF(NOT(ISNUMBER(A3470)),"Date invalide",IF(AND(B3470&lt;&gt;"Entrée",B3470&lt;&gt;"Sortie"),"Type inconnu",IF(ISNA(MATCH(C3470,art_ref,0)),"Référence inconnue",IF(OR(NOT(ISNUMBER(E3470)),N(E3470)&lt;=0),"Quantité invalide",IF(K3470&lt;0,"Stock négatif",IF(AND(ISNUMBER(A3469),A3470&lt;A3469),"Date hors ordre","OK"))))))))</f>
        <v/>
      </c>
      <c r="M3470" s="39" t="str">
        <f>IF(C3470="","",C3470&amp;"#"&amp;COUNTIF($C$5:C3470,C3470))</f>
        <v/>
      </c>
    </row>
    <row r="3471">
      <c r="A3471" s="41" t="n"/>
      <c r="B3471" s="37" t="n"/>
      <c r="C3471" s="37" t="n"/>
      <c r="D3471" s="39" t="str">
        <f>IF(C3471="","",IFERROR(INDEX(art_des,MATCH(C3471,art_ref,0))&amp;"","Référence inconnue"))</f>
        <v/>
      </c>
      <c r="E3471" s="37" t="n"/>
      <c r="F3471" s="39" t="str">
        <f>IF(C3471="","",IFERROR(INDEX(art_unit,MATCH(C3471,art_ref,0))&amp;"",""))</f>
        <v/>
      </c>
      <c r="G3471" s="37" t="n"/>
      <c r="H3471" s="37" t="n"/>
      <c r="I3471" s="37" t="n"/>
      <c r="J3471" s="40" t="str">
        <f>IF(OR(C3471="",NOT(ISNUMBER(E3471))),"",IFERROR(E3471*N(INDEX(art_price,MATCH(C3471,art_ref,0))),""))</f>
        <v/>
      </c>
      <c r="K3471" s="39" t="str">
        <f>IF(OR(C3471="",NOT(ISNUMBER(E3471))),"",IFERROR(ROUND(N(INDEX(art_init,MATCH(C3471,art_ref,0)))+SUMIFS($E$5:E3471,$C$5:C3471,C3471,$B$5:B3471,"Entrée")-SUMIFS($E$5:E3471,$C$5:C3471,C3471,$B$5:B3471,"Sortie"),6),""))</f>
        <v/>
      </c>
      <c r="L3471" s="39" t="str">
        <f>IF(COUNTA(A3471:C3471,E3471)=0,"",IF(COUNTA(A3471:C3471,E3471)&lt;4,"Ligne incomplète",IF(NOT(ISNUMBER(A3471)),"Date invalide",IF(AND(B3471&lt;&gt;"Entrée",B3471&lt;&gt;"Sortie"),"Type inconnu",IF(ISNA(MATCH(C3471,art_ref,0)),"Référence inconnue",IF(OR(NOT(ISNUMBER(E3471)),N(E3471)&lt;=0),"Quantité invalide",IF(K3471&lt;0,"Stock négatif",IF(AND(ISNUMBER(A3470),A3471&lt;A3470),"Date hors ordre","OK"))))))))</f>
        <v/>
      </c>
      <c r="M3471" s="39" t="str">
        <f>IF(C3471="","",C3471&amp;"#"&amp;COUNTIF($C$5:C3471,C3471))</f>
        <v/>
      </c>
    </row>
    <row r="3472">
      <c r="A3472" s="41" t="n"/>
      <c r="B3472" s="37" t="n"/>
      <c r="C3472" s="37" t="n"/>
      <c r="D3472" s="39" t="str">
        <f>IF(C3472="","",IFERROR(INDEX(art_des,MATCH(C3472,art_ref,0))&amp;"","Référence inconnue"))</f>
        <v/>
      </c>
      <c r="E3472" s="37" t="n"/>
      <c r="F3472" s="39" t="str">
        <f>IF(C3472="","",IFERROR(INDEX(art_unit,MATCH(C3472,art_ref,0))&amp;"",""))</f>
        <v/>
      </c>
      <c r="G3472" s="37" t="n"/>
      <c r="H3472" s="37" t="n"/>
      <c r="I3472" s="37" t="n"/>
      <c r="J3472" s="40" t="str">
        <f>IF(OR(C3472="",NOT(ISNUMBER(E3472))),"",IFERROR(E3472*N(INDEX(art_price,MATCH(C3472,art_ref,0))),""))</f>
        <v/>
      </c>
      <c r="K3472" s="39" t="str">
        <f>IF(OR(C3472="",NOT(ISNUMBER(E3472))),"",IFERROR(ROUND(N(INDEX(art_init,MATCH(C3472,art_ref,0)))+SUMIFS($E$5:E3472,$C$5:C3472,C3472,$B$5:B3472,"Entrée")-SUMIFS($E$5:E3472,$C$5:C3472,C3472,$B$5:B3472,"Sortie"),6),""))</f>
        <v/>
      </c>
      <c r="L3472" s="39" t="str">
        <f>IF(COUNTA(A3472:C3472,E3472)=0,"",IF(COUNTA(A3472:C3472,E3472)&lt;4,"Ligne incomplète",IF(NOT(ISNUMBER(A3472)),"Date invalide",IF(AND(B3472&lt;&gt;"Entrée",B3472&lt;&gt;"Sortie"),"Type inconnu",IF(ISNA(MATCH(C3472,art_ref,0)),"Référence inconnue",IF(OR(NOT(ISNUMBER(E3472)),N(E3472)&lt;=0),"Quantité invalide",IF(K3472&lt;0,"Stock négatif",IF(AND(ISNUMBER(A3471),A3472&lt;A3471),"Date hors ordre","OK"))))))))</f>
        <v/>
      </c>
      <c r="M3472" s="39" t="str">
        <f>IF(C3472="","",C3472&amp;"#"&amp;COUNTIF($C$5:C3472,C3472))</f>
        <v/>
      </c>
    </row>
    <row r="3473">
      <c r="A3473" s="41" t="n"/>
      <c r="B3473" s="37" t="n"/>
      <c r="C3473" s="37" t="n"/>
      <c r="D3473" s="39" t="str">
        <f>IF(C3473="","",IFERROR(INDEX(art_des,MATCH(C3473,art_ref,0))&amp;"","Référence inconnue"))</f>
        <v/>
      </c>
      <c r="E3473" s="37" t="n"/>
      <c r="F3473" s="39" t="str">
        <f>IF(C3473="","",IFERROR(INDEX(art_unit,MATCH(C3473,art_ref,0))&amp;"",""))</f>
        <v/>
      </c>
      <c r="G3473" s="37" t="n"/>
      <c r="H3473" s="37" t="n"/>
      <c r="I3473" s="37" t="n"/>
      <c r="J3473" s="40" t="str">
        <f>IF(OR(C3473="",NOT(ISNUMBER(E3473))),"",IFERROR(E3473*N(INDEX(art_price,MATCH(C3473,art_ref,0))),""))</f>
        <v/>
      </c>
      <c r="K3473" s="39" t="str">
        <f>IF(OR(C3473="",NOT(ISNUMBER(E3473))),"",IFERROR(ROUND(N(INDEX(art_init,MATCH(C3473,art_ref,0)))+SUMIFS($E$5:E3473,$C$5:C3473,C3473,$B$5:B3473,"Entrée")-SUMIFS($E$5:E3473,$C$5:C3473,C3473,$B$5:B3473,"Sortie"),6),""))</f>
        <v/>
      </c>
      <c r="L3473" s="39" t="str">
        <f>IF(COUNTA(A3473:C3473,E3473)=0,"",IF(COUNTA(A3473:C3473,E3473)&lt;4,"Ligne incomplète",IF(NOT(ISNUMBER(A3473)),"Date invalide",IF(AND(B3473&lt;&gt;"Entrée",B3473&lt;&gt;"Sortie"),"Type inconnu",IF(ISNA(MATCH(C3473,art_ref,0)),"Référence inconnue",IF(OR(NOT(ISNUMBER(E3473)),N(E3473)&lt;=0),"Quantité invalide",IF(K3473&lt;0,"Stock négatif",IF(AND(ISNUMBER(A3472),A3473&lt;A3472),"Date hors ordre","OK"))))))))</f>
        <v/>
      </c>
      <c r="M3473" s="39" t="str">
        <f>IF(C3473="","",C3473&amp;"#"&amp;COUNTIF($C$5:C3473,C3473))</f>
        <v/>
      </c>
    </row>
    <row r="3474">
      <c r="A3474" s="41" t="n"/>
      <c r="B3474" s="37" t="n"/>
      <c r="C3474" s="37" t="n"/>
      <c r="D3474" s="39" t="str">
        <f>IF(C3474="","",IFERROR(INDEX(art_des,MATCH(C3474,art_ref,0))&amp;"","Référence inconnue"))</f>
        <v/>
      </c>
      <c r="E3474" s="37" t="n"/>
      <c r="F3474" s="39" t="str">
        <f>IF(C3474="","",IFERROR(INDEX(art_unit,MATCH(C3474,art_ref,0))&amp;"",""))</f>
        <v/>
      </c>
      <c r="G3474" s="37" t="n"/>
      <c r="H3474" s="37" t="n"/>
      <c r="I3474" s="37" t="n"/>
      <c r="J3474" s="40" t="str">
        <f>IF(OR(C3474="",NOT(ISNUMBER(E3474))),"",IFERROR(E3474*N(INDEX(art_price,MATCH(C3474,art_ref,0))),""))</f>
        <v/>
      </c>
      <c r="K3474" s="39" t="str">
        <f>IF(OR(C3474="",NOT(ISNUMBER(E3474))),"",IFERROR(ROUND(N(INDEX(art_init,MATCH(C3474,art_ref,0)))+SUMIFS($E$5:E3474,$C$5:C3474,C3474,$B$5:B3474,"Entrée")-SUMIFS($E$5:E3474,$C$5:C3474,C3474,$B$5:B3474,"Sortie"),6),""))</f>
        <v/>
      </c>
      <c r="L3474" s="39" t="str">
        <f>IF(COUNTA(A3474:C3474,E3474)=0,"",IF(COUNTA(A3474:C3474,E3474)&lt;4,"Ligne incomplète",IF(NOT(ISNUMBER(A3474)),"Date invalide",IF(AND(B3474&lt;&gt;"Entrée",B3474&lt;&gt;"Sortie"),"Type inconnu",IF(ISNA(MATCH(C3474,art_ref,0)),"Référence inconnue",IF(OR(NOT(ISNUMBER(E3474)),N(E3474)&lt;=0),"Quantité invalide",IF(K3474&lt;0,"Stock négatif",IF(AND(ISNUMBER(A3473),A3474&lt;A3473),"Date hors ordre","OK"))))))))</f>
        <v/>
      </c>
      <c r="M3474" s="39" t="str">
        <f>IF(C3474="","",C3474&amp;"#"&amp;COUNTIF($C$5:C3474,C3474))</f>
        <v/>
      </c>
    </row>
    <row r="3475">
      <c r="A3475" s="41" t="n"/>
      <c r="B3475" s="37" t="n"/>
      <c r="C3475" s="37" t="n"/>
      <c r="D3475" s="39" t="str">
        <f>IF(C3475="","",IFERROR(INDEX(art_des,MATCH(C3475,art_ref,0))&amp;"","Référence inconnue"))</f>
        <v/>
      </c>
      <c r="E3475" s="37" t="n"/>
      <c r="F3475" s="39" t="str">
        <f>IF(C3475="","",IFERROR(INDEX(art_unit,MATCH(C3475,art_ref,0))&amp;"",""))</f>
        <v/>
      </c>
      <c r="G3475" s="37" t="n"/>
      <c r="H3475" s="37" t="n"/>
      <c r="I3475" s="37" t="n"/>
      <c r="J3475" s="40" t="str">
        <f>IF(OR(C3475="",NOT(ISNUMBER(E3475))),"",IFERROR(E3475*N(INDEX(art_price,MATCH(C3475,art_ref,0))),""))</f>
        <v/>
      </c>
      <c r="K3475" s="39" t="str">
        <f>IF(OR(C3475="",NOT(ISNUMBER(E3475))),"",IFERROR(ROUND(N(INDEX(art_init,MATCH(C3475,art_ref,0)))+SUMIFS($E$5:E3475,$C$5:C3475,C3475,$B$5:B3475,"Entrée")-SUMIFS($E$5:E3475,$C$5:C3475,C3475,$B$5:B3475,"Sortie"),6),""))</f>
        <v/>
      </c>
      <c r="L3475" s="39" t="str">
        <f>IF(COUNTA(A3475:C3475,E3475)=0,"",IF(COUNTA(A3475:C3475,E3475)&lt;4,"Ligne incomplète",IF(NOT(ISNUMBER(A3475)),"Date invalide",IF(AND(B3475&lt;&gt;"Entrée",B3475&lt;&gt;"Sortie"),"Type inconnu",IF(ISNA(MATCH(C3475,art_ref,0)),"Référence inconnue",IF(OR(NOT(ISNUMBER(E3475)),N(E3475)&lt;=0),"Quantité invalide",IF(K3475&lt;0,"Stock négatif",IF(AND(ISNUMBER(A3474),A3475&lt;A3474),"Date hors ordre","OK"))))))))</f>
        <v/>
      </c>
      <c r="M3475" s="39" t="str">
        <f>IF(C3475="","",C3475&amp;"#"&amp;COUNTIF($C$5:C3475,C3475))</f>
        <v/>
      </c>
    </row>
    <row r="3476">
      <c r="A3476" s="41" t="n"/>
      <c r="B3476" s="37" t="n"/>
      <c r="C3476" s="37" t="n"/>
      <c r="D3476" s="39" t="str">
        <f>IF(C3476="","",IFERROR(INDEX(art_des,MATCH(C3476,art_ref,0))&amp;"","Référence inconnue"))</f>
        <v/>
      </c>
      <c r="E3476" s="37" t="n"/>
      <c r="F3476" s="39" t="str">
        <f>IF(C3476="","",IFERROR(INDEX(art_unit,MATCH(C3476,art_ref,0))&amp;"",""))</f>
        <v/>
      </c>
      <c r="G3476" s="37" t="n"/>
      <c r="H3476" s="37" t="n"/>
      <c r="I3476" s="37" t="n"/>
      <c r="J3476" s="40" t="str">
        <f>IF(OR(C3476="",NOT(ISNUMBER(E3476))),"",IFERROR(E3476*N(INDEX(art_price,MATCH(C3476,art_ref,0))),""))</f>
        <v/>
      </c>
      <c r="K3476" s="39" t="str">
        <f>IF(OR(C3476="",NOT(ISNUMBER(E3476))),"",IFERROR(ROUND(N(INDEX(art_init,MATCH(C3476,art_ref,0)))+SUMIFS($E$5:E3476,$C$5:C3476,C3476,$B$5:B3476,"Entrée")-SUMIFS($E$5:E3476,$C$5:C3476,C3476,$B$5:B3476,"Sortie"),6),""))</f>
        <v/>
      </c>
      <c r="L3476" s="39" t="str">
        <f>IF(COUNTA(A3476:C3476,E3476)=0,"",IF(COUNTA(A3476:C3476,E3476)&lt;4,"Ligne incomplète",IF(NOT(ISNUMBER(A3476)),"Date invalide",IF(AND(B3476&lt;&gt;"Entrée",B3476&lt;&gt;"Sortie"),"Type inconnu",IF(ISNA(MATCH(C3476,art_ref,0)),"Référence inconnue",IF(OR(NOT(ISNUMBER(E3476)),N(E3476)&lt;=0),"Quantité invalide",IF(K3476&lt;0,"Stock négatif",IF(AND(ISNUMBER(A3475),A3476&lt;A3475),"Date hors ordre","OK"))))))))</f>
        <v/>
      </c>
      <c r="M3476" s="39" t="str">
        <f>IF(C3476="","",C3476&amp;"#"&amp;COUNTIF($C$5:C3476,C3476))</f>
        <v/>
      </c>
    </row>
    <row r="3477">
      <c r="A3477" s="41" t="n"/>
      <c r="B3477" s="37" t="n"/>
      <c r="C3477" s="37" t="n"/>
      <c r="D3477" s="39" t="str">
        <f>IF(C3477="","",IFERROR(INDEX(art_des,MATCH(C3477,art_ref,0))&amp;"","Référence inconnue"))</f>
        <v/>
      </c>
      <c r="E3477" s="37" t="n"/>
      <c r="F3477" s="39" t="str">
        <f>IF(C3477="","",IFERROR(INDEX(art_unit,MATCH(C3477,art_ref,0))&amp;"",""))</f>
        <v/>
      </c>
      <c r="G3477" s="37" t="n"/>
      <c r="H3477" s="37" t="n"/>
      <c r="I3477" s="37" t="n"/>
      <c r="J3477" s="40" t="str">
        <f>IF(OR(C3477="",NOT(ISNUMBER(E3477))),"",IFERROR(E3477*N(INDEX(art_price,MATCH(C3477,art_ref,0))),""))</f>
        <v/>
      </c>
      <c r="K3477" s="39" t="str">
        <f>IF(OR(C3477="",NOT(ISNUMBER(E3477))),"",IFERROR(ROUND(N(INDEX(art_init,MATCH(C3477,art_ref,0)))+SUMIFS($E$5:E3477,$C$5:C3477,C3477,$B$5:B3477,"Entrée")-SUMIFS($E$5:E3477,$C$5:C3477,C3477,$B$5:B3477,"Sortie"),6),""))</f>
        <v/>
      </c>
      <c r="L3477" s="39" t="str">
        <f>IF(COUNTA(A3477:C3477,E3477)=0,"",IF(COUNTA(A3477:C3477,E3477)&lt;4,"Ligne incomplète",IF(NOT(ISNUMBER(A3477)),"Date invalide",IF(AND(B3477&lt;&gt;"Entrée",B3477&lt;&gt;"Sortie"),"Type inconnu",IF(ISNA(MATCH(C3477,art_ref,0)),"Référence inconnue",IF(OR(NOT(ISNUMBER(E3477)),N(E3477)&lt;=0),"Quantité invalide",IF(K3477&lt;0,"Stock négatif",IF(AND(ISNUMBER(A3476),A3477&lt;A3476),"Date hors ordre","OK"))))))))</f>
        <v/>
      </c>
      <c r="M3477" s="39" t="str">
        <f>IF(C3477="","",C3477&amp;"#"&amp;COUNTIF($C$5:C3477,C3477))</f>
        <v/>
      </c>
    </row>
    <row r="3478">
      <c r="A3478" s="41" t="n"/>
      <c r="B3478" s="37" t="n"/>
      <c r="C3478" s="37" t="n"/>
      <c r="D3478" s="39" t="str">
        <f>IF(C3478="","",IFERROR(INDEX(art_des,MATCH(C3478,art_ref,0))&amp;"","Référence inconnue"))</f>
        <v/>
      </c>
      <c r="E3478" s="37" t="n"/>
      <c r="F3478" s="39" t="str">
        <f>IF(C3478="","",IFERROR(INDEX(art_unit,MATCH(C3478,art_ref,0))&amp;"",""))</f>
        <v/>
      </c>
      <c r="G3478" s="37" t="n"/>
      <c r="H3478" s="37" t="n"/>
      <c r="I3478" s="37" t="n"/>
      <c r="J3478" s="40" t="str">
        <f>IF(OR(C3478="",NOT(ISNUMBER(E3478))),"",IFERROR(E3478*N(INDEX(art_price,MATCH(C3478,art_ref,0))),""))</f>
        <v/>
      </c>
      <c r="K3478" s="39" t="str">
        <f>IF(OR(C3478="",NOT(ISNUMBER(E3478))),"",IFERROR(ROUND(N(INDEX(art_init,MATCH(C3478,art_ref,0)))+SUMIFS($E$5:E3478,$C$5:C3478,C3478,$B$5:B3478,"Entrée")-SUMIFS($E$5:E3478,$C$5:C3478,C3478,$B$5:B3478,"Sortie"),6),""))</f>
        <v/>
      </c>
      <c r="L3478" s="39" t="str">
        <f>IF(COUNTA(A3478:C3478,E3478)=0,"",IF(COUNTA(A3478:C3478,E3478)&lt;4,"Ligne incomplète",IF(NOT(ISNUMBER(A3478)),"Date invalide",IF(AND(B3478&lt;&gt;"Entrée",B3478&lt;&gt;"Sortie"),"Type inconnu",IF(ISNA(MATCH(C3478,art_ref,0)),"Référence inconnue",IF(OR(NOT(ISNUMBER(E3478)),N(E3478)&lt;=0),"Quantité invalide",IF(K3478&lt;0,"Stock négatif",IF(AND(ISNUMBER(A3477),A3478&lt;A3477),"Date hors ordre","OK"))))))))</f>
        <v/>
      </c>
      <c r="M3478" s="39" t="str">
        <f>IF(C3478="","",C3478&amp;"#"&amp;COUNTIF($C$5:C3478,C3478))</f>
        <v/>
      </c>
    </row>
    <row r="3479">
      <c r="A3479" s="41" t="n"/>
      <c r="B3479" s="37" t="n"/>
      <c r="C3479" s="37" t="n"/>
      <c r="D3479" s="39" t="str">
        <f>IF(C3479="","",IFERROR(INDEX(art_des,MATCH(C3479,art_ref,0))&amp;"","Référence inconnue"))</f>
        <v/>
      </c>
      <c r="E3479" s="37" t="n"/>
      <c r="F3479" s="39" t="str">
        <f>IF(C3479="","",IFERROR(INDEX(art_unit,MATCH(C3479,art_ref,0))&amp;"",""))</f>
        <v/>
      </c>
      <c r="G3479" s="37" t="n"/>
      <c r="H3479" s="37" t="n"/>
      <c r="I3479" s="37" t="n"/>
      <c r="J3479" s="40" t="str">
        <f>IF(OR(C3479="",NOT(ISNUMBER(E3479))),"",IFERROR(E3479*N(INDEX(art_price,MATCH(C3479,art_ref,0))),""))</f>
        <v/>
      </c>
      <c r="K3479" s="39" t="str">
        <f>IF(OR(C3479="",NOT(ISNUMBER(E3479))),"",IFERROR(ROUND(N(INDEX(art_init,MATCH(C3479,art_ref,0)))+SUMIFS($E$5:E3479,$C$5:C3479,C3479,$B$5:B3479,"Entrée")-SUMIFS($E$5:E3479,$C$5:C3479,C3479,$B$5:B3479,"Sortie"),6),""))</f>
        <v/>
      </c>
      <c r="L3479" s="39" t="str">
        <f>IF(COUNTA(A3479:C3479,E3479)=0,"",IF(COUNTA(A3479:C3479,E3479)&lt;4,"Ligne incomplète",IF(NOT(ISNUMBER(A3479)),"Date invalide",IF(AND(B3479&lt;&gt;"Entrée",B3479&lt;&gt;"Sortie"),"Type inconnu",IF(ISNA(MATCH(C3479,art_ref,0)),"Référence inconnue",IF(OR(NOT(ISNUMBER(E3479)),N(E3479)&lt;=0),"Quantité invalide",IF(K3479&lt;0,"Stock négatif",IF(AND(ISNUMBER(A3478),A3479&lt;A3478),"Date hors ordre","OK"))))))))</f>
        <v/>
      </c>
      <c r="M3479" s="39" t="str">
        <f>IF(C3479="","",C3479&amp;"#"&amp;COUNTIF($C$5:C3479,C3479))</f>
        <v/>
      </c>
    </row>
    <row r="3480">
      <c r="A3480" s="41" t="n"/>
      <c r="B3480" s="37" t="n"/>
      <c r="C3480" s="37" t="n"/>
      <c r="D3480" s="39" t="str">
        <f>IF(C3480="","",IFERROR(INDEX(art_des,MATCH(C3480,art_ref,0))&amp;"","Référence inconnue"))</f>
        <v/>
      </c>
      <c r="E3480" s="37" t="n"/>
      <c r="F3480" s="39" t="str">
        <f>IF(C3480="","",IFERROR(INDEX(art_unit,MATCH(C3480,art_ref,0))&amp;"",""))</f>
        <v/>
      </c>
      <c r="G3480" s="37" t="n"/>
      <c r="H3480" s="37" t="n"/>
      <c r="I3480" s="37" t="n"/>
      <c r="J3480" s="40" t="str">
        <f>IF(OR(C3480="",NOT(ISNUMBER(E3480))),"",IFERROR(E3480*N(INDEX(art_price,MATCH(C3480,art_ref,0))),""))</f>
        <v/>
      </c>
      <c r="K3480" s="39" t="str">
        <f>IF(OR(C3480="",NOT(ISNUMBER(E3480))),"",IFERROR(ROUND(N(INDEX(art_init,MATCH(C3480,art_ref,0)))+SUMIFS($E$5:E3480,$C$5:C3480,C3480,$B$5:B3480,"Entrée")-SUMIFS($E$5:E3480,$C$5:C3480,C3480,$B$5:B3480,"Sortie"),6),""))</f>
        <v/>
      </c>
      <c r="L3480" s="39" t="str">
        <f>IF(COUNTA(A3480:C3480,E3480)=0,"",IF(COUNTA(A3480:C3480,E3480)&lt;4,"Ligne incomplète",IF(NOT(ISNUMBER(A3480)),"Date invalide",IF(AND(B3480&lt;&gt;"Entrée",B3480&lt;&gt;"Sortie"),"Type inconnu",IF(ISNA(MATCH(C3480,art_ref,0)),"Référence inconnue",IF(OR(NOT(ISNUMBER(E3480)),N(E3480)&lt;=0),"Quantité invalide",IF(K3480&lt;0,"Stock négatif",IF(AND(ISNUMBER(A3479),A3480&lt;A3479),"Date hors ordre","OK"))))))))</f>
        <v/>
      </c>
      <c r="M3480" s="39" t="str">
        <f>IF(C3480="","",C3480&amp;"#"&amp;COUNTIF($C$5:C3480,C3480))</f>
        <v/>
      </c>
    </row>
    <row r="3481">
      <c r="A3481" s="41" t="n"/>
      <c r="B3481" s="37" t="n"/>
      <c r="C3481" s="37" t="n"/>
      <c r="D3481" s="39" t="str">
        <f>IF(C3481="","",IFERROR(INDEX(art_des,MATCH(C3481,art_ref,0))&amp;"","Référence inconnue"))</f>
        <v/>
      </c>
      <c r="E3481" s="37" t="n"/>
      <c r="F3481" s="39" t="str">
        <f>IF(C3481="","",IFERROR(INDEX(art_unit,MATCH(C3481,art_ref,0))&amp;"",""))</f>
        <v/>
      </c>
      <c r="G3481" s="37" t="n"/>
      <c r="H3481" s="37" t="n"/>
      <c r="I3481" s="37" t="n"/>
      <c r="J3481" s="40" t="str">
        <f>IF(OR(C3481="",NOT(ISNUMBER(E3481))),"",IFERROR(E3481*N(INDEX(art_price,MATCH(C3481,art_ref,0))),""))</f>
        <v/>
      </c>
      <c r="K3481" s="39" t="str">
        <f>IF(OR(C3481="",NOT(ISNUMBER(E3481))),"",IFERROR(ROUND(N(INDEX(art_init,MATCH(C3481,art_ref,0)))+SUMIFS($E$5:E3481,$C$5:C3481,C3481,$B$5:B3481,"Entrée")-SUMIFS($E$5:E3481,$C$5:C3481,C3481,$B$5:B3481,"Sortie"),6),""))</f>
        <v/>
      </c>
      <c r="L3481" s="39" t="str">
        <f>IF(COUNTA(A3481:C3481,E3481)=0,"",IF(COUNTA(A3481:C3481,E3481)&lt;4,"Ligne incomplète",IF(NOT(ISNUMBER(A3481)),"Date invalide",IF(AND(B3481&lt;&gt;"Entrée",B3481&lt;&gt;"Sortie"),"Type inconnu",IF(ISNA(MATCH(C3481,art_ref,0)),"Référence inconnue",IF(OR(NOT(ISNUMBER(E3481)),N(E3481)&lt;=0),"Quantité invalide",IF(K3481&lt;0,"Stock négatif",IF(AND(ISNUMBER(A3480),A3481&lt;A3480),"Date hors ordre","OK"))))))))</f>
        <v/>
      </c>
      <c r="M3481" s="39" t="str">
        <f>IF(C3481="","",C3481&amp;"#"&amp;COUNTIF($C$5:C3481,C3481))</f>
        <v/>
      </c>
    </row>
    <row r="3482">
      <c r="A3482" s="41" t="n"/>
      <c r="B3482" s="37" t="n"/>
      <c r="C3482" s="37" t="n"/>
      <c r="D3482" s="39" t="str">
        <f>IF(C3482="","",IFERROR(INDEX(art_des,MATCH(C3482,art_ref,0))&amp;"","Référence inconnue"))</f>
        <v/>
      </c>
      <c r="E3482" s="37" t="n"/>
      <c r="F3482" s="39" t="str">
        <f>IF(C3482="","",IFERROR(INDEX(art_unit,MATCH(C3482,art_ref,0))&amp;"",""))</f>
        <v/>
      </c>
      <c r="G3482" s="37" t="n"/>
      <c r="H3482" s="37" t="n"/>
      <c r="I3482" s="37" t="n"/>
      <c r="J3482" s="40" t="str">
        <f>IF(OR(C3482="",NOT(ISNUMBER(E3482))),"",IFERROR(E3482*N(INDEX(art_price,MATCH(C3482,art_ref,0))),""))</f>
        <v/>
      </c>
      <c r="K3482" s="39" t="str">
        <f>IF(OR(C3482="",NOT(ISNUMBER(E3482))),"",IFERROR(ROUND(N(INDEX(art_init,MATCH(C3482,art_ref,0)))+SUMIFS($E$5:E3482,$C$5:C3482,C3482,$B$5:B3482,"Entrée")-SUMIFS($E$5:E3482,$C$5:C3482,C3482,$B$5:B3482,"Sortie"),6),""))</f>
        <v/>
      </c>
      <c r="L3482" s="39" t="str">
        <f>IF(COUNTA(A3482:C3482,E3482)=0,"",IF(COUNTA(A3482:C3482,E3482)&lt;4,"Ligne incomplète",IF(NOT(ISNUMBER(A3482)),"Date invalide",IF(AND(B3482&lt;&gt;"Entrée",B3482&lt;&gt;"Sortie"),"Type inconnu",IF(ISNA(MATCH(C3482,art_ref,0)),"Référence inconnue",IF(OR(NOT(ISNUMBER(E3482)),N(E3482)&lt;=0),"Quantité invalide",IF(K3482&lt;0,"Stock négatif",IF(AND(ISNUMBER(A3481),A3482&lt;A3481),"Date hors ordre","OK"))))))))</f>
        <v/>
      </c>
      <c r="M3482" s="39" t="str">
        <f>IF(C3482="","",C3482&amp;"#"&amp;COUNTIF($C$5:C3482,C3482))</f>
        <v/>
      </c>
    </row>
    <row r="3483">
      <c r="A3483" s="41" t="n"/>
      <c r="B3483" s="37" t="n"/>
      <c r="C3483" s="37" t="n"/>
      <c r="D3483" s="39" t="str">
        <f>IF(C3483="","",IFERROR(INDEX(art_des,MATCH(C3483,art_ref,0))&amp;"","Référence inconnue"))</f>
        <v/>
      </c>
      <c r="E3483" s="37" t="n"/>
      <c r="F3483" s="39" t="str">
        <f>IF(C3483="","",IFERROR(INDEX(art_unit,MATCH(C3483,art_ref,0))&amp;"",""))</f>
        <v/>
      </c>
      <c r="G3483" s="37" t="n"/>
      <c r="H3483" s="37" t="n"/>
      <c r="I3483" s="37" t="n"/>
      <c r="J3483" s="40" t="str">
        <f>IF(OR(C3483="",NOT(ISNUMBER(E3483))),"",IFERROR(E3483*N(INDEX(art_price,MATCH(C3483,art_ref,0))),""))</f>
        <v/>
      </c>
      <c r="K3483" s="39" t="str">
        <f>IF(OR(C3483="",NOT(ISNUMBER(E3483))),"",IFERROR(ROUND(N(INDEX(art_init,MATCH(C3483,art_ref,0)))+SUMIFS($E$5:E3483,$C$5:C3483,C3483,$B$5:B3483,"Entrée")-SUMIFS($E$5:E3483,$C$5:C3483,C3483,$B$5:B3483,"Sortie"),6),""))</f>
        <v/>
      </c>
      <c r="L3483" s="39" t="str">
        <f>IF(COUNTA(A3483:C3483,E3483)=0,"",IF(COUNTA(A3483:C3483,E3483)&lt;4,"Ligne incomplète",IF(NOT(ISNUMBER(A3483)),"Date invalide",IF(AND(B3483&lt;&gt;"Entrée",B3483&lt;&gt;"Sortie"),"Type inconnu",IF(ISNA(MATCH(C3483,art_ref,0)),"Référence inconnue",IF(OR(NOT(ISNUMBER(E3483)),N(E3483)&lt;=0),"Quantité invalide",IF(K3483&lt;0,"Stock négatif",IF(AND(ISNUMBER(A3482),A3483&lt;A3482),"Date hors ordre","OK"))))))))</f>
        <v/>
      </c>
      <c r="M3483" s="39" t="str">
        <f>IF(C3483="","",C3483&amp;"#"&amp;COUNTIF($C$5:C3483,C3483))</f>
        <v/>
      </c>
    </row>
    <row r="3484">
      <c r="A3484" s="41" t="n"/>
      <c r="B3484" s="37" t="n"/>
      <c r="C3484" s="37" t="n"/>
      <c r="D3484" s="39" t="str">
        <f>IF(C3484="","",IFERROR(INDEX(art_des,MATCH(C3484,art_ref,0))&amp;"","Référence inconnue"))</f>
        <v/>
      </c>
      <c r="E3484" s="37" t="n"/>
      <c r="F3484" s="39" t="str">
        <f>IF(C3484="","",IFERROR(INDEX(art_unit,MATCH(C3484,art_ref,0))&amp;"",""))</f>
        <v/>
      </c>
      <c r="G3484" s="37" t="n"/>
      <c r="H3484" s="37" t="n"/>
      <c r="I3484" s="37" t="n"/>
      <c r="J3484" s="40" t="str">
        <f>IF(OR(C3484="",NOT(ISNUMBER(E3484))),"",IFERROR(E3484*N(INDEX(art_price,MATCH(C3484,art_ref,0))),""))</f>
        <v/>
      </c>
      <c r="K3484" s="39" t="str">
        <f>IF(OR(C3484="",NOT(ISNUMBER(E3484))),"",IFERROR(ROUND(N(INDEX(art_init,MATCH(C3484,art_ref,0)))+SUMIFS($E$5:E3484,$C$5:C3484,C3484,$B$5:B3484,"Entrée")-SUMIFS($E$5:E3484,$C$5:C3484,C3484,$B$5:B3484,"Sortie"),6),""))</f>
        <v/>
      </c>
      <c r="L3484" s="39" t="str">
        <f>IF(COUNTA(A3484:C3484,E3484)=0,"",IF(COUNTA(A3484:C3484,E3484)&lt;4,"Ligne incomplète",IF(NOT(ISNUMBER(A3484)),"Date invalide",IF(AND(B3484&lt;&gt;"Entrée",B3484&lt;&gt;"Sortie"),"Type inconnu",IF(ISNA(MATCH(C3484,art_ref,0)),"Référence inconnue",IF(OR(NOT(ISNUMBER(E3484)),N(E3484)&lt;=0),"Quantité invalide",IF(K3484&lt;0,"Stock négatif",IF(AND(ISNUMBER(A3483),A3484&lt;A3483),"Date hors ordre","OK"))))))))</f>
        <v/>
      </c>
      <c r="M3484" s="39" t="str">
        <f>IF(C3484="","",C3484&amp;"#"&amp;COUNTIF($C$5:C3484,C3484))</f>
        <v/>
      </c>
    </row>
    <row r="3485">
      <c r="A3485" s="41" t="n"/>
      <c r="B3485" s="37" t="n"/>
      <c r="C3485" s="37" t="n"/>
      <c r="D3485" s="39" t="str">
        <f>IF(C3485="","",IFERROR(INDEX(art_des,MATCH(C3485,art_ref,0))&amp;"","Référence inconnue"))</f>
        <v/>
      </c>
      <c r="E3485" s="37" t="n"/>
      <c r="F3485" s="39" t="str">
        <f>IF(C3485="","",IFERROR(INDEX(art_unit,MATCH(C3485,art_ref,0))&amp;"",""))</f>
        <v/>
      </c>
      <c r="G3485" s="37" t="n"/>
      <c r="H3485" s="37" t="n"/>
      <c r="I3485" s="37" t="n"/>
      <c r="J3485" s="40" t="str">
        <f>IF(OR(C3485="",NOT(ISNUMBER(E3485))),"",IFERROR(E3485*N(INDEX(art_price,MATCH(C3485,art_ref,0))),""))</f>
        <v/>
      </c>
      <c r="K3485" s="39" t="str">
        <f>IF(OR(C3485="",NOT(ISNUMBER(E3485))),"",IFERROR(ROUND(N(INDEX(art_init,MATCH(C3485,art_ref,0)))+SUMIFS($E$5:E3485,$C$5:C3485,C3485,$B$5:B3485,"Entrée")-SUMIFS($E$5:E3485,$C$5:C3485,C3485,$B$5:B3485,"Sortie"),6),""))</f>
        <v/>
      </c>
      <c r="L3485" s="39" t="str">
        <f>IF(COUNTA(A3485:C3485,E3485)=0,"",IF(COUNTA(A3485:C3485,E3485)&lt;4,"Ligne incomplète",IF(NOT(ISNUMBER(A3485)),"Date invalide",IF(AND(B3485&lt;&gt;"Entrée",B3485&lt;&gt;"Sortie"),"Type inconnu",IF(ISNA(MATCH(C3485,art_ref,0)),"Référence inconnue",IF(OR(NOT(ISNUMBER(E3485)),N(E3485)&lt;=0),"Quantité invalide",IF(K3485&lt;0,"Stock négatif",IF(AND(ISNUMBER(A3484),A3485&lt;A3484),"Date hors ordre","OK"))))))))</f>
        <v/>
      </c>
      <c r="M3485" s="39" t="str">
        <f>IF(C3485="","",C3485&amp;"#"&amp;COUNTIF($C$5:C3485,C3485))</f>
        <v/>
      </c>
    </row>
    <row r="3486">
      <c r="A3486" s="41" t="n"/>
      <c r="B3486" s="37" t="n"/>
      <c r="C3486" s="37" t="n"/>
      <c r="D3486" s="39" t="str">
        <f>IF(C3486="","",IFERROR(INDEX(art_des,MATCH(C3486,art_ref,0))&amp;"","Référence inconnue"))</f>
        <v/>
      </c>
      <c r="E3486" s="37" t="n"/>
      <c r="F3486" s="39" t="str">
        <f>IF(C3486="","",IFERROR(INDEX(art_unit,MATCH(C3486,art_ref,0))&amp;"",""))</f>
        <v/>
      </c>
      <c r="G3486" s="37" t="n"/>
      <c r="H3486" s="37" t="n"/>
      <c r="I3486" s="37" t="n"/>
      <c r="J3486" s="40" t="str">
        <f>IF(OR(C3486="",NOT(ISNUMBER(E3486))),"",IFERROR(E3486*N(INDEX(art_price,MATCH(C3486,art_ref,0))),""))</f>
        <v/>
      </c>
      <c r="K3486" s="39" t="str">
        <f>IF(OR(C3486="",NOT(ISNUMBER(E3486))),"",IFERROR(ROUND(N(INDEX(art_init,MATCH(C3486,art_ref,0)))+SUMIFS($E$5:E3486,$C$5:C3486,C3486,$B$5:B3486,"Entrée")-SUMIFS($E$5:E3486,$C$5:C3486,C3486,$B$5:B3486,"Sortie"),6),""))</f>
        <v/>
      </c>
      <c r="L3486" s="39" t="str">
        <f>IF(COUNTA(A3486:C3486,E3486)=0,"",IF(COUNTA(A3486:C3486,E3486)&lt;4,"Ligne incomplète",IF(NOT(ISNUMBER(A3486)),"Date invalide",IF(AND(B3486&lt;&gt;"Entrée",B3486&lt;&gt;"Sortie"),"Type inconnu",IF(ISNA(MATCH(C3486,art_ref,0)),"Référence inconnue",IF(OR(NOT(ISNUMBER(E3486)),N(E3486)&lt;=0),"Quantité invalide",IF(K3486&lt;0,"Stock négatif",IF(AND(ISNUMBER(A3485),A3486&lt;A3485),"Date hors ordre","OK"))))))))</f>
        <v/>
      </c>
      <c r="M3486" s="39" t="str">
        <f>IF(C3486="","",C3486&amp;"#"&amp;COUNTIF($C$5:C3486,C3486))</f>
        <v/>
      </c>
    </row>
    <row r="3487">
      <c r="A3487" s="41" t="n"/>
      <c r="B3487" s="37" t="n"/>
      <c r="C3487" s="37" t="n"/>
      <c r="D3487" s="39" t="str">
        <f>IF(C3487="","",IFERROR(INDEX(art_des,MATCH(C3487,art_ref,0))&amp;"","Référence inconnue"))</f>
        <v/>
      </c>
      <c r="E3487" s="37" t="n"/>
      <c r="F3487" s="39" t="str">
        <f>IF(C3487="","",IFERROR(INDEX(art_unit,MATCH(C3487,art_ref,0))&amp;"",""))</f>
        <v/>
      </c>
      <c r="G3487" s="37" t="n"/>
      <c r="H3487" s="37" t="n"/>
      <c r="I3487" s="37" t="n"/>
      <c r="J3487" s="40" t="str">
        <f>IF(OR(C3487="",NOT(ISNUMBER(E3487))),"",IFERROR(E3487*N(INDEX(art_price,MATCH(C3487,art_ref,0))),""))</f>
        <v/>
      </c>
      <c r="K3487" s="39" t="str">
        <f>IF(OR(C3487="",NOT(ISNUMBER(E3487))),"",IFERROR(ROUND(N(INDEX(art_init,MATCH(C3487,art_ref,0)))+SUMIFS($E$5:E3487,$C$5:C3487,C3487,$B$5:B3487,"Entrée")-SUMIFS($E$5:E3487,$C$5:C3487,C3487,$B$5:B3487,"Sortie"),6),""))</f>
        <v/>
      </c>
      <c r="L3487" s="39" t="str">
        <f>IF(COUNTA(A3487:C3487,E3487)=0,"",IF(COUNTA(A3487:C3487,E3487)&lt;4,"Ligne incomplète",IF(NOT(ISNUMBER(A3487)),"Date invalide",IF(AND(B3487&lt;&gt;"Entrée",B3487&lt;&gt;"Sortie"),"Type inconnu",IF(ISNA(MATCH(C3487,art_ref,0)),"Référence inconnue",IF(OR(NOT(ISNUMBER(E3487)),N(E3487)&lt;=0),"Quantité invalide",IF(K3487&lt;0,"Stock négatif",IF(AND(ISNUMBER(A3486),A3487&lt;A3486),"Date hors ordre","OK"))))))))</f>
        <v/>
      </c>
      <c r="M3487" s="39" t="str">
        <f>IF(C3487="","",C3487&amp;"#"&amp;COUNTIF($C$5:C3487,C3487))</f>
        <v/>
      </c>
    </row>
    <row r="3488">
      <c r="A3488" s="41" t="n"/>
      <c r="B3488" s="37" t="n"/>
      <c r="C3488" s="37" t="n"/>
      <c r="D3488" s="39" t="str">
        <f>IF(C3488="","",IFERROR(INDEX(art_des,MATCH(C3488,art_ref,0))&amp;"","Référence inconnue"))</f>
        <v/>
      </c>
      <c r="E3488" s="37" t="n"/>
      <c r="F3488" s="39" t="str">
        <f>IF(C3488="","",IFERROR(INDEX(art_unit,MATCH(C3488,art_ref,0))&amp;"",""))</f>
        <v/>
      </c>
      <c r="G3488" s="37" t="n"/>
      <c r="H3488" s="37" t="n"/>
      <c r="I3488" s="37" t="n"/>
      <c r="J3488" s="40" t="str">
        <f>IF(OR(C3488="",NOT(ISNUMBER(E3488))),"",IFERROR(E3488*N(INDEX(art_price,MATCH(C3488,art_ref,0))),""))</f>
        <v/>
      </c>
      <c r="K3488" s="39" t="str">
        <f>IF(OR(C3488="",NOT(ISNUMBER(E3488))),"",IFERROR(ROUND(N(INDEX(art_init,MATCH(C3488,art_ref,0)))+SUMIFS($E$5:E3488,$C$5:C3488,C3488,$B$5:B3488,"Entrée")-SUMIFS($E$5:E3488,$C$5:C3488,C3488,$B$5:B3488,"Sortie"),6),""))</f>
        <v/>
      </c>
      <c r="L3488" s="39" t="str">
        <f>IF(COUNTA(A3488:C3488,E3488)=0,"",IF(COUNTA(A3488:C3488,E3488)&lt;4,"Ligne incomplète",IF(NOT(ISNUMBER(A3488)),"Date invalide",IF(AND(B3488&lt;&gt;"Entrée",B3488&lt;&gt;"Sortie"),"Type inconnu",IF(ISNA(MATCH(C3488,art_ref,0)),"Référence inconnue",IF(OR(NOT(ISNUMBER(E3488)),N(E3488)&lt;=0),"Quantité invalide",IF(K3488&lt;0,"Stock négatif",IF(AND(ISNUMBER(A3487),A3488&lt;A3487),"Date hors ordre","OK"))))))))</f>
        <v/>
      </c>
      <c r="M3488" s="39" t="str">
        <f>IF(C3488="","",C3488&amp;"#"&amp;COUNTIF($C$5:C3488,C3488))</f>
        <v/>
      </c>
    </row>
    <row r="3489">
      <c r="A3489" s="41" t="n"/>
      <c r="B3489" s="37" t="n"/>
      <c r="C3489" s="37" t="n"/>
      <c r="D3489" s="39" t="str">
        <f>IF(C3489="","",IFERROR(INDEX(art_des,MATCH(C3489,art_ref,0))&amp;"","Référence inconnue"))</f>
        <v/>
      </c>
      <c r="E3489" s="37" t="n"/>
      <c r="F3489" s="39" t="str">
        <f>IF(C3489="","",IFERROR(INDEX(art_unit,MATCH(C3489,art_ref,0))&amp;"",""))</f>
        <v/>
      </c>
      <c r="G3489" s="37" t="n"/>
      <c r="H3489" s="37" t="n"/>
      <c r="I3489" s="37" t="n"/>
      <c r="J3489" s="40" t="str">
        <f>IF(OR(C3489="",NOT(ISNUMBER(E3489))),"",IFERROR(E3489*N(INDEX(art_price,MATCH(C3489,art_ref,0))),""))</f>
        <v/>
      </c>
      <c r="K3489" s="39" t="str">
        <f>IF(OR(C3489="",NOT(ISNUMBER(E3489))),"",IFERROR(ROUND(N(INDEX(art_init,MATCH(C3489,art_ref,0)))+SUMIFS($E$5:E3489,$C$5:C3489,C3489,$B$5:B3489,"Entrée")-SUMIFS($E$5:E3489,$C$5:C3489,C3489,$B$5:B3489,"Sortie"),6),""))</f>
        <v/>
      </c>
      <c r="L3489" s="39" t="str">
        <f>IF(COUNTA(A3489:C3489,E3489)=0,"",IF(COUNTA(A3489:C3489,E3489)&lt;4,"Ligne incomplète",IF(NOT(ISNUMBER(A3489)),"Date invalide",IF(AND(B3489&lt;&gt;"Entrée",B3489&lt;&gt;"Sortie"),"Type inconnu",IF(ISNA(MATCH(C3489,art_ref,0)),"Référence inconnue",IF(OR(NOT(ISNUMBER(E3489)),N(E3489)&lt;=0),"Quantité invalide",IF(K3489&lt;0,"Stock négatif",IF(AND(ISNUMBER(A3488),A3489&lt;A3488),"Date hors ordre","OK"))))))))</f>
        <v/>
      </c>
      <c r="M3489" s="39" t="str">
        <f>IF(C3489="","",C3489&amp;"#"&amp;COUNTIF($C$5:C3489,C3489))</f>
        <v/>
      </c>
    </row>
    <row r="3490">
      <c r="A3490" s="41" t="n"/>
      <c r="B3490" s="37" t="n"/>
      <c r="C3490" s="37" t="n"/>
      <c r="D3490" s="39" t="str">
        <f>IF(C3490="","",IFERROR(INDEX(art_des,MATCH(C3490,art_ref,0))&amp;"","Référence inconnue"))</f>
        <v/>
      </c>
      <c r="E3490" s="37" t="n"/>
      <c r="F3490" s="39" t="str">
        <f>IF(C3490="","",IFERROR(INDEX(art_unit,MATCH(C3490,art_ref,0))&amp;"",""))</f>
        <v/>
      </c>
      <c r="G3490" s="37" t="n"/>
      <c r="H3490" s="37" t="n"/>
      <c r="I3490" s="37" t="n"/>
      <c r="J3490" s="40" t="str">
        <f>IF(OR(C3490="",NOT(ISNUMBER(E3490))),"",IFERROR(E3490*N(INDEX(art_price,MATCH(C3490,art_ref,0))),""))</f>
        <v/>
      </c>
      <c r="K3490" s="39" t="str">
        <f>IF(OR(C3490="",NOT(ISNUMBER(E3490))),"",IFERROR(ROUND(N(INDEX(art_init,MATCH(C3490,art_ref,0)))+SUMIFS($E$5:E3490,$C$5:C3490,C3490,$B$5:B3490,"Entrée")-SUMIFS($E$5:E3490,$C$5:C3490,C3490,$B$5:B3490,"Sortie"),6),""))</f>
        <v/>
      </c>
      <c r="L3490" s="39" t="str">
        <f>IF(COUNTA(A3490:C3490,E3490)=0,"",IF(COUNTA(A3490:C3490,E3490)&lt;4,"Ligne incomplète",IF(NOT(ISNUMBER(A3490)),"Date invalide",IF(AND(B3490&lt;&gt;"Entrée",B3490&lt;&gt;"Sortie"),"Type inconnu",IF(ISNA(MATCH(C3490,art_ref,0)),"Référence inconnue",IF(OR(NOT(ISNUMBER(E3490)),N(E3490)&lt;=0),"Quantité invalide",IF(K3490&lt;0,"Stock négatif",IF(AND(ISNUMBER(A3489),A3490&lt;A3489),"Date hors ordre","OK"))))))))</f>
        <v/>
      </c>
      <c r="M3490" s="39" t="str">
        <f>IF(C3490="","",C3490&amp;"#"&amp;COUNTIF($C$5:C3490,C3490))</f>
        <v/>
      </c>
    </row>
    <row r="3491">
      <c r="A3491" s="41" t="n"/>
      <c r="B3491" s="37" t="n"/>
      <c r="C3491" s="37" t="n"/>
      <c r="D3491" s="39" t="str">
        <f>IF(C3491="","",IFERROR(INDEX(art_des,MATCH(C3491,art_ref,0))&amp;"","Référence inconnue"))</f>
        <v/>
      </c>
      <c r="E3491" s="37" t="n"/>
      <c r="F3491" s="39" t="str">
        <f>IF(C3491="","",IFERROR(INDEX(art_unit,MATCH(C3491,art_ref,0))&amp;"",""))</f>
        <v/>
      </c>
      <c r="G3491" s="37" t="n"/>
      <c r="H3491" s="37" t="n"/>
      <c r="I3491" s="37" t="n"/>
      <c r="J3491" s="40" t="str">
        <f>IF(OR(C3491="",NOT(ISNUMBER(E3491))),"",IFERROR(E3491*N(INDEX(art_price,MATCH(C3491,art_ref,0))),""))</f>
        <v/>
      </c>
      <c r="K3491" s="39" t="str">
        <f>IF(OR(C3491="",NOT(ISNUMBER(E3491))),"",IFERROR(ROUND(N(INDEX(art_init,MATCH(C3491,art_ref,0)))+SUMIFS($E$5:E3491,$C$5:C3491,C3491,$B$5:B3491,"Entrée")-SUMIFS($E$5:E3491,$C$5:C3491,C3491,$B$5:B3491,"Sortie"),6),""))</f>
        <v/>
      </c>
      <c r="L3491" s="39" t="str">
        <f>IF(COUNTA(A3491:C3491,E3491)=0,"",IF(COUNTA(A3491:C3491,E3491)&lt;4,"Ligne incomplète",IF(NOT(ISNUMBER(A3491)),"Date invalide",IF(AND(B3491&lt;&gt;"Entrée",B3491&lt;&gt;"Sortie"),"Type inconnu",IF(ISNA(MATCH(C3491,art_ref,0)),"Référence inconnue",IF(OR(NOT(ISNUMBER(E3491)),N(E3491)&lt;=0),"Quantité invalide",IF(K3491&lt;0,"Stock négatif",IF(AND(ISNUMBER(A3490),A3491&lt;A3490),"Date hors ordre","OK"))))))))</f>
        <v/>
      </c>
      <c r="M3491" s="39" t="str">
        <f>IF(C3491="","",C3491&amp;"#"&amp;COUNTIF($C$5:C3491,C3491))</f>
        <v/>
      </c>
    </row>
    <row r="3492">
      <c r="A3492" s="41" t="n"/>
      <c r="B3492" s="37" t="n"/>
      <c r="C3492" s="37" t="n"/>
      <c r="D3492" s="39" t="str">
        <f>IF(C3492="","",IFERROR(INDEX(art_des,MATCH(C3492,art_ref,0))&amp;"","Référence inconnue"))</f>
        <v/>
      </c>
      <c r="E3492" s="37" t="n"/>
      <c r="F3492" s="39" t="str">
        <f>IF(C3492="","",IFERROR(INDEX(art_unit,MATCH(C3492,art_ref,0))&amp;"",""))</f>
        <v/>
      </c>
      <c r="G3492" s="37" t="n"/>
      <c r="H3492" s="37" t="n"/>
      <c r="I3492" s="37" t="n"/>
      <c r="J3492" s="40" t="str">
        <f>IF(OR(C3492="",NOT(ISNUMBER(E3492))),"",IFERROR(E3492*N(INDEX(art_price,MATCH(C3492,art_ref,0))),""))</f>
        <v/>
      </c>
      <c r="K3492" s="39" t="str">
        <f>IF(OR(C3492="",NOT(ISNUMBER(E3492))),"",IFERROR(ROUND(N(INDEX(art_init,MATCH(C3492,art_ref,0)))+SUMIFS($E$5:E3492,$C$5:C3492,C3492,$B$5:B3492,"Entrée")-SUMIFS($E$5:E3492,$C$5:C3492,C3492,$B$5:B3492,"Sortie"),6),""))</f>
        <v/>
      </c>
      <c r="L3492" s="39" t="str">
        <f>IF(COUNTA(A3492:C3492,E3492)=0,"",IF(COUNTA(A3492:C3492,E3492)&lt;4,"Ligne incomplète",IF(NOT(ISNUMBER(A3492)),"Date invalide",IF(AND(B3492&lt;&gt;"Entrée",B3492&lt;&gt;"Sortie"),"Type inconnu",IF(ISNA(MATCH(C3492,art_ref,0)),"Référence inconnue",IF(OR(NOT(ISNUMBER(E3492)),N(E3492)&lt;=0),"Quantité invalide",IF(K3492&lt;0,"Stock négatif",IF(AND(ISNUMBER(A3491),A3492&lt;A3491),"Date hors ordre","OK"))))))))</f>
        <v/>
      </c>
      <c r="M3492" s="39" t="str">
        <f>IF(C3492="","",C3492&amp;"#"&amp;COUNTIF($C$5:C3492,C3492))</f>
        <v/>
      </c>
    </row>
    <row r="3493">
      <c r="A3493" s="41" t="n"/>
      <c r="B3493" s="37" t="n"/>
      <c r="C3493" s="37" t="n"/>
      <c r="D3493" s="39" t="str">
        <f>IF(C3493="","",IFERROR(INDEX(art_des,MATCH(C3493,art_ref,0))&amp;"","Référence inconnue"))</f>
        <v/>
      </c>
      <c r="E3493" s="37" t="n"/>
      <c r="F3493" s="39" t="str">
        <f>IF(C3493="","",IFERROR(INDEX(art_unit,MATCH(C3493,art_ref,0))&amp;"",""))</f>
        <v/>
      </c>
      <c r="G3493" s="37" t="n"/>
      <c r="H3493" s="37" t="n"/>
      <c r="I3493" s="37" t="n"/>
      <c r="J3493" s="40" t="str">
        <f>IF(OR(C3493="",NOT(ISNUMBER(E3493))),"",IFERROR(E3493*N(INDEX(art_price,MATCH(C3493,art_ref,0))),""))</f>
        <v/>
      </c>
      <c r="K3493" s="39" t="str">
        <f>IF(OR(C3493="",NOT(ISNUMBER(E3493))),"",IFERROR(ROUND(N(INDEX(art_init,MATCH(C3493,art_ref,0)))+SUMIFS($E$5:E3493,$C$5:C3493,C3493,$B$5:B3493,"Entrée")-SUMIFS($E$5:E3493,$C$5:C3493,C3493,$B$5:B3493,"Sortie"),6),""))</f>
        <v/>
      </c>
      <c r="L3493" s="39" t="str">
        <f>IF(COUNTA(A3493:C3493,E3493)=0,"",IF(COUNTA(A3493:C3493,E3493)&lt;4,"Ligne incomplète",IF(NOT(ISNUMBER(A3493)),"Date invalide",IF(AND(B3493&lt;&gt;"Entrée",B3493&lt;&gt;"Sortie"),"Type inconnu",IF(ISNA(MATCH(C3493,art_ref,0)),"Référence inconnue",IF(OR(NOT(ISNUMBER(E3493)),N(E3493)&lt;=0),"Quantité invalide",IF(K3493&lt;0,"Stock négatif",IF(AND(ISNUMBER(A3492),A3493&lt;A3492),"Date hors ordre","OK"))))))))</f>
        <v/>
      </c>
      <c r="M3493" s="39" t="str">
        <f>IF(C3493="","",C3493&amp;"#"&amp;COUNTIF($C$5:C3493,C3493))</f>
        <v/>
      </c>
    </row>
    <row r="3494">
      <c r="A3494" s="41" t="n"/>
      <c r="B3494" s="37" t="n"/>
      <c r="C3494" s="37" t="n"/>
      <c r="D3494" s="39" t="str">
        <f>IF(C3494="","",IFERROR(INDEX(art_des,MATCH(C3494,art_ref,0))&amp;"","Référence inconnue"))</f>
        <v/>
      </c>
      <c r="E3494" s="37" t="n"/>
      <c r="F3494" s="39" t="str">
        <f>IF(C3494="","",IFERROR(INDEX(art_unit,MATCH(C3494,art_ref,0))&amp;"",""))</f>
        <v/>
      </c>
      <c r="G3494" s="37" t="n"/>
      <c r="H3494" s="37" t="n"/>
      <c r="I3494" s="37" t="n"/>
      <c r="J3494" s="40" t="str">
        <f>IF(OR(C3494="",NOT(ISNUMBER(E3494))),"",IFERROR(E3494*N(INDEX(art_price,MATCH(C3494,art_ref,0))),""))</f>
        <v/>
      </c>
      <c r="K3494" s="39" t="str">
        <f>IF(OR(C3494="",NOT(ISNUMBER(E3494))),"",IFERROR(ROUND(N(INDEX(art_init,MATCH(C3494,art_ref,0)))+SUMIFS($E$5:E3494,$C$5:C3494,C3494,$B$5:B3494,"Entrée")-SUMIFS($E$5:E3494,$C$5:C3494,C3494,$B$5:B3494,"Sortie"),6),""))</f>
        <v/>
      </c>
      <c r="L3494" s="39" t="str">
        <f>IF(COUNTA(A3494:C3494,E3494)=0,"",IF(COUNTA(A3494:C3494,E3494)&lt;4,"Ligne incomplète",IF(NOT(ISNUMBER(A3494)),"Date invalide",IF(AND(B3494&lt;&gt;"Entrée",B3494&lt;&gt;"Sortie"),"Type inconnu",IF(ISNA(MATCH(C3494,art_ref,0)),"Référence inconnue",IF(OR(NOT(ISNUMBER(E3494)),N(E3494)&lt;=0),"Quantité invalide",IF(K3494&lt;0,"Stock négatif",IF(AND(ISNUMBER(A3493),A3494&lt;A3493),"Date hors ordre","OK"))))))))</f>
        <v/>
      </c>
      <c r="M3494" s="39" t="str">
        <f>IF(C3494="","",C3494&amp;"#"&amp;COUNTIF($C$5:C3494,C3494))</f>
        <v/>
      </c>
    </row>
    <row r="3495">
      <c r="A3495" s="41" t="n"/>
      <c r="B3495" s="37" t="n"/>
      <c r="C3495" s="37" t="n"/>
      <c r="D3495" s="39" t="str">
        <f>IF(C3495="","",IFERROR(INDEX(art_des,MATCH(C3495,art_ref,0))&amp;"","Référence inconnue"))</f>
        <v/>
      </c>
      <c r="E3495" s="37" t="n"/>
      <c r="F3495" s="39" t="str">
        <f>IF(C3495="","",IFERROR(INDEX(art_unit,MATCH(C3495,art_ref,0))&amp;"",""))</f>
        <v/>
      </c>
      <c r="G3495" s="37" t="n"/>
      <c r="H3495" s="37" t="n"/>
      <c r="I3495" s="37" t="n"/>
      <c r="J3495" s="40" t="str">
        <f>IF(OR(C3495="",NOT(ISNUMBER(E3495))),"",IFERROR(E3495*N(INDEX(art_price,MATCH(C3495,art_ref,0))),""))</f>
        <v/>
      </c>
      <c r="K3495" s="39" t="str">
        <f>IF(OR(C3495="",NOT(ISNUMBER(E3495))),"",IFERROR(ROUND(N(INDEX(art_init,MATCH(C3495,art_ref,0)))+SUMIFS($E$5:E3495,$C$5:C3495,C3495,$B$5:B3495,"Entrée")-SUMIFS($E$5:E3495,$C$5:C3495,C3495,$B$5:B3495,"Sortie"),6),""))</f>
        <v/>
      </c>
      <c r="L3495" s="39" t="str">
        <f>IF(COUNTA(A3495:C3495,E3495)=0,"",IF(COUNTA(A3495:C3495,E3495)&lt;4,"Ligne incomplète",IF(NOT(ISNUMBER(A3495)),"Date invalide",IF(AND(B3495&lt;&gt;"Entrée",B3495&lt;&gt;"Sortie"),"Type inconnu",IF(ISNA(MATCH(C3495,art_ref,0)),"Référence inconnue",IF(OR(NOT(ISNUMBER(E3495)),N(E3495)&lt;=0),"Quantité invalide",IF(K3495&lt;0,"Stock négatif",IF(AND(ISNUMBER(A3494),A3495&lt;A3494),"Date hors ordre","OK"))))))))</f>
        <v/>
      </c>
      <c r="M3495" s="39" t="str">
        <f>IF(C3495="","",C3495&amp;"#"&amp;COUNTIF($C$5:C3495,C3495))</f>
        <v/>
      </c>
    </row>
    <row r="3496">
      <c r="A3496" s="41" t="n"/>
      <c r="B3496" s="37" t="n"/>
      <c r="C3496" s="37" t="n"/>
      <c r="D3496" s="39" t="str">
        <f>IF(C3496="","",IFERROR(INDEX(art_des,MATCH(C3496,art_ref,0))&amp;"","Référence inconnue"))</f>
        <v/>
      </c>
      <c r="E3496" s="37" t="n"/>
      <c r="F3496" s="39" t="str">
        <f>IF(C3496="","",IFERROR(INDEX(art_unit,MATCH(C3496,art_ref,0))&amp;"",""))</f>
        <v/>
      </c>
      <c r="G3496" s="37" t="n"/>
      <c r="H3496" s="37" t="n"/>
      <c r="I3496" s="37" t="n"/>
      <c r="J3496" s="40" t="str">
        <f>IF(OR(C3496="",NOT(ISNUMBER(E3496))),"",IFERROR(E3496*N(INDEX(art_price,MATCH(C3496,art_ref,0))),""))</f>
        <v/>
      </c>
      <c r="K3496" s="39" t="str">
        <f>IF(OR(C3496="",NOT(ISNUMBER(E3496))),"",IFERROR(ROUND(N(INDEX(art_init,MATCH(C3496,art_ref,0)))+SUMIFS($E$5:E3496,$C$5:C3496,C3496,$B$5:B3496,"Entrée")-SUMIFS($E$5:E3496,$C$5:C3496,C3496,$B$5:B3496,"Sortie"),6),""))</f>
        <v/>
      </c>
      <c r="L3496" s="39" t="str">
        <f>IF(COUNTA(A3496:C3496,E3496)=0,"",IF(COUNTA(A3496:C3496,E3496)&lt;4,"Ligne incomplète",IF(NOT(ISNUMBER(A3496)),"Date invalide",IF(AND(B3496&lt;&gt;"Entrée",B3496&lt;&gt;"Sortie"),"Type inconnu",IF(ISNA(MATCH(C3496,art_ref,0)),"Référence inconnue",IF(OR(NOT(ISNUMBER(E3496)),N(E3496)&lt;=0),"Quantité invalide",IF(K3496&lt;0,"Stock négatif",IF(AND(ISNUMBER(A3495),A3496&lt;A3495),"Date hors ordre","OK"))))))))</f>
        <v/>
      </c>
      <c r="M3496" s="39" t="str">
        <f>IF(C3496="","",C3496&amp;"#"&amp;COUNTIF($C$5:C3496,C3496))</f>
        <v/>
      </c>
    </row>
    <row r="3497">
      <c r="A3497" s="41" t="n"/>
      <c r="B3497" s="37" t="n"/>
      <c r="C3497" s="37" t="n"/>
      <c r="D3497" s="39" t="str">
        <f>IF(C3497="","",IFERROR(INDEX(art_des,MATCH(C3497,art_ref,0))&amp;"","Référence inconnue"))</f>
        <v/>
      </c>
      <c r="E3497" s="37" t="n"/>
      <c r="F3497" s="39" t="str">
        <f>IF(C3497="","",IFERROR(INDEX(art_unit,MATCH(C3497,art_ref,0))&amp;"",""))</f>
        <v/>
      </c>
      <c r="G3497" s="37" t="n"/>
      <c r="H3497" s="37" t="n"/>
      <c r="I3497" s="37" t="n"/>
      <c r="J3497" s="40" t="str">
        <f>IF(OR(C3497="",NOT(ISNUMBER(E3497))),"",IFERROR(E3497*N(INDEX(art_price,MATCH(C3497,art_ref,0))),""))</f>
        <v/>
      </c>
      <c r="K3497" s="39" t="str">
        <f>IF(OR(C3497="",NOT(ISNUMBER(E3497))),"",IFERROR(ROUND(N(INDEX(art_init,MATCH(C3497,art_ref,0)))+SUMIFS($E$5:E3497,$C$5:C3497,C3497,$B$5:B3497,"Entrée")-SUMIFS($E$5:E3497,$C$5:C3497,C3497,$B$5:B3497,"Sortie"),6),""))</f>
        <v/>
      </c>
      <c r="L3497" s="39" t="str">
        <f>IF(COUNTA(A3497:C3497,E3497)=0,"",IF(COUNTA(A3497:C3497,E3497)&lt;4,"Ligne incomplète",IF(NOT(ISNUMBER(A3497)),"Date invalide",IF(AND(B3497&lt;&gt;"Entrée",B3497&lt;&gt;"Sortie"),"Type inconnu",IF(ISNA(MATCH(C3497,art_ref,0)),"Référence inconnue",IF(OR(NOT(ISNUMBER(E3497)),N(E3497)&lt;=0),"Quantité invalide",IF(K3497&lt;0,"Stock négatif",IF(AND(ISNUMBER(A3496),A3497&lt;A3496),"Date hors ordre","OK"))))))))</f>
        <v/>
      </c>
      <c r="M3497" s="39" t="str">
        <f>IF(C3497="","",C3497&amp;"#"&amp;COUNTIF($C$5:C3497,C3497))</f>
        <v/>
      </c>
    </row>
    <row r="3498">
      <c r="A3498" s="41" t="n"/>
      <c r="B3498" s="37" t="n"/>
      <c r="C3498" s="37" t="n"/>
      <c r="D3498" s="39" t="str">
        <f>IF(C3498="","",IFERROR(INDEX(art_des,MATCH(C3498,art_ref,0))&amp;"","Référence inconnue"))</f>
        <v/>
      </c>
      <c r="E3498" s="37" t="n"/>
      <c r="F3498" s="39" t="str">
        <f>IF(C3498="","",IFERROR(INDEX(art_unit,MATCH(C3498,art_ref,0))&amp;"",""))</f>
        <v/>
      </c>
      <c r="G3498" s="37" t="n"/>
      <c r="H3498" s="37" t="n"/>
      <c r="I3498" s="37" t="n"/>
      <c r="J3498" s="40" t="str">
        <f>IF(OR(C3498="",NOT(ISNUMBER(E3498))),"",IFERROR(E3498*N(INDEX(art_price,MATCH(C3498,art_ref,0))),""))</f>
        <v/>
      </c>
      <c r="K3498" s="39" t="str">
        <f>IF(OR(C3498="",NOT(ISNUMBER(E3498))),"",IFERROR(ROUND(N(INDEX(art_init,MATCH(C3498,art_ref,0)))+SUMIFS($E$5:E3498,$C$5:C3498,C3498,$B$5:B3498,"Entrée")-SUMIFS($E$5:E3498,$C$5:C3498,C3498,$B$5:B3498,"Sortie"),6),""))</f>
        <v/>
      </c>
      <c r="L3498" s="39" t="str">
        <f>IF(COUNTA(A3498:C3498,E3498)=0,"",IF(COUNTA(A3498:C3498,E3498)&lt;4,"Ligne incomplète",IF(NOT(ISNUMBER(A3498)),"Date invalide",IF(AND(B3498&lt;&gt;"Entrée",B3498&lt;&gt;"Sortie"),"Type inconnu",IF(ISNA(MATCH(C3498,art_ref,0)),"Référence inconnue",IF(OR(NOT(ISNUMBER(E3498)),N(E3498)&lt;=0),"Quantité invalide",IF(K3498&lt;0,"Stock négatif",IF(AND(ISNUMBER(A3497),A3498&lt;A3497),"Date hors ordre","OK"))))))))</f>
        <v/>
      </c>
      <c r="M3498" s="39" t="str">
        <f>IF(C3498="","",C3498&amp;"#"&amp;COUNTIF($C$5:C3498,C3498))</f>
        <v/>
      </c>
    </row>
    <row r="3499">
      <c r="A3499" s="41" t="n"/>
      <c r="B3499" s="37" t="n"/>
      <c r="C3499" s="37" t="n"/>
      <c r="D3499" s="39" t="str">
        <f>IF(C3499="","",IFERROR(INDEX(art_des,MATCH(C3499,art_ref,0))&amp;"","Référence inconnue"))</f>
        <v/>
      </c>
      <c r="E3499" s="37" t="n"/>
      <c r="F3499" s="39" t="str">
        <f>IF(C3499="","",IFERROR(INDEX(art_unit,MATCH(C3499,art_ref,0))&amp;"",""))</f>
        <v/>
      </c>
      <c r="G3499" s="37" t="n"/>
      <c r="H3499" s="37" t="n"/>
      <c r="I3499" s="37" t="n"/>
      <c r="J3499" s="40" t="str">
        <f>IF(OR(C3499="",NOT(ISNUMBER(E3499))),"",IFERROR(E3499*N(INDEX(art_price,MATCH(C3499,art_ref,0))),""))</f>
        <v/>
      </c>
      <c r="K3499" s="39" t="str">
        <f>IF(OR(C3499="",NOT(ISNUMBER(E3499))),"",IFERROR(ROUND(N(INDEX(art_init,MATCH(C3499,art_ref,0)))+SUMIFS($E$5:E3499,$C$5:C3499,C3499,$B$5:B3499,"Entrée")-SUMIFS($E$5:E3499,$C$5:C3499,C3499,$B$5:B3499,"Sortie"),6),""))</f>
        <v/>
      </c>
      <c r="L3499" s="39" t="str">
        <f>IF(COUNTA(A3499:C3499,E3499)=0,"",IF(COUNTA(A3499:C3499,E3499)&lt;4,"Ligne incomplète",IF(NOT(ISNUMBER(A3499)),"Date invalide",IF(AND(B3499&lt;&gt;"Entrée",B3499&lt;&gt;"Sortie"),"Type inconnu",IF(ISNA(MATCH(C3499,art_ref,0)),"Référence inconnue",IF(OR(NOT(ISNUMBER(E3499)),N(E3499)&lt;=0),"Quantité invalide",IF(K3499&lt;0,"Stock négatif",IF(AND(ISNUMBER(A3498),A3499&lt;A3498),"Date hors ordre","OK"))))))))</f>
        <v/>
      </c>
      <c r="M3499" s="39" t="str">
        <f>IF(C3499="","",C3499&amp;"#"&amp;COUNTIF($C$5:C3499,C3499))</f>
        <v/>
      </c>
    </row>
    <row r="3500">
      <c r="A3500" s="41" t="n"/>
      <c r="B3500" s="37" t="n"/>
      <c r="C3500" s="37" t="n"/>
      <c r="D3500" s="39" t="str">
        <f>IF(C3500="","",IFERROR(INDEX(art_des,MATCH(C3500,art_ref,0))&amp;"","Référence inconnue"))</f>
        <v/>
      </c>
      <c r="E3500" s="37" t="n"/>
      <c r="F3500" s="39" t="str">
        <f>IF(C3500="","",IFERROR(INDEX(art_unit,MATCH(C3500,art_ref,0))&amp;"",""))</f>
        <v/>
      </c>
      <c r="G3500" s="37" t="n"/>
      <c r="H3500" s="37" t="n"/>
      <c r="I3500" s="37" t="n"/>
      <c r="J3500" s="40" t="str">
        <f>IF(OR(C3500="",NOT(ISNUMBER(E3500))),"",IFERROR(E3500*N(INDEX(art_price,MATCH(C3500,art_ref,0))),""))</f>
        <v/>
      </c>
      <c r="K3500" s="39" t="str">
        <f>IF(OR(C3500="",NOT(ISNUMBER(E3500))),"",IFERROR(ROUND(N(INDEX(art_init,MATCH(C3500,art_ref,0)))+SUMIFS($E$5:E3500,$C$5:C3500,C3500,$B$5:B3500,"Entrée")-SUMIFS($E$5:E3500,$C$5:C3500,C3500,$B$5:B3500,"Sortie"),6),""))</f>
        <v/>
      </c>
      <c r="L3500" s="39" t="str">
        <f>IF(COUNTA(A3500:C3500,E3500)=0,"",IF(COUNTA(A3500:C3500,E3500)&lt;4,"Ligne incomplète",IF(NOT(ISNUMBER(A3500)),"Date invalide",IF(AND(B3500&lt;&gt;"Entrée",B3500&lt;&gt;"Sortie"),"Type inconnu",IF(ISNA(MATCH(C3500,art_ref,0)),"Référence inconnue",IF(OR(NOT(ISNUMBER(E3500)),N(E3500)&lt;=0),"Quantité invalide",IF(K3500&lt;0,"Stock négatif",IF(AND(ISNUMBER(A3499),A3500&lt;A3499),"Date hors ordre","OK"))))))))</f>
        <v/>
      </c>
      <c r="M3500" s="39" t="str">
        <f>IF(C3500="","",C3500&amp;"#"&amp;COUNTIF($C$5:C3500,C3500))</f>
        <v/>
      </c>
    </row>
    <row r="3501">
      <c r="A3501" s="41" t="n"/>
      <c r="B3501" s="37" t="n"/>
      <c r="C3501" s="37" t="n"/>
      <c r="D3501" s="39" t="str">
        <f>IF(C3501="","",IFERROR(INDEX(art_des,MATCH(C3501,art_ref,0))&amp;"","Référence inconnue"))</f>
        <v/>
      </c>
      <c r="E3501" s="37" t="n"/>
      <c r="F3501" s="39" t="str">
        <f>IF(C3501="","",IFERROR(INDEX(art_unit,MATCH(C3501,art_ref,0))&amp;"",""))</f>
        <v/>
      </c>
      <c r="G3501" s="37" t="n"/>
      <c r="H3501" s="37" t="n"/>
      <c r="I3501" s="37" t="n"/>
      <c r="J3501" s="40" t="str">
        <f>IF(OR(C3501="",NOT(ISNUMBER(E3501))),"",IFERROR(E3501*N(INDEX(art_price,MATCH(C3501,art_ref,0))),""))</f>
        <v/>
      </c>
      <c r="K3501" s="39" t="str">
        <f>IF(OR(C3501="",NOT(ISNUMBER(E3501))),"",IFERROR(ROUND(N(INDEX(art_init,MATCH(C3501,art_ref,0)))+SUMIFS($E$5:E3501,$C$5:C3501,C3501,$B$5:B3501,"Entrée")-SUMIFS($E$5:E3501,$C$5:C3501,C3501,$B$5:B3501,"Sortie"),6),""))</f>
        <v/>
      </c>
      <c r="L3501" s="39" t="str">
        <f>IF(COUNTA(A3501:C3501,E3501)=0,"",IF(COUNTA(A3501:C3501,E3501)&lt;4,"Ligne incomplète",IF(NOT(ISNUMBER(A3501)),"Date invalide",IF(AND(B3501&lt;&gt;"Entrée",B3501&lt;&gt;"Sortie"),"Type inconnu",IF(ISNA(MATCH(C3501,art_ref,0)),"Référence inconnue",IF(OR(NOT(ISNUMBER(E3501)),N(E3501)&lt;=0),"Quantité invalide",IF(K3501&lt;0,"Stock négatif",IF(AND(ISNUMBER(A3500),A3501&lt;A3500),"Date hors ordre","OK"))))))))</f>
        <v/>
      </c>
      <c r="M3501" s="39" t="str">
        <f>IF(C3501="","",C3501&amp;"#"&amp;COUNTIF($C$5:C3501,C3501))</f>
        <v/>
      </c>
    </row>
    <row r="3502">
      <c r="A3502" s="41" t="n"/>
      <c r="B3502" s="37" t="n"/>
      <c r="C3502" s="37" t="n"/>
      <c r="D3502" s="39" t="str">
        <f>IF(C3502="","",IFERROR(INDEX(art_des,MATCH(C3502,art_ref,0))&amp;"","Référence inconnue"))</f>
        <v/>
      </c>
      <c r="E3502" s="37" t="n"/>
      <c r="F3502" s="39" t="str">
        <f>IF(C3502="","",IFERROR(INDEX(art_unit,MATCH(C3502,art_ref,0))&amp;"",""))</f>
        <v/>
      </c>
      <c r="G3502" s="37" t="n"/>
      <c r="H3502" s="37" t="n"/>
      <c r="I3502" s="37" t="n"/>
      <c r="J3502" s="40" t="str">
        <f>IF(OR(C3502="",NOT(ISNUMBER(E3502))),"",IFERROR(E3502*N(INDEX(art_price,MATCH(C3502,art_ref,0))),""))</f>
        <v/>
      </c>
      <c r="K3502" s="39" t="str">
        <f>IF(OR(C3502="",NOT(ISNUMBER(E3502))),"",IFERROR(ROUND(N(INDEX(art_init,MATCH(C3502,art_ref,0)))+SUMIFS($E$5:E3502,$C$5:C3502,C3502,$B$5:B3502,"Entrée")-SUMIFS($E$5:E3502,$C$5:C3502,C3502,$B$5:B3502,"Sortie"),6),""))</f>
        <v/>
      </c>
      <c r="L3502" s="39" t="str">
        <f>IF(COUNTA(A3502:C3502,E3502)=0,"",IF(COUNTA(A3502:C3502,E3502)&lt;4,"Ligne incomplète",IF(NOT(ISNUMBER(A3502)),"Date invalide",IF(AND(B3502&lt;&gt;"Entrée",B3502&lt;&gt;"Sortie"),"Type inconnu",IF(ISNA(MATCH(C3502,art_ref,0)),"Référence inconnue",IF(OR(NOT(ISNUMBER(E3502)),N(E3502)&lt;=0),"Quantité invalide",IF(K3502&lt;0,"Stock négatif",IF(AND(ISNUMBER(A3501),A3502&lt;A3501),"Date hors ordre","OK"))))))))</f>
        <v/>
      </c>
      <c r="M3502" s="39" t="str">
        <f>IF(C3502="","",C3502&amp;"#"&amp;COUNTIF($C$5:C3502,C3502))</f>
        <v/>
      </c>
    </row>
    <row r="3503">
      <c r="A3503" s="41" t="n"/>
      <c r="B3503" s="37" t="n"/>
      <c r="C3503" s="37" t="n"/>
      <c r="D3503" s="39" t="str">
        <f>IF(C3503="","",IFERROR(INDEX(art_des,MATCH(C3503,art_ref,0))&amp;"","Référence inconnue"))</f>
        <v/>
      </c>
      <c r="E3503" s="37" t="n"/>
      <c r="F3503" s="39" t="str">
        <f>IF(C3503="","",IFERROR(INDEX(art_unit,MATCH(C3503,art_ref,0))&amp;"",""))</f>
        <v/>
      </c>
      <c r="G3503" s="37" t="n"/>
      <c r="H3503" s="37" t="n"/>
      <c r="I3503" s="37" t="n"/>
      <c r="J3503" s="40" t="str">
        <f>IF(OR(C3503="",NOT(ISNUMBER(E3503))),"",IFERROR(E3503*N(INDEX(art_price,MATCH(C3503,art_ref,0))),""))</f>
        <v/>
      </c>
      <c r="K3503" s="39" t="str">
        <f>IF(OR(C3503="",NOT(ISNUMBER(E3503))),"",IFERROR(ROUND(N(INDEX(art_init,MATCH(C3503,art_ref,0)))+SUMIFS($E$5:E3503,$C$5:C3503,C3503,$B$5:B3503,"Entrée")-SUMIFS($E$5:E3503,$C$5:C3503,C3503,$B$5:B3503,"Sortie"),6),""))</f>
        <v/>
      </c>
      <c r="L3503" s="39" t="str">
        <f>IF(COUNTA(A3503:C3503,E3503)=0,"",IF(COUNTA(A3503:C3503,E3503)&lt;4,"Ligne incomplète",IF(NOT(ISNUMBER(A3503)),"Date invalide",IF(AND(B3503&lt;&gt;"Entrée",B3503&lt;&gt;"Sortie"),"Type inconnu",IF(ISNA(MATCH(C3503,art_ref,0)),"Référence inconnue",IF(OR(NOT(ISNUMBER(E3503)),N(E3503)&lt;=0),"Quantité invalide",IF(K3503&lt;0,"Stock négatif",IF(AND(ISNUMBER(A3502),A3503&lt;A3502),"Date hors ordre","OK"))))))))</f>
        <v/>
      </c>
      <c r="M3503" s="39" t="str">
        <f>IF(C3503="","",C3503&amp;"#"&amp;COUNTIF($C$5:C3503,C3503))</f>
        <v/>
      </c>
    </row>
    <row r="3504">
      <c r="A3504" s="41" t="n"/>
      <c r="B3504" s="37" t="n"/>
      <c r="C3504" s="37" t="n"/>
      <c r="D3504" s="39" t="str">
        <f>IF(C3504="","",IFERROR(INDEX(art_des,MATCH(C3504,art_ref,0))&amp;"","Référence inconnue"))</f>
        <v/>
      </c>
      <c r="E3504" s="37" t="n"/>
      <c r="F3504" s="39" t="str">
        <f>IF(C3504="","",IFERROR(INDEX(art_unit,MATCH(C3504,art_ref,0))&amp;"",""))</f>
        <v/>
      </c>
      <c r="G3504" s="37" t="n"/>
      <c r="H3504" s="37" t="n"/>
      <c r="I3504" s="37" t="n"/>
      <c r="J3504" s="40" t="str">
        <f>IF(OR(C3504="",NOT(ISNUMBER(E3504))),"",IFERROR(E3504*N(INDEX(art_price,MATCH(C3504,art_ref,0))),""))</f>
        <v/>
      </c>
      <c r="K3504" s="39" t="str">
        <f>IF(OR(C3504="",NOT(ISNUMBER(E3504))),"",IFERROR(ROUND(N(INDEX(art_init,MATCH(C3504,art_ref,0)))+SUMIFS($E$5:E3504,$C$5:C3504,C3504,$B$5:B3504,"Entrée")-SUMIFS($E$5:E3504,$C$5:C3504,C3504,$B$5:B3504,"Sortie"),6),""))</f>
        <v/>
      </c>
      <c r="L3504" s="39" t="str">
        <f>IF(COUNTA(A3504:C3504,E3504)=0,"",IF(COUNTA(A3504:C3504,E3504)&lt;4,"Ligne incomplète",IF(NOT(ISNUMBER(A3504)),"Date invalide",IF(AND(B3504&lt;&gt;"Entrée",B3504&lt;&gt;"Sortie"),"Type inconnu",IF(ISNA(MATCH(C3504,art_ref,0)),"Référence inconnue",IF(OR(NOT(ISNUMBER(E3504)),N(E3504)&lt;=0),"Quantité invalide",IF(K3504&lt;0,"Stock négatif",IF(AND(ISNUMBER(A3503),A3504&lt;A3503),"Date hors ordre","OK"))))))))</f>
        <v/>
      </c>
      <c r="M3504" s="39" t="str">
        <f>IF(C3504="","",C3504&amp;"#"&amp;COUNTIF($C$5:C3504,C3504))</f>
        <v/>
      </c>
    </row>
    <row r="3505">
      <c r="A3505" s="41" t="n"/>
      <c r="B3505" s="37" t="n"/>
      <c r="C3505" s="37" t="n"/>
      <c r="D3505" s="39" t="str">
        <f>IF(C3505="","",IFERROR(INDEX(art_des,MATCH(C3505,art_ref,0))&amp;"","Référence inconnue"))</f>
        <v/>
      </c>
      <c r="E3505" s="37" t="n"/>
      <c r="F3505" s="39" t="str">
        <f>IF(C3505="","",IFERROR(INDEX(art_unit,MATCH(C3505,art_ref,0))&amp;"",""))</f>
        <v/>
      </c>
      <c r="G3505" s="37" t="n"/>
      <c r="H3505" s="37" t="n"/>
      <c r="I3505" s="37" t="n"/>
      <c r="J3505" s="40" t="str">
        <f>IF(OR(C3505="",NOT(ISNUMBER(E3505))),"",IFERROR(E3505*N(INDEX(art_price,MATCH(C3505,art_ref,0))),""))</f>
        <v/>
      </c>
      <c r="K3505" s="39" t="str">
        <f>IF(OR(C3505="",NOT(ISNUMBER(E3505))),"",IFERROR(ROUND(N(INDEX(art_init,MATCH(C3505,art_ref,0)))+SUMIFS($E$5:E3505,$C$5:C3505,C3505,$B$5:B3505,"Entrée")-SUMIFS($E$5:E3505,$C$5:C3505,C3505,$B$5:B3505,"Sortie"),6),""))</f>
        <v/>
      </c>
      <c r="L3505" s="39" t="str">
        <f>IF(COUNTA(A3505:C3505,E3505)=0,"",IF(COUNTA(A3505:C3505,E3505)&lt;4,"Ligne incomplète",IF(NOT(ISNUMBER(A3505)),"Date invalide",IF(AND(B3505&lt;&gt;"Entrée",B3505&lt;&gt;"Sortie"),"Type inconnu",IF(ISNA(MATCH(C3505,art_ref,0)),"Référence inconnue",IF(OR(NOT(ISNUMBER(E3505)),N(E3505)&lt;=0),"Quantité invalide",IF(K3505&lt;0,"Stock négatif",IF(AND(ISNUMBER(A3504),A3505&lt;A3504),"Date hors ordre","OK"))))))))</f>
        <v/>
      </c>
      <c r="M3505" s="39" t="str">
        <f>IF(C3505="","",C3505&amp;"#"&amp;COUNTIF($C$5:C3505,C3505))</f>
        <v/>
      </c>
    </row>
    <row r="3506">
      <c r="A3506" s="41" t="n"/>
      <c r="B3506" s="37" t="n"/>
      <c r="C3506" s="37" t="n"/>
      <c r="D3506" s="39" t="str">
        <f>IF(C3506="","",IFERROR(INDEX(art_des,MATCH(C3506,art_ref,0))&amp;"","Référence inconnue"))</f>
        <v/>
      </c>
      <c r="E3506" s="37" t="n"/>
      <c r="F3506" s="39" t="str">
        <f>IF(C3506="","",IFERROR(INDEX(art_unit,MATCH(C3506,art_ref,0))&amp;"",""))</f>
        <v/>
      </c>
      <c r="G3506" s="37" t="n"/>
      <c r="H3506" s="37" t="n"/>
      <c r="I3506" s="37" t="n"/>
      <c r="J3506" s="40" t="str">
        <f>IF(OR(C3506="",NOT(ISNUMBER(E3506))),"",IFERROR(E3506*N(INDEX(art_price,MATCH(C3506,art_ref,0))),""))</f>
        <v/>
      </c>
      <c r="K3506" s="39" t="str">
        <f>IF(OR(C3506="",NOT(ISNUMBER(E3506))),"",IFERROR(ROUND(N(INDEX(art_init,MATCH(C3506,art_ref,0)))+SUMIFS($E$5:E3506,$C$5:C3506,C3506,$B$5:B3506,"Entrée")-SUMIFS($E$5:E3506,$C$5:C3506,C3506,$B$5:B3506,"Sortie"),6),""))</f>
        <v/>
      </c>
      <c r="L3506" s="39" t="str">
        <f>IF(COUNTA(A3506:C3506,E3506)=0,"",IF(COUNTA(A3506:C3506,E3506)&lt;4,"Ligne incomplète",IF(NOT(ISNUMBER(A3506)),"Date invalide",IF(AND(B3506&lt;&gt;"Entrée",B3506&lt;&gt;"Sortie"),"Type inconnu",IF(ISNA(MATCH(C3506,art_ref,0)),"Référence inconnue",IF(OR(NOT(ISNUMBER(E3506)),N(E3506)&lt;=0),"Quantité invalide",IF(K3506&lt;0,"Stock négatif",IF(AND(ISNUMBER(A3505),A3506&lt;A3505),"Date hors ordre","OK"))))))))</f>
        <v/>
      </c>
      <c r="M3506" s="39" t="str">
        <f>IF(C3506="","",C3506&amp;"#"&amp;COUNTIF($C$5:C3506,C3506))</f>
        <v/>
      </c>
    </row>
    <row r="3507">
      <c r="A3507" s="41" t="n"/>
      <c r="B3507" s="37" t="n"/>
      <c r="C3507" s="37" t="n"/>
      <c r="D3507" s="39" t="str">
        <f>IF(C3507="","",IFERROR(INDEX(art_des,MATCH(C3507,art_ref,0))&amp;"","Référence inconnue"))</f>
        <v/>
      </c>
      <c r="E3507" s="37" t="n"/>
      <c r="F3507" s="39" t="str">
        <f>IF(C3507="","",IFERROR(INDEX(art_unit,MATCH(C3507,art_ref,0))&amp;"",""))</f>
        <v/>
      </c>
      <c r="G3507" s="37" t="n"/>
      <c r="H3507" s="37" t="n"/>
      <c r="I3507" s="37" t="n"/>
      <c r="J3507" s="40" t="str">
        <f>IF(OR(C3507="",NOT(ISNUMBER(E3507))),"",IFERROR(E3507*N(INDEX(art_price,MATCH(C3507,art_ref,0))),""))</f>
        <v/>
      </c>
      <c r="K3507" s="39" t="str">
        <f>IF(OR(C3507="",NOT(ISNUMBER(E3507))),"",IFERROR(ROUND(N(INDEX(art_init,MATCH(C3507,art_ref,0)))+SUMIFS($E$5:E3507,$C$5:C3507,C3507,$B$5:B3507,"Entrée")-SUMIFS($E$5:E3507,$C$5:C3507,C3507,$B$5:B3507,"Sortie"),6),""))</f>
        <v/>
      </c>
      <c r="L3507" s="39" t="str">
        <f>IF(COUNTA(A3507:C3507,E3507)=0,"",IF(COUNTA(A3507:C3507,E3507)&lt;4,"Ligne incomplète",IF(NOT(ISNUMBER(A3507)),"Date invalide",IF(AND(B3507&lt;&gt;"Entrée",B3507&lt;&gt;"Sortie"),"Type inconnu",IF(ISNA(MATCH(C3507,art_ref,0)),"Référence inconnue",IF(OR(NOT(ISNUMBER(E3507)),N(E3507)&lt;=0),"Quantité invalide",IF(K3507&lt;0,"Stock négatif",IF(AND(ISNUMBER(A3506),A3507&lt;A3506),"Date hors ordre","OK"))))))))</f>
        <v/>
      </c>
      <c r="M3507" s="39" t="str">
        <f>IF(C3507="","",C3507&amp;"#"&amp;COUNTIF($C$5:C3507,C3507))</f>
        <v/>
      </c>
    </row>
    <row r="3508">
      <c r="A3508" s="41" t="n"/>
      <c r="B3508" s="37" t="n"/>
      <c r="C3508" s="37" t="n"/>
      <c r="D3508" s="39" t="str">
        <f>IF(C3508="","",IFERROR(INDEX(art_des,MATCH(C3508,art_ref,0))&amp;"","Référence inconnue"))</f>
        <v/>
      </c>
      <c r="E3508" s="37" t="n"/>
      <c r="F3508" s="39" t="str">
        <f>IF(C3508="","",IFERROR(INDEX(art_unit,MATCH(C3508,art_ref,0))&amp;"",""))</f>
        <v/>
      </c>
      <c r="G3508" s="37" t="n"/>
      <c r="H3508" s="37" t="n"/>
      <c r="I3508" s="37" t="n"/>
      <c r="J3508" s="40" t="str">
        <f>IF(OR(C3508="",NOT(ISNUMBER(E3508))),"",IFERROR(E3508*N(INDEX(art_price,MATCH(C3508,art_ref,0))),""))</f>
        <v/>
      </c>
      <c r="K3508" s="39" t="str">
        <f>IF(OR(C3508="",NOT(ISNUMBER(E3508))),"",IFERROR(ROUND(N(INDEX(art_init,MATCH(C3508,art_ref,0)))+SUMIFS($E$5:E3508,$C$5:C3508,C3508,$B$5:B3508,"Entrée")-SUMIFS($E$5:E3508,$C$5:C3508,C3508,$B$5:B3508,"Sortie"),6),""))</f>
        <v/>
      </c>
      <c r="L3508" s="39" t="str">
        <f>IF(COUNTA(A3508:C3508,E3508)=0,"",IF(COUNTA(A3508:C3508,E3508)&lt;4,"Ligne incomplète",IF(NOT(ISNUMBER(A3508)),"Date invalide",IF(AND(B3508&lt;&gt;"Entrée",B3508&lt;&gt;"Sortie"),"Type inconnu",IF(ISNA(MATCH(C3508,art_ref,0)),"Référence inconnue",IF(OR(NOT(ISNUMBER(E3508)),N(E3508)&lt;=0),"Quantité invalide",IF(K3508&lt;0,"Stock négatif",IF(AND(ISNUMBER(A3507),A3508&lt;A3507),"Date hors ordre","OK"))))))))</f>
        <v/>
      </c>
      <c r="M3508" s="39" t="str">
        <f>IF(C3508="","",C3508&amp;"#"&amp;COUNTIF($C$5:C3508,C3508))</f>
        <v/>
      </c>
    </row>
    <row r="3509">
      <c r="A3509" s="41" t="n"/>
      <c r="B3509" s="37" t="n"/>
      <c r="C3509" s="37" t="n"/>
      <c r="D3509" s="39" t="str">
        <f>IF(C3509="","",IFERROR(INDEX(art_des,MATCH(C3509,art_ref,0))&amp;"","Référence inconnue"))</f>
        <v/>
      </c>
      <c r="E3509" s="37" t="n"/>
      <c r="F3509" s="39" t="str">
        <f>IF(C3509="","",IFERROR(INDEX(art_unit,MATCH(C3509,art_ref,0))&amp;"",""))</f>
        <v/>
      </c>
      <c r="G3509" s="37" t="n"/>
      <c r="H3509" s="37" t="n"/>
      <c r="I3509" s="37" t="n"/>
      <c r="J3509" s="40" t="str">
        <f>IF(OR(C3509="",NOT(ISNUMBER(E3509))),"",IFERROR(E3509*N(INDEX(art_price,MATCH(C3509,art_ref,0))),""))</f>
        <v/>
      </c>
      <c r="K3509" s="39" t="str">
        <f>IF(OR(C3509="",NOT(ISNUMBER(E3509))),"",IFERROR(ROUND(N(INDEX(art_init,MATCH(C3509,art_ref,0)))+SUMIFS($E$5:E3509,$C$5:C3509,C3509,$B$5:B3509,"Entrée")-SUMIFS($E$5:E3509,$C$5:C3509,C3509,$B$5:B3509,"Sortie"),6),""))</f>
        <v/>
      </c>
      <c r="L3509" s="39" t="str">
        <f>IF(COUNTA(A3509:C3509,E3509)=0,"",IF(COUNTA(A3509:C3509,E3509)&lt;4,"Ligne incomplète",IF(NOT(ISNUMBER(A3509)),"Date invalide",IF(AND(B3509&lt;&gt;"Entrée",B3509&lt;&gt;"Sortie"),"Type inconnu",IF(ISNA(MATCH(C3509,art_ref,0)),"Référence inconnue",IF(OR(NOT(ISNUMBER(E3509)),N(E3509)&lt;=0),"Quantité invalide",IF(K3509&lt;0,"Stock négatif",IF(AND(ISNUMBER(A3508),A3509&lt;A3508),"Date hors ordre","OK"))))))))</f>
        <v/>
      </c>
      <c r="M3509" s="39" t="str">
        <f>IF(C3509="","",C3509&amp;"#"&amp;COUNTIF($C$5:C3509,C3509))</f>
        <v/>
      </c>
    </row>
    <row r="3510">
      <c r="A3510" s="41" t="n"/>
      <c r="B3510" s="37" t="n"/>
      <c r="C3510" s="37" t="n"/>
      <c r="D3510" s="39" t="str">
        <f>IF(C3510="","",IFERROR(INDEX(art_des,MATCH(C3510,art_ref,0))&amp;"","Référence inconnue"))</f>
        <v/>
      </c>
      <c r="E3510" s="37" t="n"/>
      <c r="F3510" s="39" t="str">
        <f>IF(C3510="","",IFERROR(INDEX(art_unit,MATCH(C3510,art_ref,0))&amp;"",""))</f>
        <v/>
      </c>
      <c r="G3510" s="37" t="n"/>
      <c r="H3510" s="37" t="n"/>
      <c r="I3510" s="37" t="n"/>
      <c r="J3510" s="40" t="str">
        <f>IF(OR(C3510="",NOT(ISNUMBER(E3510))),"",IFERROR(E3510*N(INDEX(art_price,MATCH(C3510,art_ref,0))),""))</f>
        <v/>
      </c>
      <c r="K3510" s="39" t="str">
        <f>IF(OR(C3510="",NOT(ISNUMBER(E3510))),"",IFERROR(ROUND(N(INDEX(art_init,MATCH(C3510,art_ref,0)))+SUMIFS($E$5:E3510,$C$5:C3510,C3510,$B$5:B3510,"Entrée")-SUMIFS($E$5:E3510,$C$5:C3510,C3510,$B$5:B3510,"Sortie"),6),""))</f>
        <v/>
      </c>
      <c r="L3510" s="39" t="str">
        <f>IF(COUNTA(A3510:C3510,E3510)=0,"",IF(COUNTA(A3510:C3510,E3510)&lt;4,"Ligne incomplète",IF(NOT(ISNUMBER(A3510)),"Date invalide",IF(AND(B3510&lt;&gt;"Entrée",B3510&lt;&gt;"Sortie"),"Type inconnu",IF(ISNA(MATCH(C3510,art_ref,0)),"Référence inconnue",IF(OR(NOT(ISNUMBER(E3510)),N(E3510)&lt;=0),"Quantité invalide",IF(K3510&lt;0,"Stock négatif",IF(AND(ISNUMBER(A3509),A3510&lt;A3509),"Date hors ordre","OK"))))))))</f>
        <v/>
      </c>
      <c r="M3510" s="39" t="str">
        <f>IF(C3510="","",C3510&amp;"#"&amp;COUNTIF($C$5:C3510,C3510))</f>
        <v/>
      </c>
    </row>
    <row r="3511">
      <c r="A3511" s="41" t="n"/>
      <c r="B3511" s="37" t="n"/>
      <c r="C3511" s="37" t="n"/>
      <c r="D3511" s="39" t="str">
        <f>IF(C3511="","",IFERROR(INDEX(art_des,MATCH(C3511,art_ref,0))&amp;"","Référence inconnue"))</f>
        <v/>
      </c>
      <c r="E3511" s="37" t="n"/>
      <c r="F3511" s="39" t="str">
        <f>IF(C3511="","",IFERROR(INDEX(art_unit,MATCH(C3511,art_ref,0))&amp;"",""))</f>
        <v/>
      </c>
      <c r="G3511" s="37" t="n"/>
      <c r="H3511" s="37" t="n"/>
      <c r="I3511" s="37" t="n"/>
      <c r="J3511" s="40" t="str">
        <f>IF(OR(C3511="",NOT(ISNUMBER(E3511))),"",IFERROR(E3511*N(INDEX(art_price,MATCH(C3511,art_ref,0))),""))</f>
        <v/>
      </c>
      <c r="K3511" s="39" t="str">
        <f>IF(OR(C3511="",NOT(ISNUMBER(E3511))),"",IFERROR(ROUND(N(INDEX(art_init,MATCH(C3511,art_ref,0)))+SUMIFS($E$5:E3511,$C$5:C3511,C3511,$B$5:B3511,"Entrée")-SUMIFS($E$5:E3511,$C$5:C3511,C3511,$B$5:B3511,"Sortie"),6),""))</f>
        <v/>
      </c>
      <c r="L3511" s="39" t="str">
        <f>IF(COUNTA(A3511:C3511,E3511)=0,"",IF(COUNTA(A3511:C3511,E3511)&lt;4,"Ligne incomplète",IF(NOT(ISNUMBER(A3511)),"Date invalide",IF(AND(B3511&lt;&gt;"Entrée",B3511&lt;&gt;"Sortie"),"Type inconnu",IF(ISNA(MATCH(C3511,art_ref,0)),"Référence inconnue",IF(OR(NOT(ISNUMBER(E3511)),N(E3511)&lt;=0),"Quantité invalide",IF(K3511&lt;0,"Stock négatif",IF(AND(ISNUMBER(A3510),A3511&lt;A3510),"Date hors ordre","OK"))))))))</f>
        <v/>
      </c>
      <c r="M3511" s="39" t="str">
        <f>IF(C3511="","",C3511&amp;"#"&amp;COUNTIF($C$5:C3511,C3511))</f>
        <v/>
      </c>
    </row>
    <row r="3512">
      <c r="A3512" s="41" t="n"/>
      <c r="B3512" s="37" t="n"/>
      <c r="C3512" s="37" t="n"/>
      <c r="D3512" s="39" t="str">
        <f>IF(C3512="","",IFERROR(INDEX(art_des,MATCH(C3512,art_ref,0))&amp;"","Référence inconnue"))</f>
        <v/>
      </c>
      <c r="E3512" s="37" t="n"/>
      <c r="F3512" s="39" t="str">
        <f>IF(C3512="","",IFERROR(INDEX(art_unit,MATCH(C3512,art_ref,0))&amp;"",""))</f>
        <v/>
      </c>
      <c r="G3512" s="37" t="n"/>
      <c r="H3512" s="37" t="n"/>
      <c r="I3512" s="37" t="n"/>
      <c r="J3512" s="40" t="str">
        <f>IF(OR(C3512="",NOT(ISNUMBER(E3512))),"",IFERROR(E3512*N(INDEX(art_price,MATCH(C3512,art_ref,0))),""))</f>
        <v/>
      </c>
      <c r="K3512" s="39" t="str">
        <f>IF(OR(C3512="",NOT(ISNUMBER(E3512))),"",IFERROR(ROUND(N(INDEX(art_init,MATCH(C3512,art_ref,0)))+SUMIFS($E$5:E3512,$C$5:C3512,C3512,$B$5:B3512,"Entrée")-SUMIFS($E$5:E3512,$C$5:C3512,C3512,$B$5:B3512,"Sortie"),6),""))</f>
        <v/>
      </c>
      <c r="L3512" s="39" t="str">
        <f>IF(COUNTA(A3512:C3512,E3512)=0,"",IF(COUNTA(A3512:C3512,E3512)&lt;4,"Ligne incomplète",IF(NOT(ISNUMBER(A3512)),"Date invalide",IF(AND(B3512&lt;&gt;"Entrée",B3512&lt;&gt;"Sortie"),"Type inconnu",IF(ISNA(MATCH(C3512,art_ref,0)),"Référence inconnue",IF(OR(NOT(ISNUMBER(E3512)),N(E3512)&lt;=0),"Quantité invalide",IF(K3512&lt;0,"Stock négatif",IF(AND(ISNUMBER(A3511),A3512&lt;A3511),"Date hors ordre","OK"))))))))</f>
        <v/>
      </c>
      <c r="M3512" s="39" t="str">
        <f>IF(C3512="","",C3512&amp;"#"&amp;COUNTIF($C$5:C3512,C3512))</f>
        <v/>
      </c>
    </row>
    <row r="3513">
      <c r="A3513" s="41" t="n"/>
      <c r="B3513" s="37" t="n"/>
      <c r="C3513" s="37" t="n"/>
      <c r="D3513" s="39" t="str">
        <f>IF(C3513="","",IFERROR(INDEX(art_des,MATCH(C3513,art_ref,0))&amp;"","Référence inconnue"))</f>
        <v/>
      </c>
      <c r="E3513" s="37" t="n"/>
      <c r="F3513" s="39" t="str">
        <f>IF(C3513="","",IFERROR(INDEX(art_unit,MATCH(C3513,art_ref,0))&amp;"",""))</f>
        <v/>
      </c>
      <c r="G3513" s="37" t="n"/>
      <c r="H3513" s="37" t="n"/>
      <c r="I3513" s="37" t="n"/>
      <c r="J3513" s="40" t="str">
        <f>IF(OR(C3513="",NOT(ISNUMBER(E3513))),"",IFERROR(E3513*N(INDEX(art_price,MATCH(C3513,art_ref,0))),""))</f>
        <v/>
      </c>
      <c r="K3513" s="39" t="str">
        <f>IF(OR(C3513="",NOT(ISNUMBER(E3513))),"",IFERROR(ROUND(N(INDEX(art_init,MATCH(C3513,art_ref,0)))+SUMIFS($E$5:E3513,$C$5:C3513,C3513,$B$5:B3513,"Entrée")-SUMIFS($E$5:E3513,$C$5:C3513,C3513,$B$5:B3513,"Sortie"),6),""))</f>
        <v/>
      </c>
      <c r="L3513" s="39" t="str">
        <f>IF(COUNTA(A3513:C3513,E3513)=0,"",IF(COUNTA(A3513:C3513,E3513)&lt;4,"Ligne incomplète",IF(NOT(ISNUMBER(A3513)),"Date invalide",IF(AND(B3513&lt;&gt;"Entrée",B3513&lt;&gt;"Sortie"),"Type inconnu",IF(ISNA(MATCH(C3513,art_ref,0)),"Référence inconnue",IF(OR(NOT(ISNUMBER(E3513)),N(E3513)&lt;=0),"Quantité invalide",IF(K3513&lt;0,"Stock négatif",IF(AND(ISNUMBER(A3512),A3513&lt;A3512),"Date hors ordre","OK"))))))))</f>
        <v/>
      </c>
      <c r="M3513" s="39" t="str">
        <f>IF(C3513="","",C3513&amp;"#"&amp;COUNTIF($C$5:C3513,C3513))</f>
        <v/>
      </c>
    </row>
    <row r="3514">
      <c r="A3514" s="41" t="n"/>
      <c r="B3514" s="37" t="n"/>
      <c r="C3514" s="37" t="n"/>
      <c r="D3514" s="39" t="str">
        <f>IF(C3514="","",IFERROR(INDEX(art_des,MATCH(C3514,art_ref,0))&amp;"","Référence inconnue"))</f>
        <v/>
      </c>
      <c r="E3514" s="37" t="n"/>
      <c r="F3514" s="39" t="str">
        <f>IF(C3514="","",IFERROR(INDEX(art_unit,MATCH(C3514,art_ref,0))&amp;"",""))</f>
        <v/>
      </c>
      <c r="G3514" s="37" t="n"/>
      <c r="H3514" s="37" t="n"/>
      <c r="I3514" s="37" t="n"/>
      <c r="J3514" s="40" t="str">
        <f>IF(OR(C3514="",NOT(ISNUMBER(E3514))),"",IFERROR(E3514*N(INDEX(art_price,MATCH(C3514,art_ref,0))),""))</f>
        <v/>
      </c>
      <c r="K3514" s="39" t="str">
        <f>IF(OR(C3514="",NOT(ISNUMBER(E3514))),"",IFERROR(ROUND(N(INDEX(art_init,MATCH(C3514,art_ref,0)))+SUMIFS($E$5:E3514,$C$5:C3514,C3514,$B$5:B3514,"Entrée")-SUMIFS($E$5:E3514,$C$5:C3514,C3514,$B$5:B3514,"Sortie"),6),""))</f>
        <v/>
      </c>
      <c r="L3514" s="39" t="str">
        <f>IF(COUNTA(A3514:C3514,E3514)=0,"",IF(COUNTA(A3514:C3514,E3514)&lt;4,"Ligne incomplète",IF(NOT(ISNUMBER(A3514)),"Date invalide",IF(AND(B3514&lt;&gt;"Entrée",B3514&lt;&gt;"Sortie"),"Type inconnu",IF(ISNA(MATCH(C3514,art_ref,0)),"Référence inconnue",IF(OR(NOT(ISNUMBER(E3514)),N(E3514)&lt;=0),"Quantité invalide",IF(K3514&lt;0,"Stock négatif",IF(AND(ISNUMBER(A3513),A3514&lt;A3513),"Date hors ordre","OK"))))))))</f>
        <v/>
      </c>
      <c r="M3514" s="39" t="str">
        <f>IF(C3514="","",C3514&amp;"#"&amp;COUNTIF($C$5:C3514,C3514))</f>
        <v/>
      </c>
    </row>
    <row r="3515">
      <c r="A3515" s="41" t="n"/>
      <c r="B3515" s="37" t="n"/>
      <c r="C3515" s="37" t="n"/>
      <c r="D3515" s="39" t="str">
        <f>IF(C3515="","",IFERROR(INDEX(art_des,MATCH(C3515,art_ref,0))&amp;"","Référence inconnue"))</f>
        <v/>
      </c>
      <c r="E3515" s="37" t="n"/>
      <c r="F3515" s="39" t="str">
        <f>IF(C3515="","",IFERROR(INDEX(art_unit,MATCH(C3515,art_ref,0))&amp;"",""))</f>
        <v/>
      </c>
      <c r="G3515" s="37" t="n"/>
      <c r="H3515" s="37" t="n"/>
      <c r="I3515" s="37" t="n"/>
      <c r="J3515" s="40" t="str">
        <f>IF(OR(C3515="",NOT(ISNUMBER(E3515))),"",IFERROR(E3515*N(INDEX(art_price,MATCH(C3515,art_ref,0))),""))</f>
        <v/>
      </c>
      <c r="K3515" s="39" t="str">
        <f>IF(OR(C3515="",NOT(ISNUMBER(E3515))),"",IFERROR(ROUND(N(INDEX(art_init,MATCH(C3515,art_ref,0)))+SUMIFS($E$5:E3515,$C$5:C3515,C3515,$B$5:B3515,"Entrée")-SUMIFS($E$5:E3515,$C$5:C3515,C3515,$B$5:B3515,"Sortie"),6),""))</f>
        <v/>
      </c>
      <c r="L3515" s="39" t="str">
        <f>IF(COUNTA(A3515:C3515,E3515)=0,"",IF(COUNTA(A3515:C3515,E3515)&lt;4,"Ligne incomplète",IF(NOT(ISNUMBER(A3515)),"Date invalide",IF(AND(B3515&lt;&gt;"Entrée",B3515&lt;&gt;"Sortie"),"Type inconnu",IF(ISNA(MATCH(C3515,art_ref,0)),"Référence inconnue",IF(OR(NOT(ISNUMBER(E3515)),N(E3515)&lt;=0),"Quantité invalide",IF(K3515&lt;0,"Stock négatif",IF(AND(ISNUMBER(A3514),A3515&lt;A3514),"Date hors ordre","OK"))))))))</f>
        <v/>
      </c>
      <c r="M3515" s="39" t="str">
        <f>IF(C3515="","",C3515&amp;"#"&amp;COUNTIF($C$5:C3515,C3515))</f>
        <v/>
      </c>
    </row>
    <row r="3516">
      <c r="A3516" s="41" t="n"/>
      <c r="B3516" s="37" t="n"/>
      <c r="C3516" s="37" t="n"/>
      <c r="D3516" s="39" t="str">
        <f>IF(C3516="","",IFERROR(INDEX(art_des,MATCH(C3516,art_ref,0))&amp;"","Référence inconnue"))</f>
        <v/>
      </c>
      <c r="E3516" s="37" t="n"/>
      <c r="F3516" s="39" t="str">
        <f>IF(C3516="","",IFERROR(INDEX(art_unit,MATCH(C3516,art_ref,0))&amp;"",""))</f>
        <v/>
      </c>
      <c r="G3516" s="37" t="n"/>
      <c r="H3516" s="37" t="n"/>
      <c r="I3516" s="37" t="n"/>
      <c r="J3516" s="40" t="str">
        <f>IF(OR(C3516="",NOT(ISNUMBER(E3516))),"",IFERROR(E3516*N(INDEX(art_price,MATCH(C3516,art_ref,0))),""))</f>
        <v/>
      </c>
      <c r="K3516" s="39" t="str">
        <f>IF(OR(C3516="",NOT(ISNUMBER(E3516))),"",IFERROR(ROUND(N(INDEX(art_init,MATCH(C3516,art_ref,0)))+SUMIFS($E$5:E3516,$C$5:C3516,C3516,$B$5:B3516,"Entrée")-SUMIFS($E$5:E3516,$C$5:C3516,C3516,$B$5:B3516,"Sortie"),6),""))</f>
        <v/>
      </c>
      <c r="L3516" s="39" t="str">
        <f>IF(COUNTA(A3516:C3516,E3516)=0,"",IF(COUNTA(A3516:C3516,E3516)&lt;4,"Ligne incomplète",IF(NOT(ISNUMBER(A3516)),"Date invalide",IF(AND(B3516&lt;&gt;"Entrée",B3516&lt;&gt;"Sortie"),"Type inconnu",IF(ISNA(MATCH(C3516,art_ref,0)),"Référence inconnue",IF(OR(NOT(ISNUMBER(E3516)),N(E3516)&lt;=0),"Quantité invalide",IF(K3516&lt;0,"Stock négatif",IF(AND(ISNUMBER(A3515),A3516&lt;A3515),"Date hors ordre","OK"))))))))</f>
        <v/>
      </c>
      <c r="M3516" s="39" t="str">
        <f>IF(C3516="","",C3516&amp;"#"&amp;COUNTIF($C$5:C3516,C3516))</f>
        <v/>
      </c>
    </row>
    <row r="3517">
      <c r="A3517" s="41" t="n"/>
      <c r="B3517" s="37" t="n"/>
      <c r="C3517" s="37" t="n"/>
      <c r="D3517" s="39" t="str">
        <f>IF(C3517="","",IFERROR(INDEX(art_des,MATCH(C3517,art_ref,0))&amp;"","Référence inconnue"))</f>
        <v/>
      </c>
      <c r="E3517" s="37" t="n"/>
      <c r="F3517" s="39" t="str">
        <f>IF(C3517="","",IFERROR(INDEX(art_unit,MATCH(C3517,art_ref,0))&amp;"",""))</f>
        <v/>
      </c>
      <c r="G3517" s="37" t="n"/>
      <c r="H3517" s="37" t="n"/>
      <c r="I3517" s="37" t="n"/>
      <c r="J3517" s="40" t="str">
        <f>IF(OR(C3517="",NOT(ISNUMBER(E3517))),"",IFERROR(E3517*N(INDEX(art_price,MATCH(C3517,art_ref,0))),""))</f>
        <v/>
      </c>
      <c r="K3517" s="39" t="str">
        <f>IF(OR(C3517="",NOT(ISNUMBER(E3517))),"",IFERROR(ROUND(N(INDEX(art_init,MATCH(C3517,art_ref,0)))+SUMIFS($E$5:E3517,$C$5:C3517,C3517,$B$5:B3517,"Entrée")-SUMIFS($E$5:E3517,$C$5:C3517,C3517,$B$5:B3517,"Sortie"),6),""))</f>
        <v/>
      </c>
      <c r="L3517" s="39" t="str">
        <f>IF(COUNTA(A3517:C3517,E3517)=0,"",IF(COUNTA(A3517:C3517,E3517)&lt;4,"Ligne incomplète",IF(NOT(ISNUMBER(A3517)),"Date invalide",IF(AND(B3517&lt;&gt;"Entrée",B3517&lt;&gt;"Sortie"),"Type inconnu",IF(ISNA(MATCH(C3517,art_ref,0)),"Référence inconnue",IF(OR(NOT(ISNUMBER(E3517)),N(E3517)&lt;=0),"Quantité invalide",IF(K3517&lt;0,"Stock négatif",IF(AND(ISNUMBER(A3516),A3517&lt;A3516),"Date hors ordre","OK"))))))))</f>
        <v/>
      </c>
      <c r="M3517" s="39" t="str">
        <f>IF(C3517="","",C3517&amp;"#"&amp;COUNTIF($C$5:C3517,C3517))</f>
        <v/>
      </c>
    </row>
    <row r="3518">
      <c r="A3518" s="41" t="n"/>
      <c r="B3518" s="37" t="n"/>
      <c r="C3518" s="37" t="n"/>
      <c r="D3518" s="39" t="str">
        <f>IF(C3518="","",IFERROR(INDEX(art_des,MATCH(C3518,art_ref,0))&amp;"","Référence inconnue"))</f>
        <v/>
      </c>
      <c r="E3518" s="37" t="n"/>
      <c r="F3518" s="39" t="str">
        <f>IF(C3518="","",IFERROR(INDEX(art_unit,MATCH(C3518,art_ref,0))&amp;"",""))</f>
        <v/>
      </c>
      <c r="G3518" s="37" t="n"/>
      <c r="H3518" s="37" t="n"/>
      <c r="I3518" s="37" t="n"/>
      <c r="J3518" s="40" t="str">
        <f>IF(OR(C3518="",NOT(ISNUMBER(E3518))),"",IFERROR(E3518*N(INDEX(art_price,MATCH(C3518,art_ref,0))),""))</f>
        <v/>
      </c>
      <c r="K3518" s="39" t="str">
        <f>IF(OR(C3518="",NOT(ISNUMBER(E3518))),"",IFERROR(ROUND(N(INDEX(art_init,MATCH(C3518,art_ref,0)))+SUMIFS($E$5:E3518,$C$5:C3518,C3518,$B$5:B3518,"Entrée")-SUMIFS($E$5:E3518,$C$5:C3518,C3518,$B$5:B3518,"Sortie"),6),""))</f>
        <v/>
      </c>
      <c r="L3518" s="39" t="str">
        <f>IF(COUNTA(A3518:C3518,E3518)=0,"",IF(COUNTA(A3518:C3518,E3518)&lt;4,"Ligne incomplète",IF(NOT(ISNUMBER(A3518)),"Date invalide",IF(AND(B3518&lt;&gt;"Entrée",B3518&lt;&gt;"Sortie"),"Type inconnu",IF(ISNA(MATCH(C3518,art_ref,0)),"Référence inconnue",IF(OR(NOT(ISNUMBER(E3518)),N(E3518)&lt;=0),"Quantité invalide",IF(K3518&lt;0,"Stock négatif",IF(AND(ISNUMBER(A3517),A3518&lt;A3517),"Date hors ordre","OK"))))))))</f>
        <v/>
      </c>
      <c r="M3518" s="39" t="str">
        <f>IF(C3518="","",C3518&amp;"#"&amp;COUNTIF($C$5:C3518,C3518))</f>
        <v/>
      </c>
    </row>
    <row r="3519">
      <c r="A3519" s="41" t="n"/>
      <c r="B3519" s="37" t="n"/>
      <c r="C3519" s="37" t="n"/>
      <c r="D3519" s="39" t="str">
        <f>IF(C3519="","",IFERROR(INDEX(art_des,MATCH(C3519,art_ref,0))&amp;"","Référence inconnue"))</f>
        <v/>
      </c>
      <c r="E3519" s="37" t="n"/>
      <c r="F3519" s="39" t="str">
        <f>IF(C3519="","",IFERROR(INDEX(art_unit,MATCH(C3519,art_ref,0))&amp;"",""))</f>
        <v/>
      </c>
      <c r="G3519" s="37" t="n"/>
      <c r="H3519" s="37" t="n"/>
      <c r="I3519" s="37" t="n"/>
      <c r="J3519" s="40" t="str">
        <f>IF(OR(C3519="",NOT(ISNUMBER(E3519))),"",IFERROR(E3519*N(INDEX(art_price,MATCH(C3519,art_ref,0))),""))</f>
        <v/>
      </c>
      <c r="K3519" s="39" t="str">
        <f>IF(OR(C3519="",NOT(ISNUMBER(E3519))),"",IFERROR(ROUND(N(INDEX(art_init,MATCH(C3519,art_ref,0)))+SUMIFS($E$5:E3519,$C$5:C3519,C3519,$B$5:B3519,"Entrée")-SUMIFS($E$5:E3519,$C$5:C3519,C3519,$B$5:B3519,"Sortie"),6),""))</f>
        <v/>
      </c>
      <c r="L3519" s="39" t="str">
        <f>IF(COUNTA(A3519:C3519,E3519)=0,"",IF(COUNTA(A3519:C3519,E3519)&lt;4,"Ligne incomplète",IF(NOT(ISNUMBER(A3519)),"Date invalide",IF(AND(B3519&lt;&gt;"Entrée",B3519&lt;&gt;"Sortie"),"Type inconnu",IF(ISNA(MATCH(C3519,art_ref,0)),"Référence inconnue",IF(OR(NOT(ISNUMBER(E3519)),N(E3519)&lt;=0),"Quantité invalide",IF(K3519&lt;0,"Stock négatif",IF(AND(ISNUMBER(A3518),A3519&lt;A3518),"Date hors ordre","OK"))))))))</f>
        <v/>
      </c>
      <c r="M3519" s="39" t="str">
        <f>IF(C3519="","",C3519&amp;"#"&amp;COUNTIF($C$5:C3519,C3519))</f>
        <v/>
      </c>
    </row>
    <row r="3520">
      <c r="A3520" s="41" t="n"/>
      <c r="B3520" s="37" t="n"/>
      <c r="C3520" s="37" t="n"/>
      <c r="D3520" s="39" t="str">
        <f>IF(C3520="","",IFERROR(INDEX(art_des,MATCH(C3520,art_ref,0))&amp;"","Référence inconnue"))</f>
        <v/>
      </c>
      <c r="E3520" s="37" t="n"/>
      <c r="F3520" s="39" t="str">
        <f>IF(C3520="","",IFERROR(INDEX(art_unit,MATCH(C3520,art_ref,0))&amp;"",""))</f>
        <v/>
      </c>
      <c r="G3520" s="37" t="n"/>
      <c r="H3520" s="37" t="n"/>
      <c r="I3520" s="37" t="n"/>
      <c r="J3520" s="40" t="str">
        <f>IF(OR(C3520="",NOT(ISNUMBER(E3520))),"",IFERROR(E3520*N(INDEX(art_price,MATCH(C3520,art_ref,0))),""))</f>
        <v/>
      </c>
      <c r="K3520" s="39" t="str">
        <f>IF(OR(C3520="",NOT(ISNUMBER(E3520))),"",IFERROR(ROUND(N(INDEX(art_init,MATCH(C3520,art_ref,0)))+SUMIFS($E$5:E3520,$C$5:C3520,C3520,$B$5:B3520,"Entrée")-SUMIFS($E$5:E3520,$C$5:C3520,C3520,$B$5:B3520,"Sortie"),6),""))</f>
        <v/>
      </c>
      <c r="L3520" s="39" t="str">
        <f>IF(COUNTA(A3520:C3520,E3520)=0,"",IF(COUNTA(A3520:C3520,E3520)&lt;4,"Ligne incomplète",IF(NOT(ISNUMBER(A3520)),"Date invalide",IF(AND(B3520&lt;&gt;"Entrée",B3520&lt;&gt;"Sortie"),"Type inconnu",IF(ISNA(MATCH(C3520,art_ref,0)),"Référence inconnue",IF(OR(NOT(ISNUMBER(E3520)),N(E3520)&lt;=0),"Quantité invalide",IF(K3520&lt;0,"Stock négatif",IF(AND(ISNUMBER(A3519),A3520&lt;A3519),"Date hors ordre","OK"))))))))</f>
        <v/>
      </c>
      <c r="M3520" s="39" t="str">
        <f>IF(C3520="","",C3520&amp;"#"&amp;COUNTIF($C$5:C3520,C3520))</f>
        <v/>
      </c>
    </row>
    <row r="3521">
      <c r="A3521" s="41" t="n"/>
      <c r="B3521" s="37" t="n"/>
      <c r="C3521" s="37" t="n"/>
      <c r="D3521" s="39" t="str">
        <f>IF(C3521="","",IFERROR(INDEX(art_des,MATCH(C3521,art_ref,0))&amp;"","Référence inconnue"))</f>
        <v/>
      </c>
      <c r="E3521" s="37" t="n"/>
      <c r="F3521" s="39" t="str">
        <f>IF(C3521="","",IFERROR(INDEX(art_unit,MATCH(C3521,art_ref,0))&amp;"",""))</f>
        <v/>
      </c>
      <c r="G3521" s="37" t="n"/>
      <c r="H3521" s="37" t="n"/>
      <c r="I3521" s="37" t="n"/>
      <c r="J3521" s="40" t="str">
        <f>IF(OR(C3521="",NOT(ISNUMBER(E3521))),"",IFERROR(E3521*N(INDEX(art_price,MATCH(C3521,art_ref,0))),""))</f>
        <v/>
      </c>
      <c r="K3521" s="39" t="str">
        <f>IF(OR(C3521="",NOT(ISNUMBER(E3521))),"",IFERROR(ROUND(N(INDEX(art_init,MATCH(C3521,art_ref,0)))+SUMIFS($E$5:E3521,$C$5:C3521,C3521,$B$5:B3521,"Entrée")-SUMIFS($E$5:E3521,$C$5:C3521,C3521,$B$5:B3521,"Sortie"),6),""))</f>
        <v/>
      </c>
      <c r="L3521" s="39" t="str">
        <f>IF(COUNTA(A3521:C3521,E3521)=0,"",IF(COUNTA(A3521:C3521,E3521)&lt;4,"Ligne incomplète",IF(NOT(ISNUMBER(A3521)),"Date invalide",IF(AND(B3521&lt;&gt;"Entrée",B3521&lt;&gt;"Sortie"),"Type inconnu",IF(ISNA(MATCH(C3521,art_ref,0)),"Référence inconnue",IF(OR(NOT(ISNUMBER(E3521)),N(E3521)&lt;=0),"Quantité invalide",IF(K3521&lt;0,"Stock négatif",IF(AND(ISNUMBER(A3520),A3521&lt;A3520),"Date hors ordre","OK"))))))))</f>
        <v/>
      </c>
      <c r="M3521" s="39" t="str">
        <f>IF(C3521="","",C3521&amp;"#"&amp;COUNTIF($C$5:C3521,C3521))</f>
        <v/>
      </c>
    </row>
    <row r="3522">
      <c r="A3522" s="41" t="n"/>
      <c r="B3522" s="37" t="n"/>
      <c r="C3522" s="37" t="n"/>
      <c r="D3522" s="39" t="str">
        <f>IF(C3522="","",IFERROR(INDEX(art_des,MATCH(C3522,art_ref,0))&amp;"","Référence inconnue"))</f>
        <v/>
      </c>
      <c r="E3522" s="37" t="n"/>
      <c r="F3522" s="39" t="str">
        <f>IF(C3522="","",IFERROR(INDEX(art_unit,MATCH(C3522,art_ref,0))&amp;"",""))</f>
        <v/>
      </c>
      <c r="G3522" s="37" t="n"/>
      <c r="H3522" s="37" t="n"/>
      <c r="I3522" s="37" t="n"/>
      <c r="J3522" s="40" t="str">
        <f>IF(OR(C3522="",NOT(ISNUMBER(E3522))),"",IFERROR(E3522*N(INDEX(art_price,MATCH(C3522,art_ref,0))),""))</f>
        <v/>
      </c>
      <c r="K3522" s="39" t="str">
        <f>IF(OR(C3522="",NOT(ISNUMBER(E3522))),"",IFERROR(ROUND(N(INDEX(art_init,MATCH(C3522,art_ref,0)))+SUMIFS($E$5:E3522,$C$5:C3522,C3522,$B$5:B3522,"Entrée")-SUMIFS($E$5:E3522,$C$5:C3522,C3522,$B$5:B3522,"Sortie"),6),""))</f>
        <v/>
      </c>
      <c r="L3522" s="39" t="str">
        <f>IF(COUNTA(A3522:C3522,E3522)=0,"",IF(COUNTA(A3522:C3522,E3522)&lt;4,"Ligne incomplète",IF(NOT(ISNUMBER(A3522)),"Date invalide",IF(AND(B3522&lt;&gt;"Entrée",B3522&lt;&gt;"Sortie"),"Type inconnu",IF(ISNA(MATCH(C3522,art_ref,0)),"Référence inconnue",IF(OR(NOT(ISNUMBER(E3522)),N(E3522)&lt;=0),"Quantité invalide",IF(K3522&lt;0,"Stock négatif",IF(AND(ISNUMBER(A3521),A3522&lt;A3521),"Date hors ordre","OK"))))))))</f>
        <v/>
      </c>
      <c r="M3522" s="39" t="str">
        <f>IF(C3522="","",C3522&amp;"#"&amp;COUNTIF($C$5:C3522,C3522))</f>
        <v/>
      </c>
    </row>
    <row r="3523">
      <c r="A3523" s="41" t="n"/>
      <c r="B3523" s="37" t="n"/>
      <c r="C3523" s="37" t="n"/>
      <c r="D3523" s="39" t="str">
        <f>IF(C3523="","",IFERROR(INDEX(art_des,MATCH(C3523,art_ref,0))&amp;"","Référence inconnue"))</f>
        <v/>
      </c>
      <c r="E3523" s="37" t="n"/>
      <c r="F3523" s="39" t="str">
        <f>IF(C3523="","",IFERROR(INDEX(art_unit,MATCH(C3523,art_ref,0))&amp;"",""))</f>
        <v/>
      </c>
      <c r="G3523" s="37" t="n"/>
      <c r="H3523" s="37" t="n"/>
      <c r="I3523" s="37" t="n"/>
      <c r="J3523" s="40" t="str">
        <f>IF(OR(C3523="",NOT(ISNUMBER(E3523))),"",IFERROR(E3523*N(INDEX(art_price,MATCH(C3523,art_ref,0))),""))</f>
        <v/>
      </c>
      <c r="K3523" s="39" t="str">
        <f>IF(OR(C3523="",NOT(ISNUMBER(E3523))),"",IFERROR(ROUND(N(INDEX(art_init,MATCH(C3523,art_ref,0)))+SUMIFS($E$5:E3523,$C$5:C3523,C3523,$B$5:B3523,"Entrée")-SUMIFS($E$5:E3523,$C$5:C3523,C3523,$B$5:B3523,"Sortie"),6),""))</f>
        <v/>
      </c>
      <c r="L3523" s="39" t="str">
        <f>IF(COUNTA(A3523:C3523,E3523)=0,"",IF(COUNTA(A3523:C3523,E3523)&lt;4,"Ligne incomplète",IF(NOT(ISNUMBER(A3523)),"Date invalide",IF(AND(B3523&lt;&gt;"Entrée",B3523&lt;&gt;"Sortie"),"Type inconnu",IF(ISNA(MATCH(C3523,art_ref,0)),"Référence inconnue",IF(OR(NOT(ISNUMBER(E3523)),N(E3523)&lt;=0),"Quantité invalide",IF(K3523&lt;0,"Stock négatif",IF(AND(ISNUMBER(A3522),A3523&lt;A3522),"Date hors ordre","OK"))))))))</f>
        <v/>
      </c>
      <c r="M3523" s="39" t="str">
        <f>IF(C3523="","",C3523&amp;"#"&amp;COUNTIF($C$5:C3523,C3523))</f>
        <v/>
      </c>
    </row>
    <row r="3524">
      <c r="A3524" s="41" t="n"/>
      <c r="B3524" s="37" t="n"/>
      <c r="C3524" s="37" t="n"/>
      <c r="D3524" s="39" t="str">
        <f>IF(C3524="","",IFERROR(INDEX(art_des,MATCH(C3524,art_ref,0))&amp;"","Référence inconnue"))</f>
        <v/>
      </c>
      <c r="E3524" s="37" t="n"/>
      <c r="F3524" s="39" t="str">
        <f>IF(C3524="","",IFERROR(INDEX(art_unit,MATCH(C3524,art_ref,0))&amp;"",""))</f>
        <v/>
      </c>
      <c r="G3524" s="37" t="n"/>
      <c r="H3524" s="37" t="n"/>
      <c r="I3524" s="37" t="n"/>
      <c r="J3524" s="40" t="str">
        <f>IF(OR(C3524="",NOT(ISNUMBER(E3524))),"",IFERROR(E3524*N(INDEX(art_price,MATCH(C3524,art_ref,0))),""))</f>
        <v/>
      </c>
      <c r="K3524" s="39" t="str">
        <f>IF(OR(C3524="",NOT(ISNUMBER(E3524))),"",IFERROR(ROUND(N(INDEX(art_init,MATCH(C3524,art_ref,0)))+SUMIFS($E$5:E3524,$C$5:C3524,C3524,$B$5:B3524,"Entrée")-SUMIFS($E$5:E3524,$C$5:C3524,C3524,$B$5:B3524,"Sortie"),6),""))</f>
        <v/>
      </c>
      <c r="L3524" s="39" t="str">
        <f>IF(COUNTA(A3524:C3524,E3524)=0,"",IF(COUNTA(A3524:C3524,E3524)&lt;4,"Ligne incomplète",IF(NOT(ISNUMBER(A3524)),"Date invalide",IF(AND(B3524&lt;&gt;"Entrée",B3524&lt;&gt;"Sortie"),"Type inconnu",IF(ISNA(MATCH(C3524,art_ref,0)),"Référence inconnue",IF(OR(NOT(ISNUMBER(E3524)),N(E3524)&lt;=0),"Quantité invalide",IF(K3524&lt;0,"Stock négatif",IF(AND(ISNUMBER(A3523),A3524&lt;A3523),"Date hors ordre","OK"))))))))</f>
        <v/>
      </c>
      <c r="M3524" s="39" t="str">
        <f>IF(C3524="","",C3524&amp;"#"&amp;COUNTIF($C$5:C3524,C3524))</f>
        <v/>
      </c>
    </row>
    <row r="3525">
      <c r="A3525" s="41" t="n"/>
      <c r="B3525" s="37" t="n"/>
      <c r="C3525" s="37" t="n"/>
      <c r="D3525" s="39" t="str">
        <f>IF(C3525="","",IFERROR(INDEX(art_des,MATCH(C3525,art_ref,0))&amp;"","Référence inconnue"))</f>
        <v/>
      </c>
      <c r="E3525" s="37" t="n"/>
      <c r="F3525" s="39" t="str">
        <f>IF(C3525="","",IFERROR(INDEX(art_unit,MATCH(C3525,art_ref,0))&amp;"",""))</f>
        <v/>
      </c>
      <c r="G3525" s="37" t="n"/>
      <c r="H3525" s="37" t="n"/>
      <c r="I3525" s="37" t="n"/>
      <c r="J3525" s="40" t="str">
        <f>IF(OR(C3525="",NOT(ISNUMBER(E3525))),"",IFERROR(E3525*N(INDEX(art_price,MATCH(C3525,art_ref,0))),""))</f>
        <v/>
      </c>
      <c r="K3525" s="39" t="str">
        <f>IF(OR(C3525="",NOT(ISNUMBER(E3525))),"",IFERROR(ROUND(N(INDEX(art_init,MATCH(C3525,art_ref,0)))+SUMIFS($E$5:E3525,$C$5:C3525,C3525,$B$5:B3525,"Entrée")-SUMIFS($E$5:E3525,$C$5:C3525,C3525,$B$5:B3525,"Sortie"),6),""))</f>
        <v/>
      </c>
      <c r="L3525" s="39" t="str">
        <f>IF(COUNTA(A3525:C3525,E3525)=0,"",IF(COUNTA(A3525:C3525,E3525)&lt;4,"Ligne incomplète",IF(NOT(ISNUMBER(A3525)),"Date invalide",IF(AND(B3525&lt;&gt;"Entrée",B3525&lt;&gt;"Sortie"),"Type inconnu",IF(ISNA(MATCH(C3525,art_ref,0)),"Référence inconnue",IF(OR(NOT(ISNUMBER(E3525)),N(E3525)&lt;=0),"Quantité invalide",IF(K3525&lt;0,"Stock négatif",IF(AND(ISNUMBER(A3524),A3525&lt;A3524),"Date hors ordre","OK"))))))))</f>
        <v/>
      </c>
      <c r="M3525" s="39" t="str">
        <f>IF(C3525="","",C3525&amp;"#"&amp;COUNTIF($C$5:C3525,C3525))</f>
        <v/>
      </c>
    </row>
    <row r="3526">
      <c r="A3526" s="41" t="n"/>
      <c r="B3526" s="37" t="n"/>
      <c r="C3526" s="37" t="n"/>
      <c r="D3526" s="39" t="str">
        <f>IF(C3526="","",IFERROR(INDEX(art_des,MATCH(C3526,art_ref,0))&amp;"","Référence inconnue"))</f>
        <v/>
      </c>
      <c r="E3526" s="37" t="n"/>
      <c r="F3526" s="39" t="str">
        <f>IF(C3526="","",IFERROR(INDEX(art_unit,MATCH(C3526,art_ref,0))&amp;"",""))</f>
        <v/>
      </c>
      <c r="G3526" s="37" t="n"/>
      <c r="H3526" s="37" t="n"/>
      <c r="I3526" s="37" t="n"/>
      <c r="J3526" s="40" t="str">
        <f>IF(OR(C3526="",NOT(ISNUMBER(E3526))),"",IFERROR(E3526*N(INDEX(art_price,MATCH(C3526,art_ref,0))),""))</f>
        <v/>
      </c>
      <c r="K3526" s="39" t="str">
        <f>IF(OR(C3526="",NOT(ISNUMBER(E3526))),"",IFERROR(ROUND(N(INDEX(art_init,MATCH(C3526,art_ref,0)))+SUMIFS($E$5:E3526,$C$5:C3526,C3526,$B$5:B3526,"Entrée")-SUMIFS($E$5:E3526,$C$5:C3526,C3526,$B$5:B3526,"Sortie"),6),""))</f>
        <v/>
      </c>
      <c r="L3526" s="39" t="str">
        <f>IF(COUNTA(A3526:C3526,E3526)=0,"",IF(COUNTA(A3526:C3526,E3526)&lt;4,"Ligne incomplète",IF(NOT(ISNUMBER(A3526)),"Date invalide",IF(AND(B3526&lt;&gt;"Entrée",B3526&lt;&gt;"Sortie"),"Type inconnu",IF(ISNA(MATCH(C3526,art_ref,0)),"Référence inconnue",IF(OR(NOT(ISNUMBER(E3526)),N(E3526)&lt;=0),"Quantité invalide",IF(K3526&lt;0,"Stock négatif",IF(AND(ISNUMBER(A3525),A3526&lt;A3525),"Date hors ordre","OK"))))))))</f>
        <v/>
      </c>
      <c r="M3526" s="39" t="str">
        <f>IF(C3526="","",C3526&amp;"#"&amp;COUNTIF($C$5:C3526,C3526))</f>
        <v/>
      </c>
    </row>
    <row r="3527">
      <c r="A3527" s="41" t="n"/>
      <c r="B3527" s="37" t="n"/>
      <c r="C3527" s="37" t="n"/>
      <c r="D3527" s="39" t="str">
        <f>IF(C3527="","",IFERROR(INDEX(art_des,MATCH(C3527,art_ref,0))&amp;"","Référence inconnue"))</f>
        <v/>
      </c>
      <c r="E3527" s="37" t="n"/>
      <c r="F3527" s="39" t="str">
        <f>IF(C3527="","",IFERROR(INDEX(art_unit,MATCH(C3527,art_ref,0))&amp;"",""))</f>
        <v/>
      </c>
      <c r="G3527" s="37" t="n"/>
      <c r="H3527" s="37" t="n"/>
      <c r="I3527" s="37" t="n"/>
      <c r="J3527" s="40" t="str">
        <f>IF(OR(C3527="",NOT(ISNUMBER(E3527))),"",IFERROR(E3527*N(INDEX(art_price,MATCH(C3527,art_ref,0))),""))</f>
        <v/>
      </c>
      <c r="K3527" s="39" t="str">
        <f>IF(OR(C3527="",NOT(ISNUMBER(E3527))),"",IFERROR(ROUND(N(INDEX(art_init,MATCH(C3527,art_ref,0)))+SUMIFS($E$5:E3527,$C$5:C3527,C3527,$B$5:B3527,"Entrée")-SUMIFS($E$5:E3527,$C$5:C3527,C3527,$B$5:B3527,"Sortie"),6),""))</f>
        <v/>
      </c>
      <c r="L3527" s="39" t="str">
        <f>IF(COUNTA(A3527:C3527,E3527)=0,"",IF(COUNTA(A3527:C3527,E3527)&lt;4,"Ligne incomplète",IF(NOT(ISNUMBER(A3527)),"Date invalide",IF(AND(B3527&lt;&gt;"Entrée",B3527&lt;&gt;"Sortie"),"Type inconnu",IF(ISNA(MATCH(C3527,art_ref,0)),"Référence inconnue",IF(OR(NOT(ISNUMBER(E3527)),N(E3527)&lt;=0),"Quantité invalide",IF(K3527&lt;0,"Stock négatif",IF(AND(ISNUMBER(A3526),A3527&lt;A3526),"Date hors ordre","OK"))))))))</f>
        <v/>
      </c>
      <c r="M3527" s="39" t="str">
        <f>IF(C3527="","",C3527&amp;"#"&amp;COUNTIF($C$5:C3527,C3527))</f>
        <v/>
      </c>
    </row>
    <row r="3528">
      <c r="A3528" s="41" t="n"/>
      <c r="B3528" s="37" t="n"/>
      <c r="C3528" s="37" t="n"/>
      <c r="D3528" s="39" t="str">
        <f>IF(C3528="","",IFERROR(INDEX(art_des,MATCH(C3528,art_ref,0))&amp;"","Référence inconnue"))</f>
        <v/>
      </c>
      <c r="E3528" s="37" t="n"/>
      <c r="F3528" s="39" t="str">
        <f>IF(C3528="","",IFERROR(INDEX(art_unit,MATCH(C3528,art_ref,0))&amp;"",""))</f>
        <v/>
      </c>
      <c r="G3528" s="37" t="n"/>
      <c r="H3528" s="37" t="n"/>
      <c r="I3528" s="37" t="n"/>
      <c r="J3528" s="40" t="str">
        <f>IF(OR(C3528="",NOT(ISNUMBER(E3528))),"",IFERROR(E3528*N(INDEX(art_price,MATCH(C3528,art_ref,0))),""))</f>
        <v/>
      </c>
      <c r="K3528" s="39" t="str">
        <f>IF(OR(C3528="",NOT(ISNUMBER(E3528))),"",IFERROR(ROUND(N(INDEX(art_init,MATCH(C3528,art_ref,0)))+SUMIFS($E$5:E3528,$C$5:C3528,C3528,$B$5:B3528,"Entrée")-SUMIFS($E$5:E3528,$C$5:C3528,C3528,$B$5:B3528,"Sortie"),6),""))</f>
        <v/>
      </c>
      <c r="L3528" s="39" t="str">
        <f>IF(COUNTA(A3528:C3528,E3528)=0,"",IF(COUNTA(A3528:C3528,E3528)&lt;4,"Ligne incomplète",IF(NOT(ISNUMBER(A3528)),"Date invalide",IF(AND(B3528&lt;&gt;"Entrée",B3528&lt;&gt;"Sortie"),"Type inconnu",IF(ISNA(MATCH(C3528,art_ref,0)),"Référence inconnue",IF(OR(NOT(ISNUMBER(E3528)),N(E3528)&lt;=0),"Quantité invalide",IF(K3528&lt;0,"Stock négatif",IF(AND(ISNUMBER(A3527),A3528&lt;A3527),"Date hors ordre","OK"))))))))</f>
        <v/>
      </c>
      <c r="M3528" s="39" t="str">
        <f>IF(C3528="","",C3528&amp;"#"&amp;COUNTIF($C$5:C3528,C3528))</f>
        <v/>
      </c>
    </row>
    <row r="3529">
      <c r="A3529" s="41" t="n"/>
      <c r="B3529" s="37" t="n"/>
      <c r="C3529" s="37" t="n"/>
      <c r="D3529" s="39" t="str">
        <f>IF(C3529="","",IFERROR(INDEX(art_des,MATCH(C3529,art_ref,0))&amp;"","Référence inconnue"))</f>
        <v/>
      </c>
      <c r="E3529" s="37" t="n"/>
      <c r="F3529" s="39" t="str">
        <f>IF(C3529="","",IFERROR(INDEX(art_unit,MATCH(C3529,art_ref,0))&amp;"",""))</f>
        <v/>
      </c>
      <c r="G3529" s="37" t="n"/>
      <c r="H3529" s="37" t="n"/>
      <c r="I3529" s="37" t="n"/>
      <c r="J3529" s="40" t="str">
        <f>IF(OR(C3529="",NOT(ISNUMBER(E3529))),"",IFERROR(E3529*N(INDEX(art_price,MATCH(C3529,art_ref,0))),""))</f>
        <v/>
      </c>
      <c r="K3529" s="39" t="str">
        <f>IF(OR(C3529="",NOT(ISNUMBER(E3529))),"",IFERROR(ROUND(N(INDEX(art_init,MATCH(C3529,art_ref,0)))+SUMIFS($E$5:E3529,$C$5:C3529,C3529,$B$5:B3529,"Entrée")-SUMIFS($E$5:E3529,$C$5:C3529,C3529,$B$5:B3529,"Sortie"),6),""))</f>
        <v/>
      </c>
      <c r="L3529" s="39" t="str">
        <f>IF(COUNTA(A3529:C3529,E3529)=0,"",IF(COUNTA(A3529:C3529,E3529)&lt;4,"Ligne incomplète",IF(NOT(ISNUMBER(A3529)),"Date invalide",IF(AND(B3529&lt;&gt;"Entrée",B3529&lt;&gt;"Sortie"),"Type inconnu",IF(ISNA(MATCH(C3529,art_ref,0)),"Référence inconnue",IF(OR(NOT(ISNUMBER(E3529)),N(E3529)&lt;=0),"Quantité invalide",IF(K3529&lt;0,"Stock négatif",IF(AND(ISNUMBER(A3528),A3529&lt;A3528),"Date hors ordre","OK"))))))))</f>
        <v/>
      </c>
      <c r="M3529" s="39" t="str">
        <f>IF(C3529="","",C3529&amp;"#"&amp;COUNTIF($C$5:C3529,C3529))</f>
        <v/>
      </c>
    </row>
    <row r="3530">
      <c r="A3530" s="41" t="n"/>
      <c r="B3530" s="37" t="n"/>
      <c r="C3530" s="37" t="n"/>
      <c r="D3530" s="39" t="str">
        <f>IF(C3530="","",IFERROR(INDEX(art_des,MATCH(C3530,art_ref,0))&amp;"","Référence inconnue"))</f>
        <v/>
      </c>
      <c r="E3530" s="37" t="n"/>
      <c r="F3530" s="39" t="str">
        <f>IF(C3530="","",IFERROR(INDEX(art_unit,MATCH(C3530,art_ref,0))&amp;"",""))</f>
        <v/>
      </c>
      <c r="G3530" s="37" t="n"/>
      <c r="H3530" s="37" t="n"/>
      <c r="I3530" s="37" t="n"/>
      <c r="J3530" s="40" t="str">
        <f>IF(OR(C3530="",NOT(ISNUMBER(E3530))),"",IFERROR(E3530*N(INDEX(art_price,MATCH(C3530,art_ref,0))),""))</f>
        <v/>
      </c>
      <c r="K3530" s="39" t="str">
        <f>IF(OR(C3530="",NOT(ISNUMBER(E3530))),"",IFERROR(ROUND(N(INDEX(art_init,MATCH(C3530,art_ref,0)))+SUMIFS($E$5:E3530,$C$5:C3530,C3530,$B$5:B3530,"Entrée")-SUMIFS($E$5:E3530,$C$5:C3530,C3530,$B$5:B3530,"Sortie"),6),""))</f>
        <v/>
      </c>
      <c r="L3530" s="39" t="str">
        <f>IF(COUNTA(A3530:C3530,E3530)=0,"",IF(COUNTA(A3530:C3530,E3530)&lt;4,"Ligne incomplète",IF(NOT(ISNUMBER(A3530)),"Date invalide",IF(AND(B3530&lt;&gt;"Entrée",B3530&lt;&gt;"Sortie"),"Type inconnu",IF(ISNA(MATCH(C3530,art_ref,0)),"Référence inconnue",IF(OR(NOT(ISNUMBER(E3530)),N(E3530)&lt;=0),"Quantité invalide",IF(K3530&lt;0,"Stock négatif",IF(AND(ISNUMBER(A3529),A3530&lt;A3529),"Date hors ordre","OK"))))))))</f>
        <v/>
      </c>
      <c r="M3530" s="39" t="str">
        <f>IF(C3530="","",C3530&amp;"#"&amp;COUNTIF($C$5:C3530,C3530))</f>
        <v/>
      </c>
    </row>
    <row r="3531">
      <c r="A3531" s="41" t="n"/>
      <c r="B3531" s="37" t="n"/>
      <c r="C3531" s="37" t="n"/>
      <c r="D3531" s="39" t="str">
        <f>IF(C3531="","",IFERROR(INDEX(art_des,MATCH(C3531,art_ref,0))&amp;"","Référence inconnue"))</f>
        <v/>
      </c>
      <c r="E3531" s="37" t="n"/>
      <c r="F3531" s="39" t="str">
        <f>IF(C3531="","",IFERROR(INDEX(art_unit,MATCH(C3531,art_ref,0))&amp;"",""))</f>
        <v/>
      </c>
      <c r="G3531" s="37" t="n"/>
      <c r="H3531" s="37" t="n"/>
      <c r="I3531" s="37" t="n"/>
      <c r="J3531" s="40" t="str">
        <f>IF(OR(C3531="",NOT(ISNUMBER(E3531))),"",IFERROR(E3531*N(INDEX(art_price,MATCH(C3531,art_ref,0))),""))</f>
        <v/>
      </c>
      <c r="K3531" s="39" t="str">
        <f>IF(OR(C3531="",NOT(ISNUMBER(E3531))),"",IFERROR(ROUND(N(INDEX(art_init,MATCH(C3531,art_ref,0)))+SUMIFS($E$5:E3531,$C$5:C3531,C3531,$B$5:B3531,"Entrée")-SUMIFS($E$5:E3531,$C$5:C3531,C3531,$B$5:B3531,"Sortie"),6),""))</f>
        <v/>
      </c>
      <c r="L3531" s="39" t="str">
        <f>IF(COUNTA(A3531:C3531,E3531)=0,"",IF(COUNTA(A3531:C3531,E3531)&lt;4,"Ligne incomplète",IF(NOT(ISNUMBER(A3531)),"Date invalide",IF(AND(B3531&lt;&gt;"Entrée",B3531&lt;&gt;"Sortie"),"Type inconnu",IF(ISNA(MATCH(C3531,art_ref,0)),"Référence inconnue",IF(OR(NOT(ISNUMBER(E3531)),N(E3531)&lt;=0),"Quantité invalide",IF(K3531&lt;0,"Stock négatif",IF(AND(ISNUMBER(A3530),A3531&lt;A3530),"Date hors ordre","OK"))))))))</f>
        <v/>
      </c>
      <c r="M3531" s="39" t="str">
        <f>IF(C3531="","",C3531&amp;"#"&amp;COUNTIF($C$5:C3531,C3531))</f>
        <v/>
      </c>
    </row>
    <row r="3532">
      <c r="A3532" s="41" t="n"/>
      <c r="B3532" s="37" t="n"/>
      <c r="C3532" s="37" t="n"/>
      <c r="D3532" s="39" t="str">
        <f>IF(C3532="","",IFERROR(INDEX(art_des,MATCH(C3532,art_ref,0))&amp;"","Référence inconnue"))</f>
        <v/>
      </c>
      <c r="E3532" s="37" t="n"/>
      <c r="F3532" s="39" t="str">
        <f>IF(C3532="","",IFERROR(INDEX(art_unit,MATCH(C3532,art_ref,0))&amp;"",""))</f>
        <v/>
      </c>
      <c r="G3532" s="37" t="n"/>
      <c r="H3532" s="37" t="n"/>
      <c r="I3532" s="37" t="n"/>
      <c r="J3532" s="40" t="str">
        <f>IF(OR(C3532="",NOT(ISNUMBER(E3532))),"",IFERROR(E3532*N(INDEX(art_price,MATCH(C3532,art_ref,0))),""))</f>
        <v/>
      </c>
      <c r="K3532" s="39" t="str">
        <f>IF(OR(C3532="",NOT(ISNUMBER(E3532))),"",IFERROR(ROUND(N(INDEX(art_init,MATCH(C3532,art_ref,0)))+SUMIFS($E$5:E3532,$C$5:C3532,C3532,$B$5:B3532,"Entrée")-SUMIFS($E$5:E3532,$C$5:C3532,C3532,$B$5:B3532,"Sortie"),6),""))</f>
        <v/>
      </c>
      <c r="L3532" s="39" t="str">
        <f>IF(COUNTA(A3532:C3532,E3532)=0,"",IF(COUNTA(A3532:C3532,E3532)&lt;4,"Ligne incomplète",IF(NOT(ISNUMBER(A3532)),"Date invalide",IF(AND(B3532&lt;&gt;"Entrée",B3532&lt;&gt;"Sortie"),"Type inconnu",IF(ISNA(MATCH(C3532,art_ref,0)),"Référence inconnue",IF(OR(NOT(ISNUMBER(E3532)),N(E3532)&lt;=0),"Quantité invalide",IF(K3532&lt;0,"Stock négatif",IF(AND(ISNUMBER(A3531),A3532&lt;A3531),"Date hors ordre","OK"))))))))</f>
        <v/>
      </c>
      <c r="M3532" s="39" t="str">
        <f>IF(C3532="","",C3532&amp;"#"&amp;COUNTIF($C$5:C3532,C3532))</f>
        <v/>
      </c>
    </row>
    <row r="3533">
      <c r="A3533" s="41" t="n"/>
      <c r="B3533" s="37" t="n"/>
      <c r="C3533" s="37" t="n"/>
      <c r="D3533" s="39" t="str">
        <f>IF(C3533="","",IFERROR(INDEX(art_des,MATCH(C3533,art_ref,0))&amp;"","Référence inconnue"))</f>
        <v/>
      </c>
      <c r="E3533" s="37" t="n"/>
      <c r="F3533" s="39" t="str">
        <f>IF(C3533="","",IFERROR(INDEX(art_unit,MATCH(C3533,art_ref,0))&amp;"",""))</f>
        <v/>
      </c>
      <c r="G3533" s="37" t="n"/>
      <c r="H3533" s="37" t="n"/>
      <c r="I3533" s="37" t="n"/>
      <c r="J3533" s="40" t="str">
        <f>IF(OR(C3533="",NOT(ISNUMBER(E3533))),"",IFERROR(E3533*N(INDEX(art_price,MATCH(C3533,art_ref,0))),""))</f>
        <v/>
      </c>
      <c r="K3533" s="39" t="str">
        <f>IF(OR(C3533="",NOT(ISNUMBER(E3533))),"",IFERROR(ROUND(N(INDEX(art_init,MATCH(C3533,art_ref,0)))+SUMIFS($E$5:E3533,$C$5:C3533,C3533,$B$5:B3533,"Entrée")-SUMIFS($E$5:E3533,$C$5:C3533,C3533,$B$5:B3533,"Sortie"),6),""))</f>
        <v/>
      </c>
      <c r="L3533" s="39" t="str">
        <f>IF(COUNTA(A3533:C3533,E3533)=0,"",IF(COUNTA(A3533:C3533,E3533)&lt;4,"Ligne incomplète",IF(NOT(ISNUMBER(A3533)),"Date invalide",IF(AND(B3533&lt;&gt;"Entrée",B3533&lt;&gt;"Sortie"),"Type inconnu",IF(ISNA(MATCH(C3533,art_ref,0)),"Référence inconnue",IF(OR(NOT(ISNUMBER(E3533)),N(E3533)&lt;=0),"Quantité invalide",IF(K3533&lt;0,"Stock négatif",IF(AND(ISNUMBER(A3532),A3533&lt;A3532),"Date hors ordre","OK"))))))))</f>
        <v/>
      </c>
      <c r="M3533" s="39" t="str">
        <f>IF(C3533="","",C3533&amp;"#"&amp;COUNTIF($C$5:C3533,C3533))</f>
        <v/>
      </c>
    </row>
    <row r="3534">
      <c r="A3534" s="41" t="n"/>
      <c r="B3534" s="37" t="n"/>
      <c r="C3534" s="37" t="n"/>
      <c r="D3534" s="39" t="str">
        <f>IF(C3534="","",IFERROR(INDEX(art_des,MATCH(C3534,art_ref,0))&amp;"","Référence inconnue"))</f>
        <v/>
      </c>
      <c r="E3534" s="37" t="n"/>
      <c r="F3534" s="39" t="str">
        <f>IF(C3534="","",IFERROR(INDEX(art_unit,MATCH(C3534,art_ref,0))&amp;"",""))</f>
        <v/>
      </c>
      <c r="G3534" s="37" t="n"/>
      <c r="H3534" s="37" t="n"/>
      <c r="I3534" s="37" t="n"/>
      <c r="J3534" s="40" t="str">
        <f>IF(OR(C3534="",NOT(ISNUMBER(E3534))),"",IFERROR(E3534*N(INDEX(art_price,MATCH(C3534,art_ref,0))),""))</f>
        <v/>
      </c>
      <c r="K3534" s="39" t="str">
        <f>IF(OR(C3534="",NOT(ISNUMBER(E3534))),"",IFERROR(ROUND(N(INDEX(art_init,MATCH(C3534,art_ref,0)))+SUMIFS($E$5:E3534,$C$5:C3534,C3534,$B$5:B3534,"Entrée")-SUMIFS($E$5:E3534,$C$5:C3534,C3534,$B$5:B3534,"Sortie"),6),""))</f>
        <v/>
      </c>
      <c r="L3534" s="39" t="str">
        <f>IF(COUNTA(A3534:C3534,E3534)=0,"",IF(COUNTA(A3534:C3534,E3534)&lt;4,"Ligne incomplète",IF(NOT(ISNUMBER(A3534)),"Date invalide",IF(AND(B3534&lt;&gt;"Entrée",B3534&lt;&gt;"Sortie"),"Type inconnu",IF(ISNA(MATCH(C3534,art_ref,0)),"Référence inconnue",IF(OR(NOT(ISNUMBER(E3534)),N(E3534)&lt;=0),"Quantité invalide",IF(K3534&lt;0,"Stock négatif",IF(AND(ISNUMBER(A3533),A3534&lt;A3533),"Date hors ordre","OK"))))))))</f>
        <v/>
      </c>
      <c r="M3534" s="39" t="str">
        <f>IF(C3534="","",C3534&amp;"#"&amp;COUNTIF($C$5:C3534,C3534))</f>
        <v/>
      </c>
    </row>
    <row r="3535">
      <c r="A3535" s="41" t="n"/>
      <c r="B3535" s="37" t="n"/>
      <c r="C3535" s="37" t="n"/>
      <c r="D3535" s="39" t="str">
        <f>IF(C3535="","",IFERROR(INDEX(art_des,MATCH(C3535,art_ref,0))&amp;"","Référence inconnue"))</f>
        <v/>
      </c>
      <c r="E3535" s="37" t="n"/>
      <c r="F3535" s="39" t="str">
        <f>IF(C3535="","",IFERROR(INDEX(art_unit,MATCH(C3535,art_ref,0))&amp;"",""))</f>
        <v/>
      </c>
      <c r="G3535" s="37" t="n"/>
      <c r="H3535" s="37" t="n"/>
      <c r="I3535" s="37" t="n"/>
      <c r="J3535" s="40" t="str">
        <f>IF(OR(C3535="",NOT(ISNUMBER(E3535))),"",IFERROR(E3535*N(INDEX(art_price,MATCH(C3535,art_ref,0))),""))</f>
        <v/>
      </c>
      <c r="K3535" s="39" t="str">
        <f>IF(OR(C3535="",NOT(ISNUMBER(E3535))),"",IFERROR(ROUND(N(INDEX(art_init,MATCH(C3535,art_ref,0)))+SUMIFS($E$5:E3535,$C$5:C3535,C3535,$B$5:B3535,"Entrée")-SUMIFS($E$5:E3535,$C$5:C3535,C3535,$B$5:B3535,"Sortie"),6),""))</f>
        <v/>
      </c>
      <c r="L3535" s="39" t="str">
        <f>IF(COUNTA(A3535:C3535,E3535)=0,"",IF(COUNTA(A3535:C3535,E3535)&lt;4,"Ligne incomplète",IF(NOT(ISNUMBER(A3535)),"Date invalide",IF(AND(B3535&lt;&gt;"Entrée",B3535&lt;&gt;"Sortie"),"Type inconnu",IF(ISNA(MATCH(C3535,art_ref,0)),"Référence inconnue",IF(OR(NOT(ISNUMBER(E3535)),N(E3535)&lt;=0),"Quantité invalide",IF(K3535&lt;0,"Stock négatif",IF(AND(ISNUMBER(A3534),A3535&lt;A3534),"Date hors ordre","OK"))))))))</f>
        <v/>
      </c>
      <c r="M3535" s="39" t="str">
        <f>IF(C3535="","",C3535&amp;"#"&amp;COUNTIF($C$5:C3535,C3535))</f>
        <v/>
      </c>
    </row>
    <row r="3536">
      <c r="A3536" s="41" t="n"/>
      <c r="B3536" s="37" t="n"/>
      <c r="C3536" s="37" t="n"/>
      <c r="D3536" s="39" t="str">
        <f>IF(C3536="","",IFERROR(INDEX(art_des,MATCH(C3536,art_ref,0))&amp;"","Référence inconnue"))</f>
        <v/>
      </c>
      <c r="E3536" s="37" t="n"/>
      <c r="F3536" s="39" t="str">
        <f>IF(C3536="","",IFERROR(INDEX(art_unit,MATCH(C3536,art_ref,0))&amp;"",""))</f>
        <v/>
      </c>
      <c r="G3536" s="37" t="n"/>
      <c r="H3536" s="37" t="n"/>
      <c r="I3536" s="37" t="n"/>
      <c r="J3536" s="40" t="str">
        <f>IF(OR(C3536="",NOT(ISNUMBER(E3536))),"",IFERROR(E3536*N(INDEX(art_price,MATCH(C3536,art_ref,0))),""))</f>
        <v/>
      </c>
      <c r="K3536" s="39" t="str">
        <f>IF(OR(C3536="",NOT(ISNUMBER(E3536))),"",IFERROR(ROUND(N(INDEX(art_init,MATCH(C3536,art_ref,0)))+SUMIFS($E$5:E3536,$C$5:C3536,C3536,$B$5:B3536,"Entrée")-SUMIFS($E$5:E3536,$C$5:C3536,C3536,$B$5:B3536,"Sortie"),6),""))</f>
        <v/>
      </c>
      <c r="L3536" s="39" t="str">
        <f>IF(COUNTA(A3536:C3536,E3536)=0,"",IF(COUNTA(A3536:C3536,E3536)&lt;4,"Ligne incomplète",IF(NOT(ISNUMBER(A3536)),"Date invalide",IF(AND(B3536&lt;&gt;"Entrée",B3536&lt;&gt;"Sortie"),"Type inconnu",IF(ISNA(MATCH(C3536,art_ref,0)),"Référence inconnue",IF(OR(NOT(ISNUMBER(E3536)),N(E3536)&lt;=0),"Quantité invalide",IF(K3536&lt;0,"Stock négatif",IF(AND(ISNUMBER(A3535),A3536&lt;A3535),"Date hors ordre","OK"))))))))</f>
        <v/>
      </c>
      <c r="M3536" s="39" t="str">
        <f>IF(C3536="","",C3536&amp;"#"&amp;COUNTIF($C$5:C3536,C3536))</f>
        <v/>
      </c>
    </row>
    <row r="3537">
      <c r="A3537" s="41" t="n"/>
      <c r="B3537" s="37" t="n"/>
      <c r="C3537" s="37" t="n"/>
      <c r="D3537" s="39" t="str">
        <f>IF(C3537="","",IFERROR(INDEX(art_des,MATCH(C3537,art_ref,0))&amp;"","Référence inconnue"))</f>
        <v/>
      </c>
      <c r="E3537" s="37" t="n"/>
      <c r="F3537" s="39" t="str">
        <f>IF(C3537="","",IFERROR(INDEX(art_unit,MATCH(C3537,art_ref,0))&amp;"",""))</f>
        <v/>
      </c>
      <c r="G3537" s="37" t="n"/>
      <c r="H3537" s="37" t="n"/>
      <c r="I3537" s="37" t="n"/>
      <c r="J3537" s="40" t="str">
        <f>IF(OR(C3537="",NOT(ISNUMBER(E3537))),"",IFERROR(E3537*N(INDEX(art_price,MATCH(C3537,art_ref,0))),""))</f>
        <v/>
      </c>
      <c r="K3537" s="39" t="str">
        <f>IF(OR(C3537="",NOT(ISNUMBER(E3537))),"",IFERROR(ROUND(N(INDEX(art_init,MATCH(C3537,art_ref,0)))+SUMIFS($E$5:E3537,$C$5:C3537,C3537,$B$5:B3537,"Entrée")-SUMIFS($E$5:E3537,$C$5:C3537,C3537,$B$5:B3537,"Sortie"),6),""))</f>
        <v/>
      </c>
      <c r="L3537" s="39" t="str">
        <f>IF(COUNTA(A3537:C3537,E3537)=0,"",IF(COUNTA(A3537:C3537,E3537)&lt;4,"Ligne incomplète",IF(NOT(ISNUMBER(A3537)),"Date invalide",IF(AND(B3537&lt;&gt;"Entrée",B3537&lt;&gt;"Sortie"),"Type inconnu",IF(ISNA(MATCH(C3537,art_ref,0)),"Référence inconnue",IF(OR(NOT(ISNUMBER(E3537)),N(E3537)&lt;=0),"Quantité invalide",IF(K3537&lt;0,"Stock négatif",IF(AND(ISNUMBER(A3536),A3537&lt;A3536),"Date hors ordre","OK"))))))))</f>
        <v/>
      </c>
      <c r="M3537" s="39" t="str">
        <f>IF(C3537="","",C3537&amp;"#"&amp;COUNTIF($C$5:C3537,C3537))</f>
        <v/>
      </c>
    </row>
    <row r="3538">
      <c r="A3538" s="41" t="n"/>
      <c r="B3538" s="37" t="n"/>
      <c r="C3538" s="37" t="n"/>
      <c r="D3538" s="39" t="str">
        <f>IF(C3538="","",IFERROR(INDEX(art_des,MATCH(C3538,art_ref,0))&amp;"","Référence inconnue"))</f>
        <v/>
      </c>
      <c r="E3538" s="37" t="n"/>
      <c r="F3538" s="39" t="str">
        <f>IF(C3538="","",IFERROR(INDEX(art_unit,MATCH(C3538,art_ref,0))&amp;"",""))</f>
        <v/>
      </c>
      <c r="G3538" s="37" t="n"/>
      <c r="H3538" s="37" t="n"/>
      <c r="I3538" s="37" t="n"/>
      <c r="J3538" s="40" t="str">
        <f>IF(OR(C3538="",NOT(ISNUMBER(E3538))),"",IFERROR(E3538*N(INDEX(art_price,MATCH(C3538,art_ref,0))),""))</f>
        <v/>
      </c>
      <c r="K3538" s="39" t="str">
        <f>IF(OR(C3538="",NOT(ISNUMBER(E3538))),"",IFERROR(ROUND(N(INDEX(art_init,MATCH(C3538,art_ref,0)))+SUMIFS($E$5:E3538,$C$5:C3538,C3538,$B$5:B3538,"Entrée")-SUMIFS($E$5:E3538,$C$5:C3538,C3538,$B$5:B3538,"Sortie"),6),""))</f>
        <v/>
      </c>
      <c r="L3538" s="39" t="str">
        <f>IF(COUNTA(A3538:C3538,E3538)=0,"",IF(COUNTA(A3538:C3538,E3538)&lt;4,"Ligne incomplète",IF(NOT(ISNUMBER(A3538)),"Date invalide",IF(AND(B3538&lt;&gt;"Entrée",B3538&lt;&gt;"Sortie"),"Type inconnu",IF(ISNA(MATCH(C3538,art_ref,0)),"Référence inconnue",IF(OR(NOT(ISNUMBER(E3538)),N(E3538)&lt;=0),"Quantité invalide",IF(K3538&lt;0,"Stock négatif",IF(AND(ISNUMBER(A3537),A3538&lt;A3537),"Date hors ordre","OK"))))))))</f>
        <v/>
      </c>
      <c r="M3538" s="39" t="str">
        <f>IF(C3538="","",C3538&amp;"#"&amp;COUNTIF($C$5:C3538,C3538))</f>
        <v/>
      </c>
    </row>
    <row r="3539">
      <c r="A3539" s="41" t="n"/>
      <c r="B3539" s="37" t="n"/>
      <c r="C3539" s="37" t="n"/>
      <c r="D3539" s="39" t="str">
        <f>IF(C3539="","",IFERROR(INDEX(art_des,MATCH(C3539,art_ref,0))&amp;"","Référence inconnue"))</f>
        <v/>
      </c>
      <c r="E3539" s="37" t="n"/>
      <c r="F3539" s="39" t="str">
        <f>IF(C3539="","",IFERROR(INDEX(art_unit,MATCH(C3539,art_ref,0))&amp;"",""))</f>
        <v/>
      </c>
      <c r="G3539" s="37" t="n"/>
      <c r="H3539" s="37" t="n"/>
      <c r="I3539" s="37" t="n"/>
      <c r="J3539" s="40" t="str">
        <f>IF(OR(C3539="",NOT(ISNUMBER(E3539))),"",IFERROR(E3539*N(INDEX(art_price,MATCH(C3539,art_ref,0))),""))</f>
        <v/>
      </c>
      <c r="K3539" s="39" t="str">
        <f>IF(OR(C3539="",NOT(ISNUMBER(E3539))),"",IFERROR(ROUND(N(INDEX(art_init,MATCH(C3539,art_ref,0)))+SUMIFS($E$5:E3539,$C$5:C3539,C3539,$B$5:B3539,"Entrée")-SUMIFS($E$5:E3539,$C$5:C3539,C3539,$B$5:B3539,"Sortie"),6),""))</f>
        <v/>
      </c>
      <c r="L3539" s="39" t="str">
        <f>IF(COUNTA(A3539:C3539,E3539)=0,"",IF(COUNTA(A3539:C3539,E3539)&lt;4,"Ligne incomplète",IF(NOT(ISNUMBER(A3539)),"Date invalide",IF(AND(B3539&lt;&gt;"Entrée",B3539&lt;&gt;"Sortie"),"Type inconnu",IF(ISNA(MATCH(C3539,art_ref,0)),"Référence inconnue",IF(OR(NOT(ISNUMBER(E3539)),N(E3539)&lt;=0),"Quantité invalide",IF(K3539&lt;0,"Stock négatif",IF(AND(ISNUMBER(A3538),A3539&lt;A3538),"Date hors ordre","OK"))))))))</f>
        <v/>
      </c>
      <c r="M3539" s="39" t="str">
        <f>IF(C3539="","",C3539&amp;"#"&amp;COUNTIF($C$5:C3539,C3539))</f>
        <v/>
      </c>
    </row>
    <row r="3540">
      <c r="A3540" s="41" t="n"/>
      <c r="B3540" s="37" t="n"/>
      <c r="C3540" s="37" t="n"/>
      <c r="D3540" s="39" t="str">
        <f>IF(C3540="","",IFERROR(INDEX(art_des,MATCH(C3540,art_ref,0))&amp;"","Référence inconnue"))</f>
        <v/>
      </c>
      <c r="E3540" s="37" t="n"/>
      <c r="F3540" s="39" t="str">
        <f>IF(C3540="","",IFERROR(INDEX(art_unit,MATCH(C3540,art_ref,0))&amp;"",""))</f>
        <v/>
      </c>
      <c r="G3540" s="37" t="n"/>
      <c r="H3540" s="37" t="n"/>
      <c r="I3540" s="37" t="n"/>
      <c r="J3540" s="40" t="str">
        <f>IF(OR(C3540="",NOT(ISNUMBER(E3540))),"",IFERROR(E3540*N(INDEX(art_price,MATCH(C3540,art_ref,0))),""))</f>
        <v/>
      </c>
      <c r="K3540" s="39" t="str">
        <f>IF(OR(C3540="",NOT(ISNUMBER(E3540))),"",IFERROR(ROUND(N(INDEX(art_init,MATCH(C3540,art_ref,0)))+SUMIFS($E$5:E3540,$C$5:C3540,C3540,$B$5:B3540,"Entrée")-SUMIFS($E$5:E3540,$C$5:C3540,C3540,$B$5:B3540,"Sortie"),6),""))</f>
        <v/>
      </c>
      <c r="L3540" s="39" t="str">
        <f>IF(COUNTA(A3540:C3540,E3540)=0,"",IF(COUNTA(A3540:C3540,E3540)&lt;4,"Ligne incomplète",IF(NOT(ISNUMBER(A3540)),"Date invalide",IF(AND(B3540&lt;&gt;"Entrée",B3540&lt;&gt;"Sortie"),"Type inconnu",IF(ISNA(MATCH(C3540,art_ref,0)),"Référence inconnue",IF(OR(NOT(ISNUMBER(E3540)),N(E3540)&lt;=0),"Quantité invalide",IF(K3540&lt;0,"Stock négatif",IF(AND(ISNUMBER(A3539),A3540&lt;A3539),"Date hors ordre","OK"))))))))</f>
        <v/>
      </c>
      <c r="M3540" s="39" t="str">
        <f>IF(C3540="","",C3540&amp;"#"&amp;COUNTIF($C$5:C3540,C3540))</f>
        <v/>
      </c>
    </row>
    <row r="3541">
      <c r="A3541" s="41" t="n"/>
      <c r="B3541" s="37" t="n"/>
      <c r="C3541" s="37" t="n"/>
      <c r="D3541" s="39" t="str">
        <f>IF(C3541="","",IFERROR(INDEX(art_des,MATCH(C3541,art_ref,0))&amp;"","Référence inconnue"))</f>
        <v/>
      </c>
      <c r="E3541" s="37" t="n"/>
      <c r="F3541" s="39" t="str">
        <f>IF(C3541="","",IFERROR(INDEX(art_unit,MATCH(C3541,art_ref,0))&amp;"",""))</f>
        <v/>
      </c>
      <c r="G3541" s="37" t="n"/>
      <c r="H3541" s="37" t="n"/>
      <c r="I3541" s="37" t="n"/>
      <c r="J3541" s="40" t="str">
        <f>IF(OR(C3541="",NOT(ISNUMBER(E3541))),"",IFERROR(E3541*N(INDEX(art_price,MATCH(C3541,art_ref,0))),""))</f>
        <v/>
      </c>
      <c r="K3541" s="39" t="str">
        <f>IF(OR(C3541="",NOT(ISNUMBER(E3541))),"",IFERROR(ROUND(N(INDEX(art_init,MATCH(C3541,art_ref,0)))+SUMIFS($E$5:E3541,$C$5:C3541,C3541,$B$5:B3541,"Entrée")-SUMIFS($E$5:E3541,$C$5:C3541,C3541,$B$5:B3541,"Sortie"),6),""))</f>
        <v/>
      </c>
      <c r="L3541" s="39" t="str">
        <f>IF(COUNTA(A3541:C3541,E3541)=0,"",IF(COUNTA(A3541:C3541,E3541)&lt;4,"Ligne incomplète",IF(NOT(ISNUMBER(A3541)),"Date invalide",IF(AND(B3541&lt;&gt;"Entrée",B3541&lt;&gt;"Sortie"),"Type inconnu",IF(ISNA(MATCH(C3541,art_ref,0)),"Référence inconnue",IF(OR(NOT(ISNUMBER(E3541)),N(E3541)&lt;=0),"Quantité invalide",IF(K3541&lt;0,"Stock négatif",IF(AND(ISNUMBER(A3540),A3541&lt;A3540),"Date hors ordre","OK"))))))))</f>
        <v/>
      </c>
      <c r="M3541" s="39" t="str">
        <f>IF(C3541="","",C3541&amp;"#"&amp;COUNTIF($C$5:C3541,C3541))</f>
        <v/>
      </c>
    </row>
    <row r="3542">
      <c r="A3542" s="41" t="n"/>
      <c r="B3542" s="37" t="n"/>
      <c r="C3542" s="37" t="n"/>
      <c r="D3542" s="39" t="str">
        <f>IF(C3542="","",IFERROR(INDEX(art_des,MATCH(C3542,art_ref,0))&amp;"","Référence inconnue"))</f>
        <v/>
      </c>
      <c r="E3542" s="37" t="n"/>
      <c r="F3542" s="39" t="str">
        <f>IF(C3542="","",IFERROR(INDEX(art_unit,MATCH(C3542,art_ref,0))&amp;"",""))</f>
        <v/>
      </c>
      <c r="G3542" s="37" t="n"/>
      <c r="H3542" s="37" t="n"/>
      <c r="I3542" s="37" t="n"/>
      <c r="J3542" s="40" t="str">
        <f>IF(OR(C3542="",NOT(ISNUMBER(E3542))),"",IFERROR(E3542*N(INDEX(art_price,MATCH(C3542,art_ref,0))),""))</f>
        <v/>
      </c>
      <c r="K3542" s="39" t="str">
        <f>IF(OR(C3542="",NOT(ISNUMBER(E3542))),"",IFERROR(ROUND(N(INDEX(art_init,MATCH(C3542,art_ref,0)))+SUMIFS($E$5:E3542,$C$5:C3542,C3542,$B$5:B3542,"Entrée")-SUMIFS($E$5:E3542,$C$5:C3542,C3542,$B$5:B3542,"Sortie"),6),""))</f>
        <v/>
      </c>
      <c r="L3542" s="39" t="str">
        <f>IF(COUNTA(A3542:C3542,E3542)=0,"",IF(COUNTA(A3542:C3542,E3542)&lt;4,"Ligne incomplète",IF(NOT(ISNUMBER(A3542)),"Date invalide",IF(AND(B3542&lt;&gt;"Entrée",B3542&lt;&gt;"Sortie"),"Type inconnu",IF(ISNA(MATCH(C3542,art_ref,0)),"Référence inconnue",IF(OR(NOT(ISNUMBER(E3542)),N(E3542)&lt;=0),"Quantité invalide",IF(K3542&lt;0,"Stock négatif",IF(AND(ISNUMBER(A3541),A3542&lt;A3541),"Date hors ordre","OK"))))))))</f>
        <v/>
      </c>
      <c r="M3542" s="39" t="str">
        <f>IF(C3542="","",C3542&amp;"#"&amp;COUNTIF($C$5:C3542,C3542))</f>
        <v/>
      </c>
    </row>
    <row r="3543">
      <c r="A3543" s="41" t="n"/>
      <c r="B3543" s="37" t="n"/>
      <c r="C3543" s="37" t="n"/>
      <c r="D3543" s="39" t="str">
        <f>IF(C3543="","",IFERROR(INDEX(art_des,MATCH(C3543,art_ref,0))&amp;"","Référence inconnue"))</f>
        <v/>
      </c>
      <c r="E3543" s="37" t="n"/>
      <c r="F3543" s="39" t="str">
        <f>IF(C3543="","",IFERROR(INDEX(art_unit,MATCH(C3543,art_ref,0))&amp;"",""))</f>
        <v/>
      </c>
      <c r="G3543" s="37" t="n"/>
      <c r="H3543" s="37" t="n"/>
      <c r="I3543" s="37" t="n"/>
      <c r="J3543" s="40" t="str">
        <f>IF(OR(C3543="",NOT(ISNUMBER(E3543))),"",IFERROR(E3543*N(INDEX(art_price,MATCH(C3543,art_ref,0))),""))</f>
        <v/>
      </c>
      <c r="K3543" s="39" t="str">
        <f>IF(OR(C3543="",NOT(ISNUMBER(E3543))),"",IFERROR(ROUND(N(INDEX(art_init,MATCH(C3543,art_ref,0)))+SUMIFS($E$5:E3543,$C$5:C3543,C3543,$B$5:B3543,"Entrée")-SUMIFS($E$5:E3543,$C$5:C3543,C3543,$B$5:B3543,"Sortie"),6),""))</f>
        <v/>
      </c>
      <c r="L3543" s="39" t="str">
        <f>IF(COUNTA(A3543:C3543,E3543)=0,"",IF(COUNTA(A3543:C3543,E3543)&lt;4,"Ligne incomplète",IF(NOT(ISNUMBER(A3543)),"Date invalide",IF(AND(B3543&lt;&gt;"Entrée",B3543&lt;&gt;"Sortie"),"Type inconnu",IF(ISNA(MATCH(C3543,art_ref,0)),"Référence inconnue",IF(OR(NOT(ISNUMBER(E3543)),N(E3543)&lt;=0),"Quantité invalide",IF(K3543&lt;0,"Stock négatif",IF(AND(ISNUMBER(A3542),A3543&lt;A3542),"Date hors ordre","OK"))))))))</f>
        <v/>
      </c>
      <c r="M3543" s="39" t="str">
        <f>IF(C3543="","",C3543&amp;"#"&amp;COUNTIF($C$5:C3543,C3543))</f>
        <v/>
      </c>
    </row>
    <row r="3544">
      <c r="A3544" s="41" t="n"/>
      <c r="B3544" s="37" t="n"/>
      <c r="C3544" s="37" t="n"/>
      <c r="D3544" s="39" t="str">
        <f>IF(C3544="","",IFERROR(INDEX(art_des,MATCH(C3544,art_ref,0))&amp;"","Référence inconnue"))</f>
        <v/>
      </c>
      <c r="E3544" s="37" t="n"/>
      <c r="F3544" s="39" t="str">
        <f>IF(C3544="","",IFERROR(INDEX(art_unit,MATCH(C3544,art_ref,0))&amp;"",""))</f>
        <v/>
      </c>
      <c r="G3544" s="37" t="n"/>
      <c r="H3544" s="37" t="n"/>
      <c r="I3544" s="37" t="n"/>
      <c r="J3544" s="40" t="str">
        <f>IF(OR(C3544="",NOT(ISNUMBER(E3544))),"",IFERROR(E3544*N(INDEX(art_price,MATCH(C3544,art_ref,0))),""))</f>
        <v/>
      </c>
      <c r="K3544" s="39" t="str">
        <f>IF(OR(C3544="",NOT(ISNUMBER(E3544))),"",IFERROR(ROUND(N(INDEX(art_init,MATCH(C3544,art_ref,0)))+SUMIFS($E$5:E3544,$C$5:C3544,C3544,$B$5:B3544,"Entrée")-SUMIFS($E$5:E3544,$C$5:C3544,C3544,$B$5:B3544,"Sortie"),6),""))</f>
        <v/>
      </c>
      <c r="L3544" s="39" t="str">
        <f>IF(COUNTA(A3544:C3544,E3544)=0,"",IF(COUNTA(A3544:C3544,E3544)&lt;4,"Ligne incomplète",IF(NOT(ISNUMBER(A3544)),"Date invalide",IF(AND(B3544&lt;&gt;"Entrée",B3544&lt;&gt;"Sortie"),"Type inconnu",IF(ISNA(MATCH(C3544,art_ref,0)),"Référence inconnue",IF(OR(NOT(ISNUMBER(E3544)),N(E3544)&lt;=0),"Quantité invalide",IF(K3544&lt;0,"Stock négatif",IF(AND(ISNUMBER(A3543),A3544&lt;A3543),"Date hors ordre","OK"))))))))</f>
        <v/>
      </c>
      <c r="M3544" s="39" t="str">
        <f>IF(C3544="","",C3544&amp;"#"&amp;COUNTIF($C$5:C3544,C3544))</f>
        <v/>
      </c>
    </row>
    <row r="3545">
      <c r="A3545" s="41" t="n"/>
      <c r="B3545" s="37" t="n"/>
      <c r="C3545" s="37" t="n"/>
      <c r="D3545" s="39" t="str">
        <f>IF(C3545="","",IFERROR(INDEX(art_des,MATCH(C3545,art_ref,0))&amp;"","Référence inconnue"))</f>
        <v/>
      </c>
      <c r="E3545" s="37" t="n"/>
      <c r="F3545" s="39" t="str">
        <f>IF(C3545="","",IFERROR(INDEX(art_unit,MATCH(C3545,art_ref,0))&amp;"",""))</f>
        <v/>
      </c>
      <c r="G3545" s="37" t="n"/>
      <c r="H3545" s="37" t="n"/>
      <c r="I3545" s="37" t="n"/>
      <c r="J3545" s="40" t="str">
        <f>IF(OR(C3545="",NOT(ISNUMBER(E3545))),"",IFERROR(E3545*N(INDEX(art_price,MATCH(C3545,art_ref,0))),""))</f>
        <v/>
      </c>
      <c r="K3545" s="39" t="str">
        <f>IF(OR(C3545="",NOT(ISNUMBER(E3545))),"",IFERROR(ROUND(N(INDEX(art_init,MATCH(C3545,art_ref,0)))+SUMIFS($E$5:E3545,$C$5:C3545,C3545,$B$5:B3545,"Entrée")-SUMIFS($E$5:E3545,$C$5:C3545,C3545,$B$5:B3545,"Sortie"),6),""))</f>
        <v/>
      </c>
      <c r="L3545" s="39" t="str">
        <f>IF(COUNTA(A3545:C3545,E3545)=0,"",IF(COUNTA(A3545:C3545,E3545)&lt;4,"Ligne incomplète",IF(NOT(ISNUMBER(A3545)),"Date invalide",IF(AND(B3545&lt;&gt;"Entrée",B3545&lt;&gt;"Sortie"),"Type inconnu",IF(ISNA(MATCH(C3545,art_ref,0)),"Référence inconnue",IF(OR(NOT(ISNUMBER(E3545)),N(E3545)&lt;=0),"Quantité invalide",IF(K3545&lt;0,"Stock négatif",IF(AND(ISNUMBER(A3544),A3545&lt;A3544),"Date hors ordre","OK"))))))))</f>
        <v/>
      </c>
      <c r="M3545" s="39" t="str">
        <f>IF(C3545="","",C3545&amp;"#"&amp;COUNTIF($C$5:C3545,C3545))</f>
        <v/>
      </c>
    </row>
    <row r="3546">
      <c r="A3546" s="41" t="n"/>
      <c r="B3546" s="37" t="n"/>
      <c r="C3546" s="37" t="n"/>
      <c r="D3546" s="39" t="str">
        <f>IF(C3546="","",IFERROR(INDEX(art_des,MATCH(C3546,art_ref,0))&amp;"","Référence inconnue"))</f>
        <v/>
      </c>
      <c r="E3546" s="37" t="n"/>
      <c r="F3546" s="39" t="str">
        <f>IF(C3546="","",IFERROR(INDEX(art_unit,MATCH(C3546,art_ref,0))&amp;"",""))</f>
        <v/>
      </c>
      <c r="G3546" s="37" t="n"/>
      <c r="H3546" s="37" t="n"/>
      <c r="I3546" s="37" t="n"/>
      <c r="J3546" s="40" t="str">
        <f>IF(OR(C3546="",NOT(ISNUMBER(E3546))),"",IFERROR(E3546*N(INDEX(art_price,MATCH(C3546,art_ref,0))),""))</f>
        <v/>
      </c>
      <c r="K3546" s="39" t="str">
        <f>IF(OR(C3546="",NOT(ISNUMBER(E3546))),"",IFERROR(ROUND(N(INDEX(art_init,MATCH(C3546,art_ref,0)))+SUMIFS($E$5:E3546,$C$5:C3546,C3546,$B$5:B3546,"Entrée")-SUMIFS($E$5:E3546,$C$5:C3546,C3546,$B$5:B3546,"Sortie"),6),""))</f>
        <v/>
      </c>
      <c r="L3546" s="39" t="str">
        <f>IF(COUNTA(A3546:C3546,E3546)=0,"",IF(COUNTA(A3546:C3546,E3546)&lt;4,"Ligne incomplète",IF(NOT(ISNUMBER(A3546)),"Date invalide",IF(AND(B3546&lt;&gt;"Entrée",B3546&lt;&gt;"Sortie"),"Type inconnu",IF(ISNA(MATCH(C3546,art_ref,0)),"Référence inconnue",IF(OR(NOT(ISNUMBER(E3546)),N(E3546)&lt;=0),"Quantité invalide",IF(K3546&lt;0,"Stock négatif",IF(AND(ISNUMBER(A3545),A3546&lt;A3545),"Date hors ordre","OK"))))))))</f>
        <v/>
      </c>
      <c r="M3546" s="39" t="str">
        <f>IF(C3546="","",C3546&amp;"#"&amp;COUNTIF($C$5:C3546,C3546))</f>
        <v/>
      </c>
    </row>
    <row r="3547">
      <c r="A3547" s="41" t="n"/>
      <c r="B3547" s="37" t="n"/>
      <c r="C3547" s="37" t="n"/>
      <c r="D3547" s="39" t="str">
        <f>IF(C3547="","",IFERROR(INDEX(art_des,MATCH(C3547,art_ref,0))&amp;"","Référence inconnue"))</f>
        <v/>
      </c>
      <c r="E3547" s="37" t="n"/>
      <c r="F3547" s="39" t="str">
        <f>IF(C3547="","",IFERROR(INDEX(art_unit,MATCH(C3547,art_ref,0))&amp;"",""))</f>
        <v/>
      </c>
      <c r="G3547" s="37" t="n"/>
      <c r="H3547" s="37" t="n"/>
      <c r="I3547" s="37" t="n"/>
      <c r="J3547" s="40" t="str">
        <f>IF(OR(C3547="",NOT(ISNUMBER(E3547))),"",IFERROR(E3547*N(INDEX(art_price,MATCH(C3547,art_ref,0))),""))</f>
        <v/>
      </c>
      <c r="K3547" s="39" t="str">
        <f>IF(OR(C3547="",NOT(ISNUMBER(E3547))),"",IFERROR(ROUND(N(INDEX(art_init,MATCH(C3547,art_ref,0)))+SUMIFS($E$5:E3547,$C$5:C3547,C3547,$B$5:B3547,"Entrée")-SUMIFS($E$5:E3547,$C$5:C3547,C3547,$B$5:B3547,"Sortie"),6),""))</f>
        <v/>
      </c>
      <c r="L3547" s="39" t="str">
        <f>IF(COUNTA(A3547:C3547,E3547)=0,"",IF(COUNTA(A3547:C3547,E3547)&lt;4,"Ligne incomplète",IF(NOT(ISNUMBER(A3547)),"Date invalide",IF(AND(B3547&lt;&gt;"Entrée",B3547&lt;&gt;"Sortie"),"Type inconnu",IF(ISNA(MATCH(C3547,art_ref,0)),"Référence inconnue",IF(OR(NOT(ISNUMBER(E3547)),N(E3547)&lt;=0),"Quantité invalide",IF(K3547&lt;0,"Stock négatif",IF(AND(ISNUMBER(A3546),A3547&lt;A3546),"Date hors ordre","OK"))))))))</f>
        <v/>
      </c>
      <c r="M3547" s="39" t="str">
        <f>IF(C3547="","",C3547&amp;"#"&amp;COUNTIF($C$5:C3547,C3547))</f>
        <v/>
      </c>
    </row>
    <row r="3548">
      <c r="A3548" s="41" t="n"/>
      <c r="B3548" s="37" t="n"/>
      <c r="C3548" s="37" t="n"/>
      <c r="D3548" s="39" t="str">
        <f>IF(C3548="","",IFERROR(INDEX(art_des,MATCH(C3548,art_ref,0))&amp;"","Référence inconnue"))</f>
        <v/>
      </c>
      <c r="E3548" s="37" t="n"/>
      <c r="F3548" s="39" t="str">
        <f>IF(C3548="","",IFERROR(INDEX(art_unit,MATCH(C3548,art_ref,0))&amp;"",""))</f>
        <v/>
      </c>
      <c r="G3548" s="37" t="n"/>
      <c r="H3548" s="37" t="n"/>
      <c r="I3548" s="37" t="n"/>
      <c r="J3548" s="40" t="str">
        <f>IF(OR(C3548="",NOT(ISNUMBER(E3548))),"",IFERROR(E3548*N(INDEX(art_price,MATCH(C3548,art_ref,0))),""))</f>
        <v/>
      </c>
      <c r="K3548" s="39" t="str">
        <f>IF(OR(C3548="",NOT(ISNUMBER(E3548))),"",IFERROR(ROUND(N(INDEX(art_init,MATCH(C3548,art_ref,0)))+SUMIFS($E$5:E3548,$C$5:C3548,C3548,$B$5:B3548,"Entrée")-SUMIFS($E$5:E3548,$C$5:C3548,C3548,$B$5:B3548,"Sortie"),6),""))</f>
        <v/>
      </c>
      <c r="L3548" s="39" t="str">
        <f>IF(COUNTA(A3548:C3548,E3548)=0,"",IF(COUNTA(A3548:C3548,E3548)&lt;4,"Ligne incomplète",IF(NOT(ISNUMBER(A3548)),"Date invalide",IF(AND(B3548&lt;&gt;"Entrée",B3548&lt;&gt;"Sortie"),"Type inconnu",IF(ISNA(MATCH(C3548,art_ref,0)),"Référence inconnue",IF(OR(NOT(ISNUMBER(E3548)),N(E3548)&lt;=0),"Quantité invalide",IF(K3548&lt;0,"Stock négatif",IF(AND(ISNUMBER(A3547),A3548&lt;A3547),"Date hors ordre","OK"))))))))</f>
        <v/>
      </c>
      <c r="M3548" s="39" t="str">
        <f>IF(C3548="","",C3548&amp;"#"&amp;COUNTIF($C$5:C3548,C3548))</f>
        <v/>
      </c>
    </row>
    <row r="3549">
      <c r="A3549" s="41" t="n"/>
      <c r="B3549" s="37" t="n"/>
      <c r="C3549" s="37" t="n"/>
      <c r="D3549" s="39" t="str">
        <f>IF(C3549="","",IFERROR(INDEX(art_des,MATCH(C3549,art_ref,0))&amp;"","Référence inconnue"))</f>
        <v/>
      </c>
      <c r="E3549" s="37" t="n"/>
      <c r="F3549" s="39" t="str">
        <f>IF(C3549="","",IFERROR(INDEX(art_unit,MATCH(C3549,art_ref,0))&amp;"",""))</f>
        <v/>
      </c>
      <c r="G3549" s="37" t="n"/>
      <c r="H3549" s="37" t="n"/>
      <c r="I3549" s="37" t="n"/>
      <c r="J3549" s="40" t="str">
        <f>IF(OR(C3549="",NOT(ISNUMBER(E3549))),"",IFERROR(E3549*N(INDEX(art_price,MATCH(C3549,art_ref,0))),""))</f>
        <v/>
      </c>
      <c r="K3549" s="39" t="str">
        <f>IF(OR(C3549="",NOT(ISNUMBER(E3549))),"",IFERROR(ROUND(N(INDEX(art_init,MATCH(C3549,art_ref,0)))+SUMIFS($E$5:E3549,$C$5:C3549,C3549,$B$5:B3549,"Entrée")-SUMIFS($E$5:E3549,$C$5:C3549,C3549,$B$5:B3549,"Sortie"),6),""))</f>
        <v/>
      </c>
      <c r="L3549" s="39" t="str">
        <f>IF(COUNTA(A3549:C3549,E3549)=0,"",IF(COUNTA(A3549:C3549,E3549)&lt;4,"Ligne incomplète",IF(NOT(ISNUMBER(A3549)),"Date invalide",IF(AND(B3549&lt;&gt;"Entrée",B3549&lt;&gt;"Sortie"),"Type inconnu",IF(ISNA(MATCH(C3549,art_ref,0)),"Référence inconnue",IF(OR(NOT(ISNUMBER(E3549)),N(E3549)&lt;=0),"Quantité invalide",IF(K3549&lt;0,"Stock négatif",IF(AND(ISNUMBER(A3548),A3549&lt;A3548),"Date hors ordre","OK"))))))))</f>
        <v/>
      </c>
      <c r="M3549" s="39" t="str">
        <f>IF(C3549="","",C3549&amp;"#"&amp;COUNTIF($C$5:C3549,C3549))</f>
        <v/>
      </c>
    </row>
    <row r="3550">
      <c r="A3550" s="41" t="n"/>
      <c r="B3550" s="37" t="n"/>
      <c r="C3550" s="37" t="n"/>
      <c r="D3550" s="39" t="str">
        <f>IF(C3550="","",IFERROR(INDEX(art_des,MATCH(C3550,art_ref,0))&amp;"","Référence inconnue"))</f>
        <v/>
      </c>
      <c r="E3550" s="37" t="n"/>
      <c r="F3550" s="39" t="str">
        <f>IF(C3550="","",IFERROR(INDEX(art_unit,MATCH(C3550,art_ref,0))&amp;"",""))</f>
        <v/>
      </c>
      <c r="G3550" s="37" t="n"/>
      <c r="H3550" s="37" t="n"/>
      <c r="I3550" s="37" t="n"/>
      <c r="J3550" s="40" t="str">
        <f>IF(OR(C3550="",NOT(ISNUMBER(E3550))),"",IFERROR(E3550*N(INDEX(art_price,MATCH(C3550,art_ref,0))),""))</f>
        <v/>
      </c>
      <c r="K3550" s="39" t="str">
        <f>IF(OR(C3550="",NOT(ISNUMBER(E3550))),"",IFERROR(ROUND(N(INDEX(art_init,MATCH(C3550,art_ref,0)))+SUMIFS($E$5:E3550,$C$5:C3550,C3550,$B$5:B3550,"Entrée")-SUMIFS($E$5:E3550,$C$5:C3550,C3550,$B$5:B3550,"Sortie"),6),""))</f>
        <v/>
      </c>
      <c r="L3550" s="39" t="str">
        <f>IF(COUNTA(A3550:C3550,E3550)=0,"",IF(COUNTA(A3550:C3550,E3550)&lt;4,"Ligne incomplète",IF(NOT(ISNUMBER(A3550)),"Date invalide",IF(AND(B3550&lt;&gt;"Entrée",B3550&lt;&gt;"Sortie"),"Type inconnu",IF(ISNA(MATCH(C3550,art_ref,0)),"Référence inconnue",IF(OR(NOT(ISNUMBER(E3550)),N(E3550)&lt;=0),"Quantité invalide",IF(K3550&lt;0,"Stock négatif",IF(AND(ISNUMBER(A3549),A3550&lt;A3549),"Date hors ordre","OK"))))))))</f>
        <v/>
      </c>
      <c r="M3550" s="39" t="str">
        <f>IF(C3550="","",C3550&amp;"#"&amp;COUNTIF($C$5:C3550,C3550))</f>
        <v/>
      </c>
    </row>
    <row r="3551">
      <c r="A3551" s="41" t="n"/>
      <c r="B3551" s="37" t="n"/>
      <c r="C3551" s="37" t="n"/>
      <c r="D3551" s="39" t="str">
        <f>IF(C3551="","",IFERROR(INDEX(art_des,MATCH(C3551,art_ref,0))&amp;"","Référence inconnue"))</f>
        <v/>
      </c>
      <c r="E3551" s="37" t="n"/>
      <c r="F3551" s="39" t="str">
        <f>IF(C3551="","",IFERROR(INDEX(art_unit,MATCH(C3551,art_ref,0))&amp;"",""))</f>
        <v/>
      </c>
      <c r="G3551" s="37" t="n"/>
      <c r="H3551" s="37" t="n"/>
      <c r="I3551" s="37" t="n"/>
      <c r="J3551" s="40" t="str">
        <f>IF(OR(C3551="",NOT(ISNUMBER(E3551))),"",IFERROR(E3551*N(INDEX(art_price,MATCH(C3551,art_ref,0))),""))</f>
        <v/>
      </c>
      <c r="K3551" s="39" t="str">
        <f>IF(OR(C3551="",NOT(ISNUMBER(E3551))),"",IFERROR(ROUND(N(INDEX(art_init,MATCH(C3551,art_ref,0)))+SUMIFS($E$5:E3551,$C$5:C3551,C3551,$B$5:B3551,"Entrée")-SUMIFS($E$5:E3551,$C$5:C3551,C3551,$B$5:B3551,"Sortie"),6),""))</f>
        <v/>
      </c>
      <c r="L3551" s="39" t="str">
        <f>IF(COUNTA(A3551:C3551,E3551)=0,"",IF(COUNTA(A3551:C3551,E3551)&lt;4,"Ligne incomplète",IF(NOT(ISNUMBER(A3551)),"Date invalide",IF(AND(B3551&lt;&gt;"Entrée",B3551&lt;&gt;"Sortie"),"Type inconnu",IF(ISNA(MATCH(C3551,art_ref,0)),"Référence inconnue",IF(OR(NOT(ISNUMBER(E3551)),N(E3551)&lt;=0),"Quantité invalide",IF(K3551&lt;0,"Stock négatif",IF(AND(ISNUMBER(A3550),A3551&lt;A3550),"Date hors ordre","OK"))))))))</f>
        <v/>
      </c>
      <c r="M3551" s="39" t="str">
        <f>IF(C3551="","",C3551&amp;"#"&amp;COUNTIF($C$5:C3551,C3551))</f>
        <v/>
      </c>
    </row>
    <row r="3552">
      <c r="A3552" s="41" t="n"/>
      <c r="B3552" s="37" t="n"/>
      <c r="C3552" s="37" t="n"/>
      <c r="D3552" s="39" t="str">
        <f>IF(C3552="","",IFERROR(INDEX(art_des,MATCH(C3552,art_ref,0))&amp;"","Référence inconnue"))</f>
        <v/>
      </c>
      <c r="E3552" s="37" t="n"/>
      <c r="F3552" s="39" t="str">
        <f>IF(C3552="","",IFERROR(INDEX(art_unit,MATCH(C3552,art_ref,0))&amp;"",""))</f>
        <v/>
      </c>
      <c r="G3552" s="37" t="n"/>
      <c r="H3552" s="37" t="n"/>
      <c r="I3552" s="37" t="n"/>
      <c r="J3552" s="40" t="str">
        <f>IF(OR(C3552="",NOT(ISNUMBER(E3552))),"",IFERROR(E3552*N(INDEX(art_price,MATCH(C3552,art_ref,0))),""))</f>
        <v/>
      </c>
      <c r="K3552" s="39" t="str">
        <f>IF(OR(C3552="",NOT(ISNUMBER(E3552))),"",IFERROR(ROUND(N(INDEX(art_init,MATCH(C3552,art_ref,0)))+SUMIFS($E$5:E3552,$C$5:C3552,C3552,$B$5:B3552,"Entrée")-SUMIFS($E$5:E3552,$C$5:C3552,C3552,$B$5:B3552,"Sortie"),6),""))</f>
        <v/>
      </c>
      <c r="L3552" s="39" t="str">
        <f>IF(COUNTA(A3552:C3552,E3552)=0,"",IF(COUNTA(A3552:C3552,E3552)&lt;4,"Ligne incomplète",IF(NOT(ISNUMBER(A3552)),"Date invalide",IF(AND(B3552&lt;&gt;"Entrée",B3552&lt;&gt;"Sortie"),"Type inconnu",IF(ISNA(MATCH(C3552,art_ref,0)),"Référence inconnue",IF(OR(NOT(ISNUMBER(E3552)),N(E3552)&lt;=0),"Quantité invalide",IF(K3552&lt;0,"Stock négatif",IF(AND(ISNUMBER(A3551),A3552&lt;A3551),"Date hors ordre","OK"))))))))</f>
        <v/>
      </c>
      <c r="M3552" s="39" t="str">
        <f>IF(C3552="","",C3552&amp;"#"&amp;COUNTIF($C$5:C3552,C3552))</f>
        <v/>
      </c>
    </row>
    <row r="3553">
      <c r="A3553" s="41" t="n"/>
      <c r="B3553" s="37" t="n"/>
      <c r="C3553" s="37" t="n"/>
      <c r="D3553" s="39" t="str">
        <f>IF(C3553="","",IFERROR(INDEX(art_des,MATCH(C3553,art_ref,0))&amp;"","Référence inconnue"))</f>
        <v/>
      </c>
      <c r="E3553" s="37" t="n"/>
      <c r="F3553" s="39" t="str">
        <f>IF(C3553="","",IFERROR(INDEX(art_unit,MATCH(C3553,art_ref,0))&amp;"",""))</f>
        <v/>
      </c>
      <c r="G3553" s="37" t="n"/>
      <c r="H3553" s="37" t="n"/>
      <c r="I3553" s="37" t="n"/>
      <c r="J3553" s="40" t="str">
        <f>IF(OR(C3553="",NOT(ISNUMBER(E3553))),"",IFERROR(E3553*N(INDEX(art_price,MATCH(C3553,art_ref,0))),""))</f>
        <v/>
      </c>
      <c r="K3553" s="39" t="str">
        <f>IF(OR(C3553="",NOT(ISNUMBER(E3553))),"",IFERROR(ROUND(N(INDEX(art_init,MATCH(C3553,art_ref,0)))+SUMIFS($E$5:E3553,$C$5:C3553,C3553,$B$5:B3553,"Entrée")-SUMIFS($E$5:E3553,$C$5:C3553,C3553,$B$5:B3553,"Sortie"),6),""))</f>
        <v/>
      </c>
      <c r="L3553" s="39" t="str">
        <f>IF(COUNTA(A3553:C3553,E3553)=0,"",IF(COUNTA(A3553:C3553,E3553)&lt;4,"Ligne incomplète",IF(NOT(ISNUMBER(A3553)),"Date invalide",IF(AND(B3553&lt;&gt;"Entrée",B3553&lt;&gt;"Sortie"),"Type inconnu",IF(ISNA(MATCH(C3553,art_ref,0)),"Référence inconnue",IF(OR(NOT(ISNUMBER(E3553)),N(E3553)&lt;=0),"Quantité invalide",IF(K3553&lt;0,"Stock négatif",IF(AND(ISNUMBER(A3552),A3553&lt;A3552),"Date hors ordre","OK"))))))))</f>
        <v/>
      </c>
      <c r="M3553" s="39" t="str">
        <f>IF(C3553="","",C3553&amp;"#"&amp;COUNTIF($C$5:C3553,C3553))</f>
        <v/>
      </c>
    </row>
    <row r="3554">
      <c r="A3554" s="41" t="n"/>
      <c r="B3554" s="37" t="n"/>
      <c r="C3554" s="37" t="n"/>
      <c r="D3554" s="39" t="str">
        <f>IF(C3554="","",IFERROR(INDEX(art_des,MATCH(C3554,art_ref,0))&amp;"","Référence inconnue"))</f>
        <v/>
      </c>
      <c r="E3554" s="37" t="n"/>
      <c r="F3554" s="39" t="str">
        <f>IF(C3554="","",IFERROR(INDEX(art_unit,MATCH(C3554,art_ref,0))&amp;"",""))</f>
        <v/>
      </c>
      <c r="G3554" s="37" t="n"/>
      <c r="H3554" s="37" t="n"/>
      <c r="I3554" s="37" t="n"/>
      <c r="J3554" s="40" t="str">
        <f>IF(OR(C3554="",NOT(ISNUMBER(E3554))),"",IFERROR(E3554*N(INDEX(art_price,MATCH(C3554,art_ref,0))),""))</f>
        <v/>
      </c>
      <c r="K3554" s="39" t="str">
        <f>IF(OR(C3554="",NOT(ISNUMBER(E3554))),"",IFERROR(ROUND(N(INDEX(art_init,MATCH(C3554,art_ref,0)))+SUMIFS($E$5:E3554,$C$5:C3554,C3554,$B$5:B3554,"Entrée")-SUMIFS($E$5:E3554,$C$5:C3554,C3554,$B$5:B3554,"Sortie"),6),""))</f>
        <v/>
      </c>
      <c r="L3554" s="39" t="str">
        <f>IF(COUNTA(A3554:C3554,E3554)=0,"",IF(COUNTA(A3554:C3554,E3554)&lt;4,"Ligne incomplète",IF(NOT(ISNUMBER(A3554)),"Date invalide",IF(AND(B3554&lt;&gt;"Entrée",B3554&lt;&gt;"Sortie"),"Type inconnu",IF(ISNA(MATCH(C3554,art_ref,0)),"Référence inconnue",IF(OR(NOT(ISNUMBER(E3554)),N(E3554)&lt;=0),"Quantité invalide",IF(K3554&lt;0,"Stock négatif",IF(AND(ISNUMBER(A3553),A3554&lt;A3553),"Date hors ordre","OK"))))))))</f>
        <v/>
      </c>
      <c r="M3554" s="39" t="str">
        <f>IF(C3554="","",C3554&amp;"#"&amp;COUNTIF($C$5:C3554,C3554))</f>
        <v/>
      </c>
    </row>
    <row r="3555">
      <c r="A3555" s="41" t="n"/>
      <c r="B3555" s="37" t="n"/>
      <c r="C3555" s="37" t="n"/>
      <c r="D3555" s="39" t="str">
        <f>IF(C3555="","",IFERROR(INDEX(art_des,MATCH(C3555,art_ref,0))&amp;"","Référence inconnue"))</f>
        <v/>
      </c>
      <c r="E3555" s="37" t="n"/>
      <c r="F3555" s="39" t="str">
        <f>IF(C3555="","",IFERROR(INDEX(art_unit,MATCH(C3555,art_ref,0))&amp;"",""))</f>
        <v/>
      </c>
      <c r="G3555" s="37" t="n"/>
      <c r="H3555" s="37" t="n"/>
      <c r="I3555" s="37" t="n"/>
      <c r="J3555" s="40" t="str">
        <f>IF(OR(C3555="",NOT(ISNUMBER(E3555))),"",IFERROR(E3555*N(INDEX(art_price,MATCH(C3555,art_ref,0))),""))</f>
        <v/>
      </c>
      <c r="K3555" s="39" t="str">
        <f>IF(OR(C3555="",NOT(ISNUMBER(E3555))),"",IFERROR(ROUND(N(INDEX(art_init,MATCH(C3555,art_ref,0)))+SUMIFS($E$5:E3555,$C$5:C3555,C3555,$B$5:B3555,"Entrée")-SUMIFS($E$5:E3555,$C$5:C3555,C3555,$B$5:B3555,"Sortie"),6),""))</f>
        <v/>
      </c>
      <c r="L3555" s="39" t="str">
        <f>IF(COUNTA(A3555:C3555,E3555)=0,"",IF(COUNTA(A3555:C3555,E3555)&lt;4,"Ligne incomplète",IF(NOT(ISNUMBER(A3555)),"Date invalide",IF(AND(B3555&lt;&gt;"Entrée",B3555&lt;&gt;"Sortie"),"Type inconnu",IF(ISNA(MATCH(C3555,art_ref,0)),"Référence inconnue",IF(OR(NOT(ISNUMBER(E3555)),N(E3555)&lt;=0),"Quantité invalide",IF(K3555&lt;0,"Stock négatif",IF(AND(ISNUMBER(A3554),A3555&lt;A3554),"Date hors ordre","OK"))))))))</f>
        <v/>
      </c>
      <c r="M3555" s="39" t="str">
        <f>IF(C3555="","",C3555&amp;"#"&amp;COUNTIF($C$5:C3555,C3555))</f>
        <v/>
      </c>
    </row>
    <row r="3556">
      <c r="A3556" s="41" t="n"/>
      <c r="B3556" s="37" t="n"/>
      <c r="C3556" s="37" t="n"/>
      <c r="D3556" s="39" t="str">
        <f>IF(C3556="","",IFERROR(INDEX(art_des,MATCH(C3556,art_ref,0))&amp;"","Référence inconnue"))</f>
        <v/>
      </c>
      <c r="E3556" s="37" t="n"/>
      <c r="F3556" s="39" t="str">
        <f>IF(C3556="","",IFERROR(INDEX(art_unit,MATCH(C3556,art_ref,0))&amp;"",""))</f>
        <v/>
      </c>
      <c r="G3556" s="37" t="n"/>
      <c r="H3556" s="37" t="n"/>
      <c r="I3556" s="37" t="n"/>
      <c r="J3556" s="40" t="str">
        <f>IF(OR(C3556="",NOT(ISNUMBER(E3556))),"",IFERROR(E3556*N(INDEX(art_price,MATCH(C3556,art_ref,0))),""))</f>
        <v/>
      </c>
      <c r="K3556" s="39" t="str">
        <f>IF(OR(C3556="",NOT(ISNUMBER(E3556))),"",IFERROR(ROUND(N(INDEX(art_init,MATCH(C3556,art_ref,0)))+SUMIFS($E$5:E3556,$C$5:C3556,C3556,$B$5:B3556,"Entrée")-SUMIFS($E$5:E3556,$C$5:C3556,C3556,$B$5:B3556,"Sortie"),6),""))</f>
        <v/>
      </c>
      <c r="L3556" s="39" t="str">
        <f>IF(COUNTA(A3556:C3556,E3556)=0,"",IF(COUNTA(A3556:C3556,E3556)&lt;4,"Ligne incomplète",IF(NOT(ISNUMBER(A3556)),"Date invalide",IF(AND(B3556&lt;&gt;"Entrée",B3556&lt;&gt;"Sortie"),"Type inconnu",IF(ISNA(MATCH(C3556,art_ref,0)),"Référence inconnue",IF(OR(NOT(ISNUMBER(E3556)),N(E3556)&lt;=0),"Quantité invalide",IF(K3556&lt;0,"Stock négatif",IF(AND(ISNUMBER(A3555),A3556&lt;A3555),"Date hors ordre","OK"))))))))</f>
        <v/>
      </c>
      <c r="M3556" s="39" t="str">
        <f>IF(C3556="","",C3556&amp;"#"&amp;COUNTIF($C$5:C3556,C3556))</f>
        <v/>
      </c>
    </row>
    <row r="3557">
      <c r="A3557" s="41" t="n"/>
      <c r="B3557" s="37" t="n"/>
      <c r="C3557" s="37" t="n"/>
      <c r="D3557" s="39" t="str">
        <f>IF(C3557="","",IFERROR(INDEX(art_des,MATCH(C3557,art_ref,0))&amp;"","Référence inconnue"))</f>
        <v/>
      </c>
      <c r="E3557" s="37" t="n"/>
      <c r="F3557" s="39" t="str">
        <f>IF(C3557="","",IFERROR(INDEX(art_unit,MATCH(C3557,art_ref,0))&amp;"",""))</f>
        <v/>
      </c>
      <c r="G3557" s="37" t="n"/>
      <c r="H3557" s="37" t="n"/>
      <c r="I3557" s="37" t="n"/>
      <c r="J3557" s="40" t="str">
        <f>IF(OR(C3557="",NOT(ISNUMBER(E3557))),"",IFERROR(E3557*N(INDEX(art_price,MATCH(C3557,art_ref,0))),""))</f>
        <v/>
      </c>
      <c r="K3557" s="39" t="str">
        <f>IF(OR(C3557="",NOT(ISNUMBER(E3557))),"",IFERROR(ROUND(N(INDEX(art_init,MATCH(C3557,art_ref,0)))+SUMIFS($E$5:E3557,$C$5:C3557,C3557,$B$5:B3557,"Entrée")-SUMIFS($E$5:E3557,$C$5:C3557,C3557,$B$5:B3557,"Sortie"),6),""))</f>
        <v/>
      </c>
      <c r="L3557" s="39" t="str">
        <f>IF(COUNTA(A3557:C3557,E3557)=0,"",IF(COUNTA(A3557:C3557,E3557)&lt;4,"Ligne incomplète",IF(NOT(ISNUMBER(A3557)),"Date invalide",IF(AND(B3557&lt;&gt;"Entrée",B3557&lt;&gt;"Sortie"),"Type inconnu",IF(ISNA(MATCH(C3557,art_ref,0)),"Référence inconnue",IF(OR(NOT(ISNUMBER(E3557)),N(E3557)&lt;=0),"Quantité invalide",IF(K3557&lt;0,"Stock négatif",IF(AND(ISNUMBER(A3556),A3557&lt;A3556),"Date hors ordre","OK"))))))))</f>
        <v/>
      </c>
      <c r="M3557" s="39" t="str">
        <f>IF(C3557="","",C3557&amp;"#"&amp;COUNTIF($C$5:C3557,C3557))</f>
        <v/>
      </c>
    </row>
    <row r="3558">
      <c r="A3558" s="41" t="n"/>
      <c r="B3558" s="37" t="n"/>
      <c r="C3558" s="37" t="n"/>
      <c r="D3558" s="39" t="str">
        <f>IF(C3558="","",IFERROR(INDEX(art_des,MATCH(C3558,art_ref,0))&amp;"","Référence inconnue"))</f>
        <v/>
      </c>
      <c r="E3558" s="37" t="n"/>
      <c r="F3558" s="39" t="str">
        <f>IF(C3558="","",IFERROR(INDEX(art_unit,MATCH(C3558,art_ref,0))&amp;"",""))</f>
        <v/>
      </c>
      <c r="G3558" s="37" t="n"/>
      <c r="H3558" s="37" t="n"/>
      <c r="I3558" s="37" t="n"/>
      <c r="J3558" s="40" t="str">
        <f>IF(OR(C3558="",NOT(ISNUMBER(E3558))),"",IFERROR(E3558*N(INDEX(art_price,MATCH(C3558,art_ref,0))),""))</f>
        <v/>
      </c>
      <c r="K3558" s="39" t="str">
        <f>IF(OR(C3558="",NOT(ISNUMBER(E3558))),"",IFERROR(ROUND(N(INDEX(art_init,MATCH(C3558,art_ref,0)))+SUMIFS($E$5:E3558,$C$5:C3558,C3558,$B$5:B3558,"Entrée")-SUMIFS($E$5:E3558,$C$5:C3558,C3558,$B$5:B3558,"Sortie"),6),""))</f>
        <v/>
      </c>
      <c r="L3558" s="39" t="str">
        <f>IF(COUNTA(A3558:C3558,E3558)=0,"",IF(COUNTA(A3558:C3558,E3558)&lt;4,"Ligne incomplète",IF(NOT(ISNUMBER(A3558)),"Date invalide",IF(AND(B3558&lt;&gt;"Entrée",B3558&lt;&gt;"Sortie"),"Type inconnu",IF(ISNA(MATCH(C3558,art_ref,0)),"Référence inconnue",IF(OR(NOT(ISNUMBER(E3558)),N(E3558)&lt;=0),"Quantité invalide",IF(K3558&lt;0,"Stock négatif",IF(AND(ISNUMBER(A3557),A3558&lt;A3557),"Date hors ordre","OK"))))))))</f>
        <v/>
      </c>
      <c r="M3558" s="39" t="str">
        <f>IF(C3558="","",C3558&amp;"#"&amp;COUNTIF($C$5:C3558,C3558))</f>
        <v/>
      </c>
    </row>
    <row r="3559">
      <c r="A3559" s="41" t="n"/>
      <c r="B3559" s="37" t="n"/>
      <c r="C3559" s="37" t="n"/>
      <c r="D3559" s="39" t="str">
        <f>IF(C3559="","",IFERROR(INDEX(art_des,MATCH(C3559,art_ref,0))&amp;"","Référence inconnue"))</f>
        <v/>
      </c>
      <c r="E3559" s="37" t="n"/>
      <c r="F3559" s="39" t="str">
        <f>IF(C3559="","",IFERROR(INDEX(art_unit,MATCH(C3559,art_ref,0))&amp;"",""))</f>
        <v/>
      </c>
      <c r="G3559" s="37" t="n"/>
      <c r="H3559" s="37" t="n"/>
      <c r="I3559" s="37" t="n"/>
      <c r="J3559" s="40" t="str">
        <f>IF(OR(C3559="",NOT(ISNUMBER(E3559))),"",IFERROR(E3559*N(INDEX(art_price,MATCH(C3559,art_ref,0))),""))</f>
        <v/>
      </c>
      <c r="K3559" s="39" t="str">
        <f>IF(OR(C3559="",NOT(ISNUMBER(E3559))),"",IFERROR(ROUND(N(INDEX(art_init,MATCH(C3559,art_ref,0)))+SUMIFS($E$5:E3559,$C$5:C3559,C3559,$B$5:B3559,"Entrée")-SUMIFS($E$5:E3559,$C$5:C3559,C3559,$B$5:B3559,"Sortie"),6),""))</f>
        <v/>
      </c>
      <c r="L3559" s="39" t="str">
        <f>IF(COUNTA(A3559:C3559,E3559)=0,"",IF(COUNTA(A3559:C3559,E3559)&lt;4,"Ligne incomplète",IF(NOT(ISNUMBER(A3559)),"Date invalide",IF(AND(B3559&lt;&gt;"Entrée",B3559&lt;&gt;"Sortie"),"Type inconnu",IF(ISNA(MATCH(C3559,art_ref,0)),"Référence inconnue",IF(OR(NOT(ISNUMBER(E3559)),N(E3559)&lt;=0),"Quantité invalide",IF(K3559&lt;0,"Stock négatif",IF(AND(ISNUMBER(A3558),A3559&lt;A3558),"Date hors ordre","OK"))))))))</f>
        <v/>
      </c>
      <c r="M3559" s="39" t="str">
        <f>IF(C3559="","",C3559&amp;"#"&amp;COUNTIF($C$5:C3559,C3559))</f>
        <v/>
      </c>
    </row>
    <row r="3560">
      <c r="A3560" s="41" t="n"/>
      <c r="B3560" s="37" t="n"/>
      <c r="C3560" s="37" t="n"/>
      <c r="D3560" s="39" t="str">
        <f>IF(C3560="","",IFERROR(INDEX(art_des,MATCH(C3560,art_ref,0))&amp;"","Référence inconnue"))</f>
        <v/>
      </c>
      <c r="E3560" s="37" t="n"/>
      <c r="F3560" s="39" t="str">
        <f>IF(C3560="","",IFERROR(INDEX(art_unit,MATCH(C3560,art_ref,0))&amp;"",""))</f>
        <v/>
      </c>
      <c r="G3560" s="37" t="n"/>
      <c r="H3560" s="37" t="n"/>
      <c r="I3560" s="37" t="n"/>
      <c r="J3560" s="40" t="str">
        <f>IF(OR(C3560="",NOT(ISNUMBER(E3560))),"",IFERROR(E3560*N(INDEX(art_price,MATCH(C3560,art_ref,0))),""))</f>
        <v/>
      </c>
      <c r="K3560" s="39" t="str">
        <f>IF(OR(C3560="",NOT(ISNUMBER(E3560))),"",IFERROR(ROUND(N(INDEX(art_init,MATCH(C3560,art_ref,0)))+SUMIFS($E$5:E3560,$C$5:C3560,C3560,$B$5:B3560,"Entrée")-SUMIFS($E$5:E3560,$C$5:C3560,C3560,$B$5:B3560,"Sortie"),6),""))</f>
        <v/>
      </c>
      <c r="L3560" s="39" t="str">
        <f>IF(COUNTA(A3560:C3560,E3560)=0,"",IF(COUNTA(A3560:C3560,E3560)&lt;4,"Ligne incomplète",IF(NOT(ISNUMBER(A3560)),"Date invalide",IF(AND(B3560&lt;&gt;"Entrée",B3560&lt;&gt;"Sortie"),"Type inconnu",IF(ISNA(MATCH(C3560,art_ref,0)),"Référence inconnue",IF(OR(NOT(ISNUMBER(E3560)),N(E3560)&lt;=0),"Quantité invalide",IF(K3560&lt;0,"Stock négatif",IF(AND(ISNUMBER(A3559),A3560&lt;A3559),"Date hors ordre","OK"))))))))</f>
        <v/>
      </c>
      <c r="M3560" s="39" t="str">
        <f>IF(C3560="","",C3560&amp;"#"&amp;COUNTIF($C$5:C3560,C3560))</f>
        <v/>
      </c>
    </row>
    <row r="3561">
      <c r="A3561" s="41" t="n"/>
      <c r="B3561" s="37" t="n"/>
      <c r="C3561" s="37" t="n"/>
      <c r="D3561" s="39" t="str">
        <f>IF(C3561="","",IFERROR(INDEX(art_des,MATCH(C3561,art_ref,0))&amp;"","Référence inconnue"))</f>
        <v/>
      </c>
      <c r="E3561" s="37" t="n"/>
      <c r="F3561" s="39" t="str">
        <f>IF(C3561="","",IFERROR(INDEX(art_unit,MATCH(C3561,art_ref,0))&amp;"",""))</f>
        <v/>
      </c>
      <c r="G3561" s="37" t="n"/>
      <c r="H3561" s="37" t="n"/>
      <c r="I3561" s="37" t="n"/>
      <c r="J3561" s="40" t="str">
        <f>IF(OR(C3561="",NOT(ISNUMBER(E3561))),"",IFERROR(E3561*N(INDEX(art_price,MATCH(C3561,art_ref,0))),""))</f>
        <v/>
      </c>
      <c r="K3561" s="39" t="str">
        <f>IF(OR(C3561="",NOT(ISNUMBER(E3561))),"",IFERROR(ROUND(N(INDEX(art_init,MATCH(C3561,art_ref,0)))+SUMIFS($E$5:E3561,$C$5:C3561,C3561,$B$5:B3561,"Entrée")-SUMIFS($E$5:E3561,$C$5:C3561,C3561,$B$5:B3561,"Sortie"),6),""))</f>
        <v/>
      </c>
      <c r="L3561" s="39" t="str">
        <f>IF(COUNTA(A3561:C3561,E3561)=0,"",IF(COUNTA(A3561:C3561,E3561)&lt;4,"Ligne incomplète",IF(NOT(ISNUMBER(A3561)),"Date invalide",IF(AND(B3561&lt;&gt;"Entrée",B3561&lt;&gt;"Sortie"),"Type inconnu",IF(ISNA(MATCH(C3561,art_ref,0)),"Référence inconnue",IF(OR(NOT(ISNUMBER(E3561)),N(E3561)&lt;=0),"Quantité invalide",IF(K3561&lt;0,"Stock négatif",IF(AND(ISNUMBER(A3560),A3561&lt;A3560),"Date hors ordre","OK"))))))))</f>
        <v/>
      </c>
      <c r="M3561" s="39" t="str">
        <f>IF(C3561="","",C3561&amp;"#"&amp;COUNTIF($C$5:C3561,C3561))</f>
        <v/>
      </c>
    </row>
    <row r="3562">
      <c r="A3562" s="41" t="n"/>
      <c r="B3562" s="37" t="n"/>
      <c r="C3562" s="37" t="n"/>
      <c r="D3562" s="39" t="str">
        <f>IF(C3562="","",IFERROR(INDEX(art_des,MATCH(C3562,art_ref,0))&amp;"","Référence inconnue"))</f>
        <v/>
      </c>
      <c r="E3562" s="37" t="n"/>
      <c r="F3562" s="39" t="str">
        <f>IF(C3562="","",IFERROR(INDEX(art_unit,MATCH(C3562,art_ref,0))&amp;"",""))</f>
        <v/>
      </c>
      <c r="G3562" s="37" t="n"/>
      <c r="H3562" s="37" t="n"/>
      <c r="I3562" s="37" t="n"/>
      <c r="J3562" s="40" t="str">
        <f>IF(OR(C3562="",NOT(ISNUMBER(E3562))),"",IFERROR(E3562*N(INDEX(art_price,MATCH(C3562,art_ref,0))),""))</f>
        <v/>
      </c>
      <c r="K3562" s="39" t="str">
        <f>IF(OR(C3562="",NOT(ISNUMBER(E3562))),"",IFERROR(ROUND(N(INDEX(art_init,MATCH(C3562,art_ref,0)))+SUMIFS($E$5:E3562,$C$5:C3562,C3562,$B$5:B3562,"Entrée")-SUMIFS($E$5:E3562,$C$5:C3562,C3562,$B$5:B3562,"Sortie"),6),""))</f>
        <v/>
      </c>
      <c r="L3562" s="39" t="str">
        <f>IF(COUNTA(A3562:C3562,E3562)=0,"",IF(COUNTA(A3562:C3562,E3562)&lt;4,"Ligne incomplète",IF(NOT(ISNUMBER(A3562)),"Date invalide",IF(AND(B3562&lt;&gt;"Entrée",B3562&lt;&gt;"Sortie"),"Type inconnu",IF(ISNA(MATCH(C3562,art_ref,0)),"Référence inconnue",IF(OR(NOT(ISNUMBER(E3562)),N(E3562)&lt;=0),"Quantité invalide",IF(K3562&lt;0,"Stock négatif",IF(AND(ISNUMBER(A3561),A3562&lt;A3561),"Date hors ordre","OK"))))))))</f>
        <v/>
      </c>
      <c r="M3562" s="39" t="str">
        <f>IF(C3562="","",C3562&amp;"#"&amp;COUNTIF($C$5:C3562,C3562))</f>
        <v/>
      </c>
    </row>
    <row r="3563">
      <c r="A3563" s="41" t="n"/>
      <c r="B3563" s="37" t="n"/>
      <c r="C3563" s="37" t="n"/>
      <c r="D3563" s="39" t="str">
        <f>IF(C3563="","",IFERROR(INDEX(art_des,MATCH(C3563,art_ref,0))&amp;"","Référence inconnue"))</f>
        <v/>
      </c>
      <c r="E3563" s="37" t="n"/>
      <c r="F3563" s="39" t="str">
        <f>IF(C3563="","",IFERROR(INDEX(art_unit,MATCH(C3563,art_ref,0))&amp;"",""))</f>
        <v/>
      </c>
      <c r="G3563" s="37" t="n"/>
      <c r="H3563" s="37" t="n"/>
      <c r="I3563" s="37" t="n"/>
      <c r="J3563" s="40" t="str">
        <f>IF(OR(C3563="",NOT(ISNUMBER(E3563))),"",IFERROR(E3563*N(INDEX(art_price,MATCH(C3563,art_ref,0))),""))</f>
        <v/>
      </c>
      <c r="K3563" s="39" t="str">
        <f>IF(OR(C3563="",NOT(ISNUMBER(E3563))),"",IFERROR(ROUND(N(INDEX(art_init,MATCH(C3563,art_ref,0)))+SUMIFS($E$5:E3563,$C$5:C3563,C3563,$B$5:B3563,"Entrée")-SUMIFS($E$5:E3563,$C$5:C3563,C3563,$B$5:B3563,"Sortie"),6),""))</f>
        <v/>
      </c>
      <c r="L3563" s="39" t="str">
        <f>IF(COUNTA(A3563:C3563,E3563)=0,"",IF(COUNTA(A3563:C3563,E3563)&lt;4,"Ligne incomplète",IF(NOT(ISNUMBER(A3563)),"Date invalide",IF(AND(B3563&lt;&gt;"Entrée",B3563&lt;&gt;"Sortie"),"Type inconnu",IF(ISNA(MATCH(C3563,art_ref,0)),"Référence inconnue",IF(OR(NOT(ISNUMBER(E3563)),N(E3563)&lt;=0),"Quantité invalide",IF(K3563&lt;0,"Stock négatif",IF(AND(ISNUMBER(A3562),A3563&lt;A3562),"Date hors ordre","OK"))))))))</f>
        <v/>
      </c>
      <c r="M3563" s="39" t="str">
        <f>IF(C3563="","",C3563&amp;"#"&amp;COUNTIF($C$5:C3563,C3563))</f>
        <v/>
      </c>
    </row>
    <row r="3564">
      <c r="A3564" s="41" t="n"/>
      <c r="B3564" s="37" t="n"/>
      <c r="C3564" s="37" t="n"/>
      <c r="D3564" s="39" t="str">
        <f>IF(C3564="","",IFERROR(INDEX(art_des,MATCH(C3564,art_ref,0))&amp;"","Référence inconnue"))</f>
        <v/>
      </c>
      <c r="E3564" s="37" t="n"/>
      <c r="F3564" s="39" t="str">
        <f>IF(C3564="","",IFERROR(INDEX(art_unit,MATCH(C3564,art_ref,0))&amp;"",""))</f>
        <v/>
      </c>
      <c r="G3564" s="37" t="n"/>
      <c r="H3564" s="37" t="n"/>
      <c r="I3564" s="37" t="n"/>
      <c r="J3564" s="40" t="str">
        <f>IF(OR(C3564="",NOT(ISNUMBER(E3564))),"",IFERROR(E3564*N(INDEX(art_price,MATCH(C3564,art_ref,0))),""))</f>
        <v/>
      </c>
      <c r="K3564" s="39" t="str">
        <f>IF(OR(C3564="",NOT(ISNUMBER(E3564))),"",IFERROR(ROUND(N(INDEX(art_init,MATCH(C3564,art_ref,0)))+SUMIFS($E$5:E3564,$C$5:C3564,C3564,$B$5:B3564,"Entrée")-SUMIFS($E$5:E3564,$C$5:C3564,C3564,$B$5:B3564,"Sortie"),6),""))</f>
        <v/>
      </c>
      <c r="L3564" s="39" t="str">
        <f>IF(COUNTA(A3564:C3564,E3564)=0,"",IF(COUNTA(A3564:C3564,E3564)&lt;4,"Ligne incomplète",IF(NOT(ISNUMBER(A3564)),"Date invalide",IF(AND(B3564&lt;&gt;"Entrée",B3564&lt;&gt;"Sortie"),"Type inconnu",IF(ISNA(MATCH(C3564,art_ref,0)),"Référence inconnue",IF(OR(NOT(ISNUMBER(E3564)),N(E3564)&lt;=0),"Quantité invalide",IF(K3564&lt;0,"Stock négatif",IF(AND(ISNUMBER(A3563),A3564&lt;A3563),"Date hors ordre","OK"))))))))</f>
        <v/>
      </c>
      <c r="M3564" s="39" t="str">
        <f>IF(C3564="","",C3564&amp;"#"&amp;COUNTIF($C$5:C3564,C3564))</f>
        <v/>
      </c>
    </row>
    <row r="3565">
      <c r="A3565" s="41" t="n"/>
      <c r="B3565" s="37" t="n"/>
      <c r="C3565" s="37" t="n"/>
      <c r="D3565" s="39" t="str">
        <f>IF(C3565="","",IFERROR(INDEX(art_des,MATCH(C3565,art_ref,0))&amp;"","Référence inconnue"))</f>
        <v/>
      </c>
      <c r="E3565" s="37" t="n"/>
      <c r="F3565" s="39" t="str">
        <f>IF(C3565="","",IFERROR(INDEX(art_unit,MATCH(C3565,art_ref,0))&amp;"",""))</f>
        <v/>
      </c>
      <c r="G3565" s="37" t="n"/>
      <c r="H3565" s="37" t="n"/>
      <c r="I3565" s="37" t="n"/>
      <c r="J3565" s="40" t="str">
        <f>IF(OR(C3565="",NOT(ISNUMBER(E3565))),"",IFERROR(E3565*N(INDEX(art_price,MATCH(C3565,art_ref,0))),""))</f>
        <v/>
      </c>
      <c r="K3565" s="39" t="str">
        <f>IF(OR(C3565="",NOT(ISNUMBER(E3565))),"",IFERROR(ROUND(N(INDEX(art_init,MATCH(C3565,art_ref,0)))+SUMIFS($E$5:E3565,$C$5:C3565,C3565,$B$5:B3565,"Entrée")-SUMIFS($E$5:E3565,$C$5:C3565,C3565,$B$5:B3565,"Sortie"),6),""))</f>
        <v/>
      </c>
      <c r="L3565" s="39" t="str">
        <f>IF(COUNTA(A3565:C3565,E3565)=0,"",IF(COUNTA(A3565:C3565,E3565)&lt;4,"Ligne incomplète",IF(NOT(ISNUMBER(A3565)),"Date invalide",IF(AND(B3565&lt;&gt;"Entrée",B3565&lt;&gt;"Sortie"),"Type inconnu",IF(ISNA(MATCH(C3565,art_ref,0)),"Référence inconnue",IF(OR(NOT(ISNUMBER(E3565)),N(E3565)&lt;=0),"Quantité invalide",IF(K3565&lt;0,"Stock négatif",IF(AND(ISNUMBER(A3564),A3565&lt;A3564),"Date hors ordre","OK"))))))))</f>
        <v/>
      </c>
      <c r="M3565" s="39" t="str">
        <f>IF(C3565="","",C3565&amp;"#"&amp;COUNTIF($C$5:C3565,C3565))</f>
        <v/>
      </c>
    </row>
    <row r="3566">
      <c r="A3566" s="41" t="n"/>
      <c r="B3566" s="37" t="n"/>
      <c r="C3566" s="37" t="n"/>
      <c r="D3566" s="39" t="str">
        <f>IF(C3566="","",IFERROR(INDEX(art_des,MATCH(C3566,art_ref,0))&amp;"","Référence inconnue"))</f>
        <v/>
      </c>
      <c r="E3566" s="37" t="n"/>
      <c r="F3566" s="39" t="str">
        <f>IF(C3566="","",IFERROR(INDEX(art_unit,MATCH(C3566,art_ref,0))&amp;"",""))</f>
        <v/>
      </c>
      <c r="G3566" s="37" t="n"/>
      <c r="H3566" s="37" t="n"/>
      <c r="I3566" s="37" t="n"/>
      <c r="J3566" s="40" t="str">
        <f>IF(OR(C3566="",NOT(ISNUMBER(E3566))),"",IFERROR(E3566*N(INDEX(art_price,MATCH(C3566,art_ref,0))),""))</f>
        <v/>
      </c>
      <c r="K3566" s="39" t="str">
        <f>IF(OR(C3566="",NOT(ISNUMBER(E3566))),"",IFERROR(ROUND(N(INDEX(art_init,MATCH(C3566,art_ref,0)))+SUMIFS($E$5:E3566,$C$5:C3566,C3566,$B$5:B3566,"Entrée")-SUMIFS($E$5:E3566,$C$5:C3566,C3566,$B$5:B3566,"Sortie"),6),""))</f>
        <v/>
      </c>
      <c r="L3566" s="39" t="str">
        <f>IF(COUNTA(A3566:C3566,E3566)=0,"",IF(COUNTA(A3566:C3566,E3566)&lt;4,"Ligne incomplète",IF(NOT(ISNUMBER(A3566)),"Date invalide",IF(AND(B3566&lt;&gt;"Entrée",B3566&lt;&gt;"Sortie"),"Type inconnu",IF(ISNA(MATCH(C3566,art_ref,0)),"Référence inconnue",IF(OR(NOT(ISNUMBER(E3566)),N(E3566)&lt;=0),"Quantité invalide",IF(K3566&lt;0,"Stock négatif",IF(AND(ISNUMBER(A3565),A3566&lt;A3565),"Date hors ordre","OK"))))))))</f>
        <v/>
      </c>
      <c r="M3566" s="39" t="str">
        <f>IF(C3566="","",C3566&amp;"#"&amp;COUNTIF($C$5:C3566,C3566))</f>
        <v/>
      </c>
    </row>
    <row r="3567">
      <c r="A3567" s="41" t="n"/>
      <c r="B3567" s="37" t="n"/>
      <c r="C3567" s="37" t="n"/>
      <c r="D3567" s="39" t="str">
        <f>IF(C3567="","",IFERROR(INDEX(art_des,MATCH(C3567,art_ref,0))&amp;"","Référence inconnue"))</f>
        <v/>
      </c>
      <c r="E3567" s="37" t="n"/>
      <c r="F3567" s="39" t="str">
        <f>IF(C3567="","",IFERROR(INDEX(art_unit,MATCH(C3567,art_ref,0))&amp;"",""))</f>
        <v/>
      </c>
      <c r="G3567" s="37" t="n"/>
      <c r="H3567" s="37" t="n"/>
      <c r="I3567" s="37" t="n"/>
      <c r="J3567" s="40" t="str">
        <f>IF(OR(C3567="",NOT(ISNUMBER(E3567))),"",IFERROR(E3567*N(INDEX(art_price,MATCH(C3567,art_ref,0))),""))</f>
        <v/>
      </c>
      <c r="K3567" s="39" t="str">
        <f>IF(OR(C3567="",NOT(ISNUMBER(E3567))),"",IFERROR(ROUND(N(INDEX(art_init,MATCH(C3567,art_ref,0)))+SUMIFS($E$5:E3567,$C$5:C3567,C3567,$B$5:B3567,"Entrée")-SUMIFS($E$5:E3567,$C$5:C3567,C3567,$B$5:B3567,"Sortie"),6),""))</f>
        <v/>
      </c>
      <c r="L3567" s="39" t="str">
        <f>IF(COUNTA(A3567:C3567,E3567)=0,"",IF(COUNTA(A3567:C3567,E3567)&lt;4,"Ligne incomplète",IF(NOT(ISNUMBER(A3567)),"Date invalide",IF(AND(B3567&lt;&gt;"Entrée",B3567&lt;&gt;"Sortie"),"Type inconnu",IF(ISNA(MATCH(C3567,art_ref,0)),"Référence inconnue",IF(OR(NOT(ISNUMBER(E3567)),N(E3567)&lt;=0),"Quantité invalide",IF(K3567&lt;0,"Stock négatif",IF(AND(ISNUMBER(A3566),A3567&lt;A3566),"Date hors ordre","OK"))))))))</f>
        <v/>
      </c>
      <c r="M3567" s="39" t="str">
        <f>IF(C3567="","",C3567&amp;"#"&amp;COUNTIF($C$5:C3567,C3567))</f>
        <v/>
      </c>
    </row>
    <row r="3568">
      <c r="A3568" s="41" t="n"/>
      <c r="B3568" s="37" t="n"/>
      <c r="C3568" s="37" t="n"/>
      <c r="D3568" s="39" t="str">
        <f>IF(C3568="","",IFERROR(INDEX(art_des,MATCH(C3568,art_ref,0))&amp;"","Référence inconnue"))</f>
        <v/>
      </c>
      <c r="E3568" s="37" t="n"/>
      <c r="F3568" s="39" t="str">
        <f>IF(C3568="","",IFERROR(INDEX(art_unit,MATCH(C3568,art_ref,0))&amp;"",""))</f>
        <v/>
      </c>
      <c r="G3568" s="37" t="n"/>
      <c r="H3568" s="37" t="n"/>
      <c r="I3568" s="37" t="n"/>
      <c r="J3568" s="40" t="str">
        <f>IF(OR(C3568="",NOT(ISNUMBER(E3568))),"",IFERROR(E3568*N(INDEX(art_price,MATCH(C3568,art_ref,0))),""))</f>
        <v/>
      </c>
      <c r="K3568" s="39" t="str">
        <f>IF(OR(C3568="",NOT(ISNUMBER(E3568))),"",IFERROR(ROUND(N(INDEX(art_init,MATCH(C3568,art_ref,0)))+SUMIFS($E$5:E3568,$C$5:C3568,C3568,$B$5:B3568,"Entrée")-SUMIFS($E$5:E3568,$C$5:C3568,C3568,$B$5:B3568,"Sortie"),6),""))</f>
        <v/>
      </c>
      <c r="L3568" s="39" t="str">
        <f>IF(COUNTA(A3568:C3568,E3568)=0,"",IF(COUNTA(A3568:C3568,E3568)&lt;4,"Ligne incomplète",IF(NOT(ISNUMBER(A3568)),"Date invalide",IF(AND(B3568&lt;&gt;"Entrée",B3568&lt;&gt;"Sortie"),"Type inconnu",IF(ISNA(MATCH(C3568,art_ref,0)),"Référence inconnue",IF(OR(NOT(ISNUMBER(E3568)),N(E3568)&lt;=0),"Quantité invalide",IF(K3568&lt;0,"Stock négatif",IF(AND(ISNUMBER(A3567),A3568&lt;A3567),"Date hors ordre","OK"))))))))</f>
        <v/>
      </c>
      <c r="M3568" s="39" t="str">
        <f>IF(C3568="","",C3568&amp;"#"&amp;COUNTIF($C$5:C3568,C3568))</f>
        <v/>
      </c>
    </row>
    <row r="3569">
      <c r="A3569" s="41" t="n"/>
      <c r="B3569" s="37" t="n"/>
      <c r="C3569" s="37" t="n"/>
      <c r="D3569" s="39" t="str">
        <f>IF(C3569="","",IFERROR(INDEX(art_des,MATCH(C3569,art_ref,0))&amp;"","Référence inconnue"))</f>
        <v/>
      </c>
      <c r="E3569" s="37" t="n"/>
      <c r="F3569" s="39" t="str">
        <f>IF(C3569="","",IFERROR(INDEX(art_unit,MATCH(C3569,art_ref,0))&amp;"",""))</f>
        <v/>
      </c>
      <c r="G3569" s="37" t="n"/>
      <c r="H3569" s="37" t="n"/>
      <c r="I3569" s="37" t="n"/>
      <c r="J3569" s="40" t="str">
        <f>IF(OR(C3569="",NOT(ISNUMBER(E3569))),"",IFERROR(E3569*N(INDEX(art_price,MATCH(C3569,art_ref,0))),""))</f>
        <v/>
      </c>
      <c r="K3569" s="39" t="str">
        <f>IF(OR(C3569="",NOT(ISNUMBER(E3569))),"",IFERROR(ROUND(N(INDEX(art_init,MATCH(C3569,art_ref,0)))+SUMIFS($E$5:E3569,$C$5:C3569,C3569,$B$5:B3569,"Entrée")-SUMIFS($E$5:E3569,$C$5:C3569,C3569,$B$5:B3569,"Sortie"),6),""))</f>
        <v/>
      </c>
      <c r="L3569" s="39" t="str">
        <f>IF(COUNTA(A3569:C3569,E3569)=0,"",IF(COUNTA(A3569:C3569,E3569)&lt;4,"Ligne incomplète",IF(NOT(ISNUMBER(A3569)),"Date invalide",IF(AND(B3569&lt;&gt;"Entrée",B3569&lt;&gt;"Sortie"),"Type inconnu",IF(ISNA(MATCH(C3569,art_ref,0)),"Référence inconnue",IF(OR(NOT(ISNUMBER(E3569)),N(E3569)&lt;=0),"Quantité invalide",IF(K3569&lt;0,"Stock négatif",IF(AND(ISNUMBER(A3568),A3569&lt;A3568),"Date hors ordre","OK"))))))))</f>
        <v/>
      </c>
      <c r="M3569" s="39" t="str">
        <f>IF(C3569="","",C3569&amp;"#"&amp;COUNTIF($C$5:C3569,C3569))</f>
        <v/>
      </c>
    </row>
    <row r="3570">
      <c r="A3570" s="41" t="n"/>
      <c r="B3570" s="37" t="n"/>
      <c r="C3570" s="37" t="n"/>
      <c r="D3570" s="39" t="str">
        <f>IF(C3570="","",IFERROR(INDEX(art_des,MATCH(C3570,art_ref,0))&amp;"","Référence inconnue"))</f>
        <v/>
      </c>
      <c r="E3570" s="37" t="n"/>
      <c r="F3570" s="39" t="str">
        <f>IF(C3570="","",IFERROR(INDEX(art_unit,MATCH(C3570,art_ref,0))&amp;"",""))</f>
        <v/>
      </c>
      <c r="G3570" s="37" t="n"/>
      <c r="H3570" s="37" t="n"/>
      <c r="I3570" s="37" t="n"/>
      <c r="J3570" s="40" t="str">
        <f>IF(OR(C3570="",NOT(ISNUMBER(E3570))),"",IFERROR(E3570*N(INDEX(art_price,MATCH(C3570,art_ref,0))),""))</f>
        <v/>
      </c>
      <c r="K3570" s="39" t="str">
        <f>IF(OR(C3570="",NOT(ISNUMBER(E3570))),"",IFERROR(ROUND(N(INDEX(art_init,MATCH(C3570,art_ref,0)))+SUMIFS($E$5:E3570,$C$5:C3570,C3570,$B$5:B3570,"Entrée")-SUMIFS($E$5:E3570,$C$5:C3570,C3570,$B$5:B3570,"Sortie"),6),""))</f>
        <v/>
      </c>
      <c r="L3570" s="39" t="str">
        <f>IF(COUNTA(A3570:C3570,E3570)=0,"",IF(COUNTA(A3570:C3570,E3570)&lt;4,"Ligne incomplète",IF(NOT(ISNUMBER(A3570)),"Date invalide",IF(AND(B3570&lt;&gt;"Entrée",B3570&lt;&gt;"Sortie"),"Type inconnu",IF(ISNA(MATCH(C3570,art_ref,0)),"Référence inconnue",IF(OR(NOT(ISNUMBER(E3570)),N(E3570)&lt;=0),"Quantité invalide",IF(K3570&lt;0,"Stock négatif",IF(AND(ISNUMBER(A3569),A3570&lt;A3569),"Date hors ordre","OK"))))))))</f>
        <v/>
      </c>
      <c r="M3570" s="39" t="str">
        <f>IF(C3570="","",C3570&amp;"#"&amp;COUNTIF($C$5:C3570,C3570))</f>
        <v/>
      </c>
    </row>
    <row r="3571">
      <c r="A3571" s="41" t="n"/>
      <c r="B3571" s="37" t="n"/>
      <c r="C3571" s="37" t="n"/>
      <c r="D3571" s="39" t="str">
        <f>IF(C3571="","",IFERROR(INDEX(art_des,MATCH(C3571,art_ref,0))&amp;"","Référence inconnue"))</f>
        <v/>
      </c>
      <c r="E3571" s="37" t="n"/>
      <c r="F3571" s="39" t="str">
        <f>IF(C3571="","",IFERROR(INDEX(art_unit,MATCH(C3571,art_ref,0))&amp;"",""))</f>
        <v/>
      </c>
      <c r="G3571" s="37" t="n"/>
      <c r="H3571" s="37" t="n"/>
      <c r="I3571" s="37" t="n"/>
      <c r="J3571" s="40" t="str">
        <f>IF(OR(C3571="",NOT(ISNUMBER(E3571))),"",IFERROR(E3571*N(INDEX(art_price,MATCH(C3571,art_ref,0))),""))</f>
        <v/>
      </c>
      <c r="K3571" s="39" t="str">
        <f>IF(OR(C3571="",NOT(ISNUMBER(E3571))),"",IFERROR(ROUND(N(INDEX(art_init,MATCH(C3571,art_ref,0)))+SUMIFS($E$5:E3571,$C$5:C3571,C3571,$B$5:B3571,"Entrée")-SUMIFS($E$5:E3571,$C$5:C3571,C3571,$B$5:B3571,"Sortie"),6),""))</f>
        <v/>
      </c>
      <c r="L3571" s="39" t="str">
        <f>IF(COUNTA(A3571:C3571,E3571)=0,"",IF(COUNTA(A3571:C3571,E3571)&lt;4,"Ligne incomplète",IF(NOT(ISNUMBER(A3571)),"Date invalide",IF(AND(B3571&lt;&gt;"Entrée",B3571&lt;&gt;"Sortie"),"Type inconnu",IF(ISNA(MATCH(C3571,art_ref,0)),"Référence inconnue",IF(OR(NOT(ISNUMBER(E3571)),N(E3571)&lt;=0),"Quantité invalide",IF(K3571&lt;0,"Stock négatif",IF(AND(ISNUMBER(A3570),A3571&lt;A3570),"Date hors ordre","OK"))))))))</f>
        <v/>
      </c>
      <c r="M3571" s="39" t="str">
        <f>IF(C3571="","",C3571&amp;"#"&amp;COUNTIF($C$5:C3571,C3571))</f>
        <v/>
      </c>
    </row>
    <row r="3572">
      <c r="A3572" s="41" t="n"/>
      <c r="B3572" s="37" t="n"/>
      <c r="C3572" s="37" t="n"/>
      <c r="D3572" s="39" t="str">
        <f>IF(C3572="","",IFERROR(INDEX(art_des,MATCH(C3572,art_ref,0))&amp;"","Référence inconnue"))</f>
        <v/>
      </c>
      <c r="E3572" s="37" t="n"/>
      <c r="F3572" s="39" t="str">
        <f>IF(C3572="","",IFERROR(INDEX(art_unit,MATCH(C3572,art_ref,0))&amp;"",""))</f>
        <v/>
      </c>
      <c r="G3572" s="37" t="n"/>
      <c r="H3572" s="37" t="n"/>
      <c r="I3572" s="37" t="n"/>
      <c r="J3572" s="40" t="str">
        <f>IF(OR(C3572="",NOT(ISNUMBER(E3572))),"",IFERROR(E3572*N(INDEX(art_price,MATCH(C3572,art_ref,0))),""))</f>
        <v/>
      </c>
      <c r="K3572" s="39" t="str">
        <f>IF(OR(C3572="",NOT(ISNUMBER(E3572))),"",IFERROR(ROUND(N(INDEX(art_init,MATCH(C3572,art_ref,0)))+SUMIFS($E$5:E3572,$C$5:C3572,C3572,$B$5:B3572,"Entrée")-SUMIFS($E$5:E3572,$C$5:C3572,C3572,$B$5:B3572,"Sortie"),6),""))</f>
        <v/>
      </c>
      <c r="L3572" s="39" t="str">
        <f>IF(COUNTA(A3572:C3572,E3572)=0,"",IF(COUNTA(A3572:C3572,E3572)&lt;4,"Ligne incomplète",IF(NOT(ISNUMBER(A3572)),"Date invalide",IF(AND(B3572&lt;&gt;"Entrée",B3572&lt;&gt;"Sortie"),"Type inconnu",IF(ISNA(MATCH(C3572,art_ref,0)),"Référence inconnue",IF(OR(NOT(ISNUMBER(E3572)),N(E3572)&lt;=0),"Quantité invalide",IF(K3572&lt;0,"Stock négatif",IF(AND(ISNUMBER(A3571),A3572&lt;A3571),"Date hors ordre","OK"))))))))</f>
        <v/>
      </c>
      <c r="M3572" s="39" t="str">
        <f>IF(C3572="","",C3572&amp;"#"&amp;COUNTIF($C$5:C3572,C3572))</f>
        <v/>
      </c>
    </row>
    <row r="3573">
      <c r="A3573" s="41" t="n"/>
      <c r="B3573" s="37" t="n"/>
      <c r="C3573" s="37" t="n"/>
      <c r="D3573" s="39" t="str">
        <f>IF(C3573="","",IFERROR(INDEX(art_des,MATCH(C3573,art_ref,0))&amp;"","Référence inconnue"))</f>
        <v/>
      </c>
      <c r="E3573" s="37" t="n"/>
      <c r="F3573" s="39" t="str">
        <f>IF(C3573="","",IFERROR(INDEX(art_unit,MATCH(C3573,art_ref,0))&amp;"",""))</f>
        <v/>
      </c>
      <c r="G3573" s="37" t="n"/>
      <c r="H3573" s="37" t="n"/>
      <c r="I3573" s="37" t="n"/>
      <c r="J3573" s="40" t="str">
        <f>IF(OR(C3573="",NOT(ISNUMBER(E3573))),"",IFERROR(E3573*N(INDEX(art_price,MATCH(C3573,art_ref,0))),""))</f>
        <v/>
      </c>
      <c r="K3573" s="39" t="str">
        <f>IF(OR(C3573="",NOT(ISNUMBER(E3573))),"",IFERROR(ROUND(N(INDEX(art_init,MATCH(C3573,art_ref,0)))+SUMIFS($E$5:E3573,$C$5:C3573,C3573,$B$5:B3573,"Entrée")-SUMIFS($E$5:E3573,$C$5:C3573,C3573,$B$5:B3573,"Sortie"),6),""))</f>
        <v/>
      </c>
      <c r="L3573" s="39" t="str">
        <f>IF(COUNTA(A3573:C3573,E3573)=0,"",IF(COUNTA(A3573:C3573,E3573)&lt;4,"Ligne incomplète",IF(NOT(ISNUMBER(A3573)),"Date invalide",IF(AND(B3573&lt;&gt;"Entrée",B3573&lt;&gt;"Sortie"),"Type inconnu",IF(ISNA(MATCH(C3573,art_ref,0)),"Référence inconnue",IF(OR(NOT(ISNUMBER(E3573)),N(E3573)&lt;=0),"Quantité invalide",IF(K3573&lt;0,"Stock négatif",IF(AND(ISNUMBER(A3572),A3573&lt;A3572),"Date hors ordre","OK"))))))))</f>
        <v/>
      </c>
      <c r="M3573" s="39" t="str">
        <f>IF(C3573="","",C3573&amp;"#"&amp;COUNTIF($C$5:C3573,C3573))</f>
        <v/>
      </c>
    </row>
    <row r="3574">
      <c r="A3574" s="41" t="n"/>
      <c r="B3574" s="37" t="n"/>
      <c r="C3574" s="37" t="n"/>
      <c r="D3574" s="39" t="str">
        <f>IF(C3574="","",IFERROR(INDEX(art_des,MATCH(C3574,art_ref,0))&amp;"","Référence inconnue"))</f>
        <v/>
      </c>
      <c r="E3574" s="37" t="n"/>
      <c r="F3574" s="39" t="str">
        <f>IF(C3574="","",IFERROR(INDEX(art_unit,MATCH(C3574,art_ref,0))&amp;"",""))</f>
        <v/>
      </c>
      <c r="G3574" s="37" t="n"/>
      <c r="H3574" s="37" t="n"/>
      <c r="I3574" s="37" t="n"/>
      <c r="J3574" s="40" t="str">
        <f>IF(OR(C3574="",NOT(ISNUMBER(E3574))),"",IFERROR(E3574*N(INDEX(art_price,MATCH(C3574,art_ref,0))),""))</f>
        <v/>
      </c>
      <c r="K3574" s="39" t="str">
        <f>IF(OR(C3574="",NOT(ISNUMBER(E3574))),"",IFERROR(ROUND(N(INDEX(art_init,MATCH(C3574,art_ref,0)))+SUMIFS($E$5:E3574,$C$5:C3574,C3574,$B$5:B3574,"Entrée")-SUMIFS($E$5:E3574,$C$5:C3574,C3574,$B$5:B3574,"Sortie"),6),""))</f>
        <v/>
      </c>
      <c r="L3574" s="39" t="str">
        <f>IF(COUNTA(A3574:C3574,E3574)=0,"",IF(COUNTA(A3574:C3574,E3574)&lt;4,"Ligne incomplète",IF(NOT(ISNUMBER(A3574)),"Date invalide",IF(AND(B3574&lt;&gt;"Entrée",B3574&lt;&gt;"Sortie"),"Type inconnu",IF(ISNA(MATCH(C3574,art_ref,0)),"Référence inconnue",IF(OR(NOT(ISNUMBER(E3574)),N(E3574)&lt;=0),"Quantité invalide",IF(K3574&lt;0,"Stock négatif",IF(AND(ISNUMBER(A3573),A3574&lt;A3573),"Date hors ordre","OK"))))))))</f>
        <v/>
      </c>
      <c r="M3574" s="39" t="str">
        <f>IF(C3574="","",C3574&amp;"#"&amp;COUNTIF($C$5:C3574,C3574))</f>
        <v/>
      </c>
    </row>
    <row r="3575">
      <c r="A3575" s="41" t="n"/>
      <c r="B3575" s="37" t="n"/>
      <c r="C3575" s="37" t="n"/>
      <c r="D3575" s="39" t="str">
        <f>IF(C3575="","",IFERROR(INDEX(art_des,MATCH(C3575,art_ref,0))&amp;"","Référence inconnue"))</f>
        <v/>
      </c>
      <c r="E3575" s="37" t="n"/>
      <c r="F3575" s="39" t="str">
        <f>IF(C3575="","",IFERROR(INDEX(art_unit,MATCH(C3575,art_ref,0))&amp;"",""))</f>
        <v/>
      </c>
      <c r="G3575" s="37" t="n"/>
      <c r="H3575" s="37" t="n"/>
      <c r="I3575" s="37" t="n"/>
      <c r="J3575" s="40" t="str">
        <f>IF(OR(C3575="",NOT(ISNUMBER(E3575))),"",IFERROR(E3575*N(INDEX(art_price,MATCH(C3575,art_ref,0))),""))</f>
        <v/>
      </c>
      <c r="K3575" s="39" t="str">
        <f>IF(OR(C3575="",NOT(ISNUMBER(E3575))),"",IFERROR(ROUND(N(INDEX(art_init,MATCH(C3575,art_ref,0)))+SUMIFS($E$5:E3575,$C$5:C3575,C3575,$B$5:B3575,"Entrée")-SUMIFS($E$5:E3575,$C$5:C3575,C3575,$B$5:B3575,"Sortie"),6),""))</f>
        <v/>
      </c>
      <c r="L3575" s="39" t="str">
        <f>IF(COUNTA(A3575:C3575,E3575)=0,"",IF(COUNTA(A3575:C3575,E3575)&lt;4,"Ligne incomplète",IF(NOT(ISNUMBER(A3575)),"Date invalide",IF(AND(B3575&lt;&gt;"Entrée",B3575&lt;&gt;"Sortie"),"Type inconnu",IF(ISNA(MATCH(C3575,art_ref,0)),"Référence inconnue",IF(OR(NOT(ISNUMBER(E3575)),N(E3575)&lt;=0),"Quantité invalide",IF(K3575&lt;0,"Stock négatif",IF(AND(ISNUMBER(A3574),A3575&lt;A3574),"Date hors ordre","OK"))))))))</f>
        <v/>
      </c>
      <c r="M3575" s="39" t="str">
        <f>IF(C3575="","",C3575&amp;"#"&amp;COUNTIF($C$5:C3575,C3575))</f>
        <v/>
      </c>
    </row>
    <row r="3576">
      <c r="A3576" s="41" t="n"/>
      <c r="B3576" s="37" t="n"/>
      <c r="C3576" s="37" t="n"/>
      <c r="D3576" s="39" t="str">
        <f>IF(C3576="","",IFERROR(INDEX(art_des,MATCH(C3576,art_ref,0))&amp;"","Référence inconnue"))</f>
        <v/>
      </c>
      <c r="E3576" s="37" t="n"/>
      <c r="F3576" s="39" t="str">
        <f>IF(C3576="","",IFERROR(INDEX(art_unit,MATCH(C3576,art_ref,0))&amp;"",""))</f>
        <v/>
      </c>
      <c r="G3576" s="37" t="n"/>
      <c r="H3576" s="37" t="n"/>
      <c r="I3576" s="37" t="n"/>
      <c r="J3576" s="40" t="str">
        <f>IF(OR(C3576="",NOT(ISNUMBER(E3576))),"",IFERROR(E3576*N(INDEX(art_price,MATCH(C3576,art_ref,0))),""))</f>
        <v/>
      </c>
      <c r="K3576" s="39" t="str">
        <f>IF(OR(C3576="",NOT(ISNUMBER(E3576))),"",IFERROR(ROUND(N(INDEX(art_init,MATCH(C3576,art_ref,0)))+SUMIFS($E$5:E3576,$C$5:C3576,C3576,$B$5:B3576,"Entrée")-SUMIFS($E$5:E3576,$C$5:C3576,C3576,$B$5:B3576,"Sortie"),6),""))</f>
        <v/>
      </c>
      <c r="L3576" s="39" t="str">
        <f>IF(COUNTA(A3576:C3576,E3576)=0,"",IF(COUNTA(A3576:C3576,E3576)&lt;4,"Ligne incomplète",IF(NOT(ISNUMBER(A3576)),"Date invalide",IF(AND(B3576&lt;&gt;"Entrée",B3576&lt;&gt;"Sortie"),"Type inconnu",IF(ISNA(MATCH(C3576,art_ref,0)),"Référence inconnue",IF(OR(NOT(ISNUMBER(E3576)),N(E3576)&lt;=0),"Quantité invalide",IF(K3576&lt;0,"Stock négatif",IF(AND(ISNUMBER(A3575),A3576&lt;A3575),"Date hors ordre","OK"))))))))</f>
        <v/>
      </c>
      <c r="M3576" s="39" t="str">
        <f>IF(C3576="","",C3576&amp;"#"&amp;COUNTIF($C$5:C3576,C3576))</f>
        <v/>
      </c>
    </row>
    <row r="3577">
      <c r="A3577" s="41" t="n"/>
      <c r="B3577" s="37" t="n"/>
      <c r="C3577" s="37" t="n"/>
      <c r="D3577" s="39" t="str">
        <f>IF(C3577="","",IFERROR(INDEX(art_des,MATCH(C3577,art_ref,0))&amp;"","Référence inconnue"))</f>
        <v/>
      </c>
      <c r="E3577" s="37" t="n"/>
      <c r="F3577" s="39" t="str">
        <f>IF(C3577="","",IFERROR(INDEX(art_unit,MATCH(C3577,art_ref,0))&amp;"",""))</f>
        <v/>
      </c>
      <c r="G3577" s="37" t="n"/>
      <c r="H3577" s="37" t="n"/>
      <c r="I3577" s="37" t="n"/>
      <c r="J3577" s="40" t="str">
        <f>IF(OR(C3577="",NOT(ISNUMBER(E3577))),"",IFERROR(E3577*N(INDEX(art_price,MATCH(C3577,art_ref,0))),""))</f>
        <v/>
      </c>
      <c r="K3577" s="39" t="str">
        <f>IF(OR(C3577="",NOT(ISNUMBER(E3577))),"",IFERROR(ROUND(N(INDEX(art_init,MATCH(C3577,art_ref,0)))+SUMIFS($E$5:E3577,$C$5:C3577,C3577,$B$5:B3577,"Entrée")-SUMIFS($E$5:E3577,$C$5:C3577,C3577,$B$5:B3577,"Sortie"),6),""))</f>
        <v/>
      </c>
      <c r="L3577" s="39" t="str">
        <f>IF(COUNTA(A3577:C3577,E3577)=0,"",IF(COUNTA(A3577:C3577,E3577)&lt;4,"Ligne incomplète",IF(NOT(ISNUMBER(A3577)),"Date invalide",IF(AND(B3577&lt;&gt;"Entrée",B3577&lt;&gt;"Sortie"),"Type inconnu",IF(ISNA(MATCH(C3577,art_ref,0)),"Référence inconnue",IF(OR(NOT(ISNUMBER(E3577)),N(E3577)&lt;=0),"Quantité invalide",IF(K3577&lt;0,"Stock négatif",IF(AND(ISNUMBER(A3576),A3577&lt;A3576),"Date hors ordre","OK"))))))))</f>
        <v/>
      </c>
      <c r="M3577" s="39" t="str">
        <f>IF(C3577="","",C3577&amp;"#"&amp;COUNTIF($C$5:C3577,C3577))</f>
        <v/>
      </c>
    </row>
    <row r="3578">
      <c r="A3578" s="41" t="n"/>
      <c r="B3578" s="37" t="n"/>
      <c r="C3578" s="37" t="n"/>
      <c r="D3578" s="39" t="str">
        <f>IF(C3578="","",IFERROR(INDEX(art_des,MATCH(C3578,art_ref,0))&amp;"","Référence inconnue"))</f>
        <v/>
      </c>
      <c r="E3578" s="37" t="n"/>
      <c r="F3578" s="39" t="str">
        <f>IF(C3578="","",IFERROR(INDEX(art_unit,MATCH(C3578,art_ref,0))&amp;"",""))</f>
        <v/>
      </c>
      <c r="G3578" s="37" t="n"/>
      <c r="H3578" s="37" t="n"/>
      <c r="I3578" s="37" t="n"/>
      <c r="J3578" s="40" t="str">
        <f>IF(OR(C3578="",NOT(ISNUMBER(E3578))),"",IFERROR(E3578*N(INDEX(art_price,MATCH(C3578,art_ref,0))),""))</f>
        <v/>
      </c>
      <c r="K3578" s="39" t="str">
        <f>IF(OR(C3578="",NOT(ISNUMBER(E3578))),"",IFERROR(ROUND(N(INDEX(art_init,MATCH(C3578,art_ref,0)))+SUMIFS($E$5:E3578,$C$5:C3578,C3578,$B$5:B3578,"Entrée")-SUMIFS($E$5:E3578,$C$5:C3578,C3578,$B$5:B3578,"Sortie"),6),""))</f>
        <v/>
      </c>
      <c r="L3578" s="39" t="str">
        <f>IF(COUNTA(A3578:C3578,E3578)=0,"",IF(COUNTA(A3578:C3578,E3578)&lt;4,"Ligne incomplète",IF(NOT(ISNUMBER(A3578)),"Date invalide",IF(AND(B3578&lt;&gt;"Entrée",B3578&lt;&gt;"Sortie"),"Type inconnu",IF(ISNA(MATCH(C3578,art_ref,0)),"Référence inconnue",IF(OR(NOT(ISNUMBER(E3578)),N(E3578)&lt;=0),"Quantité invalide",IF(K3578&lt;0,"Stock négatif",IF(AND(ISNUMBER(A3577),A3578&lt;A3577),"Date hors ordre","OK"))))))))</f>
        <v/>
      </c>
      <c r="M3578" s="39" t="str">
        <f>IF(C3578="","",C3578&amp;"#"&amp;COUNTIF($C$5:C3578,C3578))</f>
        <v/>
      </c>
    </row>
    <row r="3579">
      <c r="A3579" s="41" t="n"/>
      <c r="B3579" s="37" t="n"/>
      <c r="C3579" s="37" t="n"/>
      <c r="D3579" s="39" t="str">
        <f>IF(C3579="","",IFERROR(INDEX(art_des,MATCH(C3579,art_ref,0))&amp;"","Référence inconnue"))</f>
        <v/>
      </c>
      <c r="E3579" s="37" t="n"/>
      <c r="F3579" s="39" t="str">
        <f>IF(C3579="","",IFERROR(INDEX(art_unit,MATCH(C3579,art_ref,0))&amp;"",""))</f>
        <v/>
      </c>
      <c r="G3579" s="37" t="n"/>
      <c r="H3579" s="37" t="n"/>
      <c r="I3579" s="37" t="n"/>
      <c r="J3579" s="40" t="str">
        <f>IF(OR(C3579="",NOT(ISNUMBER(E3579))),"",IFERROR(E3579*N(INDEX(art_price,MATCH(C3579,art_ref,0))),""))</f>
        <v/>
      </c>
      <c r="K3579" s="39" t="str">
        <f>IF(OR(C3579="",NOT(ISNUMBER(E3579))),"",IFERROR(ROUND(N(INDEX(art_init,MATCH(C3579,art_ref,0)))+SUMIFS($E$5:E3579,$C$5:C3579,C3579,$B$5:B3579,"Entrée")-SUMIFS($E$5:E3579,$C$5:C3579,C3579,$B$5:B3579,"Sortie"),6),""))</f>
        <v/>
      </c>
      <c r="L3579" s="39" t="str">
        <f>IF(COUNTA(A3579:C3579,E3579)=0,"",IF(COUNTA(A3579:C3579,E3579)&lt;4,"Ligne incomplète",IF(NOT(ISNUMBER(A3579)),"Date invalide",IF(AND(B3579&lt;&gt;"Entrée",B3579&lt;&gt;"Sortie"),"Type inconnu",IF(ISNA(MATCH(C3579,art_ref,0)),"Référence inconnue",IF(OR(NOT(ISNUMBER(E3579)),N(E3579)&lt;=0),"Quantité invalide",IF(K3579&lt;0,"Stock négatif",IF(AND(ISNUMBER(A3578),A3579&lt;A3578),"Date hors ordre","OK"))))))))</f>
        <v/>
      </c>
      <c r="M3579" s="39" t="str">
        <f>IF(C3579="","",C3579&amp;"#"&amp;COUNTIF($C$5:C3579,C3579))</f>
        <v/>
      </c>
    </row>
    <row r="3580">
      <c r="A3580" s="41" t="n"/>
      <c r="B3580" s="37" t="n"/>
      <c r="C3580" s="37" t="n"/>
      <c r="D3580" s="39" t="str">
        <f>IF(C3580="","",IFERROR(INDEX(art_des,MATCH(C3580,art_ref,0))&amp;"","Référence inconnue"))</f>
        <v/>
      </c>
      <c r="E3580" s="37" t="n"/>
      <c r="F3580" s="39" t="str">
        <f>IF(C3580="","",IFERROR(INDEX(art_unit,MATCH(C3580,art_ref,0))&amp;"",""))</f>
        <v/>
      </c>
      <c r="G3580" s="37" t="n"/>
      <c r="H3580" s="37" t="n"/>
      <c r="I3580" s="37" t="n"/>
      <c r="J3580" s="40" t="str">
        <f>IF(OR(C3580="",NOT(ISNUMBER(E3580))),"",IFERROR(E3580*N(INDEX(art_price,MATCH(C3580,art_ref,0))),""))</f>
        <v/>
      </c>
      <c r="K3580" s="39" t="str">
        <f>IF(OR(C3580="",NOT(ISNUMBER(E3580))),"",IFERROR(ROUND(N(INDEX(art_init,MATCH(C3580,art_ref,0)))+SUMIFS($E$5:E3580,$C$5:C3580,C3580,$B$5:B3580,"Entrée")-SUMIFS($E$5:E3580,$C$5:C3580,C3580,$B$5:B3580,"Sortie"),6),""))</f>
        <v/>
      </c>
      <c r="L3580" s="39" t="str">
        <f>IF(COUNTA(A3580:C3580,E3580)=0,"",IF(COUNTA(A3580:C3580,E3580)&lt;4,"Ligne incomplète",IF(NOT(ISNUMBER(A3580)),"Date invalide",IF(AND(B3580&lt;&gt;"Entrée",B3580&lt;&gt;"Sortie"),"Type inconnu",IF(ISNA(MATCH(C3580,art_ref,0)),"Référence inconnue",IF(OR(NOT(ISNUMBER(E3580)),N(E3580)&lt;=0),"Quantité invalide",IF(K3580&lt;0,"Stock négatif",IF(AND(ISNUMBER(A3579),A3580&lt;A3579),"Date hors ordre","OK"))))))))</f>
        <v/>
      </c>
      <c r="M3580" s="39" t="str">
        <f>IF(C3580="","",C3580&amp;"#"&amp;COUNTIF($C$5:C3580,C3580))</f>
        <v/>
      </c>
    </row>
    <row r="3581">
      <c r="A3581" s="41" t="n"/>
      <c r="B3581" s="37" t="n"/>
      <c r="C3581" s="37" t="n"/>
      <c r="D3581" s="39" t="str">
        <f>IF(C3581="","",IFERROR(INDEX(art_des,MATCH(C3581,art_ref,0))&amp;"","Référence inconnue"))</f>
        <v/>
      </c>
      <c r="E3581" s="37" t="n"/>
      <c r="F3581" s="39" t="str">
        <f>IF(C3581="","",IFERROR(INDEX(art_unit,MATCH(C3581,art_ref,0))&amp;"",""))</f>
        <v/>
      </c>
      <c r="G3581" s="37" t="n"/>
      <c r="H3581" s="37" t="n"/>
      <c r="I3581" s="37" t="n"/>
      <c r="J3581" s="40" t="str">
        <f>IF(OR(C3581="",NOT(ISNUMBER(E3581))),"",IFERROR(E3581*N(INDEX(art_price,MATCH(C3581,art_ref,0))),""))</f>
        <v/>
      </c>
      <c r="K3581" s="39" t="str">
        <f>IF(OR(C3581="",NOT(ISNUMBER(E3581))),"",IFERROR(ROUND(N(INDEX(art_init,MATCH(C3581,art_ref,0)))+SUMIFS($E$5:E3581,$C$5:C3581,C3581,$B$5:B3581,"Entrée")-SUMIFS($E$5:E3581,$C$5:C3581,C3581,$B$5:B3581,"Sortie"),6),""))</f>
        <v/>
      </c>
      <c r="L3581" s="39" t="str">
        <f>IF(COUNTA(A3581:C3581,E3581)=0,"",IF(COUNTA(A3581:C3581,E3581)&lt;4,"Ligne incomplète",IF(NOT(ISNUMBER(A3581)),"Date invalide",IF(AND(B3581&lt;&gt;"Entrée",B3581&lt;&gt;"Sortie"),"Type inconnu",IF(ISNA(MATCH(C3581,art_ref,0)),"Référence inconnue",IF(OR(NOT(ISNUMBER(E3581)),N(E3581)&lt;=0),"Quantité invalide",IF(K3581&lt;0,"Stock négatif",IF(AND(ISNUMBER(A3580),A3581&lt;A3580),"Date hors ordre","OK"))))))))</f>
        <v/>
      </c>
      <c r="M3581" s="39" t="str">
        <f>IF(C3581="","",C3581&amp;"#"&amp;COUNTIF($C$5:C3581,C3581))</f>
        <v/>
      </c>
    </row>
    <row r="3582">
      <c r="A3582" s="41" t="n"/>
      <c r="B3582" s="37" t="n"/>
      <c r="C3582" s="37" t="n"/>
      <c r="D3582" s="39" t="str">
        <f>IF(C3582="","",IFERROR(INDEX(art_des,MATCH(C3582,art_ref,0))&amp;"","Référence inconnue"))</f>
        <v/>
      </c>
      <c r="E3582" s="37" t="n"/>
      <c r="F3582" s="39" t="str">
        <f>IF(C3582="","",IFERROR(INDEX(art_unit,MATCH(C3582,art_ref,0))&amp;"",""))</f>
        <v/>
      </c>
      <c r="G3582" s="37" t="n"/>
      <c r="H3582" s="37" t="n"/>
      <c r="I3582" s="37" t="n"/>
      <c r="J3582" s="40" t="str">
        <f>IF(OR(C3582="",NOT(ISNUMBER(E3582))),"",IFERROR(E3582*N(INDEX(art_price,MATCH(C3582,art_ref,0))),""))</f>
        <v/>
      </c>
      <c r="K3582" s="39" t="str">
        <f>IF(OR(C3582="",NOT(ISNUMBER(E3582))),"",IFERROR(ROUND(N(INDEX(art_init,MATCH(C3582,art_ref,0)))+SUMIFS($E$5:E3582,$C$5:C3582,C3582,$B$5:B3582,"Entrée")-SUMIFS($E$5:E3582,$C$5:C3582,C3582,$B$5:B3582,"Sortie"),6),""))</f>
        <v/>
      </c>
      <c r="L3582" s="39" t="str">
        <f>IF(COUNTA(A3582:C3582,E3582)=0,"",IF(COUNTA(A3582:C3582,E3582)&lt;4,"Ligne incomplète",IF(NOT(ISNUMBER(A3582)),"Date invalide",IF(AND(B3582&lt;&gt;"Entrée",B3582&lt;&gt;"Sortie"),"Type inconnu",IF(ISNA(MATCH(C3582,art_ref,0)),"Référence inconnue",IF(OR(NOT(ISNUMBER(E3582)),N(E3582)&lt;=0),"Quantité invalide",IF(K3582&lt;0,"Stock négatif",IF(AND(ISNUMBER(A3581),A3582&lt;A3581),"Date hors ordre","OK"))))))))</f>
        <v/>
      </c>
      <c r="M3582" s="39" t="str">
        <f>IF(C3582="","",C3582&amp;"#"&amp;COUNTIF($C$5:C3582,C3582))</f>
        <v/>
      </c>
    </row>
    <row r="3583">
      <c r="A3583" s="41" t="n"/>
      <c r="B3583" s="37" t="n"/>
      <c r="C3583" s="37" t="n"/>
      <c r="D3583" s="39" t="str">
        <f>IF(C3583="","",IFERROR(INDEX(art_des,MATCH(C3583,art_ref,0))&amp;"","Référence inconnue"))</f>
        <v/>
      </c>
      <c r="E3583" s="37" t="n"/>
      <c r="F3583" s="39" t="str">
        <f>IF(C3583="","",IFERROR(INDEX(art_unit,MATCH(C3583,art_ref,0))&amp;"",""))</f>
        <v/>
      </c>
      <c r="G3583" s="37" t="n"/>
      <c r="H3583" s="37" t="n"/>
      <c r="I3583" s="37" t="n"/>
      <c r="J3583" s="40" t="str">
        <f>IF(OR(C3583="",NOT(ISNUMBER(E3583))),"",IFERROR(E3583*N(INDEX(art_price,MATCH(C3583,art_ref,0))),""))</f>
        <v/>
      </c>
      <c r="K3583" s="39" t="str">
        <f>IF(OR(C3583="",NOT(ISNUMBER(E3583))),"",IFERROR(ROUND(N(INDEX(art_init,MATCH(C3583,art_ref,0)))+SUMIFS($E$5:E3583,$C$5:C3583,C3583,$B$5:B3583,"Entrée")-SUMIFS($E$5:E3583,$C$5:C3583,C3583,$B$5:B3583,"Sortie"),6),""))</f>
        <v/>
      </c>
      <c r="L3583" s="39" t="str">
        <f>IF(COUNTA(A3583:C3583,E3583)=0,"",IF(COUNTA(A3583:C3583,E3583)&lt;4,"Ligne incomplète",IF(NOT(ISNUMBER(A3583)),"Date invalide",IF(AND(B3583&lt;&gt;"Entrée",B3583&lt;&gt;"Sortie"),"Type inconnu",IF(ISNA(MATCH(C3583,art_ref,0)),"Référence inconnue",IF(OR(NOT(ISNUMBER(E3583)),N(E3583)&lt;=0),"Quantité invalide",IF(K3583&lt;0,"Stock négatif",IF(AND(ISNUMBER(A3582),A3583&lt;A3582),"Date hors ordre","OK"))))))))</f>
        <v/>
      </c>
      <c r="M3583" s="39" t="str">
        <f>IF(C3583="","",C3583&amp;"#"&amp;COUNTIF($C$5:C3583,C3583))</f>
        <v/>
      </c>
    </row>
    <row r="3584">
      <c r="A3584" s="41" t="n"/>
      <c r="B3584" s="37" t="n"/>
      <c r="C3584" s="37" t="n"/>
      <c r="D3584" s="39" t="str">
        <f>IF(C3584="","",IFERROR(INDEX(art_des,MATCH(C3584,art_ref,0))&amp;"","Référence inconnue"))</f>
        <v/>
      </c>
      <c r="E3584" s="37" t="n"/>
      <c r="F3584" s="39" t="str">
        <f>IF(C3584="","",IFERROR(INDEX(art_unit,MATCH(C3584,art_ref,0))&amp;"",""))</f>
        <v/>
      </c>
      <c r="G3584" s="37" t="n"/>
      <c r="H3584" s="37" t="n"/>
      <c r="I3584" s="37" t="n"/>
      <c r="J3584" s="40" t="str">
        <f>IF(OR(C3584="",NOT(ISNUMBER(E3584))),"",IFERROR(E3584*N(INDEX(art_price,MATCH(C3584,art_ref,0))),""))</f>
        <v/>
      </c>
      <c r="K3584" s="39" t="str">
        <f>IF(OR(C3584="",NOT(ISNUMBER(E3584))),"",IFERROR(ROUND(N(INDEX(art_init,MATCH(C3584,art_ref,0)))+SUMIFS($E$5:E3584,$C$5:C3584,C3584,$B$5:B3584,"Entrée")-SUMIFS($E$5:E3584,$C$5:C3584,C3584,$B$5:B3584,"Sortie"),6),""))</f>
        <v/>
      </c>
      <c r="L3584" s="39" t="str">
        <f>IF(COUNTA(A3584:C3584,E3584)=0,"",IF(COUNTA(A3584:C3584,E3584)&lt;4,"Ligne incomplète",IF(NOT(ISNUMBER(A3584)),"Date invalide",IF(AND(B3584&lt;&gt;"Entrée",B3584&lt;&gt;"Sortie"),"Type inconnu",IF(ISNA(MATCH(C3584,art_ref,0)),"Référence inconnue",IF(OR(NOT(ISNUMBER(E3584)),N(E3584)&lt;=0),"Quantité invalide",IF(K3584&lt;0,"Stock négatif",IF(AND(ISNUMBER(A3583),A3584&lt;A3583),"Date hors ordre","OK"))))))))</f>
        <v/>
      </c>
      <c r="M3584" s="39" t="str">
        <f>IF(C3584="","",C3584&amp;"#"&amp;COUNTIF($C$5:C3584,C3584))</f>
        <v/>
      </c>
    </row>
    <row r="3585">
      <c r="A3585" s="41" t="n"/>
      <c r="B3585" s="37" t="n"/>
      <c r="C3585" s="37" t="n"/>
      <c r="D3585" s="39" t="str">
        <f>IF(C3585="","",IFERROR(INDEX(art_des,MATCH(C3585,art_ref,0))&amp;"","Référence inconnue"))</f>
        <v/>
      </c>
      <c r="E3585" s="37" t="n"/>
      <c r="F3585" s="39" t="str">
        <f>IF(C3585="","",IFERROR(INDEX(art_unit,MATCH(C3585,art_ref,0))&amp;"",""))</f>
        <v/>
      </c>
      <c r="G3585" s="37" t="n"/>
      <c r="H3585" s="37" t="n"/>
      <c r="I3585" s="37" t="n"/>
      <c r="J3585" s="40" t="str">
        <f>IF(OR(C3585="",NOT(ISNUMBER(E3585))),"",IFERROR(E3585*N(INDEX(art_price,MATCH(C3585,art_ref,0))),""))</f>
        <v/>
      </c>
      <c r="K3585" s="39" t="str">
        <f>IF(OR(C3585="",NOT(ISNUMBER(E3585))),"",IFERROR(ROUND(N(INDEX(art_init,MATCH(C3585,art_ref,0)))+SUMIFS($E$5:E3585,$C$5:C3585,C3585,$B$5:B3585,"Entrée")-SUMIFS($E$5:E3585,$C$5:C3585,C3585,$B$5:B3585,"Sortie"),6),""))</f>
        <v/>
      </c>
      <c r="L3585" s="39" t="str">
        <f>IF(COUNTA(A3585:C3585,E3585)=0,"",IF(COUNTA(A3585:C3585,E3585)&lt;4,"Ligne incomplète",IF(NOT(ISNUMBER(A3585)),"Date invalide",IF(AND(B3585&lt;&gt;"Entrée",B3585&lt;&gt;"Sortie"),"Type inconnu",IF(ISNA(MATCH(C3585,art_ref,0)),"Référence inconnue",IF(OR(NOT(ISNUMBER(E3585)),N(E3585)&lt;=0),"Quantité invalide",IF(K3585&lt;0,"Stock négatif",IF(AND(ISNUMBER(A3584),A3585&lt;A3584),"Date hors ordre","OK"))))))))</f>
        <v/>
      </c>
      <c r="M3585" s="39" t="str">
        <f>IF(C3585="","",C3585&amp;"#"&amp;COUNTIF($C$5:C3585,C3585))</f>
        <v/>
      </c>
    </row>
    <row r="3586">
      <c r="A3586" s="41" t="n"/>
      <c r="B3586" s="37" t="n"/>
      <c r="C3586" s="37" t="n"/>
      <c r="D3586" s="39" t="str">
        <f>IF(C3586="","",IFERROR(INDEX(art_des,MATCH(C3586,art_ref,0))&amp;"","Référence inconnue"))</f>
        <v/>
      </c>
      <c r="E3586" s="37" t="n"/>
      <c r="F3586" s="39" t="str">
        <f>IF(C3586="","",IFERROR(INDEX(art_unit,MATCH(C3586,art_ref,0))&amp;"",""))</f>
        <v/>
      </c>
      <c r="G3586" s="37" t="n"/>
      <c r="H3586" s="37" t="n"/>
      <c r="I3586" s="37" t="n"/>
      <c r="J3586" s="40" t="str">
        <f>IF(OR(C3586="",NOT(ISNUMBER(E3586))),"",IFERROR(E3586*N(INDEX(art_price,MATCH(C3586,art_ref,0))),""))</f>
        <v/>
      </c>
      <c r="K3586" s="39" t="str">
        <f>IF(OR(C3586="",NOT(ISNUMBER(E3586))),"",IFERROR(ROUND(N(INDEX(art_init,MATCH(C3586,art_ref,0)))+SUMIFS($E$5:E3586,$C$5:C3586,C3586,$B$5:B3586,"Entrée")-SUMIFS($E$5:E3586,$C$5:C3586,C3586,$B$5:B3586,"Sortie"),6),""))</f>
        <v/>
      </c>
      <c r="L3586" s="39" t="str">
        <f>IF(COUNTA(A3586:C3586,E3586)=0,"",IF(COUNTA(A3586:C3586,E3586)&lt;4,"Ligne incomplète",IF(NOT(ISNUMBER(A3586)),"Date invalide",IF(AND(B3586&lt;&gt;"Entrée",B3586&lt;&gt;"Sortie"),"Type inconnu",IF(ISNA(MATCH(C3586,art_ref,0)),"Référence inconnue",IF(OR(NOT(ISNUMBER(E3586)),N(E3586)&lt;=0),"Quantité invalide",IF(K3586&lt;0,"Stock négatif",IF(AND(ISNUMBER(A3585),A3586&lt;A3585),"Date hors ordre","OK"))))))))</f>
        <v/>
      </c>
      <c r="M3586" s="39" t="str">
        <f>IF(C3586="","",C3586&amp;"#"&amp;COUNTIF($C$5:C3586,C3586))</f>
        <v/>
      </c>
    </row>
    <row r="3587">
      <c r="A3587" s="41" t="n"/>
      <c r="B3587" s="37" t="n"/>
      <c r="C3587" s="37" t="n"/>
      <c r="D3587" s="39" t="str">
        <f>IF(C3587="","",IFERROR(INDEX(art_des,MATCH(C3587,art_ref,0))&amp;"","Référence inconnue"))</f>
        <v/>
      </c>
      <c r="E3587" s="37" t="n"/>
      <c r="F3587" s="39" t="str">
        <f>IF(C3587="","",IFERROR(INDEX(art_unit,MATCH(C3587,art_ref,0))&amp;"",""))</f>
        <v/>
      </c>
      <c r="G3587" s="37" t="n"/>
      <c r="H3587" s="37" t="n"/>
      <c r="I3587" s="37" t="n"/>
      <c r="J3587" s="40" t="str">
        <f>IF(OR(C3587="",NOT(ISNUMBER(E3587))),"",IFERROR(E3587*N(INDEX(art_price,MATCH(C3587,art_ref,0))),""))</f>
        <v/>
      </c>
      <c r="K3587" s="39" t="str">
        <f>IF(OR(C3587="",NOT(ISNUMBER(E3587))),"",IFERROR(ROUND(N(INDEX(art_init,MATCH(C3587,art_ref,0)))+SUMIFS($E$5:E3587,$C$5:C3587,C3587,$B$5:B3587,"Entrée")-SUMIFS($E$5:E3587,$C$5:C3587,C3587,$B$5:B3587,"Sortie"),6),""))</f>
        <v/>
      </c>
      <c r="L3587" s="39" t="str">
        <f>IF(COUNTA(A3587:C3587,E3587)=0,"",IF(COUNTA(A3587:C3587,E3587)&lt;4,"Ligne incomplète",IF(NOT(ISNUMBER(A3587)),"Date invalide",IF(AND(B3587&lt;&gt;"Entrée",B3587&lt;&gt;"Sortie"),"Type inconnu",IF(ISNA(MATCH(C3587,art_ref,0)),"Référence inconnue",IF(OR(NOT(ISNUMBER(E3587)),N(E3587)&lt;=0),"Quantité invalide",IF(K3587&lt;0,"Stock négatif",IF(AND(ISNUMBER(A3586),A3587&lt;A3586),"Date hors ordre","OK"))))))))</f>
        <v/>
      </c>
      <c r="M3587" s="39" t="str">
        <f>IF(C3587="","",C3587&amp;"#"&amp;COUNTIF($C$5:C3587,C3587))</f>
        <v/>
      </c>
    </row>
    <row r="3588">
      <c r="A3588" s="41" t="n"/>
      <c r="B3588" s="37" t="n"/>
      <c r="C3588" s="37" t="n"/>
      <c r="D3588" s="39" t="str">
        <f>IF(C3588="","",IFERROR(INDEX(art_des,MATCH(C3588,art_ref,0))&amp;"","Référence inconnue"))</f>
        <v/>
      </c>
      <c r="E3588" s="37" t="n"/>
      <c r="F3588" s="39" t="str">
        <f>IF(C3588="","",IFERROR(INDEX(art_unit,MATCH(C3588,art_ref,0))&amp;"",""))</f>
        <v/>
      </c>
      <c r="G3588" s="37" t="n"/>
      <c r="H3588" s="37" t="n"/>
      <c r="I3588" s="37" t="n"/>
      <c r="J3588" s="40" t="str">
        <f>IF(OR(C3588="",NOT(ISNUMBER(E3588))),"",IFERROR(E3588*N(INDEX(art_price,MATCH(C3588,art_ref,0))),""))</f>
        <v/>
      </c>
      <c r="K3588" s="39" t="str">
        <f>IF(OR(C3588="",NOT(ISNUMBER(E3588))),"",IFERROR(ROUND(N(INDEX(art_init,MATCH(C3588,art_ref,0)))+SUMIFS($E$5:E3588,$C$5:C3588,C3588,$B$5:B3588,"Entrée")-SUMIFS($E$5:E3588,$C$5:C3588,C3588,$B$5:B3588,"Sortie"),6),""))</f>
        <v/>
      </c>
      <c r="L3588" s="39" t="str">
        <f>IF(COUNTA(A3588:C3588,E3588)=0,"",IF(COUNTA(A3588:C3588,E3588)&lt;4,"Ligne incomplète",IF(NOT(ISNUMBER(A3588)),"Date invalide",IF(AND(B3588&lt;&gt;"Entrée",B3588&lt;&gt;"Sortie"),"Type inconnu",IF(ISNA(MATCH(C3588,art_ref,0)),"Référence inconnue",IF(OR(NOT(ISNUMBER(E3588)),N(E3588)&lt;=0),"Quantité invalide",IF(K3588&lt;0,"Stock négatif",IF(AND(ISNUMBER(A3587),A3588&lt;A3587),"Date hors ordre","OK"))))))))</f>
        <v/>
      </c>
      <c r="M3588" s="39" t="str">
        <f>IF(C3588="","",C3588&amp;"#"&amp;COUNTIF($C$5:C3588,C3588))</f>
        <v/>
      </c>
    </row>
    <row r="3589">
      <c r="A3589" s="41" t="n"/>
      <c r="B3589" s="37" t="n"/>
      <c r="C3589" s="37" t="n"/>
      <c r="D3589" s="39" t="str">
        <f>IF(C3589="","",IFERROR(INDEX(art_des,MATCH(C3589,art_ref,0))&amp;"","Référence inconnue"))</f>
        <v/>
      </c>
      <c r="E3589" s="37" t="n"/>
      <c r="F3589" s="39" t="str">
        <f>IF(C3589="","",IFERROR(INDEX(art_unit,MATCH(C3589,art_ref,0))&amp;"",""))</f>
        <v/>
      </c>
      <c r="G3589" s="37" t="n"/>
      <c r="H3589" s="37" t="n"/>
      <c r="I3589" s="37" t="n"/>
      <c r="J3589" s="40" t="str">
        <f>IF(OR(C3589="",NOT(ISNUMBER(E3589))),"",IFERROR(E3589*N(INDEX(art_price,MATCH(C3589,art_ref,0))),""))</f>
        <v/>
      </c>
      <c r="K3589" s="39" t="str">
        <f>IF(OR(C3589="",NOT(ISNUMBER(E3589))),"",IFERROR(ROUND(N(INDEX(art_init,MATCH(C3589,art_ref,0)))+SUMIFS($E$5:E3589,$C$5:C3589,C3589,$B$5:B3589,"Entrée")-SUMIFS($E$5:E3589,$C$5:C3589,C3589,$B$5:B3589,"Sortie"),6),""))</f>
        <v/>
      </c>
      <c r="L3589" s="39" t="str">
        <f>IF(COUNTA(A3589:C3589,E3589)=0,"",IF(COUNTA(A3589:C3589,E3589)&lt;4,"Ligne incomplète",IF(NOT(ISNUMBER(A3589)),"Date invalide",IF(AND(B3589&lt;&gt;"Entrée",B3589&lt;&gt;"Sortie"),"Type inconnu",IF(ISNA(MATCH(C3589,art_ref,0)),"Référence inconnue",IF(OR(NOT(ISNUMBER(E3589)),N(E3589)&lt;=0),"Quantité invalide",IF(K3589&lt;0,"Stock négatif",IF(AND(ISNUMBER(A3588),A3589&lt;A3588),"Date hors ordre","OK"))))))))</f>
        <v/>
      </c>
      <c r="M3589" s="39" t="str">
        <f>IF(C3589="","",C3589&amp;"#"&amp;COUNTIF($C$5:C3589,C3589))</f>
        <v/>
      </c>
    </row>
    <row r="3590">
      <c r="A3590" s="41" t="n"/>
      <c r="B3590" s="37" t="n"/>
      <c r="C3590" s="37" t="n"/>
      <c r="D3590" s="39" t="str">
        <f>IF(C3590="","",IFERROR(INDEX(art_des,MATCH(C3590,art_ref,0))&amp;"","Référence inconnue"))</f>
        <v/>
      </c>
      <c r="E3590" s="37" t="n"/>
      <c r="F3590" s="39" t="str">
        <f>IF(C3590="","",IFERROR(INDEX(art_unit,MATCH(C3590,art_ref,0))&amp;"",""))</f>
        <v/>
      </c>
      <c r="G3590" s="37" t="n"/>
      <c r="H3590" s="37" t="n"/>
      <c r="I3590" s="37" t="n"/>
      <c r="J3590" s="40" t="str">
        <f>IF(OR(C3590="",NOT(ISNUMBER(E3590))),"",IFERROR(E3590*N(INDEX(art_price,MATCH(C3590,art_ref,0))),""))</f>
        <v/>
      </c>
      <c r="K3590" s="39" t="str">
        <f>IF(OR(C3590="",NOT(ISNUMBER(E3590))),"",IFERROR(ROUND(N(INDEX(art_init,MATCH(C3590,art_ref,0)))+SUMIFS($E$5:E3590,$C$5:C3590,C3590,$B$5:B3590,"Entrée")-SUMIFS($E$5:E3590,$C$5:C3590,C3590,$B$5:B3590,"Sortie"),6),""))</f>
        <v/>
      </c>
      <c r="L3590" s="39" t="str">
        <f>IF(COUNTA(A3590:C3590,E3590)=0,"",IF(COUNTA(A3590:C3590,E3590)&lt;4,"Ligne incomplète",IF(NOT(ISNUMBER(A3590)),"Date invalide",IF(AND(B3590&lt;&gt;"Entrée",B3590&lt;&gt;"Sortie"),"Type inconnu",IF(ISNA(MATCH(C3590,art_ref,0)),"Référence inconnue",IF(OR(NOT(ISNUMBER(E3590)),N(E3590)&lt;=0),"Quantité invalide",IF(K3590&lt;0,"Stock négatif",IF(AND(ISNUMBER(A3589),A3590&lt;A3589),"Date hors ordre","OK"))))))))</f>
        <v/>
      </c>
      <c r="M3590" s="39" t="str">
        <f>IF(C3590="","",C3590&amp;"#"&amp;COUNTIF($C$5:C3590,C3590))</f>
        <v/>
      </c>
    </row>
    <row r="3591">
      <c r="A3591" s="41" t="n"/>
      <c r="B3591" s="37" t="n"/>
      <c r="C3591" s="37" t="n"/>
      <c r="D3591" s="39" t="str">
        <f>IF(C3591="","",IFERROR(INDEX(art_des,MATCH(C3591,art_ref,0))&amp;"","Référence inconnue"))</f>
        <v/>
      </c>
      <c r="E3591" s="37" t="n"/>
      <c r="F3591" s="39" t="str">
        <f>IF(C3591="","",IFERROR(INDEX(art_unit,MATCH(C3591,art_ref,0))&amp;"",""))</f>
        <v/>
      </c>
      <c r="G3591" s="37" t="n"/>
      <c r="H3591" s="37" t="n"/>
      <c r="I3591" s="37" t="n"/>
      <c r="J3591" s="40" t="str">
        <f>IF(OR(C3591="",NOT(ISNUMBER(E3591))),"",IFERROR(E3591*N(INDEX(art_price,MATCH(C3591,art_ref,0))),""))</f>
        <v/>
      </c>
      <c r="K3591" s="39" t="str">
        <f>IF(OR(C3591="",NOT(ISNUMBER(E3591))),"",IFERROR(ROUND(N(INDEX(art_init,MATCH(C3591,art_ref,0)))+SUMIFS($E$5:E3591,$C$5:C3591,C3591,$B$5:B3591,"Entrée")-SUMIFS($E$5:E3591,$C$5:C3591,C3591,$B$5:B3591,"Sortie"),6),""))</f>
        <v/>
      </c>
      <c r="L3591" s="39" t="str">
        <f>IF(COUNTA(A3591:C3591,E3591)=0,"",IF(COUNTA(A3591:C3591,E3591)&lt;4,"Ligne incomplète",IF(NOT(ISNUMBER(A3591)),"Date invalide",IF(AND(B3591&lt;&gt;"Entrée",B3591&lt;&gt;"Sortie"),"Type inconnu",IF(ISNA(MATCH(C3591,art_ref,0)),"Référence inconnue",IF(OR(NOT(ISNUMBER(E3591)),N(E3591)&lt;=0),"Quantité invalide",IF(K3591&lt;0,"Stock négatif",IF(AND(ISNUMBER(A3590),A3591&lt;A3590),"Date hors ordre","OK"))))))))</f>
        <v/>
      </c>
      <c r="M3591" s="39" t="str">
        <f>IF(C3591="","",C3591&amp;"#"&amp;COUNTIF($C$5:C3591,C3591))</f>
        <v/>
      </c>
    </row>
    <row r="3592">
      <c r="A3592" s="41" t="n"/>
      <c r="B3592" s="37" t="n"/>
      <c r="C3592" s="37" t="n"/>
      <c r="D3592" s="39" t="str">
        <f>IF(C3592="","",IFERROR(INDEX(art_des,MATCH(C3592,art_ref,0))&amp;"","Référence inconnue"))</f>
        <v/>
      </c>
      <c r="E3592" s="37" t="n"/>
      <c r="F3592" s="39" t="str">
        <f>IF(C3592="","",IFERROR(INDEX(art_unit,MATCH(C3592,art_ref,0))&amp;"",""))</f>
        <v/>
      </c>
      <c r="G3592" s="37" t="n"/>
      <c r="H3592" s="37" t="n"/>
      <c r="I3592" s="37" t="n"/>
      <c r="J3592" s="40" t="str">
        <f>IF(OR(C3592="",NOT(ISNUMBER(E3592))),"",IFERROR(E3592*N(INDEX(art_price,MATCH(C3592,art_ref,0))),""))</f>
        <v/>
      </c>
      <c r="K3592" s="39" t="str">
        <f>IF(OR(C3592="",NOT(ISNUMBER(E3592))),"",IFERROR(ROUND(N(INDEX(art_init,MATCH(C3592,art_ref,0)))+SUMIFS($E$5:E3592,$C$5:C3592,C3592,$B$5:B3592,"Entrée")-SUMIFS($E$5:E3592,$C$5:C3592,C3592,$B$5:B3592,"Sortie"),6),""))</f>
        <v/>
      </c>
      <c r="L3592" s="39" t="str">
        <f>IF(COUNTA(A3592:C3592,E3592)=0,"",IF(COUNTA(A3592:C3592,E3592)&lt;4,"Ligne incomplète",IF(NOT(ISNUMBER(A3592)),"Date invalide",IF(AND(B3592&lt;&gt;"Entrée",B3592&lt;&gt;"Sortie"),"Type inconnu",IF(ISNA(MATCH(C3592,art_ref,0)),"Référence inconnue",IF(OR(NOT(ISNUMBER(E3592)),N(E3592)&lt;=0),"Quantité invalide",IF(K3592&lt;0,"Stock négatif",IF(AND(ISNUMBER(A3591),A3592&lt;A3591),"Date hors ordre","OK"))))))))</f>
        <v/>
      </c>
      <c r="M3592" s="39" t="str">
        <f>IF(C3592="","",C3592&amp;"#"&amp;COUNTIF($C$5:C3592,C3592))</f>
        <v/>
      </c>
    </row>
    <row r="3593">
      <c r="A3593" s="41" t="n"/>
      <c r="B3593" s="37" t="n"/>
      <c r="C3593" s="37" t="n"/>
      <c r="D3593" s="39" t="str">
        <f>IF(C3593="","",IFERROR(INDEX(art_des,MATCH(C3593,art_ref,0))&amp;"","Référence inconnue"))</f>
        <v/>
      </c>
      <c r="E3593" s="37" t="n"/>
      <c r="F3593" s="39" t="str">
        <f>IF(C3593="","",IFERROR(INDEX(art_unit,MATCH(C3593,art_ref,0))&amp;"",""))</f>
        <v/>
      </c>
      <c r="G3593" s="37" t="n"/>
      <c r="H3593" s="37" t="n"/>
      <c r="I3593" s="37" t="n"/>
      <c r="J3593" s="40" t="str">
        <f>IF(OR(C3593="",NOT(ISNUMBER(E3593))),"",IFERROR(E3593*N(INDEX(art_price,MATCH(C3593,art_ref,0))),""))</f>
        <v/>
      </c>
      <c r="K3593" s="39" t="str">
        <f>IF(OR(C3593="",NOT(ISNUMBER(E3593))),"",IFERROR(ROUND(N(INDEX(art_init,MATCH(C3593,art_ref,0)))+SUMIFS($E$5:E3593,$C$5:C3593,C3593,$B$5:B3593,"Entrée")-SUMIFS($E$5:E3593,$C$5:C3593,C3593,$B$5:B3593,"Sortie"),6),""))</f>
        <v/>
      </c>
      <c r="L3593" s="39" t="str">
        <f>IF(COUNTA(A3593:C3593,E3593)=0,"",IF(COUNTA(A3593:C3593,E3593)&lt;4,"Ligne incomplète",IF(NOT(ISNUMBER(A3593)),"Date invalide",IF(AND(B3593&lt;&gt;"Entrée",B3593&lt;&gt;"Sortie"),"Type inconnu",IF(ISNA(MATCH(C3593,art_ref,0)),"Référence inconnue",IF(OR(NOT(ISNUMBER(E3593)),N(E3593)&lt;=0),"Quantité invalide",IF(K3593&lt;0,"Stock négatif",IF(AND(ISNUMBER(A3592),A3593&lt;A3592),"Date hors ordre","OK"))))))))</f>
        <v/>
      </c>
      <c r="M3593" s="39" t="str">
        <f>IF(C3593="","",C3593&amp;"#"&amp;COUNTIF($C$5:C3593,C3593))</f>
        <v/>
      </c>
    </row>
    <row r="3594">
      <c r="A3594" s="41" t="n"/>
      <c r="B3594" s="37" t="n"/>
      <c r="C3594" s="37" t="n"/>
      <c r="D3594" s="39" t="str">
        <f>IF(C3594="","",IFERROR(INDEX(art_des,MATCH(C3594,art_ref,0))&amp;"","Référence inconnue"))</f>
        <v/>
      </c>
      <c r="E3594" s="37" t="n"/>
      <c r="F3594" s="39" t="str">
        <f>IF(C3594="","",IFERROR(INDEX(art_unit,MATCH(C3594,art_ref,0))&amp;"",""))</f>
        <v/>
      </c>
      <c r="G3594" s="37" t="n"/>
      <c r="H3594" s="37" t="n"/>
      <c r="I3594" s="37" t="n"/>
      <c r="J3594" s="40" t="str">
        <f>IF(OR(C3594="",NOT(ISNUMBER(E3594))),"",IFERROR(E3594*N(INDEX(art_price,MATCH(C3594,art_ref,0))),""))</f>
        <v/>
      </c>
      <c r="K3594" s="39" t="str">
        <f>IF(OR(C3594="",NOT(ISNUMBER(E3594))),"",IFERROR(ROUND(N(INDEX(art_init,MATCH(C3594,art_ref,0)))+SUMIFS($E$5:E3594,$C$5:C3594,C3594,$B$5:B3594,"Entrée")-SUMIFS($E$5:E3594,$C$5:C3594,C3594,$B$5:B3594,"Sortie"),6),""))</f>
        <v/>
      </c>
      <c r="L3594" s="39" t="str">
        <f>IF(COUNTA(A3594:C3594,E3594)=0,"",IF(COUNTA(A3594:C3594,E3594)&lt;4,"Ligne incomplète",IF(NOT(ISNUMBER(A3594)),"Date invalide",IF(AND(B3594&lt;&gt;"Entrée",B3594&lt;&gt;"Sortie"),"Type inconnu",IF(ISNA(MATCH(C3594,art_ref,0)),"Référence inconnue",IF(OR(NOT(ISNUMBER(E3594)),N(E3594)&lt;=0),"Quantité invalide",IF(K3594&lt;0,"Stock négatif",IF(AND(ISNUMBER(A3593),A3594&lt;A3593),"Date hors ordre","OK"))))))))</f>
        <v/>
      </c>
      <c r="M3594" s="39" t="str">
        <f>IF(C3594="","",C3594&amp;"#"&amp;COUNTIF($C$5:C3594,C3594))</f>
        <v/>
      </c>
    </row>
    <row r="3595">
      <c r="A3595" s="41" t="n"/>
      <c r="B3595" s="37" t="n"/>
      <c r="C3595" s="37" t="n"/>
      <c r="D3595" s="39" t="str">
        <f>IF(C3595="","",IFERROR(INDEX(art_des,MATCH(C3595,art_ref,0))&amp;"","Référence inconnue"))</f>
        <v/>
      </c>
      <c r="E3595" s="37" t="n"/>
      <c r="F3595" s="39" t="str">
        <f>IF(C3595="","",IFERROR(INDEX(art_unit,MATCH(C3595,art_ref,0))&amp;"",""))</f>
        <v/>
      </c>
      <c r="G3595" s="37" t="n"/>
      <c r="H3595" s="37" t="n"/>
      <c r="I3595" s="37" t="n"/>
      <c r="J3595" s="40" t="str">
        <f>IF(OR(C3595="",NOT(ISNUMBER(E3595))),"",IFERROR(E3595*N(INDEX(art_price,MATCH(C3595,art_ref,0))),""))</f>
        <v/>
      </c>
      <c r="K3595" s="39" t="str">
        <f>IF(OR(C3595="",NOT(ISNUMBER(E3595))),"",IFERROR(ROUND(N(INDEX(art_init,MATCH(C3595,art_ref,0)))+SUMIFS($E$5:E3595,$C$5:C3595,C3595,$B$5:B3595,"Entrée")-SUMIFS($E$5:E3595,$C$5:C3595,C3595,$B$5:B3595,"Sortie"),6),""))</f>
        <v/>
      </c>
      <c r="L3595" s="39" t="str">
        <f>IF(COUNTA(A3595:C3595,E3595)=0,"",IF(COUNTA(A3595:C3595,E3595)&lt;4,"Ligne incomplète",IF(NOT(ISNUMBER(A3595)),"Date invalide",IF(AND(B3595&lt;&gt;"Entrée",B3595&lt;&gt;"Sortie"),"Type inconnu",IF(ISNA(MATCH(C3595,art_ref,0)),"Référence inconnue",IF(OR(NOT(ISNUMBER(E3595)),N(E3595)&lt;=0),"Quantité invalide",IF(K3595&lt;0,"Stock négatif",IF(AND(ISNUMBER(A3594),A3595&lt;A3594),"Date hors ordre","OK"))))))))</f>
        <v/>
      </c>
      <c r="M3595" s="39" t="str">
        <f>IF(C3595="","",C3595&amp;"#"&amp;COUNTIF($C$5:C3595,C3595))</f>
        <v/>
      </c>
    </row>
    <row r="3596">
      <c r="A3596" s="41" t="n"/>
      <c r="B3596" s="37" t="n"/>
      <c r="C3596" s="37" t="n"/>
      <c r="D3596" s="39" t="str">
        <f>IF(C3596="","",IFERROR(INDEX(art_des,MATCH(C3596,art_ref,0))&amp;"","Référence inconnue"))</f>
        <v/>
      </c>
      <c r="E3596" s="37" t="n"/>
      <c r="F3596" s="39" t="str">
        <f>IF(C3596="","",IFERROR(INDEX(art_unit,MATCH(C3596,art_ref,0))&amp;"",""))</f>
        <v/>
      </c>
      <c r="G3596" s="37" t="n"/>
      <c r="H3596" s="37" t="n"/>
      <c r="I3596" s="37" t="n"/>
      <c r="J3596" s="40" t="str">
        <f>IF(OR(C3596="",NOT(ISNUMBER(E3596))),"",IFERROR(E3596*N(INDEX(art_price,MATCH(C3596,art_ref,0))),""))</f>
        <v/>
      </c>
      <c r="K3596" s="39" t="str">
        <f>IF(OR(C3596="",NOT(ISNUMBER(E3596))),"",IFERROR(ROUND(N(INDEX(art_init,MATCH(C3596,art_ref,0)))+SUMIFS($E$5:E3596,$C$5:C3596,C3596,$B$5:B3596,"Entrée")-SUMIFS($E$5:E3596,$C$5:C3596,C3596,$B$5:B3596,"Sortie"),6),""))</f>
        <v/>
      </c>
      <c r="L3596" s="39" t="str">
        <f>IF(COUNTA(A3596:C3596,E3596)=0,"",IF(COUNTA(A3596:C3596,E3596)&lt;4,"Ligne incomplète",IF(NOT(ISNUMBER(A3596)),"Date invalide",IF(AND(B3596&lt;&gt;"Entrée",B3596&lt;&gt;"Sortie"),"Type inconnu",IF(ISNA(MATCH(C3596,art_ref,0)),"Référence inconnue",IF(OR(NOT(ISNUMBER(E3596)),N(E3596)&lt;=0),"Quantité invalide",IF(K3596&lt;0,"Stock négatif",IF(AND(ISNUMBER(A3595),A3596&lt;A3595),"Date hors ordre","OK"))))))))</f>
        <v/>
      </c>
      <c r="M3596" s="39" t="str">
        <f>IF(C3596="","",C3596&amp;"#"&amp;COUNTIF($C$5:C3596,C3596))</f>
        <v/>
      </c>
    </row>
    <row r="3597">
      <c r="A3597" s="41" t="n"/>
      <c r="B3597" s="37" t="n"/>
      <c r="C3597" s="37" t="n"/>
      <c r="D3597" s="39" t="str">
        <f>IF(C3597="","",IFERROR(INDEX(art_des,MATCH(C3597,art_ref,0))&amp;"","Référence inconnue"))</f>
        <v/>
      </c>
      <c r="E3597" s="37" t="n"/>
      <c r="F3597" s="39" t="str">
        <f>IF(C3597="","",IFERROR(INDEX(art_unit,MATCH(C3597,art_ref,0))&amp;"",""))</f>
        <v/>
      </c>
      <c r="G3597" s="37" t="n"/>
      <c r="H3597" s="37" t="n"/>
      <c r="I3597" s="37" t="n"/>
      <c r="J3597" s="40" t="str">
        <f>IF(OR(C3597="",NOT(ISNUMBER(E3597))),"",IFERROR(E3597*N(INDEX(art_price,MATCH(C3597,art_ref,0))),""))</f>
        <v/>
      </c>
      <c r="K3597" s="39" t="str">
        <f>IF(OR(C3597="",NOT(ISNUMBER(E3597))),"",IFERROR(ROUND(N(INDEX(art_init,MATCH(C3597,art_ref,0)))+SUMIFS($E$5:E3597,$C$5:C3597,C3597,$B$5:B3597,"Entrée")-SUMIFS($E$5:E3597,$C$5:C3597,C3597,$B$5:B3597,"Sortie"),6),""))</f>
        <v/>
      </c>
      <c r="L3597" s="39" t="str">
        <f>IF(COUNTA(A3597:C3597,E3597)=0,"",IF(COUNTA(A3597:C3597,E3597)&lt;4,"Ligne incomplète",IF(NOT(ISNUMBER(A3597)),"Date invalide",IF(AND(B3597&lt;&gt;"Entrée",B3597&lt;&gt;"Sortie"),"Type inconnu",IF(ISNA(MATCH(C3597,art_ref,0)),"Référence inconnue",IF(OR(NOT(ISNUMBER(E3597)),N(E3597)&lt;=0),"Quantité invalide",IF(K3597&lt;0,"Stock négatif",IF(AND(ISNUMBER(A3596),A3597&lt;A3596),"Date hors ordre","OK"))))))))</f>
        <v/>
      </c>
      <c r="M3597" s="39" t="str">
        <f>IF(C3597="","",C3597&amp;"#"&amp;COUNTIF($C$5:C3597,C3597))</f>
        <v/>
      </c>
    </row>
    <row r="3598">
      <c r="A3598" s="41" t="n"/>
      <c r="B3598" s="37" t="n"/>
      <c r="C3598" s="37" t="n"/>
      <c r="D3598" s="39" t="str">
        <f>IF(C3598="","",IFERROR(INDEX(art_des,MATCH(C3598,art_ref,0))&amp;"","Référence inconnue"))</f>
        <v/>
      </c>
      <c r="E3598" s="37" t="n"/>
      <c r="F3598" s="39" t="str">
        <f>IF(C3598="","",IFERROR(INDEX(art_unit,MATCH(C3598,art_ref,0))&amp;"",""))</f>
        <v/>
      </c>
      <c r="G3598" s="37" t="n"/>
      <c r="H3598" s="37" t="n"/>
      <c r="I3598" s="37" t="n"/>
      <c r="J3598" s="40" t="str">
        <f>IF(OR(C3598="",NOT(ISNUMBER(E3598))),"",IFERROR(E3598*N(INDEX(art_price,MATCH(C3598,art_ref,0))),""))</f>
        <v/>
      </c>
      <c r="K3598" s="39" t="str">
        <f>IF(OR(C3598="",NOT(ISNUMBER(E3598))),"",IFERROR(ROUND(N(INDEX(art_init,MATCH(C3598,art_ref,0)))+SUMIFS($E$5:E3598,$C$5:C3598,C3598,$B$5:B3598,"Entrée")-SUMIFS($E$5:E3598,$C$5:C3598,C3598,$B$5:B3598,"Sortie"),6),""))</f>
        <v/>
      </c>
      <c r="L3598" s="39" t="str">
        <f>IF(COUNTA(A3598:C3598,E3598)=0,"",IF(COUNTA(A3598:C3598,E3598)&lt;4,"Ligne incomplète",IF(NOT(ISNUMBER(A3598)),"Date invalide",IF(AND(B3598&lt;&gt;"Entrée",B3598&lt;&gt;"Sortie"),"Type inconnu",IF(ISNA(MATCH(C3598,art_ref,0)),"Référence inconnue",IF(OR(NOT(ISNUMBER(E3598)),N(E3598)&lt;=0),"Quantité invalide",IF(K3598&lt;0,"Stock négatif",IF(AND(ISNUMBER(A3597),A3598&lt;A3597),"Date hors ordre","OK"))))))))</f>
        <v/>
      </c>
      <c r="M3598" s="39" t="str">
        <f>IF(C3598="","",C3598&amp;"#"&amp;COUNTIF($C$5:C3598,C3598))</f>
        <v/>
      </c>
    </row>
    <row r="3599">
      <c r="A3599" s="41" t="n"/>
      <c r="B3599" s="37" t="n"/>
      <c r="C3599" s="37" t="n"/>
      <c r="D3599" s="39" t="str">
        <f>IF(C3599="","",IFERROR(INDEX(art_des,MATCH(C3599,art_ref,0))&amp;"","Référence inconnue"))</f>
        <v/>
      </c>
      <c r="E3599" s="37" t="n"/>
      <c r="F3599" s="39" t="str">
        <f>IF(C3599="","",IFERROR(INDEX(art_unit,MATCH(C3599,art_ref,0))&amp;"",""))</f>
        <v/>
      </c>
      <c r="G3599" s="37" t="n"/>
      <c r="H3599" s="37" t="n"/>
      <c r="I3599" s="37" t="n"/>
      <c r="J3599" s="40" t="str">
        <f>IF(OR(C3599="",NOT(ISNUMBER(E3599))),"",IFERROR(E3599*N(INDEX(art_price,MATCH(C3599,art_ref,0))),""))</f>
        <v/>
      </c>
      <c r="K3599" s="39" t="str">
        <f>IF(OR(C3599="",NOT(ISNUMBER(E3599))),"",IFERROR(ROUND(N(INDEX(art_init,MATCH(C3599,art_ref,0)))+SUMIFS($E$5:E3599,$C$5:C3599,C3599,$B$5:B3599,"Entrée")-SUMIFS($E$5:E3599,$C$5:C3599,C3599,$B$5:B3599,"Sortie"),6),""))</f>
        <v/>
      </c>
      <c r="L3599" s="39" t="str">
        <f>IF(COUNTA(A3599:C3599,E3599)=0,"",IF(COUNTA(A3599:C3599,E3599)&lt;4,"Ligne incomplète",IF(NOT(ISNUMBER(A3599)),"Date invalide",IF(AND(B3599&lt;&gt;"Entrée",B3599&lt;&gt;"Sortie"),"Type inconnu",IF(ISNA(MATCH(C3599,art_ref,0)),"Référence inconnue",IF(OR(NOT(ISNUMBER(E3599)),N(E3599)&lt;=0),"Quantité invalide",IF(K3599&lt;0,"Stock négatif",IF(AND(ISNUMBER(A3598),A3599&lt;A3598),"Date hors ordre","OK"))))))))</f>
        <v/>
      </c>
      <c r="M3599" s="39" t="str">
        <f>IF(C3599="","",C3599&amp;"#"&amp;COUNTIF($C$5:C3599,C3599))</f>
        <v/>
      </c>
    </row>
    <row r="3600">
      <c r="A3600" s="41" t="n"/>
      <c r="B3600" s="37" t="n"/>
      <c r="C3600" s="37" t="n"/>
      <c r="D3600" s="39" t="str">
        <f>IF(C3600="","",IFERROR(INDEX(art_des,MATCH(C3600,art_ref,0))&amp;"","Référence inconnue"))</f>
        <v/>
      </c>
      <c r="E3600" s="37" t="n"/>
      <c r="F3600" s="39" t="str">
        <f>IF(C3600="","",IFERROR(INDEX(art_unit,MATCH(C3600,art_ref,0))&amp;"",""))</f>
        <v/>
      </c>
      <c r="G3600" s="37" t="n"/>
      <c r="H3600" s="37" t="n"/>
      <c r="I3600" s="37" t="n"/>
      <c r="J3600" s="40" t="str">
        <f>IF(OR(C3600="",NOT(ISNUMBER(E3600))),"",IFERROR(E3600*N(INDEX(art_price,MATCH(C3600,art_ref,0))),""))</f>
        <v/>
      </c>
      <c r="K3600" s="39" t="str">
        <f>IF(OR(C3600="",NOT(ISNUMBER(E3600))),"",IFERROR(ROUND(N(INDEX(art_init,MATCH(C3600,art_ref,0)))+SUMIFS($E$5:E3600,$C$5:C3600,C3600,$B$5:B3600,"Entrée")-SUMIFS($E$5:E3600,$C$5:C3600,C3600,$B$5:B3600,"Sortie"),6),""))</f>
        <v/>
      </c>
      <c r="L3600" s="39" t="str">
        <f>IF(COUNTA(A3600:C3600,E3600)=0,"",IF(COUNTA(A3600:C3600,E3600)&lt;4,"Ligne incomplète",IF(NOT(ISNUMBER(A3600)),"Date invalide",IF(AND(B3600&lt;&gt;"Entrée",B3600&lt;&gt;"Sortie"),"Type inconnu",IF(ISNA(MATCH(C3600,art_ref,0)),"Référence inconnue",IF(OR(NOT(ISNUMBER(E3600)),N(E3600)&lt;=0),"Quantité invalide",IF(K3600&lt;0,"Stock négatif",IF(AND(ISNUMBER(A3599),A3600&lt;A3599),"Date hors ordre","OK"))))))))</f>
        <v/>
      </c>
      <c r="M3600" s="39" t="str">
        <f>IF(C3600="","",C3600&amp;"#"&amp;COUNTIF($C$5:C3600,C3600))</f>
        <v/>
      </c>
    </row>
    <row r="3601">
      <c r="A3601" s="41" t="n"/>
      <c r="B3601" s="37" t="n"/>
      <c r="C3601" s="37" t="n"/>
      <c r="D3601" s="39" t="str">
        <f>IF(C3601="","",IFERROR(INDEX(art_des,MATCH(C3601,art_ref,0))&amp;"","Référence inconnue"))</f>
        <v/>
      </c>
      <c r="E3601" s="37" t="n"/>
      <c r="F3601" s="39" t="str">
        <f>IF(C3601="","",IFERROR(INDEX(art_unit,MATCH(C3601,art_ref,0))&amp;"",""))</f>
        <v/>
      </c>
      <c r="G3601" s="37" t="n"/>
      <c r="H3601" s="37" t="n"/>
      <c r="I3601" s="37" t="n"/>
      <c r="J3601" s="40" t="str">
        <f>IF(OR(C3601="",NOT(ISNUMBER(E3601))),"",IFERROR(E3601*N(INDEX(art_price,MATCH(C3601,art_ref,0))),""))</f>
        <v/>
      </c>
      <c r="K3601" s="39" t="str">
        <f>IF(OR(C3601="",NOT(ISNUMBER(E3601))),"",IFERROR(ROUND(N(INDEX(art_init,MATCH(C3601,art_ref,0)))+SUMIFS($E$5:E3601,$C$5:C3601,C3601,$B$5:B3601,"Entrée")-SUMIFS($E$5:E3601,$C$5:C3601,C3601,$B$5:B3601,"Sortie"),6),""))</f>
        <v/>
      </c>
      <c r="L3601" s="39" t="str">
        <f>IF(COUNTA(A3601:C3601,E3601)=0,"",IF(COUNTA(A3601:C3601,E3601)&lt;4,"Ligne incomplète",IF(NOT(ISNUMBER(A3601)),"Date invalide",IF(AND(B3601&lt;&gt;"Entrée",B3601&lt;&gt;"Sortie"),"Type inconnu",IF(ISNA(MATCH(C3601,art_ref,0)),"Référence inconnue",IF(OR(NOT(ISNUMBER(E3601)),N(E3601)&lt;=0),"Quantité invalide",IF(K3601&lt;0,"Stock négatif",IF(AND(ISNUMBER(A3600),A3601&lt;A3600),"Date hors ordre","OK"))))))))</f>
        <v/>
      </c>
      <c r="M3601" s="39" t="str">
        <f>IF(C3601="","",C3601&amp;"#"&amp;COUNTIF($C$5:C3601,C3601))</f>
        <v/>
      </c>
    </row>
    <row r="3602">
      <c r="A3602" s="41" t="n"/>
      <c r="B3602" s="37" t="n"/>
      <c r="C3602" s="37" t="n"/>
      <c r="D3602" s="39" t="str">
        <f>IF(C3602="","",IFERROR(INDEX(art_des,MATCH(C3602,art_ref,0))&amp;"","Référence inconnue"))</f>
        <v/>
      </c>
      <c r="E3602" s="37" t="n"/>
      <c r="F3602" s="39" t="str">
        <f>IF(C3602="","",IFERROR(INDEX(art_unit,MATCH(C3602,art_ref,0))&amp;"",""))</f>
        <v/>
      </c>
      <c r="G3602" s="37" t="n"/>
      <c r="H3602" s="37" t="n"/>
      <c r="I3602" s="37" t="n"/>
      <c r="J3602" s="40" t="str">
        <f>IF(OR(C3602="",NOT(ISNUMBER(E3602))),"",IFERROR(E3602*N(INDEX(art_price,MATCH(C3602,art_ref,0))),""))</f>
        <v/>
      </c>
      <c r="K3602" s="39" t="str">
        <f>IF(OR(C3602="",NOT(ISNUMBER(E3602))),"",IFERROR(ROUND(N(INDEX(art_init,MATCH(C3602,art_ref,0)))+SUMIFS($E$5:E3602,$C$5:C3602,C3602,$B$5:B3602,"Entrée")-SUMIFS($E$5:E3602,$C$5:C3602,C3602,$B$5:B3602,"Sortie"),6),""))</f>
        <v/>
      </c>
      <c r="L3602" s="39" t="str">
        <f>IF(COUNTA(A3602:C3602,E3602)=0,"",IF(COUNTA(A3602:C3602,E3602)&lt;4,"Ligne incomplète",IF(NOT(ISNUMBER(A3602)),"Date invalide",IF(AND(B3602&lt;&gt;"Entrée",B3602&lt;&gt;"Sortie"),"Type inconnu",IF(ISNA(MATCH(C3602,art_ref,0)),"Référence inconnue",IF(OR(NOT(ISNUMBER(E3602)),N(E3602)&lt;=0),"Quantité invalide",IF(K3602&lt;0,"Stock négatif",IF(AND(ISNUMBER(A3601),A3602&lt;A3601),"Date hors ordre","OK"))))))))</f>
        <v/>
      </c>
      <c r="M3602" s="39" t="str">
        <f>IF(C3602="","",C3602&amp;"#"&amp;COUNTIF($C$5:C3602,C3602))</f>
        <v/>
      </c>
    </row>
    <row r="3603">
      <c r="A3603" s="41" t="n"/>
      <c r="B3603" s="37" t="n"/>
      <c r="C3603" s="37" t="n"/>
      <c r="D3603" s="39" t="str">
        <f>IF(C3603="","",IFERROR(INDEX(art_des,MATCH(C3603,art_ref,0))&amp;"","Référence inconnue"))</f>
        <v/>
      </c>
      <c r="E3603" s="37" t="n"/>
      <c r="F3603" s="39" t="str">
        <f>IF(C3603="","",IFERROR(INDEX(art_unit,MATCH(C3603,art_ref,0))&amp;"",""))</f>
        <v/>
      </c>
      <c r="G3603" s="37" t="n"/>
      <c r="H3603" s="37" t="n"/>
      <c r="I3603" s="37" t="n"/>
      <c r="J3603" s="40" t="str">
        <f>IF(OR(C3603="",NOT(ISNUMBER(E3603))),"",IFERROR(E3603*N(INDEX(art_price,MATCH(C3603,art_ref,0))),""))</f>
        <v/>
      </c>
      <c r="K3603" s="39" t="str">
        <f>IF(OR(C3603="",NOT(ISNUMBER(E3603))),"",IFERROR(ROUND(N(INDEX(art_init,MATCH(C3603,art_ref,0)))+SUMIFS($E$5:E3603,$C$5:C3603,C3603,$B$5:B3603,"Entrée")-SUMIFS($E$5:E3603,$C$5:C3603,C3603,$B$5:B3603,"Sortie"),6),""))</f>
        <v/>
      </c>
      <c r="L3603" s="39" t="str">
        <f>IF(COUNTA(A3603:C3603,E3603)=0,"",IF(COUNTA(A3603:C3603,E3603)&lt;4,"Ligne incomplète",IF(NOT(ISNUMBER(A3603)),"Date invalide",IF(AND(B3603&lt;&gt;"Entrée",B3603&lt;&gt;"Sortie"),"Type inconnu",IF(ISNA(MATCH(C3603,art_ref,0)),"Référence inconnue",IF(OR(NOT(ISNUMBER(E3603)),N(E3603)&lt;=0),"Quantité invalide",IF(K3603&lt;0,"Stock négatif",IF(AND(ISNUMBER(A3602),A3603&lt;A3602),"Date hors ordre","OK"))))))))</f>
        <v/>
      </c>
      <c r="M3603" s="39" t="str">
        <f>IF(C3603="","",C3603&amp;"#"&amp;COUNTIF($C$5:C3603,C3603))</f>
        <v/>
      </c>
    </row>
    <row r="3604">
      <c r="A3604" s="41" t="n"/>
      <c r="B3604" s="37" t="n"/>
      <c r="C3604" s="37" t="n"/>
      <c r="D3604" s="39" t="str">
        <f>IF(C3604="","",IFERROR(INDEX(art_des,MATCH(C3604,art_ref,0))&amp;"","Référence inconnue"))</f>
        <v/>
      </c>
      <c r="E3604" s="37" t="n"/>
      <c r="F3604" s="39" t="str">
        <f>IF(C3604="","",IFERROR(INDEX(art_unit,MATCH(C3604,art_ref,0))&amp;"",""))</f>
        <v/>
      </c>
      <c r="G3604" s="37" t="n"/>
      <c r="H3604" s="37" t="n"/>
      <c r="I3604" s="37" t="n"/>
      <c r="J3604" s="40" t="str">
        <f>IF(OR(C3604="",NOT(ISNUMBER(E3604))),"",IFERROR(E3604*N(INDEX(art_price,MATCH(C3604,art_ref,0))),""))</f>
        <v/>
      </c>
      <c r="K3604" s="39" t="str">
        <f>IF(OR(C3604="",NOT(ISNUMBER(E3604))),"",IFERROR(ROUND(N(INDEX(art_init,MATCH(C3604,art_ref,0)))+SUMIFS($E$5:E3604,$C$5:C3604,C3604,$B$5:B3604,"Entrée")-SUMIFS($E$5:E3604,$C$5:C3604,C3604,$B$5:B3604,"Sortie"),6),""))</f>
        <v/>
      </c>
      <c r="L3604" s="39" t="str">
        <f>IF(COUNTA(A3604:C3604,E3604)=0,"",IF(COUNTA(A3604:C3604,E3604)&lt;4,"Ligne incomplète",IF(NOT(ISNUMBER(A3604)),"Date invalide",IF(AND(B3604&lt;&gt;"Entrée",B3604&lt;&gt;"Sortie"),"Type inconnu",IF(ISNA(MATCH(C3604,art_ref,0)),"Référence inconnue",IF(OR(NOT(ISNUMBER(E3604)),N(E3604)&lt;=0),"Quantité invalide",IF(K3604&lt;0,"Stock négatif",IF(AND(ISNUMBER(A3603),A3604&lt;A3603),"Date hors ordre","OK"))))))))</f>
        <v/>
      </c>
      <c r="M3604" s="39" t="str">
        <f>IF(C3604="","",C3604&amp;"#"&amp;COUNTIF($C$5:C3604,C3604))</f>
        <v/>
      </c>
    </row>
    <row r="3605">
      <c r="A3605" s="41" t="n"/>
      <c r="B3605" s="37" t="n"/>
      <c r="C3605" s="37" t="n"/>
      <c r="D3605" s="39" t="str">
        <f>IF(C3605="","",IFERROR(INDEX(art_des,MATCH(C3605,art_ref,0))&amp;"","Référence inconnue"))</f>
        <v/>
      </c>
      <c r="E3605" s="37" t="n"/>
      <c r="F3605" s="39" t="str">
        <f>IF(C3605="","",IFERROR(INDEX(art_unit,MATCH(C3605,art_ref,0))&amp;"",""))</f>
        <v/>
      </c>
      <c r="G3605" s="37" t="n"/>
      <c r="H3605" s="37" t="n"/>
      <c r="I3605" s="37" t="n"/>
      <c r="J3605" s="40" t="str">
        <f>IF(OR(C3605="",NOT(ISNUMBER(E3605))),"",IFERROR(E3605*N(INDEX(art_price,MATCH(C3605,art_ref,0))),""))</f>
        <v/>
      </c>
      <c r="K3605" s="39" t="str">
        <f>IF(OR(C3605="",NOT(ISNUMBER(E3605))),"",IFERROR(ROUND(N(INDEX(art_init,MATCH(C3605,art_ref,0)))+SUMIFS($E$5:E3605,$C$5:C3605,C3605,$B$5:B3605,"Entrée")-SUMIFS($E$5:E3605,$C$5:C3605,C3605,$B$5:B3605,"Sortie"),6),""))</f>
        <v/>
      </c>
      <c r="L3605" s="39" t="str">
        <f>IF(COUNTA(A3605:C3605,E3605)=0,"",IF(COUNTA(A3605:C3605,E3605)&lt;4,"Ligne incomplète",IF(NOT(ISNUMBER(A3605)),"Date invalide",IF(AND(B3605&lt;&gt;"Entrée",B3605&lt;&gt;"Sortie"),"Type inconnu",IF(ISNA(MATCH(C3605,art_ref,0)),"Référence inconnue",IF(OR(NOT(ISNUMBER(E3605)),N(E3605)&lt;=0),"Quantité invalide",IF(K3605&lt;0,"Stock négatif",IF(AND(ISNUMBER(A3604),A3605&lt;A3604),"Date hors ordre","OK"))))))))</f>
        <v/>
      </c>
      <c r="M3605" s="39" t="str">
        <f>IF(C3605="","",C3605&amp;"#"&amp;COUNTIF($C$5:C3605,C3605))</f>
        <v/>
      </c>
    </row>
    <row r="3606">
      <c r="A3606" s="41" t="n"/>
      <c r="B3606" s="37" t="n"/>
      <c r="C3606" s="37" t="n"/>
      <c r="D3606" s="39" t="str">
        <f>IF(C3606="","",IFERROR(INDEX(art_des,MATCH(C3606,art_ref,0))&amp;"","Référence inconnue"))</f>
        <v/>
      </c>
      <c r="E3606" s="37" t="n"/>
      <c r="F3606" s="39" t="str">
        <f>IF(C3606="","",IFERROR(INDEX(art_unit,MATCH(C3606,art_ref,0))&amp;"",""))</f>
        <v/>
      </c>
      <c r="G3606" s="37" t="n"/>
      <c r="H3606" s="37" t="n"/>
      <c r="I3606" s="37" t="n"/>
      <c r="J3606" s="40" t="str">
        <f>IF(OR(C3606="",NOT(ISNUMBER(E3606))),"",IFERROR(E3606*N(INDEX(art_price,MATCH(C3606,art_ref,0))),""))</f>
        <v/>
      </c>
      <c r="K3606" s="39" t="str">
        <f>IF(OR(C3606="",NOT(ISNUMBER(E3606))),"",IFERROR(ROUND(N(INDEX(art_init,MATCH(C3606,art_ref,0)))+SUMIFS($E$5:E3606,$C$5:C3606,C3606,$B$5:B3606,"Entrée")-SUMIFS($E$5:E3606,$C$5:C3606,C3606,$B$5:B3606,"Sortie"),6),""))</f>
        <v/>
      </c>
      <c r="L3606" s="39" t="str">
        <f>IF(COUNTA(A3606:C3606,E3606)=0,"",IF(COUNTA(A3606:C3606,E3606)&lt;4,"Ligne incomplète",IF(NOT(ISNUMBER(A3606)),"Date invalide",IF(AND(B3606&lt;&gt;"Entrée",B3606&lt;&gt;"Sortie"),"Type inconnu",IF(ISNA(MATCH(C3606,art_ref,0)),"Référence inconnue",IF(OR(NOT(ISNUMBER(E3606)),N(E3606)&lt;=0),"Quantité invalide",IF(K3606&lt;0,"Stock négatif",IF(AND(ISNUMBER(A3605),A3606&lt;A3605),"Date hors ordre","OK"))))))))</f>
        <v/>
      </c>
      <c r="M3606" s="39" t="str">
        <f>IF(C3606="","",C3606&amp;"#"&amp;COUNTIF($C$5:C3606,C3606))</f>
        <v/>
      </c>
    </row>
    <row r="3607">
      <c r="A3607" s="41" t="n"/>
      <c r="B3607" s="37" t="n"/>
      <c r="C3607" s="37" t="n"/>
      <c r="D3607" s="39" t="str">
        <f>IF(C3607="","",IFERROR(INDEX(art_des,MATCH(C3607,art_ref,0))&amp;"","Référence inconnue"))</f>
        <v/>
      </c>
      <c r="E3607" s="37" t="n"/>
      <c r="F3607" s="39" t="str">
        <f>IF(C3607="","",IFERROR(INDEX(art_unit,MATCH(C3607,art_ref,0))&amp;"",""))</f>
        <v/>
      </c>
      <c r="G3607" s="37" t="n"/>
      <c r="H3607" s="37" t="n"/>
      <c r="I3607" s="37" t="n"/>
      <c r="J3607" s="40" t="str">
        <f>IF(OR(C3607="",NOT(ISNUMBER(E3607))),"",IFERROR(E3607*N(INDEX(art_price,MATCH(C3607,art_ref,0))),""))</f>
        <v/>
      </c>
      <c r="K3607" s="39" t="str">
        <f>IF(OR(C3607="",NOT(ISNUMBER(E3607))),"",IFERROR(ROUND(N(INDEX(art_init,MATCH(C3607,art_ref,0)))+SUMIFS($E$5:E3607,$C$5:C3607,C3607,$B$5:B3607,"Entrée")-SUMIFS($E$5:E3607,$C$5:C3607,C3607,$B$5:B3607,"Sortie"),6),""))</f>
        <v/>
      </c>
      <c r="L3607" s="39" t="str">
        <f>IF(COUNTA(A3607:C3607,E3607)=0,"",IF(COUNTA(A3607:C3607,E3607)&lt;4,"Ligne incomplète",IF(NOT(ISNUMBER(A3607)),"Date invalide",IF(AND(B3607&lt;&gt;"Entrée",B3607&lt;&gt;"Sortie"),"Type inconnu",IF(ISNA(MATCH(C3607,art_ref,0)),"Référence inconnue",IF(OR(NOT(ISNUMBER(E3607)),N(E3607)&lt;=0),"Quantité invalide",IF(K3607&lt;0,"Stock négatif",IF(AND(ISNUMBER(A3606),A3607&lt;A3606),"Date hors ordre","OK"))))))))</f>
        <v/>
      </c>
      <c r="M3607" s="39" t="str">
        <f>IF(C3607="","",C3607&amp;"#"&amp;COUNTIF($C$5:C3607,C3607))</f>
        <v/>
      </c>
    </row>
    <row r="3608">
      <c r="A3608" s="41" t="n"/>
      <c r="B3608" s="37" t="n"/>
      <c r="C3608" s="37" t="n"/>
      <c r="D3608" s="39" t="str">
        <f>IF(C3608="","",IFERROR(INDEX(art_des,MATCH(C3608,art_ref,0))&amp;"","Référence inconnue"))</f>
        <v/>
      </c>
      <c r="E3608" s="37" t="n"/>
      <c r="F3608" s="39" t="str">
        <f>IF(C3608="","",IFERROR(INDEX(art_unit,MATCH(C3608,art_ref,0))&amp;"",""))</f>
        <v/>
      </c>
      <c r="G3608" s="37" t="n"/>
      <c r="H3608" s="37" t="n"/>
      <c r="I3608" s="37" t="n"/>
      <c r="J3608" s="40" t="str">
        <f>IF(OR(C3608="",NOT(ISNUMBER(E3608))),"",IFERROR(E3608*N(INDEX(art_price,MATCH(C3608,art_ref,0))),""))</f>
        <v/>
      </c>
      <c r="K3608" s="39" t="str">
        <f>IF(OR(C3608="",NOT(ISNUMBER(E3608))),"",IFERROR(ROUND(N(INDEX(art_init,MATCH(C3608,art_ref,0)))+SUMIFS($E$5:E3608,$C$5:C3608,C3608,$B$5:B3608,"Entrée")-SUMIFS($E$5:E3608,$C$5:C3608,C3608,$B$5:B3608,"Sortie"),6),""))</f>
        <v/>
      </c>
      <c r="L3608" s="39" t="str">
        <f>IF(COUNTA(A3608:C3608,E3608)=0,"",IF(COUNTA(A3608:C3608,E3608)&lt;4,"Ligne incomplète",IF(NOT(ISNUMBER(A3608)),"Date invalide",IF(AND(B3608&lt;&gt;"Entrée",B3608&lt;&gt;"Sortie"),"Type inconnu",IF(ISNA(MATCH(C3608,art_ref,0)),"Référence inconnue",IF(OR(NOT(ISNUMBER(E3608)),N(E3608)&lt;=0),"Quantité invalide",IF(K3608&lt;0,"Stock négatif",IF(AND(ISNUMBER(A3607),A3608&lt;A3607),"Date hors ordre","OK"))))))))</f>
        <v/>
      </c>
      <c r="M3608" s="39" t="str">
        <f>IF(C3608="","",C3608&amp;"#"&amp;COUNTIF($C$5:C3608,C3608))</f>
        <v/>
      </c>
    </row>
    <row r="3609">
      <c r="A3609" s="41" t="n"/>
      <c r="B3609" s="37" t="n"/>
      <c r="C3609" s="37" t="n"/>
      <c r="D3609" s="39" t="str">
        <f>IF(C3609="","",IFERROR(INDEX(art_des,MATCH(C3609,art_ref,0))&amp;"","Référence inconnue"))</f>
        <v/>
      </c>
      <c r="E3609" s="37" t="n"/>
      <c r="F3609" s="39" t="str">
        <f>IF(C3609="","",IFERROR(INDEX(art_unit,MATCH(C3609,art_ref,0))&amp;"",""))</f>
        <v/>
      </c>
      <c r="G3609" s="37" t="n"/>
      <c r="H3609" s="37" t="n"/>
      <c r="I3609" s="37" t="n"/>
      <c r="J3609" s="40" t="str">
        <f>IF(OR(C3609="",NOT(ISNUMBER(E3609))),"",IFERROR(E3609*N(INDEX(art_price,MATCH(C3609,art_ref,0))),""))</f>
        <v/>
      </c>
      <c r="K3609" s="39" t="str">
        <f>IF(OR(C3609="",NOT(ISNUMBER(E3609))),"",IFERROR(ROUND(N(INDEX(art_init,MATCH(C3609,art_ref,0)))+SUMIFS($E$5:E3609,$C$5:C3609,C3609,$B$5:B3609,"Entrée")-SUMIFS($E$5:E3609,$C$5:C3609,C3609,$B$5:B3609,"Sortie"),6),""))</f>
        <v/>
      </c>
      <c r="L3609" s="39" t="str">
        <f>IF(COUNTA(A3609:C3609,E3609)=0,"",IF(COUNTA(A3609:C3609,E3609)&lt;4,"Ligne incomplète",IF(NOT(ISNUMBER(A3609)),"Date invalide",IF(AND(B3609&lt;&gt;"Entrée",B3609&lt;&gt;"Sortie"),"Type inconnu",IF(ISNA(MATCH(C3609,art_ref,0)),"Référence inconnue",IF(OR(NOT(ISNUMBER(E3609)),N(E3609)&lt;=0),"Quantité invalide",IF(K3609&lt;0,"Stock négatif",IF(AND(ISNUMBER(A3608),A3609&lt;A3608),"Date hors ordre","OK"))))))))</f>
        <v/>
      </c>
      <c r="M3609" s="39" t="str">
        <f>IF(C3609="","",C3609&amp;"#"&amp;COUNTIF($C$5:C3609,C3609))</f>
        <v/>
      </c>
    </row>
    <row r="3610">
      <c r="A3610" s="41" t="n"/>
      <c r="B3610" s="37" t="n"/>
      <c r="C3610" s="37" t="n"/>
      <c r="D3610" s="39" t="str">
        <f>IF(C3610="","",IFERROR(INDEX(art_des,MATCH(C3610,art_ref,0))&amp;"","Référence inconnue"))</f>
        <v/>
      </c>
      <c r="E3610" s="37" t="n"/>
      <c r="F3610" s="39" t="str">
        <f>IF(C3610="","",IFERROR(INDEX(art_unit,MATCH(C3610,art_ref,0))&amp;"",""))</f>
        <v/>
      </c>
      <c r="G3610" s="37" t="n"/>
      <c r="H3610" s="37" t="n"/>
      <c r="I3610" s="37" t="n"/>
      <c r="J3610" s="40" t="str">
        <f>IF(OR(C3610="",NOT(ISNUMBER(E3610))),"",IFERROR(E3610*N(INDEX(art_price,MATCH(C3610,art_ref,0))),""))</f>
        <v/>
      </c>
      <c r="K3610" s="39" t="str">
        <f>IF(OR(C3610="",NOT(ISNUMBER(E3610))),"",IFERROR(ROUND(N(INDEX(art_init,MATCH(C3610,art_ref,0)))+SUMIFS($E$5:E3610,$C$5:C3610,C3610,$B$5:B3610,"Entrée")-SUMIFS($E$5:E3610,$C$5:C3610,C3610,$B$5:B3610,"Sortie"),6),""))</f>
        <v/>
      </c>
      <c r="L3610" s="39" t="str">
        <f>IF(COUNTA(A3610:C3610,E3610)=0,"",IF(COUNTA(A3610:C3610,E3610)&lt;4,"Ligne incomplète",IF(NOT(ISNUMBER(A3610)),"Date invalide",IF(AND(B3610&lt;&gt;"Entrée",B3610&lt;&gt;"Sortie"),"Type inconnu",IF(ISNA(MATCH(C3610,art_ref,0)),"Référence inconnue",IF(OR(NOT(ISNUMBER(E3610)),N(E3610)&lt;=0),"Quantité invalide",IF(K3610&lt;0,"Stock négatif",IF(AND(ISNUMBER(A3609),A3610&lt;A3609),"Date hors ordre","OK"))))))))</f>
        <v/>
      </c>
      <c r="M3610" s="39" t="str">
        <f>IF(C3610="","",C3610&amp;"#"&amp;COUNTIF($C$5:C3610,C3610))</f>
        <v/>
      </c>
    </row>
    <row r="3611">
      <c r="A3611" s="41" t="n"/>
      <c r="B3611" s="37" t="n"/>
      <c r="C3611" s="37" t="n"/>
      <c r="D3611" s="39" t="str">
        <f>IF(C3611="","",IFERROR(INDEX(art_des,MATCH(C3611,art_ref,0))&amp;"","Référence inconnue"))</f>
        <v/>
      </c>
      <c r="E3611" s="37" t="n"/>
      <c r="F3611" s="39" t="str">
        <f>IF(C3611="","",IFERROR(INDEX(art_unit,MATCH(C3611,art_ref,0))&amp;"",""))</f>
        <v/>
      </c>
      <c r="G3611" s="37" t="n"/>
      <c r="H3611" s="37" t="n"/>
      <c r="I3611" s="37" t="n"/>
      <c r="J3611" s="40" t="str">
        <f>IF(OR(C3611="",NOT(ISNUMBER(E3611))),"",IFERROR(E3611*N(INDEX(art_price,MATCH(C3611,art_ref,0))),""))</f>
        <v/>
      </c>
      <c r="K3611" s="39" t="str">
        <f>IF(OR(C3611="",NOT(ISNUMBER(E3611))),"",IFERROR(ROUND(N(INDEX(art_init,MATCH(C3611,art_ref,0)))+SUMIFS($E$5:E3611,$C$5:C3611,C3611,$B$5:B3611,"Entrée")-SUMIFS($E$5:E3611,$C$5:C3611,C3611,$B$5:B3611,"Sortie"),6),""))</f>
        <v/>
      </c>
      <c r="L3611" s="39" t="str">
        <f>IF(COUNTA(A3611:C3611,E3611)=0,"",IF(COUNTA(A3611:C3611,E3611)&lt;4,"Ligne incomplète",IF(NOT(ISNUMBER(A3611)),"Date invalide",IF(AND(B3611&lt;&gt;"Entrée",B3611&lt;&gt;"Sortie"),"Type inconnu",IF(ISNA(MATCH(C3611,art_ref,0)),"Référence inconnue",IF(OR(NOT(ISNUMBER(E3611)),N(E3611)&lt;=0),"Quantité invalide",IF(K3611&lt;0,"Stock négatif",IF(AND(ISNUMBER(A3610),A3611&lt;A3610),"Date hors ordre","OK"))))))))</f>
        <v/>
      </c>
      <c r="M3611" s="39" t="str">
        <f>IF(C3611="","",C3611&amp;"#"&amp;COUNTIF($C$5:C3611,C3611))</f>
        <v/>
      </c>
    </row>
    <row r="3612">
      <c r="A3612" s="41" t="n"/>
      <c r="B3612" s="37" t="n"/>
      <c r="C3612" s="37" t="n"/>
      <c r="D3612" s="39" t="str">
        <f>IF(C3612="","",IFERROR(INDEX(art_des,MATCH(C3612,art_ref,0))&amp;"","Référence inconnue"))</f>
        <v/>
      </c>
      <c r="E3612" s="37" t="n"/>
      <c r="F3612" s="39" t="str">
        <f>IF(C3612="","",IFERROR(INDEX(art_unit,MATCH(C3612,art_ref,0))&amp;"",""))</f>
        <v/>
      </c>
      <c r="G3612" s="37" t="n"/>
      <c r="H3612" s="37" t="n"/>
      <c r="I3612" s="37" t="n"/>
      <c r="J3612" s="40" t="str">
        <f>IF(OR(C3612="",NOT(ISNUMBER(E3612))),"",IFERROR(E3612*N(INDEX(art_price,MATCH(C3612,art_ref,0))),""))</f>
        <v/>
      </c>
      <c r="K3612" s="39" t="str">
        <f>IF(OR(C3612="",NOT(ISNUMBER(E3612))),"",IFERROR(ROUND(N(INDEX(art_init,MATCH(C3612,art_ref,0)))+SUMIFS($E$5:E3612,$C$5:C3612,C3612,$B$5:B3612,"Entrée")-SUMIFS($E$5:E3612,$C$5:C3612,C3612,$B$5:B3612,"Sortie"),6),""))</f>
        <v/>
      </c>
      <c r="L3612" s="39" t="str">
        <f>IF(COUNTA(A3612:C3612,E3612)=0,"",IF(COUNTA(A3612:C3612,E3612)&lt;4,"Ligne incomplète",IF(NOT(ISNUMBER(A3612)),"Date invalide",IF(AND(B3612&lt;&gt;"Entrée",B3612&lt;&gt;"Sortie"),"Type inconnu",IF(ISNA(MATCH(C3612,art_ref,0)),"Référence inconnue",IF(OR(NOT(ISNUMBER(E3612)),N(E3612)&lt;=0),"Quantité invalide",IF(K3612&lt;0,"Stock négatif",IF(AND(ISNUMBER(A3611),A3612&lt;A3611),"Date hors ordre","OK"))))))))</f>
        <v/>
      </c>
      <c r="M3612" s="39" t="str">
        <f>IF(C3612="","",C3612&amp;"#"&amp;COUNTIF($C$5:C3612,C3612))</f>
        <v/>
      </c>
    </row>
    <row r="3613">
      <c r="A3613" s="41" t="n"/>
      <c r="B3613" s="37" t="n"/>
      <c r="C3613" s="37" t="n"/>
      <c r="D3613" s="39" t="str">
        <f>IF(C3613="","",IFERROR(INDEX(art_des,MATCH(C3613,art_ref,0))&amp;"","Référence inconnue"))</f>
        <v/>
      </c>
      <c r="E3613" s="37" t="n"/>
      <c r="F3613" s="39" t="str">
        <f>IF(C3613="","",IFERROR(INDEX(art_unit,MATCH(C3613,art_ref,0))&amp;"",""))</f>
        <v/>
      </c>
      <c r="G3613" s="37" t="n"/>
      <c r="H3613" s="37" t="n"/>
      <c r="I3613" s="37" t="n"/>
      <c r="J3613" s="40" t="str">
        <f>IF(OR(C3613="",NOT(ISNUMBER(E3613))),"",IFERROR(E3613*N(INDEX(art_price,MATCH(C3613,art_ref,0))),""))</f>
        <v/>
      </c>
      <c r="K3613" s="39" t="str">
        <f>IF(OR(C3613="",NOT(ISNUMBER(E3613))),"",IFERROR(ROUND(N(INDEX(art_init,MATCH(C3613,art_ref,0)))+SUMIFS($E$5:E3613,$C$5:C3613,C3613,$B$5:B3613,"Entrée")-SUMIFS($E$5:E3613,$C$5:C3613,C3613,$B$5:B3613,"Sortie"),6),""))</f>
        <v/>
      </c>
      <c r="L3613" s="39" t="str">
        <f>IF(COUNTA(A3613:C3613,E3613)=0,"",IF(COUNTA(A3613:C3613,E3613)&lt;4,"Ligne incomplète",IF(NOT(ISNUMBER(A3613)),"Date invalide",IF(AND(B3613&lt;&gt;"Entrée",B3613&lt;&gt;"Sortie"),"Type inconnu",IF(ISNA(MATCH(C3613,art_ref,0)),"Référence inconnue",IF(OR(NOT(ISNUMBER(E3613)),N(E3613)&lt;=0),"Quantité invalide",IF(K3613&lt;0,"Stock négatif",IF(AND(ISNUMBER(A3612),A3613&lt;A3612),"Date hors ordre","OK"))))))))</f>
        <v/>
      </c>
      <c r="M3613" s="39" t="str">
        <f>IF(C3613="","",C3613&amp;"#"&amp;COUNTIF($C$5:C3613,C3613))</f>
        <v/>
      </c>
    </row>
    <row r="3614">
      <c r="A3614" s="41" t="n"/>
      <c r="B3614" s="37" t="n"/>
      <c r="C3614" s="37" t="n"/>
      <c r="D3614" s="39" t="str">
        <f>IF(C3614="","",IFERROR(INDEX(art_des,MATCH(C3614,art_ref,0))&amp;"","Référence inconnue"))</f>
        <v/>
      </c>
      <c r="E3614" s="37" t="n"/>
      <c r="F3614" s="39" t="str">
        <f>IF(C3614="","",IFERROR(INDEX(art_unit,MATCH(C3614,art_ref,0))&amp;"",""))</f>
        <v/>
      </c>
      <c r="G3614" s="37" t="n"/>
      <c r="H3614" s="37" t="n"/>
      <c r="I3614" s="37" t="n"/>
      <c r="J3614" s="40" t="str">
        <f>IF(OR(C3614="",NOT(ISNUMBER(E3614))),"",IFERROR(E3614*N(INDEX(art_price,MATCH(C3614,art_ref,0))),""))</f>
        <v/>
      </c>
      <c r="K3614" s="39" t="str">
        <f>IF(OR(C3614="",NOT(ISNUMBER(E3614))),"",IFERROR(ROUND(N(INDEX(art_init,MATCH(C3614,art_ref,0)))+SUMIFS($E$5:E3614,$C$5:C3614,C3614,$B$5:B3614,"Entrée")-SUMIFS($E$5:E3614,$C$5:C3614,C3614,$B$5:B3614,"Sortie"),6),""))</f>
        <v/>
      </c>
      <c r="L3614" s="39" t="str">
        <f>IF(COUNTA(A3614:C3614,E3614)=0,"",IF(COUNTA(A3614:C3614,E3614)&lt;4,"Ligne incomplète",IF(NOT(ISNUMBER(A3614)),"Date invalide",IF(AND(B3614&lt;&gt;"Entrée",B3614&lt;&gt;"Sortie"),"Type inconnu",IF(ISNA(MATCH(C3614,art_ref,0)),"Référence inconnue",IF(OR(NOT(ISNUMBER(E3614)),N(E3614)&lt;=0),"Quantité invalide",IF(K3614&lt;0,"Stock négatif",IF(AND(ISNUMBER(A3613),A3614&lt;A3613),"Date hors ordre","OK"))))))))</f>
        <v/>
      </c>
      <c r="M3614" s="39" t="str">
        <f>IF(C3614="","",C3614&amp;"#"&amp;COUNTIF($C$5:C3614,C3614))</f>
        <v/>
      </c>
    </row>
    <row r="3615">
      <c r="A3615" s="41" t="n"/>
      <c r="B3615" s="37" t="n"/>
      <c r="C3615" s="37" t="n"/>
      <c r="D3615" s="39" t="str">
        <f>IF(C3615="","",IFERROR(INDEX(art_des,MATCH(C3615,art_ref,0))&amp;"","Référence inconnue"))</f>
        <v/>
      </c>
      <c r="E3615" s="37" t="n"/>
      <c r="F3615" s="39" t="str">
        <f>IF(C3615="","",IFERROR(INDEX(art_unit,MATCH(C3615,art_ref,0))&amp;"",""))</f>
        <v/>
      </c>
      <c r="G3615" s="37" t="n"/>
      <c r="H3615" s="37" t="n"/>
      <c r="I3615" s="37" t="n"/>
      <c r="J3615" s="40" t="str">
        <f>IF(OR(C3615="",NOT(ISNUMBER(E3615))),"",IFERROR(E3615*N(INDEX(art_price,MATCH(C3615,art_ref,0))),""))</f>
        <v/>
      </c>
      <c r="K3615" s="39" t="str">
        <f>IF(OR(C3615="",NOT(ISNUMBER(E3615))),"",IFERROR(ROUND(N(INDEX(art_init,MATCH(C3615,art_ref,0)))+SUMIFS($E$5:E3615,$C$5:C3615,C3615,$B$5:B3615,"Entrée")-SUMIFS($E$5:E3615,$C$5:C3615,C3615,$B$5:B3615,"Sortie"),6),""))</f>
        <v/>
      </c>
      <c r="L3615" s="39" t="str">
        <f>IF(COUNTA(A3615:C3615,E3615)=0,"",IF(COUNTA(A3615:C3615,E3615)&lt;4,"Ligne incomplète",IF(NOT(ISNUMBER(A3615)),"Date invalide",IF(AND(B3615&lt;&gt;"Entrée",B3615&lt;&gt;"Sortie"),"Type inconnu",IF(ISNA(MATCH(C3615,art_ref,0)),"Référence inconnue",IF(OR(NOT(ISNUMBER(E3615)),N(E3615)&lt;=0),"Quantité invalide",IF(K3615&lt;0,"Stock négatif",IF(AND(ISNUMBER(A3614),A3615&lt;A3614),"Date hors ordre","OK"))))))))</f>
        <v/>
      </c>
      <c r="M3615" s="39" t="str">
        <f>IF(C3615="","",C3615&amp;"#"&amp;COUNTIF($C$5:C3615,C3615))</f>
        <v/>
      </c>
    </row>
    <row r="3616">
      <c r="A3616" s="41" t="n"/>
      <c r="B3616" s="37" t="n"/>
      <c r="C3616" s="37" t="n"/>
      <c r="D3616" s="39" t="str">
        <f>IF(C3616="","",IFERROR(INDEX(art_des,MATCH(C3616,art_ref,0))&amp;"","Référence inconnue"))</f>
        <v/>
      </c>
      <c r="E3616" s="37" t="n"/>
      <c r="F3616" s="39" t="str">
        <f>IF(C3616="","",IFERROR(INDEX(art_unit,MATCH(C3616,art_ref,0))&amp;"",""))</f>
        <v/>
      </c>
      <c r="G3616" s="37" t="n"/>
      <c r="H3616" s="37" t="n"/>
      <c r="I3616" s="37" t="n"/>
      <c r="J3616" s="40" t="str">
        <f>IF(OR(C3616="",NOT(ISNUMBER(E3616))),"",IFERROR(E3616*N(INDEX(art_price,MATCH(C3616,art_ref,0))),""))</f>
        <v/>
      </c>
      <c r="K3616" s="39" t="str">
        <f>IF(OR(C3616="",NOT(ISNUMBER(E3616))),"",IFERROR(ROUND(N(INDEX(art_init,MATCH(C3616,art_ref,0)))+SUMIFS($E$5:E3616,$C$5:C3616,C3616,$B$5:B3616,"Entrée")-SUMIFS($E$5:E3616,$C$5:C3616,C3616,$B$5:B3616,"Sortie"),6),""))</f>
        <v/>
      </c>
      <c r="L3616" s="39" t="str">
        <f>IF(COUNTA(A3616:C3616,E3616)=0,"",IF(COUNTA(A3616:C3616,E3616)&lt;4,"Ligne incomplète",IF(NOT(ISNUMBER(A3616)),"Date invalide",IF(AND(B3616&lt;&gt;"Entrée",B3616&lt;&gt;"Sortie"),"Type inconnu",IF(ISNA(MATCH(C3616,art_ref,0)),"Référence inconnue",IF(OR(NOT(ISNUMBER(E3616)),N(E3616)&lt;=0),"Quantité invalide",IF(K3616&lt;0,"Stock négatif",IF(AND(ISNUMBER(A3615),A3616&lt;A3615),"Date hors ordre","OK"))))))))</f>
        <v/>
      </c>
      <c r="M3616" s="39" t="str">
        <f>IF(C3616="","",C3616&amp;"#"&amp;COUNTIF($C$5:C3616,C3616))</f>
        <v/>
      </c>
    </row>
    <row r="3617">
      <c r="A3617" s="41" t="n"/>
      <c r="B3617" s="37" t="n"/>
      <c r="C3617" s="37" t="n"/>
      <c r="D3617" s="39" t="str">
        <f>IF(C3617="","",IFERROR(INDEX(art_des,MATCH(C3617,art_ref,0))&amp;"","Référence inconnue"))</f>
        <v/>
      </c>
      <c r="E3617" s="37" t="n"/>
      <c r="F3617" s="39" t="str">
        <f>IF(C3617="","",IFERROR(INDEX(art_unit,MATCH(C3617,art_ref,0))&amp;"",""))</f>
        <v/>
      </c>
      <c r="G3617" s="37" t="n"/>
      <c r="H3617" s="37" t="n"/>
      <c r="I3617" s="37" t="n"/>
      <c r="J3617" s="40" t="str">
        <f>IF(OR(C3617="",NOT(ISNUMBER(E3617))),"",IFERROR(E3617*N(INDEX(art_price,MATCH(C3617,art_ref,0))),""))</f>
        <v/>
      </c>
      <c r="K3617" s="39" t="str">
        <f>IF(OR(C3617="",NOT(ISNUMBER(E3617))),"",IFERROR(ROUND(N(INDEX(art_init,MATCH(C3617,art_ref,0)))+SUMIFS($E$5:E3617,$C$5:C3617,C3617,$B$5:B3617,"Entrée")-SUMIFS($E$5:E3617,$C$5:C3617,C3617,$B$5:B3617,"Sortie"),6),""))</f>
        <v/>
      </c>
      <c r="L3617" s="39" t="str">
        <f>IF(COUNTA(A3617:C3617,E3617)=0,"",IF(COUNTA(A3617:C3617,E3617)&lt;4,"Ligne incomplète",IF(NOT(ISNUMBER(A3617)),"Date invalide",IF(AND(B3617&lt;&gt;"Entrée",B3617&lt;&gt;"Sortie"),"Type inconnu",IF(ISNA(MATCH(C3617,art_ref,0)),"Référence inconnue",IF(OR(NOT(ISNUMBER(E3617)),N(E3617)&lt;=0),"Quantité invalide",IF(K3617&lt;0,"Stock négatif",IF(AND(ISNUMBER(A3616),A3617&lt;A3616),"Date hors ordre","OK"))))))))</f>
        <v/>
      </c>
      <c r="M3617" s="39" t="str">
        <f>IF(C3617="","",C3617&amp;"#"&amp;COUNTIF($C$5:C3617,C3617))</f>
        <v/>
      </c>
    </row>
    <row r="3618">
      <c r="A3618" s="41" t="n"/>
      <c r="B3618" s="37" t="n"/>
      <c r="C3618" s="37" t="n"/>
      <c r="D3618" s="39" t="str">
        <f>IF(C3618="","",IFERROR(INDEX(art_des,MATCH(C3618,art_ref,0))&amp;"","Référence inconnue"))</f>
        <v/>
      </c>
      <c r="E3618" s="37" t="n"/>
      <c r="F3618" s="39" t="str">
        <f>IF(C3618="","",IFERROR(INDEX(art_unit,MATCH(C3618,art_ref,0))&amp;"",""))</f>
        <v/>
      </c>
      <c r="G3618" s="37" t="n"/>
      <c r="H3618" s="37" t="n"/>
      <c r="I3618" s="37" t="n"/>
      <c r="J3618" s="40" t="str">
        <f>IF(OR(C3618="",NOT(ISNUMBER(E3618))),"",IFERROR(E3618*N(INDEX(art_price,MATCH(C3618,art_ref,0))),""))</f>
        <v/>
      </c>
      <c r="K3618" s="39" t="str">
        <f>IF(OR(C3618="",NOT(ISNUMBER(E3618))),"",IFERROR(ROUND(N(INDEX(art_init,MATCH(C3618,art_ref,0)))+SUMIFS($E$5:E3618,$C$5:C3618,C3618,$B$5:B3618,"Entrée")-SUMIFS($E$5:E3618,$C$5:C3618,C3618,$B$5:B3618,"Sortie"),6),""))</f>
        <v/>
      </c>
      <c r="L3618" s="39" t="str">
        <f>IF(COUNTA(A3618:C3618,E3618)=0,"",IF(COUNTA(A3618:C3618,E3618)&lt;4,"Ligne incomplète",IF(NOT(ISNUMBER(A3618)),"Date invalide",IF(AND(B3618&lt;&gt;"Entrée",B3618&lt;&gt;"Sortie"),"Type inconnu",IF(ISNA(MATCH(C3618,art_ref,0)),"Référence inconnue",IF(OR(NOT(ISNUMBER(E3618)),N(E3618)&lt;=0),"Quantité invalide",IF(K3618&lt;0,"Stock négatif",IF(AND(ISNUMBER(A3617),A3618&lt;A3617),"Date hors ordre","OK"))))))))</f>
        <v/>
      </c>
      <c r="M3618" s="39" t="str">
        <f>IF(C3618="","",C3618&amp;"#"&amp;COUNTIF($C$5:C3618,C3618))</f>
        <v/>
      </c>
    </row>
    <row r="3619">
      <c r="A3619" s="41" t="n"/>
      <c r="B3619" s="37" t="n"/>
      <c r="C3619" s="37" t="n"/>
      <c r="D3619" s="39" t="str">
        <f>IF(C3619="","",IFERROR(INDEX(art_des,MATCH(C3619,art_ref,0))&amp;"","Référence inconnue"))</f>
        <v/>
      </c>
      <c r="E3619" s="37" t="n"/>
      <c r="F3619" s="39" t="str">
        <f>IF(C3619="","",IFERROR(INDEX(art_unit,MATCH(C3619,art_ref,0))&amp;"",""))</f>
        <v/>
      </c>
      <c r="G3619" s="37" t="n"/>
      <c r="H3619" s="37" t="n"/>
      <c r="I3619" s="37" t="n"/>
      <c r="J3619" s="40" t="str">
        <f>IF(OR(C3619="",NOT(ISNUMBER(E3619))),"",IFERROR(E3619*N(INDEX(art_price,MATCH(C3619,art_ref,0))),""))</f>
        <v/>
      </c>
      <c r="K3619" s="39" t="str">
        <f>IF(OR(C3619="",NOT(ISNUMBER(E3619))),"",IFERROR(ROUND(N(INDEX(art_init,MATCH(C3619,art_ref,0)))+SUMIFS($E$5:E3619,$C$5:C3619,C3619,$B$5:B3619,"Entrée")-SUMIFS($E$5:E3619,$C$5:C3619,C3619,$B$5:B3619,"Sortie"),6),""))</f>
        <v/>
      </c>
      <c r="L3619" s="39" t="str">
        <f>IF(COUNTA(A3619:C3619,E3619)=0,"",IF(COUNTA(A3619:C3619,E3619)&lt;4,"Ligne incomplète",IF(NOT(ISNUMBER(A3619)),"Date invalide",IF(AND(B3619&lt;&gt;"Entrée",B3619&lt;&gt;"Sortie"),"Type inconnu",IF(ISNA(MATCH(C3619,art_ref,0)),"Référence inconnue",IF(OR(NOT(ISNUMBER(E3619)),N(E3619)&lt;=0),"Quantité invalide",IF(K3619&lt;0,"Stock négatif",IF(AND(ISNUMBER(A3618),A3619&lt;A3618),"Date hors ordre","OK"))))))))</f>
        <v/>
      </c>
      <c r="M3619" s="39" t="str">
        <f>IF(C3619="","",C3619&amp;"#"&amp;COUNTIF($C$5:C3619,C3619))</f>
        <v/>
      </c>
    </row>
    <row r="3620">
      <c r="A3620" s="41" t="n"/>
      <c r="B3620" s="37" t="n"/>
      <c r="C3620" s="37" t="n"/>
      <c r="D3620" s="39" t="str">
        <f>IF(C3620="","",IFERROR(INDEX(art_des,MATCH(C3620,art_ref,0))&amp;"","Référence inconnue"))</f>
        <v/>
      </c>
      <c r="E3620" s="37" t="n"/>
      <c r="F3620" s="39" t="str">
        <f>IF(C3620="","",IFERROR(INDEX(art_unit,MATCH(C3620,art_ref,0))&amp;"",""))</f>
        <v/>
      </c>
      <c r="G3620" s="37" t="n"/>
      <c r="H3620" s="37" t="n"/>
      <c r="I3620" s="37" t="n"/>
      <c r="J3620" s="40" t="str">
        <f>IF(OR(C3620="",NOT(ISNUMBER(E3620))),"",IFERROR(E3620*N(INDEX(art_price,MATCH(C3620,art_ref,0))),""))</f>
        <v/>
      </c>
      <c r="K3620" s="39" t="str">
        <f>IF(OR(C3620="",NOT(ISNUMBER(E3620))),"",IFERROR(ROUND(N(INDEX(art_init,MATCH(C3620,art_ref,0)))+SUMIFS($E$5:E3620,$C$5:C3620,C3620,$B$5:B3620,"Entrée")-SUMIFS($E$5:E3620,$C$5:C3620,C3620,$B$5:B3620,"Sortie"),6),""))</f>
        <v/>
      </c>
      <c r="L3620" s="39" t="str">
        <f>IF(COUNTA(A3620:C3620,E3620)=0,"",IF(COUNTA(A3620:C3620,E3620)&lt;4,"Ligne incomplète",IF(NOT(ISNUMBER(A3620)),"Date invalide",IF(AND(B3620&lt;&gt;"Entrée",B3620&lt;&gt;"Sortie"),"Type inconnu",IF(ISNA(MATCH(C3620,art_ref,0)),"Référence inconnue",IF(OR(NOT(ISNUMBER(E3620)),N(E3620)&lt;=0),"Quantité invalide",IF(K3620&lt;0,"Stock négatif",IF(AND(ISNUMBER(A3619),A3620&lt;A3619),"Date hors ordre","OK"))))))))</f>
        <v/>
      </c>
      <c r="M3620" s="39" t="str">
        <f>IF(C3620="","",C3620&amp;"#"&amp;COUNTIF($C$5:C3620,C3620))</f>
        <v/>
      </c>
    </row>
    <row r="3621">
      <c r="A3621" s="41" t="n"/>
      <c r="B3621" s="37" t="n"/>
      <c r="C3621" s="37" t="n"/>
      <c r="D3621" s="39" t="str">
        <f>IF(C3621="","",IFERROR(INDEX(art_des,MATCH(C3621,art_ref,0))&amp;"","Référence inconnue"))</f>
        <v/>
      </c>
      <c r="E3621" s="37" t="n"/>
      <c r="F3621" s="39" t="str">
        <f>IF(C3621="","",IFERROR(INDEX(art_unit,MATCH(C3621,art_ref,0))&amp;"",""))</f>
        <v/>
      </c>
      <c r="G3621" s="37" t="n"/>
      <c r="H3621" s="37" t="n"/>
      <c r="I3621" s="37" t="n"/>
      <c r="J3621" s="40" t="str">
        <f>IF(OR(C3621="",NOT(ISNUMBER(E3621))),"",IFERROR(E3621*N(INDEX(art_price,MATCH(C3621,art_ref,0))),""))</f>
        <v/>
      </c>
      <c r="K3621" s="39" t="str">
        <f>IF(OR(C3621="",NOT(ISNUMBER(E3621))),"",IFERROR(ROUND(N(INDEX(art_init,MATCH(C3621,art_ref,0)))+SUMIFS($E$5:E3621,$C$5:C3621,C3621,$B$5:B3621,"Entrée")-SUMIFS($E$5:E3621,$C$5:C3621,C3621,$B$5:B3621,"Sortie"),6),""))</f>
        <v/>
      </c>
      <c r="L3621" s="39" t="str">
        <f>IF(COUNTA(A3621:C3621,E3621)=0,"",IF(COUNTA(A3621:C3621,E3621)&lt;4,"Ligne incomplète",IF(NOT(ISNUMBER(A3621)),"Date invalide",IF(AND(B3621&lt;&gt;"Entrée",B3621&lt;&gt;"Sortie"),"Type inconnu",IF(ISNA(MATCH(C3621,art_ref,0)),"Référence inconnue",IF(OR(NOT(ISNUMBER(E3621)),N(E3621)&lt;=0),"Quantité invalide",IF(K3621&lt;0,"Stock négatif",IF(AND(ISNUMBER(A3620),A3621&lt;A3620),"Date hors ordre","OK"))))))))</f>
        <v/>
      </c>
      <c r="M3621" s="39" t="str">
        <f>IF(C3621="","",C3621&amp;"#"&amp;COUNTIF($C$5:C3621,C3621))</f>
        <v/>
      </c>
    </row>
    <row r="3622">
      <c r="A3622" s="41" t="n"/>
      <c r="B3622" s="37" t="n"/>
      <c r="C3622" s="37" t="n"/>
      <c r="D3622" s="39" t="str">
        <f>IF(C3622="","",IFERROR(INDEX(art_des,MATCH(C3622,art_ref,0))&amp;"","Référence inconnue"))</f>
        <v/>
      </c>
      <c r="E3622" s="37" t="n"/>
      <c r="F3622" s="39" t="str">
        <f>IF(C3622="","",IFERROR(INDEX(art_unit,MATCH(C3622,art_ref,0))&amp;"",""))</f>
        <v/>
      </c>
      <c r="G3622" s="37" t="n"/>
      <c r="H3622" s="37" t="n"/>
      <c r="I3622" s="37" t="n"/>
      <c r="J3622" s="40" t="str">
        <f>IF(OR(C3622="",NOT(ISNUMBER(E3622))),"",IFERROR(E3622*N(INDEX(art_price,MATCH(C3622,art_ref,0))),""))</f>
        <v/>
      </c>
      <c r="K3622" s="39" t="str">
        <f>IF(OR(C3622="",NOT(ISNUMBER(E3622))),"",IFERROR(ROUND(N(INDEX(art_init,MATCH(C3622,art_ref,0)))+SUMIFS($E$5:E3622,$C$5:C3622,C3622,$B$5:B3622,"Entrée")-SUMIFS($E$5:E3622,$C$5:C3622,C3622,$B$5:B3622,"Sortie"),6),""))</f>
        <v/>
      </c>
      <c r="L3622" s="39" t="str">
        <f>IF(COUNTA(A3622:C3622,E3622)=0,"",IF(COUNTA(A3622:C3622,E3622)&lt;4,"Ligne incomplète",IF(NOT(ISNUMBER(A3622)),"Date invalide",IF(AND(B3622&lt;&gt;"Entrée",B3622&lt;&gt;"Sortie"),"Type inconnu",IF(ISNA(MATCH(C3622,art_ref,0)),"Référence inconnue",IF(OR(NOT(ISNUMBER(E3622)),N(E3622)&lt;=0),"Quantité invalide",IF(K3622&lt;0,"Stock négatif",IF(AND(ISNUMBER(A3621),A3622&lt;A3621),"Date hors ordre","OK"))))))))</f>
        <v/>
      </c>
      <c r="M3622" s="39" t="str">
        <f>IF(C3622="","",C3622&amp;"#"&amp;COUNTIF($C$5:C3622,C3622))</f>
        <v/>
      </c>
    </row>
    <row r="3623">
      <c r="A3623" s="41" t="n"/>
      <c r="B3623" s="37" t="n"/>
      <c r="C3623" s="37" t="n"/>
      <c r="D3623" s="39" t="str">
        <f>IF(C3623="","",IFERROR(INDEX(art_des,MATCH(C3623,art_ref,0))&amp;"","Référence inconnue"))</f>
        <v/>
      </c>
      <c r="E3623" s="37" t="n"/>
      <c r="F3623" s="39" t="str">
        <f>IF(C3623="","",IFERROR(INDEX(art_unit,MATCH(C3623,art_ref,0))&amp;"",""))</f>
        <v/>
      </c>
      <c r="G3623" s="37" t="n"/>
      <c r="H3623" s="37" t="n"/>
      <c r="I3623" s="37" t="n"/>
      <c r="J3623" s="40" t="str">
        <f>IF(OR(C3623="",NOT(ISNUMBER(E3623))),"",IFERROR(E3623*N(INDEX(art_price,MATCH(C3623,art_ref,0))),""))</f>
        <v/>
      </c>
      <c r="K3623" s="39" t="str">
        <f>IF(OR(C3623="",NOT(ISNUMBER(E3623))),"",IFERROR(ROUND(N(INDEX(art_init,MATCH(C3623,art_ref,0)))+SUMIFS($E$5:E3623,$C$5:C3623,C3623,$B$5:B3623,"Entrée")-SUMIFS($E$5:E3623,$C$5:C3623,C3623,$B$5:B3623,"Sortie"),6),""))</f>
        <v/>
      </c>
      <c r="L3623" s="39" t="str">
        <f>IF(COUNTA(A3623:C3623,E3623)=0,"",IF(COUNTA(A3623:C3623,E3623)&lt;4,"Ligne incomplète",IF(NOT(ISNUMBER(A3623)),"Date invalide",IF(AND(B3623&lt;&gt;"Entrée",B3623&lt;&gt;"Sortie"),"Type inconnu",IF(ISNA(MATCH(C3623,art_ref,0)),"Référence inconnue",IF(OR(NOT(ISNUMBER(E3623)),N(E3623)&lt;=0),"Quantité invalide",IF(K3623&lt;0,"Stock négatif",IF(AND(ISNUMBER(A3622),A3623&lt;A3622),"Date hors ordre","OK"))))))))</f>
        <v/>
      </c>
      <c r="M3623" s="39" t="str">
        <f>IF(C3623="","",C3623&amp;"#"&amp;COUNTIF($C$5:C3623,C3623))</f>
        <v/>
      </c>
    </row>
    <row r="3624">
      <c r="A3624" s="41" t="n"/>
      <c r="B3624" s="37" t="n"/>
      <c r="C3624" s="37" t="n"/>
      <c r="D3624" s="39" t="str">
        <f>IF(C3624="","",IFERROR(INDEX(art_des,MATCH(C3624,art_ref,0))&amp;"","Référence inconnue"))</f>
        <v/>
      </c>
      <c r="E3624" s="37" t="n"/>
      <c r="F3624" s="39" t="str">
        <f>IF(C3624="","",IFERROR(INDEX(art_unit,MATCH(C3624,art_ref,0))&amp;"",""))</f>
        <v/>
      </c>
      <c r="G3624" s="37" t="n"/>
      <c r="H3624" s="37" t="n"/>
      <c r="I3624" s="37" t="n"/>
      <c r="J3624" s="40" t="str">
        <f>IF(OR(C3624="",NOT(ISNUMBER(E3624))),"",IFERROR(E3624*N(INDEX(art_price,MATCH(C3624,art_ref,0))),""))</f>
        <v/>
      </c>
      <c r="K3624" s="39" t="str">
        <f>IF(OR(C3624="",NOT(ISNUMBER(E3624))),"",IFERROR(ROUND(N(INDEX(art_init,MATCH(C3624,art_ref,0)))+SUMIFS($E$5:E3624,$C$5:C3624,C3624,$B$5:B3624,"Entrée")-SUMIFS($E$5:E3624,$C$5:C3624,C3624,$B$5:B3624,"Sortie"),6),""))</f>
        <v/>
      </c>
      <c r="L3624" s="39" t="str">
        <f>IF(COUNTA(A3624:C3624,E3624)=0,"",IF(COUNTA(A3624:C3624,E3624)&lt;4,"Ligne incomplète",IF(NOT(ISNUMBER(A3624)),"Date invalide",IF(AND(B3624&lt;&gt;"Entrée",B3624&lt;&gt;"Sortie"),"Type inconnu",IF(ISNA(MATCH(C3624,art_ref,0)),"Référence inconnue",IF(OR(NOT(ISNUMBER(E3624)),N(E3624)&lt;=0),"Quantité invalide",IF(K3624&lt;0,"Stock négatif",IF(AND(ISNUMBER(A3623),A3624&lt;A3623),"Date hors ordre","OK"))))))))</f>
        <v/>
      </c>
      <c r="M3624" s="39" t="str">
        <f>IF(C3624="","",C3624&amp;"#"&amp;COUNTIF($C$5:C3624,C3624))</f>
        <v/>
      </c>
    </row>
    <row r="3625">
      <c r="A3625" s="41" t="n"/>
      <c r="B3625" s="37" t="n"/>
      <c r="C3625" s="37" t="n"/>
      <c r="D3625" s="39" t="str">
        <f>IF(C3625="","",IFERROR(INDEX(art_des,MATCH(C3625,art_ref,0))&amp;"","Référence inconnue"))</f>
        <v/>
      </c>
      <c r="E3625" s="37" t="n"/>
      <c r="F3625" s="39" t="str">
        <f>IF(C3625="","",IFERROR(INDEX(art_unit,MATCH(C3625,art_ref,0))&amp;"",""))</f>
        <v/>
      </c>
      <c r="G3625" s="37" t="n"/>
      <c r="H3625" s="37" t="n"/>
      <c r="I3625" s="37" t="n"/>
      <c r="J3625" s="40" t="str">
        <f>IF(OR(C3625="",NOT(ISNUMBER(E3625))),"",IFERROR(E3625*N(INDEX(art_price,MATCH(C3625,art_ref,0))),""))</f>
        <v/>
      </c>
      <c r="K3625" s="39" t="str">
        <f>IF(OR(C3625="",NOT(ISNUMBER(E3625))),"",IFERROR(ROUND(N(INDEX(art_init,MATCH(C3625,art_ref,0)))+SUMIFS($E$5:E3625,$C$5:C3625,C3625,$B$5:B3625,"Entrée")-SUMIFS($E$5:E3625,$C$5:C3625,C3625,$B$5:B3625,"Sortie"),6),""))</f>
        <v/>
      </c>
      <c r="L3625" s="39" t="str">
        <f>IF(COUNTA(A3625:C3625,E3625)=0,"",IF(COUNTA(A3625:C3625,E3625)&lt;4,"Ligne incomplète",IF(NOT(ISNUMBER(A3625)),"Date invalide",IF(AND(B3625&lt;&gt;"Entrée",B3625&lt;&gt;"Sortie"),"Type inconnu",IF(ISNA(MATCH(C3625,art_ref,0)),"Référence inconnue",IF(OR(NOT(ISNUMBER(E3625)),N(E3625)&lt;=0),"Quantité invalide",IF(K3625&lt;0,"Stock négatif",IF(AND(ISNUMBER(A3624),A3625&lt;A3624),"Date hors ordre","OK"))))))))</f>
        <v/>
      </c>
      <c r="M3625" s="39" t="str">
        <f>IF(C3625="","",C3625&amp;"#"&amp;COUNTIF($C$5:C3625,C3625))</f>
        <v/>
      </c>
    </row>
    <row r="3626">
      <c r="A3626" s="41" t="n"/>
      <c r="B3626" s="37" t="n"/>
      <c r="C3626" s="37" t="n"/>
      <c r="D3626" s="39" t="str">
        <f>IF(C3626="","",IFERROR(INDEX(art_des,MATCH(C3626,art_ref,0))&amp;"","Référence inconnue"))</f>
        <v/>
      </c>
      <c r="E3626" s="37" t="n"/>
      <c r="F3626" s="39" t="str">
        <f>IF(C3626="","",IFERROR(INDEX(art_unit,MATCH(C3626,art_ref,0))&amp;"",""))</f>
        <v/>
      </c>
      <c r="G3626" s="37" t="n"/>
      <c r="H3626" s="37" t="n"/>
      <c r="I3626" s="37" t="n"/>
      <c r="J3626" s="40" t="str">
        <f>IF(OR(C3626="",NOT(ISNUMBER(E3626))),"",IFERROR(E3626*N(INDEX(art_price,MATCH(C3626,art_ref,0))),""))</f>
        <v/>
      </c>
      <c r="K3626" s="39" t="str">
        <f>IF(OR(C3626="",NOT(ISNUMBER(E3626))),"",IFERROR(ROUND(N(INDEX(art_init,MATCH(C3626,art_ref,0)))+SUMIFS($E$5:E3626,$C$5:C3626,C3626,$B$5:B3626,"Entrée")-SUMIFS($E$5:E3626,$C$5:C3626,C3626,$B$5:B3626,"Sortie"),6),""))</f>
        <v/>
      </c>
      <c r="L3626" s="39" t="str">
        <f>IF(COUNTA(A3626:C3626,E3626)=0,"",IF(COUNTA(A3626:C3626,E3626)&lt;4,"Ligne incomplète",IF(NOT(ISNUMBER(A3626)),"Date invalide",IF(AND(B3626&lt;&gt;"Entrée",B3626&lt;&gt;"Sortie"),"Type inconnu",IF(ISNA(MATCH(C3626,art_ref,0)),"Référence inconnue",IF(OR(NOT(ISNUMBER(E3626)),N(E3626)&lt;=0),"Quantité invalide",IF(K3626&lt;0,"Stock négatif",IF(AND(ISNUMBER(A3625),A3626&lt;A3625),"Date hors ordre","OK"))))))))</f>
        <v/>
      </c>
      <c r="M3626" s="39" t="str">
        <f>IF(C3626="","",C3626&amp;"#"&amp;COUNTIF($C$5:C3626,C3626))</f>
        <v/>
      </c>
    </row>
    <row r="3627">
      <c r="A3627" s="41" t="n"/>
      <c r="B3627" s="37" t="n"/>
      <c r="C3627" s="37" t="n"/>
      <c r="D3627" s="39" t="str">
        <f>IF(C3627="","",IFERROR(INDEX(art_des,MATCH(C3627,art_ref,0))&amp;"","Référence inconnue"))</f>
        <v/>
      </c>
      <c r="E3627" s="37" t="n"/>
      <c r="F3627" s="39" t="str">
        <f>IF(C3627="","",IFERROR(INDEX(art_unit,MATCH(C3627,art_ref,0))&amp;"",""))</f>
        <v/>
      </c>
      <c r="G3627" s="37" t="n"/>
      <c r="H3627" s="37" t="n"/>
      <c r="I3627" s="37" t="n"/>
      <c r="J3627" s="40" t="str">
        <f>IF(OR(C3627="",NOT(ISNUMBER(E3627))),"",IFERROR(E3627*N(INDEX(art_price,MATCH(C3627,art_ref,0))),""))</f>
        <v/>
      </c>
      <c r="K3627" s="39" t="str">
        <f>IF(OR(C3627="",NOT(ISNUMBER(E3627))),"",IFERROR(ROUND(N(INDEX(art_init,MATCH(C3627,art_ref,0)))+SUMIFS($E$5:E3627,$C$5:C3627,C3627,$B$5:B3627,"Entrée")-SUMIFS($E$5:E3627,$C$5:C3627,C3627,$B$5:B3627,"Sortie"),6),""))</f>
        <v/>
      </c>
      <c r="L3627" s="39" t="str">
        <f>IF(COUNTA(A3627:C3627,E3627)=0,"",IF(COUNTA(A3627:C3627,E3627)&lt;4,"Ligne incomplète",IF(NOT(ISNUMBER(A3627)),"Date invalide",IF(AND(B3627&lt;&gt;"Entrée",B3627&lt;&gt;"Sortie"),"Type inconnu",IF(ISNA(MATCH(C3627,art_ref,0)),"Référence inconnue",IF(OR(NOT(ISNUMBER(E3627)),N(E3627)&lt;=0),"Quantité invalide",IF(K3627&lt;0,"Stock négatif",IF(AND(ISNUMBER(A3626),A3627&lt;A3626),"Date hors ordre","OK"))))))))</f>
        <v/>
      </c>
      <c r="M3627" s="39" t="str">
        <f>IF(C3627="","",C3627&amp;"#"&amp;COUNTIF($C$5:C3627,C3627))</f>
        <v/>
      </c>
    </row>
    <row r="3628">
      <c r="A3628" s="41" t="n"/>
      <c r="B3628" s="37" t="n"/>
      <c r="C3628" s="37" t="n"/>
      <c r="D3628" s="39" t="str">
        <f>IF(C3628="","",IFERROR(INDEX(art_des,MATCH(C3628,art_ref,0))&amp;"","Référence inconnue"))</f>
        <v/>
      </c>
      <c r="E3628" s="37" t="n"/>
      <c r="F3628" s="39" t="str">
        <f>IF(C3628="","",IFERROR(INDEX(art_unit,MATCH(C3628,art_ref,0))&amp;"",""))</f>
        <v/>
      </c>
      <c r="G3628" s="37" t="n"/>
      <c r="H3628" s="37" t="n"/>
      <c r="I3628" s="37" t="n"/>
      <c r="J3628" s="40" t="str">
        <f>IF(OR(C3628="",NOT(ISNUMBER(E3628))),"",IFERROR(E3628*N(INDEX(art_price,MATCH(C3628,art_ref,0))),""))</f>
        <v/>
      </c>
      <c r="K3628" s="39" t="str">
        <f>IF(OR(C3628="",NOT(ISNUMBER(E3628))),"",IFERROR(ROUND(N(INDEX(art_init,MATCH(C3628,art_ref,0)))+SUMIFS($E$5:E3628,$C$5:C3628,C3628,$B$5:B3628,"Entrée")-SUMIFS($E$5:E3628,$C$5:C3628,C3628,$B$5:B3628,"Sortie"),6),""))</f>
        <v/>
      </c>
      <c r="L3628" s="39" t="str">
        <f>IF(COUNTA(A3628:C3628,E3628)=0,"",IF(COUNTA(A3628:C3628,E3628)&lt;4,"Ligne incomplète",IF(NOT(ISNUMBER(A3628)),"Date invalide",IF(AND(B3628&lt;&gt;"Entrée",B3628&lt;&gt;"Sortie"),"Type inconnu",IF(ISNA(MATCH(C3628,art_ref,0)),"Référence inconnue",IF(OR(NOT(ISNUMBER(E3628)),N(E3628)&lt;=0),"Quantité invalide",IF(K3628&lt;0,"Stock négatif",IF(AND(ISNUMBER(A3627),A3628&lt;A3627),"Date hors ordre","OK"))))))))</f>
        <v/>
      </c>
      <c r="M3628" s="39" t="str">
        <f>IF(C3628="","",C3628&amp;"#"&amp;COUNTIF($C$5:C3628,C3628))</f>
        <v/>
      </c>
    </row>
    <row r="3629">
      <c r="A3629" s="41" t="n"/>
      <c r="B3629" s="37" t="n"/>
      <c r="C3629" s="37" t="n"/>
      <c r="D3629" s="39" t="str">
        <f>IF(C3629="","",IFERROR(INDEX(art_des,MATCH(C3629,art_ref,0))&amp;"","Référence inconnue"))</f>
        <v/>
      </c>
      <c r="E3629" s="37" t="n"/>
      <c r="F3629" s="39" t="str">
        <f>IF(C3629="","",IFERROR(INDEX(art_unit,MATCH(C3629,art_ref,0))&amp;"",""))</f>
        <v/>
      </c>
      <c r="G3629" s="37" t="n"/>
      <c r="H3629" s="37" t="n"/>
      <c r="I3629" s="37" t="n"/>
      <c r="J3629" s="40" t="str">
        <f>IF(OR(C3629="",NOT(ISNUMBER(E3629))),"",IFERROR(E3629*N(INDEX(art_price,MATCH(C3629,art_ref,0))),""))</f>
        <v/>
      </c>
      <c r="K3629" s="39" t="str">
        <f>IF(OR(C3629="",NOT(ISNUMBER(E3629))),"",IFERROR(ROUND(N(INDEX(art_init,MATCH(C3629,art_ref,0)))+SUMIFS($E$5:E3629,$C$5:C3629,C3629,$B$5:B3629,"Entrée")-SUMIFS($E$5:E3629,$C$5:C3629,C3629,$B$5:B3629,"Sortie"),6),""))</f>
        <v/>
      </c>
      <c r="L3629" s="39" t="str">
        <f>IF(COUNTA(A3629:C3629,E3629)=0,"",IF(COUNTA(A3629:C3629,E3629)&lt;4,"Ligne incomplète",IF(NOT(ISNUMBER(A3629)),"Date invalide",IF(AND(B3629&lt;&gt;"Entrée",B3629&lt;&gt;"Sortie"),"Type inconnu",IF(ISNA(MATCH(C3629,art_ref,0)),"Référence inconnue",IF(OR(NOT(ISNUMBER(E3629)),N(E3629)&lt;=0),"Quantité invalide",IF(K3629&lt;0,"Stock négatif",IF(AND(ISNUMBER(A3628),A3629&lt;A3628),"Date hors ordre","OK"))))))))</f>
        <v/>
      </c>
      <c r="M3629" s="39" t="str">
        <f>IF(C3629="","",C3629&amp;"#"&amp;COUNTIF($C$5:C3629,C3629))</f>
        <v/>
      </c>
    </row>
    <row r="3630">
      <c r="A3630" s="41" t="n"/>
      <c r="B3630" s="37" t="n"/>
      <c r="C3630" s="37" t="n"/>
      <c r="D3630" s="39" t="str">
        <f>IF(C3630="","",IFERROR(INDEX(art_des,MATCH(C3630,art_ref,0))&amp;"","Référence inconnue"))</f>
        <v/>
      </c>
      <c r="E3630" s="37" t="n"/>
      <c r="F3630" s="39" t="str">
        <f>IF(C3630="","",IFERROR(INDEX(art_unit,MATCH(C3630,art_ref,0))&amp;"",""))</f>
        <v/>
      </c>
      <c r="G3630" s="37" t="n"/>
      <c r="H3630" s="37" t="n"/>
      <c r="I3630" s="37" t="n"/>
      <c r="J3630" s="40" t="str">
        <f>IF(OR(C3630="",NOT(ISNUMBER(E3630))),"",IFERROR(E3630*N(INDEX(art_price,MATCH(C3630,art_ref,0))),""))</f>
        <v/>
      </c>
      <c r="K3630" s="39" t="str">
        <f>IF(OR(C3630="",NOT(ISNUMBER(E3630))),"",IFERROR(ROUND(N(INDEX(art_init,MATCH(C3630,art_ref,0)))+SUMIFS($E$5:E3630,$C$5:C3630,C3630,$B$5:B3630,"Entrée")-SUMIFS($E$5:E3630,$C$5:C3630,C3630,$B$5:B3630,"Sortie"),6),""))</f>
        <v/>
      </c>
      <c r="L3630" s="39" t="str">
        <f>IF(COUNTA(A3630:C3630,E3630)=0,"",IF(COUNTA(A3630:C3630,E3630)&lt;4,"Ligne incomplète",IF(NOT(ISNUMBER(A3630)),"Date invalide",IF(AND(B3630&lt;&gt;"Entrée",B3630&lt;&gt;"Sortie"),"Type inconnu",IF(ISNA(MATCH(C3630,art_ref,0)),"Référence inconnue",IF(OR(NOT(ISNUMBER(E3630)),N(E3630)&lt;=0),"Quantité invalide",IF(K3630&lt;0,"Stock négatif",IF(AND(ISNUMBER(A3629),A3630&lt;A3629),"Date hors ordre","OK"))))))))</f>
        <v/>
      </c>
      <c r="M3630" s="39" t="str">
        <f>IF(C3630="","",C3630&amp;"#"&amp;COUNTIF($C$5:C3630,C3630))</f>
        <v/>
      </c>
    </row>
    <row r="3631">
      <c r="A3631" s="41" t="n"/>
      <c r="B3631" s="37" t="n"/>
      <c r="C3631" s="37" t="n"/>
      <c r="D3631" s="39" t="str">
        <f>IF(C3631="","",IFERROR(INDEX(art_des,MATCH(C3631,art_ref,0))&amp;"","Référence inconnue"))</f>
        <v/>
      </c>
      <c r="E3631" s="37" t="n"/>
      <c r="F3631" s="39" t="str">
        <f>IF(C3631="","",IFERROR(INDEX(art_unit,MATCH(C3631,art_ref,0))&amp;"",""))</f>
        <v/>
      </c>
      <c r="G3631" s="37" t="n"/>
      <c r="H3631" s="37" t="n"/>
      <c r="I3631" s="37" t="n"/>
      <c r="J3631" s="40" t="str">
        <f>IF(OR(C3631="",NOT(ISNUMBER(E3631))),"",IFERROR(E3631*N(INDEX(art_price,MATCH(C3631,art_ref,0))),""))</f>
        <v/>
      </c>
      <c r="K3631" s="39" t="str">
        <f>IF(OR(C3631="",NOT(ISNUMBER(E3631))),"",IFERROR(ROUND(N(INDEX(art_init,MATCH(C3631,art_ref,0)))+SUMIFS($E$5:E3631,$C$5:C3631,C3631,$B$5:B3631,"Entrée")-SUMIFS($E$5:E3631,$C$5:C3631,C3631,$B$5:B3631,"Sortie"),6),""))</f>
        <v/>
      </c>
      <c r="L3631" s="39" t="str">
        <f>IF(COUNTA(A3631:C3631,E3631)=0,"",IF(COUNTA(A3631:C3631,E3631)&lt;4,"Ligne incomplète",IF(NOT(ISNUMBER(A3631)),"Date invalide",IF(AND(B3631&lt;&gt;"Entrée",B3631&lt;&gt;"Sortie"),"Type inconnu",IF(ISNA(MATCH(C3631,art_ref,0)),"Référence inconnue",IF(OR(NOT(ISNUMBER(E3631)),N(E3631)&lt;=0),"Quantité invalide",IF(K3631&lt;0,"Stock négatif",IF(AND(ISNUMBER(A3630),A3631&lt;A3630),"Date hors ordre","OK"))))))))</f>
        <v/>
      </c>
      <c r="M3631" s="39" t="str">
        <f>IF(C3631="","",C3631&amp;"#"&amp;COUNTIF($C$5:C3631,C3631))</f>
        <v/>
      </c>
    </row>
    <row r="3632">
      <c r="A3632" s="41" t="n"/>
      <c r="B3632" s="37" t="n"/>
      <c r="C3632" s="37" t="n"/>
      <c r="D3632" s="39" t="str">
        <f>IF(C3632="","",IFERROR(INDEX(art_des,MATCH(C3632,art_ref,0))&amp;"","Référence inconnue"))</f>
        <v/>
      </c>
      <c r="E3632" s="37" t="n"/>
      <c r="F3632" s="39" t="str">
        <f>IF(C3632="","",IFERROR(INDEX(art_unit,MATCH(C3632,art_ref,0))&amp;"",""))</f>
        <v/>
      </c>
      <c r="G3632" s="37" t="n"/>
      <c r="H3632" s="37" t="n"/>
      <c r="I3632" s="37" t="n"/>
      <c r="J3632" s="40" t="str">
        <f>IF(OR(C3632="",NOT(ISNUMBER(E3632))),"",IFERROR(E3632*N(INDEX(art_price,MATCH(C3632,art_ref,0))),""))</f>
        <v/>
      </c>
      <c r="K3632" s="39" t="str">
        <f>IF(OR(C3632="",NOT(ISNUMBER(E3632))),"",IFERROR(ROUND(N(INDEX(art_init,MATCH(C3632,art_ref,0)))+SUMIFS($E$5:E3632,$C$5:C3632,C3632,$B$5:B3632,"Entrée")-SUMIFS($E$5:E3632,$C$5:C3632,C3632,$B$5:B3632,"Sortie"),6),""))</f>
        <v/>
      </c>
      <c r="L3632" s="39" t="str">
        <f>IF(COUNTA(A3632:C3632,E3632)=0,"",IF(COUNTA(A3632:C3632,E3632)&lt;4,"Ligne incomplète",IF(NOT(ISNUMBER(A3632)),"Date invalide",IF(AND(B3632&lt;&gt;"Entrée",B3632&lt;&gt;"Sortie"),"Type inconnu",IF(ISNA(MATCH(C3632,art_ref,0)),"Référence inconnue",IF(OR(NOT(ISNUMBER(E3632)),N(E3632)&lt;=0),"Quantité invalide",IF(K3632&lt;0,"Stock négatif",IF(AND(ISNUMBER(A3631),A3632&lt;A3631),"Date hors ordre","OK"))))))))</f>
        <v/>
      </c>
      <c r="M3632" s="39" t="str">
        <f>IF(C3632="","",C3632&amp;"#"&amp;COUNTIF($C$5:C3632,C3632))</f>
        <v/>
      </c>
    </row>
    <row r="3633">
      <c r="A3633" s="41" t="n"/>
      <c r="B3633" s="37" t="n"/>
      <c r="C3633" s="37" t="n"/>
      <c r="D3633" s="39" t="str">
        <f>IF(C3633="","",IFERROR(INDEX(art_des,MATCH(C3633,art_ref,0))&amp;"","Référence inconnue"))</f>
        <v/>
      </c>
      <c r="E3633" s="37" t="n"/>
      <c r="F3633" s="39" t="str">
        <f>IF(C3633="","",IFERROR(INDEX(art_unit,MATCH(C3633,art_ref,0))&amp;"",""))</f>
        <v/>
      </c>
      <c r="G3633" s="37" t="n"/>
      <c r="H3633" s="37" t="n"/>
      <c r="I3633" s="37" t="n"/>
      <c r="J3633" s="40" t="str">
        <f>IF(OR(C3633="",NOT(ISNUMBER(E3633))),"",IFERROR(E3633*N(INDEX(art_price,MATCH(C3633,art_ref,0))),""))</f>
        <v/>
      </c>
      <c r="K3633" s="39" t="str">
        <f>IF(OR(C3633="",NOT(ISNUMBER(E3633))),"",IFERROR(ROUND(N(INDEX(art_init,MATCH(C3633,art_ref,0)))+SUMIFS($E$5:E3633,$C$5:C3633,C3633,$B$5:B3633,"Entrée")-SUMIFS($E$5:E3633,$C$5:C3633,C3633,$B$5:B3633,"Sortie"),6),""))</f>
        <v/>
      </c>
      <c r="L3633" s="39" t="str">
        <f>IF(COUNTA(A3633:C3633,E3633)=0,"",IF(COUNTA(A3633:C3633,E3633)&lt;4,"Ligne incomplète",IF(NOT(ISNUMBER(A3633)),"Date invalide",IF(AND(B3633&lt;&gt;"Entrée",B3633&lt;&gt;"Sortie"),"Type inconnu",IF(ISNA(MATCH(C3633,art_ref,0)),"Référence inconnue",IF(OR(NOT(ISNUMBER(E3633)),N(E3633)&lt;=0),"Quantité invalide",IF(K3633&lt;0,"Stock négatif",IF(AND(ISNUMBER(A3632),A3633&lt;A3632),"Date hors ordre","OK"))))))))</f>
        <v/>
      </c>
      <c r="M3633" s="39" t="str">
        <f>IF(C3633="","",C3633&amp;"#"&amp;COUNTIF($C$5:C3633,C3633))</f>
        <v/>
      </c>
    </row>
    <row r="3634">
      <c r="A3634" s="41" t="n"/>
      <c r="B3634" s="37" t="n"/>
      <c r="C3634" s="37" t="n"/>
      <c r="D3634" s="39" t="str">
        <f>IF(C3634="","",IFERROR(INDEX(art_des,MATCH(C3634,art_ref,0))&amp;"","Référence inconnue"))</f>
        <v/>
      </c>
      <c r="E3634" s="37" t="n"/>
      <c r="F3634" s="39" t="str">
        <f>IF(C3634="","",IFERROR(INDEX(art_unit,MATCH(C3634,art_ref,0))&amp;"",""))</f>
        <v/>
      </c>
      <c r="G3634" s="37" t="n"/>
      <c r="H3634" s="37" t="n"/>
      <c r="I3634" s="37" t="n"/>
      <c r="J3634" s="40" t="str">
        <f>IF(OR(C3634="",NOT(ISNUMBER(E3634))),"",IFERROR(E3634*N(INDEX(art_price,MATCH(C3634,art_ref,0))),""))</f>
        <v/>
      </c>
      <c r="K3634" s="39" t="str">
        <f>IF(OR(C3634="",NOT(ISNUMBER(E3634))),"",IFERROR(ROUND(N(INDEX(art_init,MATCH(C3634,art_ref,0)))+SUMIFS($E$5:E3634,$C$5:C3634,C3634,$B$5:B3634,"Entrée")-SUMIFS($E$5:E3634,$C$5:C3634,C3634,$B$5:B3634,"Sortie"),6),""))</f>
        <v/>
      </c>
      <c r="L3634" s="39" t="str">
        <f>IF(COUNTA(A3634:C3634,E3634)=0,"",IF(COUNTA(A3634:C3634,E3634)&lt;4,"Ligne incomplète",IF(NOT(ISNUMBER(A3634)),"Date invalide",IF(AND(B3634&lt;&gt;"Entrée",B3634&lt;&gt;"Sortie"),"Type inconnu",IF(ISNA(MATCH(C3634,art_ref,0)),"Référence inconnue",IF(OR(NOT(ISNUMBER(E3634)),N(E3634)&lt;=0),"Quantité invalide",IF(K3634&lt;0,"Stock négatif",IF(AND(ISNUMBER(A3633),A3634&lt;A3633),"Date hors ordre","OK"))))))))</f>
        <v/>
      </c>
      <c r="M3634" s="39" t="str">
        <f>IF(C3634="","",C3634&amp;"#"&amp;COUNTIF($C$5:C3634,C3634))</f>
        <v/>
      </c>
    </row>
    <row r="3635">
      <c r="A3635" s="41" t="n"/>
      <c r="B3635" s="37" t="n"/>
      <c r="C3635" s="37" t="n"/>
      <c r="D3635" s="39" t="str">
        <f>IF(C3635="","",IFERROR(INDEX(art_des,MATCH(C3635,art_ref,0))&amp;"","Référence inconnue"))</f>
        <v/>
      </c>
      <c r="E3635" s="37" t="n"/>
      <c r="F3635" s="39" t="str">
        <f>IF(C3635="","",IFERROR(INDEX(art_unit,MATCH(C3635,art_ref,0))&amp;"",""))</f>
        <v/>
      </c>
      <c r="G3635" s="37" t="n"/>
      <c r="H3635" s="37" t="n"/>
      <c r="I3635" s="37" t="n"/>
      <c r="J3635" s="40" t="str">
        <f>IF(OR(C3635="",NOT(ISNUMBER(E3635))),"",IFERROR(E3635*N(INDEX(art_price,MATCH(C3635,art_ref,0))),""))</f>
        <v/>
      </c>
      <c r="K3635" s="39" t="str">
        <f>IF(OR(C3635="",NOT(ISNUMBER(E3635))),"",IFERROR(ROUND(N(INDEX(art_init,MATCH(C3635,art_ref,0)))+SUMIFS($E$5:E3635,$C$5:C3635,C3635,$B$5:B3635,"Entrée")-SUMIFS($E$5:E3635,$C$5:C3635,C3635,$B$5:B3635,"Sortie"),6),""))</f>
        <v/>
      </c>
      <c r="L3635" s="39" t="str">
        <f>IF(COUNTA(A3635:C3635,E3635)=0,"",IF(COUNTA(A3635:C3635,E3635)&lt;4,"Ligne incomplète",IF(NOT(ISNUMBER(A3635)),"Date invalide",IF(AND(B3635&lt;&gt;"Entrée",B3635&lt;&gt;"Sortie"),"Type inconnu",IF(ISNA(MATCH(C3635,art_ref,0)),"Référence inconnue",IF(OR(NOT(ISNUMBER(E3635)),N(E3635)&lt;=0),"Quantité invalide",IF(K3635&lt;0,"Stock négatif",IF(AND(ISNUMBER(A3634),A3635&lt;A3634),"Date hors ordre","OK"))))))))</f>
        <v/>
      </c>
      <c r="M3635" s="39" t="str">
        <f>IF(C3635="","",C3635&amp;"#"&amp;COUNTIF($C$5:C3635,C3635))</f>
        <v/>
      </c>
    </row>
    <row r="3636">
      <c r="A3636" s="41" t="n"/>
      <c r="B3636" s="37" t="n"/>
      <c r="C3636" s="37" t="n"/>
      <c r="D3636" s="39" t="str">
        <f>IF(C3636="","",IFERROR(INDEX(art_des,MATCH(C3636,art_ref,0))&amp;"","Référence inconnue"))</f>
        <v/>
      </c>
      <c r="E3636" s="37" t="n"/>
      <c r="F3636" s="39" t="str">
        <f>IF(C3636="","",IFERROR(INDEX(art_unit,MATCH(C3636,art_ref,0))&amp;"",""))</f>
        <v/>
      </c>
      <c r="G3636" s="37" t="n"/>
      <c r="H3636" s="37" t="n"/>
      <c r="I3636" s="37" t="n"/>
      <c r="J3636" s="40" t="str">
        <f>IF(OR(C3636="",NOT(ISNUMBER(E3636))),"",IFERROR(E3636*N(INDEX(art_price,MATCH(C3636,art_ref,0))),""))</f>
        <v/>
      </c>
      <c r="K3636" s="39" t="str">
        <f>IF(OR(C3636="",NOT(ISNUMBER(E3636))),"",IFERROR(ROUND(N(INDEX(art_init,MATCH(C3636,art_ref,0)))+SUMIFS($E$5:E3636,$C$5:C3636,C3636,$B$5:B3636,"Entrée")-SUMIFS($E$5:E3636,$C$5:C3636,C3636,$B$5:B3636,"Sortie"),6),""))</f>
        <v/>
      </c>
      <c r="L3636" s="39" t="str">
        <f>IF(COUNTA(A3636:C3636,E3636)=0,"",IF(COUNTA(A3636:C3636,E3636)&lt;4,"Ligne incomplète",IF(NOT(ISNUMBER(A3636)),"Date invalide",IF(AND(B3636&lt;&gt;"Entrée",B3636&lt;&gt;"Sortie"),"Type inconnu",IF(ISNA(MATCH(C3636,art_ref,0)),"Référence inconnue",IF(OR(NOT(ISNUMBER(E3636)),N(E3636)&lt;=0),"Quantité invalide",IF(K3636&lt;0,"Stock négatif",IF(AND(ISNUMBER(A3635),A3636&lt;A3635),"Date hors ordre","OK"))))))))</f>
        <v/>
      </c>
      <c r="M3636" s="39" t="str">
        <f>IF(C3636="","",C3636&amp;"#"&amp;COUNTIF($C$5:C3636,C3636))</f>
        <v/>
      </c>
    </row>
    <row r="3637">
      <c r="A3637" s="41" t="n"/>
      <c r="B3637" s="37" t="n"/>
      <c r="C3637" s="37" t="n"/>
      <c r="D3637" s="39" t="str">
        <f>IF(C3637="","",IFERROR(INDEX(art_des,MATCH(C3637,art_ref,0))&amp;"","Référence inconnue"))</f>
        <v/>
      </c>
      <c r="E3637" s="37" t="n"/>
      <c r="F3637" s="39" t="str">
        <f>IF(C3637="","",IFERROR(INDEX(art_unit,MATCH(C3637,art_ref,0))&amp;"",""))</f>
        <v/>
      </c>
      <c r="G3637" s="37" t="n"/>
      <c r="H3637" s="37" t="n"/>
      <c r="I3637" s="37" t="n"/>
      <c r="J3637" s="40" t="str">
        <f>IF(OR(C3637="",NOT(ISNUMBER(E3637))),"",IFERROR(E3637*N(INDEX(art_price,MATCH(C3637,art_ref,0))),""))</f>
        <v/>
      </c>
      <c r="K3637" s="39" t="str">
        <f>IF(OR(C3637="",NOT(ISNUMBER(E3637))),"",IFERROR(ROUND(N(INDEX(art_init,MATCH(C3637,art_ref,0)))+SUMIFS($E$5:E3637,$C$5:C3637,C3637,$B$5:B3637,"Entrée")-SUMIFS($E$5:E3637,$C$5:C3637,C3637,$B$5:B3637,"Sortie"),6),""))</f>
        <v/>
      </c>
      <c r="L3637" s="39" t="str">
        <f>IF(COUNTA(A3637:C3637,E3637)=0,"",IF(COUNTA(A3637:C3637,E3637)&lt;4,"Ligne incomplète",IF(NOT(ISNUMBER(A3637)),"Date invalide",IF(AND(B3637&lt;&gt;"Entrée",B3637&lt;&gt;"Sortie"),"Type inconnu",IF(ISNA(MATCH(C3637,art_ref,0)),"Référence inconnue",IF(OR(NOT(ISNUMBER(E3637)),N(E3637)&lt;=0),"Quantité invalide",IF(K3637&lt;0,"Stock négatif",IF(AND(ISNUMBER(A3636),A3637&lt;A3636),"Date hors ordre","OK"))))))))</f>
        <v/>
      </c>
      <c r="M3637" s="39" t="str">
        <f>IF(C3637="","",C3637&amp;"#"&amp;COUNTIF($C$5:C3637,C3637))</f>
        <v/>
      </c>
    </row>
    <row r="3638">
      <c r="A3638" s="41" t="n"/>
      <c r="B3638" s="37" t="n"/>
      <c r="C3638" s="37" t="n"/>
      <c r="D3638" s="39" t="str">
        <f>IF(C3638="","",IFERROR(INDEX(art_des,MATCH(C3638,art_ref,0))&amp;"","Référence inconnue"))</f>
        <v/>
      </c>
      <c r="E3638" s="37" t="n"/>
      <c r="F3638" s="39" t="str">
        <f>IF(C3638="","",IFERROR(INDEX(art_unit,MATCH(C3638,art_ref,0))&amp;"",""))</f>
        <v/>
      </c>
      <c r="G3638" s="37" t="n"/>
      <c r="H3638" s="37" t="n"/>
      <c r="I3638" s="37" t="n"/>
      <c r="J3638" s="40" t="str">
        <f>IF(OR(C3638="",NOT(ISNUMBER(E3638))),"",IFERROR(E3638*N(INDEX(art_price,MATCH(C3638,art_ref,0))),""))</f>
        <v/>
      </c>
      <c r="K3638" s="39" t="str">
        <f>IF(OR(C3638="",NOT(ISNUMBER(E3638))),"",IFERROR(ROUND(N(INDEX(art_init,MATCH(C3638,art_ref,0)))+SUMIFS($E$5:E3638,$C$5:C3638,C3638,$B$5:B3638,"Entrée")-SUMIFS($E$5:E3638,$C$5:C3638,C3638,$B$5:B3638,"Sortie"),6),""))</f>
        <v/>
      </c>
      <c r="L3638" s="39" t="str">
        <f>IF(COUNTA(A3638:C3638,E3638)=0,"",IF(COUNTA(A3638:C3638,E3638)&lt;4,"Ligne incomplète",IF(NOT(ISNUMBER(A3638)),"Date invalide",IF(AND(B3638&lt;&gt;"Entrée",B3638&lt;&gt;"Sortie"),"Type inconnu",IF(ISNA(MATCH(C3638,art_ref,0)),"Référence inconnue",IF(OR(NOT(ISNUMBER(E3638)),N(E3638)&lt;=0),"Quantité invalide",IF(K3638&lt;0,"Stock négatif",IF(AND(ISNUMBER(A3637),A3638&lt;A3637),"Date hors ordre","OK"))))))))</f>
        <v/>
      </c>
      <c r="M3638" s="39" t="str">
        <f>IF(C3638="","",C3638&amp;"#"&amp;COUNTIF($C$5:C3638,C3638))</f>
        <v/>
      </c>
    </row>
    <row r="3639">
      <c r="A3639" s="41" t="n"/>
      <c r="B3639" s="37" t="n"/>
      <c r="C3639" s="37" t="n"/>
      <c r="D3639" s="39" t="str">
        <f>IF(C3639="","",IFERROR(INDEX(art_des,MATCH(C3639,art_ref,0))&amp;"","Référence inconnue"))</f>
        <v/>
      </c>
      <c r="E3639" s="37" t="n"/>
      <c r="F3639" s="39" t="str">
        <f>IF(C3639="","",IFERROR(INDEX(art_unit,MATCH(C3639,art_ref,0))&amp;"",""))</f>
        <v/>
      </c>
      <c r="G3639" s="37" t="n"/>
      <c r="H3639" s="37" t="n"/>
      <c r="I3639" s="37" t="n"/>
      <c r="J3639" s="40" t="str">
        <f>IF(OR(C3639="",NOT(ISNUMBER(E3639))),"",IFERROR(E3639*N(INDEX(art_price,MATCH(C3639,art_ref,0))),""))</f>
        <v/>
      </c>
      <c r="K3639" s="39" t="str">
        <f>IF(OR(C3639="",NOT(ISNUMBER(E3639))),"",IFERROR(ROUND(N(INDEX(art_init,MATCH(C3639,art_ref,0)))+SUMIFS($E$5:E3639,$C$5:C3639,C3639,$B$5:B3639,"Entrée")-SUMIFS($E$5:E3639,$C$5:C3639,C3639,$B$5:B3639,"Sortie"),6),""))</f>
        <v/>
      </c>
      <c r="L3639" s="39" t="str">
        <f>IF(COUNTA(A3639:C3639,E3639)=0,"",IF(COUNTA(A3639:C3639,E3639)&lt;4,"Ligne incomplète",IF(NOT(ISNUMBER(A3639)),"Date invalide",IF(AND(B3639&lt;&gt;"Entrée",B3639&lt;&gt;"Sortie"),"Type inconnu",IF(ISNA(MATCH(C3639,art_ref,0)),"Référence inconnue",IF(OR(NOT(ISNUMBER(E3639)),N(E3639)&lt;=0),"Quantité invalide",IF(K3639&lt;0,"Stock négatif",IF(AND(ISNUMBER(A3638),A3639&lt;A3638),"Date hors ordre","OK"))))))))</f>
        <v/>
      </c>
      <c r="M3639" s="39" t="str">
        <f>IF(C3639="","",C3639&amp;"#"&amp;COUNTIF($C$5:C3639,C3639))</f>
        <v/>
      </c>
    </row>
    <row r="3640">
      <c r="A3640" s="41" t="n"/>
      <c r="B3640" s="37" t="n"/>
      <c r="C3640" s="37" t="n"/>
      <c r="D3640" s="39" t="str">
        <f>IF(C3640="","",IFERROR(INDEX(art_des,MATCH(C3640,art_ref,0))&amp;"","Référence inconnue"))</f>
        <v/>
      </c>
      <c r="E3640" s="37" t="n"/>
      <c r="F3640" s="39" t="str">
        <f>IF(C3640="","",IFERROR(INDEX(art_unit,MATCH(C3640,art_ref,0))&amp;"",""))</f>
        <v/>
      </c>
      <c r="G3640" s="37" t="n"/>
      <c r="H3640" s="37" t="n"/>
      <c r="I3640" s="37" t="n"/>
      <c r="J3640" s="40" t="str">
        <f>IF(OR(C3640="",NOT(ISNUMBER(E3640))),"",IFERROR(E3640*N(INDEX(art_price,MATCH(C3640,art_ref,0))),""))</f>
        <v/>
      </c>
      <c r="K3640" s="39" t="str">
        <f>IF(OR(C3640="",NOT(ISNUMBER(E3640))),"",IFERROR(ROUND(N(INDEX(art_init,MATCH(C3640,art_ref,0)))+SUMIFS($E$5:E3640,$C$5:C3640,C3640,$B$5:B3640,"Entrée")-SUMIFS($E$5:E3640,$C$5:C3640,C3640,$B$5:B3640,"Sortie"),6),""))</f>
        <v/>
      </c>
      <c r="L3640" s="39" t="str">
        <f>IF(COUNTA(A3640:C3640,E3640)=0,"",IF(COUNTA(A3640:C3640,E3640)&lt;4,"Ligne incomplète",IF(NOT(ISNUMBER(A3640)),"Date invalide",IF(AND(B3640&lt;&gt;"Entrée",B3640&lt;&gt;"Sortie"),"Type inconnu",IF(ISNA(MATCH(C3640,art_ref,0)),"Référence inconnue",IF(OR(NOT(ISNUMBER(E3640)),N(E3640)&lt;=0),"Quantité invalide",IF(K3640&lt;0,"Stock négatif",IF(AND(ISNUMBER(A3639),A3640&lt;A3639),"Date hors ordre","OK"))))))))</f>
        <v/>
      </c>
      <c r="M3640" s="39" t="str">
        <f>IF(C3640="","",C3640&amp;"#"&amp;COUNTIF($C$5:C3640,C3640))</f>
        <v/>
      </c>
    </row>
    <row r="3641">
      <c r="A3641" s="41" t="n"/>
      <c r="B3641" s="37" t="n"/>
      <c r="C3641" s="37" t="n"/>
      <c r="D3641" s="39" t="str">
        <f>IF(C3641="","",IFERROR(INDEX(art_des,MATCH(C3641,art_ref,0))&amp;"","Référence inconnue"))</f>
        <v/>
      </c>
      <c r="E3641" s="37" t="n"/>
      <c r="F3641" s="39" t="str">
        <f>IF(C3641="","",IFERROR(INDEX(art_unit,MATCH(C3641,art_ref,0))&amp;"",""))</f>
        <v/>
      </c>
      <c r="G3641" s="37" t="n"/>
      <c r="H3641" s="37" t="n"/>
      <c r="I3641" s="37" t="n"/>
      <c r="J3641" s="40" t="str">
        <f>IF(OR(C3641="",NOT(ISNUMBER(E3641))),"",IFERROR(E3641*N(INDEX(art_price,MATCH(C3641,art_ref,0))),""))</f>
        <v/>
      </c>
      <c r="K3641" s="39" t="str">
        <f>IF(OR(C3641="",NOT(ISNUMBER(E3641))),"",IFERROR(ROUND(N(INDEX(art_init,MATCH(C3641,art_ref,0)))+SUMIFS($E$5:E3641,$C$5:C3641,C3641,$B$5:B3641,"Entrée")-SUMIFS($E$5:E3641,$C$5:C3641,C3641,$B$5:B3641,"Sortie"),6),""))</f>
        <v/>
      </c>
      <c r="L3641" s="39" t="str">
        <f>IF(COUNTA(A3641:C3641,E3641)=0,"",IF(COUNTA(A3641:C3641,E3641)&lt;4,"Ligne incomplète",IF(NOT(ISNUMBER(A3641)),"Date invalide",IF(AND(B3641&lt;&gt;"Entrée",B3641&lt;&gt;"Sortie"),"Type inconnu",IF(ISNA(MATCH(C3641,art_ref,0)),"Référence inconnue",IF(OR(NOT(ISNUMBER(E3641)),N(E3641)&lt;=0),"Quantité invalide",IF(K3641&lt;0,"Stock négatif",IF(AND(ISNUMBER(A3640),A3641&lt;A3640),"Date hors ordre","OK"))))))))</f>
        <v/>
      </c>
      <c r="M3641" s="39" t="str">
        <f>IF(C3641="","",C3641&amp;"#"&amp;COUNTIF($C$5:C3641,C3641))</f>
        <v/>
      </c>
    </row>
    <row r="3642">
      <c r="A3642" s="41" t="n"/>
      <c r="B3642" s="37" t="n"/>
      <c r="C3642" s="37" t="n"/>
      <c r="D3642" s="39" t="str">
        <f>IF(C3642="","",IFERROR(INDEX(art_des,MATCH(C3642,art_ref,0))&amp;"","Référence inconnue"))</f>
        <v/>
      </c>
      <c r="E3642" s="37" t="n"/>
      <c r="F3642" s="39" t="str">
        <f>IF(C3642="","",IFERROR(INDEX(art_unit,MATCH(C3642,art_ref,0))&amp;"",""))</f>
        <v/>
      </c>
      <c r="G3642" s="37" t="n"/>
      <c r="H3642" s="37" t="n"/>
      <c r="I3642" s="37" t="n"/>
      <c r="J3642" s="40" t="str">
        <f>IF(OR(C3642="",NOT(ISNUMBER(E3642))),"",IFERROR(E3642*N(INDEX(art_price,MATCH(C3642,art_ref,0))),""))</f>
        <v/>
      </c>
      <c r="K3642" s="39" t="str">
        <f>IF(OR(C3642="",NOT(ISNUMBER(E3642))),"",IFERROR(ROUND(N(INDEX(art_init,MATCH(C3642,art_ref,0)))+SUMIFS($E$5:E3642,$C$5:C3642,C3642,$B$5:B3642,"Entrée")-SUMIFS($E$5:E3642,$C$5:C3642,C3642,$B$5:B3642,"Sortie"),6),""))</f>
        <v/>
      </c>
      <c r="L3642" s="39" t="str">
        <f>IF(COUNTA(A3642:C3642,E3642)=0,"",IF(COUNTA(A3642:C3642,E3642)&lt;4,"Ligne incomplète",IF(NOT(ISNUMBER(A3642)),"Date invalide",IF(AND(B3642&lt;&gt;"Entrée",B3642&lt;&gt;"Sortie"),"Type inconnu",IF(ISNA(MATCH(C3642,art_ref,0)),"Référence inconnue",IF(OR(NOT(ISNUMBER(E3642)),N(E3642)&lt;=0),"Quantité invalide",IF(K3642&lt;0,"Stock négatif",IF(AND(ISNUMBER(A3641),A3642&lt;A3641),"Date hors ordre","OK"))))))))</f>
        <v/>
      </c>
      <c r="M3642" s="39" t="str">
        <f>IF(C3642="","",C3642&amp;"#"&amp;COUNTIF($C$5:C3642,C3642))</f>
        <v/>
      </c>
    </row>
    <row r="3643">
      <c r="A3643" s="41" t="n"/>
      <c r="B3643" s="37" t="n"/>
      <c r="C3643" s="37" t="n"/>
      <c r="D3643" s="39" t="str">
        <f>IF(C3643="","",IFERROR(INDEX(art_des,MATCH(C3643,art_ref,0))&amp;"","Référence inconnue"))</f>
        <v/>
      </c>
      <c r="E3643" s="37" t="n"/>
      <c r="F3643" s="39" t="str">
        <f>IF(C3643="","",IFERROR(INDEX(art_unit,MATCH(C3643,art_ref,0))&amp;"",""))</f>
        <v/>
      </c>
      <c r="G3643" s="37" t="n"/>
      <c r="H3643" s="37" t="n"/>
      <c r="I3643" s="37" t="n"/>
      <c r="J3643" s="40" t="str">
        <f>IF(OR(C3643="",NOT(ISNUMBER(E3643))),"",IFERROR(E3643*N(INDEX(art_price,MATCH(C3643,art_ref,0))),""))</f>
        <v/>
      </c>
      <c r="K3643" s="39" t="str">
        <f>IF(OR(C3643="",NOT(ISNUMBER(E3643))),"",IFERROR(ROUND(N(INDEX(art_init,MATCH(C3643,art_ref,0)))+SUMIFS($E$5:E3643,$C$5:C3643,C3643,$B$5:B3643,"Entrée")-SUMIFS($E$5:E3643,$C$5:C3643,C3643,$B$5:B3643,"Sortie"),6),""))</f>
        <v/>
      </c>
      <c r="L3643" s="39" t="str">
        <f>IF(COUNTA(A3643:C3643,E3643)=0,"",IF(COUNTA(A3643:C3643,E3643)&lt;4,"Ligne incomplète",IF(NOT(ISNUMBER(A3643)),"Date invalide",IF(AND(B3643&lt;&gt;"Entrée",B3643&lt;&gt;"Sortie"),"Type inconnu",IF(ISNA(MATCH(C3643,art_ref,0)),"Référence inconnue",IF(OR(NOT(ISNUMBER(E3643)),N(E3643)&lt;=0),"Quantité invalide",IF(K3643&lt;0,"Stock négatif",IF(AND(ISNUMBER(A3642),A3643&lt;A3642),"Date hors ordre","OK"))))))))</f>
        <v/>
      </c>
      <c r="M3643" s="39" t="str">
        <f>IF(C3643="","",C3643&amp;"#"&amp;COUNTIF($C$5:C3643,C3643))</f>
        <v/>
      </c>
    </row>
    <row r="3644">
      <c r="A3644" s="41" t="n"/>
      <c r="B3644" s="37" t="n"/>
      <c r="C3644" s="37" t="n"/>
      <c r="D3644" s="39" t="str">
        <f>IF(C3644="","",IFERROR(INDEX(art_des,MATCH(C3644,art_ref,0))&amp;"","Référence inconnue"))</f>
        <v/>
      </c>
      <c r="E3644" s="37" t="n"/>
      <c r="F3644" s="39" t="str">
        <f>IF(C3644="","",IFERROR(INDEX(art_unit,MATCH(C3644,art_ref,0))&amp;"",""))</f>
        <v/>
      </c>
      <c r="G3644" s="37" t="n"/>
      <c r="H3644" s="37" t="n"/>
      <c r="I3644" s="37" t="n"/>
      <c r="J3644" s="40" t="str">
        <f>IF(OR(C3644="",NOT(ISNUMBER(E3644))),"",IFERROR(E3644*N(INDEX(art_price,MATCH(C3644,art_ref,0))),""))</f>
        <v/>
      </c>
      <c r="K3644" s="39" t="str">
        <f>IF(OR(C3644="",NOT(ISNUMBER(E3644))),"",IFERROR(ROUND(N(INDEX(art_init,MATCH(C3644,art_ref,0)))+SUMIFS($E$5:E3644,$C$5:C3644,C3644,$B$5:B3644,"Entrée")-SUMIFS($E$5:E3644,$C$5:C3644,C3644,$B$5:B3644,"Sortie"),6),""))</f>
        <v/>
      </c>
      <c r="L3644" s="39" t="str">
        <f>IF(COUNTA(A3644:C3644,E3644)=0,"",IF(COUNTA(A3644:C3644,E3644)&lt;4,"Ligne incomplète",IF(NOT(ISNUMBER(A3644)),"Date invalide",IF(AND(B3644&lt;&gt;"Entrée",B3644&lt;&gt;"Sortie"),"Type inconnu",IF(ISNA(MATCH(C3644,art_ref,0)),"Référence inconnue",IF(OR(NOT(ISNUMBER(E3644)),N(E3644)&lt;=0),"Quantité invalide",IF(K3644&lt;0,"Stock négatif",IF(AND(ISNUMBER(A3643),A3644&lt;A3643),"Date hors ordre","OK"))))))))</f>
        <v/>
      </c>
      <c r="M3644" s="39" t="str">
        <f>IF(C3644="","",C3644&amp;"#"&amp;COUNTIF($C$5:C3644,C3644))</f>
        <v/>
      </c>
    </row>
    <row r="3645">
      <c r="A3645" s="41" t="n"/>
      <c r="B3645" s="37" t="n"/>
      <c r="C3645" s="37" t="n"/>
      <c r="D3645" s="39" t="str">
        <f>IF(C3645="","",IFERROR(INDEX(art_des,MATCH(C3645,art_ref,0))&amp;"","Référence inconnue"))</f>
        <v/>
      </c>
      <c r="E3645" s="37" t="n"/>
      <c r="F3645" s="39" t="str">
        <f>IF(C3645="","",IFERROR(INDEX(art_unit,MATCH(C3645,art_ref,0))&amp;"",""))</f>
        <v/>
      </c>
      <c r="G3645" s="37" t="n"/>
      <c r="H3645" s="37" t="n"/>
      <c r="I3645" s="37" t="n"/>
      <c r="J3645" s="40" t="str">
        <f>IF(OR(C3645="",NOT(ISNUMBER(E3645))),"",IFERROR(E3645*N(INDEX(art_price,MATCH(C3645,art_ref,0))),""))</f>
        <v/>
      </c>
      <c r="K3645" s="39" t="str">
        <f>IF(OR(C3645="",NOT(ISNUMBER(E3645))),"",IFERROR(ROUND(N(INDEX(art_init,MATCH(C3645,art_ref,0)))+SUMIFS($E$5:E3645,$C$5:C3645,C3645,$B$5:B3645,"Entrée")-SUMIFS($E$5:E3645,$C$5:C3645,C3645,$B$5:B3645,"Sortie"),6),""))</f>
        <v/>
      </c>
      <c r="L3645" s="39" t="str">
        <f>IF(COUNTA(A3645:C3645,E3645)=0,"",IF(COUNTA(A3645:C3645,E3645)&lt;4,"Ligne incomplète",IF(NOT(ISNUMBER(A3645)),"Date invalide",IF(AND(B3645&lt;&gt;"Entrée",B3645&lt;&gt;"Sortie"),"Type inconnu",IF(ISNA(MATCH(C3645,art_ref,0)),"Référence inconnue",IF(OR(NOT(ISNUMBER(E3645)),N(E3645)&lt;=0),"Quantité invalide",IF(K3645&lt;0,"Stock négatif",IF(AND(ISNUMBER(A3644),A3645&lt;A3644),"Date hors ordre","OK"))))))))</f>
        <v/>
      </c>
      <c r="M3645" s="39" t="str">
        <f>IF(C3645="","",C3645&amp;"#"&amp;COUNTIF($C$5:C3645,C3645))</f>
        <v/>
      </c>
    </row>
    <row r="3646">
      <c r="A3646" s="41" t="n"/>
      <c r="B3646" s="37" t="n"/>
      <c r="C3646" s="37" t="n"/>
      <c r="D3646" s="39" t="str">
        <f>IF(C3646="","",IFERROR(INDEX(art_des,MATCH(C3646,art_ref,0))&amp;"","Référence inconnue"))</f>
        <v/>
      </c>
      <c r="E3646" s="37" t="n"/>
      <c r="F3646" s="39" t="str">
        <f>IF(C3646="","",IFERROR(INDEX(art_unit,MATCH(C3646,art_ref,0))&amp;"",""))</f>
        <v/>
      </c>
      <c r="G3646" s="37" t="n"/>
      <c r="H3646" s="37" t="n"/>
      <c r="I3646" s="37" t="n"/>
      <c r="J3646" s="40" t="str">
        <f>IF(OR(C3646="",NOT(ISNUMBER(E3646))),"",IFERROR(E3646*N(INDEX(art_price,MATCH(C3646,art_ref,0))),""))</f>
        <v/>
      </c>
      <c r="K3646" s="39" t="str">
        <f>IF(OR(C3646="",NOT(ISNUMBER(E3646))),"",IFERROR(ROUND(N(INDEX(art_init,MATCH(C3646,art_ref,0)))+SUMIFS($E$5:E3646,$C$5:C3646,C3646,$B$5:B3646,"Entrée")-SUMIFS($E$5:E3646,$C$5:C3646,C3646,$B$5:B3646,"Sortie"),6),""))</f>
        <v/>
      </c>
      <c r="L3646" s="39" t="str">
        <f>IF(COUNTA(A3646:C3646,E3646)=0,"",IF(COUNTA(A3646:C3646,E3646)&lt;4,"Ligne incomplète",IF(NOT(ISNUMBER(A3646)),"Date invalide",IF(AND(B3646&lt;&gt;"Entrée",B3646&lt;&gt;"Sortie"),"Type inconnu",IF(ISNA(MATCH(C3646,art_ref,0)),"Référence inconnue",IF(OR(NOT(ISNUMBER(E3646)),N(E3646)&lt;=0),"Quantité invalide",IF(K3646&lt;0,"Stock négatif",IF(AND(ISNUMBER(A3645),A3646&lt;A3645),"Date hors ordre","OK"))))))))</f>
        <v/>
      </c>
      <c r="M3646" s="39" t="str">
        <f>IF(C3646="","",C3646&amp;"#"&amp;COUNTIF($C$5:C3646,C3646))</f>
        <v/>
      </c>
    </row>
    <row r="3647">
      <c r="A3647" s="41" t="n"/>
      <c r="B3647" s="37" t="n"/>
      <c r="C3647" s="37" t="n"/>
      <c r="D3647" s="39" t="str">
        <f>IF(C3647="","",IFERROR(INDEX(art_des,MATCH(C3647,art_ref,0))&amp;"","Référence inconnue"))</f>
        <v/>
      </c>
      <c r="E3647" s="37" t="n"/>
      <c r="F3647" s="39" t="str">
        <f>IF(C3647="","",IFERROR(INDEX(art_unit,MATCH(C3647,art_ref,0))&amp;"",""))</f>
        <v/>
      </c>
      <c r="G3647" s="37" t="n"/>
      <c r="H3647" s="37" t="n"/>
      <c r="I3647" s="37" t="n"/>
      <c r="J3647" s="40" t="str">
        <f>IF(OR(C3647="",NOT(ISNUMBER(E3647))),"",IFERROR(E3647*N(INDEX(art_price,MATCH(C3647,art_ref,0))),""))</f>
        <v/>
      </c>
      <c r="K3647" s="39" t="str">
        <f>IF(OR(C3647="",NOT(ISNUMBER(E3647))),"",IFERROR(ROUND(N(INDEX(art_init,MATCH(C3647,art_ref,0)))+SUMIFS($E$5:E3647,$C$5:C3647,C3647,$B$5:B3647,"Entrée")-SUMIFS($E$5:E3647,$C$5:C3647,C3647,$B$5:B3647,"Sortie"),6),""))</f>
        <v/>
      </c>
      <c r="L3647" s="39" t="str">
        <f>IF(COUNTA(A3647:C3647,E3647)=0,"",IF(COUNTA(A3647:C3647,E3647)&lt;4,"Ligne incomplète",IF(NOT(ISNUMBER(A3647)),"Date invalide",IF(AND(B3647&lt;&gt;"Entrée",B3647&lt;&gt;"Sortie"),"Type inconnu",IF(ISNA(MATCH(C3647,art_ref,0)),"Référence inconnue",IF(OR(NOT(ISNUMBER(E3647)),N(E3647)&lt;=0),"Quantité invalide",IF(K3647&lt;0,"Stock négatif",IF(AND(ISNUMBER(A3646),A3647&lt;A3646),"Date hors ordre","OK"))))))))</f>
        <v/>
      </c>
      <c r="M3647" s="39" t="str">
        <f>IF(C3647="","",C3647&amp;"#"&amp;COUNTIF($C$5:C3647,C3647))</f>
        <v/>
      </c>
    </row>
    <row r="3648">
      <c r="A3648" s="41" t="n"/>
      <c r="B3648" s="37" t="n"/>
      <c r="C3648" s="37" t="n"/>
      <c r="D3648" s="39" t="str">
        <f>IF(C3648="","",IFERROR(INDEX(art_des,MATCH(C3648,art_ref,0))&amp;"","Référence inconnue"))</f>
        <v/>
      </c>
      <c r="E3648" s="37" t="n"/>
      <c r="F3648" s="39" t="str">
        <f>IF(C3648="","",IFERROR(INDEX(art_unit,MATCH(C3648,art_ref,0))&amp;"",""))</f>
        <v/>
      </c>
      <c r="G3648" s="37" t="n"/>
      <c r="H3648" s="37" t="n"/>
      <c r="I3648" s="37" t="n"/>
      <c r="J3648" s="40" t="str">
        <f>IF(OR(C3648="",NOT(ISNUMBER(E3648))),"",IFERROR(E3648*N(INDEX(art_price,MATCH(C3648,art_ref,0))),""))</f>
        <v/>
      </c>
      <c r="K3648" s="39" t="str">
        <f>IF(OR(C3648="",NOT(ISNUMBER(E3648))),"",IFERROR(ROUND(N(INDEX(art_init,MATCH(C3648,art_ref,0)))+SUMIFS($E$5:E3648,$C$5:C3648,C3648,$B$5:B3648,"Entrée")-SUMIFS($E$5:E3648,$C$5:C3648,C3648,$B$5:B3648,"Sortie"),6),""))</f>
        <v/>
      </c>
      <c r="L3648" s="39" t="str">
        <f>IF(COUNTA(A3648:C3648,E3648)=0,"",IF(COUNTA(A3648:C3648,E3648)&lt;4,"Ligne incomplète",IF(NOT(ISNUMBER(A3648)),"Date invalide",IF(AND(B3648&lt;&gt;"Entrée",B3648&lt;&gt;"Sortie"),"Type inconnu",IF(ISNA(MATCH(C3648,art_ref,0)),"Référence inconnue",IF(OR(NOT(ISNUMBER(E3648)),N(E3648)&lt;=0),"Quantité invalide",IF(K3648&lt;0,"Stock négatif",IF(AND(ISNUMBER(A3647),A3648&lt;A3647),"Date hors ordre","OK"))))))))</f>
        <v/>
      </c>
      <c r="M3648" s="39" t="str">
        <f>IF(C3648="","",C3648&amp;"#"&amp;COUNTIF($C$5:C3648,C3648))</f>
        <v/>
      </c>
    </row>
    <row r="3649">
      <c r="A3649" s="41" t="n"/>
      <c r="B3649" s="37" t="n"/>
      <c r="C3649" s="37" t="n"/>
      <c r="D3649" s="39" t="str">
        <f>IF(C3649="","",IFERROR(INDEX(art_des,MATCH(C3649,art_ref,0))&amp;"","Référence inconnue"))</f>
        <v/>
      </c>
      <c r="E3649" s="37" t="n"/>
      <c r="F3649" s="39" t="str">
        <f>IF(C3649="","",IFERROR(INDEX(art_unit,MATCH(C3649,art_ref,0))&amp;"",""))</f>
        <v/>
      </c>
      <c r="G3649" s="37" t="n"/>
      <c r="H3649" s="37" t="n"/>
      <c r="I3649" s="37" t="n"/>
      <c r="J3649" s="40" t="str">
        <f>IF(OR(C3649="",NOT(ISNUMBER(E3649))),"",IFERROR(E3649*N(INDEX(art_price,MATCH(C3649,art_ref,0))),""))</f>
        <v/>
      </c>
      <c r="K3649" s="39" t="str">
        <f>IF(OR(C3649="",NOT(ISNUMBER(E3649))),"",IFERROR(ROUND(N(INDEX(art_init,MATCH(C3649,art_ref,0)))+SUMIFS($E$5:E3649,$C$5:C3649,C3649,$B$5:B3649,"Entrée")-SUMIFS($E$5:E3649,$C$5:C3649,C3649,$B$5:B3649,"Sortie"),6),""))</f>
        <v/>
      </c>
      <c r="L3649" s="39" t="str">
        <f>IF(COUNTA(A3649:C3649,E3649)=0,"",IF(COUNTA(A3649:C3649,E3649)&lt;4,"Ligne incomplète",IF(NOT(ISNUMBER(A3649)),"Date invalide",IF(AND(B3649&lt;&gt;"Entrée",B3649&lt;&gt;"Sortie"),"Type inconnu",IF(ISNA(MATCH(C3649,art_ref,0)),"Référence inconnue",IF(OR(NOT(ISNUMBER(E3649)),N(E3649)&lt;=0),"Quantité invalide",IF(K3649&lt;0,"Stock négatif",IF(AND(ISNUMBER(A3648),A3649&lt;A3648),"Date hors ordre","OK"))))))))</f>
        <v/>
      </c>
      <c r="M3649" s="39" t="str">
        <f>IF(C3649="","",C3649&amp;"#"&amp;COUNTIF($C$5:C3649,C3649))</f>
        <v/>
      </c>
    </row>
    <row r="3650">
      <c r="A3650" s="41" t="n"/>
      <c r="B3650" s="37" t="n"/>
      <c r="C3650" s="37" t="n"/>
      <c r="D3650" s="39" t="str">
        <f>IF(C3650="","",IFERROR(INDEX(art_des,MATCH(C3650,art_ref,0))&amp;"","Référence inconnue"))</f>
        <v/>
      </c>
      <c r="E3650" s="37" t="n"/>
      <c r="F3650" s="39" t="str">
        <f>IF(C3650="","",IFERROR(INDEX(art_unit,MATCH(C3650,art_ref,0))&amp;"",""))</f>
        <v/>
      </c>
      <c r="G3650" s="37" t="n"/>
      <c r="H3650" s="37" t="n"/>
      <c r="I3650" s="37" t="n"/>
      <c r="J3650" s="40" t="str">
        <f>IF(OR(C3650="",NOT(ISNUMBER(E3650))),"",IFERROR(E3650*N(INDEX(art_price,MATCH(C3650,art_ref,0))),""))</f>
        <v/>
      </c>
      <c r="K3650" s="39" t="str">
        <f>IF(OR(C3650="",NOT(ISNUMBER(E3650))),"",IFERROR(ROUND(N(INDEX(art_init,MATCH(C3650,art_ref,0)))+SUMIFS($E$5:E3650,$C$5:C3650,C3650,$B$5:B3650,"Entrée")-SUMIFS($E$5:E3650,$C$5:C3650,C3650,$B$5:B3650,"Sortie"),6),""))</f>
        <v/>
      </c>
      <c r="L3650" s="39" t="str">
        <f>IF(COUNTA(A3650:C3650,E3650)=0,"",IF(COUNTA(A3650:C3650,E3650)&lt;4,"Ligne incomplète",IF(NOT(ISNUMBER(A3650)),"Date invalide",IF(AND(B3650&lt;&gt;"Entrée",B3650&lt;&gt;"Sortie"),"Type inconnu",IF(ISNA(MATCH(C3650,art_ref,0)),"Référence inconnue",IF(OR(NOT(ISNUMBER(E3650)),N(E3650)&lt;=0),"Quantité invalide",IF(K3650&lt;0,"Stock négatif",IF(AND(ISNUMBER(A3649),A3650&lt;A3649),"Date hors ordre","OK"))))))))</f>
        <v/>
      </c>
      <c r="M3650" s="39" t="str">
        <f>IF(C3650="","",C3650&amp;"#"&amp;COUNTIF($C$5:C3650,C3650))</f>
        <v/>
      </c>
    </row>
    <row r="3651">
      <c r="A3651" s="41" t="n"/>
      <c r="B3651" s="37" t="n"/>
      <c r="C3651" s="37" t="n"/>
      <c r="D3651" s="39" t="str">
        <f>IF(C3651="","",IFERROR(INDEX(art_des,MATCH(C3651,art_ref,0))&amp;"","Référence inconnue"))</f>
        <v/>
      </c>
      <c r="E3651" s="37" t="n"/>
      <c r="F3651" s="39" t="str">
        <f>IF(C3651="","",IFERROR(INDEX(art_unit,MATCH(C3651,art_ref,0))&amp;"",""))</f>
        <v/>
      </c>
      <c r="G3651" s="37" t="n"/>
      <c r="H3651" s="37" t="n"/>
      <c r="I3651" s="37" t="n"/>
      <c r="J3651" s="40" t="str">
        <f>IF(OR(C3651="",NOT(ISNUMBER(E3651))),"",IFERROR(E3651*N(INDEX(art_price,MATCH(C3651,art_ref,0))),""))</f>
        <v/>
      </c>
      <c r="K3651" s="39" t="str">
        <f>IF(OR(C3651="",NOT(ISNUMBER(E3651))),"",IFERROR(ROUND(N(INDEX(art_init,MATCH(C3651,art_ref,0)))+SUMIFS($E$5:E3651,$C$5:C3651,C3651,$B$5:B3651,"Entrée")-SUMIFS($E$5:E3651,$C$5:C3651,C3651,$B$5:B3651,"Sortie"),6),""))</f>
        <v/>
      </c>
      <c r="L3651" s="39" t="str">
        <f>IF(COUNTA(A3651:C3651,E3651)=0,"",IF(COUNTA(A3651:C3651,E3651)&lt;4,"Ligne incomplète",IF(NOT(ISNUMBER(A3651)),"Date invalide",IF(AND(B3651&lt;&gt;"Entrée",B3651&lt;&gt;"Sortie"),"Type inconnu",IF(ISNA(MATCH(C3651,art_ref,0)),"Référence inconnue",IF(OR(NOT(ISNUMBER(E3651)),N(E3651)&lt;=0),"Quantité invalide",IF(K3651&lt;0,"Stock négatif",IF(AND(ISNUMBER(A3650),A3651&lt;A3650),"Date hors ordre","OK"))))))))</f>
        <v/>
      </c>
      <c r="M3651" s="39" t="str">
        <f>IF(C3651="","",C3651&amp;"#"&amp;COUNTIF($C$5:C3651,C3651))</f>
        <v/>
      </c>
    </row>
    <row r="3652">
      <c r="A3652" s="41" t="n"/>
      <c r="B3652" s="37" t="n"/>
      <c r="C3652" s="37" t="n"/>
      <c r="D3652" s="39" t="str">
        <f>IF(C3652="","",IFERROR(INDEX(art_des,MATCH(C3652,art_ref,0))&amp;"","Référence inconnue"))</f>
        <v/>
      </c>
      <c r="E3652" s="37" t="n"/>
      <c r="F3652" s="39" t="str">
        <f>IF(C3652="","",IFERROR(INDEX(art_unit,MATCH(C3652,art_ref,0))&amp;"",""))</f>
        <v/>
      </c>
      <c r="G3652" s="37" t="n"/>
      <c r="H3652" s="37" t="n"/>
      <c r="I3652" s="37" t="n"/>
      <c r="J3652" s="40" t="str">
        <f>IF(OR(C3652="",NOT(ISNUMBER(E3652))),"",IFERROR(E3652*N(INDEX(art_price,MATCH(C3652,art_ref,0))),""))</f>
        <v/>
      </c>
      <c r="K3652" s="39" t="str">
        <f>IF(OR(C3652="",NOT(ISNUMBER(E3652))),"",IFERROR(ROUND(N(INDEX(art_init,MATCH(C3652,art_ref,0)))+SUMIFS($E$5:E3652,$C$5:C3652,C3652,$B$5:B3652,"Entrée")-SUMIFS($E$5:E3652,$C$5:C3652,C3652,$B$5:B3652,"Sortie"),6),""))</f>
        <v/>
      </c>
      <c r="L3652" s="39" t="str">
        <f>IF(COUNTA(A3652:C3652,E3652)=0,"",IF(COUNTA(A3652:C3652,E3652)&lt;4,"Ligne incomplète",IF(NOT(ISNUMBER(A3652)),"Date invalide",IF(AND(B3652&lt;&gt;"Entrée",B3652&lt;&gt;"Sortie"),"Type inconnu",IF(ISNA(MATCH(C3652,art_ref,0)),"Référence inconnue",IF(OR(NOT(ISNUMBER(E3652)),N(E3652)&lt;=0),"Quantité invalide",IF(K3652&lt;0,"Stock négatif",IF(AND(ISNUMBER(A3651),A3652&lt;A3651),"Date hors ordre","OK"))))))))</f>
        <v/>
      </c>
      <c r="M3652" s="39" t="str">
        <f>IF(C3652="","",C3652&amp;"#"&amp;COUNTIF($C$5:C3652,C3652))</f>
        <v/>
      </c>
    </row>
    <row r="3653">
      <c r="A3653" s="41" t="n"/>
      <c r="B3653" s="37" t="n"/>
      <c r="C3653" s="37" t="n"/>
      <c r="D3653" s="39" t="str">
        <f>IF(C3653="","",IFERROR(INDEX(art_des,MATCH(C3653,art_ref,0))&amp;"","Référence inconnue"))</f>
        <v/>
      </c>
      <c r="E3653" s="37" t="n"/>
      <c r="F3653" s="39" t="str">
        <f>IF(C3653="","",IFERROR(INDEX(art_unit,MATCH(C3653,art_ref,0))&amp;"",""))</f>
        <v/>
      </c>
      <c r="G3653" s="37" t="n"/>
      <c r="H3653" s="37" t="n"/>
      <c r="I3653" s="37" t="n"/>
      <c r="J3653" s="40" t="str">
        <f>IF(OR(C3653="",NOT(ISNUMBER(E3653))),"",IFERROR(E3653*N(INDEX(art_price,MATCH(C3653,art_ref,0))),""))</f>
        <v/>
      </c>
      <c r="K3653" s="39" t="str">
        <f>IF(OR(C3653="",NOT(ISNUMBER(E3653))),"",IFERROR(ROUND(N(INDEX(art_init,MATCH(C3653,art_ref,0)))+SUMIFS($E$5:E3653,$C$5:C3653,C3653,$B$5:B3653,"Entrée")-SUMIFS($E$5:E3653,$C$5:C3653,C3653,$B$5:B3653,"Sortie"),6),""))</f>
        <v/>
      </c>
      <c r="L3653" s="39" t="str">
        <f>IF(COUNTA(A3653:C3653,E3653)=0,"",IF(COUNTA(A3653:C3653,E3653)&lt;4,"Ligne incomplète",IF(NOT(ISNUMBER(A3653)),"Date invalide",IF(AND(B3653&lt;&gt;"Entrée",B3653&lt;&gt;"Sortie"),"Type inconnu",IF(ISNA(MATCH(C3653,art_ref,0)),"Référence inconnue",IF(OR(NOT(ISNUMBER(E3653)),N(E3653)&lt;=0),"Quantité invalide",IF(K3653&lt;0,"Stock négatif",IF(AND(ISNUMBER(A3652),A3653&lt;A3652),"Date hors ordre","OK"))))))))</f>
        <v/>
      </c>
      <c r="M3653" s="39" t="str">
        <f>IF(C3653="","",C3653&amp;"#"&amp;COUNTIF($C$5:C3653,C3653))</f>
        <v/>
      </c>
    </row>
    <row r="3654">
      <c r="A3654" s="41" t="n"/>
      <c r="B3654" s="37" t="n"/>
      <c r="C3654" s="37" t="n"/>
      <c r="D3654" s="39" t="str">
        <f>IF(C3654="","",IFERROR(INDEX(art_des,MATCH(C3654,art_ref,0))&amp;"","Référence inconnue"))</f>
        <v/>
      </c>
      <c r="E3654" s="37" t="n"/>
      <c r="F3654" s="39" t="str">
        <f>IF(C3654="","",IFERROR(INDEX(art_unit,MATCH(C3654,art_ref,0))&amp;"",""))</f>
        <v/>
      </c>
      <c r="G3654" s="37" t="n"/>
      <c r="H3654" s="37" t="n"/>
      <c r="I3654" s="37" t="n"/>
      <c r="J3654" s="40" t="str">
        <f>IF(OR(C3654="",NOT(ISNUMBER(E3654))),"",IFERROR(E3654*N(INDEX(art_price,MATCH(C3654,art_ref,0))),""))</f>
        <v/>
      </c>
      <c r="K3654" s="39" t="str">
        <f>IF(OR(C3654="",NOT(ISNUMBER(E3654))),"",IFERROR(ROUND(N(INDEX(art_init,MATCH(C3654,art_ref,0)))+SUMIFS($E$5:E3654,$C$5:C3654,C3654,$B$5:B3654,"Entrée")-SUMIFS($E$5:E3654,$C$5:C3654,C3654,$B$5:B3654,"Sortie"),6),""))</f>
        <v/>
      </c>
      <c r="L3654" s="39" t="str">
        <f>IF(COUNTA(A3654:C3654,E3654)=0,"",IF(COUNTA(A3654:C3654,E3654)&lt;4,"Ligne incomplète",IF(NOT(ISNUMBER(A3654)),"Date invalide",IF(AND(B3654&lt;&gt;"Entrée",B3654&lt;&gt;"Sortie"),"Type inconnu",IF(ISNA(MATCH(C3654,art_ref,0)),"Référence inconnue",IF(OR(NOT(ISNUMBER(E3654)),N(E3654)&lt;=0),"Quantité invalide",IF(K3654&lt;0,"Stock négatif",IF(AND(ISNUMBER(A3653),A3654&lt;A3653),"Date hors ordre","OK"))))))))</f>
        <v/>
      </c>
      <c r="M3654" s="39" t="str">
        <f>IF(C3654="","",C3654&amp;"#"&amp;COUNTIF($C$5:C3654,C3654))</f>
        <v/>
      </c>
    </row>
    <row r="3655">
      <c r="A3655" s="41" t="n"/>
      <c r="B3655" s="37" t="n"/>
      <c r="C3655" s="37" t="n"/>
      <c r="D3655" s="39" t="str">
        <f>IF(C3655="","",IFERROR(INDEX(art_des,MATCH(C3655,art_ref,0))&amp;"","Référence inconnue"))</f>
        <v/>
      </c>
      <c r="E3655" s="37" t="n"/>
      <c r="F3655" s="39" t="str">
        <f>IF(C3655="","",IFERROR(INDEX(art_unit,MATCH(C3655,art_ref,0))&amp;"",""))</f>
        <v/>
      </c>
      <c r="G3655" s="37" t="n"/>
      <c r="H3655" s="37" t="n"/>
      <c r="I3655" s="37" t="n"/>
      <c r="J3655" s="40" t="str">
        <f>IF(OR(C3655="",NOT(ISNUMBER(E3655))),"",IFERROR(E3655*N(INDEX(art_price,MATCH(C3655,art_ref,0))),""))</f>
        <v/>
      </c>
      <c r="K3655" s="39" t="str">
        <f>IF(OR(C3655="",NOT(ISNUMBER(E3655))),"",IFERROR(ROUND(N(INDEX(art_init,MATCH(C3655,art_ref,0)))+SUMIFS($E$5:E3655,$C$5:C3655,C3655,$B$5:B3655,"Entrée")-SUMIFS($E$5:E3655,$C$5:C3655,C3655,$B$5:B3655,"Sortie"),6),""))</f>
        <v/>
      </c>
      <c r="L3655" s="39" t="str">
        <f>IF(COUNTA(A3655:C3655,E3655)=0,"",IF(COUNTA(A3655:C3655,E3655)&lt;4,"Ligne incomplète",IF(NOT(ISNUMBER(A3655)),"Date invalide",IF(AND(B3655&lt;&gt;"Entrée",B3655&lt;&gt;"Sortie"),"Type inconnu",IF(ISNA(MATCH(C3655,art_ref,0)),"Référence inconnue",IF(OR(NOT(ISNUMBER(E3655)),N(E3655)&lt;=0),"Quantité invalide",IF(K3655&lt;0,"Stock négatif",IF(AND(ISNUMBER(A3654),A3655&lt;A3654),"Date hors ordre","OK"))))))))</f>
        <v/>
      </c>
      <c r="M3655" s="39" t="str">
        <f>IF(C3655="","",C3655&amp;"#"&amp;COUNTIF($C$5:C3655,C3655))</f>
        <v/>
      </c>
    </row>
    <row r="3656">
      <c r="A3656" s="41" t="n"/>
      <c r="B3656" s="37" t="n"/>
      <c r="C3656" s="37" t="n"/>
      <c r="D3656" s="39" t="str">
        <f>IF(C3656="","",IFERROR(INDEX(art_des,MATCH(C3656,art_ref,0))&amp;"","Référence inconnue"))</f>
        <v/>
      </c>
      <c r="E3656" s="37" t="n"/>
      <c r="F3656" s="39" t="str">
        <f>IF(C3656="","",IFERROR(INDEX(art_unit,MATCH(C3656,art_ref,0))&amp;"",""))</f>
        <v/>
      </c>
      <c r="G3656" s="37" t="n"/>
      <c r="H3656" s="37" t="n"/>
      <c r="I3656" s="37" t="n"/>
      <c r="J3656" s="40" t="str">
        <f>IF(OR(C3656="",NOT(ISNUMBER(E3656))),"",IFERROR(E3656*N(INDEX(art_price,MATCH(C3656,art_ref,0))),""))</f>
        <v/>
      </c>
      <c r="K3656" s="39" t="str">
        <f>IF(OR(C3656="",NOT(ISNUMBER(E3656))),"",IFERROR(ROUND(N(INDEX(art_init,MATCH(C3656,art_ref,0)))+SUMIFS($E$5:E3656,$C$5:C3656,C3656,$B$5:B3656,"Entrée")-SUMIFS($E$5:E3656,$C$5:C3656,C3656,$B$5:B3656,"Sortie"),6),""))</f>
        <v/>
      </c>
      <c r="L3656" s="39" t="str">
        <f>IF(COUNTA(A3656:C3656,E3656)=0,"",IF(COUNTA(A3656:C3656,E3656)&lt;4,"Ligne incomplète",IF(NOT(ISNUMBER(A3656)),"Date invalide",IF(AND(B3656&lt;&gt;"Entrée",B3656&lt;&gt;"Sortie"),"Type inconnu",IF(ISNA(MATCH(C3656,art_ref,0)),"Référence inconnue",IF(OR(NOT(ISNUMBER(E3656)),N(E3656)&lt;=0),"Quantité invalide",IF(K3656&lt;0,"Stock négatif",IF(AND(ISNUMBER(A3655),A3656&lt;A3655),"Date hors ordre","OK"))))))))</f>
        <v/>
      </c>
      <c r="M3656" s="39" t="str">
        <f>IF(C3656="","",C3656&amp;"#"&amp;COUNTIF($C$5:C3656,C3656))</f>
        <v/>
      </c>
    </row>
    <row r="3657">
      <c r="A3657" s="41" t="n"/>
      <c r="B3657" s="37" t="n"/>
      <c r="C3657" s="37" t="n"/>
      <c r="D3657" s="39" t="str">
        <f>IF(C3657="","",IFERROR(INDEX(art_des,MATCH(C3657,art_ref,0))&amp;"","Référence inconnue"))</f>
        <v/>
      </c>
      <c r="E3657" s="37" t="n"/>
      <c r="F3657" s="39" t="str">
        <f>IF(C3657="","",IFERROR(INDEX(art_unit,MATCH(C3657,art_ref,0))&amp;"",""))</f>
        <v/>
      </c>
      <c r="G3657" s="37" t="n"/>
      <c r="H3657" s="37" t="n"/>
      <c r="I3657" s="37" t="n"/>
      <c r="J3657" s="40" t="str">
        <f>IF(OR(C3657="",NOT(ISNUMBER(E3657))),"",IFERROR(E3657*N(INDEX(art_price,MATCH(C3657,art_ref,0))),""))</f>
        <v/>
      </c>
      <c r="K3657" s="39" t="str">
        <f>IF(OR(C3657="",NOT(ISNUMBER(E3657))),"",IFERROR(ROUND(N(INDEX(art_init,MATCH(C3657,art_ref,0)))+SUMIFS($E$5:E3657,$C$5:C3657,C3657,$B$5:B3657,"Entrée")-SUMIFS($E$5:E3657,$C$5:C3657,C3657,$B$5:B3657,"Sortie"),6),""))</f>
        <v/>
      </c>
      <c r="L3657" s="39" t="str">
        <f>IF(COUNTA(A3657:C3657,E3657)=0,"",IF(COUNTA(A3657:C3657,E3657)&lt;4,"Ligne incomplète",IF(NOT(ISNUMBER(A3657)),"Date invalide",IF(AND(B3657&lt;&gt;"Entrée",B3657&lt;&gt;"Sortie"),"Type inconnu",IF(ISNA(MATCH(C3657,art_ref,0)),"Référence inconnue",IF(OR(NOT(ISNUMBER(E3657)),N(E3657)&lt;=0),"Quantité invalide",IF(K3657&lt;0,"Stock négatif",IF(AND(ISNUMBER(A3656),A3657&lt;A3656),"Date hors ordre","OK"))))))))</f>
        <v/>
      </c>
      <c r="M3657" s="39" t="str">
        <f>IF(C3657="","",C3657&amp;"#"&amp;COUNTIF($C$5:C3657,C3657))</f>
        <v/>
      </c>
    </row>
    <row r="3658">
      <c r="A3658" s="41" t="n"/>
      <c r="B3658" s="37" t="n"/>
      <c r="C3658" s="37" t="n"/>
      <c r="D3658" s="39" t="str">
        <f>IF(C3658="","",IFERROR(INDEX(art_des,MATCH(C3658,art_ref,0))&amp;"","Référence inconnue"))</f>
        <v/>
      </c>
      <c r="E3658" s="37" t="n"/>
      <c r="F3658" s="39" t="str">
        <f>IF(C3658="","",IFERROR(INDEX(art_unit,MATCH(C3658,art_ref,0))&amp;"",""))</f>
        <v/>
      </c>
      <c r="G3658" s="37" t="n"/>
      <c r="H3658" s="37" t="n"/>
      <c r="I3658" s="37" t="n"/>
      <c r="J3658" s="40" t="str">
        <f>IF(OR(C3658="",NOT(ISNUMBER(E3658))),"",IFERROR(E3658*N(INDEX(art_price,MATCH(C3658,art_ref,0))),""))</f>
        <v/>
      </c>
      <c r="K3658" s="39" t="str">
        <f>IF(OR(C3658="",NOT(ISNUMBER(E3658))),"",IFERROR(ROUND(N(INDEX(art_init,MATCH(C3658,art_ref,0)))+SUMIFS($E$5:E3658,$C$5:C3658,C3658,$B$5:B3658,"Entrée")-SUMIFS($E$5:E3658,$C$5:C3658,C3658,$B$5:B3658,"Sortie"),6),""))</f>
        <v/>
      </c>
      <c r="L3658" s="39" t="str">
        <f>IF(COUNTA(A3658:C3658,E3658)=0,"",IF(COUNTA(A3658:C3658,E3658)&lt;4,"Ligne incomplète",IF(NOT(ISNUMBER(A3658)),"Date invalide",IF(AND(B3658&lt;&gt;"Entrée",B3658&lt;&gt;"Sortie"),"Type inconnu",IF(ISNA(MATCH(C3658,art_ref,0)),"Référence inconnue",IF(OR(NOT(ISNUMBER(E3658)),N(E3658)&lt;=0),"Quantité invalide",IF(K3658&lt;0,"Stock négatif",IF(AND(ISNUMBER(A3657),A3658&lt;A3657),"Date hors ordre","OK"))))))))</f>
        <v/>
      </c>
      <c r="M3658" s="39" t="str">
        <f>IF(C3658="","",C3658&amp;"#"&amp;COUNTIF($C$5:C3658,C3658))</f>
        <v/>
      </c>
    </row>
    <row r="3659">
      <c r="A3659" s="41" t="n"/>
      <c r="B3659" s="37" t="n"/>
      <c r="C3659" s="37" t="n"/>
      <c r="D3659" s="39" t="str">
        <f>IF(C3659="","",IFERROR(INDEX(art_des,MATCH(C3659,art_ref,0))&amp;"","Référence inconnue"))</f>
        <v/>
      </c>
      <c r="E3659" s="37" t="n"/>
      <c r="F3659" s="39" t="str">
        <f>IF(C3659="","",IFERROR(INDEX(art_unit,MATCH(C3659,art_ref,0))&amp;"",""))</f>
        <v/>
      </c>
      <c r="G3659" s="37" t="n"/>
      <c r="H3659" s="37" t="n"/>
      <c r="I3659" s="37" t="n"/>
      <c r="J3659" s="40" t="str">
        <f>IF(OR(C3659="",NOT(ISNUMBER(E3659))),"",IFERROR(E3659*N(INDEX(art_price,MATCH(C3659,art_ref,0))),""))</f>
        <v/>
      </c>
      <c r="K3659" s="39" t="str">
        <f>IF(OR(C3659="",NOT(ISNUMBER(E3659))),"",IFERROR(ROUND(N(INDEX(art_init,MATCH(C3659,art_ref,0)))+SUMIFS($E$5:E3659,$C$5:C3659,C3659,$B$5:B3659,"Entrée")-SUMIFS($E$5:E3659,$C$5:C3659,C3659,$B$5:B3659,"Sortie"),6),""))</f>
        <v/>
      </c>
      <c r="L3659" s="39" t="str">
        <f>IF(COUNTA(A3659:C3659,E3659)=0,"",IF(COUNTA(A3659:C3659,E3659)&lt;4,"Ligne incomplète",IF(NOT(ISNUMBER(A3659)),"Date invalide",IF(AND(B3659&lt;&gt;"Entrée",B3659&lt;&gt;"Sortie"),"Type inconnu",IF(ISNA(MATCH(C3659,art_ref,0)),"Référence inconnue",IF(OR(NOT(ISNUMBER(E3659)),N(E3659)&lt;=0),"Quantité invalide",IF(K3659&lt;0,"Stock négatif",IF(AND(ISNUMBER(A3658),A3659&lt;A3658),"Date hors ordre","OK"))))))))</f>
        <v/>
      </c>
      <c r="M3659" s="39" t="str">
        <f>IF(C3659="","",C3659&amp;"#"&amp;COUNTIF($C$5:C3659,C3659))</f>
        <v/>
      </c>
    </row>
    <row r="3660">
      <c r="A3660" s="41" t="n"/>
      <c r="B3660" s="37" t="n"/>
      <c r="C3660" s="37" t="n"/>
      <c r="D3660" s="39" t="str">
        <f>IF(C3660="","",IFERROR(INDEX(art_des,MATCH(C3660,art_ref,0))&amp;"","Référence inconnue"))</f>
        <v/>
      </c>
      <c r="E3660" s="37" t="n"/>
      <c r="F3660" s="39" t="str">
        <f>IF(C3660="","",IFERROR(INDEX(art_unit,MATCH(C3660,art_ref,0))&amp;"",""))</f>
        <v/>
      </c>
      <c r="G3660" s="37" t="n"/>
      <c r="H3660" s="37" t="n"/>
      <c r="I3660" s="37" t="n"/>
      <c r="J3660" s="40" t="str">
        <f>IF(OR(C3660="",NOT(ISNUMBER(E3660))),"",IFERROR(E3660*N(INDEX(art_price,MATCH(C3660,art_ref,0))),""))</f>
        <v/>
      </c>
      <c r="K3660" s="39" t="str">
        <f>IF(OR(C3660="",NOT(ISNUMBER(E3660))),"",IFERROR(ROUND(N(INDEX(art_init,MATCH(C3660,art_ref,0)))+SUMIFS($E$5:E3660,$C$5:C3660,C3660,$B$5:B3660,"Entrée")-SUMIFS($E$5:E3660,$C$5:C3660,C3660,$B$5:B3660,"Sortie"),6),""))</f>
        <v/>
      </c>
      <c r="L3660" s="39" t="str">
        <f>IF(COUNTA(A3660:C3660,E3660)=0,"",IF(COUNTA(A3660:C3660,E3660)&lt;4,"Ligne incomplète",IF(NOT(ISNUMBER(A3660)),"Date invalide",IF(AND(B3660&lt;&gt;"Entrée",B3660&lt;&gt;"Sortie"),"Type inconnu",IF(ISNA(MATCH(C3660,art_ref,0)),"Référence inconnue",IF(OR(NOT(ISNUMBER(E3660)),N(E3660)&lt;=0),"Quantité invalide",IF(K3660&lt;0,"Stock négatif",IF(AND(ISNUMBER(A3659),A3660&lt;A3659),"Date hors ordre","OK"))))))))</f>
        <v/>
      </c>
      <c r="M3660" s="39" t="str">
        <f>IF(C3660="","",C3660&amp;"#"&amp;COUNTIF($C$5:C3660,C3660))</f>
        <v/>
      </c>
    </row>
    <row r="3661">
      <c r="A3661" s="41" t="n"/>
      <c r="B3661" s="37" t="n"/>
      <c r="C3661" s="37" t="n"/>
      <c r="D3661" s="39" t="str">
        <f>IF(C3661="","",IFERROR(INDEX(art_des,MATCH(C3661,art_ref,0))&amp;"","Référence inconnue"))</f>
        <v/>
      </c>
      <c r="E3661" s="37" t="n"/>
      <c r="F3661" s="39" t="str">
        <f>IF(C3661="","",IFERROR(INDEX(art_unit,MATCH(C3661,art_ref,0))&amp;"",""))</f>
        <v/>
      </c>
      <c r="G3661" s="37" t="n"/>
      <c r="H3661" s="37" t="n"/>
      <c r="I3661" s="37" t="n"/>
      <c r="J3661" s="40" t="str">
        <f>IF(OR(C3661="",NOT(ISNUMBER(E3661))),"",IFERROR(E3661*N(INDEX(art_price,MATCH(C3661,art_ref,0))),""))</f>
        <v/>
      </c>
      <c r="K3661" s="39" t="str">
        <f>IF(OR(C3661="",NOT(ISNUMBER(E3661))),"",IFERROR(ROUND(N(INDEX(art_init,MATCH(C3661,art_ref,0)))+SUMIFS($E$5:E3661,$C$5:C3661,C3661,$B$5:B3661,"Entrée")-SUMIFS($E$5:E3661,$C$5:C3661,C3661,$B$5:B3661,"Sortie"),6),""))</f>
        <v/>
      </c>
      <c r="L3661" s="39" t="str">
        <f>IF(COUNTA(A3661:C3661,E3661)=0,"",IF(COUNTA(A3661:C3661,E3661)&lt;4,"Ligne incomplète",IF(NOT(ISNUMBER(A3661)),"Date invalide",IF(AND(B3661&lt;&gt;"Entrée",B3661&lt;&gt;"Sortie"),"Type inconnu",IF(ISNA(MATCH(C3661,art_ref,0)),"Référence inconnue",IF(OR(NOT(ISNUMBER(E3661)),N(E3661)&lt;=0),"Quantité invalide",IF(K3661&lt;0,"Stock négatif",IF(AND(ISNUMBER(A3660),A3661&lt;A3660),"Date hors ordre","OK"))))))))</f>
        <v/>
      </c>
      <c r="M3661" s="39" t="str">
        <f>IF(C3661="","",C3661&amp;"#"&amp;COUNTIF($C$5:C3661,C3661))</f>
        <v/>
      </c>
    </row>
    <row r="3662">
      <c r="A3662" s="41" t="n"/>
      <c r="B3662" s="37" t="n"/>
      <c r="C3662" s="37" t="n"/>
      <c r="D3662" s="39" t="str">
        <f>IF(C3662="","",IFERROR(INDEX(art_des,MATCH(C3662,art_ref,0))&amp;"","Référence inconnue"))</f>
        <v/>
      </c>
      <c r="E3662" s="37" t="n"/>
      <c r="F3662" s="39" t="str">
        <f>IF(C3662="","",IFERROR(INDEX(art_unit,MATCH(C3662,art_ref,0))&amp;"",""))</f>
        <v/>
      </c>
      <c r="G3662" s="37" t="n"/>
      <c r="H3662" s="37" t="n"/>
      <c r="I3662" s="37" t="n"/>
      <c r="J3662" s="40" t="str">
        <f>IF(OR(C3662="",NOT(ISNUMBER(E3662))),"",IFERROR(E3662*N(INDEX(art_price,MATCH(C3662,art_ref,0))),""))</f>
        <v/>
      </c>
      <c r="K3662" s="39" t="str">
        <f>IF(OR(C3662="",NOT(ISNUMBER(E3662))),"",IFERROR(ROUND(N(INDEX(art_init,MATCH(C3662,art_ref,0)))+SUMIFS($E$5:E3662,$C$5:C3662,C3662,$B$5:B3662,"Entrée")-SUMIFS($E$5:E3662,$C$5:C3662,C3662,$B$5:B3662,"Sortie"),6),""))</f>
        <v/>
      </c>
      <c r="L3662" s="39" t="str">
        <f>IF(COUNTA(A3662:C3662,E3662)=0,"",IF(COUNTA(A3662:C3662,E3662)&lt;4,"Ligne incomplète",IF(NOT(ISNUMBER(A3662)),"Date invalide",IF(AND(B3662&lt;&gt;"Entrée",B3662&lt;&gt;"Sortie"),"Type inconnu",IF(ISNA(MATCH(C3662,art_ref,0)),"Référence inconnue",IF(OR(NOT(ISNUMBER(E3662)),N(E3662)&lt;=0),"Quantité invalide",IF(K3662&lt;0,"Stock négatif",IF(AND(ISNUMBER(A3661),A3662&lt;A3661),"Date hors ordre","OK"))))))))</f>
        <v/>
      </c>
      <c r="M3662" s="39" t="str">
        <f>IF(C3662="","",C3662&amp;"#"&amp;COUNTIF($C$5:C3662,C3662))</f>
        <v/>
      </c>
    </row>
    <row r="3663">
      <c r="A3663" s="41" t="n"/>
      <c r="B3663" s="37" t="n"/>
      <c r="C3663" s="37" t="n"/>
      <c r="D3663" s="39" t="str">
        <f>IF(C3663="","",IFERROR(INDEX(art_des,MATCH(C3663,art_ref,0))&amp;"","Référence inconnue"))</f>
        <v/>
      </c>
      <c r="E3663" s="37" t="n"/>
      <c r="F3663" s="39" t="str">
        <f>IF(C3663="","",IFERROR(INDEX(art_unit,MATCH(C3663,art_ref,0))&amp;"",""))</f>
        <v/>
      </c>
      <c r="G3663" s="37" t="n"/>
      <c r="H3663" s="37" t="n"/>
      <c r="I3663" s="37" t="n"/>
      <c r="J3663" s="40" t="str">
        <f>IF(OR(C3663="",NOT(ISNUMBER(E3663))),"",IFERROR(E3663*N(INDEX(art_price,MATCH(C3663,art_ref,0))),""))</f>
        <v/>
      </c>
      <c r="K3663" s="39" t="str">
        <f>IF(OR(C3663="",NOT(ISNUMBER(E3663))),"",IFERROR(ROUND(N(INDEX(art_init,MATCH(C3663,art_ref,0)))+SUMIFS($E$5:E3663,$C$5:C3663,C3663,$B$5:B3663,"Entrée")-SUMIFS($E$5:E3663,$C$5:C3663,C3663,$B$5:B3663,"Sortie"),6),""))</f>
        <v/>
      </c>
      <c r="L3663" s="39" t="str">
        <f>IF(COUNTA(A3663:C3663,E3663)=0,"",IF(COUNTA(A3663:C3663,E3663)&lt;4,"Ligne incomplète",IF(NOT(ISNUMBER(A3663)),"Date invalide",IF(AND(B3663&lt;&gt;"Entrée",B3663&lt;&gt;"Sortie"),"Type inconnu",IF(ISNA(MATCH(C3663,art_ref,0)),"Référence inconnue",IF(OR(NOT(ISNUMBER(E3663)),N(E3663)&lt;=0),"Quantité invalide",IF(K3663&lt;0,"Stock négatif",IF(AND(ISNUMBER(A3662),A3663&lt;A3662),"Date hors ordre","OK"))))))))</f>
        <v/>
      </c>
      <c r="M3663" s="39" t="str">
        <f>IF(C3663="","",C3663&amp;"#"&amp;COUNTIF($C$5:C3663,C3663))</f>
        <v/>
      </c>
    </row>
    <row r="3664">
      <c r="A3664" s="41" t="n"/>
      <c r="B3664" s="37" t="n"/>
      <c r="C3664" s="37" t="n"/>
      <c r="D3664" s="39" t="str">
        <f>IF(C3664="","",IFERROR(INDEX(art_des,MATCH(C3664,art_ref,0))&amp;"","Référence inconnue"))</f>
        <v/>
      </c>
      <c r="E3664" s="37" t="n"/>
      <c r="F3664" s="39" t="str">
        <f>IF(C3664="","",IFERROR(INDEX(art_unit,MATCH(C3664,art_ref,0))&amp;"",""))</f>
        <v/>
      </c>
      <c r="G3664" s="37" t="n"/>
      <c r="H3664" s="37" t="n"/>
      <c r="I3664" s="37" t="n"/>
      <c r="J3664" s="40" t="str">
        <f>IF(OR(C3664="",NOT(ISNUMBER(E3664))),"",IFERROR(E3664*N(INDEX(art_price,MATCH(C3664,art_ref,0))),""))</f>
        <v/>
      </c>
      <c r="K3664" s="39" t="str">
        <f>IF(OR(C3664="",NOT(ISNUMBER(E3664))),"",IFERROR(ROUND(N(INDEX(art_init,MATCH(C3664,art_ref,0)))+SUMIFS($E$5:E3664,$C$5:C3664,C3664,$B$5:B3664,"Entrée")-SUMIFS($E$5:E3664,$C$5:C3664,C3664,$B$5:B3664,"Sortie"),6),""))</f>
        <v/>
      </c>
      <c r="L3664" s="39" t="str">
        <f>IF(COUNTA(A3664:C3664,E3664)=0,"",IF(COUNTA(A3664:C3664,E3664)&lt;4,"Ligne incomplète",IF(NOT(ISNUMBER(A3664)),"Date invalide",IF(AND(B3664&lt;&gt;"Entrée",B3664&lt;&gt;"Sortie"),"Type inconnu",IF(ISNA(MATCH(C3664,art_ref,0)),"Référence inconnue",IF(OR(NOT(ISNUMBER(E3664)),N(E3664)&lt;=0),"Quantité invalide",IF(K3664&lt;0,"Stock négatif",IF(AND(ISNUMBER(A3663),A3664&lt;A3663),"Date hors ordre","OK"))))))))</f>
        <v/>
      </c>
      <c r="M3664" s="39" t="str">
        <f>IF(C3664="","",C3664&amp;"#"&amp;COUNTIF($C$5:C3664,C3664))</f>
        <v/>
      </c>
    </row>
    <row r="3665">
      <c r="A3665" s="41" t="n"/>
      <c r="B3665" s="37" t="n"/>
      <c r="C3665" s="37" t="n"/>
      <c r="D3665" s="39" t="str">
        <f>IF(C3665="","",IFERROR(INDEX(art_des,MATCH(C3665,art_ref,0))&amp;"","Référence inconnue"))</f>
        <v/>
      </c>
      <c r="E3665" s="37" t="n"/>
      <c r="F3665" s="39" t="str">
        <f>IF(C3665="","",IFERROR(INDEX(art_unit,MATCH(C3665,art_ref,0))&amp;"",""))</f>
        <v/>
      </c>
      <c r="G3665" s="37" t="n"/>
      <c r="H3665" s="37" t="n"/>
      <c r="I3665" s="37" t="n"/>
      <c r="J3665" s="40" t="str">
        <f>IF(OR(C3665="",NOT(ISNUMBER(E3665))),"",IFERROR(E3665*N(INDEX(art_price,MATCH(C3665,art_ref,0))),""))</f>
        <v/>
      </c>
      <c r="K3665" s="39" t="str">
        <f>IF(OR(C3665="",NOT(ISNUMBER(E3665))),"",IFERROR(ROUND(N(INDEX(art_init,MATCH(C3665,art_ref,0)))+SUMIFS($E$5:E3665,$C$5:C3665,C3665,$B$5:B3665,"Entrée")-SUMIFS($E$5:E3665,$C$5:C3665,C3665,$B$5:B3665,"Sortie"),6),""))</f>
        <v/>
      </c>
      <c r="L3665" s="39" t="str">
        <f>IF(COUNTA(A3665:C3665,E3665)=0,"",IF(COUNTA(A3665:C3665,E3665)&lt;4,"Ligne incomplète",IF(NOT(ISNUMBER(A3665)),"Date invalide",IF(AND(B3665&lt;&gt;"Entrée",B3665&lt;&gt;"Sortie"),"Type inconnu",IF(ISNA(MATCH(C3665,art_ref,0)),"Référence inconnue",IF(OR(NOT(ISNUMBER(E3665)),N(E3665)&lt;=0),"Quantité invalide",IF(K3665&lt;0,"Stock négatif",IF(AND(ISNUMBER(A3664),A3665&lt;A3664),"Date hors ordre","OK"))))))))</f>
        <v/>
      </c>
      <c r="M3665" s="39" t="str">
        <f>IF(C3665="","",C3665&amp;"#"&amp;COUNTIF($C$5:C3665,C3665))</f>
        <v/>
      </c>
    </row>
    <row r="3666">
      <c r="A3666" s="41" t="n"/>
      <c r="B3666" s="37" t="n"/>
      <c r="C3666" s="37" t="n"/>
      <c r="D3666" s="39" t="str">
        <f>IF(C3666="","",IFERROR(INDEX(art_des,MATCH(C3666,art_ref,0))&amp;"","Référence inconnue"))</f>
        <v/>
      </c>
      <c r="E3666" s="37" t="n"/>
      <c r="F3666" s="39" t="str">
        <f>IF(C3666="","",IFERROR(INDEX(art_unit,MATCH(C3666,art_ref,0))&amp;"",""))</f>
        <v/>
      </c>
      <c r="G3666" s="37" t="n"/>
      <c r="H3666" s="37" t="n"/>
      <c r="I3666" s="37" t="n"/>
      <c r="J3666" s="40" t="str">
        <f>IF(OR(C3666="",NOT(ISNUMBER(E3666))),"",IFERROR(E3666*N(INDEX(art_price,MATCH(C3666,art_ref,0))),""))</f>
        <v/>
      </c>
      <c r="K3666" s="39" t="str">
        <f>IF(OR(C3666="",NOT(ISNUMBER(E3666))),"",IFERROR(ROUND(N(INDEX(art_init,MATCH(C3666,art_ref,0)))+SUMIFS($E$5:E3666,$C$5:C3666,C3666,$B$5:B3666,"Entrée")-SUMIFS($E$5:E3666,$C$5:C3666,C3666,$B$5:B3666,"Sortie"),6),""))</f>
        <v/>
      </c>
      <c r="L3666" s="39" t="str">
        <f>IF(COUNTA(A3666:C3666,E3666)=0,"",IF(COUNTA(A3666:C3666,E3666)&lt;4,"Ligne incomplète",IF(NOT(ISNUMBER(A3666)),"Date invalide",IF(AND(B3666&lt;&gt;"Entrée",B3666&lt;&gt;"Sortie"),"Type inconnu",IF(ISNA(MATCH(C3666,art_ref,0)),"Référence inconnue",IF(OR(NOT(ISNUMBER(E3666)),N(E3666)&lt;=0),"Quantité invalide",IF(K3666&lt;0,"Stock négatif",IF(AND(ISNUMBER(A3665),A3666&lt;A3665),"Date hors ordre","OK"))))))))</f>
        <v/>
      </c>
      <c r="M3666" s="39" t="str">
        <f>IF(C3666="","",C3666&amp;"#"&amp;COUNTIF($C$5:C3666,C3666))</f>
        <v/>
      </c>
    </row>
    <row r="3667">
      <c r="A3667" s="41" t="n"/>
      <c r="B3667" s="37" t="n"/>
      <c r="C3667" s="37" t="n"/>
      <c r="D3667" s="39" t="str">
        <f>IF(C3667="","",IFERROR(INDEX(art_des,MATCH(C3667,art_ref,0))&amp;"","Référence inconnue"))</f>
        <v/>
      </c>
      <c r="E3667" s="37" t="n"/>
      <c r="F3667" s="39" t="str">
        <f>IF(C3667="","",IFERROR(INDEX(art_unit,MATCH(C3667,art_ref,0))&amp;"",""))</f>
        <v/>
      </c>
      <c r="G3667" s="37" t="n"/>
      <c r="H3667" s="37" t="n"/>
      <c r="I3667" s="37" t="n"/>
      <c r="J3667" s="40" t="str">
        <f>IF(OR(C3667="",NOT(ISNUMBER(E3667))),"",IFERROR(E3667*N(INDEX(art_price,MATCH(C3667,art_ref,0))),""))</f>
        <v/>
      </c>
      <c r="K3667" s="39" t="str">
        <f>IF(OR(C3667="",NOT(ISNUMBER(E3667))),"",IFERROR(ROUND(N(INDEX(art_init,MATCH(C3667,art_ref,0)))+SUMIFS($E$5:E3667,$C$5:C3667,C3667,$B$5:B3667,"Entrée")-SUMIFS($E$5:E3667,$C$5:C3667,C3667,$B$5:B3667,"Sortie"),6),""))</f>
        <v/>
      </c>
      <c r="L3667" s="39" t="str">
        <f>IF(COUNTA(A3667:C3667,E3667)=0,"",IF(COUNTA(A3667:C3667,E3667)&lt;4,"Ligne incomplète",IF(NOT(ISNUMBER(A3667)),"Date invalide",IF(AND(B3667&lt;&gt;"Entrée",B3667&lt;&gt;"Sortie"),"Type inconnu",IF(ISNA(MATCH(C3667,art_ref,0)),"Référence inconnue",IF(OR(NOT(ISNUMBER(E3667)),N(E3667)&lt;=0),"Quantité invalide",IF(K3667&lt;0,"Stock négatif",IF(AND(ISNUMBER(A3666),A3667&lt;A3666),"Date hors ordre","OK"))))))))</f>
        <v/>
      </c>
      <c r="M3667" s="39" t="str">
        <f>IF(C3667="","",C3667&amp;"#"&amp;COUNTIF($C$5:C3667,C3667))</f>
        <v/>
      </c>
    </row>
    <row r="3668">
      <c r="A3668" s="41" t="n"/>
      <c r="B3668" s="37" t="n"/>
      <c r="C3668" s="37" t="n"/>
      <c r="D3668" s="39" t="str">
        <f>IF(C3668="","",IFERROR(INDEX(art_des,MATCH(C3668,art_ref,0))&amp;"","Référence inconnue"))</f>
        <v/>
      </c>
      <c r="E3668" s="37" t="n"/>
      <c r="F3668" s="39" t="str">
        <f>IF(C3668="","",IFERROR(INDEX(art_unit,MATCH(C3668,art_ref,0))&amp;"",""))</f>
        <v/>
      </c>
      <c r="G3668" s="37" t="n"/>
      <c r="H3668" s="37" t="n"/>
      <c r="I3668" s="37" t="n"/>
      <c r="J3668" s="40" t="str">
        <f>IF(OR(C3668="",NOT(ISNUMBER(E3668))),"",IFERROR(E3668*N(INDEX(art_price,MATCH(C3668,art_ref,0))),""))</f>
        <v/>
      </c>
      <c r="K3668" s="39" t="str">
        <f>IF(OR(C3668="",NOT(ISNUMBER(E3668))),"",IFERROR(ROUND(N(INDEX(art_init,MATCH(C3668,art_ref,0)))+SUMIFS($E$5:E3668,$C$5:C3668,C3668,$B$5:B3668,"Entrée")-SUMIFS($E$5:E3668,$C$5:C3668,C3668,$B$5:B3668,"Sortie"),6),""))</f>
        <v/>
      </c>
      <c r="L3668" s="39" t="str">
        <f>IF(COUNTA(A3668:C3668,E3668)=0,"",IF(COUNTA(A3668:C3668,E3668)&lt;4,"Ligne incomplète",IF(NOT(ISNUMBER(A3668)),"Date invalide",IF(AND(B3668&lt;&gt;"Entrée",B3668&lt;&gt;"Sortie"),"Type inconnu",IF(ISNA(MATCH(C3668,art_ref,0)),"Référence inconnue",IF(OR(NOT(ISNUMBER(E3668)),N(E3668)&lt;=0),"Quantité invalide",IF(K3668&lt;0,"Stock négatif",IF(AND(ISNUMBER(A3667),A3668&lt;A3667),"Date hors ordre","OK"))))))))</f>
        <v/>
      </c>
      <c r="M3668" s="39" t="str">
        <f>IF(C3668="","",C3668&amp;"#"&amp;COUNTIF($C$5:C3668,C3668))</f>
        <v/>
      </c>
    </row>
    <row r="3669">
      <c r="A3669" s="41" t="n"/>
      <c r="B3669" s="37" t="n"/>
      <c r="C3669" s="37" t="n"/>
      <c r="D3669" s="39" t="str">
        <f>IF(C3669="","",IFERROR(INDEX(art_des,MATCH(C3669,art_ref,0))&amp;"","Référence inconnue"))</f>
        <v/>
      </c>
      <c r="E3669" s="37" t="n"/>
      <c r="F3669" s="39" t="str">
        <f>IF(C3669="","",IFERROR(INDEX(art_unit,MATCH(C3669,art_ref,0))&amp;"",""))</f>
        <v/>
      </c>
      <c r="G3669" s="37" t="n"/>
      <c r="H3669" s="37" t="n"/>
      <c r="I3669" s="37" t="n"/>
      <c r="J3669" s="40" t="str">
        <f>IF(OR(C3669="",NOT(ISNUMBER(E3669))),"",IFERROR(E3669*N(INDEX(art_price,MATCH(C3669,art_ref,0))),""))</f>
        <v/>
      </c>
      <c r="K3669" s="39" t="str">
        <f>IF(OR(C3669="",NOT(ISNUMBER(E3669))),"",IFERROR(ROUND(N(INDEX(art_init,MATCH(C3669,art_ref,0)))+SUMIFS($E$5:E3669,$C$5:C3669,C3669,$B$5:B3669,"Entrée")-SUMIFS($E$5:E3669,$C$5:C3669,C3669,$B$5:B3669,"Sortie"),6),""))</f>
        <v/>
      </c>
      <c r="L3669" s="39" t="str">
        <f>IF(COUNTA(A3669:C3669,E3669)=0,"",IF(COUNTA(A3669:C3669,E3669)&lt;4,"Ligne incomplète",IF(NOT(ISNUMBER(A3669)),"Date invalide",IF(AND(B3669&lt;&gt;"Entrée",B3669&lt;&gt;"Sortie"),"Type inconnu",IF(ISNA(MATCH(C3669,art_ref,0)),"Référence inconnue",IF(OR(NOT(ISNUMBER(E3669)),N(E3669)&lt;=0),"Quantité invalide",IF(K3669&lt;0,"Stock négatif",IF(AND(ISNUMBER(A3668),A3669&lt;A3668),"Date hors ordre","OK"))))))))</f>
        <v/>
      </c>
      <c r="M3669" s="39" t="str">
        <f>IF(C3669="","",C3669&amp;"#"&amp;COUNTIF($C$5:C3669,C3669))</f>
        <v/>
      </c>
    </row>
    <row r="3670">
      <c r="A3670" s="41" t="n"/>
      <c r="B3670" s="37" t="n"/>
      <c r="C3670" s="37" t="n"/>
      <c r="D3670" s="39" t="str">
        <f>IF(C3670="","",IFERROR(INDEX(art_des,MATCH(C3670,art_ref,0))&amp;"","Référence inconnue"))</f>
        <v/>
      </c>
      <c r="E3670" s="37" t="n"/>
      <c r="F3670" s="39" t="str">
        <f>IF(C3670="","",IFERROR(INDEX(art_unit,MATCH(C3670,art_ref,0))&amp;"",""))</f>
        <v/>
      </c>
      <c r="G3670" s="37" t="n"/>
      <c r="H3670" s="37" t="n"/>
      <c r="I3670" s="37" t="n"/>
      <c r="J3670" s="40" t="str">
        <f>IF(OR(C3670="",NOT(ISNUMBER(E3670))),"",IFERROR(E3670*N(INDEX(art_price,MATCH(C3670,art_ref,0))),""))</f>
        <v/>
      </c>
      <c r="K3670" s="39" t="str">
        <f>IF(OR(C3670="",NOT(ISNUMBER(E3670))),"",IFERROR(ROUND(N(INDEX(art_init,MATCH(C3670,art_ref,0)))+SUMIFS($E$5:E3670,$C$5:C3670,C3670,$B$5:B3670,"Entrée")-SUMIFS($E$5:E3670,$C$5:C3670,C3670,$B$5:B3670,"Sortie"),6),""))</f>
        <v/>
      </c>
      <c r="L3670" s="39" t="str">
        <f>IF(COUNTA(A3670:C3670,E3670)=0,"",IF(COUNTA(A3670:C3670,E3670)&lt;4,"Ligne incomplète",IF(NOT(ISNUMBER(A3670)),"Date invalide",IF(AND(B3670&lt;&gt;"Entrée",B3670&lt;&gt;"Sortie"),"Type inconnu",IF(ISNA(MATCH(C3670,art_ref,0)),"Référence inconnue",IF(OR(NOT(ISNUMBER(E3670)),N(E3670)&lt;=0),"Quantité invalide",IF(K3670&lt;0,"Stock négatif",IF(AND(ISNUMBER(A3669),A3670&lt;A3669),"Date hors ordre","OK"))))))))</f>
        <v/>
      </c>
      <c r="M3670" s="39" t="str">
        <f>IF(C3670="","",C3670&amp;"#"&amp;COUNTIF($C$5:C3670,C3670))</f>
        <v/>
      </c>
    </row>
    <row r="3671">
      <c r="A3671" s="41" t="n"/>
      <c r="B3671" s="37" t="n"/>
      <c r="C3671" s="37" t="n"/>
      <c r="D3671" s="39" t="str">
        <f>IF(C3671="","",IFERROR(INDEX(art_des,MATCH(C3671,art_ref,0))&amp;"","Référence inconnue"))</f>
        <v/>
      </c>
      <c r="E3671" s="37" t="n"/>
      <c r="F3671" s="39" t="str">
        <f>IF(C3671="","",IFERROR(INDEX(art_unit,MATCH(C3671,art_ref,0))&amp;"",""))</f>
        <v/>
      </c>
      <c r="G3671" s="37" t="n"/>
      <c r="H3671" s="37" t="n"/>
      <c r="I3671" s="37" t="n"/>
      <c r="J3671" s="40" t="str">
        <f>IF(OR(C3671="",NOT(ISNUMBER(E3671))),"",IFERROR(E3671*N(INDEX(art_price,MATCH(C3671,art_ref,0))),""))</f>
        <v/>
      </c>
      <c r="K3671" s="39" t="str">
        <f>IF(OR(C3671="",NOT(ISNUMBER(E3671))),"",IFERROR(ROUND(N(INDEX(art_init,MATCH(C3671,art_ref,0)))+SUMIFS($E$5:E3671,$C$5:C3671,C3671,$B$5:B3671,"Entrée")-SUMIFS($E$5:E3671,$C$5:C3671,C3671,$B$5:B3671,"Sortie"),6),""))</f>
        <v/>
      </c>
      <c r="L3671" s="39" t="str">
        <f>IF(COUNTA(A3671:C3671,E3671)=0,"",IF(COUNTA(A3671:C3671,E3671)&lt;4,"Ligne incomplète",IF(NOT(ISNUMBER(A3671)),"Date invalide",IF(AND(B3671&lt;&gt;"Entrée",B3671&lt;&gt;"Sortie"),"Type inconnu",IF(ISNA(MATCH(C3671,art_ref,0)),"Référence inconnue",IF(OR(NOT(ISNUMBER(E3671)),N(E3671)&lt;=0),"Quantité invalide",IF(K3671&lt;0,"Stock négatif",IF(AND(ISNUMBER(A3670),A3671&lt;A3670),"Date hors ordre","OK"))))))))</f>
        <v/>
      </c>
      <c r="M3671" s="39" t="str">
        <f>IF(C3671="","",C3671&amp;"#"&amp;COUNTIF($C$5:C3671,C3671))</f>
        <v/>
      </c>
    </row>
    <row r="3672">
      <c r="A3672" s="41" t="n"/>
      <c r="B3672" s="37" t="n"/>
      <c r="C3672" s="37" t="n"/>
      <c r="D3672" s="39" t="str">
        <f>IF(C3672="","",IFERROR(INDEX(art_des,MATCH(C3672,art_ref,0))&amp;"","Référence inconnue"))</f>
        <v/>
      </c>
      <c r="E3672" s="37" t="n"/>
      <c r="F3672" s="39" t="str">
        <f>IF(C3672="","",IFERROR(INDEX(art_unit,MATCH(C3672,art_ref,0))&amp;"",""))</f>
        <v/>
      </c>
      <c r="G3672" s="37" t="n"/>
      <c r="H3672" s="37" t="n"/>
      <c r="I3672" s="37" t="n"/>
      <c r="J3672" s="40" t="str">
        <f>IF(OR(C3672="",NOT(ISNUMBER(E3672))),"",IFERROR(E3672*N(INDEX(art_price,MATCH(C3672,art_ref,0))),""))</f>
        <v/>
      </c>
      <c r="K3672" s="39" t="str">
        <f>IF(OR(C3672="",NOT(ISNUMBER(E3672))),"",IFERROR(ROUND(N(INDEX(art_init,MATCH(C3672,art_ref,0)))+SUMIFS($E$5:E3672,$C$5:C3672,C3672,$B$5:B3672,"Entrée")-SUMIFS($E$5:E3672,$C$5:C3672,C3672,$B$5:B3672,"Sortie"),6),""))</f>
        <v/>
      </c>
      <c r="L3672" s="39" t="str">
        <f>IF(COUNTA(A3672:C3672,E3672)=0,"",IF(COUNTA(A3672:C3672,E3672)&lt;4,"Ligne incomplète",IF(NOT(ISNUMBER(A3672)),"Date invalide",IF(AND(B3672&lt;&gt;"Entrée",B3672&lt;&gt;"Sortie"),"Type inconnu",IF(ISNA(MATCH(C3672,art_ref,0)),"Référence inconnue",IF(OR(NOT(ISNUMBER(E3672)),N(E3672)&lt;=0),"Quantité invalide",IF(K3672&lt;0,"Stock négatif",IF(AND(ISNUMBER(A3671),A3672&lt;A3671),"Date hors ordre","OK"))))))))</f>
        <v/>
      </c>
      <c r="M3672" s="39" t="str">
        <f>IF(C3672="","",C3672&amp;"#"&amp;COUNTIF($C$5:C3672,C3672))</f>
        <v/>
      </c>
    </row>
    <row r="3673">
      <c r="A3673" s="41" t="n"/>
      <c r="B3673" s="37" t="n"/>
      <c r="C3673" s="37" t="n"/>
      <c r="D3673" s="39" t="str">
        <f>IF(C3673="","",IFERROR(INDEX(art_des,MATCH(C3673,art_ref,0))&amp;"","Référence inconnue"))</f>
        <v/>
      </c>
      <c r="E3673" s="37" t="n"/>
      <c r="F3673" s="39" t="str">
        <f>IF(C3673="","",IFERROR(INDEX(art_unit,MATCH(C3673,art_ref,0))&amp;"",""))</f>
        <v/>
      </c>
      <c r="G3673" s="37" t="n"/>
      <c r="H3673" s="37" t="n"/>
      <c r="I3673" s="37" t="n"/>
      <c r="J3673" s="40" t="str">
        <f>IF(OR(C3673="",NOT(ISNUMBER(E3673))),"",IFERROR(E3673*N(INDEX(art_price,MATCH(C3673,art_ref,0))),""))</f>
        <v/>
      </c>
      <c r="K3673" s="39" t="str">
        <f>IF(OR(C3673="",NOT(ISNUMBER(E3673))),"",IFERROR(ROUND(N(INDEX(art_init,MATCH(C3673,art_ref,0)))+SUMIFS($E$5:E3673,$C$5:C3673,C3673,$B$5:B3673,"Entrée")-SUMIFS($E$5:E3673,$C$5:C3673,C3673,$B$5:B3673,"Sortie"),6),""))</f>
        <v/>
      </c>
      <c r="L3673" s="39" t="str">
        <f>IF(COUNTA(A3673:C3673,E3673)=0,"",IF(COUNTA(A3673:C3673,E3673)&lt;4,"Ligne incomplète",IF(NOT(ISNUMBER(A3673)),"Date invalide",IF(AND(B3673&lt;&gt;"Entrée",B3673&lt;&gt;"Sortie"),"Type inconnu",IF(ISNA(MATCH(C3673,art_ref,0)),"Référence inconnue",IF(OR(NOT(ISNUMBER(E3673)),N(E3673)&lt;=0),"Quantité invalide",IF(K3673&lt;0,"Stock négatif",IF(AND(ISNUMBER(A3672),A3673&lt;A3672),"Date hors ordre","OK"))))))))</f>
        <v/>
      </c>
      <c r="M3673" s="39" t="str">
        <f>IF(C3673="","",C3673&amp;"#"&amp;COUNTIF($C$5:C3673,C3673))</f>
        <v/>
      </c>
    </row>
    <row r="3674">
      <c r="A3674" s="41" t="n"/>
      <c r="B3674" s="37" t="n"/>
      <c r="C3674" s="37" t="n"/>
      <c r="D3674" s="39" t="str">
        <f>IF(C3674="","",IFERROR(INDEX(art_des,MATCH(C3674,art_ref,0))&amp;"","Référence inconnue"))</f>
        <v/>
      </c>
      <c r="E3674" s="37" t="n"/>
      <c r="F3674" s="39" t="str">
        <f>IF(C3674="","",IFERROR(INDEX(art_unit,MATCH(C3674,art_ref,0))&amp;"",""))</f>
        <v/>
      </c>
      <c r="G3674" s="37" t="n"/>
      <c r="H3674" s="37" t="n"/>
      <c r="I3674" s="37" t="n"/>
      <c r="J3674" s="40" t="str">
        <f>IF(OR(C3674="",NOT(ISNUMBER(E3674))),"",IFERROR(E3674*N(INDEX(art_price,MATCH(C3674,art_ref,0))),""))</f>
        <v/>
      </c>
      <c r="K3674" s="39" t="str">
        <f>IF(OR(C3674="",NOT(ISNUMBER(E3674))),"",IFERROR(ROUND(N(INDEX(art_init,MATCH(C3674,art_ref,0)))+SUMIFS($E$5:E3674,$C$5:C3674,C3674,$B$5:B3674,"Entrée")-SUMIFS($E$5:E3674,$C$5:C3674,C3674,$B$5:B3674,"Sortie"),6),""))</f>
        <v/>
      </c>
      <c r="L3674" s="39" t="str">
        <f>IF(COUNTA(A3674:C3674,E3674)=0,"",IF(COUNTA(A3674:C3674,E3674)&lt;4,"Ligne incomplète",IF(NOT(ISNUMBER(A3674)),"Date invalide",IF(AND(B3674&lt;&gt;"Entrée",B3674&lt;&gt;"Sortie"),"Type inconnu",IF(ISNA(MATCH(C3674,art_ref,0)),"Référence inconnue",IF(OR(NOT(ISNUMBER(E3674)),N(E3674)&lt;=0),"Quantité invalide",IF(K3674&lt;0,"Stock négatif",IF(AND(ISNUMBER(A3673),A3674&lt;A3673),"Date hors ordre","OK"))))))))</f>
        <v/>
      </c>
      <c r="M3674" s="39" t="str">
        <f>IF(C3674="","",C3674&amp;"#"&amp;COUNTIF($C$5:C3674,C3674))</f>
        <v/>
      </c>
    </row>
    <row r="3675">
      <c r="A3675" s="41" t="n"/>
      <c r="B3675" s="37" t="n"/>
      <c r="C3675" s="37" t="n"/>
      <c r="D3675" s="39" t="str">
        <f>IF(C3675="","",IFERROR(INDEX(art_des,MATCH(C3675,art_ref,0))&amp;"","Référence inconnue"))</f>
        <v/>
      </c>
      <c r="E3675" s="37" t="n"/>
      <c r="F3675" s="39" t="str">
        <f>IF(C3675="","",IFERROR(INDEX(art_unit,MATCH(C3675,art_ref,0))&amp;"",""))</f>
        <v/>
      </c>
      <c r="G3675" s="37" t="n"/>
      <c r="H3675" s="37" t="n"/>
      <c r="I3675" s="37" t="n"/>
      <c r="J3675" s="40" t="str">
        <f>IF(OR(C3675="",NOT(ISNUMBER(E3675))),"",IFERROR(E3675*N(INDEX(art_price,MATCH(C3675,art_ref,0))),""))</f>
        <v/>
      </c>
      <c r="K3675" s="39" t="str">
        <f>IF(OR(C3675="",NOT(ISNUMBER(E3675))),"",IFERROR(ROUND(N(INDEX(art_init,MATCH(C3675,art_ref,0)))+SUMIFS($E$5:E3675,$C$5:C3675,C3675,$B$5:B3675,"Entrée")-SUMIFS($E$5:E3675,$C$5:C3675,C3675,$B$5:B3675,"Sortie"),6),""))</f>
        <v/>
      </c>
      <c r="L3675" s="39" t="str">
        <f>IF(COUNTA(A3675:C3675,E3675)=0,"",IF(COUNTA(A3675:C3675,E3675)&lt;4,"Ligne incomplète",IF(NOT(ISNUMBER(A3675)),"Date invalide",IF(AND(B3675&lt;&gt;"Entrée",B3675&lt;&gt;"Sortie"),"Type inconnu",IF(ISNA(MATCH(C3675,art_ref,0)),"Référence inconnue",IF(OR(NOT(ISNUMBER(E3675)),N(E3675)&lt;=0),"Quantité invalide",IF(K3675&lt;0,"Stock négatif",IF(AND(ISNUMBER(A3674),A3675&lt;A3674),"Date hors ordre","OK"))))))))</f>
        <v/>
      </c>
      <c r="M3675" s="39" t="str">
        <f>IF(C3675="","",C3675&amp;"#"&amp;COUNTIF($C$5:C3675,C3675))</f>
        <v/>
      </c>
    </row>
    <row r="3676">
      <c r="A3676" s="41" t="n"/>
      <c r="B3676" s="37" t="n"/>
      <c r="C3676" s="37" t="n"/>
      <c r="D3676" s="39" t="str">
        <f>IF(C3676="","",IFERROR(INDEX(art_des,MATCH(C3676,art_ref,0))&amp;"","Référence inconnue"))</f>
        <v/>
      </c>
      <c r="E3676" s="37" t="n"/>
      <c r="F3676" s="39" t="str">
        <f>IF(C3676="","",IFERROR(INDEX(art_unit,MATCH(C3676,art_ref,0))&amp;"",""))</f>
        <v/>
      </c>
      <c r="G3676" s="37" t="n"/>
      <c r="H3676" s="37" t="n"/>
      <c r="I3676" s="37" t="n"/>
      <c r="J3676" s="40" t="str">
        <f>IF(OR(C3676="",NOT(ISNUMBER(E3676))),"",IFERROR(E3676*N(INDEX(art_price,MATCH(C3676,art_ref,0))),""))</f>
        <v/>
      </c>
      <c r="K3676" s="39" t="str">
        <f>IF(OR(C3676="",NOT(ISNUMBER(E3676))),"",IFERROR(ROUND(N(INDEX(art_init,MATCH(C3676,art_ref,0)))+SUMIFS($E$5:E3676,$C$5:C3676,C3676,$B$5:B3676,"Entrée")-SUMIFS($E$5:E3676,$C$5:C3676,C3676,$B$5:B3676,"Sortie"),6),""))</f>
        <v/>
      </c>
      <c r="L3676" s="39" t="str">
        <f>IF(COUNTA(A3676:C3676,E3676)=0,"",IF(COUNTA(A3676:C3676,E3676)&lt;4,"Ligne incomplète",IF(NOT(ISNUMBER(A3676)),"Date invalide",IF(AND(B3676&lt;&gt;"Entrée",B3676&lt;&gt;"Sortie"),"Type inconnu",IF(ISNA(MATCH(C3676,art_ref,0)),"Référence inconnue",IF(OR(NOT(ISNUMBER(E3676)),N(E3676)&lt;=0),"Quantité invalide",IF(K3676&lt;0,"Stock négatif",IF(AND(ISNUMBER(A3675),A3676&lt;A3675),"Date hors ordre","OK"))))))))</f>
        <v/>
      </c>
      <c r="M3676" s="39" t="str">
        <f>IF(C3676="","",C3676&amp;"#"&amp;COUNTIF($C$5:C3676,C3676))</f>
        <v/>
      </c>
    </row>
    <row r="3677">
      <c r="A3677" s="41" t="n"/>
      <c r="B3677" s="37" t="n"/>
      <c r="C3677" s="37" t="n"/>
      <c r="D3677" s="39" t="str">
        <f>IF(C3677="","",IFERROR(INDEX(art_des,MATCH(C3677,art_ref,0))&amp;"","Référence inconnue"))</f>
        <v/>
      </c>
      <c r="E3677" s="37" t="n"/>
      <c r="F3677" s="39" t="str">
        <f>IF(C3677="","",IFERROR(INDEX(art_unit,MATCH(C3677,art_ref,0))&amp;"",""))</f>
        <v/>
      </c>
      <c r="G3677" s="37" t="n"/>
      <c r="H3677" s="37" t="n"/>
      <c r="I3677" s="37" t="n"/>
      <c r="J3677" s="40" t="str">
        <f>IF(OR(C3677="",NOT(ISNUMBER(E3677))),"",IFERROR(E3677*N(INDEX(art_price,MATCH(C3677,art_ref,0))),""))</f>
        <v/>
      </c>
      <c r="K3677" s="39" t="str">
        <f>IF(OR(C3677="",NOT(ISNUMBER(E3677))),"",IFERROR(ROUND(N(INDEX(art_init,MATCH(C3677,art_ref,0)))+SUMIFS($E$5:E3677,$C$5:C3677,C3677,$B$5:B3677,"Entrée")-SUMIFS($E$5:E3677,$C$5:C3677,C3677,$B$5:B3677,"Sortie"),6),""))</f>
        <v/>
      </c>
      <c r="L3677" s="39" t="str">
        <f>IF(COUNTA(A3677:C3677,E3677)=0,"",IF(COUNTA(A3677:C3677,E3677)&lt;4,"Ligne incomplète",IF(NOT(ISNUMBER(A3677)),"Date invalide",IF(AND(B3677&lt;&gt;"Entrée",B3677&lt;&gt;"Sortie"),"Type inconnu",IF(ISNA(MATCH(C3677,art_ref,0)),"Référence inconnue",IF(OR(NOT(ISNUMBER(E3677)),N(E3677)&lt;=0),"Quantité invalide",IF(K3677&lt;0,"Stock négatif",IF(AND(ISNUMBER(A3676),A3677&lt;A3676),"Date hors ordre","OK"))))))))</f>
        <v/>
      </c>
      <c r="M3677" s="39" t="str">
        <f>IF(C3677="","",C3677&amp;"#"&amp;COUNTIF($C$5:C3677,C3677))</f>
        <v/>
      </c>
    </row>
    <row r="3678">
      <c r="A3678" s="41" t="n"/>
      <c r="B3678" s="37" t="n"/>
      <c r="C3678" s="37" t="n"/>
      <c r="D3678" s="39" t="str">
        <f>IF(C3678="","",IFERROR(INDEX(art_des,MATCH(C3678,art_ref,0))&amp;"","Référence inconnue"))</f>
        <v/>
      </c>
      <c r="E3678" s="37" t="n"/>
      <c r="F3678" s="39" t="str">
        <f>IF(C3678="","",IFERROR(INDEX(art_unit,MATCH(C3678,art_ref,0))&amp;"",""))</f>
        <v/>
      </c>
      <c r="G3678" s="37" t="n"/>
      <c r="H3678" s="37" t="n"/>
      <c r="I3678" s="37" t="n"/>
      <c r="J3678" s="40" t="str">
        <f>IF(OR(C3678="",NOT(ISNUMBER(E3678))),"",IFERROR(E3678*N(INDEX(art_price,MATCH(C3678,art_ref,0))),""))</f>
        <v/>
      </c>
      <c r="K3678" s="39" t="str">
        <f>IF(OR(C3678="",NOT(ISNUMBER(E3678))),"",IFERROR(ROUND(N(INDEX(art_init,MATCH(C3678,art_ref,0)))+SUMIFS($E$5:E3678,$C$5:C3678,C3678,$B$5:B3678,"Entrée")-SUMIFS($E$5:E3678,$C$5:C3678,C3678,$B$5:B3678,"Sortie"),6),""))</f>
        <v/>
      </c>
      <c r="L3678" s="39" t="str">
        <f>IF(COUNTA(A3678:C3678,E3678)=0,"",IF(COUNTA(A3678:C3678,E3678)&lt;4,"Ligne incomplète",IF(NOT(ISNUMBER(A3678)),"Date invalide",IF(AND(B3678&lt;&gt;"Entrée",B3678&lt;&gt;"Sortie"),"Type inconnu",IF(ISNA(MATCH(C3678,art_ref,0)),"Référence inconnue",IF(OR(NOT(ISNUMBER(E3678)),N(E3678)&lt;=0),"Quantité invalide",IF(K3678&lt;0,"Stock négatif",IF(AND(ISNUMBER(A3677),A3678&lt;A3677),"Date hors ordre","OK"))))))))</f>
        <v/>
      </c>
      <c r="M3678" s="39" t="str">
        <f>IF(C3678="","",C3678&amp;"#"&amp;COUNTIF($C$5:C3678,C3678))</f>
        <v/>
      </c>
    </row>
    <row r="3679">
      <c r="A3679" s="41" t="n"/>
      <c r="B3679" s="37" t="n"/>
      <c r="C3679" s="37" t="n"/>
      <c r="D3679" s="39" t="str">
        <f>IF(C3679="","",IFERROR(INDEX(art_des,MATCH(C3679,art_ref,0))&amp;"","Référence inconnue"))</f>
        <v/>
      </c>
      <c r="E3679" s="37" t="n"/>
      <c r="F3679" s="39" t="str">
        <f>IF(C3679="","",IFERROR(INDEX(art_unit,MATCH(C3679,art_ref,0))&amp;"",""))</f>
        <v/>
      </c>
      <c r="G3679" s="37" t="n"/>
      <c r="H3679" s="37" t="n"/>
      <c r="I3679" s="37" t="n"/>
      <c r="J3679" s="40" t="str">
        <f>IF(OR(C3679="",NOT(ISNUMBER(E3679))),"",IFERROR(E3679*N(INDEX(art_price,MATCH(C3679,art_ref,0))),""))</f>
        <v/>
      </c>
      <c r="K3679" s="39" t="str">
        <f>IF(OR(C3679="",NOT(ISNUMBER(E3679))),"",IFERROR(ROUND(N(INDEX(art_init,MATCH(C3679,art_ref,0)))+SUMIFS($E$5:E3679,$C$5:C3679,C3679,$B$5:B3679,"Entrée")-SUMIFS($E$5:E3679,$C$5:C3679,C3679,$B$5:B3679,"Sortie"),6),""))</f>
        <v/>
      </c>
      <c r="L3679" s="39" t="str">
        <f>IF(COUNTA(A3679:C3679,E3679)=0,"",IF(COUNTA(A3679:C3679,E3679)&lt;4,"Ligne incomplète",IF(NOT(ISNUMBER(A3679)),"Date invalide",IF(AND(B3679&lt;&gt;"Entrée",B3679&lt;&gt;"Sortie"),"Type inconnu",IF(ISNA(MATCH(C3679,art_ref,0)),"Référence inconnue",IF(OR(NOT(ISNUMBER(E3679)),N(E3679)&lt;=0),"Quantité invalide",IF(K3679&lt;0,"Stock négatif",IF(AND(ISNUMBER(A3678),A3679&lt;A3678),"Date hors ordre","OK"))))))))</f>
        <v/>
      </c>
      <c r="M3679" s="39" t="str">
        <f>IF(C3679="","",C3679&amp;"#"&amp;COUNTIF($C$5:C3679,C3679))</f>
        <v/>
      </c>
    </row>
    <row r="3680">
      <c r="A3680" s="41" t="n"/>
      <c r="B3680" s="37" t="n"/>
      <c r="C3680" s="37" t="n"/>
      <c r="D3680" s="39" t="str">
        <f>IF(C3680="","",IFERROR(INDEX(art_des,MATCH(C3680,art_ref,0))&amp;"","Référence inconnue"))</f>
        <v/>
      </c>
      <c r="E3680" s="37" t="n"/>
      <c r="F3680" s="39" t="str">
        <f>IF(C3680="","",IFERROR(INDEX(art_unit,MATCH(C3680,art_ref,0))&amp;"",""))</f>
        <v/>
      </c>
      <c r="G3680" s="37" t="n"/>
      <c r="H3680" s="37" t="n"/>
      <c r="I3680" s="37" t="n"/>
      <c r="J3680" s="40" t="str">
        <f>IF(OR(C3680="",NOT(ISNUMBER(E3680))),"",IFERROR(E3680*N(INDEX(art_price,MATCH(C3680,art_ref,0))),""))</f>
        <v/>
      </c>
      <c r="K3680" s="39" t="str">
        <f>IF(OR(C3680="",NOT(ISNUMBER(E3680))),"",IFERROR(ROUND(N(INDEX(art_init,MATCH(C3680,art_ref,0)))+SUMIFS($E$5:E3680,$C$5:C3680,C3680,$B$5:B3680,"Entrée")-SUMIFS($E$5:E3680,$C$5:C3680,C3680,$B$5:B3680,"Sortie"),6),""))</f>
        <v/>
      </c>
      <c r="L3680" s="39" t="str">
        <f>IF(COUNTA(A3680:C3680,E3680)=0,"",IF(COUNTA(A3680:C3680,E3680)&lt;4,"Ligne incomplète",IF(NOT(ISNUMBER(A3680)),"Date invalide",IF(AND(B3680&lt;&gt;"Entrée",B3680&lt;&gt;"Sortie"),"Type inconnu",IF(ISNA(MATCH(C3680,art_ref,0)),"Référence inconnue",IF(OR(NOT(ISNUMBER(E3680)),N(E3680)&lt;=0),"Quantité invalide",IF(K3680&lt;0,"Stock négatif",IF(AND(ISNUMBER(A3679),A3680&lt;A3679),"Date hors ordre","OK"))))))))</f>
        <v/>
      </c>
      <c r="M3680" s="39" t="str">
        <f>IF(C3680="","",C3680&amp;"#"&amp;COUNTIF($C$5:C3680,C3680))</f>
        <v/>
      </c>
    </row>
    <row r="3681">
      <c r="A3681" s="41" t="n"/>
      <c r="B3681" s="37" t="n"/>
      <c r="C3681" s="37" t="n"/>
      <c r="D3681" s="39" t="str">
        <f>IF(C3681="","",IFERROR(INDEX(art_des,MATCH(C3681,art_ref,0))&amp;"","Référence inconnue"))</f>
        <v/>
      </c>
      <c r="E3681" s="37" t="n"/>
      <c r="F3681" s="39" t="str">
        <f>IF(C3681="","",IFERROR(INDEX(art_unit,MATCH(C3681,art_ref,0))&amp;"",""))</f>
        <v/>
      </c>
      <c r="G3681" s="37" t="n"/>
      <c r="H3681" s="37" t="n"/>
      <c r="I3681" s="37" t="n"/>
      <c r="J3681" s="40" t="str">
        <f>IF(OR(C3681="",NOT(ISNUMBER(E3681))),"",IFERROR(E3681*N(INDEX(art_price,MATCH(C3681,art_ref,0))),""))</f>
        <v/>
      </c>
      <c r="K3681" s="39" t="str">
        <f>IF(OR(C3681="",NOT(ISNUMBER(E3681))),"",IFERROR(ROUND(N(INDEX(art_init,MATCH(C3681,art_ref,0)))+SUMIFS($E$5:E3681,$C$5:C3681,C3681,$B$5:B3681,"Entrée")-SUMIFS($E$5:E3681,$C$5:C3681,C3681,$B$5:B3681,"Sortie"),6),""))</f>
        <v/>
      </c>
      <c r="L3681" s="39" t="str">
        <f>IF(COUNTA(A3681:C3681,E3681)=0,"",IF(COUNTA(A3681:C3681,E3681)&lt;4,"Ligne incomplète",IF(NOT(ISNUMBER(A3681)),"Date invalide",IF(AND(B3681&lt;&gt;"Entrée",B3681&lt;&gt;"Sortie"),"Type inconnu",IF(ISNA(MATCH(C3681,art_ref,0)),"Référence inconnue",IF(OR(NOT(ISNUMBER(E3681)),N(E3681)&lt;=0),"Quantité invalide",IF(K3681&lt;0,"Stock négatif",IF(AND(ISNUMBER(A3680),A3681&lt;A3680),"Date hors ordre","OK"))))))))</f>
        <v/>
      </c>
      <c r="M3681" s="39" t="str">
        <f>IF(C3681="","",C3681&amp;"#"&amp;COUNTIF($C$5:C3681,C3681))</f>
        <v/>
      </c>
    </row>
    <row r="3682">
      <c r="A3682" s="41" t="n"/>
      <c r="B3682" s="37" t="n"/>
      <c r="C3682" s="37" t="n"/>
      <c r="D3682" s="39" t="str">
        <f>IF(C3682="","",IFERROR(INDEX(art_des,MATCH(C3682,art_ref,0))&amp;"","Référence inconnue"))</f>
        <v/>
      </c>
      <c r="E3682" s="37" t="n"/>
      <c r="F3682" s="39" t="str">
        <f>IF(C3682="","",IFERROR(INDEX(art_unit,MATCH(C3682,art_ref,0))&amp;"",""))</f>
        <v/>
      </c>
      <c r="G3682" s="37" t="n"/>
      <c r="H3682" s="37" t="n"/>
      <c r="I3682" s="37" t="n"/>
      <c r="J3682" s="40" t="str">
        <f>IF(OR(C3682="",NOT(ISNUMBER(E3682))),"",IFERROR(E3682*N(INDEX(art_price,MATCH(C3682,art_ref,0))),""))</f>
        <v/>
      </c>
      <c r="K3682" s="39" t="str">
        <f>IF(OR(C3682="",NOT(ISNUMBER(E3682))),"",IFERROR(ROUND(N(INDEX(art_init,MATCH(C3682,art_ref,0)))+SUMIFS($E$5:E3682,$C$5:C3682,C3682,$B$5:B3682,"Entrée")-SUMIFS($E$5:E3682,$C$5:C3682,C3682,$B$5:B3682,"Sortie"),6),""))</f>
        <v/>
      </c>
      <c r="L3682" s="39" t="str">
        <f>IF(COUNTA(A3682:C3682,E3682)=0,"",IF(COUNTA(A3682:C3682,E3682)&lt;4,"Ligne incomplète",IF(NOT(ISNUMBER(A3682)),"Date invalide",IF(AND(B3682&lt;&gt;"Entrée",B3682&lt;&gt;"Sortie"),"Type inconnu",IF(ISNA(MATCH(C3682,art_ref,0)),"Référence inconnue",IF(OR(NOT(ISNUMBER(E3682)),N(E3682)&lt;=0),"Quantité invalide",IF(K3682&lt;0,"Stock négatif",IF(AND(ISNUMBER(A3681),A3682&lt;A3681),"Date hors ordre","OK"))))))))</f>
        <v/>
      </c>
      <c r="M3682" s="39" t="str">
        <f>IF(C3682="","",C3682&amp;"#"&amp;COUNTIF($C$5:C3682,C3682))</f>
        <v/>
      </c>
    </row>
    <row r="3683">
      <c r="A3683" s="41" t="n"/>
      <c r="B3683" s="37" t="n"/>
      <c r="C3683" s="37" t="n"/>
      <c r="D3683" s="39" t="str">
        <f>IF(C3683="","",IFERROR(INDEX(art_des,MATCH(C3683,art_ref,0))&amp;"","Référence inconnue"))</f>
        <v/>
      </c>
      <c r="E3683" s="37" t="n"/>
      <c r="F3683" s="39" t="str">
        <f>IF(C3683="","",IFERROR(INDEX(art_unit,MATCH(C3683,art_ref,0))&amp;"",""))</f>
        <v/>
      </c>
      <c r="G3683" s="37" t="n"/>
      <c r="H3683" s="37" t="n"/>
      <c r="I3683" s="37" t="n"/>
      <c r="J3683" s="40" t="str">
        <f>IF(OR(C3683="",NOT(ISNUMBER(E3683))),"",IFERROR(E3683*N(INDEX(art_price,MATCH(C3683,art_ref,0))),""))</f>
        <v/>
      </c>
      <c r="K3683" s="39" t="str">
        <f>IF(OR(C3683="",NOT(ISNUMBER(E3683))),"",IFERROR(ROUND(N(INDEX(art_init,MATCH(C3683,art_ref,0)))+SUMIFS($E$5:E3683,$C$5:C3683,C3683,$B$5:B3683,"Entrée")-SUMIFS($E$5:E3683,$C$5:C3683,C3683,$B$5:B3683,"Sortie"),6),""))</f>
        <v/>
      </c>
      <c r="L3683" s="39" t="str">
        <f>IF(COUNTA(A3683:C3683,E3683)=0,"",IF(COUNTA(A3683:C3683,E3683)&lt;4,"Ligne incomplète",IF(NOT(ISNUMBER(A3683)),"Date invalide",IF(AND(B3683&lt;&gt;"Entrée",B3683&lt;&gt;"Sortie"),"Type inconnu",IF(ISNA(MATCH(C3683,art_ref,0)),"Référence inconnue",IF(OR(NOT(ISNUMBER(E3683)),N(E3683)&lt;=0),"Quantité invalide",IF(K3683&lt;0,"Stock négatif",IF(AND(ISNUMBER(A3682),A3683&lt;A3682),"Date hors ordre","OK"))))))))</f>
        <v/>
      </c>
      <c r="M3683" s="39" t="str">
        <f>IF(C3683="","",C3683&amp;"#"&amp;COUNTIF($C$5:C3683,C3683))</f>
        <v/>
      </c>
    </row>
    <row r="3684">
      <c r="A3684" s="41" t="n"/>
      <c r="B3684" s="37" t="n"/>
      <c r="C3684" s="37" t="n"/>
      <c r="D3684" s="39" t="str">
        <f>IF(C3684="","",IFERROR(INDEX(art_des,MATCH(C3684,art_ref,0))&amp;"","Référence inconnue"))</f>
        <v/>
      </c>
      <c r="E3684" s="37" t="n"/>
      <c r="F3684" s="39" t="str">
        <f>IF(C3684="","",IFERROR(INDEX(art_unit,MATCH(C3684,art_ref,0))&amp;"",""))</f>
        <v/>
      </c>
      <c r="G3684" s="37" t="n"/>
      <c r="H3684" s="37" t="n"/>
      <c r="I3684" s="37" t="n"/>
      <c r="J3684" s="40" t="str">
        <f>IF(OR(C3684="",NOT(ISNUMBER(E3684))),"",IFERROR(E3684*N(INDEX(art_price,MATCH(C3684,art_ref,0))),""))</f>
        <v/>
      </c>
      <c r="K3684" s="39" t="str">
        <f>IF(OR(C3684="",NOT(ISNUMBER(E3684))),"",IFERROR(ROUND(N(INDEX(art_init,MATCH(C3684,art_ref,0)))+SUMIFS($E$5:E3684,$C$5:C3684,C3684,$B$5:B3684,"Entrée")-SUMIFS($E$5:E3684,$C$5:C3684,C3684,$B$5:B3684,"Sortie"),6),""))</f>
        <v/>
      </c>
      <c r="L3684" s="39" t="str">
        <f>IF(COUNTA(A3684:C3684,E3684)=0,"",IF(COUNTA(A3684:C3684,E3684)&lt;4,"Ligne incomplète",IF(NOT(ISNUMBER(A3684)),"Date invalide",IF(AND(B3684&lt;&gt;"Entrée",B3684&lt;&gt;"Sortie"),"Type inconnu",IF(ISNA(MATCH(C3684,art_ref,0)),"Référence inconnue",IF(OR(NOT(ISNUMBER(E3684)),N(E3684)&lt;=0),"Quantité invalide",IF(K3684&lt;0,"Stock négatif",IF(AND(ISNUMBER(A3683),A3684&lt;A3683),"Date hors ordre","OK"))))))))</f>
        <v/>
      </c>
      <c r="M3684" s="39" t="str">
        <f>IF(C3684="","",C3684&amp;"#"&amp;COUNTIF($C$5:C3684,C3684))</f>
        <v/>
      </c>
    </row>
    <row r="3685">
      <c r="A3685" s="41" t="n"/>
      <c r="B3685" s="37" t="n"/>
      <c r="C3685" s="37" t="n"/>
      <c r="D3685" s="39" t="str">
        <f>IF(C3685="","",IFERROR(INDEX(art_des,MATCH(C3685,art_ref,0))&amp;"","Référence inconnue"))</f>
        <v/>
      </c>
      <c r="E3685" s="37" t="n"/>
      <c r="F3685" s="39" t="str">
        <f>IF(C3685="","",IFERROR(INDEX(art_unit,MATCH(C3685,art_ref,0))&amp;"",""))</f>
        <v/>
      </c>
      <c r="G3685" s="37" t="n"/>
      <c r="H3685" s="37" t="n"/>
      <c r="I3685" s="37" t="n"/>
      <c r="J3685" s="40" t="str">
        <f>IF(OR(C3685="",NOT(ISNUMBER(E3685))),"",IFERROR(E3685*N(INDEX(art_price,MATCH(C3685,art_ref,0))),""))</f>
        <v/>
      </c>
      <c r="K3685" s="39" t="str">
        <f>IF(OR(C3685="",NOT(ISNUMBER(E3685))),"",IFERROR(ROUND(N(INDEX(art_init,MATCH(C3685,art_ref,0)))+SUMIFS($E$5:E3685,$C$5:C3685,C3685,$B$5:B3685,"Entrée")-SUMIFS($E$5:E3685,$C$5:C3685,C3685,$B$5:B3685,"Sortie"),6),""))</f>
        <v/>
      </c>
      <c r="L3685" s="39" t="str">
        <f>IF(COUNTA(A3685:C3685,E3685)=0,"",IF(COUNTA(A3685:C3685,E3685)&lt;4,"Ligne incomplète",IF(NOT(ISNUMBER(A3685)),"Date invalide",IF(AND(B3685&lt;&gt;"Entrée",B3685&lt;&gt;"Sortie"),"Type inconnu",IF(ISNA(MATCH(C3685,art_ref,0)),"Référence inconnue",IF(OR(NOT(ISNUMBER(E3685)),N(E3685)&lt;=0),"Quantité invalide",IF(K3685&lt;0,"Stock négatif",IF(AND(ISNUMBER(A3684),A3685&lt;A3684),"Date hors ordre","OK"))))))))</f>
        <v/>
      </c>
      <c r="M3685" s="39" t="str">
        <f>IF(C3685="","",C3685&amp;"#"&amp;COUNTIF($C$5:C3685,C3685))</f>
        <v/>
      </c>
    </row>
    <row r="3686">
      <c r="A3686" s="41" t="n"/>
      <c r="B3686" s="37" t="n"/>
      <c r="C3686" s="37" t="n"/>
      <c r="D3686" s="39" t="str">
        <f>IF(C3686="","",IFERROR(INDEX(art_des,MATCH(C3686,art_ref,0))&amp;"","Référence inconnue"))</f>
        <v/>
      </c>
      <c r="E3686" s="37" t="n"/>
      <c r="F3686" s="39" t="str">
        <f>IF(C3686="","",IFERROR(INDEX(art_unit,MATCH(C3686,art_ref,0))&amp;"",""))</f>
        <v/>
      </c>
      <c r="G3686" s="37" t="n"/>
      <c r="H3686" s="37" t="n"/>
      <c r="I3686" s="37" t="n"/>
      <c r="J3686" s="40" t="str">
        <f>IF(OR(C3686="",NOT(ISNUMBER(E3686))),"",IFERROR(E3686*N(INDEX(art_price,MATCH(C3686,art_ref,0))),""))</f>
        <v/>
      </c>
      <c r="K3686" s="39" t="str">
        <f>IF(OR(C3686="",NOT(ISNUMBER(E3686))),"",IFERROR(ROUND(N(INDEX(art_init,MATCH(C3686,art_ref,0)))+SUMIFS($E$5:E3686,$C$5:C3686,C3686,$B$5:B3686,"Entrée")-SUMIFS($E$5:E3686,$C$5:C3686,C3686,$B$5:B3686,"Sortie"),6),""))</f>
        <v/>
      </c>
      <c r="L3686" s="39" t="str">
        <f>IF(COUNTA(A3686:C3686,E3686)=0,"",IF(COUNTA(A3686:C3686,E3686)&lt;4,"Ligne incomplète",IF(NOT(ISNUMBER(A3686)),"Date invalide",IF(AND(B3686&lt;&gt;"Entrée",B3686&lt;&gt;"Sortie"),"Type inconnu",IF(ISNA(MATCH(C3686,art_ref,0)),"Référence inconnue",IF(OR(NOT(ISNUMBER(E3686)),N(E3686)&lt;=0),"Quantité invalide",IF(K3686&lt;0,"Stock négatif",IF(AND(ISNUMBER(A3685),A3686&lt;A3685),"Date hors ordre","OK"))))))))</f>
        <v/>
      </c>
      <c r="M3686" s="39" t="str">
        <f>IF(C3686="","",C3686&amp;"#"&amp;COUNTIF($C$5:C3686,C3686))</f>
        <v/>
      </c>
    </row>
    <row r="3687">
      <c r="A3687" s="41" t="n"/>
      <c r="B3687" s="37" t="n"/>
      <c r="C3687" s="37" t="n"/>
      <c r="D3687" s="39" t="str">
        <f>IF(C3687="","",IFERROR(INDEX(art_des,MATCH(C3687,art_ref,0))&amp;"","Référence inconnue"))</f>
        <v/>
      </c>
      <c r="E3687" s="37" t="n"/>
      <c r="F3687" s="39" t="str">
        <f>IF(C3687="","",IFERROR(INDEX(art_unit,MATCH(C3687,art_ref,0))&amp;"",""))</f>
        <v/>
      </c>
      <c r="G3687" s="37" t="n"/>
      <c r="H3687" s="37" t="n"/>
      <c r="I3687" s="37" t="n"/>
      <c r="J3687" s="40" t="str">
        <f>IF(OR(C3687="",NOT(ISNUMBER(E3687))),"",IFERROR(E3687*N(INDEX(art_price,MATCH(C3687,art_ref,0))),""))</f>
        <v/>
      </c>
      <c r="K3687" s="39" t="str">
        <f>IF(OR(C3687="",NOT(ISNUMBER(E3687))),"",IFERROR(ROUND(N(INDEX(art_init,MATCH(C3687,art_ref,0)))+SUMIFS($E$5:E3687,$C$5:C3687,C3687,$B$5:B3687,"Entrée")-SUMIFS($E$5:E3687,$C$5:C3687,C3687,$B$5:B3687,"Sortie"),6),""))</f>
        <v/>
      </c>
      <c r="L3687" s="39" t="str">
        <f>IF(COUNTA(A3687:C3687,E3687)=0,"",IF(COUNTA(A3687:C3687,E3687)&lt;4,"Ligne incomplète",IF(NOT(ISNUMBER(A3687)),"Date invalide",IF(AND(B3687&lt;&gt;"Entrée",B3687&lt;&gt;"Sortie"),"Type inconnu",IF(ISNA(MATCH(C3687,art_ref,0)),"Référence inconnue",IF(OR(NOT(ISNUMBER(E3687)),N(E3687)&lt;=0),"Quantité invalide",IF(K3687&lt;0,"Stock négatif",IF(AND(ISNUMBER(A3686),A3687&lt;A3686),"Date hors ordre","OK"))))))))</f>
        <v/>
      </c>
      <c r="M3687" s="39" t="str">
        <f>IF(C3687="","",C3687&amp;"#"&amp;COUNTIF($C$5:C3687,C3687))</f>
        <v/>
      </c>
    </row>
    <row r="3688">
      <c r="A3688" s="41" t="n"/>
      <c r="B3688" s="37" t="n"/>
      <c r="C3688" s="37" t="n"/>
      <c r="D3688" s="39" t="str">
        <f>IF(C3688="","",IFERROR(INDEX(art_des,MATCH(C3688,art_ref,0))&amp;"","Référence inconnue"))</f>
        <v/>
      </c>
      <c r="E3688" s="37" t="n"/>
      <c r="F3688" s="39" t="str">
        <f>IF(C3688="","",IFERROR(INDEX(art_unit,MATCH(C3688,art_ref,0))&amp;"",""))</f>
        <v/>
      </c>
      <c r="G3688" s="37" t="n"/>
      <c r="H3688" s="37" t="n"/>
      <c r="I3688" s="37" t="n"/>
      <c r="J3688" s="40" t="str">
        <f>IF(OR(C3688="",NOT(ISNUMBER(E3688))),"",IFERROR(E3688*N(INDEX(art_price,MATCH(C3688,art_ref,0))),""))</f>
        <v/>
      </c>
      <c r="K3688" s="39" t="str">
        <f>IF(OR(C3688="",NOT(ISNUMBER(E3688))),"",IFERROR(ROUND(N(INDEX(art_init,MATCH(C3688,art_ref,0)))+SUMIFS($E$5:E3688,$C$5:C3688,C3688,$B$5:B3688,"Entrée")-SUMIFS($E$5:E3688,$C$5:C3688,C3688,$B$5:B3688,"Sortie"),6),""))</f>
        <v/>
      </c>
      <c r="L3688" s="39" t="str">
        <f>IF(COUNTA(A3688:C3688,E3688)=0,"",IF(COUNTA(A3688:C3688,E3688)&lt;4,"Ligne incomplète",IF(NOT(ISNUMBER(A3688)),"Date invalide",IF(AND(B3688&lt;&gt;"Entrée",B3688&lt;&gt;"Sortie"),"Type inconnu",IF(ISNA(MATCH(C3688,art_ref,0)),"Référence inconnue",IF(OR(NOT(ISNUMBER(E3688)),N(E3688)&lt;=0),"Quantité invalide",IF(K3688&lt;0,"Stock négatif",IF(AND(ISNUMBER(A3687),A3688&lt;A3687),"Date hors ordre","OK"))))))))</f>
        <v/>
      </c>
      <c r="M3688" s="39" t="str">
        <f>IF(C3688="","",C3688&amp;"#"&amp;COUNTIF($C$5:C3688,C3688))</f>
        <v/>
      </c>
    </row>
    <row r="3689">
      <c r="A3689" s="41" t="n"/>
      <c r="B3689" s="37" t="n"/>
      <c r="C3689" s="37" t="n"/>
      <c r="D3689" s="39" t="str">
        <f>IF(C3689="","",IFERROR(INDEX(art_des,MATCH(C3689,art_ref,0))&amp;"","Référence inconnue"))</f>
        <v/>
      </c>
      <c r="E3689" s="37" t="n"/>
      <c r="F3689" s="39" t="str">
        <f>IF(C3689="","",IFERROR(INDEX(art_unit,MATCH(C3689,art_ref,0))&amp;"",""))</f>
        <v/>
      </c>
      <c r="G3689" s="37" t="n"/>
      <c r="H3689" s="37" t="n"/>
      <c r="I3689" s="37" t="n"/>
      <c r="J3689" s="40" t="str">
        <f>IF(OR(C3689="",NOT(ISNUMBER(E3689))),"",IFERROR(E3689*N(INDEX(art_price,MATCH(C3689,art_ref,0))),""))</f>
        <v/>
      </c>
      <c r="K3689" s="39" t="str">
        <f>IF(OR(C3689="",NOT(ISNUMBER(E3689))),"",IFERROR(ROUND(N(INDEX(art_init,MATCH(C3689,art_ref,0)))+SUMIFS($E$5:E3689,$C$5:C3689,C3689,$B$5:B3689,"Entrée")-SUMIFS($E$5:E3689,$C$5:C3689,C3689,$B$5:B3689,"Sortie"),6),""))</f>
        <v/>
      </c>
      <c r="L3689" s="39" t="str">
        <f>IF(COUNTA(A3689:C3689,E3689)=0,"",IF(COUNTA(A3689:C3689,E3689)&lt;4,"Ligne incomplète",IF(NOT(ISNUMBER(A3689)),"Date invalide",IF(AND(B3689&lt;&gt;"Entrée",B3689&lt;&gt;"Sortie"),"Type inconnu",IF(ISNA(MATCH(C3689,art_ref,0)),"Référence inconnue",IF(OR(NOT(ISNUMBER(E3689)),N(E3689)&lt;=0),"Quantité invalide",IF(K3689&lt;0,"Stock négatif",IF(AND(ISNUMBER(A3688),A3689&lt;A3688),"Date hors ordre","OK"))))))))</f>
        <v/>
      </c>
      <c r="M3689" s="39" t="str">
        <f>IF(C3689="","",C3689&amp;"#"&amp;COUNTIF($C$5:C3689,C3689))</f>
        <v/>
      </c>
    </row>
    <row r="3690">
      <c r="A3690" s="41" t="n"/>
      <c r="B3690" s="37" t="n"/>
      <c r="C3690" s="37" t="n"/>
      <c r="D3690" s="39" t="str">
        <f>IF(C3690="","",IFERROR(INDEX(art_des,MATCH(C3690,art_ref,0))&amp;"","Référence inconnue"))</f>
        <v/>
      </c>
      <c r="E3690" s="37" t="n"/>
      <c r="F3690" s="39" t="str">
        <f>IF(C3690="","",IFERROR(INDEX(art_unit,MATCH(C3690,art_ref,0))&amp;"",""))</f>
        <v/>
      </c>
      <c r="G3690" s="37" t="n"/>
      <c r="H3690" s="37" t="n"/>
      <c r="I3690" s="37" t="n"/>
      <c r="J3690" s="40" t="str">
        <f>IF(OR(C3690="",NOT(ISNUMBER(E3690))),"",IFERROR(E3690*N(INDEX(art_price,MATCH(C3690,art_ref,0))),""))</f>
        <v/>
      </c>
      <c r="K3690" s="39" t="str">
        <f>IF(OR(C3690="",NOT(ISNUMBER(E3690))),"",IFERROR(ROUND(N(INDEX(art_init,MATCH(C3690,art_ref,0)))+SUMIFS($E$5:E3690,$C$5:C3690,C3690,$B$5:B3690,"Entrée")-SUMIFS($E$5:E3690,$C$5:C3690,C3690,$B$5:B3690,"Sortie"),6),""))</f>
        <v/>
      </c>
      <c r="L3690" s="39" t="str">
        <f>IF(COUNTA(A3690:C3690,E3690)=0,"",IF(COUNTA(A3690:C3690,E3690)&lt;4,"Ligne incomplète",IF(NOT(ISNUMBER(A3690)),"Date invalide",IF(AND(B3690&lt;&gt;"Entrée",B3690&lt;&gt;"Sortie"),"Type inconnu",IF(ISNA(MATCH(C3690,art_ref,0)),"Référence inconnue",IF(OR(NOT(ISNUMBER(E3690)),N(E3690)&lt;=0),"Quantité invalide",IF(K3690&lt;0,"Stock négatif",IF(AND(ISNUMBER(A3689),A3690&lt;A3689),"Date hors ordre","OK"))))))))</f>
        <v/>
      </c>
      <c r="M3690" s="39" t="str">
        <f>IF(C3690="","",C3690&amp;"#"&amp;COUNTIF($C$5:C3690,C3690))</f>
        <v/>
      </c>
    </row>
    <row r="3691">
      <c r="A3691" s="41" t="n"/>
      <c r="B3691" s="37" t="n"/>
      <c r="C3691" s="37" t="n"/>
      <c r="D3691" s="39" t="str">
        <f>IF(C3691="","",IFERROR(INDEX(art_des,MATCH(C3691,art_ref,0))&amp;"","Référence inconnue"))</f>
        <v/>
      </c>
      <c r="E3691" s="37" t="n"/>
      <c r="F3691" s="39" t="str">
        <f>IF(C3691="","",IFERROR(INDEX(art_unit,MATCH(C3691,art_ref,0))&amp;"",""))</f>
        <v/>
      </c>
      <c r="G3691" s="37" t="n"/>
      <c r="H3691" s="37" t="n"/>
      <c r="I3691" s="37" t="n"/>
      <c r="J3691" s="40" t="str">
        <f>IF(OR(C3691="",NOT(ISNUMBER(E3691))),"",IFERROR(E3691*N(INDEX(art_price,MATCH(C3691,art_ref,0))),""))</f>
        <v/>
      </c>
      <c r="K3691" s="39" t="str">
        <f>IF(OR(C3691="",NOT(ISNUMBER(E3691))),"",IFERROR(ROUND(N(INDEX(art_init,MATCH(C3691,art_ref,0)))+SUMIFS($E$5:E3691,$C$5:C3691,C3691,$B$5:B3691,"Entrée")-SUMIFS($E$5:E3691,$C$5:C3691,C3691,$B$5:B3691,"Sortie"),6),""))</f>
        <v/>
      </c>
      <c r="L3691" s="39" t="str">
        <f>IF(COUNTA(A3691:C3691,E3691)=0,"",IF(COUNTA(A3691:C3691,E3691)&lt;4,"Ligne incomplète",IF(NOT(ISNUMBER(A3691)),"Date invalide",IF(AND(B3691&lt;&gt;"Entrée",B3691&lt;&gt;"Sortie"),"Type inconnu",IF(ISNA(MATCH(C3691,art_ref,0)),"Référence inconnue",IF(OR(NOT(ISNUMBER(E3691)),N(E3691)&lt;=0),"Quantité invalide",IF(K3691&lt;0,"Stock négatif",IF(AND(ISNUMBER(A3690),A3691&lt;A3690),"Date hors ordre","OK"))))))))</f>
        <v/>
      </c>
      <c r="M3691" s="39" t="str">
        <f>IF(C3691="","",C3691&amp;"#"&amp;COUNTIF($C$5:C3691,C3691))</f>
        <v/>
      </c>
    </row>
    <row r="3692">
      <c r="A3692" s="41" t="n"/>
      <c r="B3692" s="37" t="n"/>
      <c r="C3692" s="37" t="n"/>
      <c r="D3692" s="39" t="str">
        <f>IF(C3692="","",IFERROR(INDEX(art_des,MATCH(C3692,art_ref,0))&amp;"","Référence inconnue"))</f>
        <v/>
      </c>
      <c r="E3692" s="37" t="n"/>
      <c r="F3692" s="39" t="str">
        <f>IF(C3692="","",IFERROR(INDEX(art_unit,MATCH(C3692,art_ref,0))&amp;"",""))</f>
        <v/>
      </c>
      <c r="G3692" s="37" t="n"/>
      <c r="H3692" s="37" t="n"/>
      <c r="I3692" s="37" t="n"/>
      <c r="J3692" s="40" t="str">
        <f>IF(OR(C3692="",NOT(ISNUMBER(E3692))),"",IFERROR(E3692*N(INDEX(art_price,MATCH(C3692,art_ref,0))),""))</f>
        <v/>
      </c>
      <c r="K3692" s="39" t="str">
        <f>IF(OR(C3692="",NOT(ISNUMBER(E3692))),"",IFERROR(ROUND(N(INDEX(art_init,MATCH(C3692,art_ref,0)))+SUMIFS($E$5:E3692,$C$5:C3692,C3692,$B$5:B3692,"Entrée")-SUMIFS($E$5:E3692,$C$5:C3692,C3692,$B$5:B3692,"Sortie"),6),""))</f>
        <v/>
      </c>
      <c r="L3692" s="39" t="str">
        <f>IF(COUNTA(A3692:C3692,E3692)=0,"",IF(COUNTA(A3692:C3692,E3692)&lt;4,"Ligne incomplète",IF(NOT(ISNUMBER(A3692)),"Date invalide",IF(AND(B3692&lt;&gt;"Entrée",B3692&lt;&gt;"Sortie"),"Type inconnu",IF(ISNA(MATCH(C3692,art_ref,0)),"Référence inconnue",IF(OR(NOT(ISNUMBER(E3692)),N(E3692)&lt;=0),"Quantité invalide",IF(K3692&lt;0,"Stock négatif",IF(AND(ISNUMBER(A3691),A3692&lt;A3691),"Date hors ordre","OK"))))))))</f>
        <v/>
      </c>
      <c r="M3692" s="39" t="str">
        <f>IF(C3692="","",C3692&amp;"#"&amp;COUNTIF($C$5:C3692,C3692))</f>
        <v/>
      </c>
    </row>
    <row r="3693">
      <c r="A3693" s="41" t="n"/>
      <c r="B3693" s="37" t="n"/>
      <c r="C3693" s="37" t="n"/>
      <c r="D3693" s="39" t="str">
        <f>IF(C3693="","",IFERROR(INDEX(art_des,MATCH(C3693,art_ref,0))&amp;"","Référence inconnue"))</f>
        <v/>
      </c>
      <c r="E3693" s="37" t="n"/>
      <c r="F3693" s="39" t="str">
        <f>IF(C3693="","",IFERROR(INDEX(art_unit,MATCH(C3693,art_ref,0))&amp;"",""))</f>
        <v/>
      </c>
      <c r="G3693" s="37" t="n"/>
      <c r="H3693" s="37" t="n"/>
      <c r="I3693" s="37" t="n"/>
      <c r="J3693" s="40" t="str">
        <f>IF(OR(C3693="",NOT(ISNUMBER(E3693))),"",IFERROR(E3693*N(INDEX(art_price,MATCH(C3693,art_ref,0))),""))</f>
        <v/>
      </c>
      <c r="K3693" s="39" t="str">
        <f>IF(OR(C3693="",NOT(ISNUMBER(E3693))),"",IFERROR(ROUND(N(INDEX(art_init,MATCH(C3693,art_ref,0)))+SUMIFS($E$5:E3693,$C$5:C3693,C3693,$B$5:B3693,"Entrée")-SUMIFS($E$5:E3693,$C$5:C3693,C3693,$B$5:B3693,"Sortie"),6),""))</f>
        <v/>
      </c>
      <c r="L3693" s="39" t="str">
        <f>IF(COUNTA(A3693:C3693,E3693)=0,"",IF(COUNTA(A3693:C3693,E3693)&lt;4,"Ligne incomplète",IF(NOT(ISNUMBER(A3693)),"Date invalide",IF(AND(B3693&lt;&gt;"Entrée",B3693&lt;&gt;"Sortie"),"Type inconnu",IF(ISNA(MATCH(C3693,art_ref,0)),"Référence inconnue",IF(OR(NOT(ISNUMBER(E3693)),N(E3693)&lt;=0),"Quantité invalide",IF(K3693&lt;0,"Stock négatif",IF(AND(ISNUMBER(A3692),A3693&lt;A3692),"Date hors ordre","OK"))))))))</f>
        <v/>
      </c>
      <c r="M3693" s="39" t="str">
        <f>IF(C3693="","",C3693&amp;"#"&amp;COUNTIF($C$5:C3693,C3693))</f>
        <v/>
      </c>
    </row>
    <row r="3694">
      <c r="A3694" s="41" t="n"/>
      <c r="B3694" s="37" t="n"/>
      <c r="C3694" s="37" t="n"/>
      <c r="D3694" s="39" t="str">
        <f>IF(C3694="","",IFERROR(INDEX(art_des,MATCH(C3694,art_ref,0))&amp;"","Référence inconnue"))</f>
        <v/>
      </c>
      <c r="E3694" s="37" t="n"/>
      <c r="F3694" s="39" t="str">
        <f>IF(C3694="","",IFERROR(INDEX(art_unit,MATCH(C3694,art_ref,0))&amp;"",""))</f>
        <v/>
      </c>
      <c r="G3694" s="37" t="n"/>
      <c r="H3694" s="37" t="n"/>
      <c r="I3694" s="37" t="n"/>
      <c r="J3694" s="40" t="str">
        <f>IF(OR(C3694="",NOT(ISNUMBER(E3694))),"",IFERROR(E3694*N(INDEX(art_price,MATCH(C3694,art_ref,0))),""))</f>
        <v/>
      </c>
      <c r="K3694" s="39" t="str">
        <f>IF(OR(C3694="",NOT(ISNUMBER(E3694))),"",IFERROR(ROUND(N(INDEX(art_init,MATCH(C3694,art_ref,0)))+SUMIFS($E$5:E3694,$C$5:C3694,C3694,$B$5:B3694,"Entrée")-SUMIFS($E$5:E3694,$C$5:C3694,C3694,$B$5:B3694,"Sortie"),6),""))</f>
        <v/>
      </c>
      <c r="L3694" s="39" t="str">
        <f>IF(COUNTA(A3694:C3694,E3694)=0,"",IF(COUNTA(A3694:C3694,E3694)&lt;4,"Ligne incomplète",IF(NOT(ISNUMBER(A3694)),"Date invalide",IF(AND(B3694&lt;&gt;"Entrée",B3694&lt;&gt;"Sortie"),"Type inconnu",IF(ISNA(MATCH(C3694,art_ref,0)),"Référence inconnue",IF(OR(NOT(ISNUMBER(E3694)),N(E3694)&lt;=0),"Quantité invalide",IF(K3694&lt;0,"Stock négatif",IF(AND(ISNUMBER(A3693),A3694&lt;A3693),"Date hors ordre","OK"))))))))</f>
        <v/>
      </c>
      <c r="M3694" s="39" t="str">
        <f>IF(C3694="","",C3694&amp;"#"&amp;COUNTIF($C$5:C3694,C3694))</f>
        <v/>
      </c>
    </row>
    <row r="3695">
      <c r="A3695" s="41" t="n"/>
      <c r="B3695" s="37" t="n"/>
      <c r="C3695" s="37" t="n"/>
      <c r="D3695" s="39" t="str">
        <f>IF(C3695="","",IFERROR(INDEX(art_des,MATCH(C3695,art_ref,0))&amp;"","Référence inconnue"))</f>
        <v/>
      </c>
      <c r="E3695" s="37" t="n"/>
      <c r="F3695" s="39" t="str">
        <f>IF(C3695="","",IFERROR(INDEX(art_unit,MATCH(C3695,art_ref,0))&amp;"",""))</f>
        <v/>
      </c>
      <c r="G3695" s="37" t="n"/>
      <c r="H3695" s="37" t="n"/>
      <c r="I3695" s="37" t="n"/>
      <c r="J3695" s="40" t="str">
        <f>IF(OR(C3695="",NOT(ISNUMBER(E3695))),"",IFERROR(E3695*N(INDEX(art_price,MATCH(C3695,art_ref,0))),""))</f>
        <v/>
      </c>
      <c r="K3695" s="39" t="str">
        <f>IF(OR(C3695="",NOT(ISNUMBER(E3695))),"",IFERROR(ROUND(N(INDEX(art_init,MATCH(C3695,art_ref,0)))+SUMIFS($E$5:E3695,$C$5:C3695,C3695,$B$5:B3695,"Entrée")-SUMIFS($E$5:E3695,$C$5:C3695,C3695,$B$5:B3695,"Sortie"),6),""))</f>
        <v/>
      </c>
      <c r="L3695" s="39" t="str">
        <f>IF(COUNTA(A3695:C3695,E3695)=0,"",IF(COUNTA(A3695:C3695,E3695)&lt;4,"Ligne incomplète",IF(NOT(ISNUMBER(A3695)),"Date invalide",IF(AND(B3695&lt;&gt;"Entrée",B3695&lt;&gt;"Sortie"),"Type inconnu",IF(ISNA(MATCH(C3695,art_ref,0)),"Référence inconnue",IF(OR(NOT(ISNUMBER(E3695)),N(E3695)&lt;=0),"Quantité invalide",IF(K3695&lt;0,"Stock négatif",IF(AND(ISNUMBER(A3694),A3695&lt;A3694),"Date hors ordre","OK"))))))))</f>
        <v/>
      </c>
      <c r="M3695" s="39" t="str">
        <f>IF(C3695="","",C3695&amp;"#"&amp;COUNTIF($C$5:C3695,C3695))</f>
        <v/>
      </c>
    </row>
    <row r="3696">
      <c r="A3696" s="41" t="n"/>
      <c r="B3696" s="37" t="n"/>
      <c r="C3696" s="37" t="n"/>
      <c r="D3696" s="39" t="str">
        <f>IF(C3696="","",IFERROR(INDEX(art_des,MATCH(C3696,art_ref,0))&amp;"","Référence inconnue"))</f>
        <v/>
      </c>
      <c r="E3696" s="37" t="n"/>
      <c r="F3696" s="39" t="str">
        <f>IF(C3696="","",IFERROR(INDEX(art_unit,MATCH(C3696,art_ref,0))&amp;"",""))</f>
        <v/>
      </c>
      <c r="G3696" s="37" t="n"/>
      <c r="H3696" s="37" t="n"/>
      <c r="I3696" s="37" t="n"/>
      <c r="J3696" s="40" t="str">
        <f>IF(OR(C3696="",NOT(ISNUMBER(E3696))),"",IFERROR(E3696*N(INDEX(art_price,MATCH(C3696,art_ref,0))),""))</f>
        <v/>
      </c>
      <c r="K3696" s="39" t="str">
        <f>IF(OR(C3696="",NOT(ISNUMBER(E3696))),"",IFERROR(ROUND(N(INDEX(art_init,MATCH(C3696,art_ref,0)))+SUMIFS($E$5:E3696,$C$5:C3696,C3696,$B$5:B3696,"Entrée")-SUMIFS($E$5:E3696,$C$5:C3696,C3696,$B$5:B3696,"Sortie"),6),""))</f>
        <v/>
      </c>
      <c r="L3696" s="39" t="str">
        <f>IF(COUNTA(A3696:C3696,E3696)=0,"",IF(COUNTA(A3696:C3696,E3696)&lt;4,"Ligne incomplète",IF(NOT(ISNUMBER(A3696)),"Date invalide",IF(AND(B3696&lt;&gt;"Entrée",B3696&lt;&gt;"Sortie"),"Type inconnu",IF(ISNA(MATCH(C3696,art_ref,0)),"Référence inconnue",IF(OR(NOT(ISNUMBER(E3696)),N(E3696)&lt;=0),"Quantité invalide",IF(K3696&lt;0,"Stock négatif",IF(AND(ISNUMBER(A3695),A3696&lt;A3695),"Date hors ordre","OK"))))))))</f>
        <v/>
      </c>
      <c r="M3696" s="39" t="str">
        <f>IF(C3696="","",C3696&amp;"#"&amp;COUNTIF($C$5:C3696,C3696))</f>
        <v/>
      </c>
    </row>
    <row r="3697">
      <c r="A3697" s="41" t="n"/>
      <c r="B3697" s="37" t="n"/>
      <c r="C3697" s="37" t="n"/>
      <c r="D3697" s="39" t="str">
        <f>IF(C3697="","",IFERROR(INDEX(art_des,MATCH(C3697,art_ref,0))&amp;"","Référence inconnue"))</f>
        <v/>
      </c>
      <c r="E3697" s="37" t="n"/>
      <c r="F3697" s="39" t="str">
        <f>IF(C3697="","",IFERROR(INDEX(art_unit,MATCH(C3697,art_ref,0))&amp;"",""))</f>
        <v/>
      </c>
      <c r="G3697" s="37" t="n"/>
      <c r="H3697" s="37" t="n"/>
      <c r="I3697" s="37" t="n"/>
      <c r="J3697" s="40" t="str">
        <f>IF(OR(C3697="",NOT(ISNUMBER(E3697))),"",IFERROR(E3697*N(INDEX(art_price,MATCH(C3697,art_ref,0))),""))</f>
        <v/>
      </c>
      <c r="K3697" s="39" t="str">
        <f>IF(OR(C3697="",NOT(ISNUMBER(E3697))),"",IFERROR(ROUND(N(INDEX(art_init,MATCH(C3697,art_ref,0)))+SUMIFS($E$5:E3697,$C$5:C3697,C3697,$B$5:B3697,"Entrée")-SUMIFS($E$5:E3697,$C$5:C3697,C3697,$B$5:B3697,"Sortie"),6),""))</f>
        <v/>
      </c>
      <c r="L3697" s="39" t="str">
        <f>IF(COUNTA(A3697:C3697,E3697)=0,"",IF(COUNTA(A3697:C3697,E3697)&lt;4,"Ligne incomplète",IF(NOT(ISNUMBER(A3697)),"Date invalide",IF(AND(B3697&lt;&gt;"Entrée",B3697&lt;&gt;"Sortie"),"Type inconnu",IF(ISNA(MATCH(C3697,art_ref,0)),"Référence inconnue",IF(OR(NOT(ISNUMBER(E3697)),N(E3697)&lt;=0),"Quantité invalide",IF(K3697&lt;0,"Stock négatif",IF(AND(ISNUMBER(A3696),A3697&lt;A3696),"Date hors ordre","OK"))))))))</f>
        <v/>
      </c>
      <c r="M3697" s="39" t="str">
        <f>IF(C3697="","",C3697&amp;"#"&amp;COUNTIF($C$5:C3697,C3697))</f>
        <v/>
      </c>
    </row>
    <row r="3698">
      <c r="A3698" s="41" t="n"/>
      <c r="B3698" s="37" t="n"/>
      <c r="C3698" s="37" t="n"/>
      <c r="D3698" s="39" t="str">
        <f>IF(C3698="","",IFERROR(INDEX(art_des,MATCH(C3698,art_ref,0))&amp;"","Référence inconnue"))</f>
        <v/>
      </c>
      <c r="E3698" s="37" t="n"/>
      <c r="F3698" s="39" t="str">
        <f>IF(C3698="","",IFERROR(INDEX(art_unit,MATCH(C3698,art_ref,0))&amp;"",""))</f>
        <v/>
      </c>
      <c r="G3698" s="37" t="n"/>
      <c r="H3698" s="37" t="n"/>
      <c r="I3698" s="37" t="n"/>
      <c r="J3698" s="40" t="str">
        <f>IF(OR(C3698="",NOT(ISNUMBER(E3698))),"",IFERROR(E3698*N(INDEX(art_price,MATCH(C3698,art_ref,0))),""))</f>
        <v/>
      </c>
      <c r="K3698" s="39" t="str">
        <f>IF(OR(C3698="",NOT(ISNUMBER(E3698))),"",IFERROR(ROUND(N(INDEX(art_init,MATCH(C3698,art_ref,0)))+SUMIFS($E$5:E3698,$C$5:C3698,C3698,$B$5:B3698,"Entrée")-SUMIFS($E$5:E3698,$C$5:C3698,C3698,$B$5:B3698,"Sortie"),6),""))</f>
        <v/>
      </c>
      <c r="L3698" s="39" t="str">
        <f>IF(COUNTA(A3698:C3698,E3698)=0,"",IF(COUNTA(A3698:C3698,E3698)&lt;4,"Ligne incomplète",IF(NOT(ISNUMBER(A3698)),"Date invalide",IF(AND(B3698&lt;&gt;"Entrée",B3698&lt;&gt;"Sortie"),"Type inconnu",IF(ISNA(MATCH(C3698,art_ref,0)),"Référence inconnue",IF(OR(NOT(ISNUMBER(E3698)),N(E3698)&lt;=0),"Quantité invalide",IF(K3698&lt;0,"Stock négatif",IF(AND(ISNUMBER(A3697),A3698&lt;A3697),"Date hors ordre","OK"))))))))</f>
        <v/>
      </c>
      <c r="M3698" s="39" t="str">
        <f>IF(C3698="","",C3698&amp;"#"&amp;COUNTIF($C$5:C3698,C3698))</f>
        <v/>
      </c>
    </row>
    <row r="3699">
      <c r="A3699" s="41" t="n"/>
      <c r="B3699" s="37" t="n"/>
      <c r="C3699" s="37" t="n"/>
      <c r="D3699" s="39" t="str">
        <f>IF(C3699="","",IFERROR(INDEX(art_des,MATCH(C3699,art_ref,0))&amp;"","Référence inconnue"))</f>
        <v/>
      </c>
      <c r="E3699" s="37" t="n"/>
      <c r="F3699" s="39" t="str">
        <f>IF(C3699="","",IFERROR(INDEX(art_unit,MATCH(C3699,art_ref,0))&amp;"",""))</f>
        <v/>
      </c>
      <c r="G3699" s="37" t="n"/>
      <c r="H3699" s="37" t="n"/>
      <c r="I3699" s="37" t="n"/>
      <c r="J3699" s="40" t="str">
        <f>IF(OR(C3699="",NOT(ISNUMBER(E3699))),"",IFERROR(E3699*N(INDEX(art_price,MATCH(C3699,art_ref,0))),""))</f>
        <v/>
      </c>
      <c r="K3699" s="39" t="str">
        <f>IF(OR(C3699="",NOT(ISNUMBER(E3699))),"",IFERROR(ROUND(N(INDEX(art_init,MATCH(C3699,art_ref,0)))+SUMIFS($E$5:E3699,$C$5:C3699,C3699,$B$5:B3699,"Entrée")-SUMIFS($E$5:E3699,$C$5:C3699,C3699,$B$5:B3699,"Sortie"),6),""))</f>
        <v/>
      </c>
      <c r="L3699" s="39" t="str">
        <f>IF(COUNTA(A3699:C3699,E3699)=0,"",IF(COUNTA(A3699:C3699,E3699)&lt;4,"Ligne incomplète",IF(NOT(ISNUMBER(A3699)),"Date invalide",IF(AND(B3699&lt;&gt;"Entrée",B3699&lt;&gt;"Sortie"),"Type inconnu",IF(ISNA(MATCH(C3699,art_ref,0)),"Référence inconnue",IF(OR(NOT(ISNUMBER(E3699)),N(E3699)&lt;=0),"Quantité invalide",IF(K3699&lt;0,"Stock négatif",IF(AND(ISNUMBER(A3698),A3699&lt;A3698),"Date hors ordre","OK"))))))))</f>
        <v/>
      </c>
      <c r="M3699" s="39" t="str">
        <f>IF(C3699="","",C3699&amp;"#"&amp;COUNTIF($C$5:C3699,C3699))</f>
        <v/>
      </c>
    </row>
    <row r="3700">
      <c r="A3700" s="41" t="n"/>
      <c r="B3700" s="37" t="n"/>
      <c r="C3700" s="37" t="n"/>
      <c r="D3700" s="39" t="str">
        <f>IF(C3700="","",IFERROR(INDEX(art_des,MATCH(C3700,art_ref,0))&amp;"","Référence inconnue"))</f>
        <v/>
      </c>
      <c r="E3700" s="37" t="n"/>
      <c r="F3700" s="39" t="str">
        <f>IF(C3700="","",IFERROR(INDEX(art_unit,MATCH(C3700,art_ref,0))&amp;"",""))</f>
        <v/>
      </c>
      <c r="G3700" s="37" t="n"/>
      <c r="H3700" s="37" t="n"/>
      <c r="I3700" s="37" t="n"/>
      <c r="J3700" s="40" t="str">
        <f>IF(OR(C3700="",NOT(ISNUMBER(E3700))),"",IFERROR(E3700*N(INDEX(art_price,MATCH(C3700,art_ref,0))),""))</f>
        <v/>
      </c>
      <c r="K3700" s="39" t="str">
        <f>IF(OR(C3700="",NOT(ISNUMBER(E3700))),"",IFERROR(ROUND(N(INDEX(art_init,MATCH(C3700,art_ref,0)))+SUMIFS($E$5:E3700,$C$5:C3700,C3700,$B$5:B3700,"Entrée")-SUMIFS($E$5:E3700,$C$5:C3700,C3700,$B$5:B3700,"Sortie"),6),""))</f>
        <v/>
      </c>
      <c r="L3700" s="39" t="str">
        <f>IF(COUNTA(A3700:C3700,E3700)=0,"",IF(COUNTA(A3700:C3700,E3700)&lt;4,"Ligne incomplète",IF(NOT(ISNUMBER(A3700)),"Date invalide",IF(AND(B3700&lt;&gt;"Entrée",B3700&lt;&gt;"Sortie"),"Type inconnu",IF(ISNA(MATCH(C3700,art_ref,0)),"Référence inconnue",IF(OR(NOT(ISNUMBER(E3700)),N(E3700)&lt;=0),"Quantité invalide",IF(K3700&lt;0,"Stock négatif",IF(AND(ISNUMBER(A3699),A3700&lt;A3699),"Date hors ordre","OK"))))))))</f>
        <v/>
      </c>
      <c r="M3700" s="39" t="str">
        <f>IF(C3700="","",C3700&amp;"#"&amp;COUNTIF($C$5:C3700,C3700))</f>
        <v/>
      </c>
    </row>
    <row r="3701">
      <c r="A3701" s="41" t="n"/>
      <c r="B3701" s="37" t="n"/>
      <c r="C3701" s="37" t="n"/>
      <c r="D3701" s="39" t="str">
        <f>IF(C3701="","",IFERROR(INDEX(art_des,MATCH(C3701,art_ref,0))&amp;"","Référence inconnue"))</f>
        <v/>
      </c>
      <c r="E3701" s="37" t="n"/>
      <c r="F3701" s="39" t="str">
        <f>IF(C3701="","",IFERROR(INDEX(art_unit,MATCH(C3701,art_ref,0))&amp;"",""))</f>
        <v/>
      </c>
      <c r="G3701" s="37" t="n"/>
      <c r="H3701" s="37" t="n"/>
      <c r="I3701" s="37" t="n"/>
      <c r="J3701" s="40" t="str">
        <f>IF(OR(C3701="",NOT(ISNUMBER(E3701))),"",IFERROR(E3701*N(INDEX(art_price,MATCH(C3701,art_ref,0))),""))</f>
        <v/>
      </c>
      <c r="K3701" s="39" t="str">
        <f>IF(OR(C3701="",NOT(ISNUMBER(E3701))),"",IFERROR(ROUND(N(INDEX(art_init,MATCH(C3701,art_ref,0)))+SUMIFS($E$5:E3701,$C$5:C3701,C3701,$B$5:B3701,"Entrée")-SUMIFS($E$5:E3701,$C$5:C3701,C3701,$B$5:B3701,"Sortie"),6),""))</f>
        <v/>
      </c>
      <c r="L3701" s="39" t="str">
        <f>IF(COUNTA(A3701:C3701,E3701)=0,"",IF(COUNTA(A3701:C3701,E3701)&lt;4,"Ligne incomplète",IF(NOT(ISNUMBER(A3701)),"Date invalide",IF(AND(B3701&lt;&gt;"Entrée",B3701&lt;&gt;"Sortie"),"Type inconnu",IF(ISNA(MATCH(C3701,art_ref,0)),"Référence inconnue",IF(OR(NOT(ISNUMBER(E3701)),N(E3701)&lt;=0),"Quantité invalide",IF(K3701&lt;0,"Stock négatif",IF(AND(ISNUMBER(A3700),A3701&lt;A3700),"Date hors ordre","OK"))))))))</f>
        <v/>
      </c>
      <c r="M3701" s="39" t="str">
        <f>IF(C3701="","",C3701&amp;"#"&amp;COUNTIF($C$5:C3701,C3701))</f>
        <v/>
      </c>
    </row>
    <row r="3702">
      <c r="A3702" s="41" t="n"/>
      <c r="B3702" s="37" t="n"/>
      <c r="C3702" s="37" t="n"/>
      <c r="D3702" s="39" t="str">
        <f>IF(C3702="","",IFERROR(INDEX(art_des,MATCH(C3702,art_ref,0))&amp;"","Référence inconnue"))</f>
        <v/>
      </c>
      <c r="E3702" s="37" t="n"/>
      <c r="F3702" s="39" t="str">
        <f>IF(C3702="","",IFERROR(INDEX(art_unit,MATCH(C3702,art_ref,0))&amp;"",""))</f>
        <v/>
      </c>
      <c r="G3702" s="37" t="n"/>
      <c r="H3702" s="37" t="n"/>
      <c r="I3702" s="37" t="n"/>
      <c r="J3702" s="40" t="str">
        <f>IF(OR(C3702="",NOT(ISNUMBER(E3702))),"",IFERROR(E3702*N(INDEX(art_price,MATCH(C3702,art_ref,0))),""))</f>
        <v/>
      </c>
      <c r="K3702" s="39" t="str">
        <f>IF(OR(C3702="",NOT(ISNUMBER(E3702))),"",IFERROR(ROUND(N(INDEX(art_init,MATCH(C3702,art_ref,0)))+SUMIFS($E$5:E3702,$C$5:C3702,C3702,$B$5:B3702,"Entrée")-SUMIFS($E$5:E3702,$C$5:C3702,C3702,$B$5:B3702,"Sortie"),6),""))</f>
        <v/>
      </c>
      <c r="L3702" s="39" t="str">
        <f>IF(COUNTA(A3702:C3702,E3702)=0,"",IF(COUNTA(A3702:C3702,E3702)&lt;4,"Ligne incomplète",IF(NOT(ISNUMBER(A3702)),"Date invalide",IF(AND(B3702&lt;&gt;"Entrée",B3702&lt;&gt;"Sortie"),"Type inconnu",IF(ISNA(MATCH(C3702,art_ref,0)),"Référence inconnue",IF(OR(NOT(ISNUMBER(E3702)),N(E3702)&lt;=0),"Quantité invalide",IF(K3702&lt;0,"Stock négatif",IF(AND(ISNUMBER(A3701),A3702&lt;A3701),"Date hors ordre","OK"))))))))</f>
        <v/>
      </c>
      <c r="M3702" s="39" t="str">
        <f>IF(C3702="","",C3702&amp;"#"&amp;COUNTIF($C$5:C3702,C3702))</f>
        <v/>
      </c>
    </row>
    <row r="3703">
      <c r="A3703" s="41" t="n"/>
      <c r="B3703" s="37" t="n"/>
      <c r="C3703" s="37" t="n"/>
      <c r="D3703" s="39" t="str">
        <f>IF(C3703="","",IFERROR(INDEX(art_des,MATCH(C3703,art_ref,0))&amp;"","Référence inconnue"))</f>
        <v/>
      </c>
      <c r="E3703" s="37" t="n"/>
      <c r="F3703" s="39" t="str">
        <f>IF(C3703="","",IFERROR(INDEX(art_unit,MATCH(C3703,art_ref,0))&amp;"",""))</f>
        <v/>
      </c>
      <c r="G3703" s="37" t="n"/>
      <c r="H3703" s="37" t="n"/>
      <c r="I3703" s="37" t="n"/>
      <c r="J3703" s="40" t="str">
        <f>IF(OR(C3703="",NOT(ISNUMBER(E3703))),"",IFERROR(E3703*N(INDEX(art_price,MATCH(C3703,art_ref,0))),""))</f>
        <v/>
      </c>
      <c r="K3703" s="39" t="str">
        <f>IF(OR(C3703="",NOT(ISNUMBER(E3703))),"",IFERROR(ROUND(N(INDEX(art_init,MATCH(C3703,art_ref,0)))+SUMIFS($E$5:E3703,$C$5:C3703,C3703,$B$5:B3703,"Entrée")-SUMIFS($E$5:E3703,$C$5:C3703,C3703,$B$5:B3703,"Sortie"),6),""))</f>
        <v/>
      </c>
      <c r="L3703" s="39" t="str">
        <f>IF(COUNTA(A3703:C3703,E3703)=0,"",IF(COUNTA(A3703:C3703,E3703)&lt;4,"Ligne incomplète",IF(NOT(ISNUMBER(A3703)),"Date invalide",IF(AND(B3703&lt;&gt;"Entrée",B3703&lt;&gt;"Sortie"),"Type inconnu",IF(ISNA(MATCH(C3703,art_ref,0)),"Référence inconnue",IF(OR(NOT(ISNUMBER(E3703)),N(E3703)&lt;=0),"Quantité invalide",IF(K3703&lt;0,"Stock négatif",IF(AND(ISNUMBER(A3702),A3703&lt;A3702),"Date hors ordre","OK"))))))))</f>
        <v/>
      </c>
      <c r="M3703" s="39" t="str">
        <f>IF(C3703="","",C3703&amp;"#"&amp;COUNTIF($C$5:C3703,C3703))</f>
        <v/>
      </c>
    </row>
    <row r="3704">
      <c r="A3704" s="41" t="n"/>
      <c r="B3704" s="37" t="n"/>
      <c r="C3704" s="37" t="n"/>
      <c r="D3704" s="39" t="str">
        <f>IF(C3704="","",IFERROR(INDEX(art_des,MATCH(C3704,art_ref,0))&amp;"","Référence inconnue"))</f>
        <v/>
      </c>
      <c r="E3704" s="37" t="n"/>
      <c r="F3704" s="39" t="str">
        <f>IF(C3704="","",IFERROR(INDEX(art_unit,MATCH(C3704,art_ref,0))&amp;"",""))</f>
        <v/>
      </c>
      <c r="G3704" s="37" t="n"/>
      <c r="H3704" s="37" t="n"/>
      <c r="I3704" s="37" t="n"/>
      <c r="J3704" s="40" t="str">
        <f>IF(OR(C3704="",NOT(ISNUMBER(E3704))),"",IFERROR(E3704*N(INDEX(art_price,MATCH(C3704,art_ref,0))),""))</f>
        <v/>
      </c>
      <c r="K3704" s="39" t="str">
        <f>IF(OR(C3704="",NOT(ISNUMBER(E3704))),"",IFERROR(ROUND(N(INDEX(art_init,MATCH(C3704,art_ref,0)))+SUMIFS($E$5:E3704,$C$5:C3704,C3704,$B$5:B3704,"Entrée")-SUMIFS($E$5:E3704,$C$5:C3704,C3704,$B$5:B3704,"Sortie"),6),""))</f>
        <v/>
      </c>
      <c r="L3704" s="39" t="str">
        <f>IF(COUNTA(A3704:C3704,E3704)=0,"",IF(COUNTA(A3704:C3704,E3704)&lt;4,"Ligne incomplète",IF(NOT(ISNUMBER(A3704)),"Date invalide",IF(AND(B3704&lt;&gt;"Entrée",B3704&lt;&gt;"Sortie"),"Type inconnu",IF(ISNA(MATCH(C3704,art_ref,0)),"Référence inconnue",IF(OR(NOT(ISNUMBER(E3704)),N(E3704)&lt;=0),"Quantité invalide",IF(K3704&lt;0,"Stock négatif",IF(AND(ISNUMBER(A3703),A3704&lt;A3703),"Date hors ordre","OK"))))))))</f>
        <v/>
      </c>
      <c r="M3704" s="39" t="str">
        <f>IF(C3704="","",C3704&amp;"#"&amp;COUNTIF($C$5:C3704,C3704))</f>
        <v/>
      </c>
    </row>
    <row r="3705">
      <c r="A3705" s="41" t="n"/>
      <c r="B3705" s="37" t="n"/>
      <c r="C3705" s="37" t="n"/>
      <c r="D3705" s="39" t="str">
        <f>IF(C3705="","",IFERROR(INDEX(art_des,MATCH(C3705,art_ref,0))&amp;"","Référence inconnue"))</f>
        <v/>
      </c>
      <c r="E3705" s="37" t="n"/>
      <c r="F3705" s="39" t="str">
        <f>IF(C3705="","",IFERROR(INDEX(art_unit,MATCH(C3705,art_ref,0))&amp;"",""))</f>
        <v/>
      </c>
      <c r="G3705" s="37" t="n"/>
      <c r="H3705" s="37" t="n"/>
      <c r="I3705" s="37" t="n"/>
      <c r="J3705" s="40" t="str">
        <f>IF(OR(C3705="",NOT(ISNUMBER(E3705))),"",IFERROR(E3705*N(INDEX(art_price,MATCH(C3705,art_ref,0))),""))</f>
        <v/>
      </c>
      <c r="K3705" s="39" t="str">
        <f>IF(OR(C3705="",NOT(ISNUMBER(E3705))),"",IFERROR(ROUND(N(INDEX(art_init,MATCH(C3705,art_ref,0)))+SUMIFS($E$5:E3705,$C$5:C3705,C3705,$B$5:B3705,"Entrée")-SUMIFS($E$5:E3705,$C$5:C3705,C3705,$B$5:B3705,"Sortie"),6),""))</f>
        <v/>
      </c>
      <c r="L3705" s="39" t="str">
        <f>IF(COUNTA(A3705:C3705,E3705)=0,"",IF(COUNTA(A3705:C3705,E3705)&lt;4,"Ligne incomplète",IF(NOT(ISNUMBER(A3705)),"Date invalide",IF(AND(B3705&lt;&gt;"Entrée",B3705&lt;&gt;"Sortie"),"Type inconnu",IF(ISNA(MATCH(C3705,art_ref,0)),"Référence inconnue",IF(OR(NOT(ISNUMBER(E3705)),N(E3705)&lt;=0),"Quantité invalide",IF(K3705&lt;0,"Stock négatif",IF(AND(ISNUMBER(A3704),A3705&lt;A3704),"Date hors ordre","OK"))))))))</f>
        <v/>
      </c>
      <c r="M3705" s="39" t="str">
        <f>IF(C3705="","",C3705&amp;"#"&amp;COUNTIF($C$5:C3705,C3705))</f>
        <v/>
      </c>
    </row>
    <row r="3706">
      <c r="A3706" s="41" t="n"/>
      <c r="B3706" s="37" t="n"/>
      <c r="C3706" s="37" t="n"/>
      <c r="D3706" s="39" t="str">
        <f>IF(C3706="","",IFERROR(INDEX(art_des,MATCH(C3706,art_ref,0))&amp;"","Référence inconnue"))</f>
        <v/>
      </c>
      <c r="E3706" s="37" t="n"/>
      <c r="F3706" s="39" t="str">
        <f>IF(C3706="","",IFERROR(INDEX(art_unit,MATCH(C3706,art_ref,0))&amp;"",""))</f>
        <v/>
      </c>
      <c r="G3706" s="37" t="n"/>
      <c r="H3706" s="37" t="n"/>
      <c r="I3706" s="37" t="n"/>
      <c r="J3706" s="40" t="str">
        <f>IF(OR(C3706="",NOT(ISNUMBER(E3706))),"",IFERROR(E3706*N(INDEX(art_price,MATCH(C3706,art_ref,0))),""))</f>
        <v/>
      </c>
      <c r="K3706" s="39" t="str">
        <f>IF(OR(C3706="",NOT(ISNUMBER(E3706))),"",IFERROR(ROUND(N(INDEX(art_init,MATCH(C3706,art_ref,0)))+SUMIFS($E$5:E3706,$C$5:C3706,C3706,$B$5:B3706,"Entrée")-SUMIFS($E$5:E3706,$C$5:C3706,C3706,$B$5:B3706,"Sortie"),6),""))</f>
        <v/>
      </c>
      <c r="L3706" s="39" t="str">
        <f>IF(COUNTA(A3706:C3706,E3706)=0,"",IF(COUNTA(A3706:C3706,E3706)&lt;4,"Ligne incomplète",IF(NOT(ISNUMBER(A3706)),"Date invalide",IF(AND(B3706&lt;&gt;"Entrée",B3706&lt;&gt;"Sortie"),"Type inconnu",IF(ISNA(MATCH(C3706,art_ref,0)),"Référence inconnue",IF(OR(NOT(ISNUMBER(E3706)),N(E3706)&lt;=0),"Quantité invalide",IF(K3706&lt;0,"Stock négatif",IF(AND(ISNUMBER(A3705),A3706&lt;A3705),"Date hors ordre","OK"))))))))</f>
        <v/>
      </c>
      <c r="M3706" s="39" t="str">
        <f>IF(C3706="","",C3706&amp;"#"&amp;COUNTIF($C$5:C3706,C3706))</f>
        <v/>
      </c>
    </row>
    <row r="3707">
      <c r="A3707" s="41" t="n"/>
      <c r="B3707" s="37" t="n"/>
      <c r="C3707" s="37" t="n"/>
      <c r="D3707" s="39" t="str">
        <f>IF(C3707="","",IFERROR(INDEX(art_des,MATCH(C3707,art_ref,0))&amp;"","Référence inconnue"))</f>
        <v/>
      </c>
      <c r="E3707" s="37" t="n"/>
      <c r="F3707" s="39" t="str">
        <f>IF(C3707="","",IFERROR(INDEX(art_unit,MATCH(C3707,art_ref,0))&amp;"",""))</f>
        <v/>
      </c>
      <c r="G3707" s="37" t="n"/>
      <c r="H3707" s="37" t="n"/>
      <c r="I3707" s="37" t="n"/>
      <c r="J3707" s="40" t="str">
        <f>IF(OR(C3707="",NOT(ISNUMBER(E3707))),"",IFERROR(E3707*N(INDEX(art_price,MATCH(C3707,art_ref,0))),""))</f>
        <v/>
      </c>
      <c r="K3707" s="39" t="str">
        <f>IF(OR(C3707="",NOT(ISNUMBER(E3707))),"",IFERROR(ROUND(N(INDEX(art_init,MATCH(C3707,art_ref,0)))+SUMIFS($E$5:E3707,$C$5:C3707,C3707,$B$5:B3707,"Entrée")-SUMIFS($E$5:E3707,$C$5:C3707,C3707,$B$5:B3707,"Sortie"),6),""))</f>
        <v/>
      </c>
      <c r="L3707" s="39" t="str">
        <f>IF(COUNTA(A3707:C3707,E3707)=0,"",IF(COUNTA(A3707:C3707,E3707)&lt;4,"Ligne incomplète",IF(NOT(ISNUMBER(A3707)),"Date invalide",IF(AND(B3707&lt;&gt;"Entrée",B3707&lt;&gt;"Sortie"),"Type inconnu",IF(ISNA(MATCH(C3707,art_ref,0)),"Référence inconnue",IF(OR(NOT(ISNUMBER(E3707)),N(E3707)&lt;=0),"Quantité invalide",IF(K3707&lt;0,"Stock négatif",IF(AND(ISNUMBER(A3706),A3707&lt;A3706),"Date hors ordre","OK"))))))))</f>
        <v/>
      </c>
      <c r="M3707" s="39" t="str">
        <f>IF(C3707="","",C3707&amp;"#"&amp;COUNTIF($C$5:C3707,C3707))</f>
        <v/>
      </c>
    </row>
    <row r="3708">
      <c r="A3708" s="41" t="n"/>
      <c r="B3708" s="37" t="n"/>
      <c r="C3708" s="37" t="n"/>
      <c r="D3708" s="39" t="str">
        <f>IF(C3708="","",IFERROR(INDEX(art_des,MATCH(C3708,art_ref,0))&amp;"","Référence inconnue"))</f>
        <v/>
      </c>
      <c r="E3708" s="37" t="n"/>
      <c r="F3708" s="39" t="str">
        <f>IF(C3708="","",IFERROR(INDEX(art_unit,MATCH(C3708,art_ref,0))&amp;"",""))</f>
        <v/>
      </c>
      <c r="G3708" s="37" t="n"/>
      <c r="H3708" s="37" t="n"/>
      <c r="I3708" s="37" t="n"/>
      <c r="J3708" s="40" t="str">
        <f>IF(OR(C3708="",NOT(ISNUMBER(E3708))),"",IFERROR(E3708*N(INDEX(art_price,MATCH(C3708,art_ref,0))),""))</f>
        <v/>
      </c>
      <c r="K3708" s="39" t="str">
        <f>IF(OR(C3708="",NOT(ISNUMBER(E3708))),"",IFERROR(ROUND(N(INDEX(art_init,MATCH(C3708,art_ref,0)))+SUMIFS($E$5:E3708,$C$5:C3708,C3708,$B$5:B3708,"Entrée")-SUMIFS($E$5:E3708,$C$5:C3708,C3708,$B$5:B3708,"Sortie"),6),""))</f>
        <v/>
      </c>
      <c r="L3708" s="39" t="str">
        <f>IF(COUNTA(A3708:C3708,E3708)=0,"",IF(COUNTA(A3708:C3708,E3708)&lt;4,"Ligne incomplète",IF(NOT(ISNUMBER(A3708)),"Date invalide",IF(AND(B3708&lt;&gt;"Entrée",B3708&lt;&gt;"Sortie"),"Type inconnu",IF(ISNA(MATCH(C3708,art_ref,0)),"Référence inconnue",IF(OR(NOT(ISNUMBER(E3708)),N(E3708)&lt;=0),"Quantité invalide",IF(K3708&lt;0,"Stock négatif",IF(AND(ISNUMBER(A3707),A3708&lt;A3707),"Date hors ordre","OK"))))))))</f>
        <v/>
      </c>
      <c r="M3708" s="39" t="str">
        <f>IF(C3708="","",C3708&amp;"#"&amp;COUNTIF($C$5:C3708,C3708))</f>
        <v/>
      </c>
    </row>
    <row r="3709">
      <c r="A3709" s="41" t="n"/>
      <c r="B3709" s="37" t="n"/>
      <c r="C3709" s="37" t="n"/>
      <c r="D3709" s="39" t="str">
        <f>IF(C3709="","",IFERROR(INDEX(art_des,MATCH(C3709,art_ref,0))&amp;"","Référence inconnue"))</f>
        <v/>
      </c>
      <c r="E3709" s="37" t="n"/>
      <c r="F3709" s="39" t="str">
        <f>IF(C3709="","",IFERROR(INDEX(art_unit,MATCH(C3709,art_ref,0))&amp;"",""))</f>
        <v/>
      </c>
      <c r="G3709" s="37" t="n"/>
      <c r="H3709" s="37" t="n"/>
      <c r="I3709" s="37" t="n"/>
      <c r="J3709" s="40" t="str">
        <f>IF(OR(C3709="",NOT(ISNUMBER(E3709))),"",IFERROR(E3709*N(INDEX(art_price,MATCH(C3709,art_ref,0))),""))</f>
        <v/>
      </c>
      <c r="K3709" s="39" t="str">
        <f>IF(OR(C3709="",NOT(ISNUMBER(E3709))),"",IFERROR(ROUND(N(INDEX(art_init,MATCH(C3709,art_ref,0)))+SUMIFS($E$5:E3709,$C$5:C3709,C3709,$B$5:B3709,"Entrée")-SUMIFS($E$5:E3709,$C$5:C3709,C3709,$B$5:B3709,"Sortie"),6),""))</f>
        <v/>
      </c>
      <c r="L3709" s="39" t="str">
        <f>IF(COUNTA(A3709:C3709,E3709)=0,"",IF(COUNTA(A3709:C3709,E3709)&lt;4,"Ligne incomplète",IF(NOT(ISNUMBER(A3709)),"Date invalide",IF(AND(B3709&lt;&gt;"Entrée",B3709&lt;&gt;"Sortie"),"Type inconnu",IF(ISNA(MATCH(C3709,art_ref,0)),"Référence inconnue",IF(OR(NOT(ISNUMBER(E3709)),N(E3709)&lt;=0),"Quantité invalide",IF(K3709&lt;0,"Stock négatif",IF(AND(ISNUMBER(A3708),A3709&lt;A3708),"Date hors ordre","OK"))))))))</f>
        <v/>
      </c>
      <c r="M3709" s="39" t="str">
        <f>IF(C3709="","",C3709&amp;"#"&amp;COUNTIF($C$5:C3709,C3709))</f>
        <v/>
      </c>
    </row>
    <row r="3710">
      <c r="A3710" s="41" t="n"/>
      <c r="B3710" s="37" t="n"/>
      <c r="C3710" s="37" t="n"/>
      <c r="D3710" s="39" t="str">
        <f>IF(C3710="","",IFERROR(INDEX(art_des,MATCH(C3710,art_ref,0))&amp;"","Référence inconnue"))</f>
        <v/>
      </c>
      <c r="E3710" s="37" t="n"/>
      <c r="F3710" s="39" t="str">
        <f>IF(C3710="","",IFERROR(INDEX(art_unit,MATCH(C3710,art_ref,0))&amp;"",""))</f>
        <v/>
      </c>
      <c r="G3710" s="37" t="n"/>
      <c r="H3710" s="37" t="n"/>
      <c r="I3710" s="37" t="n"/>
      <c r="J3710" s="40" t="str">
        <f>IF(OR(C3710="",NOT(ISNUMBER(E3710))),"",IFERROR(E3710*N(INDEX(art_price,MATCH(C3710,art_ref,0))),""))</f>
        <v/>
      </c>
      <c r="K3710" s="39" t="str">
        <f>IF(OR(C3710="",NOT(ISNUMBER(E3710))),"",IFERROR(ROUND(N(INDEX(art_init,MATCH(C3710,art_ref,0)))+SUMIFS($E$5:E3710,$C$5:C3710,C3710,$B$5:B3710,"Entrée")-SUMIFS($E$5:E3710,$C$5:C3710,C3710,$B$5:B3710,"Sortie"),6),""))</f>
        <v/>
      </c>
      <c r="L3710" s="39" t="str">
        <f>IF(COUNTA(A3710:C3710,E3710)=0,"",IF(COUNTA(A3710:C3710,E3710)&lt;4,"Ligne incomplète",IF(NOT(ISNUMBER(A3710)),"Date invalide",IF(AND(B3710&lt;&gt;"Entrée",B3710&lt;&gt;"Sortie"),"Type inconnu",IF(ISNA(MATCH(C3710,art_ref,0)),"Référence inconnue",IF(OR(NOT(ISNUMBER(E3710)),N(E3710)&lt;=0),"Quantité invalide",IF(K3710&lt;0,"Stock négatif",IF(AND(ISNUMBER(A3709),A3710&lt;A3709),"Date hors ordre","OK"))))))))</f>
        <v/>
      </c>
      <c r="M3710" s="39" t="str">
        <f>IF(C3710="","",C3710&amp;"#"&amp;COUNTIF($C$5:C3710,C3710))</f>
        <v/>
      </c>
    </row>
    <row r="3711">
      <c r="A3711" s="41" t="n"/>
      <c r="B3711" s="37" t="n"/>
      <c r="C3711" s="37" t="n"/>
      <c r="D3711" s="39" t="str">
        <f>IF(C3711="","",IFERROR(INDEX(art_des,MATCH(C3711,art_ref,0))&amp;"","Référence inconnue"))</f>
        <v/>
      </c>
      <c r="E3711" s="37" t="n"/>
      <c r="F3711" s="39" t="str">
        <f>IF(C3711="","",IFERROR(INDEX(art_unit,MATCH(C3711,art_ref,0))&amp;"",""))</f>
        <v/>
      </c>
      <c r="G3711" s="37" t="n"/>
      <c r="H3711" s="37" t="n"/>
      <c r="I3711" s="37" t="n"/>
      <c r="J3711" s="40" t="str">
        <f>IF(OR(C3711="",NOT(ISNUMBER(E3711))),"",IFERROR(E3711*N(INDEX(art_price,MATCH(C3711,art_ref,0))),""))</f>
        <v/>
      </c>
      <c r="K3711" s="39" t="str">
        <f>IF(OR(C3711="",NOT(ISNUMBER(E3711))),"",IFERROR(ROUND(N(INDEX(art_init,MATCH(C3711,art_ref,0)))+SUMIFS($E$5:E3711,$C$5:C3711,C3711,$B$5:B3711,"Entrée")-SUMIFS($E$5:E3711,$C$5:C3711,C3711,$B$5:B3711,"Sortie"),6),""))</f>
        <v/>
      </c>
      <c r="L3711" s="39" t="str">
        <f>IF(COUNTA(A3711:C3711,E3711)=0,"",IF(COUNTA(A3711:C3711,E3711)&lt;4,"Ligne incomplète",IF(NOT(ISNUMBER(A3711)),"Date invalide",IF(AND(B3711&lt;&gt;"Entrée",B3711&lt;&gt;"Sortie"),"Type inconnu",IF(ISNA(MATCH(C3711,art_ref,0)),"Référence inconnue",IF(OR(NOT(ISNUMBER(E3711)),N(E3711)&lt;=0),"Quantité invalide",IF(K3711&lt;0,"Stock négatif",IF(AND(ISNUMBER(A3710),A3711&lt;A3710),"Date hors ordre","OK"))))))))</f>
        <v/>
      </c>
      <c r="M3711" s="39" t="str">
        <f>IF(C3711="","",C3711&amp;"#"&amp;COUNTIF($C$5:C3711,C3711))</f>
        <v/>
      </c>
    </row>
    <row r="3712">
      <c r="A3712" s="41" t="n"/>
      <c r="B3712" s="37" t="n"/>
      <c r="C3712" s="37" t="n"/>
      <c r="D3712" s="39" t="str">
        <f>IF(C3712="","",IFERROR(INDEX(art_des,MATCH(C3712,art_ref,0))&amp;"","Référence inconnue"))</f>
        <v/>
      </c>
      <c r="E3712" s="37" t="n"/>
      <c r="F3712" s="39" t="str">
        <f>IF(C3712="","",IFERROR(INDEX(art_unit,MATCH(C3712,art_ref,0))&amp;"",""))</f>
        <v/>
      </c>
      <c r="G3712" s="37" t="n"/>
      <c r="H3712" s="37" t="n"/>
      <c r="I3712" s="37" t="n"/>
      <c r="J3712" s="40" t="str">
        <f>IF(OR(C3712="",NOT(ISNUMBER(E3712))),"",IFERROR(E3712*N(INDEX(art_price,MATCH(C3712,art_ref,0))),""))</f>
        <v/>
      </c>
      <c r="K3712" s="39" t="str">
        <f>IF(OR(C3712="",NOT(ISNUMBER(E3712))),"",IFERROR(ROUND(N(INDEX(art_init,MATCH(C3712,art_ref,0)))+SUMIFS($E$5:E3712,$C$5:C3712,C3712,$B$5:B3712,"Entrée")-SUMIFS($E$5:E3712,$C$5:C3712,C3712,$B$5:B3712,"Sortie"),6),""))</f>
        <v/>
      </c>
      <c r="L3712" s="39" t="str">
        <f>IF(COUNTA(A3712:C3712,E3712)=0,"",IF(COUNTA(A3712:C3712,E3712)&lt;4,"Ligne incomplète",IF(NOT(ISNUMBER(A3712)),"Date invalide",IF(AND(B3712&lt;&gt;"Entrée",B3712&lt;&gt;"Sortie"),"Type inconnu",IF(ISNA(MATCH(C3712,art_ref,0)),"Référence inconnue",IF(OR(NOT(ISNUMBER(E3712)),N(E3712)&lt;=0),"Quantité invalide",IF(K3712&lt;0,"Stock négatif",IF(AND(ISNUMBER(A3711),A3712&lt;A3711),"Date hors ordre","OK"))))))))</f>
        <v/>
      </c>
      <c r="M3712" s="39" t="str">
        <f>IF(C3712="","",C3712&amp;"#"&amp;COUNTIF($C$5:C3712,C3712))</f>
        <v/>
      </c>
    </row>
    <row r="3713">
      <c r="A3713" s="41" t="n"/>
      <c r="B3713" s="37" t="n"/>
      <c r="C3713" s="37" t="n"/>
      <c r="D3713" s="39" t="str">
        <f>IF(C3713="","",IFERROR(INDEX(art_des,MATCH(C3713,art_ref,0))&amp;"","Référence inconnue"))</f>
        <v/>
      </c>
      <c r="E3713" s="37" t="n"/>
      <c r="F3713" s="39" t="str">
        <f>IF(C3713="","",IFERROR(INDEX(art_unit,MATCH(C3713,art_ref,0))&amp;"",""))</f>
        <v/>
      </c>
      <c r="G3713" s="37" t="n"/>
      <c r="H3713" s="37" t="n"/>
      <c r="I3713" s="37" t="n"/>
      <c r="J3713" s="40" t="str">
        <f>IF(OR(C3713="",NOT(ISNUMBER(E3713))),"",IFERROR(E3713*N(INDEX(art_price,MATCH(C3713,art_ref,0))),""))</f>
        <v/>
      </c>
      <c r="K3713" s="39" t="str">
        <f>IF(OR(C3713="",NOT(ISNUMBER(E3713))),"",IFERROR(ROUND(N(INDEX(art_init,MATCH(C3713,art_ref,0)))+SUMIFS($E$5:E3713,$C$5:C3713,C3713,$B$5:B3713,"Entrée")-SUMIFS($E$5:E3713,$C$5:C3713,C3713,$B$5:B3713,"Sortie"),6),""))</f>
        <v/>
      </c>
      <c r="L3713" s="39" t="str">
        <f>IF(COUNTA(A3713:C3713,E3713)=0,"",IF(COUNTA(A3713:C3713,E3713)&lt;4,"Ligne incomplète",IF(NOT(ISNUMBER(A3713)),"Date invalide",IF(AND(B3713&lt;&gt;"Entrée",B3713&lt;&gt;"Sortie"),"Type inconnu",IF(ISNA(MATCH(C3713,art_ref,0)),"Référence inconnue",IF(OR(NOT(ISNUMBER(E3713)),N(E3713)&lt;=0),"Quantité invalide",IF(K3713&lt;0,"Stock négatif",IF(AND(ISNUMBER(A3712),A3713&lt;A3712),"Date hors ordre","OK"))))))))</f>
        <v/>
      </c>
      <c r="M3713" s="39" t="str">
        <f>IF(C3713="","",C3713&amp;"#"&amp;COUNTIF($C$5:C3713,C3713))</f>
        <v/>
      </c>
    </row>
    <row r="3714">
      <c r="A3714" s="41" t="n"/>
      <c r="B3714" s="37" t="n"/>
      <c r="C3714" s="37" t="n"/>
      <c r="D3714" s="39" t="str">
        <f>IF(C3714="","",IFERROR(INDEX(art_des,MATCH(C3714,art_ref,0))&amp;"","Référence inconnue"))</f>
        <v/>
      </c>
      <c r="E3714" s="37" t="n"/>
      <c r="F3714" s="39" t="str">
        <f>IF(C3714="","",IFERROR(INDEX(art_unit,MATCH(C3714,art_ref,0))&amp;"",""))</f>
        <v/>
      </c>
      <c r="G3714" s="37" t="n"/>
      <c r="H3714" s="37" t="n"/>
      <c r="I3714" s="37" t="n"/>
      <c r="J3714" s="40" t="str">
        <f>IF(OR(C3714="",NOT(ISNUMBER(E3714))),"",IFERROR(E3714*N(INDEX(art_price,MATCH(C3714,art_ref,0))),""))</f>
        <v/>
      </c>
      <c r="K3714" s="39" t="str">
        <f>IF(OR(C3714="",NOT(ISNUMBER(E3714))),"",IFERROR(ROUND(N(INDEX(art_init,MATCH(C3714,art_ref,0)))+SUMIFS($E$5:E3714,$C$5:C3714,C3714,$B$5:B3714,"Entrée")-SUMIFS($E$5:E3714,$C$5:C3714,C3714,$B$5:B3714,"Sortie"),6),""))</f>
        <v/>
      </c>
      <c r="L3714" s="39" t="str">
        <f>IF(COUNTA(A3714:C3714,E3714)=0,"",IF(COUNTA(A3714:C3714,E3714)&lt;4,"Ligne incomplète",IF(NOT(ISNUMBER(A3714)),"Date invalide",IF(AND(B3714&lt;&gt;"Entrée",B3714&lt;&gt;"Sortie"),"Type inconnu",IF(ISNA(MATCH(C3714,art_ref,0)),"Référence inconnue",IF(OR(NOT(ISNUMBER(E3714)),N(E3714)&lt;=0),"Quantité invalide",IF(K3714&lt;0,"Stock négatif",IF(AND(ISNUMBER(A3713),A3714&lt;A3713),"Date hors ordre","OK"))))))))</f>
        <v/>
      </c>
      <c r="M3714" s="39" t="str">
        <f>IF(C3714="","",C3714&amp;"#"&amp;COUNTIF($C$5:C3714,C3714))</f>
        <v/>
      </c>
    </row>
    <row r="3715">
      <c r="A3715" s="41" t="n"/>
      <c r="B3715" s="37" t="n"/>
      <c r="C3715" s="37" t="n"/>
      <c r="D3715" s="39" t="str">
        <f>IF(C3715="","",IFERROR(INDEX(art_des,MATCH(C3715,art_ref,0))&amp;"","Référence inconnue"))</f>
        <v/>
      </c>
      <c r="E3715" s="37" t="n"/>
      <c r="F3715" s="39" t="str">
        <f>IF(C3715="","",IFERROR(INDEX(art_unit,MATCH(C3715,art_ref,0))&amp;"",""))</f>
        <v/>
      </c>
      <c r="G3715" s="37" t="n"/>
      <c r="H3715" s="37" t="n"/>
      <c r="I3715" s="37" t="n"/>
      <c r="J3715" s="40" t="str">
        <f>IF(OR(C3715="",NOT(ISNUMBER(E3715))),"",IFERROR(E3715*N(INDEX(art_price,MATCH(C3715,art_ref,0))),""))</f>
        <v/>
      </c>
      <c r="K3715" s="39" t="str">
        <f>IF(OR(C3715="",NOT(ISNUMBER(E3715))),"",IFERROR(ROUND(N(INDEX(art_init,MATCH(C3715,art_ref,0)))+SUMIFS($E$5:E3715,$C$5:C3715,C3715,$B$5:B3715,"Entrée")-SUMIFS($E$5:E3715,$C$5:C3715,C3715,$B$5:B3715,"Sortie"),6),""))</f>
        <v/>
      </c>
      <c r="L3715" s="39" t="str">
        <f>IF(COUNTA(A3715:C3715,E3715)=0,"",IF(COUNTA(A3715:C3715,E3715)&lt;4,"Ligne incomplète",IF(NOT(ISNUMBER(A3715)),"Date invalide",IF(AND(B3715&lt;&gt;"Entrée",B3715&lt;&gt;"Sortie"),"Type inconnu",IF(ISNA(MATCH(C3715,art_ref,0)),"Référence inconnue",IF(OR(NOT(ISNUMBER(E3715)),N(E3715)&lt;=0),"Quantité invalide",IF(K3715&lt;0,"Stock négatif",IF(AND(ISNUMBER(A3714),A3715&lt;A3714),"Date hors ordre","OK"))))))))</f>
        <v/>
      </c>
      <c r="M3715" s="39" t="str">
        <f>IF(C3715="","",C3715&amp;"#"&amp;COUNTIF($C$5:C3715,C3715))</f>
        <v/>
      </c>
    </row>
    <row r="3716">
      <c r="A3716" s="41" t="n"/>
      <c r="B3716" s="37" t="n"/>
      <c r="C3716" s="37" t="n"/>
      <c r="D3716" s="39" t="str">
        <f>IF(C3716="","",IFERROR(INDEX(art_des,MATCH(C3716,art_ref,0))&amp;"","Référence inconnue"))</f>
        <v/>
      </c>
      <c r="E3716" s="37" t="n"/>
      <c r="F3716" s="39" t="str">
        <f>IF(C3716="","",IFERROR(INDEX(art_unit,MATCH(C3716,art_ref,0))&amp;"",""))</f>
        <v/>
      </c>
      <c r="G3716" s="37" t="n"/>
      <c r="H3716" s="37" t="n"/>
      <c r="I3716" s="37" t="n"/>
      <c r="J3716" s="40" t="str">
        <f>IF(OR(C3716="",NOT(ISNUMBER(E3716))),"",IFERROR(E3716*N(INDEX(art_price,MATCH(C3716,art_ref,0))),""))</f>
        <v/>
      </c>
      <c r="K3716" s="39" t="str">
        <f>IF(OR(C3716="",NOT(ISNUMBER(E3716))),"",IFERROR(ROUND(N(INDEX(art_init,MATCH(C3716,art_ref,0)))+SUMIFS($E$5:E3716,$C$5:C3716,C3716,$B$5:B3716,"Entrée")-SUMIFS($E$5:E3716,$C$5:C3716,C3716,$B$5:B3716,"Sortie"),6),""))</f>
        <v/>
      </c>
      <c r="L3716" s="39" t="str">
        <f>IF(COUNTA(A3716:C3716,E3716)=0,"",IF(COUNTA(A3716:C3716,E3716)&lt;4,"Ligne incomplète",IF(NOT(ISNUMBER(A3716)),"Date invalide",IF(AND(B3716&lt;&gt;"Entrée",B3716&lt;&gt;"Sortie"),"Type inconnu",IF(ISNA(MATCH(C3716,art_ref,0)),"Référence inconnue",IF(OR(NOT(ISNUMBER(E3716)),N(E3716)&lt;=0),"Quantité invalide",IF(K3716&lt;0,"Stock négatif",IF(AND(ISNUMBER(A3715),A3716&lt;A3715),"Date hors ordre","OK"))))))))</f>
        <v/>
      </c>
      <c r="M3716" s="39" t="str">
        <f>IF(C3716="","",C3716&amp;"#"&amp;COUNTIF($C$5:C3716,C3716))</f>
        <v/>
      </c>
    </row>
    <row r="3717">
      <c r="A3717" s="41" t="n"/>
      <c r="B3717" s="37" t="n"/>
      <c r="C3717" s="37" t="n"/>
      <c r="D3717" s="39" t="str">
        <f>IF(C3717="","",IFERROR(INDEX(art_des,MATCH(C3717,art_ref,0))&amp;"","Référence inconnue"))</f>
        <v/>
      </c>
      <c r="E3717" s="37" t="n"/>
      <c r="F3717" s="39" t="str">
        <f>IF(C3717="","",IFERROR(INDEX(art_unit,MATCH(C3717,art_ref,0))&amp;"",""))</f>
        <v/>
      </c>
      <c r="G3717" s="37" t="n"/>
      <c r="H3717" s="37" t="n"/>
      <c r="I3717" s="37" t="n"/>
      <c r="J3717" s="40" t="str">
        <f>IF(OR(C3717="",NOT(ISNUMBER(E3717))),"",IFERROR(E3717*N(INDEX(art_price,MATCH(C3717,art_ref,0))),""))</f>
        <v/>
      </c>
      <c r="K3717" s="39" t="str">
        <f>IF(OR(C3717="",NOT(ISNUMBER(E3717))),"",IFERROR(ROUND(N(INDEX(art_init,MATCH(C3717,art_ref,0)))+SUMIFS($E$5:E3717,$C$5:C3717,C3717,$B$5:B3717,"Entrée")-SUMIFS($E$5:E3717,$C$5:C3717,C3717,$B$5:B3717,"Sortie"),6),""))</f>
        <v/>
      </c>
      <c r="L3717" s="39" t="str">
        <f>IF(COUNTA(A3717:C3717,E3717)=0,"",IF(COUNTA(A3717:C3717,E3717)&lt;4,"Ligne incomplète",IF(NOT(ISNUMBER(A3717)),"Date invalide",IF(AND(B3717&lt;&gt;"Entrée",B3717&lt;&gt;"Sortie"),"Type inconnu",IF(ISNA(MATCH(C3717,art_ref,0)),"Référence inconnue",IF(OR(NOT(ISNUMBER(E3717)),N(E3717)&lt;=0),"Quantité invalide",IF(K3717&lt;0,"Stock négatif",IF(AND(ISNUMBER(A3716),A3717&lt;A3716),"Date hors ordre","OK"))))))))</f>
        <v/>
      </c>
      <c r="M3717" s="39" t="str">
        <f>IF(C3717="","",C3717&amp;"#"&amp;COUNTIF($C$5:C3717,C3717))</f>
        <v/>
      </c>
    </row>
    <row r="3718">
      <c r="A3718" s="41" t="n"/>
      <c r="B3718" s="37" t="n"/>
      <c r="C3718" s="37" t="n"/>
      <c r="D3718" s="39" t="str">
        <f>IF(C3718="","",IFERROR(INDEX(art_des,MATCH(C3718,art_ref,0))&amp;"","Référence inconnue"))</f>
        <v/>
      </c>
      <c r="E3718" s="37" t="n"/>
      <c r="F3718" s="39" t="str">
        <f>IF(C3718="","",IFERROR(INDEX(art_unit,MATCH(C3718,art_ref,0))&amp;"",""))</f>
        <v/>
      </c>
      <c r="G3718" s="37" t="n"/>
      <c r="H3718" s="37" t="n"/>
      <c r="I3718" s="37" t="n"/>
      <c r="J3718" s="40" t="str">
        <f>IF(OR(C3718="",NOT(ISNUMBER(E3718))),"",IFERROR(E3718*N(INDEX(art_price,MATCH(C3718,art_ref,0))),""))</f>
        <v/>
      </c>
      <c r="K3718" s="39" t="str">
        <f>IF(OR(C3718="",NOT(ISNUMBER(E3718))),"",IFERROR(ROUND(N(INDEX(art_init,MATCH(C3718,art_ref,0)))+SUMIFS($E$5:E3718,$C$5:C3718,C3718,$B$5:B3718,"Entrée")-SUMIFS($E$5:E3718,$C$5:C3718,C3718,$B$5:B3718,"Sortie"),6),""))</f>
        <v/>
      </c>
      <c r="L3718" s="39" t="str">
        <f>IF(COUNTA(A3718:C3718,E3718)=0,"",IF(COUNTA(A3718:C3718,E3718)&lt;4,"Ligne incomplète",IF(NOT(ISNUMBER(A3718)),"Date invalide",IF(AND(B3718&lt;&gt;"Entrée",B3718&lt;&gt;"Sortie"),"Type inconnu",IF(ISNA(MATCH(C3718,art_ref,0)),"Référence inconnue",IF(OR(NOT(ISNUMBER(E3718)),N(E3718)&lt;=0),"Quantité invalide",IF(K3718&lt;0,"Stock négatif",IF(AND(ISNUMBER(A3717),A3718&lt;A3717),"Date hors ordre","OK"))))))))</f>
        <v/>
      </c>
      <c r="M3718" s="39" t="str">
        <f>IF(C3718="","",C3718&amp;"#"&amp;COUNTIF($C$5:C3718,C3718))</f>
        <v/>
      </c>
    </row>
    <row r="3719">
      <c r="A3719" s="41" t="n"/>
      <c r="B3719" s="37" t="n"/>
      <c r="C3719" s="37" t="n"/>
      <c r="D3719" s="39" t="str">
        <f>IF(C3719="","",IFERROR(INDEX(art_des,MATCH(C3719,art_ref,0))&amp;"","Référence inconnue"))</f>
        <v/>
      </c>
      <c r="E3719" s="37" t="n"/>
      <c r="F3719" s="39" t="str">
        <f>IF(C3719="","",IFERROR(INDEX(art_unit,MATCH(C3719,art_ref,0))&amp;"",""))</f>
        <v/>
      </c>
      <c r="G3719" s="37" t="n"/>
      <c r="H3719" s="37" t="n"/>
      <c r="I3719" s="37" t="n"/>
      <c r="J3719" s="40" t="str">
        <f>IF(OR(C3719="",NOT(ISNUMBER(E3719))),"",IFERROR(E3719*N(INDEX(art_price,MATCH(C3719,art_ref,0))),""))</f>
        <v/>
      </c>
      <c r="K3719" s="39" t="str">
        <f>IF(OR(C3719="",NOT(ISNUMBER(E3719))),"",IFERROR(ROUND(N(INDEX(art_init,MATCH(C3719,art_ref,0)))+SUMIFS($E$5:E3719,$C$5:C3719,C3719,$B$5:B3719,"Entrée")-SUMIFS($E$5:E3719,$C$5:C3719,C3719,$B$5:B3719,"Sortie"),6),""))</f>
        <v/>
      </c>
      <c r="L3719" s="39" t="str">
        <f>IF(COUNTA(A3719:C3719,E3719)=0,"",IF(COUNTA(A3719:C3719,E3719)&lt;4,"Ligne incomplète",IF(NOT(ISNUMBER(A3719)),"Date invalide",IF(AND(B3719&lt;&gt;"Entrée",B3719&lt;&gt;"Sortie"),"Type inconnu",IF(ISNA(MATCH(C3719,art_ref,0)),"Référence inconnue",IF(OR(NOT(ISNUMBER(E3719)),N(E3719)&lt;=0),"Quantité invalide",IF(K3719&lt;0,"Stock négatif",IF(AND(ISNUMBER(A3718),A3719&lt;A3718),"Date hors ordre","OK"))))))))</f>
        <v/>
      </c>
      <c r="M3719" s="39" t="str">
        <f>IF(C3719="","",C3719&amp;"#"&amp;COUNTIF($C$5:C3719,C3719))</f>
        <v/>
      </c>
    </row>
    <row r="3720">
      <c r="A3720" s="41" t="n"/>
      <c r="B3720" s="37" t="n"/>
      <c r="C3720" s="37" t="n"/>
      <c r="D3720" s="39" t="str">
        <f>IF(C3720="","",IFERROR(INDEX(art_des,MATCH(C3720,art_ref,0))&amp;"","Référence inconnue"))</f>
        <v/>
      </c>
      <c r="E3720" s="37" t="n"/>
      <c r="F3720" s="39" t="str">
        <f>IF(C3720="","",IFERROR(INDEX(art_unit,MATCH(C3720,art_ref,0))&amp;"",""))</f>
        <v/>
      </c>
      <c r="G3720" s="37" t="n"/>
      <c r="H3720" s="37" t="n"/>
      <c r="I3720" s="37" t="n"/>
      <c r="J3720" s="40" t="str">
        <f>IF(OR(C3720="",NOT(ISNUMBER(E3720))),"",IFERROR(E3720*N(INDEX(art_price,MATCH(C3720,art_ref,0))),""))</f>
        <v/>
      </c>
      <c r="K3720" s="39" t="str">
        <f>IF(OR(C3720="",NOT(ISNUMBER(E3720))),"",IFERROR(ROUND(N(INDEX(art_init,MATCH(C3720,art_ref,0)))+SUMIFS($E$5:E3720,$C$5:C3720,C3720,$B$5:B3720,"Entrée")-SUMIFS($E$5:E3720,$C$5:C3720,C3720,$B$5:B3720,"Sortie"),6),""))</f>
        <v/>
      </c>
      <c r="L3720" s="39" t="str">
        <f>IF(COUNTA(A3720:C3720,E3720)=0,"",IF(COUNTA(A3720:C3720,E3720)&lt;4,"Ligne incomplète",IF(NOT(ISNUMBER(A3720)),"Date invalide",IF(AND(B3720&lt;&gt;"Entrée",B3720&lt;&gt;"Sortie"),"Type inconnu",IF(ISNA(MATCH(C3720,art_ref,0)),"Référence inconnue",IF(OR(NOT(ISNUMBER(E3720)),N(E3720)&lt;=0),"Quantité invalide",IF(K3720&lt;0,"Stock négatif",IF(AND(ISNUMBER(A3719),A3720&lt;A3719),"Date hors ordre","OK"))))))))</f>
        <v/>
      </c>
      <c r="M3720" s="39" t="str">
        <f>IF(C3720="","",C3720&amp;"#"&amp;COUNTIF($C$5:C3720,C3720))</f>
        <v/>
      </c>
    </row>
    <row r="3721">
      <c r="A3721" s="41" t="n"/>
      <c r="B3721" s="37" t="n"/>
      <c r="C3721" s="37" t="n"/>
      <c r="D3721" s="39" t="str">
        <f>IF(C3721="","",IFERROR(INDEX(art_des,MATCH(C3721,art_ref,0))&amp;"","Référence inconnue"))</f>
        <v/>
      </c>
      <c r="E3721" s="37" t="n"/>
      <c r="F3721" s="39" t="str">
        <f>IF(C3721="","",IFERROR(INDEX(art_unit,MATCH(C3721,art_ref,0))&amp;"",""))</f>
        <v/>
      </c>
      <c r="G3721" s="37" t="n"/>
      <c r="H3721" s="37" t="n"/>
      <c r="I3721" s="37" t="n"/>
      <c r="J3721" s="40" t="str">
        <f>IF(OR(C3721="",NOT(ISNUMBER(E3721))),"",IFERROR(E3721*N(INDEX(art_price,MATCH(C3721,art_ref,0))),""))</f>
        <v/>
      </c>
      <c r="K3721" s="39" t="str">
        <f>IF(OR(C3721="",NOT(ISNUMBER(E3721))),"",IFERROR(ROUND(N(INDEX(art_init,MATCH(C3721,art_ref,0)))+SUMIFS($E$5:E3721,$C$5:C3721,C3721,$B$5:B3721,"Entrée")-SUMIFS($E$5:E3721,$C$5:C3721,C3721,$B$5:B3721,"Sortie"),6),""))</f>
        <v/>
      </c>
      <c r="L3721" s="39" t="str">
        <f>IF(COUNTA(A3721:C3721,E3721)=0,"",IF(COUNTA(A3721:C3721,E3721)&lt;4,"Ligne incomplète",IF(NOT(ISNUMBER(A3721)),"Date invalide",IF(AND(B3721&lt;&gt;"Entrée",B3721&lt;&gt;"Sortie"),"Type inconnu",IF(ISNA(MATCH(C3721,art_ref,0)),"Référence inconnue",IF(OR(NOT(ISNUMBER(E3721)),N(E3721)&lt;=0),"Quantité invalide",IF(K3721&lt;0,"Stock négatif",IF(AND(ISNUMBER(A3720),A3721&lt;A3720),"Date hors ordre","OK"))))))))</f>
        <v/>
      </c>
      <c r="M3721" s="39" t="str">
        <f>IF(C3721="","",C3721&amp;"#"&amp;COUNTIF($C$5:C3721,C3721))</f>
        <v/>
      </c>
    </row>
    <row r="3722">
      <c r="A3722" s="41" t="n"/>
      <c r="B3722" s="37" t="n"/>
      <c r="C3722" s="37" t="n"/>
      <c r="D3722" s="39" t="str">
        <f>IF(C3722="","",IFERROR(INDEX(art_des,MATCH(C3722,art_ref,0))&amp;"","Référence inconnue"))</f>
        <v/>
      </c>
      <c r="E3722" s="37" t="n"/>
      <c r="F3722" s="39" t="str">
        <f>IF(C3722="","",IFERROR(INDEX(art_unit,MATCH(C3722,art_ref,0))&amp;"",""))</f>
        <v/>
      </c>
      <c r="G3722" s="37" t="n"/>
      <c r="H3722" s="37" t="n"/>
      <c r="I3722" s="37" t="n"/>
      <c r="J3722" s="40" t="str">
        <f>IF(OR(C3722="",NOT(ISNUMBER(E3722))),"",IFERROR(E3722*N(INDEX(art_price,MATCH(C3722,art_ref,0))),""))</f>
        <v/>
      </c>
      <c r="K3722" s="39" t="str">
        <f>IF(OR(C3722="",NOT(ISNUMBER(E3722))),"",IFERROR(ROUND(N(INDEX(art_init,MATCH(C3722,art_ref,0)))+SUMIFS($E$5:E3722,$C$5:C3722,C3722,$B$5:B3722,"Entrée")-SUMIFS($E$5:E3722,$C$5:C3722,C3722,$B$5:B3722,"Sortie"),6),""))</f>
        <v/>
      </c>
      <c r="L3722" s="39" t="str">
        <f>IF(COUNTA(A3722:C3722,E3722)=0,"",IF(COUNTA(A3722:C3722,E3722)&lt;4,"Ligne incomplète",IF(NOT(ISNUMBER(A3722)),"Date invalide",IF(AND(B3722&lt;&gt;"Entrée",B3722&lt;&gt;"Sortie"),"Type inconnu",IF(ISNA(MATCH(C3722,art_ref,0)),"Référence inconnue",IF(OR(NOT(ISNUMBER(E3722)),N(E3722)&lt;=0),"Quantité invalide",IF(K3722&lt;0,"Stock négatif",IF(AND(ISNUMBER(A3721),A3722&lt;A3721),"Date hors ordre","OK"))))))))</f>
        <v/>
      </c>
      <c r="M3722" s="39" t="str">
        <f>IF(C3722="","",C3722&amp;"#"&amp;COUNTIF($C$5:C3722,C3722))</f>
        <v/>
      </c>
    </row>
    <row r="3723">
      <c r="A3723" s="41" t="n"/>
      <c r="B3723" s="37" t="n"/>
      <c r="C3723" s="37" t="n"/>
      <c r="D3723" s="39" t="str">
        <f>IF(C3723="","",IFERROR(INDEX(art_des,MATCH(C3723,art_ref,0))&amp;"","Référence inconnue"))</f>
        <v/>
      </c>
      <c r="E3723" s="37" t="n"/>
      <c r="F3723" s="39" t="str">
        <f>IF(C3723="","",IFERROR(INDEX(art_unit,MATCH(C3723,art_ref,0))&amp;"",""))</f>
        <v/>
      </c>
      <c r="G3723" s="37" t="n"/>
      <c r="H3723" s="37" t="n"/>
      <c r="I3723" s="37" t="n"/>
      <c r="J3723" s="40" t="str">
        <f>IF(OR(C3723="",NOT(ISNUMBER(E3723))),"",IFERROR(E3723*N(INDEX(art_price,MATCH(C3723,art_ref,0))),""))</f>
        <v/>
      </c>
      <c r="K3723" s="39" t="str">
        <f>IF(OR(C3723="",NOT(ISNUMBER(E3723))),"",IFERROR(ROUND(N(INDEX(art_init,MATCH(C3723,art_ref,0)))+SUMIFS($E$5:E3723,$C$5:C3723,C3723,$B$5:B3723,"Entrée")-SUMIFS($E$5:E3723,$C$5:C3723,C3723,$B$5:B3723,"Sortie"),6),""))</f>
        <v/>
      </c>
      <c r="L3723" s="39" t="str">
        <f>IF(COUNTA(A3723:C3723,E3723)=0,"",IF(COUNTA(A3723:C3723,E3723)&lt;4,"Ligne incomplète",IF(NOT(ISNUMBER(A3723)),"Date invalide",IF(AND(B3723&lt;&gt;"Entrée",B3723&lt;&gt;"Sortie"),"Type inconnu",IF(ISNA(MATCH(C3723,art_ref,0)),"Référence inconnue",IF(OR(NOT(ISNUMBER(E3723)),N(E3723)&lt;=0),"Quantité invalide",IF(K3723&lt;0,"Stock négatif",IF(AND(ISNUMBER(A3722),A3723&lt;A3722),"Date hors ordre","OK"))))))))</f>
        <v/>
      </c>
      <c r="M3723" s="39" t="str">
        <f>IF(C3723="","",C3723&amp;"#"&amp;COUNTIF($C$5:C3723,C3723))</f>
        <v/>
      </c>
    </row>
    <row r="3724">
      <c r="A3724" s="41" t="n"/>
      <c r="B3724" s="37" t="n"/>
      <c r="C3724" s="37" t="n"/>
      <c r="D3724" s="39" t="str">
        <f>IF(C3724="","",IFERROR(INDEX(art_des,MATCH(C3724,art_ref,0))&amp;"","Référence inconnue"))</f>
        <v/>
      </c>
      <c r="E3724" s="37" t="n"/>
      <c r="F3724" s="39" t="str">
        <f>IF(C3724="","",IFERROR(INDEX(art_unit,MATCH(C3724,art_ref,0))&amp;"",""))</f>
        <v/>
      </c>
      <c r="G3724" s="37" t="n"/>
      <c r="H3724" s="37" t="n"/>
      <c r="I3724" s="37" t="n"/>
      <c r="J3724" s="40" t="str">
        <f>IF(OR(C3724="",NOT(ISNUMBER(E3724))),"",IFERROR(E3724*N(INDEX(art_price,MATCH(C3724,art_ref,0))),""))</f>
        <v/>
      </c>
      <c r="K3724" s="39" t="str">
        <f>IF(OR(C3724="",NOT(ISNUMBER(E3724))),"",IFERROR(ROUND(N(INDEX(art_init,MATCH(C3724,art_ref,0)))+SUMIFS($E$5:E3724,$C$5:C3724,C3724,$B$5:B3724,"Entrée")-SUMIFS($E$5:E3724,$C$5:C3724,C3724,$B$5:B3724,"Sortie"),6),""))</f>
        <v/>
      </c>
      <c r="L3724" s="39" t="str">
        <f>IF(COUNTA(A3724:C3724,E3724)=0,"",IF(COUNTA(A3724:C3724,E3724)&lt;4,"Ligne incomplète",IF(NOT(ISNUMBER(A3724)),"Date invalide",IF(AND(B3724&lt;&gt;"Entrée",B3724&lt;&gt;"Sortie"),"Type inconnu",IF(ISNA(MATCH(C3724,art_ref,0)),"Référence inconnue",IF(OR(NOT(ISNUMBER(E3724)),N(E3724)&lt;=0),"Quantité invalide",IF(K3724&lt;0,"Stock négatif",IF(AND(ISNUMBER(A3723),A3724&lt;A3723),"Date hors ordre","OK"))))))))</f>
        <v/>
      </c>
      <c r="M3724" s="39" t="str">
        <f>IF(C3724="","",C3724&amp;"#"&amp;COUNTIF($C$5:C3724,C3724))</f>
        <v/>
      </c>
    </row>
    <row r="3725">
      <c r="A3725" s="41" t="n"/>
      <c r="B3725" s="37" t="n"/>
      <c r="C3725" s="37" t="n"/>
      <c r="D3725" s="39" t="str">
        <f>IF(C3725="","",IFERROR(INDEX(art_des,MATCH(C3725,art_ref,0))&amp;"","Référence inconnue"))</f>
        <v/>
      </c>
      <c r="E3725" s="37" t="n"/>
      <c r="F3725" s="39" t="str">
        <f>IF(C3725="","",IFERROR(INDEX(art_unit,MATCH(C3725,art_ref,0))&amp;"",""))</f>
        <v/>
      </c>
      <c r="G3725" s="37" t="n"/>
      <c r="H3725" s="37" t="n"/>
      <c r="I3725" s="37" t="n"/>
      <c r="J3725" s="40" t="str">
        <f>IF(OR(C3725="",NOT(ISNUMBER(E3725))),"",IFERROR(E3725*N(INDEX(art_price,MATCH(C3725,art_ref,0))),""))</f>
        <v/>
      </c>
      <c r="K3725" s="39" t="str">
        <f>IF(OR(C3725="",NOT(ISNUMBER(E3725))),"",IFERROR(ROUND(N(INDEX(art_init,MATCH(C3725,art_ref,0)))+SUMIFS($E$5:E3725,$C$5:C3725,C3725,$B$5:B3725,"Entrée")-SUMIFS($E$5:E3725,$C$5:C3725,C3725,$B$5:B3725,"Sortie"),6),""))</f>
        <v/>
      </c>
      <c r="L3725" s="39" t="str">
        <f>IF(COUNTA(A3725:C3725,E3725)=0,"",IF(COUNTA(A3725:C3725,E3725)&lt;4,"Ligne incomplète",IF(NOT(ISNUMBER(A3725)),"Date invalide",IF(AND(B3725&lt;&gt;"Entrée",B3725&lt;&gt;"Sortie"),"Type inconnu",IF(ISNA(MATCH(C3725,art_ref,0)),"Référence inconnue",IF(OR(NOT(ISNUMBER(E3725)),N(E3725)&lt;=0),"Quantité invalide",IF(K3725&lt;0,"Stock négatif",IF(AND(ISNUMBER(A3724),A3725&lt;A3724),"Date hors ordre","OK"))))))))</f>
        <v/>
      </c>
      <c r="M3725" s="39" t="str">
        <f>IF(C3725="","",C3725&amp;"#"&amp;COUNTIF($C$5:C3725,C3725))</f>
        <v/>
      </c>
    </row>
    <row r="3726">
      <c r="A3726" s="41" t="n"/>
      <c r="B3726" s="37" t="n"/>
      <c r="C3726" s="37" t="n"/>
      <c r="D3726" s="39" t="str">
        <f>IF(C3726="","",IFERROR(INDEX(art_des,MATCH(C3726,art_ref,0))&amp;"","Référence inconnue"))</f>
        <v/>
      </c>
      <c r="E3726" s="37" t="n"/>
      <c r="F3726" s="39" t="str">
        <f>IF(C3726="","",IFERROR(INDEX(art_unit,MATCH(C3726,art_ref,0))&amp;"",""))</f>
        <v/>
      </c>
      <c r="G3726" s="37" t="n"/>
      <c r="H3726" s="37" t="n"/>
      <c r="I3726" s="37" t="n"/>
      <c r="J3726" s="40" t="str">
        <f>IF(OR(C3726="",NOT(ISNUMBER(E3726))),"",IFERROR(E3726*N(INDEX(art_price,MATCH(C3726,art_ref,0))),""))</f>
        <v/>
      </c>
      <c r="K3726" s="39" t="str">
        <f>IF(OR(C3726="",NOT(ISNUMBER(E3726))),"",IFERROR(ROUND(N(INDEX(art_init,MATCH(C3726,art_ref,0)))+SUMIFS($E$5:E3726,$C$5:C3726,C3726,$B$5:B3726,"Entrée")-SUMIFS($E$5:E3726,$C$5:C3726,C3726,$B$5:B3726,"Sortie"),6),""))</f>
        <v/>
      </c>
      <c r="L3726" s="39" t="str">
        <f>IF(COUNTA(A3726:C3726,E3726)=0,"",IF(COUNTA(A3726:C3726,E3726)&lt;4,"Ligne incomplète",IF(NOT(ISNUMBER(A3726)),"Date invalide",IF(AND(B3726&lt;&gt;"Entrée",B3726&lt;&gt;"Sortie"),"Type inconnu",IF(ISNA(MATCH(C3726,art_ref,0)),"Référence inconnue",IF(OR(NOT(ISNUMBER(E3726)),N(E3726)&lt;=0),"Quantité invalide",IF(K3726&lt;0,"Stock négatif",IF(AND(ISNUMBER(A3725),A3726&lt;A3725),"Date hors ordre","OK"))))))))</f>
        <v/>
      </c>
      <c r="M3726" s="39" t="str">
        <f>IF(C3726="","",C3726&amp;"#"&amp;COUNTIF($C$5:C3726,C3726))</f>
        <v/>
      </c>
    </row>
    <row r="3727">
      <c r="A3727" s="41" t="n"/>
      <c r="B3727" s="37" t="n"/>
      <c r="C3727" s="37" t="n"/>
      <c r="D3727" s="39" t="str">
        <f>IF(C3727="","",IFERROR(INDEX(art_des,MATCH(C3727,art_ref,0))&amp;"","Référence inconnue"))</f>
        <v/>
      </c>
      <c r="E3727" s="37" t="n"/>
      <c r="F3727" s="39" t="str">
        <f>IF(C3727="","",IFERROR(INDEX(art_unit,MATCH(C3727,art_ref,0))&amp;"",""))</f>
        <v/>
      </c>
      <c r="G3727" s="37" t="n"/>
      <c r="H3727" s="37" t="n"/>
      <c r="I3727" s="37" t="n"/>
      <c r="J3727" s="40" t="str">
        <f>IF(OR(C3727="",NOT(ISNUMBER(E3727))),"",IFERROR(E3727*N(INDEX(art_price,MATCH(C3727,art_ref,0))),""))</f>
        <v/>
      </c>
      <c r="K3727" s="39" t="str">
        <f>IF(OR(C3727="",NOT(ISNUMBER(E3727))),"",IFERROR(ROUND(N(INDEX(art_init,MATCH(C3727,art_ref,0)))+SUMIFS($E$5:E3727,$C$5:C3727,C3727,$B$5:B3727,"Entrée")-SUMIFS($E$5:E3727,$C$5:C3727,C3727,$B$5:B3727,"Sortie"),6),""))</f>
        <v/>
      </c>
      <c r="L3727" s="39" t="str">
        <f>IF(COUNTA(A3727:C3727,E3727)=0,"",IF(COUNTA(A3727:C3727,E3727)&lt;4,"Ligne incomplète",IF(NOT(ISNUMBER(A3727)),"Date invalide",IF(AND(B3727&lt;&gt;"Entrée",B3727&lt;&gt;"Sortie"),"Type inconnu",IF(ISNA(MATCH(C3727,art_ref,0)),"Référence inconnue",IF(OR(NOT(ISNUMBER(E3727)),N(E3727)&lt;=0),"Quantité invalide",IF(K3727&lt;0,"Stock négatif",IF(AND(ISNUMBER(A3726),A3727&lt;A3726),"Date hors ordre","OK"))))))))</f>
        <v/>
      </c>
      <c r="M3727" s="39" t="str">
        <f>IF(C3727="","",C3727&amp;"#"&amp;COUNTIF($C$5:C3727,C3727))</f>
        <v/>
      </c>
    </row>
    <row r="3728">
      <c r="A3728" s="41" t="n"/>
      <c r="B3728" s="37" t="n"/>
      <c r="C3728" s="37" t="n"/>
      <c r="D3728" s="39" t="str">
        <f>IF(C3728="","",IFERROR(INDEX(art_des,MATCH(C3728,art_ref,0))&amp;"","Référence inconnue"))</f>
        <v/>
      </c>
      <c r="E3728" s="37" t="n"/>
      <c r="F3728" s="39" t="str">
        <f>IF(C3728="","",IFERROR(INDEX(art_unit,MATCH(C3728,art_ref,0))&amp;"",""))</f>
        <v/>
      </c>
      <c r="G3728" s="37" t="n"/>
      <c r="H3728" s="37" t="n"/>
      <c r="I3728" s="37" t="n"/>
      <c r="J3728" s="40" t="str">
        <f>IF(OR(C3728="",NOT(ISNUMBER(E3728))),"",IFERROR(E3728*N(INDEX(art_price,MATCH(C3728,art_ref,0))),""))</f>
        <v/>
      </c>
      <c r="K3728" s="39" t="str">
        <f>IF(OR(C3728="",NOT(ISNUMBER(E3728))),"",IFERROR(ROUND(N(INDEX(art_init,MATCH(C3728,art_ref,0)))+SUMIFS($E$5:E3728,$C$5:C3728,C3728,$B$5:B3728,"Entrée")-SUMIFS($E$5:E3728,$C$5:C3728,C3728,$B$5:B3728,"Sortie"),6),""))</f>
        <v/>
      </c>
      <c r="L3728" s="39" t="str">
        <f>IF(COUNTA(A3728:C3728,E3728)=0,"",IF(COUNTA(A3728:C3728,E3728)&lt;4,"Ligne incomplète",IF(NOT(ISNUMBER(A3728)),"Date invalide",IF(AND(B3728&lt;&gt;"Entrée",B3728&lt;&gt;"Sortie"),"Type inconnu",IF(ISNA(MATCH(C3728,art_ref,0)),"Référence inconnue",IF(OR(NOT(ISNUMBER(E3728)),N(E3728)&lt;=0),"Quantité invalide",IF(K3728&lt;0,"Stock négatif",IF(AND(ISNUMBER(A3727),A3728&lt;A3727),"Date hors ordre","OK"))))))))</f>
        <v/>
      </c>
      <c r="M3728" s="39" t="str">
        <f>IF(C3728="","",C3728&amp;"#"&amp;COUNTIF($C$5:C3728,C3728))</f>
        <v/>
      </c>
    </row>
    <row r="3729">
      <c r="A3729" s="41" t="n"/>
      <c r="B3729" s="37" t="n"/>
      <c r="C3729" s="37" t="n"/>
      <c r="D3729" s="39" t="str">
        <f>IF(C3729="","",IFERROR(INDEX(art_des,MATCH(C3729,art_ref,0))&amp;"","Référence inconnue"))</f>
        <v/>
      </c>
      <c r="E3729" s="37" t="n"/>
      <c r="F3729" s="39" t="str">
        <f>IF(C3729="","",IFERROR(INDEX(art_unit,MATCH(C3729,art_ref,0))&amp;"",""))</f>
        <v/>
      </c>
      <c r="G3729" s="37" t="n"/>
      <c r="H3729" s="37" t="n"/>
      <c r="I3729" s="37" t="n"/>
      <c r="J3729" s="40" t="str">
        <f>IF(OR(C3729="",NOT(ISNUMBER(E3729))),"",IFERROR(E3729*N(INDEX(art_price,MATCH(C3729,art_ref,0))),""))</f>
        <v/>
      </c>
      <c r="K3729" s="39" t="str">
        <f>IF(OR(C3729="",NOT(ISNUMBER(E3729))),"",IFERROR(ROUND(N(INDEX(art_init,MATCH(C3729,art_ref,0)))+SUMIFS($E$5:E3729,$C$5:C3729,C3729,$B$5:B3729,"Entrée")-SUMIFS($E$5:E3729,$C$5:C3729,C3729,$B$5:B3729,"Sortie"),6),""))</f>
        <v/>
      </c>
      <c r="L3729" s="39" t="str">
        <f>IF(COUNTA(A3729:C3729,E3729)=0,"",IF(COUNTA(A3729:C3729,E3729)&lt;4,"Ligne incomplète",IF(NOT(ISNUMBER(A3729)),"Date invalide",IF(AND(B3729&lt;&gt;"Entrée",B3729&lt;&gt;"Sortie"),"Type inconnu",IF(ISNA(MATCH(C3729,art_ref,0)),"Référence inconnue",IF(OR(NOT(ISNUMBER(E3729)),N(E3729)&lt;=0),"Quantité invalide",IF(K3729&lt;0,"Stock négatif",IF(AND(ISNUMBER(A3728),A3729&lt;A3728),"Date hors ordre","OK"))))))))</f>
        <v/>
      </c>
      <c r="M3729" s="39" t="str">
        <f>IF(C3729="","",C3729&amp;"#"&amp;COUNTIF($C$5:C3729,C3729))</f>
        <v/>
      </c>
    </row>
    <row r="3730">
      <c r="A3730" s="41" t="n"/>
      <c r="B3730" s="37" t="n"/>
      <c r="C3730" s="37" t="n"/>
      <c r="D3730" s="39" t="str">
        <f>IF(C3730="","",IFERROR(INDEX(art_des,MATCH(C3730,art_ref,0))&amp;"","Référence inconnue"))</f>
        <v/>
      </c>
      <c r="E3730" s="37" t="n"/>
      <c r="F3730" s="39" t="str">
        <f>IF(C3730="","",IFERROR(INDEX(art_unit,MATCH(C3730,art_ref,0))&amp;"",""))</f>
        <v/>
      </c>
      <c r="G3730" s="37" t="n"/>
      <c r="H3730" s="37" t="n"/>
      <c r="I3730" s="37" t="n"/>
      <c r="J3730" s="40" t="str">
        <f>IF(OR(C3730="",NOT(ISNUMBER(E3730))),"",IFERROR(E3730*N(INDEX(art_price,MATCH(C3730,art_ref,0))),""))</f>
        <v/>
      </c>
      <c r="K3730" s="39" t="str">
        <f>IF(OR(C3730="",NOT(ISNUMBER(E3730))),"",IFERROR(ROUND(N(INDEX(art_init,MATCH(C3730,art_ref,0)))+SUMIFS($E$5:E3730,$C$5:C3730,C3730,$B$5:B3730,"Entrée")-SUMIFS($E$5:E3730,$C$5:C3730,C3730,$B$5:B3730,"Sortie"),6),""))</f>
        <v/>
      </c>
      <c r="L3730" s="39" t="str">
        <f>IF(COUNTA(A3730:C3730,E3730)=0,"",IF(COUNTA(A3730:C3730,E3730)&lt;4,"Ligne incomplète",IF(NOT(ISNUMBER(A3730)),"Date invalide",IF(AND(B3730&lt;&gt;"Entrée",B3730&lt;&gt;"Sortie"),"Type inconnu",IF(ISNA(MATCH(C3730,art_ref,0)),"Référence inconnue",IF(OR(NOT(ISNUMBER(E3730)),N(E3730)&lt;=0),"Quantité invalide",IF(K3730&lt;0,"Stock négatif",IF(AND(ISNUMBER(A3729),A3730&lt;A3729),"Date hors ordre","OK"))))))))</f>
        <v/>
      </c>
      <c r="M3730" s="39" t="str">
        <f>IF(C3730="","",C3730&amp;"#"&amp;COUNTIF($C$5:C3730,C3730))</f>
        <v/>
      </c>
    </row>
    <row r="3731">
      <c r="A3731" s="41" t="n"/>
      <c r="B3731" s="37" t="n"/>
      <c r="C3731" s="37" t="n"/>
      <c r="D3731" s="39" t="str">
        <f>IF(C3731="","",IFERROR(INDEX(art_des,MATCH(C3731,art_ref,0))&amp;"","Référence inconnue"))</f>
        <v/>
      </c>
      <c r="E3731" s="37" t="n"/>
      <c r="F3731" s="39" t="str">
        <f>IF(C3731="","",IFERROR(INDEX(art_unit,MATCH(C3731,art_ref,0))&amp;"",""))</f>
        <v/>
      </c>
      <c r="G3731" s="37" t="n"/>
      <c r="H3731" s="37" t="n"/>
      <c r="I3731" s="37" t="n"/>
      <c r="J3731" s="40" t="str">
        <f>IF(OR(C3731="",NOT(ISNUMBER(E3731))),"",IFERROR(E3731*N(INDEX(art_price,MATCH(C3731,art_ref,0))),""))</f>
        <v/>
      </c>
      <c r="K3731" s="39" t="str">
        <f>IF(OR(C3731="",NOT(ISNUMBER(E3731))),"",IFERROR(ROUND(N(INDEX(art_init,MATCH(C3731,art_ref,0)))+SUMIFS($E$5:E3731,$C$5:C3731,C3731,$B$5:B3731,"Entrée")-SUMIFS($E$5:E3731,$C$5:C3731,C3731,$B$5:B3731,"Sortie"),6),""))</f>
        <v/>
      </c>
      <c r="L3731" s="39" t="str">
        <f>IF(COUNTA(A3731:C3731,E3731)=0,"",IF(COUNTA(A3731:C3731,E3731)&lt;4,"Ligne incomplète",IF(NOT(ISNUMBER(A3731)),"Date invalide",IF(AND(B3731&lt;&gt;"Entrée",B3731&lt;&gt;"Sortie"),"Type inconnu",IF(ISNA(MATCH(C3731,art_ref,0)),"Référence inconnue",IF(OR(NOT(ISNUMBER(E3731)),N(E3731)&lt;=0),"Quantité invalide",IF(K3731&lt;0,"Stock négatif",IF(AND(ISNUMBER(A3730),A3731&lt;A3730),"Date hors ordre","OK"))))))))</f>
        <v/>
      </c>
      <c r="M3731" s="39" t="str">
        <f>IF(C3731="","",C3731&amp;"#"&amp;COUNTIF($C$5:C3731,C3731))</f>
        <v/>
      </c>
    </row>
    <row r="3732">
      <c r="A3732" s="41" t="n"/>
      <c r="B3732" s="37" t="n"/>
      <c r="C3732" s="37" t="n"/>
      <c r="D3732" s="39" t="str">
        <f>IF(C3732="","",IFERROR(INDEX(art_des,MATCH(C3732,art_ref,0))&amp;"","Référence inconnue"))</f>
        <v/>
      </c>
      <c r="E3732" s="37" t="n"/>
      <c r="F3732" s="39" t="str">
        <f>IF(C3732="","",IFERROR(INDEX(art_unit,MATCH(C3732,art_ref,0))&amp;"",""))</f>
        <v/>
      </c>
      <c r="G3732" s="37" t="n"/>
      <c r="H3732" s="37" t="n"/>
      <c r="I3732" s="37" t="n"/>
      <c r="J3732" s="40" t="str">
        <f>IF(OR(C3732="",NOT(ISNUMBER(E3732))),"",IFERROR(E3732*N(INDEX(art_price,MATCH(C3732,art_ref,0))),""))</f>
        <v/>
      </c>
      <c r="K3732" s="39" t="str">
        <f>IF(OR(C3732="",NOT(ISNUMBER(E3732))),"",IFERROR(ROUND(N(INDEX(art_init,MATCH(C3732,art_ref,0)))+SUMIFS($E$5:E3732,$C$5:C3732,C3732,$B$5:B3732,"Entrée")-SUMIFS($E$5:E3732,$C$5:C3732,C3732,$B$5:B3732,"Sortie"),6),""))</f>
        <v/>
      </c>
      <c r="L3732" s="39" t="str">
        <f>IF(COUNTA(A3732:C3732,E3732)=0,"",IF(COUNTA(A3732:C3732,E3732)&lt;4,"Ligne incomplète",IF(NOT(ISNUMBER(A3732)),"Date invalide",IF(AND(B3732&lt;&gt;"Entrée",B3732&lt;&gt;"Sortie"),"Type inconnu",IF(ISNA(MATCH(C3732,art_ref,0)),"Référence inconnue",IF(OR(NOT(ISNUMBER(E3732)),N(E3732)&lt;=0),"Quantité invalide",IF(K3732&lt;0,"Stock négatif",IF(AND(ISNUMBER(A3731),A3732&lt;A3731),"Date hors ordre","OK"))))))))</f>
        <v/>
      </c>
      <c r="M3732" s="39" t="str">
        <f>IF(C3732="","",C3732&amp;"#"&amp;COUNTIF($C$5:C3732,C3732))</f>
        <v/>
      </c>
    </row>
    <row r="3733">
      <c r="A3733" s="41" t="n"/>
      <c r="B3733" s="37" t="n"/>
      <c r="C3733" s="37" t="n"/>
      <c r="D3733" s="39" t="str">
        <f>IF(C3733="","",IFERROR(INDEX(art_des,MATCH(C3733,art_ref,0))&amp;"","Référence inconnue"))</f>
        <v/>
      </c>
      <c r="E3733" s="37" t="n"/>
      <c r="F3733" s="39" t="str">
        <f>IF(C3733="","",IFERROR(INDEX(art_unit,MATCH(C3733,art_ref,0))&amp;"",""))</f>
        <v/>
      </c>
      <c r="G3733" s="37" t="n"/>
      <c r="H3733" s="37" t="n"/>
      <c r="I3733" s="37" t="n"/>
      <c r="J3733" s="40" t="str">
        <f>IF(OR(C3733="",NOT(ISNUMBER(E3733))),"",IFERROR(E3733*N(INDEX(art_price,MATCH(C3733,art_ref,0))),""))</f>
        <v/>
      </c>
      <c r="K3733" s="39" t="str">
        <f>IF(OR(C3733="",NOT(ISNUMBER(E3733))),"",IFERROR(ROUND(N(INDEX(art_init,MATCH(C3733,art_ref,0)))+SUMIFS($E$5:E3733,$C$5:C3733,C3733,$B$5:B3733,"Entrée")-SUMIFS($E$5:E3733,$C$5:C3733,C3733,$B$5:B3733,"Sortie"),6),""))</f>
        <v/>
      </c>
      <c r="L3733" s="39" t="str">
        <f>IF(COUNTA(A3733:C3733,E3733)=0,"",IF(COUNTA(A3733:C3733,E3733)&lt;4,"Ligne incomplète",IF(NOT(ISNUMBER(A3733)),"Date invalide",IF(AND(B3733&lt;&gt;"Entrée",B3733&lt;&gt;"Sortie"),"Type inconnu",IF(ISNA(MATCH(C3733,art_ref,0)),"Référence inconnue",IF(OR(NOT(ISNUMBER(E3733)),N(E3733)&lt;=0),"Quantité invalide",IF(K3733&lt;0,"Stock négatif",IF(AND(ISNUMBER(A3732),A3733&lt;A3732),"Date hors ordre","OK"))))))))</f>
        <v/>
      </c>
      <c r="M3733" s="39" t="str">
        <f>IF(C3733="","",C3733&amp;"#"&amp;COUNTIF($C$5:C3733,C3733))</f>
        <v/>
      </c>
    </row>
    <row r="3734">
      <c r="A3734" s="41" t="n"/>
      <c r="B3734" s="37" t="n"/>
      <c r="C3734" s="37" t="n"/>
      <c r="D3734" s="39" t="str">
        <f>IF(C3734="","",IFERROR(INDEX(art_des,MATCH(C3734,art_ref,0))&amp;"","Référence inconnue"))</f>
        <v/>
      </c>
      <c r="E3734" s="37" t="n"/>
      <c r="F3734" s="39" t="str">
        <f>IF(C3734="","",IFERROR(INDEX(art_unit,MATCH(C3734,art_ref,0))&amp;"",""))</f>
        <v/>
      </c>
      <c r="G3734" s="37" t="n"/>
      <c r="H3734" s="37" t="n"/>
      <c r="I3734" s="37" t="n"/>
      <c r="J3734" s="40" t="str">
        <f>IF(OR(C3734="",NOT(ISNUMBER(E3734))),"",IFERROR(E3734*N(INDEX(art_price,MATCH(C3734,art_ref,0))),""))</f>
        <v/>
      </c>
      <c r="K3734" s="39" t="str">
        <f>IF(OR(C3734="",NOT(ISNUMBER(E3734))),"",IFERROR(ROUND(N(INDEX(art_init,MATCH(C3734,art_ref,0)))+SUMIFS($E$5:E3734,$C$5:C3734,C3734,$B$5:B3734,"Entrée")-SUMIFS($E$5:E3734,$C$5:C3734,C3734,$B$5:B3734,"Sortie"),6),""))</f>
        <v/>
      </c>
      <c r="L3734" s="39" t="str">
        <f>IF(COUNTA(A3734:C3734,E3734)=0,"",IF(COUNTA(A3734:C3734,E3734)&lt;4,"Ligne incomplète",IF(NOT(ISNUMBER(A3734)),"Date invalide",IF(AND(B3734&lt;&gt;"Entrée",B3734&lt;&gt;"Sortie"),"Type inconnu",IF(ISNA(MATCH(C3734,art_ref,0)),"Référence inconnue",IF(OR(NOT(ISNUMBER(E3734)),N(E3734)&lt;=0),"Quantité invalide",IF(K3734&lt;0,"Stock négatif",IF(AND(ISNUMBER(A3733),A3734&lt;A3733),"Date hors ordre","OK"))))))))</f>
        <v/>
      </c>
      <c r="M3734" s="39" t="str">
        <f>IF(C3734="","",C3734&amp;"#"&amp;COUNTIF($C$5:C3734,C3734))</f>
        <v/>
      </c>
    </row>
    <row r="3735">
      <c r="A3735" s="41" t="n"/>
      <c r="B3735" s="37" t="n"/>
      <c r="C3735" s="37" t="n"/>
      <c r="D3735" s="39" t="str">
        <f>IF(C3735="","",IFERROR(INDEX(art_des,MATCH(C3735,art_ref,0))&amp;"","Référence inconnue"))</f>
        <v/>
      </c>
      <c r="E3735" s="37" t="n"/>
      <c r="F3735" s="39" t="str">
        <f>IF(C3735="","",IFERROR(INDEX(art_unit,MATCH(C3735,art_ref,0))&amp;"",""))</f>
        <v/>
      </c>
      <c r="G3735" s="37" t="n"/>
      <c r="H3735" s="37" t="n"/>
      <c r="I3735" s="37" t="n"/>
      <c r="J3735" s="40" t="str">
        <f>IF(OR(C3735="",NOT(ISNUMBER(E3735))),"",IFERROR(E3735*N(INDEX(art_price,MATCH(C3735,art_ref,0))),""))</f>
        <v/>
      </c>
      <c r="K3735" s="39" t="str">
        <f>IF(OR(C3735="",NOT(ISNUMBER(E3735))),"",IFERROR(ROUND(N(INDEX(art_init,MATCH(C3735,art_ref,0)))+SUMIFS($E$5:E3735,$C$5:C3735,C3735,$B$5:B3735,"Entrée")-SUMIFS($E$5:E3735,$C$5:C3735,C3735,$B$5:B3735,"Sortie"),6),""))</f>
        <v/>
      </c>
      <c r="L3735" s="39" t="str">
        <f>IF(COUNTA(A3735:C3735,E3735)=0,"",IF(COUNTA(A3735:C3735,E3735)&lt;4,"Ligne incomplète",IF(NOT(ISNUMBER(A3735)),"Date invalide",IF(AND(B3735&lt;&gt;"Entrée",B3735&lt;&gt;"Sortie"),"Type inconnu",IF(ISNA(MATCH(C3735,art_ref,0)),"Référence inconnue",IF(OR(NOT(ISNUMBER(E3735)),N(E3735)&lt;=0),"Quantité invalide",IF(K3735&lt;0,"Stock négatif",IF(AND(ISNUMBER(A3734),A3735&lt;A3734),"Date hors ordre","OK"))))))))</f>
        <v/>
      </c>
      <c r="M3735" s="39" t="str">
        <f>IF(C3735="","",C3735&amp;"#"&amp;COUNTIF($C$5:C3735,C3735))</f>
        <v/>
      </c>
    </row>
    <row r="3736">
      <c r="A3736" s="41" t="n"/>
      <c r="B3736" s="37" t="n"/>
      <c r="C3736" s="37" t="n"/>
      <c r="D3736" s="39" t="str">
        <f>IF(C3736="","",IFERROR(INDEX(art_des,MATCH(C3736,art_ref,0))&amp;"","Référence inconnue"))</f>
        <v/>
      </c>
      <c r="E3736" s="37" t="n"/>
      <c r="F3736" s="39" t="str">
        <f>IF(C3736="","",IFERROR(INDEX(art_unit,MATCH(C3736,art_ref,0))&amp;"",""))</f>
        <v/>
      </c>
      <c r="G3736" s="37" t="n"/>
      <c r="H3736" s="37" t="n"/>
      <c r="I3736" s="37" t="n"/>
      <c r="J3736" s="40" t="str">
        <f>IF(OR(C3736="",NOT(ISNUMBER(E3736))),"",IFERROR(E3736*N(INDEX(art_price,MATCH(C3736,art_ref,0))),""))</f>
        <v/>
      </c>
      <c r="K3736" s="39" t="str">
        <f>IF(OR(C3736="",NOT(ISNUMBER(E3736))),"",IFERROR(ROUND(N(INDEX(art_init,MATCH(C3736,art_ref,0)))+SUMIFS($E$5:E3736,$C$5:C3736,C3736,$B$5:B3736,"Entrée")-SUMIFS($E$5:E3736,$C$5:C3736,C3736,$B$5:B3736,"Sortie"),6),""))</f>
        <v/>
      </c>
      <c r="L3736" s="39" t="str">
        <f>IF(COUNTA(A3736:C3736,E3736)=0,"",IF(COUNTA(A3736:C3736,E3736)&lt;4,"Ligne incomplète",IF(NOT(ISNUMBER(A3736)),"Date invalide",IF(AND(B3736&lt;&gt;"Entrée",B3736&lt;&gt;"Sortie"),"Type inconnu",IF(ISNA(MATCH(C3736,art_ref,0)),"Référence inconnue",IF(OR(NOT(ISNUMBER(E3736)),N(E3736)&lt;=0),"Quantité invalide",IF(K3736&lt;0,"Stock négatif",IF(AND(ISNUMBER(A3735),A3736&lt;A3735),"Date hors ordre","OK"))))))))</f>
        <v/>
      </c>
      <c r="M3736" s="39" t="str">
        <f>IF(C3736="","",C3736&amp;"#"&amp;COUNTIF($C$5:C3736,C3736))</f>
        <v/>
      </c>
    </row>
    <row r="3737">
      <c r="A3737" s="41" t="n"/>
      <c r="B3737" s="37" t="n"/>
      <c r="C3737" s="37" t="n"/>
      <c r="D3737" s="39" t="str">
        <f>IF(C3737="","",IFERROR(INDEX(art_des,MATCH(C3737,art_ref,0))&amp;"","Référence inconnue"))</f>
        <v/>
      </c>
      <c r="E3737" s="37" t="n"/>
      <c r="F3737" s="39" t="str">
        <f>IF(C3737="","",IFERROR(INDEX(art_unit,MATCH(C3737,art_ref,0))&amp;"",""))</f>
        <v/>
      </c>
      <c r="G3737" s="37" t="n"/>
      <c r="H3737" s="37" t="n"/>
      <c r="I3737" s="37" t="n"/>
      <c r="J3737" s="40" t="str">
        <f>IF(OR(C3737="",NOT(ISNUMBER(E3737))),"",IFERROR(E3737*N(INDEX(art_price,MATCH(C3737,art_ref,0))),""))</f>
        <v/>
      </c>
      <c r="K3737" s="39" t="str">
        <f>IF(OR(C3737="",NOT(ISNUMBER(E3737))),"",IFERROR(ROUND(N(INDEX(art_init,MATCH(C3737,art_ref,0)))+SUMIFS($E$5:E3737,$C$5:C3737,C3737,$B$5:B3737,"Entrée")-SUMIFS($E$5:E3737,$C$5:C3737,C3737,$B$5:B3737,"Sortie"),6),""))</f>
        <v/>
      </c>
      <c r="L3737" s="39" t="str">
        <f>IF(COUNTA(A3737:C3737,E3737)=0,"",IF(COUNTA(A3737:C3737,E3737)&lt;4,"Ligne incomplète",IF(NOT(ISNUMBER(A3737)),"Date invalide",IF(AND(B3737&lt;&gt;"Entrée",B3737&lt;&gt;"Sortie"),"Type inconnu",IF(ISNA(MATCH(C3737,art_ref,0)),"Référence inconnue",IF(OR(NOT(ISNUMBER(E3737)),N(E3737)&lt;=0),"Quantité invalide",IF(K3737&lt;0,"Stock négatif",IF(AND(ISNUMBER(A3736),A3737&lt;A3736),"Date hors ordre","OK"))))))))</f>
        <v/>
      </c>
      <c r="M3737" s="39" t="str">
        <f>IF(C3737="","",C3737&amp;"#"&amp;COUNTIF($C$5:C3737,C3737))</f>
        <v/>
      </c>
    </row>
    <row r="3738">
      <c r="A3738" s="41" t="n"/>
      <c r="B3738" s="37" t="n"/>
      <c r="C3738" s="37" t="n"/>
      <c r="D3738" s="39" t="str">
        <f>IF(C3738="","",IFERROR(INDEX(art_des,MATCH(C3738,art_ref,0))&amp;"","Référence inconnue"))</f>
        <v/>
      </c>
      <c r="E3738" s="37" t="n"/>
      <c r="F3738" s="39" t="str">
        <f>IF(C3738="","",IFERROR(INDEX(art_unit,MATCH(C3738,art_ref,0))&amp;"",""))</f>
        <v/>
      </c>
      <c r="G3738" s="37" t="n"/>
      <c r="H3738" s="37" t="n"/>
      <c r="I3738" s="37" t="n"/>
      <c r="J3738" s="40" t="str">
        <f>IF(OR(C3738="",NOT(ISNUMBER(E3738))),"",IFERROR(E3738*N(INDEX(art_price,MATCH(C3738,art_ref,0))),""))</f>
        <v/>
      </c>
      <c r="K3738" s="39" t="str">
        <f>IF(OR(C3738="",NOT(ISNUMBER(E3738))),"",IFERROR(ROUND(N(INDEX(art_init,MATCH(C3738,art_ref,0)))+SUMIFS($E$5:E3738,$C$5:C3738,C3738,$B$5:B3738,"Entrée")-SUMIFS($E$5:E3738,$C$5:C3738,C3738,$B$5:B3738,"Sortie"),6),""))</f>
        <v/>
      </c>
      <c r="L3738" s="39" t="str">
        <f>IF(COUNTA(A3738:C3738,E3738)=0,"",IF(COUNTA(A3738:C3738,E3738)&lt;4,"Ligne incomplète",IF(NOT(ISNUMBER(A3738)),"Date invalide",IF(AND(B3738&lt;&gt;"Entrée",B3738&lt;&gt;"Sortie"),"Type inconnu",IF(ISNA(MATCH(C3738,art_ref,0)),"Référence inconnue",IF(OR(NOT(ISNUMBER(E3738)),N(E3738)&lt;=0),"Quantité invalide",IF(K3738&lt;0,"Stock négatif",IF(AND(ISNUMBER(A3737),A3738&lt;A3737),"Date hors ordre","OK"))))))))</f>
        <v/>
      </c>
      <c r="M3738" s="39" t="str">
        <f>IF(C3738="","",C3738&amp;"#"&amp;COUNTIF($C$5:C3738,C3738))</f>
        <v/>
      </c>
    </row>
    <row r="3739">
      <c r="A3739" s="41" t="n"/>
      <c r="B3739" s="37" t="n"/>
      <c r="C3739" s="37" t="n"/>
      <c r="D3739" s="39" t="str">
        <f>IF(C3739="","",IFERROR(INDEX(art_des,MATCH(C3739,art_ref,0))&amp;"","Référence inconnue"))</f>
        <v/>
      </c>
      <c r="E3739" s="37" t="n"/>
      <c r="F3739" s="39" t="str">
        <f>IF(C3739="","",IFERROR(INDEX(art_unit,MATCH(C3739,art_ref,0))&amp;"",""))</f>
        <v/>
      </c>
      <c r="G3739" s="37" t="n"/>
      <c r="H3739" s="37" t="n"/>
      <c r="I3739" s="37" t="n"/>
      <c r="J3739" s="40" t="str">
        <f>IF(OR(C3739="",NOT(ISNUMBER(E3739))),"",IFERROR(E3739*N(INDEX(art_price,MATCH(C3739,art_ref,0))),""))</f>
        <v/>
      </c>
      <c r="K3739" s="39" t="str">
        <f>IF(OR(C3739="",NOT(ISNUMBER(E3739))),"",IFERROR(ROUND(N(INDEX(art_init,MATCH(C3739,art_ref,0)))+SUMIFS($E$5:E3739,$C$5:C3739,C3739,$B$5:B3739,"Entrée")-SUMIFS($E$5:E3739,$C$5:C3739,C3739,$B$5:B3739,"Sortie"),6),""))</f>
        <v/>
      </c>
      <c r="L3739" s="39" t="str">
        <f>IF(COUNTA(A3739:C3739,E3739)=0,"",IF(COUNTA(A3739:C3739,E3739)&lt;4,"Ligne incomplète",IF(NOT(ISNUMBER(A3739)),"Date invalide",IF(AND(B3739&lt;&gt;"Entrée",B3739&lt;&gt;"Sortie"),"Type inconnu",IF(ISNA(MATCH(C3739,art_ref,0)),"Référence inconnue",IF(OR(NOT(ISNUMBER(E3739)),N(E3739)&lt;=0),"Quantité invalide",IF(K3739&lt;0,"Stock négatif",IF(AND(ISNUMBER(A3738),A3739&lt;A3738),"Date hors ordre","OK"))))))))</f>
        <v/>
      </c>
      <c r="M3739" s="39" t="str">
        <f>IF(C3739="","",C3739&amp;"#"&amp;COUNTIF($C$5:C3739,C3739))</f>
        <v/>
      </c>
    </row>
    <row r="3740">
      <c r="A3740" s="41" t="n"/>
      <c r="B3740" s="37" t="n"/>
      <c r="C3740" s="37" t="n"/>
      <c r="D3740" s="39" t="str">
        <f>IF(C3740="","",IFERROR(INDEX(art_des,MATCH(C3740,art_ref,0))&amp;"","Référence inconnue"))</f>
        <v/>
      </c>
      <c r="E3740" s="37" t="n"/>
      <c r="F3740" s="39" t="str">
        <f>IF(C3740="","",IFERROR(INDEX(art_unit,MATCH(C3740,art_ref,0))&amp;"",""))</f>
        <v/>
      </c>
      <c r="G3740" s="37" t="n"/>
      <c r="H3740" s="37" t="n"/>
      <c r="I3740" s="37" t="n"/>
      <c r="J3740" s="40" t="str">
        <f>IF(OR(C3740="",NOT(ISNUMBER(E3740))),"",IFERROR(E3740*N(INDEX(art_price,MATCH(C3740,art_ref,0))),""))</f>
        <v/>
      </c>
      <c r="K3740" s="39" t="str">
        <f>IF(OR(C3740="",NOT(ISNUMBER(E3740))),"",IFERROR(ROUND(N(INDEX(art_init,MATCH(C3740,art_ref,0)))+SUMIFS($E$5:E3740,$C$5:C3740,C3740,$B$5:B3740,"Entrée")-SUMIFS($E$5:E3740,$C$5:C3740,C3740,$B$5:B3740,"Sortie"),6),""))</f>
        <v/>
      </c>
      <c r="L3740" s="39" t="str">
        <f>IF(COUNTA(A3740:C3740,E3740)=0,"",IF(COUNTA(A3740:C3740,E3740)&lt;4,"Ligne incomplète",IF(NOT(ISNUMBER(A3740)),"Date invalide",IF(AND(B3740&lt;&gt;"Entrée",B3740&lt;&gt;"Sortie"),"Type inconnu",IF(ISNA(MATCH(C3740,art_ref,0)),"Référence inconnue",IF(OR(NOT(ISNUMBER(E3740)),N(E3740)&lt;=0),"Quantité invalide",IF(K3740&lt;0,"Stock négatif",IF(AND(ISNUMBER(A3739),A3740&lt;A3739),"Date hors ordre","OK"))))))))</f>
        <v/>
      </c>
      <c r="M3740" s="39" t="str">
        <f>IF(C3740="","",C3740&amp;"#"&amp;COUNTIF($C$5:C3740,C3740))</f>
        <v/>
      </c>
    </row>
    <row r="3741">
      <c r="A3741" s="41" t="n"/>
      <c r="B3741" s="37" t="n"/>
      <c r="C3741" s="37" t="n"/>
      <c r="D3741" s="39" t="str">
        <f>IF(C3741="","",IFERROR(INDEX(art_des,MATCH(C3741,art_ref,0))&amp;"","Référence inconnue"))</f>
        <v/>
      </c>
      <c r="E3741" s="37" t="n"/>
      <c r="F3741" s="39" t="str">
        <f>IF(C3741="","",IFERROR(INDEX(art_unit,MATCH(C3741,art_ref,0))&amp;"",""))</f>
        <v/>
      </c>
      <c r="G3741" s="37" t="n"/>
      <c r="H3741" s="37" t="n"/>
      <c r="I3741" s="37" t="n"/>
      <c r="J3741" s="40" t="str">
        <f>IF(OR(C3741="",NOT(ISNUMBER(E3741))),"",IFERROR(E3741*N(INDEX(art_price,MATCH(C3741,art_ref,0))),""))</f>
        <v/>
      </c>
      <c r="K3741" s="39" t="str">
        <f>IF(OR(C3741="",NOT(ISNUMBER(E3741))),"",IFERROR(ROUND(N(INDEX(art_init,MATCH(C3741,art_ref,0)))+SUMIFS($E$5:E3741,$C$5:C3741,C3741,$B$5:B3741,"Entrée")-SUMIFS($E$5:E3741,$C$5:C3741,C3741,$B$5:B3741,"Sortie"),6),""))</f>
        <v/>
      </c>
      <c r="L3741" s="39" t="str">
        <f>IF(COUNTA(A3741:C3741,E3741)=0,"",IF(COUNTA(A3741:C3741,E3741)&lt;4,"Ligne incomplète",IF(NOT(ISNUMBER(A3741)),"Date invalide",IF(AND(B3741&lt;&gt;"Entrée",B3741&lt;&gt;"Sortie"),"Type inconnu",IF(ISNA(MATCH(C3741,art_ref,0)),"Référence inconnue",IF(OR(NOT(ISNUMBER(E3741)),N(E3741)&lt;=0),"Quantité invalide",IF(K3741&lt;0,"Stock négatif",IF(AND(ISNUMBER(A3740),A3741&lt;A3740),"Date hors ordre","OK"))))))))</f>
        <v/>
      </c>
      <c r="M3741" s="39" t="str">
        <f>IF(C3741="","",C3741&amp;"#"&amp;COUNTIF($C$5:C3741,C3741))</f>
        <v/>
      </c>
    </row>
    <row r="3742">
      <c r="A3742" s="41" t="n"/>
      <c r="B3742" s="37" t="n"/>
      <c r="C3742" s="37" t="n"/>
      <c r="D3742" s="39" t="str">
        <f>IF(C3742="","",IFERROR(INDEX(art_des,MATCH(C3742,art_ref,0))&amp;"","Référence inconnue"))</f>
        <v/>
      </c>
      <c r="E3742" s="37" t="n"/>
      <c r="F3742" s="39" t="str">
        <f>IF(C3742="","",IFERROR(INDEX(art_unit,MATCH(C3742,art_ref,0))&amp;"",""))</f>
        <v/>
      </c>
      <c r="G3742" s="37" t="n"/>
      <c r="H3742" s="37" t="n"/>
      <c r="I3742" s="37" t="n"/>
      <c r="J3742" s="40" t="str">
        <f>IF(OR(C3742="",NOT(ISNUMBER(E3742))),"",IFERROR(E3742*N(INDEX(art_price,MATCH(C3742,art_ref,0))),""))</f>
        <v/>
      </c>
      <c r="K3742" s="39" t="str">
        <f>IF(OR(C3742="",NOT(ISNUMBER(E3742))),"",IFERROR(ROUND(N(INDEX(art_init,MATCH(C3742,art_ref,0)))+SUMIFS($E$5:E3742,$C$5:C3742,C3742,$B$5:B3742,"Entrée")-SUMIFS($E$5:E3742,$C$5:C3742,C3742,$B$5:B3742,"Sortie"),6),""))</f>
        <v/>
      </c>
      <c r="L3742" s="39" t="str">
        <f>IF(COUNTA(A3742:C3742,E3742)=0,"",IF(COUNTA(A3742:C3742,E3742)&lt;4,"Ligne incomplète",IF(NOT(ISNUMBER(A3742)),"Date invalide",IF(AND(B3742&lt;&gt;"Entrée",B3742&lt;&gt;"Sortie"),"Type inconnu",IF(ISNA(MATCH(C3742,art_ref,0)),"Référence inconnue",IF(OR(NOT(ISNUMBER(E3742)),N(E3742)&lt;=0),"Quantité invalide",IF(K3742&lt;0,"Stock négatif",IF(AND(ISNUMBER(A3741),A3742&lt;A3741),"Date hors ordre","OK"))))))))</f>
        <v/>
      </c>
      <c r="M3742" s="39" t="str">
        <f>IF(C3742="","",C3742&amp;"#"&amp;COUNTIF($C$5:C3742,C3742))</f>
        <v/>
      </c>
    </row>
    <row r="3743">
      <c r="A3743" s="41" t="n"/>
      <c r="B3743" s="37" t="n"/>
      <c r="C3743" s="37" t="n"/>
      <c r="D3743" s="39" t="str">
        <f>IF(C3743="","",IFERROR(INDEX(art_des,MATCH(C3743,art_ref,0))&amp;"","Référence inconnue"))</f>
        <v/>
      </c>
      <c r="E3743" s="37" t="n"/>
      <c r="F3743" s="39" t="str">
        <f>IF(C3743="","",IFERROR(INDEX(art_unit,MATCH(C3743,art_ref,0))&amp;"",""))</f>
        <v/>
      </c>
      <c r="G3743" s="37" t="n"/>
      <c r="H3743" s="37" t="n"/>
      <c r="I3743" s="37" t="n"/>
      <c r="J3743" s="40" t="str">
        <f>IF(OR(C3743="",NOT(ISNUMBER(E3743))),"",IFERROR(E3743*N(INDEX(art_price,MATCH(C3743,art_ref,0))),""))</f>
        <v/>
      </c>
      <c r="K3743" s="39" t="str">
        <f>IF(OR(C3743="",NOT(ISNUMBER(E3743))),"",IFERROR(ROUND(N(INDEX(art_init,MATCH(C3743,art_ref,0)))+SUMIFS($E$5:E3743,$C$5:C3743,C3743,$B$5:B3743,"Entrée")-SUMIFS($E$5:E3743,$C$5:C3743,C3743,$B$5:B3743,"Sortie"),6),""))</f>
        <v/>
      </c>
      <c r="L3743" s="39" t="str">
        <f>IF(COUNTA(A3743:C3743,E3743)=0,"",IF(COUNTA(A3743:C3743,E3743)&lt;4,"Ligne incomplète",IF(NOT(ISNUMBER(A3743)),"Date invalide",IF(AND(B3743&lt;&gt;"Entrée",B3743&lt;&gt;"Sortie"),"Type inconnu",IF(ISNA(MATCH(C3743,art_ref,0)),"Référence inconnue",IF(OR(NOT(ISNUMBER(E3743)),N(E3743)&lt;=0),"Quantité invalide",IF(K3743&lt;0,"Stock négatif",IF(AND(ISNUMBER(A3742),A3743&lt;A3742),"Date hors ordre","OK"))))))))</f>
        <v/>
      </c>
      <c r="M3743" s="39" t="str">
        <f>IF(C3743="","",C3743&amp;"#"&amp;COUNTIF($C$5:C3743,C3743))</f>
        <v/>
      </c>
    </row>
    <row r="3744">
      <c r="A3744" s="41" t="n"/>
      <c r="B3744" s="37" t="n"/>
      <c r="C3744" s="37" t="n"/>
      <c r="D3744" s="39" t="str">
        <f>IF(C3744="","",IFERROR(INDEX(art_des,MATCH(C3744,art_ref,0))&amp;"","Référence inconnue"))</f>
        <v/>
      </c>
      <c r="E3744" s="37" t="n"/>
      <c r="F3744" s="39" t="str">
        <f>IF(C3744="","",IFERROR(INDEX(art_unit,MATCH(C3744,art_ref,0))&amp;"",""))</f>
        <v/>
      </c>
      <c r="G3744" s="37" t="n"/>
      <c r="H3744" s="37" t="n"/>
      <c r="I3744" s="37" t="n"/>
      <c r="J3744" s="40" t="str">
        <f>IF(OR(C3744="",NOT(ISNUMBER(E3744))),"",IFERROR(E3744*N(INDEX(art_price,MATCH(C3744,art_ref,0))),""))</f>
        <v/>
      </c>
      <c r="K3744" s="39" t="str">
        <f>IF(OR(C3744="",NOT(ISNUMBER(E3744))),"",IFERROR(ROUND(N(INDEX(art_init,MATCH(C3744,art_ref,0)))+SUMIFS($E$5:E3744,$C$5:C3744,C3744,$B$5:B3744,"Entrée")-SUMIFS($E$5:E3744,$C$5:C3744,C3744,$B$5:B3744,"Sortie"),6),""))</f>
        <v/>
      </c>
      <c r="L3744" s="39" t="str">
        <f>IF(COUNTA(A3744:C3744,E3744)=0,"",IF(COUNTA(A3744:C3744,E3744)&lt;4,"Ligne incomplète",IF(NOT(ISNUMBER(A3744)),"Date invalide",IF(AND(B3744&lt;&gt;"Entrée",B3744&lt;&gt;"Sortie"),"Type inconnu",IF(ISNA(MATCH(C3744,art_ref,0)),"Référence inconnue",IF(OR(NOT(ISNUMBER(E3744)),N(E3744)&lt;=0),"Quantité invalide",IF(K3744&lt;0,"Stock négatif",IF(AND(ISNUMBER(A3743),A3744&lt;A3743),"Date hors ordre","OK"))))))))</f>
        <v/>
      </c>
      <c r="M3744" s="39" t="str">
        <f>IF(C3744="","",C3744&amp;"#"&amp;COUNTIF($C$5:C3744,C3744))</f>
        <v/>
      </c>
    </row>
    <row r="3745">
      <c r="A3745" s="41" t="n"/>
      <c r="B3745" s="37" t="n"/>
      <c r="C3745" s="37" t="n"/>
      <c r="D3745" s="39" t="str">
        <f>IF(C3745="","",IFERROR(INDEX(art_des,MATCH(C3745,art_ref,0))&amp;"","Référence inconnue"))</f>
        <v/>
      </c>
      <c r="E3745" s="37" t="n"/>
      <c r="F3745" s="39" t="str">
        <f>IF(C3745="","",IFERROR(INDEX(art_unit,MATCH(C3745,art_ref,0))&amp;"",""))</f>
        <v/>
      </c>
      <c r="G3745" s="37" t="n"/>
      <c r="H3745" s="37" t="n"/>
      <c r="I3745" s="37" t="n"/>
      <c r="J3745" s="40" t="str">
        <f>IF(OR(C3745="",NOT(ISNUMBER(E3745))),"",IFERROR(E3745*N(INDEX(art_price,MATCH(C3745,art_ref,0))),""))</f>
        <v/>
      </c>
      <c r="K3745" s="39" t="str">
        <f>IF(OR(C3745="",NOT(ISNUMBER(E3745))),"",IFERROR(ROUND(N(INDEX(art_init,MATCH(C3745,art_ref,0)))+SUMIFS($E$5:E3745,$C$5:C3745,C3745,$B$5:B3745,"Entrée")-SUMIFS($E$5:E3745,$C$5:C3745,C3745,$B$5:B3745,"Sortie"),6),""))</f>
        <v/>
      </c>
      <c r="L3745" s="39" t="str">
        <f>IF(COUNTA(A3745:C3745,E3745)=0,"",IF(COUNTA(A3745:C3745,E3745)&lt;4,"Ligne incomplète",IF(NOT(ISNUMBER(A3745)),"Date invalide",IF(AND(B3745&lt;&gt;"Entrée",B3745&lt;&gt;"Sortie"),"Type inconnu",IF(ISNA(MATCH(C3745,art_ref,0)),"Référence inconnue",IF(OR(NOT(ISNUMBER(E3745)),N(E3745)&lt;=0),"Quantité invalide",IF(K3745&lt;0,"Stock négatif",IF(AND(ISNUMBER(A3744),A3745&lt;A3744),"Date hors ordre","OK"))))))))</f>
        <v/>
      </c>
      <c r="M3745" s="39" t="str">
        <f>IF(C3745="","",C3745&amp;"#"&amp;COUNTIF($C$5:C3745,C3745))</f>
        <v/>
      </c>
    </row>
    <row r="3746">
      <c r="A3746" s="41" t="n"/>
      <c r="B3746" s="37" t="n"/>
      <c r="C3746" s="37" t="n"/>
      <c r="D3746" s="39" t="str">
        <f>IF(C3746="","",IFERROR(INDEX(art_des,MATCH(C3746,art_ref,0))&amp;"","Référence inconnue"))</f>
        <v/>
      </c>
      <c r="E3746" s="37" t="n"/>
      <c r="F3746" s="39" t="str">
        <f>IF(C3746="","",IFERROR(INDEX(art_unit,MATCH(C3746,art_ref,0))&amp;"",""))</f>
        <v/>
      </c>
      <c r="G3746" s="37" t="n"/>
      <c r="H3746" s="37" t="n"/>
      <c r="I3746" s="37" t="n"/>
      <c r="J3746" s="40" t="str">
        <f>IF(OR(C3746="",NOT(ISNUMBER(E3746))),"",IFERROR(E3746*N(INDEX(art_price,MATCH(C3746,art_ref,0))),""))</f>
        <v/>
      </c>
      <c r="K3746" s="39" t="str">
        <f>IF(OR(C3746="",NOT(ISNUMBER(E3746))),"",IFERROR(ROUND(N(INDEX(art_init,MATCH(C3746,art_ref,0)))+SUMIFS($E$5:E3746,$C$5:C3746,C3746,$B$5:B3746,"Entrée")-SUMIFS($E$5:E3746,$C$5:C3746,C3746,$B$5:B3746,"Sortie"),6),""))</f>
        <v/>
      </c>
      <c r="L3746" s="39" t="str">
        <f>IF(COUNTA(A3746:C3746,E3746)=0,"",IF(COUNTA(A3746:C3746,E3746)&lt;4,"Ligne incomplète",IF(NOT(ISNUMBER(A3746)),"Date invalide",IF(AND(B3746&lt;&gt;"Entrée",B3746&lt;&gt;"Sortie"),"Type inconnu",IF(ISNA(MATCH(C3746,art_ref,0)),"Référence inconnue",IF(OR(NOT(ISNUMBER(E3746)),N(E3746)&lt;=0),"Quantité invalide",IF(K3746&lt;0,"Stock négatif",IF(AND(ISNUMBER(A3745),A3746&lt;A3745),"Date hors ordre","OK"))))))))</f>
        <v/>
      </c>
      <c r="M3746" s="39" t="str">
        <f>IF(C3746="","",C3746&amp;"#"&amp;COUNTIF($C$5:C3746,C3746))</f>
        <v/>
      </c>
    </row>
    <row r="3747">
      <c r="A3747" s="41" t="n"/>
      <c r="B3747" s="37" t="n"/>
      <c r="C3747" s="37" t="n"/>
      <c r="D3747" s="39" t="str">
        <f>IF(C3747="","",IFERROR(INDEX(art_des,MATCH(C3747,art_ref,0))&amp;"","Référence inconnue"))</f>
        <v/>
      </c>
      <c r="E3747" s="37" t="n"/>
      <c r="F3747" s="39" t="str">
        <f>IF(C3747="","",IFERROR(INDEX(art_unit,MATCH(C3747,art_ref,0))&amp;"",""))</f>
        <v/>
      </c>
      <c r="G3747" s="37" t="n"/>
      <c r="H3747" s="37" t="n"/>
      <c r="I3747" s="37" t="n"/>
      <c r="J3747" s="40" t="str">
        <f>IF(OR(C3747="",NOT(ISNUMBER(E3747))),"",IFERROR(E3747*N(INDEX(art_price,MATCH(C3747,art_ref,0))),""))</f>
        <v/>
      </c>
      <c r="K3747" s="39" t="str">
        <f>IF(OR(C3747="",NOT(ISNUMBER(E3747))),"",IFERROR(ROUND(N(INDEX(art_init,MATCH(C3747,art_ref,0)))+SUMIFS($E$5:E3747,$C$5:C3747,C3747,$B$5:B3747,"Entrée")-SUMIFS($E$5:E3747,$C$5:C3747,C3747,$B$5:B3747,"Sortie"),6),""))</f>
        <v/>
      </c>
      <c r="L3747" s="39" t="str">
        <f>IF(COUNTA(A3747:C3747,E3747)=0,"",IF(COUNTA(A3747:C3747,E3747)&lt;4,"Ligne incomplète",IF(NOT(ISNUMBER(A3747)),"Date invalide",IF(AND(B3747&lt;&gt;"Entrée",B3747&lt;&gt;"Sortie"),"Type inconnu",IF(ISNA(MATCH(C3747,art_ref,0)),"Référence inconnue",IF(OR(NOT(ISNUMBER(E3747)),N(E3747)&lt;=0),"Quantité invalide",IF(K3747&lt;0,"Stock négatif",IF(AND(ISNUMBER(A3746),A3747&lt;A3746),"Date hors ordre","OK"))))))))</f>
        <v/>
      </c>
      <c r="M3747" s="39" t="str">
        <f>IF(C3747="","",C3747&amp;"#"&amp;COUNTIF($C$5:C3747,C3747))</f>
        <v/>
      </c>
    </row>
    <row r="3748">
      <c r="A3748" s="41" t="n"/>
      <c r="B3748" s="37" t="n"/>
      <c r="C3748" s="37" t="n"/>
      <c r="D3748" s="39" t="str">
        <f>IF(C3748="","",IFERROR(INDEX(art_des,MATCH(C3748,art_ref,0))&amp;"","Référence inconnue"))</f>
        <v/>
      </c>
      <c r="E3748" s="37" t="n"/>
      <c r="F3748" s="39" t="str">
        <f>IF(C3748="","",IFERROR(INDEX(art_unit,MATCH(C3748,art_ref,0))&amp;"",""))</f>
        <v/>
      </c>
      <c r="G3748" s="37" t="n"/>
      <c r="H3748" s="37" t="n"/>
      <c r="I3748" s="37" t="n"/>
      <c r="J3748" s="40" t="str">
        <f>IF(OR(C3748="",NOT(ISNUMBER(E3748))),"",IFERROR(E3748*N(INDEX(art_price,MATCH(C3748,art_ref,0))),""))</f>
        <v/>
      </c>
      <c r="K3748" s="39" t="str">
        <f>IF(OR(C3748="",NOT(ISNUMBER(E3748))),"",IFERROR(ROUND(N(INDEX(art_init,MATCH(C3748,art_ref,0)))+SUMIFS($E$5:E3748,$C$5:C3748,C3748,$B$5:B3748,"Entrée")-SUMIFS($E$5:E3748,$C$5:C3748,C3748,$B$5:B3748,"Sortie"),6),""))</f>
        <v/>
      </c>
      <c r="L3748" s="39" t="str">
        <f>IF(COUNTA(A3748:C3748,E3748)=0,"",IF(COUNTA(A3748:C3748,E3748)&lt;4,"Ligne incomplète",IF(NOT(ISNUMBER(A3748)),"Date invalide",IF(AND(B3748&lt;&gt;"Entrée",B3748&lt;&gt;"Sortie"),"Type inconnu",IF(ISNA(MATCH(C3748,art_ref,0)),"Référence inconnue",IF(OR(NOT(ISNUMBER(E3748)),N(E3748)&lt;=0),"Quantité invalide",IF(K3748&lt;0,"Stock négatif",IF(AND(ISNUMBER(A3747),A3748&lt;A3747),"Date hors ordre","OK"))))))))</f>
        <v/>
      </c>
      <c r="M3748" s="39" t="str">
        <f>IF(C3748="","",C3748&amp;"#"&amp;COUNTIF($C$5:C3748,C3748))</f>
        <v/>
      </c>
    </row>
    <row r="3749">
      <c r="A3749" s="41" t="n"/>
      <c r="B3749" s="37" t="n"/>
      <c r="C3749" s="37" t="n"/>
      <c r="D3749" s="39" t="str">
        <f>IF(C3749="","",IFERROR(INDEX(art_des,MATCH(C3749,art_ref,0))&amp;"","Référence inconnue"))</f>
        <v/>
      </c>
      <c r="E3749" s="37" t="n"/>
      <c r="F3749" s="39" t="str">
        <f>IF(C3749="","",IFERROR(INDEX(art_unit,MATCH(C3749,art_ref,0))&amp;"",""))</f>
        <v/>
      </c>
      <c r="G3749" s="37" t="n"/>
      <c r="H3749" s="37" t="n"/>
      <c r="I3749" s="37" t="n"/>
      <c r="J3749" s="40" t="str">
        <f>IF(OR(C3749="",NOT(ISNUMBER(E3749))),"",IFERROR(E3749*N(INDEX(art_price,MATCH(C3749,art_ref,0))),""))</f>
        <v/>
      </c>
      <c r="K3749" s="39" t="str">
        <f>IF(OR(C3749="",NOT(ISNUMBER(E3749))),"",IFERROR(ROUND(N(INDEX(art_init,MATCH(C3749,art_ref,0)))+SUMIFS($E$5:E3749,$C$5:C3749,C3749,$B$5:B3749,"Entrée")-SUMIFS($E$5:E3749,$C$5:C3749,C3749,$B$5:B3749,"Sortie"),6),""))</f>
        <v/>
      </c>
      <c r="L3749" s="39" t="str">
        <f>IF(COUNTA(A3749:C3749,E3749)=0,"",IF(COUNTA(A3749:C3749,E3749)&lt;4,"Ligne incomplète",IF(NOT(ISNUMBER(A3749)),"Date invalide",IF(AND(B3749&lt;&gt;"Entrée",B3749&lt;&gt;"Sortie"),"Type inconnu",IF(ISNA(MATCH(C3749,art_ref,0)),"Référence inconnue",IF(OR(NOT(ISNUMBER(E3749)),N(E3749)&lt;=0),"Quantité invalide",IF(K3749&lt;0,"Stock négatif",IF(AND(ISNUMBER(A3748),A3749&lt;A3748),"Date hors ordre","OK"))))))))</f>
        <v/>
      </c>
      <c r="M3749" s="39" t="str">
        <f>IF(C3749="","",C3749&amp;"#"&amp;COUNTIF($C$5:C3749,C3749))</f>
        <v/>
      </c>
    </row>
    <row r="3750">
      <c r="A3750" s="41" t="n"/>
      <c r="B3750" s="37" t="n"/>
      <c r="C3750" s="37" t="n"/>
      <c r="D3750" s="39" t="str">
        <f>IF(C3750="","",IFERROR(INDEX(art_des,MATCH(C3750,art_ref,0))&amp;"","Référence inconnue"))</f>
        <v/>
      </c>
      <c r="E3750" s="37" t="n"/>
      <c r="F3750" s="39" t="str">
        <f>IF(C3750="","",IFERROR(INDEX(art_unit,MATCH(C3750,art_ref,0))&amp;"",""))</f>
        <v/>
      </c>
      <c r="G3750" s="37" t="n"/>
      <c r="H3750" s="37" t="n"/>
      <c r="I3750" s="37" t="n"/>
      <c r="J3750" s="40" t="str">
        <f>IF(OR(C3750="",NOT(ISNUMBER(E3750))),"",IFERROR(E3750*N(INDEX(art_price,MATCH(C3750,art_ref,0))),""))</f>
        <v/>
      </c>
      <c r="K3750" s="39" t="str">
        <f>IF(OR(C3750="",NOT(ISNUMBER(E3750))),"",IFERROR(ROUND(N(INDEX(art_init,MATCH(C3750,art_ref,0)))+SUMIFS($E$5:E3750,$C$5:C3750,C3750,$B$5:B3750,"Entrée")-SUMIFS($E$5:E3750,$C$5:C3750,C3750,$B$5:B3750,"Sortie"),6),""))</f>
        <v/>
      </c>
      <c r="L3750" s="39" t="str">
        <f>IF(COUNTA(A3750:C3750,E3750)=0,"",IF(COUNTA(A3750:C3750,E3750)&lt;4,"Ligne incomplète",IF(NOT(ISNUMBER(A3750)),"Date invalide",IF(AND(B3750&lt;&gt;"Entrée",B3750&lt;&gt;"Sortie"),"Type inconnu",IF(ISNA(MATCH(C3750,art_ref,0)),"Référence inconnue",IF(OR(NOT(ISNUMBER(E3750)),N(E3750)&lt;=0),"Quantité invalide",IF(K3750&lt;0,"Stock négatif",IF(AND(ISNUMBER(A3749),A3750&lt;A3749),"Date hors ordre","OK"))))))))</f>
        <v/>
      </c>
      <c r="M3750" s="39" t="str">
        <f>IF(C3750="","",C3750&amp;"#"&amp;COUNTIF($C$5:C3750,C3750))</f>
        <v/>
      </c>
    </row>
    <row r="3751">
      <c r="A3751" s="41" t="n"/>
      <c r="B3751" s="37" t="n"/>
      <c r="C3751" s="37" t="n"/>
      <c r="D3751" s="39" t="str">
        <f>IF(C3751="","",IFERROR(INDEX(art_des,MATCH(C3751,art_ref,0))&amp;"","Référence inconnue"))</f>
        <v/>
      </c>
      <c r="E3751" s="37" t="n"/>
      <c r="F3751" s="39" t="str">
        <f>IF(C3751="","",IFERROR(INDEX(art_unit,MATCH(C3751,art_ref,0))&amp;"",""))</f>
        <v/>
      </c>
      <c r="G3751" s="37" t="n"/>
      <c r="H3751" s="37" t="n"/>
      <c r="I3751" s="37" t="n"/>
      <c r="J3751" s="40" t="str">
        <f>IF(OR(C3751="",NOT(ISNUMBER(E3751))),"",IFERROR(E3751*N(INDEX(art_price,MATCH(C3751,art_ref,0))),""))</f>
        <v/>
      </c>
      <c r="K3751" s="39" t="str">
        <f>IF(OR(C3751="",NOT(ISNUMBER(E3751))),"",IFERROR(ROUND(N(INDEX(art_init,MATCH(C3751,art_ref,0)))+SUMIFS($E$5:E3751,$C$5:C3751,C3751,$B$5:B3751,"Entrée")-SUMIFS($E$5:E3751,$C$5:C3751,C3751,$B$5:B3751,"Sortie"),6),""))</f>
        <v/>
      </c>
      <c r="L3751" s="39" t="str">
        <f>IF(COUNTA(A3751:C3751,E3751)=0,"",IF(COUNTA(A3751:C3751,E3751)&lt;4,"Ligne incomplète",IF(NOT(ISNUMBER(A3751)),"Date invalide",IF(AND(B3751&lt;&gt;"Entrée",B3751&lt;&gt;"Sortie"),"Type inconnu",IF(ISNA(MATCH(C3751,art_ref,0)),"Référence inconnue",IF(OR(NOT(ISNUMBER(E3751)),N(E3751)&lt;=0),"Quantité invalide",IF(K3751&lt;0,"Stock négatif",IF(AND(ISNUMBER(A3750),A3751&lt;A3750),"Date hors ordre","OK"))))))))</f>
        <v/>
      </c>
      <c r="M3751" s="39" t="str">
        <f>IF(C3751="","",C3751&amp;"#"&amp;COUNTIF($C$5:C3751,C3751))</f>
        <v/>
      </c>
    </row>
    <row r="3752">
      <c r="A3752" s="41" t="n"/>
      <c r="B3752" s="37" t="n"/>
      <c r="C3752" s="37" t="n"/>
      <c r="D3752" s="39" t="str">
        <f>IF(C3752="","",IFERROR(INDEX(art_des,MATCH(C3752,art_ref,0))&amp;"","Référence inconnue"))</f>
        <v/>
      </c>
      <c r="E3752" s="37" t="n"/>
      <c r="F3752" s="39" t="str">
        <f>IF(C3752="","",IFERROR(INDEX(art_unit,MATCH(C3752,art_ref,0))&amp;"",""))</f>
        <v/>
      </c>
      <c r="G3752" s="37" t="n"/>
      <c r="H3752" s="37" t="n"/>
      <c r="I3752" s="37" t="n"/>
      <c r="J3752" s="40" t="str">
        <f>IF(OR(C3752="",NOT(ISNUMBER(E3752))),"",IFERROR(E3752*N(INDEX(art_price,MATCH(C3752,art_ref,0))),""))</f>
        <v/>
      </c>
      <c r="K3752" s="39" t="str">
        <f>IF(OR(C3752="",NOT(ISNUMBER(E3752))),"",IFERROR(ROUND(N(INDEX(art_init,MATCH(C3752,art_ref,0)))+SUMIFS($E$5:E3752,$C$5:C3752,C3752,$B$5:B3752,"Entrée")-SUMIFS($E$5:E3752,$C$5:C3752,C3752,$B$5:B3752,"Sortie"),6),""))</f>
        <v/>
      </c>
      <c r="L3752" s="39" t="str">
        <f>IF(COUNTA(A3752:C3752,E3752)=0,"",IF(COUNTA(A3752:C3752,E3752)&lt;4,"Ligne incomplète",IF(NOT(ISNUMBER(A3752)),"Date invalide",IF(AND(B3752&lt;&gt;"Entrée",B3752&lt;&gt;"Sortie"),"Type inconnu",IF(ISNA(MATCH(C3752,art_ref,0)),"Référence inconnue",IF(OR(NOT(ISNUMBER(E3752)),N(E3752)&lt;=0),"Quantité invalide",IF(K3752&lt;0,"Stock négatif",IF(AND(ISNUMBER(A3751),A3752&lt;A3751),"Date hors ordre","OK"))))))))</f>
        <v/>
      </c>
      <c r="M3752" s="39" t="str">
        <f>IF(C3752="","",C3752&amp;"#"&amp;COUNTIF($C$5:C3752,C3752))</f>
        <v/>
      </c>
    </row>
    <row r="3753">
      <c r="A3753" s="41" t="n"/>
      <c r="B3753" s="37" t="n"/>
      <c r="C3753" s="37" t="n"/>
      <c r="D3753" s="39" t="str">
        <f>IF(C3753="","",IFERROR(INDEX(art_des,MATCH(C3753,art_ref,0))&amp;"","Référence inconnue"))</f>
        <v/>
      </c>
      <c r="E3753" s="37" t="n"/>
      <c r="F3753" s="39" t="str">
        <f>IF(C3753="","",IFERROR(INDEX(art_unit,MATCH(C3753,art_ref,0))&amp;"",""))</f>
        <v/>
      </c>
      <c r="G3753" s="37" t="n"/>
      <c r="H3753" s="37" t="n"/>
      <c r="I3753" s="37" t="n"/>
      <c r="J3753" s="40" t="str">
        <f>IF(OR(C3753="",NOT(ISNUMBER(E3753))),"",IFERROR(E3753*N(INDEX(art_price,MATCH(C3753,art_ref,0))),""))</f>
        <v/>
      </c>
      <c r="K3753" s="39" t="str">
        <f>IF(OR(C3753="",NOT(ISNUMBER(E3753))),"",IFERROR(ROUND(N(INDEX(art_init,MATCH(C3753,art_ref,0)))+SUMIFS($E$5:E3753,$C$5:C3753,C3753,$B$5:B3753,"Entrée")-SUMIFS($E$5:E3753,$C$5:C3753,C3753,$B$5:B3753,"Sortie"),6),""))</f>
        <v/>
      </c>
      <c r="L3753" s="39" t="str">
        <f>IF(COUNTA(A3753:C3753,E3753)=0,"",IF(COUNTA(A3753:C3753,E3753)&lt;4,"Ligne incomplète",IF(NOT(ISNUMBER(A3753)),"Date invalide",IF(AND(B3753&lt;&gt;"Entrée",B3753&lt;&gt;"Sortie"),"Type inconnu",IF(ISNA(MATCH(C3753,art_ref,0)),"Référence inconnue",IF(OR(NOT(ISNUMBER(E3753)),N(E3753)&lt;=0),"Quantité invalide",IF(K3753&lt;0,"Stock négatif",IF(AND(ISNUMBER(A3752),A3753&lt;A3752),"Date hors ordre","OK"))))))))</f>
        <v/>
      </c>
      <c r="M3753" s="39" t="str">
        <f>IF(C3753="","",C3753&amp;"#"&amp;COUNTIF($C$5:C3753,C3753))</f>
        <v/>
      </c>
    </row>
    <row r="3754">
      <c r="A3754" s="41" t="n"/>
      <c r="B3754" s="37" t="n"/>
      <c r="C3754" s="37" t="n"/>
      <c r="D3754" s="39" t="str">
        <f>IF(C3754="","",IFERROR(INDEX(art_des,MATCH(C3754,art_ref,0))&amp;"","Référence inconnue"))</f>
        <v/>
      </c>
      <c r="E3754" s="37" t="n"/>
      <c r="F3754" s="39" t="str">
        <f>IF(C3754="","",IFERROR(INDEX(art_unit,MATCH(C3754,art_ref,0))&amp;"",""))</f>
        <v/>
      </c>
      <c r="G3754" s="37" t="n"/>
      <c r="H3754" s="37" t="n"/>
      <c r="I3754" s="37" t="n"/>
      <c r="J3754" s="40" t="str">
        <f>IF(OR(C3754="",NOT(ISNUMBER(E3754))),"",IFERROR(E3754*N(INDEX(art_price,MATCH(C3754,art_ref,0))),""))</f>
        <v/>
      </c>
      <c r="K3754" s="39" t="str">
        <f>IF(OR(C3754="",NOT(ISNUMBER(E3754))),"",IFERROR(ROUND(N(INDEX(art_init,MATCH(C3754,art_ref,0)))+SUMIFS($E$5:E3754,$C$5:C3754,C3754,$B$5:B3754,"Entrée")-SUMIFS($E$5:E3754,$C$5:C3754,C3754,$B$5:B3754,"Sortie"),6),""))</f>
        <v/>
      </c>
      <c r="L3754" s="39" t="str">
        <f>IF(COUNTA(A3754:C3754,E3754)=0,"",IF(COUNTA(A3754:C3754,E3754)&lt;4,"Ligne incomplète",IF(NOT(ISNUMBER(A3754)),"Date invalide",IF(AND(B3754&lt;&gt;"Entrée",B3754&lt;&gt;"Sortie"),"Type inconnu",IF(ISNA(MATCH(C3754,art_ref,0)),"Référence inconnue",IF(OR(NOT(ISNUMBER(E3754)),N(E3754)&lt;=0),"Quantité invalide",IF(K3754&lt;0,"Stock négatif",IF(AND(ISNUMBER(A3753),A3754&lt;A3753),"Date hors ordre","OK"))))))))</f>
        <v/>
      </c>
      <c r="M3754" s="39" t="str">
        <f>IF(C3754="","",C3754&amp;"#"&amp;COUNTIF($C$5:C3754,C3754))</f>
        <v/>
      </c>
    </row>
    <row r="3755">
      <c r="A3755" s="41" t="n"/>
      <c r="B3755" s="37" t="n"/>
      <c r="C3755" s="37" t="n"/>
      <c r="D3755" s="39" t="str">
        <f>IF(C3755="","",IFERROR(INDEX(art_des,MATCH(C3755,art_ref,0))&amp;"","Référence inconnue"))</f>
        <v/>
      </c>
      <c r="E3755" s="37" t="n"/>
      <c r="F3755" s="39" t="str">
        <f>IF(C3755="","",IFERROR(INDEX(art_unit,MATCH(C3755,art_ref,0))&amp;"",""))</f>
        <v/>
      </c>
      <c r="G3755" s="37" t="n"/>
      <c r="H3755" s="37" t="n"/>
      <c r="I3755" s="37" t="n"/>
      <c r="J3755" s="40" t="str">
        <f>IF(OR(C3755="",NOT(ISNUMBER(E3755))),"",IFERROR(E3755*N(INDEX(art_price,MATCH(C3755,art_ref,0))),""))</f>
        <v/>
      </c>
      <c r="K3755" s="39" t="str">
        <f>IF(OR(C3755="",NOT(ISNUMBER(E3755))),"",IFERROR(ROUND(N(INDEX(art_init,MATCH(C3755,art_ref,0)))+SUMIFS($E$5:E3755,$C$5:C3755,C3755,$B$5:B3755,"Entrée")-SUMIFS($E$5:E3755,$C$5:C3755,C3755,$B$5:B3755,"Sortie"),6),""))</f>
        <v/>
      </c>
      <c r="L3755" s="39" t="str">
        <f>IF(COUNTA(A3755:C3755,E3755)=0,"",IF(COUNTA(A3755:C3755,E3755)&lt;4,"Ligne incomplète",IF(NOT(ISNUMBER(A3755)),"Date invalide",IF(AND(B3755&lt;&gt;"Entrée",B3755&lt;&gt;"Sortie"),"Type inconnu",IF(ISNA(MATCH(C3755,art_ref,0)),"Référence inconnue",IF(OR(NOT(ISNUMBER(E3755)),N(E3755)&lt;=0),"Quantité invalide",IF(K3755&lt;0,"Stock négatif",IF(AND(ISNUMBER(A3754),A3755&lt;A3754),"Date hors ordre","OK"))))))))</f>
        <v/>
      </c>
      <c r="M3755" s="39" t="str">
        <f>IF(C3755="","",C3755&amp;"#"&amp;COUNTIF($C$5:C3755,C3755))</f>
        <v/>
      </c>
    </row>
    <row r="3756">
      <c r="A3756" s="41" t="n"/>
      <c r="B3756" s="37" t="n"/>
      <c r="C3756" s="37" t="n"/>
      <c r="D3756" s="39" t="str">
        <f>IF(C3756="","",IFERROR(INDEX(art_des,MATCH(C3756,art_ref,0))&amp;"","Référence inconnue"))</f>
        <v/>
      </c>
      <c r="E3756" s="37" t="n"/>
      <c r="F3756" s="39" t="str">
        <f>IF(C3756="","",IFERROR(INDEX(art_unit,MATCH(C3756,art_ref,0))&amp;"",""))</f>
        <v/>
      </c>
      <c r="G3756" s="37" t="n"/>
      <c r="H3756" s="37" t="n"/>
      <c r="I3756" s="37" t="n"/>
      <c r="J3756" s="40" t="str">
        <f>IF(OR(C3756="",NOT(ISNUMBER(E3756))),"",IFERROR(E3756*N(INDEX(art_price,MATCH(C3756,art_ref,0))),""))</f>
        <v/>
      </c>
      <c r="K3756" s="39" t="str">
        <f>IF(OR(C3756="",NOT(ISNUMBER(E3756))),"",IFERROR(ROUND(N(INDEX(art_init,MATCH(C3756,art_ref,0)))+SUMIFS($E$5:E3756,$C$5:C3756,C3756,$B$5:B3756,"Entrée")-SUMIFS($E$5:E3756,$C$5:C3756,C3756,$B$5:B3756,"Sortie"),6),""))</f>
        <v/>
      </c>
      <c r="L3756" s="39" t="str">
        <f>IF(COUNTA(A3756:C3756,E3756)=0,"",IF(COUNTA(A3756:C3756,E3756)&lt;4,"Ligne incomplète",IF(NOT(ISNUMBER(A3756)),"Date invalide",IF(AND(B3756&lt;&gt;"Entrée",B3756&lt;&gt;"Sortie"),"Type inconnu",IF(ISNA(MATCH(C3756,art_ref,0)),"Référence inconnue",IF(OR(NOT(ISNUMBER(E3756)),N(E3756)&lt;=0),"Quantité invalide",IF(K3756&lt;0,"Stock négatif",IF(AND(ISNUMBER(A3755),A3756&lt;A3755),"Date hors ordre","OK"))))))))</f>
        <v/>
      </c>
      <c r="M3756" s="39" t="str">
        <f>IF(C3756="","",C3756&amp;"#"&amp;COUNTIF($C$5:C3756,C3756))</f>
        <v/>
      </c>
    </row>
    <row r="3757">
      <c r="A3757" s="41" t="n"/>
      <c r="B3757" s="37" t="n"/>
      <c r="C3757" s="37" t="n"/>
      <c r="D3757" s="39" t="str">
        <f>IF(C3757="","",IFERROR(INDEX(art_des,MATCH(C3757,art_ref,0))&amp;"","Référence inconnue"))</f>
        <v/>
      </c>
      <c r="E3757" s="37" t="n"/>
      <c r="F3757" s="39" t="str">
        <f>IF(C3757="","",IFERROR(INDEX(art_unit,MATCH(C3757,art_ref,0))&amp;"",""))</f>
        <v/>
      </c>
      <c r="G3757" s="37" t="n"/>
      <c r="H3757" s="37" t="n"/>
      <c r="I3757" s="37" t="n"/>
      <c r="J3757" s="40" t="str">
        <f>IF(OR(C3757="",NOT(ISNUMBER(E3757))),"",IFERROR(E3757*N(INDEX(art_price,MATCH(C3757,art_ref,0))),""))</f>
        <v/>
      </c>
      <c r="K3757" s="39" t="str">
        <f>IF(OR(C3757="",NOT(ISNUMBER(E3757))),"",IFERROR(ROUND(N(INDEX(art_init,MATCH(C3757,art_ref,0)))+SUMIFS($E$5:E3757,$C$5:C3757,C3757,$B$5:B3757,"Entrée")-SUMIFS($E$5:E3757,$C$5:C3757,C3757,$B$5:B3757,"Sortie"),6),""))</f>
        <v/>
      </c>
      <c r="L3757" s="39" t="str">
        <f>IF(COUNTA(A3757:C3757,E3757)=0,"",IF(COUNTA(A3757:C3757,E3757)&lt;4,"Ligne incomplète",IF(NOT(ISNUMBER(A3757)),"Date invalide",IF(AND(B3757&lt;&gt;"Entrée",B3757&lt;&gt;"Sortie"),"Type inconnu",IF(ISNA(MATCH(C3757,art_ref,0)),"Référence inconnue",IF(OR(NOT(ISNUMBER(E3757)),N(E3757)&lt;=0),"Quantité invalide",IF(K3757&lt;0,"Stock négatif",IF(AND(ISNUMBER(A3756),A3757&lt;A3756),"Date hors ordre","OK"))))))))</f>
        <v/>
      </c>
      <c r="M3757" s="39" t="str">
        <f>IF(C3757="","",C3757&amp;"#"&amp;COUNTIF($C$5:C3757,C3757))</f>
        <v/>
      </c>
    </row>
    <row r="3758">
      <c r="A3758" s="41" t="n"/>
      <c r="B3758" s="37" t="n"/>
      <c r="C3758" s="37" t="n"/>
      <c r="D3758" s="39" t="str">
        <f>IF(C3758="","",IFERROR(INDEX(art_des,MATCH(C3758,art_ref,0))&amp;"","Référence inconnue"))</f>
        <v/>
      </c>
      <c r="E3758" s="37" t="n"/>
      <c r="F3758" s="39" t="str">
        <f>IF(C3758="","",IFERROR(INDEX(art_unit,MATCH(C3758,art_ref,0))&amp;"",""))</f>
        <v/>
      </c>
      <c r="G3758" s="37" t="n"/>
      <c r="H3758" s="37" t="n"/>
      <c r="I3758" s="37" t="n"/>
      <c r="J3758" s="40" t="str">
        <f>IF(OR(C3758="",NOT(ISNUMBER(E3758))),"",IFERROR(E3758*N(INDEX(art_price,MATCH(C3758,art_ref,0))),""))</f>
        <v/>
      </c>
      <c r="K3758" s="39" t="str">
        <f>IF(OR(C3758="",NOT(ISNUMBER(E3758))),"",IFERROR(ROUND(N(INDEX(art_init,MATCH(C3758,art_ref,0)))+SUMIFS($E$5:E3758,$C$5:C3758,C3758,$B$5:B3758,"Entrée")-SUMIFS($E$5:E3758,$C$5:C3758,C3758,$B$5:B3758,"Sortie"),6),""))</f>
        <v/>
      </c>
      <c r="L3758" s="39" t="str">
        <f>IF(COUNTA(A3758:C3758,E3758)=0,"",IF(COUNTA(A3758:C3758,E3758)&lt;4,"Ligne incomplète",IF(NOT(ISNUMBER(A3758)),"Date invalide",IF(AND(B3758&lt;&gt;"Entrée",B3758&lt;&gt;"Sortie"),"Type inconnu",IF(ISNA(MATCH(C3758,art_ref,0)),"Référence inconnue",IF(OR(NOT(ISNUMBER(E3758)),N(E3758)&lt;=0),"Quantité invalide",IF(K3758&lt;0,"Stock négatif",IF(AND(ISNUMBER(A3757),A3758&lt;A3757),"Date hors ordre","OK"))))))))</f>
        <v/>
      </c>
      <c r="M3758" s="39" t="str">
        <f>IF(C3758="","",C3758&amp;"#"&amp;COUNTIF($C$5:C3758,C3758))</f>
        <v/>
      </c>
    </row>
    <row r="3759">
      <c r="A3759" s="41" t="n"/>
      <c r="B3759" s="37" t="n"/>
      <c r="C3759" s="37" t="n"/>
      <c r="D3759" s="39" t="str">
        <f>IF(C3759="","",IFERROR(INDEX(art_des,MATCH(C3759,art_ref,0))&amp;"","Référence inconnue"))</f>
        <v/>
      </c>
      <c r="E3759" s="37" t="n"/>
      <c r="F3759" s="39" t="str">
        <f>IF(C3759="","",IFERROR(INDEX(art_unit,MATCH(C3759,art_ref,0))&amp;"",""))</f>
        <v/>
      </c>
      <c r="G3759" s="37" t="n"/>
      <c r="H3759" s="37" t="n"/>
      <c r="I3759" s="37" t="n"/>
      <c r="J3759" s="40" t="str">
        <f>IF(OR(C3759="",NOT(ISNUMBER(E3759))),"",IFERROR(E3759*N(INDEX(art_price,MATCH(C3759,art_ref,0))),""))</f>
        <v/>
      </c>
      <c r="K3759" s="39" t="str">
        <f>IF(OR(C3759="",NOT(ISNUMBER(E3759))),"",IFERROR(ROUND(N(INDEX(art_init,MATCH(C3759,art_ref,0)))+SUMIFS($E$5:E3759,$C$5:C3759,C3759,$B$5:B3759,"Entrée")-SUMIFS($E$5:E3759,$C$5:C3759,C3759,$B$5:B3759,"Sortie"),6),""))</f>
        <v/>
      </c>
      <c r="L3759" s="39" t="str">
        <f>IF(COUNTA(A3759:C3759,E3759)=0,"",IF(COUNTA(A3759:C3759,E3759)&lt;4,"Ligne incomplète",IF(NOT(ISNUMBER(A3759)),"Date invalide",IF(AND(B3759&lt;&gt;"Entrée",B3759&lt;&gt;"Sortie"),"Type inconnu",IF(ISNA(MATCH(C3759,art_ref,0)),"Référence inconnue",IF(OR(NOT(ISNUMBER(E3759)),N(E3759)&lt;=0),"Quantité invalide",IF(K3759&lt;0,"Stock négatif",IF(AND(ISNUMBER(A3758),A3759&lt;A3758),"Date hors ordre","OK"))))))))</f>
        <v/>
      </c>
      <c r="M3759" s="39" t="str">
        <f>IF(C3759="","",C3759&amp;"#"&amp;COUNTIF($C$5:C3759,C3759))</f>
        <v/>
      </c>
    </row>
    <row r="3760">
      <c r="A3760" s="41" t="n"/>
      <c r="B3760" s="37" t="n"/>
      <c r="C3760" s="37" t="n"/>
      <c r="D3760" s="39" t="str">
        <f>IF(C3760="","",IFERROR(INDEX(art_des,MATCH(C3760,art_ref,0))&amp;"","Référence inconnue"))</f>
        <v/>
      </c>
      <c r="E3760" s="37" t="n"/>
      <c r="F3760" s="39" t="str">
        <f>IF(C3760="","",IFERROR(INDEX(art_unit,MATCH(C3760,art_ref,0))&amp;"",""))</f>
        <v/>
      </c>
      <c r="G3760" s="37" t="n"/>
      <c r="H3760" s="37" t="n"/>
      <c r="I3760" s="37" t="n"/>
      <c r="J3760" s="40" t="str">
        <f>IF(OR(C3760="",NOT(ISNUMBER(E3760))),"",IFERROR(E3760*N(INDEX(art_price,MATCH(C3760,art_ref,0))),""))</f>
        <v/>
      </c>
      <c r="K3760" s="39" t="str">
        <f>IF(OR(C3760="",NOT(ISNUMBER(E3760))),"",IFERROR(ROUND(N(INDEX(art_init,MATCH(C3760,art_ref,0)))+SUMIFS($E$5:E3760,$C$5:C3760,C3760,$B$5:B3760,"Entrée")-SUMIFS($E$5:E3760,$C$5:C3760,C3760,$B$5:B3760,"Sortie"),6),""))</f>
        <v/>
      </c>
      <c r="L3760" s="39" t="str">
        <f>IF(COUNTA(A3760:C3760,E3760)=0,"",IF(COUNTA(A3760:C3760,E3760)&lt;4,"Ligne incomplète",IF(NOT(ISNUMBER(A3760)),"Date invalide",IF(AND(B3760&lt;&gt;"Entrée",B3760&lt;&gt;"Sortie"),"Type inconnu",IF(ISNA(MATCH(C3760,art_ref,0)),"Référence inconnue",IF(OR(NOT(ISNUMBER(E3760)),N(E3760)&lt;=0),"Quantité invalide",IF(K3760&lt;0,"Stock négatif",IF(AND(ISNUMBER(A3759),A3760&lt;A3759),"Date hors ordre","OK"))))))))</f>
        <v/>
      </c>
      <c r="M3760" s="39" t="str">
        <f>IF(C3760="","",C3760&amp;"#"&amp;COUNTIF($C$5:C3760,C3760))</f>
        <v/>
      </c>
    </row>
    <row r="3761">
      <c r="A3761" s="41" t="n"/>
      <c r="B3761" s="37" t="n"/>
      <c r="C3761" s="37" t="n"/>
      <c r="D3761" s="39" t="str">
        <f>IF(C3761="","",IFERROR(INDEX(art_des,MATCH(C3761,art_ref,0))&amp;"","Référence inconnue"))</f>
        <v/>
      </c>
      <c r="E3761" s="37" t="n"/>
      <c r="F3761" s="39" t="str">
        <f>IF(C3761="","",IFERROR(INDEX(art_unit,MATCH(C3761,art_ref,0))&amp;"",""))</f>
        <v/>
      </c>
      <c r="G3761" s="37" t="n"/>
      <c r="H3761" s="37" t="n"/>
      <c r="I3761" s="37" t="n"/>
      <c r="J3761" s="40" t="str">
        <f>IF(OR(C3761="",NOT(ISNUMBER(E3761))),"",IFERROR(E3761*N(INDEX(art_price,MATCH(C3761,art_ref,0))),""))</f>
        <v/>
      </c>
      <c r="K3761" s="39" t="str">
        <f>IF(OR(C3761="",NOT(ISNUMBER(E3761))),"",IFERROR(ROUND(N(INDEX(art_init,MATCH(C3761,art_ref,0)))+SUMIFS($E$5:E3761,$C$5:C3761,C3761,$B$5:B3761,"Entrée")-SUMIFS($E$5:E3761,$C$5:C3761,C3761,$B$5:B3761,"Sortie"),6),""))</f>
        <v/>
      </c>
      <c r="L3761" s="39" t="str">
        <f>IF(COUNTA(A3761:C3761,E3761)=0,"",IF(COUNTA(A3761:C3761,E3761)&lt;4,"Ligne incomplète",IF(NOT(ISNUMBER(A3761)),"Date invalide",IF(AND(B3761&lt;&gt;"Entrée",B3761&lt;&gt;"Sortie"),"Type inconnu",IF(ISNA(MATCH(C3761,art_ref,0)),"Référence inconnue",IF(OR(NOT(ISNUMBER(E3761)),N(E3761)&lt;=0),"Quantité invalide",IF(K3761&lt;0,"Stock négatif",IF(AND(ISNUMBER(A3760),A3761&lt;A3760),"Date hors ordre","OK"))))))))</f>
        <v/>
      </c>
      <c r="M3761" s="39" t="str">
        <f>IF(C3761="","",C3761&amp;"#"&amp;COUNTIF($C$5:C3761,C3761))</f>
        <v/>
      </c>
    </row>
    <row r="3762">
      <c r="A3762" s="41" t="n"/>
      <c r="B3762" s="37" t="n"/>
      <c r="C3762" s="37" t="n"/>
      <c r="D3762" s="39" t="str">
        <f>IF(C3762="","",IFERROR(INDEX(art_des,MATCH(C3762,art_ref,0))&amp;"","Référence inconnue"))</f>
        <v/>
      </c>
      <c r="E3762" s="37" t="n"/>
      <c r="F3762" s="39" t="str">
        <f>IF(C3762="","",IFERROR(INDEX(art_unit,MATCH(C3762,art_ref,0))&amp;"",""))</f>
        <v/>
      </c>
      <c r="G3762" s="37" t="n"/>
      <c r="H3762" s="37" t="n"/>
      <c r="I3762" s="37" t="n"/>
      <c r="J3762" s="40" t="str">
        <f>IF(OR(C3762="",NOT(ISNUMBER(E3762))),"",IFERROR(E3762*N(INDEX(art_price,MATCH(C3762,art_ref,0))),""))</f>
        <v/>
      </c>
      <c r="K3762" s="39" t="str">
        <f>IF(OR(C3762="",NOT(ISNUMBER(E3762))),"",IFERROR(ROUND(N(INDEX(art_init,MATCH(C3762,art_ref,0)))+SUMIFS($E$5:E3762,$C$5:C3762,C3762,$B$5:B3762,"Entrée")-SUMIFS($E$5:E3762,$C$5:C3762,C3762,$B$5:B3762,"Sortie"),6),""))</f>
        <v/>
      </c>
      <c r="L3762" s="39" t="str">
        <f>IF(COUNTA(A3762:C3762,E3762)=0,"",IF(COUNTA(A3762:C3762,E3762)&lt;4,"Ligne incomplète",IF(NOT(ISNUMBER(A3762)),"Date invalide",IF(AND(B3762&lt;&gt;"Entrée",B3762&lt;&gt;"Sortie"),"Type inconnu",IF(ISNA(MATCH(C3762,art_ref,0)),"Référence inconnue",IF(OR(NOT(ISNUMBER(E3762)),N(E3762)&lt;=0),"Quantité invalide",IF(K3762&lt;0,"Stock négatif",IF(AND(ISNUMBER(A3761),A3762&lt;A3761),"Date hors ordre","OK"))))))))</f>
        <v/>
      </c>
      <c r="M3762" s="39" t="str">
        <f>IF(C3762="","",C3762&amp;"#"&amp;COUNTIF($C$5:C3762,C3762))</f>
        <v/>
      </c>
    </row>
    <row r="3763">
      <c r="A3763" s="41" t="n"/>
      <c r="B3763" s="37" t="n"/>
      <c r="C3763" s="37" t="n"/>
      <c r="D3763" s="39" t="str">
        <f>IF(C3763="","",IFERROR(INDEX(art_des,MATCH(C3763,art_ref,0))&amp;"","Référence inconnue"))</f>
        <v/>
      </c>
      <c r="E3763" s="37" t="n"/>
      <c r="F3763" s="39" t="str">
        <f>IF(C3763="","",IFERROR(INDEX(art_unit,MATCH(C3763,art_ref,0))&amp;"",""))</f>
        <v/>
      </c>
      <c r="G3763" s="37" t="n"/>
      <c r="H3763" s="37" t="n"/>
      <c r="I3763" s="37" t="n"/>
      <c r="J3763" s="40" t="str">
        <f>IF(OR(C3763="",NOT(ISNUMBER(E3763))),"",IFERROR(E3763*N(INDEX(art_price,MATCH(C3763,art_ref,0))),""))</f>
        <v/>
      </c>
      <c r="K3763" s="39" t="str">
        <f>IF(OR(C3763="",NOT(ISNUMBER(E3763))),"",IFERROR(ROUND(N(INDEX(art_init,MATCH(C3763,art_ref,0)))+SUMIFS($E$5:E3763,$C$5:C3763,C3763,$B$5:B3763,"Entrée")-SUMIFS($E$5:E3763,$C$5:C3763,C3763,$B$5:B3763,"Sortie"),6),""))</f>
        <v/>
      </c>
      <c r="L3763" s="39" t="str">
        <f>IF(COUNTA(A3763:C3763,E3763)=0,"",IF(COUNTA(A3763:C3763,E3763)&lt;4,"Ligne incomplète",IF(NOT(ISNUMBER(A3763)),"Date invalide",IF(AND(B3763&lt;&gt;"Entrée",B3763&lt;&gt;"Sortie"),"Type inconnu",IF(ISNA(MATCH(C3763,art_ref,0)),"Référence inconnue",IF(OR(NOT(ISNUMBER(E3763)),N(E3763)&lt;=0),"Quantité invalide",IF(K3763&lt;0,"Stock négatif",IF(AND(ISNUMBER(A3762),A3763&lt;A3762),"Date hors ordre","OK"))))))))</f>
        <v/>
      </c>
      <c r="M3763" s="39" t="str">
        <f>IF(C3763="","",C3763&amp;"#"&amp;COUNTIF($C$5:C3763,C3763))</f>
        <v/>
      </c>
    </row>
    <row r="3764">
      <c r="A3764" s="41" t="n"/>
      <c r="B3764" s="37" t="n"/>
      <c r="C3764" s="37" t="n"/>
      <c r="D3764" s="39" t="str">
        <f>IF(C3764="","",IFERROR(INDEX(art_des,MATCH(C3764,art_ref,0))&amp;"","Référence inconnue"))</f>
        <v/>
      </c>
      <c r="E3764" s="37" t="n"/>
      <c r="F3764" s="39" t="str">
        <f>IF(C3764="","",IFERROR(INDEX(art_unit,MATCH(C3764,art_ref,0))&amp;"",""))</f>
        <v/>
      </c>
      <c r="G3764" s="37" t="n"/>
      <c r="H3764" s="37" t="n"/>
      <c r="I3764" s="37" t="n"/>
      <c r="J3764" s="40" t="str">
        <f>IF(OR(C3764="",NOT(ISNUMBER(E3764))),"",IFERROR(E3764*N(INDEX(art_price,MATCH(C3764,art_ref,0))),""))</f>
        <v/>
      </c>
      <c r="K3764" s="39" t="str">
        <f>IF(OR(C3764="",NOT(ISNUMBER(E3764))),"",IFERROR(ROUND(N(INDEX(art_init,MATCH(C3764,art_ref,0)))+SUMIFS($E$5:E3764,$C$5:C3764,C3764,$B$5:B3764,"Entrée")-SUMIFS($E$5:E3764,$C$5:C3764,C3764,$B$5:B3764,"Sortie"),6),""))</f>
        <v/>
      </c>
      <c r="L3764" s="39" t="str">
        <f>IF(COUNTA(A3764:C3764,E3764)=0,"",IF(COUNTA(A3764:C3764,E3764)&lt;4,"Ligne incomplète",IF(NOT(ISNUMBER(A3764)),"Date invalide",IF(AND(B3764&lt;&gt;"Entrée",B3764&lt;&gt;"Sortie"),"Type inconnu",IF(ISNA(MATCH(C3764,art_ref,0)),"Référence inconnue",IF(OR(NOT(ISNUMBER(E3764)),N(E3764)&lt;=0),"Quantité invalide",IF(K3764&lt;0,"Stock négatif",IF(AND(ISNUMBER(A3763),A3764&lt;A3763),"Date hors ordre","OK"))))))))</f>
        <v/>
      </c>
      <c r="M3764" s="39" t="str">
        <f>IF(C3764="","",C3764&amp;"#"&amp;COUNTIF($C$5:C3764,C3764))</f>
        <v/>
      </c>
    </row>
    <row r="3765">
      <c r="A3765" s="41" t="n"/>
      <c r="B3765" s="37" t="n"/>
      <c r="C3765" s="37" t="n"/>
      <c r="D3765" s="39" t="str">
        <f>IF(C3765="","",IFERROR(INDEX(art_des,MATCH(C3765,art_ref,0))&amp;"","Référence inconnue"))</f>
        <v/>
      </c>
      <c r="E3765" s="37" t="n"/>
      <c r="F3765" s="39" t="str">
        <f>IF(C3765="","",IFERROR(INDEX(art_unit,MATCH(C3765,art_ref,0))&amp;"",""))</f>
        <v/>
      </c>
      <c r="G3765" s="37" t="n"/>
      <c r="H3765" s="37" t="n"/>
      <c r="I3765" s="37" t="n"/>
      <c r="J3765" s="40" t="str">
        <f>IF(OR(C3765="",NOT(ISNUMBER(E3765))),"",IFERROR(E3765*N(INDEX(art_price,MATCH(C3765,art_ref,0))),""))</f>
        <v/>
      </c>
      <c r="K3765" s="39" t="str">
        <f>IF(OR(C3765="",NOT(ISNUMBER(E3765))),"",IFERROR(ROUND(N(INDEX(art_init,MATCH(C3765,art_ref,0)))+SUMIFS($E$5:E3765,$C$5:C3765,C3765,$B$5:B3765,"Entrée")-SUMIFS($E$5:E3765,$C$5:C3765,C3765,$B$5:B3765,"Sortie"),6),""))</f>
        <v/>
      </c>
      <c r="L3765" s="39" t="str">
        <f>IF(COUNTA(A3765:C3765,E3765)=0,"",IF(COUNTA(A3765:C3765,E3765)&lt;4,"Ligne incomplète",IF(NOT(ISNUMBER(A3765)),"Date invalide",IF(AND(B3765&lt;&gt;"Entrée",B3765&lt;&gt;"Sortie"),"Type inconnu",IF(ISNA(MATCH(C3765,art_ref,0)),"Référence inconnue",IF(OR(NOT(ISNUMBER(E3765)),N(E3765)&lt;=0),"Quantité invalide",IF(K3765&lt;0,"Stock négatif",IF(AND(ISNUMBER(A3764),A3765&lt;A3764),"Date hors ordre","OK"))))))))</f>
        <v/>
      </c>
      <c r="M3765" s="39" t="str">
        <f>IF(C3765="","",C3765&amp;"#"&amp;COUNTIF($C$5:C3765,C3765))</f>
        <v/>
      </c>
    </row>
    <row r="3766">
      <c r="A3766" s="41" t="n"/>
      <c r="B3766" s="37" t="n"/>
      <c r="C3766" s="37" t="n"/>
      <c r="D3766" s="39" t="str">
        <f>IF(C3766="","",IFERROR(INDEX(art_des,MATCH(C3766,art_ref,0))&amp;"","Référence inconnue"))</f>
        <v/>
      </c>
      <c r="E3766" s="37" t="n"/>
      <c r="F3766" s="39" t="str">
        <f>IF(C3766="","",IFERROR(INDEX(art_unit,MATCH(C3766,art_ref,0))&amp;"",""))</f>
        <v/>
      </c>
      <c r="G3766" s="37" t="n"/>
      <c r="H3766" s="37" t="n"/>
      <c r="I3766" s="37" t="n"/>
      <c r="J3766" s="40" t="str">
        <f>IF(OR(C3766="",NOT(ISNUMBER(E3766))),"",IFERROR(E3766*N(INDEX(art_price,MATCH(C3766,art_ref,0))),""))</f>
        <v/>
      </c>
      <c r="K3766" s="39" t="str">
        <f>IF(OR(C3766="",NOT(ISNUMBER(E3766))),"",IFERROR(ROUND(N(INDEX(art_init,MATCH(C3766,art_ref,0)))+SUMIFS($E$5:E3766,$C$5:C3766,C3766,$B$5:B3766,"Entrée")-SUMIFS($E$5:E3766,$C$5:C3766,C3766,$B$5:B3766,"Sortie"),6),""))</f>
        <v/>
      </c>
      <c r="L3766" s="39" t="str">
        <f>IF(COUNTA(A3766:C3766,E3766)=0,"",IF(COUNTA(A3766:C3766,E3766)&lt;4,"Ligne incomplète",IF(NOT(ISNUMBER(A3766)),"Date invalide",IF(AND(B3766&lt;&gt;"Entrée",B3766&lt;&gt;"Sortie"),"Type inconnu",IF(ISNA(MATCH(C3766,art_ref,0)),"Référence inconnue",IF(OR(NOT(ISNUMBER(E3766)),N(E3766)&lt;=0),"Quantité invalide",IF(K3766&lt;0,"Stock négatif",IF(AND(ISNUMBER(A3765),A3766&lt;A3765),"Date hors ordre","OK"))))))))</f>
        <v/>
      </c>
      <c r="M3766" s="39" t="str">
        <f>IF(C3766="","",C3766&amp;"#"&amp;COUNTIF($C$5:C3766,C3766))</f>
        <v/>
      </c>
    </row>
    <row r="3767">
      <c r="A3767" s="41" t="n"/>
      <c r="B3767" s="37" t="n"/>
      <c r="C3767" s="37" t="n"/>
      <c r="D3767" s="39" t="str">
        <f>IF(C3767="","",IFERROR(INDEX(art_des,MATCH(C3767,art_ref,0))&amp;"","Référence inconnue"))</f>
        <v/>
      </c>
      <c r="E3767" s="37" t="n"/>
      <c r="F3767" s="39" t="str">
        <f>IF(C3767="","",IFERROR(INDEX(art_unit,MATCH(C3767,art_ref,0))&amp;"",""))</f>
        <v/>
      </c>
      <c r="G3767" s="37" t="n"/>
      <c r="H3767" s="37" t="n"/>
      <c r="I3767" s="37" t="n"/>
      <c r="J3767" s="40" t="str">
        <f>IF(OR(C3767="",NOT(ISNUMBER(E3767))),"",IFERROR(E3767*N(INDEX(art_price,MATCH(C3767,art_ref,0))),""))</f>
        <v/>
      </c>
      <c r="K3767" s="39" t="str">
        <f>IF(OR(C3767="",NOT(ISNUMBER(E3767))),"",IFERROR(ROUND(N(INDEX(art_init,MATCH(C3767,art_ref,0)))+SUMIFS($E$5:E3767,$C$5:C3767,C3767,$B$5:B3767,"Entrée")-SUMIFS($E$5:E3767,$C$5:C3767,C3767,$B$5:B3767,"Sortie"),6),""))</f>
        <v/>
      </c>
      <c r="L3767" s="39" t="str">
        <f>IF(COUNTA(A3767:C3767,E3767)=0,"",IF(COUNTA(A3767:C3767,E3767)&lt;4,"Ligne incomplète",IF(NOT(ISNUMBER(A3767)),"Date invalide",IF(AND(B3767&lt;&gt;"Entrée",B3767&lt;&gt;"Sortie"),"Type inconnu",IF(ISNA(MATCH(C3767,art_ref,0)),"Référence inconnue",IF(OR(NOT(ISNUMBER(E3767)),N(E3767)&lt;=0),"Quantité invalide",IF(K3767&lt;0,"Stock négatif",IF(AND(ISNUMBER(A3766),A3767&lt;A3766),"Date hors ordre","OK"))))))))</f>
        <v/>
      </c>
      <c r="M3767" s="39" t="str">
        <f>IF(C3767="","",C3767&amp;"#"&amp;COUNTIF($C$5:C3767,C3767))</f>
        <v/>
      </c>
    </row>
    <row r="3768">
      <c r="A3768" s="41" t="n"/>
      <c r="B3768" s="37" t="n"/>
      <c r="C3768" s="37" t="n"/>
      <c r="D3768" s="39" t="str">
        <f>IF(C3768="","",IFERROR(INDEX(art_des,MATCH(C3768,art_ref,0))&amp;"","Référence inconnue"))</f>
        <v/>
      </c>
      <c r="E3768" s="37" t="n"/>
      <c r="F3768" s="39" t="str">
        <f>IF(C3768="","",IFERROR(INDEX(art_unit,MATCH(C3768,art_ref,0))&amp;"",""))</f>
        <v/>
      </c>
      <c r="G3768" s="37" t="n"/>
      <c r="H3768" s="37" t="n"/>
      <c r="I3768" s="37" t="n"/>
      <c r="J3768" s="40" t="str">
        <f>IF(OR(C3768="",NOT(ISNUMBER(E3768))),"",IFERROR(E3768*N(INDEX(art_price,MATCH(C3768,art_ref,0))),""))</f>
        <v/>
      </c>
      <c r="K3768" s="39" t="str">
        <f>IF(OR(C3768="",NOT(ISNUMBER(E3768))),"",IFERROR(ROUND(N(INDEX(art_init,MATCH(C3768,art_ref,0)))+SUMIFS($E$5:E3768,$C$5:C3768,C3768,$B$5:B3768,"Entrée")-SUMIFS($E$5:E3768,$C$5:C3768,C3768,$B$5:B3768,"Sortie"),6),""))</f>
        <v/>
      </c>
      <c r="L3768" s="39" t="str">
        <f>IF(COUNTA(A3768:C3768,E3768)=0,"",IF(COUNTA(A3768:C3768,E3768)&lt;4,"Ligne incomplète",IF(NOT(ISNUMBER(A3768)),"Date invalide",IF(AND(B3768&lt;&gt;"Entrée",B3768&lt;&gt;"Sortie"),"Type inconnu",IF(ISNA(MATCH(C3768,art_ref,0)),"Référence inconnue",IF(OR(NOT(ISNUMBER(E3768)),N(E3768)&lt;=0),"Quantité invalide",IF(K3768&lt;0,"Stock négatif",IF(AND(ISNUMBER(A3767),A3768&lt;A3767),"Date hors ordre","OK"))))))))</f>
        <v/>
      </c>
      <c r="M3768" s="39" t="str">
        <f>IF(C3768="","",C3768&amp;"#"&amp;COUNTIF($C$5:C3768,C3768))</f>
        <v/>
      </c>
    </row>
    <row r="3769">
      <c r="A3769" s="41" t="n"/>
      <c r="B3769" s="37" t="n"/>
      <c r="C3769" s="37" t="n"/>
      <c r="D3769" s="39" t="str">
        <f>IF(C3769="","",IFERROR(INDEX(art_des,MATCH(C3769,art_ref,0))&amp;"","Référence inconnue"))</f>
        <v/>
      </c>
      <c r="E3769" s="37" t="n"/>
      <c r="F3769" s="39" t="str">
        <f>IF(C3769="","",IFERROR(INDEX(art_unit,MATCH(C3769,art_ref,0))&amp;"",""))</f>
        <v/>
      </c>
      <c r="G3769" s="37" t="n"/>
      <c r="H3769" s="37" t="n"/>
      <c r="I3769" s="37" t="n"/>
      <c r="J3769" s="40" t="str">
        <f>IF(OR(C3769="",NOT(ISNUMBER(E3769))),"",IFERROR(E3769*N(INDEX(art_price,MATCH(C3769,art_ref,0))),""))</f>
        <v/>
      </c>
      <c r="K3769" s="39" t="str">
        <f>IF(OR(C3769="",NOT(ISNUMBER(E3769))),"",IFERROR(ROUND(N(INDEX(art_init,MATCH(C3769,art_ref,0)))+SUMIFS($E$5:E3769,$C$5:C3769,C3769,$B$5:B3769,"Entrée")-SUMIFS($E$5:E3769,$C$5:C3769,C3769,$B$5:B3769,"Sortie"),6),""))</f>
        <v/>
      </c>
      <c r="L3769" s="39" t="str">
        <f>IF(COUNTA(A3769:C3769,E3769)=0,"",IF(COUNTA(A3769:C3769,E3769)&lt;4,"Ligne incomplète",IF(NOT(ISNUMBER(A3769)),"Date invalide",IF(AND(B3769&lt;&gt;"Entrée",B3769&lt;&gt;"Sortie"),"Type inconnu",IF(ISNA(MATCH(C3769,art_ref,0)),"Référence inconnue",IF(OR(NOT(ISNUMBER(E3769)),N(E3769)&lt;=0),"Quantité invalide",IF(K3769&lt;0,"Stock négatif",IF(AND(ISNUMBER(A3768),A3769&lt;A3768),"Date hors ordre","OK"))))))))</f>
        <v/>
      </c>
      <c r="M3769" s="39" t="str">
        <f>IF(C3769="","",C3769&amp;"#"&amp;COUNTIF($C$5:C3769,C3769))</f>
        <v/>
      </c>
    </row>
    <row r="3770">
      <c r="A3770" s="41" t="n"/>
      <c r="B3770" s="37" t="n"/>
      <c r="C3770" s="37" t="n"/>
      <c r="D3770" s="39" t="str">
        <f>IF(C3770="","",IFERROR(INDEX(art_des,MATCH(C3770,art_ref,0))&amp;"","Référence inconnue"))</f>
        <v/>
      </c>
      <c r="E3770" s="37" t="n"/>
      <c r="F3770" s="39" t="str">
        <f>IF(C3770="","",IFERROR(INDEX(art_unit,MATCH(C3770,art_ref,0))&amp;"",""))</f>
        <v/>
      </c>
      <c r="G3770" s="37" t="n"/>
      <c r="H3770" s="37" t="n"/>
      <c r="I3770" s="37" t="n"/>
      <c r="J3770" s="40" t="str">
        <f>IF(OR(C3770="",NOT(ISNUMBER(E3770))),"",IFERROR(E3770*N(INDEX(art_price,MATCH(C3770,art_ref,0))),""))</f>
        <v/>
      </c>
      <c r="K3770" s="39" t="str">
        <f>IF(OR(C3770="",NOT(ISNUMBER(E3770))),"",IFERROR(ROUND(N(INDEX(art_init,MATCH(C3770,art_ref,0)))+SUMIFS($E$5:E3770,$C$5:C3770,C3770,$B$5:B3770,"Entrée")-SUMIFS($E$5:E3770,$C$5:C3770,C3770,$B$5:B3770,"Sortie"),6),""))</f>
        <v/>
      </c>
      <c r="L3770" s="39" t="str">
        <f>IF(COUNTA(A3770:C3770,E3770)=0,"",IF(COUNTA(A3770:C3770,E3770)&lt;4,"Ligne incomplète",IF(NOT(ISNUMBER(A3770)),"Date invalide",IF(AND(B3770&lt;&gt;"Entrée",B3770&lt;&gt;"Sortie"),"Type inconnu",IF(ISNA(MATCH(C3770,art_ref,0)),"Référence inconnue",IF(OR(NOT(ISNUMBER(E3770)),N(E3770)&lt;=0),"Quantité invalide",IF(K3770&lt;0,"Stock négatif",IF(AND(ISNUMBER(A3769),A3770&lt;A3769),"Date hors ordre","OK"))))))))</f>
        <v/>
      </c>
      <c r="M3770" s="39" t="str">
        <f>IF(C3770="","",C3770&amp;"#"&amp;COUNTIF($C$5:C3770,C3770))</f>
        <v/>
      </c>
    </row>
    <row r="3771">
      <c r="A3771" s="41" t="n"/>
      <c r="B3771" s="37" t="n"/>
      <c r="C3771" s="37" t="n"/>
      <c r="D3771" s="39" t="str">
        <f>IF(C3771="","",IFERROR(INDEX(art_des,MATCH(C3771,art_ref,0))&amp;"","Référence inconnue"))</f>
        <v/>
      </c>
      <c r="E3771" s="37" t="n"/>
      <c r="F3771" s="39" t="str">
        <f>IF(C3771="","",IFERROR(INDEX(art_unit,MATCH(C3771,art_ref,0))&amp;"",""))</f>
        <v/>
      </c>
      <c r="G3771" s="37" t="n"/>
      <c r="H3771" s="37" t="n"/>
      <c r="I3771" s="37" t="n"/>
      <c r="J3771" s="40" t="str">
        <f>IF(OR(C3771="",NOT(ISNUMBER(E3771))),"",IFERROR(E3771*N(INDEX(art_price,MATCH(C3771,art_ref,0))),""))</f>
        <v/>
      </c>
      <c r="K3771" s="39" t="str">
        <f>IF(OR(C3771="",NOT(ISNUMBER(E3771))),"",IFERROR(ROUND(N(INDEX(art_init,MATCH(C3771,art_ref,0)))+SUMIFS($E$5:E3771,$C$5:C3771,C3771,$B$5:B3771,"Entrée")-SUMIFS($E$5:E3771,$C$5:C3771,C3771,$B$5:B3771,"Sortie"),6),""))</f>
        <v/>
      </c>
      <c r="L3771" s="39" t="str">
        <f>IF(COUNTA(A3771:C3771,E3771)=0,"",IF(COUNTA(A3771:C3771,E3771)&lt;4,"Ligne incomplète",IF(NOT(ISNUMBER(A3771)),"Date invalide",IF(AND(B3771&lt;&gt;"Entrée",B3771&lt;&gt;"Sortie"),"Type inconnu",IF(ISNA(MATCH(C3771,art_ref,0)),"Référence inconnue",IF(OR(NOT(ISNUMBER(E3771)),N(E3771)&lt;=0),"Quantité invalide",IF(K3771&lt;0,"Stock négatif",IF(AND(ISNUMBER(A3770),A3771&lt;A3770),"Date hors ordre","OK"))))))))</f>
        <v/>
      </c>
      <c r="M3771" s="39" t="str">
        <f>IF(C3771="","",C3771&amp;"#"&amp;COUNTIF($C$5:C3771,C3771))</f>
        <v/>
      </c>
    </row>
    <row r="3772">
      <c r="A3772" s="41" t="n"/>
      <c r="B3772" s="37" t="n"/>
      <c r="C3772" s="37" t="n"/>
      <c r="D3772" s="39" t="str">
        <f>IF(C3772="","",IFERROR(INDEX(art_des,MATCH(C3772,art_ref,0))&amp;"","Référence inconnue"))</f>
        <v/>
      </c>
      <c r="E3772" s="37" t="n"/>
      <c r="F3772" s="39" t="str">
        <f>IF(C3772="","",IFERROR(INDEX(art_unit,MATCH(C3772,art_ref,0))&amp;"",""))</f>
        <v/>
      </c>
      <c r="G3772" s="37" t="n"/>
      <c r="H3772" s="37" t="n"/>
      <c r="I3772" s="37" t="n"/>
      <c r="J3772" s="40" t="str">
        <f>IF(OR(C3772="",NOT(ISNUMBER(E3772))),"",IFERROR(E3772*N(INDEX(art_price,MATCH(C3772,art_ref,0))),""))</f>
        <v/>
      </c>
      <c r="K3772" s="39" t="str">
        <f>IF(OR(C3772="",NOT(ISNUMBER(E3772))),"",IFERROR(ROUND(N(INDEX(art_init,MATCH(C3772,art_ref,0)))+SUMIFS($E$5:E3772,$C$5:C3772,C3772,$B$5:B3772,"Entrée")-SUMIFS($E$5:E3772,$C$5:C3772,C3772,$B$5:B3772,"Sortie"),6),""))</f>
        <v/>
      </c>
      <c r="L3772" s="39" t="str">
        <f>IF(COUNTA(A3772:C3772,E3772)=0,"",IF(COUNTA(A3772:C3772,E3772)&lt;4,"Ligne incomplète",IF(NOT(ISNUMBER(A3772)),"Date invalide",IF(AND(B3772&lt;&gt;"Entrée",B3772&lt;&gt;"Sortie"),"Type inconnu",IF(ISNA(MATCH(C3772,art_ref,0)),"Référence inconnue",IF(OR(NOT(ISNUMBER(E3772)),N(E3772)&lt;=0),"Quantité invalide",IF(K3772&lt;0,"Stock négatif",IF(AND(ISNUMBER(A3771),A3772&lt;A3771),"Date hors ordre","OK"))))))))</f>
        <v/>
      </c>
      <c r="M3772" s="39" t="str">
        <f>IF(C3772="","",C3772&amp;"#"&amp;COUNTIF($C$5:C3772,C3772))</f>
        <v/>
      </c>
    </row>
    <row r="3773">
      <c r="A3773" s="41" t="n"/>
      <c r="B3773" s="37" t="n"/>
      <c r="C3773" s="37" t="n"/>
      <c r="D3773" s="39" t="str">
        <f>IF(C3773="","",IFERROR(INDEX(art_des,MATCH(C3773,art_ref,0))&amp;"","Référence inconnue"))</f>
        <v/>
      </c>
      <c r="E3773" s="37" t="n"/>
      <c r="F3773" s="39" t="str">
        <f>IF(C3773="","",IFERROR(INDEX(art_unit,MATCH(C3773,art_ref,0))&amp;"",""))</f>
        <v/>
      </c>
      <c r="G3773" s="37" t="n"/>
      <c r="H3773" s="37" t="n"/>
      <c r="I3773" s="37" t="n"/>
      <c r="J3773" s="40" t="str">
        <f>IF(OR(C3773="",NOT(ISNUMBER(E3773))),"",IFERROR(E3773*N(INDEX(art_price,MATCH(C3773,art_ref,0))),""))</f>
        <v/>
      </c>
      <c r="K3773" s="39" t="str">
        <f>IF(OR(C3773="",NOT(ISNUMBER(E3773))),"",IFERROR(ROUND(N(INDEX(art_init,MATCH(C3773,art_ref,0)))+SUMIFS($E$5:E3773,$C$5:C3773,C3773,$B$5:B3773,"Entrée")-SUMIFS($E$5:E3773,$C$5:C3773,C3773,$B$5:B3773,"Sortie"),6),""))</f>
        <v/>
      </c>
      <c r="L3773" s="39" t="str">
        <f>IF(COUNTA(A3773:C3773,E3773)=0,"",IF(COUNTA(A3773:C3773,E3773)&lt;4,"Ligne incomplète",IF(NOT(ISNUMBER(A3773)),"Date invalide",IF(AND(B3773&lt;&gt;"Entrée",B3773&lt;&gt;"Sortie"),"Type inconnu",IF(ISNA(MATCH(C3773,art_ref,0)),"Référence inconnue",IF(OR(NOT(ISNUMBER(E3773)),N(E3773)&lt;=0),"Quantité invalide",IF(K3773&lt;0,"Stock négatif",IF(AND(ISNUMBER(A3772),A3773&lt;A3772),"Date hors ordre","OK"))))))))</f>
        <v/>
      </c>
      <c r="M3773" s="39" t="str">
        <f>IF(C3773="","",C3773&amp;"#"&amp;COUNTIF($C$5:C3773,C3773))</f>
        <v/>
      </c>
    </row>
    <row r="3774">
      <c r="A3774" s="41" t="n"/>
      <c r="B3774" s="37" t="n"/>
      <c r="C3774" s="37" t="n"/>
      <c r="D3774" s="39" t="str">
        <f>IF(C3774="","",IFERROR(INDEX(art_des,MATCH(C3774,art_ref,0))&amp;"","Référence inconnue"))</f>
        <v/>
      </c>
      <c r="E3774" s="37" t="n"/>
      <c r="F3774" s="39" t="str">
        <f>IF(C3774="","",IFERROR(INDEX(art_unit,MATCH(C3774,art_ref,0))&amp;"",""))</f>
        <v/>
      </c>
      <c r="G3774" s="37" t="n"/>
      <c r="H3774" s="37" t="n"/>
      <c r="I3774" s="37" t="n"/>
      <c r="J3774" s="40" t="str">
        <f>IF(OR(C3774="",NOT(ISNUMBER(E3774))),"",IFERROR(E3774*N(INDEX(art_price,MATCH(C3774,art_ref,0))),""))</f>
        <v/>
      </c>
      <c r="K3774" s="39" t="str">
        <f>IF(OR(C3774="",NOT(ISNUMBER(E3774))),"",IFERROR(ROUND(N(INDEX(art_init,MATCH(C3774,art_ref,0)))+SUMIFS($E$5:E3774,$C$5:C3774,C3774,$B$5:B3774,"Entrée")-SUMIFS($E$5:E3774,$C$5:C3774,C3774,$B$5:B3774,"Sortie"),6),""))</f>
        <v/>
      </c>
      <c r="L3774" s="39" t="str">
        <f>IF(COUNTA(A3774:C3774,E3774)=0,"",IF(COUNTA(A3774:C3774,E3774)&lt;4,"Ligne incomplète",IF(NOT(ISNUMBER(A3774)),"Date invalide",IF(AND(B3774&lt;&gt;"Entrée",B3774&lt;&gt;"Sortie"),"Type inconnu",IF(ISNA(MATCH(C3774,art_ref,0)),"Référence inconnue",IF(OR(NOT(ISNUMBER(E3774)),N(E3774)&lt;=0),"Quantité invalide",IF(K3774&lt;0,"Stock négatif",IF(AND(ISNUMBER(A3773),A3774&lt;A3773),"Date hors ordre","OK"))))))))</f>
        <v/>
      </c>
      <c r="M3774" s="39" t="str">
        <f>IF(C3774="","",C3774&amp;"#"&amp;COUNTIF($C$5:C3774,C3774))</f>
        <v/>
      </c>
    </row>
    <row r="3775">
      <c r="A3775" s="41" t="n"/>
      <c r="B3775" s="37" t="n"/>
      <c r="C3775" s="37" t="n"/>
      <c r="D3775" s="39" t="str">
        <f>IF(C3775="","",IFERROR(INDEX(art_des,MATCH(C3775,art_ref,0))&amp;"","Référence inconnue"))</f>
        <v/>
      </c>
      <c r="E3775" s="37" t="n"/>
      <c r="F3775" s="39" t="str">
        <f>IF(C3775="","",IFERROR(INDEX(art_unit,MATCH(C3775,art_ref,0))&amp;"",""))</f>
        <v/>
      </c>
      <c r="G3775" s="37" t="n"/>
      <c r="H3775" s="37" t="n"/>
      <c r="I3775" s="37" t="n"/>
      <c r="J3775" s="40" t="str">
        <f>IF(OR(C3775="",NOT(ISNUMBER(E3775))),"",IFERROR(E3775*N(INDEX(art_price,MATCH(C3775,art_ref,0))),""))</f>
        <v/>
      </c>
      <c r="K3775" s="39" t="str">
        <f>IF(OR(C3775="",NOT(ISNUMBER(E3775))),"",IFERROR(ROUND(N(INDEX(art_init,MATCH(C3775,art_ref,0)))+SUMIFS($E$5:E3775,$C$5:C3775,C3775,$B$5:B3775,"Entrée")-SUMIFS($E$5:E3775,$C$5:C3775,C3775,$B$5:B3775,"Sortie"),6),""))</f>
        <v/>
      </c>
      <c r="L3775" s="39" t="str">
        <f>IF(COUNTA(A3775:C3775,E3775)=0,"",IF(COUNTA(A3775:C3775,E3775)&lt;4,"Ligne incomplète",IF(NOT(ISNUMBER(A3775)),"Date invalide",IF(AND(B3775&lt;&gt;"Entrée",B3775&lt;&gt;"Sortie"),"Type inconnu",IF(ISNA(MATCH(C3775,art_ref,0)),"Référence inconnue",IF(OR(NOT(ISNUMBER(E3775)),N(E3775)&lt;=0),"Quantité invalide",IF(K3775&lt;0,"Stock négatif",IF(AND(ISNUMBER(A3774),A3775&lt;A3774),"Date hors ordre","OK"))))))))</f>
        <v/>
      </c>
      <c r="M3775" s="39" t="str">
        <f>IF(C3775="","",C3775&amp;"#"&amp;COUNTIF($C$5:C3775,C3775))</f>
        <v/>
      </c>
    </row>
    <row r="3776">
      <c r="A3776" s="41" t="n"/>
      <c r="B3776" s="37" t="n"/>
      <c r="C3776" s="37" t="n"/>
      <c r="D3776" s="39" t="str">
        <f>IF(C3776="","",IFERROR(INDEX(art_des,MATCH(C3776,art_ref,0))&amp;"","Référence inconnue"))</f>
        <v/>
      </c>
      <c r="E3776" s="37" t="n"/>
      <c r="F3776" s="39" t="str">
        <f>IF(C3776="","",IFERROR(INDEX(art_unit,MATCH(C3776,art_ref,0))&amp;"",""))</f>
        <v/>
      </c>
      <c r="G3776" s="37" t="n"/>
      <c r="H3776" s="37" t="n"/>
      <c r="I3776" s="37" t="n"/>
      <c r="J3776" s="40" t="str">
        <f>IF(OR(C3776="",NOT(ISNUMBER(E3776))),"",IFERROR(E3776*N(INDEX(art_price,MATCH(C3776,art_ref,0))),""))</f>
        <v/>
      </c>
      <c r="K3776" s="39" t="str">
        <f>IF(OR(C3776="",NOT(ISNUMBER(E3776))),"",IFERROR(ROUND(N(INDEX(art_init,MATCH(C3776,art_ref,0)))+SUMIFS($E$5:E3776,$C$5:C3776,C3776,$B$5:B3776,"Entrée")-SUMIFS($E$5:E3776,$C$5:C3776,C3776,$B$5:B3776,"Sortie"),6),""))</f>
        <v/>
      </c>
      <c r="L3776" s="39" t="str">
        <f>IF(COUNTA(A3776:C3776,E3776)=0,"",IF(COUNTA(A3776:C3776,E3776)&lt;4,"Ligne incomplète",IF(NOT(ISNUMBER(A3776)),"Date invalide",IF(AND(B3776&lt;&gt;"Entrée",B3776&lt;&gt;"Sortie"),"Type inconnu",IF(ISNA(MATCH(C3776,art_ref,0)),"Référence inconnue",IF(OR(NOT(ISNUMBER(E3776)),N(E3776)&lt;=0),"Quantité invalide",IF(K3776&lt;0,"Stock négatif",IF(AND(ISNUMBER(A3775),A3776&lt;A3775),"Date hors ordre","OK"))))))))</f>
        <v/>
      </c>
      <c r="M3776" s="39" t="str">
        <f>IF(C3776="","",C3776&amp;"#"&amp;COUNTIF($C$5:C3776,C3776))</f>
        <v/>
      </c>
    </row>
    <row r="3777">
      <c r="A3777" s="41" t="n"/>
      <c r="B3777" s="37" t="n"/>
      <c r="C3777" s="37" t="n"/>
      <c r="D3777" s="39" t="str">
        <f>IF(C3777="","",IFERROR(INDEX(art_des,MATCH(C3777,art_ref,0))&amp;"","Référence inconnue"))</f>
        <v/>
      </c>
      <c r="E3777" s="37" t="n"/>
      <c r="F3777" s="39" t="str">
        <f>IF(C3777="","",IFERROR(INDEX(art_unit,MATCH(C3777,art_ref,0))&amp;"",""))</f>
        <v/>
      </c>
      <c r="G3777" s="37" t="n"/>
      <c r="H3777" s="37" t="n"/>
      <c r="I3777" s="37" t="n"/>
      <c r="J3777" s="40" t="str">
        <f>IF(OR(C3777="",NOT(ISNUMBER(E3777))),"",IFERROR(E3777*N(INDEX(art_price,MATCH(C3777,art_ref,0))),""))</f>
        <v/>
      </c>
      <c r="K3777" s="39" t="str">
        <f>IF(OR(C3777="",NOT(ISNUMBER(E3777))),"",IFERROR(ROUND(N(INDEX(art_init,MATCH(C3777,art_ref,0)))+SUMIFS($E$5:E3777,$C$5:C3777,C3777,$B$5:B3777,"Entrée")-SUMIFS($E$5:E3777,$C$5:C3777,C3777,$B$5:B3777,"Sortie"),6),""))</f>
        <v/>
      </c>
      <c r="L3777" s="39" t="str">
        <f>IF(COUNTA(A3777:C3777,E3777)=0,"",IF(COUNTA(A3777:C3777,E3777)&lt;4,"Ligne incomplète",IF(NOT(ISNUMBER(A3777)),"Date invalide",IF(AND(B3777&lt;&gt;"Entrée",B3777&lt;&gt;"Sortie"),"Type inconnu",IF(ISNA(MATCH(C3777,art_ref,0)),"Référence inconnue",IF(OR(NOT(ISNUMBER(E3777)),N(E3777)&lt;=0),"Quantité invalide",IF(K3777&lt;0,"Stock négatif",IF(AND(ISNUMBER(A3776),A3777&lt;A3776),"Date hors ordre","OK"))))))))</f>
        <v/>
      </c>
      <c r="M3777" s="39" t="str">
        <f>IF(C3777="","",C3777&amp;"#"&amp;COUNTIF($C$5:C3777,C3777))</f>
        <v/>
      </c>
    </row>
    <row r="3778">
      <c r="A3778" s="41" t="n"/>
      <c r="B3778" s="37" t="n"/>
      <c r="C3778" s="37" t="n"/>
      <c r="D3778" s="39" t="str">
        <f>IF(C3778="","",IFERROR(INDEX(art_des,MATCH(C3778,art_ref,0))&amp;"","Référence inconnue"))</f>
        <v/>
      </c>
      <c r="E3778" s="37" t="n"/>
      <c r="F3778" s="39" t="str">
        <f>IF(C3778="","",IFERROR(INDEX(art_unit,MATCH(C3778,art_ref,0))&amp;"",""))</f>
        <v/>
      </c>
      <c r="G3778" s="37" t="n"/>
      <c r="H3778" s="37" t="n"/>
      <c r="I3778" s="37" t="n"/>
      <c r="J3778" s="40" t="str">
        <f>IF(OR(C3778="",NOT(ISNUMBER(E3778))),"",IFERROR(E3778*N(INDEX(art_price,MATCH(C3778,art_ref,0))),""))</f>
        <v/>
      </c>
      <c r="K3778" s="39" t="str">
        <f>IF(OR(C3778="",NOT(ISNUMBER(E3778))),"",IFERROR(ROUND(N(INDEX(art_init,MATCH(C3778,art_ref,0)))+SUMIFS($E$5:E3778,$C$5:C3778,C3778,$B$5:B3778,"Entrée")-SUMIFS($E$5:E3778,$C$5:C3778,C3778,$B$5:B3778,"Sortie"),6),""))</f>
        <v/>
      </c>
      <c r="L3778" s="39" t="str">
        <f>IF(COUNTA(A3778:C3778,E3778)=0,"",IF(COUNTA(A3778:C3778,E3778)&lt;4,"Ligne incomplète",IF(NOT(ISNUMBER(A3778)),"Date invalide",IF(AND(B3778&lt;&gt;"Entrée",B3778&lt;&gt;"Sortie"),"Type inconnu",IF(ISNA(MATCH(C3778,art_ref,0)),"Référence inconnue",IF(OR(NOT(ISNUMBER(E3778)),N(E3778)&lt;=0),"Quantité invalide",IF(K3778&lt;0,"Stock négatif",IF(AND(ISNUMBER(A3777),A3778&lt;A3777),"Date hors ordre","OK"))))))))</f>
        <v/>
      </c>
      <c r="M3778" s="39" t="str">
        <f>IF(C3778="","",C3778&amp;"#"&amp;COUNTIF($C$5:C3778,C3778))</f>
        <v/>
      </c>
    </row>
    <row r="3779">
      <c r="A3779" s="41" t="n"/>
      <c r="B3779" s="37" t="n"/>
      <c r="C3779" s="37" t="n"/>
      <c r="D3779" s="39" t="str">
        <f>IF(C3779="","",IFERROR(INDEX(art_des,MATCH(C3779,art_ref,0))&amp;"","Référence inconnue"))</f>
        <v/>
      </c>
      <c r="E3779" s="37" t="n"/>
      <c r="F3779" s="39" t="str">
        <f>IF(C3779="","",IFERROR(INDEX(art_unit,MATCH(C3779,art_ref,0))&amp;"",""))</f>
        <v/>
      </c>
      <c r="G3779" s="37" t="n"/>
      <c r="H3779" s="37" t="n"/>
      <c r="I3779" s="37" t="n"/>
      <c r="J3779" s="40" t="str">
        <f>IF(OR(C3779="",NOT(ISNUMBER(E3779))),"",IFERROR(E3779*N(INDEX(art_price,MATCH(C3779,art_ref,0))),""))</f>
        <v/>
      </c>
      <c r="K3779" s="39" t="str">
        <f>IF(OR(C3779="",NOT(ISNUMBER(E3779))),"",IFERROR(ROUND(N(INDEX(art_init,MATCH(C3779,art_ref,0)))+SUMIFS($E$5:E3779,$C$5:C3779,C3779,$B$5:B3779,"Entrée")-SUMIFS($E$5:E3779,$C$5:C3779,C3779,$B$5:B3779,"Sortie"),6),""))</f>
        <v/>
      </c>
      <c r="L3779" s="39" t="str">
        <f>IF(COUNTA(A3779:C3779,E3779)=0,"",IF(COUNTA(A3779:C3779,E3779)&lt;4,"Ligne incomplète",IF(NOT(ISNUMBER(A3779)),"Date invalide",IF(AND(B3779&lt;&gt;"Entrée",B3779&lt;&gt;"Sortie"),"Type inconnu",IF(ISNA(MATCH(C3779,art_ref,0)),"Référence inconnue",IF(OR(NOT(ISNUMBER(E3779)),N(E3779)&lt;=0),"Quantité invalide",IF(K3779&lt;0,"Stock négatif",IF(AND(ISNUMBER(A3778),A3779&lt;A3778),"Date hors ordre","OK"))))))))</f>
        <v/>
      </c>
      <c r="M3779" s="39" t="str">
        <f>IF(C3779="","",C3779&amp;"#"&amp;COUNTIF($C$5:C3779,C3779))</f>
        <v/>
      </c>
    </row>
    <row r="3780">
      <c r="A3780" s="41" t="n"/>
      <c r="B3780" s="37" t="n"/>
      <c r="C3780" s="37" t="n"/>
      <c r="D3780" s="39" t="str">
        <f>IF(C3780="","",IFERROR(INDEX(art_des,MATCH(C3780,art_ref,0))&amp;"","Référence inconnue"))</f>
        <v/>
      </c>
      <c r="E3780" s="37" t="n"/>
      <c r="F3780" s="39" t="str">
        <f>IF(C3780="","",IFERROR(INDEX(art_unit,MATCH(C3780,art_ref,0))&amp;"",""))</f>
        <v/>
      </c>
      <c r="G3780" s="37" t="n"/>
      <c r="H3780" s="37" t="n"/>
      <c r="I3780" s="37" t="n"/>
      <c r="J3780" s="40" t="str">
        <f>IF(OR(C3780="",NOT(ISNUMBER(E3780))),"",IFERROR(E3780*N(INDEX(art_price,MATCH(C3780,art_ref,0))),""))</f>
        <v/>
      </c>
      <c r="K3780" s="39" t="str">
        <f>IF(OR(C3780="",NOT(ISNUMBER(E3780))),"",IFERROR(ROUND(N(INDEX(art_init,MATCH(C3780,art_ref,0)))+SUMIFS($E$5:E3780,$C$5:C3780,C3780,$B$5:B3780,"Entrée")-SUMIFS($E$5:E3780,$C$5:C3780,C3780,$B$5:B3780,"Sortie"),6),""))</f>
        <v/>
      </c>
      <c r="L3780" s="39" t="str">
        <f>IF(COUNTA(A3780:C3780,E3780)=0,"",IF(COUNTA(A3780:C3780,E3780)&lt;4,"Ligne incomplète",IF(NOT(ISNUMBER(A3780)),"Date invalide",IF(AND(B3780&lt;&gt;"Entrée",B3780&lt;&gt;"Sortie"),"Type inconnu",IF(ISNA(MATCH(C3780,art_ref,0)),"Référence inconnue",IF(OR(NOT(ISNUMBER(E3780)),N(E3780)&lt;=0),"Quantité invalide",IF(K3780&lt;0,"Stock négatif",IF(AND(ISNUMBER(A3779),A3780&lt;A3779),"Date hors ordre","OK"))))))))</f>
        <v/>
      </c>
      <c r="M3780" s="39" t="str">
        <f>IF(C3780="","",C3780&amp;"#"&amp;COUNTIF($C$5:C3780,C3780))</f>
        <v/>
      </c>
    </row>
    <row r="3781">
      <c r="A3781" s="41" t="n"/>
      <c r="B3781" s="37" t="n"/>
      <c r="C3781" s="37" t="n"/>
      <c r="D3781" s="39" t="str">
        <f>IF(C3781="","",IFERROR(INDEX(art_des,MATCH(C3781,art_ref,0))&amp;"","Référence inconnue"))</f>
        <v/>
      </c>
      <c r="E3781" s="37" t="n"/>
      <c r="F3781" s="39" t="str">
        <f>IF(C3781="","",IFERROR(INDEX(art_unit,MATCH(C3781,art_ref,0))&amp;"",""))</f>
        <v/>
      </c>
      <c r="G3781" s="37" t="n"/>
      <c r="H3781" s="37" t="n"/>
      <c r="I3781" s="37" t="n"/>
      <c r="J3781" s="40" t="str">
        <f>IF(OR(C3781="",NOT(ISNUMBER(E3781))),"",IFERROR(E3781*N(INDEX(art_price,MATCH(C3781,art_ref,0))),""))</f>
        <v/>
      </c>
      <c r="K3781" s="39" t="str">
        <f>IF(OR(C3781="",NOT(ISNUMBER(E3781))),"",IFERROR(ROUND(N(INDEX(art_init,MATCH(C3781,art_ref,0)))+SUMIFS($E$5:E3781,$C$5:C3781,C3781,$B$5:B3781,"Entrée")-SUMIFS($E$5:E3781,$C$5:C3781,C3781,$B$5:B3781,"Sortie"),6),""))</f>
        <v/>
      </c>
      <c r="L3781" s="39" t="str">
        <f>IF(COUNTA(A3781:C3781,E3781)=0,"",IF(COUNTA(A3781:C3781,E3781)&lt;4,"Ligne incomplète",IF(NOT(ISNUMBER(A3781)),"Date invalide",IF(AND(B3781&lt;&gt;"Entrée",B3781&lt;&gt;"Sortie"),"Type inconnu",IF(ISNA(MATCH(C3781,art_ref,0)),"Référence inconnue",IF(OR(NOT(ISNUMBER(E3781)),N(E3781)&lt;=0),"Quantité invalide",IF(K3781&lt;0,"Stock négatif",IF(AND(ISNUMBER(A3780),A3781&lt;A3780),"Date hors ordre","OK"))))))))</f>
        <v/>
      </c>
      <c r="M3781" s="39" t="str">
        <f>IF(C3781="","",C3781&amp;"#"&amp;COUNTIF($C$5:C3781,C3781))</f>
        <v/>
      </c>
    </row>
    <row r="3782">
      <c r="A3782" s="41" t="n"/>
      <c r="B3782" s="37" t="n"/>
      <c r="C3782" s="37" t="n"/>
      <c r="D3782" s="39" t="str">
        <f>IF(C3782="","",IFERROR(INDEX(art_des,MATCH(C3782,art_ref,0))&amp;"","Référence inconnue"))</f>
        <v/>
      </c>
      <c r="E3782" s="37" t="n"/>
      <c r="F3782" s="39" t="str">
        <f>IF(C3782="","",IFERROR(INDEX(art_unit,MATCH(C3782,art_ref,0))&amp;"",""))</f>
        <v/>
      </c>
      <c r="G3782" s="37" t="n"/>
      <c r="H3782" s="37" t="n"/>
      <c r="I3782" s="37" t="n"/>
      <c r="J3782" s="40" t="str">
        <f>IF(OR(C3782="",NOT(ISNUMBER(E3782))),"",IFERROR(E3782*N(INDEX(art_price,MATCH(C3782,art_ref,0))),""))</f>
        <v/>
      </c>
      <c r="K3782" s="39" t="str">
        <f>IF(OR(C3782="",NOT(ISNUMBER(E3782))),"",IFERROR(ROUND(N(INDEX(art_init,MATCH(C3782,art_ref,0)))+SUMIFS($E$5:E3782,$C$5:C3782,C3782,$B$5:B3782,"Entrée")-SUMIFS($E$5:E3782,$C$5:C3782,C3782,$B$5:B3782,"Sortie"),6),""))</f>
        <v/>
      </c>
      <c r="L3782" s="39" t="str">
        <f>IF(COUNTA(A3782:C3782,E3782)=0,"",IF(COUNTA(A3782:C3782,E3782)&lt;4,"Ligne incomplète",IF(NOT(ISNUMBER(A3782)),"Date invalide",IF(AND(B3782&lt;&gt;"Entrée",B3782&lt;&gt;"Sortie"),"Type inconnu",IF(ISNA(MATCH(C3782,art_ref,0)),"Référence inconnue",IF(OR(NOT(ISNUMBER(E3782)),N(E3782)&lt;=0),"Quantité invalide",IF(K3782&lt;0,"Stock négatif",IF(AND(ISNUMBER(A3781),A3782&lt;A3781),"Date hors ordre","OK"))))))))</f>
        <v/>
      </c>
      <c r="M3782" s="39" t="str">
        <f>IF(C3782="","",C3782&amp;"#"&amp;COUNTIF($C$5:C3782,C3782))</f>
        <v/>
      </c>
    </row>
    <row r="3783">
      <c r="A3783" s="41" t="n"/>
      <c r="B3783" s="37" t="n"/>
      <c r="C3783" s="37" t="n"/>
      <c r="D3783" s="39" t="str">
        <f>IF(C3783="","",IFERROR(INDEX(art_des,MATCH(C3783,art_ref,0))&amp;"","Référence inconnue"))</f>
        <v/>
      </c>
      <c r="E3783" s="37" t="n"/>
      <c r="F3783" s="39" t="str">
        <f>IF(C3783="","",IFERROR(INDEX(art_unit,MATCH(C3783,art_ref,0))&amp;"",""))</f>
        <v/>
      </c>
      <c r="G3783" s="37" t="n"/>
      <c r="H3783" s="37" t="n"/>
      <c r="I3783" s="37" t="n"/>
      <c r="J3783" s="40" t="str">
        <f>IF(OR(C3783="",NOT(ISNUMBER(E3783))),"",IFERROR(E3783*N(INDEX(art_price,MATCH(C3783,art_ref,0))),""))</f>
        <v/>
      </c>
      <c r="K3783" s="39" t="str">
        <f>IF(OR(C3783="",NOT(ISNUMBER(E3783))),"",IFERROR(ROUND(N(INDEX(art_init,MATCH(C3783,art_ref,0)))+SUMIFS($E$5:E3783,$C$5:C3783,C3783,$B$5:B3783,"Entrée")-SUMIFS($E$5:E3783,$C$5:C3783,C3783,$B$5:B3783,"Sortie"),6),""))</f>
        <v/>
      </c>
      <c r="L3783" s="39" t="str">
        <f>IF(COUNTA(A3783:C3783,E3783)=0,"",IF(COUNTA(A3783:C3783,E3783)&lt;4,"Ligne incomplète",IF(NOT(ISNUMBER(A3783)),"Date invalide",IF(AND(B3783&lt;&gt;"Entrée",B3783&lt;&gt;"Sortie"),"Type inconnu",IF(ISNA(MATCH(C3783,art_ref,0)),"Référence inconnue",IF(OR(NOT(ISNUMBER(E3783)),N(E3783)&lt;=0),"Quantité invalide",IF(K3783&lt;0,"Stock négatif",IF(AND(ISNUMBER(A3782),A3783&lt;A3782),"Date hors ordre","OK"))))))))</f>
        <v/>
      </c>
      <c r="M3783" s="39" t="str">
        <f>IF(C3783="","",C3783&amp;"#"&amp;COUNTIF($C$5:C3783,C3783))</f>
        <v/>
      </c>
    </row>
    <row r="3784">
      <c r="A3784" s="41" t="n"/>
      <c r="B3784" s="37" t="n"/>
      <c r="C3784" s="37" t="n"/>
      <c r="D3784" s="39" t="str">
        <f>IF(C3784="","",IFERROR(INDEX(art_des,MATCH(C3784,art_ref,0))&amp;"","Référence inconnue"))</f>
        <v/>
      </c>
      <c r="E3784" s="37" t="n"/>
      <c r="F3784" s="39" t="str">
        <f>IF(C3784="","",IFERROR(INDEX(art_unit,MATCH(C3784,art_ref,0))&amp;"",""))</f>
        <v/>
      </c>
      <c r="G3784" s="37" t="n"/>
      <c r="H3784" s="37" t="n"/>
      <c r="I3784" s="37" t="n"/>
      <c r="J3784" s="40" t="str">
        <f>IF(OR(C3784="",NOT(ISNUMBER(E3784))),"",IFERROR(E3784*N(INDEX(art_price,MATCH(C3784,art_ref,0))),""))</f>
        <v/>
      </c>
      <c r="K3784" s="39" t="str">
        <f>IF(OR(C3784="",NOT(ISNUMBER(E3784))),"",IFERROR(ROUND(N(INDEX(art_init,MATCH(C3784,art_ref,0)))+SUMIFS($E$5:E3784,$C$5:C3784,C3784,$B$5:B3784,"Entrée")-SUMIFS($E$5:E3784,$C$5:C3784,C3784,$B$5:B3784,"Sortie"),6),""))</f>
        <v/>
      </c>
      <c r="L3784" s="39" t="str">
        <f>IF(COUNTA(A3784:C3784,E3784)=0,"",IF(COUNTA(A3784:C3784,E3784)&lt;4,"Ligne incomplète",IF(NOT(ISNUMBER(A3784)),"Date invalide",IF(AND(B3784&lt;&gt;"Entrée",B3784&lt;&gt;"Sortie"),"Type inconnu",IF(ISNA(MATCH(C3784,art_ref,0)),"Référence inconnue",IF(OR(NOT(ISNUMBER(E3784)),N(E3784)&lt;=0),"Quantité invalide",IF(K3784&lt;0,"Stock négatif",IF(AND(ISNUMBER(A3783),A3784&lt;A3783),"Date hors ordre","OK"))))))))</f>
        <v/>
      </c>
      <c r="M3784" s="39" t="str">
        <f>IF(C3784="","",C3784&amp;"#"&amp;COUNTIF($C$5:C3784,C3784))</f>
        <v/>
      </c>
    </row>
    <row r="3785">
      <c r="A3785" s="41" t="n"/>
      <c r="B3785" s="37" t="n"/>
      <c r="C3785" s="37" t="n"/>
      <c r="D3785" s="39" t="str">
        <f>IF(C3785="","",IFERROR(INDEX(art_des,MATCH(C3785,art_ref,0))&amp;"","Référence inconnue"))</f>
        <v/>
      </c>
      <c r="E3785" s="37" t="n"/>
      <c r="F3785" s="39" t="str">
        <f>IF(C3785="","",IFERROR(INDEX(art_unit,MATCH(C3785,art_ref,0))&amp;"",""))</f>
        <v/>
      </c>
      <c r="G3785" s="37" t="n"/>
      <c r="H3785" s="37" t="n"/>
      <c r="I3785" s="37" t="n"/>
      <c r="J3785" s="40" t="str">
        <f>IF(OR(C3785="",NOT(ISNUMBER(E3785))),"",IFERROR(E3785*N(INDEX(art_price,MATCH(C3785,art_ref,0))),""))</f>
        <v/>
      </c>
      <c r="K3785" s="39" t="str">
        <f>IF(OR(C3785="",NOT(ISNUMBER(E3785))),"",IFERROR(ROUND(N(INDEX(art_init,MATCH(C3785,art_ref,0)))+SUMIFS($E$5:E3785,$C$5:C3785,C3785,$B$5:B3785,"Entrée")-SUMIFS($E$5:E3785,$C$5:C3785,C3785,$B$5:B3785,"Sortie"),6),""))</f>
        <v/>
      </c>
      <c r="L3785" s="39" t="str">
        <f>IF(COUNTA(A3785:C3785,E3785)=0,"",IF(COUNTA(A3785:C3785,E3785)&lt;4,"Ligne incomplète",IF(NOT(ISNUMBER(A3785)),"Date invalide",IF(AND(B3785&lt;&gt;"Entrée",B3785&lt;&gt;"Sortie"),"Type inconnu",IF(ISNA(MATCH(C3785,art_ref,0)),"Référence inconnue",IF(OR(NOT(ISNUMBER(E3785)),N(E3785)&lt;=0),"Quantité invalide",IF(K3785&lt;0,"Stock négatif",IF(AND(ISNUMBER(A3784),A3785&lt;A3784),"Date hors ordre","OK"))))))))</f>
        <v/>
      </c>
      <c r="M3785" s="39" t="str">
        <f>IF(C3785="","",C3785&amp;"#"&amp;COUNTIF($C$5:C3785,C3785))</f>
        <v/>
      </c>
    </row>
    <row r="3786">
      <c r="A3786" s="41" t="n"/>
      <c r="B3786" s="37" t="n"/>
      <c r="C3786" s="37" t="n"/>
      <c r="D3786" s="39" t="str">
        <f>IF(C3786="","",IFERROR(INDEX(art_des,MATCH(C3786,art_ref,0))&amp;"","Référence inconnue"))</f>
        <v/>
      </c>
      <c r="E3786" s="37" t="n"/>
      <c r="F3786" s="39" t="str">
        <f>IF(C3786="","",IFERROR(INDEX(art_unit,MATCH(C3786,art_ref,0))&amp;"",""))</f>
        <v/>
      </c>
      <c r="G3786" s="37" t="n"/>
      <c r="H3786" s="37" t="n"/>
      <c r="I3786" s="37" t="n"/>
      <c r="J3786" s="40" t="str">
        <f>IF(OR(C3786="",NOT(ISNUMBER(E3786))),"",IFERROR(E3786*N(INDEX(art_price,MATCH(C3786,art_ref,0))),""))</f>
        <v/>
      </c>
      <c r="K3786" s="39" t="str">
        <f>IF(OR(C3786="",NOT(ISNUMBER(E3786))),"",IFERROR(ROUND(N(INDEX(art_init,MATCH(C3786,art_ref,0)))+SUMIFS($E$5:E3786,$C$5:C3786,C3786,$B$5:B3786,"Entrée")-SUMIFS($E$5:E3786,$C$5:C3786,C3786,$B$5:B3786,"Sortie"),6),""))</f>
        <v/>
      </c>
      <c r="L3786" s="39" t="str">
        <f>IF(COUNTA(A3786:C3786,E3786)=0,"",IF(COUNTA(A3786:C3786,E3786)&lt;4,"Ligne incomplète",IF(NOT(ISNUMBER(A3786)),"Date invalide",IF(AND(B3786&lt;&gt;"Entrée",B3786&lt;&gt;"Sortie"),"Type inconnu",IF(ISNA(MATCH(C3786,art_ref,0)),"Référence inconnue",IF(OR(NOT(ISNUMBER(E3786)),N(E3786)&lt;=0),"Quantité invalide",IF(K3786&lt;0,"Stock négatif",IF(AND(ISNUMBER(A3785),A3786&lt;A3785),"Date hors ordre","OK"))))))))</f>
        <v/>
      </c>
      <c r="M3786" s="39" t="str">
        <f>IF(C3786="","",C3786&amp;"#"&amp;COUNTIF($C$5:C3786,C3786))</f>
        <v/>
      </c>
    </row>
    <row r="3787">
      <c r="A3787" s="41" t="n"/>
      <c r="B3787" s="37" t="n"/>
      <c r="C3787" s="37" t="n"/>
      <c r="D3787" s="39" t="str">
        <f>IF(C3787="","",IFERROR(INDEX(art_des,MATCH(C3787,art_ref,0))&amp;"","Référence inconnue"))</f>
        <v/>
      </c>
      <c r="E3787" s="37" t="n"/>
      <c r="F3787" s="39" t="str">
        <f>IF(C3787="","",IFERROR(INDEX(art_unit,MATCH(C3787,art_ref,0))&amp;"",""))</f>
        <v/>
      </c>
      <c r="G3787" s="37" t="n"/>
      <c r="H3787" s="37" t="n"/>
      <c r="I3787" s="37" t="n"/>
      <c r="J3787" s="40" t="str">
        <f>IF(OR(C3787="",NOT(ISNUMBER(E3787))),"",IFERROR(E3787*N(INDEX(art_price,MATCH(C3787,art_ref,0))),""))</f>
        <v/>
      </c>
      <c r="K3787" s="39" t="str">
        <f>IF(OR(C3787="",NOT(ISNUMBER(E3787))),"",IFERROR(ROUND(N(INDEX(art_init,MATCH(C3787,art_ref,0)))+SUMIFS($E$5:E3787,$C$5:C3787,C3787,$B$5:B3787,"Entrée")-SUMIFS($E$5:E3787,$C$5:C3787,C3787,$B$5:B3787,"Sortie"),6),""))</f>
        <v/>
      </c>
      <c r="L3787" s="39" t="str">
        <f>IF(COUNTA(A3787:C3787,E3787)=0,"",IF(COUNTA(A3787:C3787,E3787)&lt;4,"Ligne incomplète",IF(NOT(ISNUMBER(A3787)),"Date invalide",IF(AND(B3787&lt;&gt;"Entrée",B3787&lt;&gt;"Sortie"),"Type inconnu",IF(ISNA(MATCH(C3787,art_ref,0)),"Référence inconnue",IF(OR(NOT(ISNUMBER(E3787)),N(E3787)&lt;=0),"Quantité invalide",IF(K3787&lt;0,"Stock négatif",IF(AND(ISNUMBER(A3786),A3787&lt;A3786),"Date hors ordre","OK"))))))))</f>
        <v/>
      </c>
      <c r="M3787" s="39" t="str">
        <f>IF(C3787="","",C3787&amp;"#"&amp;COUNTIF($C$5:C3787,C3787))</f>
        <v/>
      </c>
    </row>
    <row r="3788">
      <c r="A3788" s="41" t="n"/>
      <c r="B3788" s="37" t="n"/>
      <c r="C3788" s="37" t="n"/>
      <c r="D3788" s="39" t="str">
        <f>IF(C3788="","",IFERROR(INDEX(art_des,MATCH(C3788,art_ref,0))&amp;"","Référence inconnue"))</f>
        <v/>
      </c>
      <c r="E3788" s="37" t="n"/>
      <c r="F3788" s="39" t="str">
        <f>IF(C3788="","",IFERROR(INDEX(art_unit,MATCH(C3788,art_ref,0))&amp;"",""))</f>
        <v/>
      </c>
      <c r="G3788" s="37" t="n"/>
      <c r="H3788" s="37" t="n"/>
      <c r="I3788" s="37" t="n"/>
      <c r="J3788" s="40" t="str">
        <f>IF(OR(C3788="",NOT(ISNUMBER(E3788))),"",IFERROR(E3788*N(INDEX(art_price,MATCH(C3788,art_ref,0))),""))</f>
        <v/>
      </c>
      <c r="K3788" s="39" t="str">
        <f>IF(OR(C3788="",NOT(ISNUMBER(E3788))),"",IFERROR(ROUND(N(INDEX(art_init,MATCH(C3788,art_ref,0)))+SUMIFS($E$5:E3788,$C$5:C3788,C3788,$B$5:B3788,"Entrée")-SUMIFS($E$5:E3788,$C$5:C3788,C3788,$B$5:B3788,"Sortie"),6),""))</f>
        <v/>
      </c>
      <c r="L3788" s="39" t="str">
        <f>IF(COUNTA(A3788:C3788,E3788)=0,"",IF(COUNTA(A3788:C3788,E3788)&lt;4,"Ligne incomplète",IF(NOT(ISNUMBER(A3788)),"Date invalide",IF(AND(B3788&lt;&gt;"Entrée",B3788&lt;&gt;"Sortie"),"Type inconnu",IF(ISNA(MATCH(C3788,art_ref,0)),"Référence inconnue",IF(OR(NOT(ISNUMBER(E3788)),N(E3788)&lt;=0),"Quantité invalide",IF(K3788&lt;0,"Stock négatif",IF(AND(ISNUMBER(A3787),A3788&lt;A3787),"Date hors ordre","OK"))))))))</f>
        <v/>
      </c>
      <c r="M3788" s="39" t="str">
        <f>IF(C3788="","",C3788&amp;"#"&amp;COUNTIF($C$5:C3788,C3788))</f>
        <v/>
      </c>
    </row>
    <row r="3789">
      <c r="A3789" s="41" t="n"/>
      <c r="B3789" s="37" t="n"/>
      <c r="C3789" s="37" t="n"/>
      <c r="D3789" s="39" t="str">
        <f>IF(C3789="","",IFERROR(INDEX(art_des,MATCH(C3789,art_ref,0))&amp;"","Référence inconnue"))</f>
        <v/>
      </c>
      <c r="E3789" s="37" t="n"/>
      <c r="F3789" s="39" t="str">
        <f>IF(C3789="","",IFERROR(INDEX(art_unit,MATCH(C3789,art_ref,0))&amp;"",""))</f>
        <v/>
      </c>
      <c r="G3789" s="37" t="n"/>
      <c r="H3789" s="37" t="n"/>
      <c r="I3789" s="37" t="n"/>
      <c r="J3789" s="40" t="str">
        <f>IF(OR(C3789="",NOT(ISNUMBER(E3789))),"",IFERROR(E3789*N(INDEX(art_price,MATCH(C3789,art_ref,0))),""))</f>
        <v/>
      </c>
      <c r="K3789" s="39" t="str">
        <f>IF(OR(C3789="",NOT(ISNUMBER(E3789))),"",IFERROR(ROUND(N(INDEX(art_init,MATCH(C3789,art_ref,0)))+SUMIFS($E$5:E3789,$C$5:C3789,C3789,$B$5:B3789,"Entrée")-SUMIFS($E$5:E3789,$C$5:C3789,C3789,$B$5:B3789,"Sortie"),6),""))</f>
        <v/>
      </c>
      <c r="L3789" s="39" t="str">
        <f>IF(COUNTA(A3789:C3789,E3789)=0,"",IF(COUNTA(A3789:C3789,E3789)&lt;4,"Ligne incomplète",IF(NOT(ISNUMBER(A3789)),"Date invalide",IF(AND(B3789&lt;&gt;"Entrée",B3789&lt;&gt;"Sortie"),"Type inconnu",IF(ISNA(MATCH(C3789,art_ref,0)),"Référence inconnue",IF(OR(NOT(ISNUMBER(E3789)),N(E3789)&lt;=0),"Quantité invalide",IF(K3789&lt;0,"Stock négatif",IF(AND(ISNUMBER(A3788),A3789&lt;A3788),"Date hors ordre","OK"))))))))</f>
        <v/>
      </c>
      <c r="M3789" s="39" t="str">
        <f>IF(C3789="","",C3789&amp;"#"&amp;COUNTIF($C$5:C3789,C3789))</f>
        <v/>
      </c>
    </row>
    <row r="3790">
      <c r="A3790" s="41" t="n"/>
      <c r="B3790" s="37" t="n"/>
      <c r="C3790" s="37" t="n"/>
      <c r="D3790" s="39" t="str">
        <f>IF(C3790="","",IFERROR(INDEX(art_des,MATCH(C3790,art_ref,0))&amp;"","Référence inconnue"))</f>
        <v/>
      </c>
      <c r="E3790" s="37" t="n"/>
      <c r="F3790" s="39" t="str">
        <f>IF(C3790="","",IFERROR(INDEX(art_unit,MATCH(C3790,art_ref,0))&amp;"",""))</f>
        <v/>
      </c>
      <c r="G3790" s="37" t="n"/>
      <c r="H3790" s="37" t="n"/>
      <c r="I3790" s="37" t="n"/>
      <c r="J3790" s="40" t="str">
        <f>IF(OR(C3790="",NOT(ISNUMBER(E3790))),"",IFERROR(E3790*N(INDEX(art_price,MATCH(C3790,art_ref,0))),""))</f>
        <v/>
      </c>
      <c r="K3790" s="39" t="str">
        <f>IF(OR(C3790="",NOT(ISNUMBER(E3790))),"",IFERROR(ROUND(N(INDEX(art_init,MATCH(C3790,art_ref,0)))+SUMIFS($E$5:E3790,$C$5:C3790,C3790,$B$5:B3790,"Entrée")-SUMIFS($E$5:E3790,$C$5:C3790,C3790,$B$5:B3790,"Sortie"),6),""))</f>
        <v/>
      </c>
      <c r="L3790" s="39" t="str">
        <f>IF(COUNTA(A3790:C3790,E3790)=0,"",IF(COUNTA(A3790:C3790,E3790)&lt;4,"Ligne incomplète",IF(NOT(ISNUMBER(A3790)),"Date invalide",IF(AND(B3790&lt;&gt;"Entrée",B3790&lt;&gt;"Sortie"),"Type inconnu",IF(ISNA(MATCH(C3790,art_ref,0)),"Référence inconnue",IF(OR(NOT(ISNUMBER(E3790)),N(E3790)&lt;=0),"Quantité invalide",IF(K3790&lt;0,"Stock négatif",IF(AND(ISNUMBER(A3789),A3790&lt;A3789),"Date hors ordre","OK"))))))))</f>
        <v/>
      </c>
      <c r="M3790" s="39" t="str">
        <f>IF(C3790="","",C3790&amp;"#"&amp;COUNTIF($C$5:C3790,C3790))</f>
        <v/>
      </c>
    </row>
    <row r="3791">
      <c r="A3791" s="41" t="n"/>
      <c r="B3791" s="37" t="n"/>
      <c r="C3791" s="37" t="n"/>
      <c r="D3791" s="39" t="str">
        <f>IF(C3791="","",IFERROR(INDEX(art_des,MATCH(C3791,art_ref,0))&amp;"","Référence inconnue"))</f>
        <v/>
      </c>
      <c r="E3791" s="37" t="n"/>
      <c r="F3791" s="39" t="str">
        <f>IF(C3791="","",IFERROR(INDEX(art_unit,MATCH(C3791,art_ref,0))&amp;"",""))</f>
        <v/>
      </c>
      <c r="G3791" s="37" t="n"/>
      <c r="H3791" s="37" t="n"/>
      <c r="I3791" s="37" t="n"/>
      <c r="J3791" s="40" t="str">
        <f>IF(OR(C3791="",NOT(ISNUMBER(E3791))),"",IFERROR(E3791*N(INDEX(art_price,MATCH(C3791,art_ref,0))),""))</f>
        <v/>
      </c>
      <c r="K3791" s="39" t="str">
        <f>IF(OR(C3791="",NOT(ISNUMBER(E3791))),"",IFERROR(ROUND(N(INDEX(art_init,MATCH(C3791,art_ref,0)))+SUMIFS($E$5:E3791,$C$5:C3791,C3791,$B$5:B3791,"Entrée")-SUMIFS($E$5:E3791,$C$5:C3791,C3791,$B$5:B3791,"Sortie"),6),""))</f>
        <v/>
      </c>
      <c r="L3791" s="39" t="str">
        <f>IF(COUNTA(A3791:C3791,E3791)=0,"",IF(COUNTA(A3791:C3791,E3791)&lt;4,"Ligne incomplète",IF(NOT(ISNUMBER(A3791)),"Date invalide",IF(AND(B3791&lt;&gt;"Entrée",B3791&lt;&gt;"Sortie"),"Type inconnu",IF(ISNA(MATCH(C3791,art_ref,0)),"Référence inconnue",IF(OR(NOT(ISNUMBER(E3791)),N(E3791)&lt;=0),"Quantité invalide",IF(K3791&lt;0,"Stock négatif",IF(AND(ISNUMBER(A3790),A3791&lt;A3790),"Date hors ordre","OK"))))))))</f>
        <v/>
      </c>
      <c r="M3791" s="39" t="str">
        <f>IF(C3791="","",C3791&amp;"#"&amp;COUNTIF($C$5:C3791,C3791))</f>
        <v/>
      </c>
    </row>
    <row r="3792">
      <c r="A3792" s="41" t="n"/>
      <c r="B3792" s="37" t="n"/>
      <c r="C3792" s="37" t="n"/>
      <c r="D3792" s="39" t="str">
        <f>IF(C3792="","",IFERROR(INDEX(art_des,MATCH(C3792,art_ref,0))&amp;"","Référence inconnue"))</f>
        <v/>
      </c>
      <c r="E3792" s="37" t="n"/>
      <c r="F3792" s="39" t="str">
        <f>IF(C3792="","",IFERROR(INDEX(art_unit,MATCH(C3792,art_ref,0))&amp;"",""))</f>
        <v/>
      </c>
      <c r="G3792" s="37" t="n"/>
      <c r="H3792" s="37" t="n"/>
      <c r="I3792" s="37" t="n"/>
      <c r="J3792" s="40" t="str">
        <f>IF(OR(C3792="",NOT(ISNUMBER(E3792))),"",IFERROR(E3792*N(INDEX(art_price,MATCH(C3792,art_ref,0))),""))</f>
        <v/>
      </c>
      <c r="K3792" s="39" t="str">
        <f>IF(OR(C3792="",NOT(ISNUMBER(E3792))),"",IFERROR(ROUND(N(INDEX(art_init,MATCH(C3792,art_ref,0)))+SUMIFS($E$5:E3792,$C$5:C3792,C3792,$B$5:B3792,"Entrée")-SUMIFS($E$5:E3792,$C$5:C3792,C3792,$B$5:B3792,"Sortie"),6),""))</f>
        <v/>
      </c>
      <c r="L3792" s="39" t="str">
        <f>IF(COUNTA(A3792:C3792,E3792)=0,"",IF(COUNTA(A3792:C3792,E3792)&lt;4,"Ligne incomplète",IF(NOT(ISNUMBER(A3792)),"Date invalide",IF(AND(B3792&lt;&gt;"Entrée",B3792&lt;&gt;"Sortie"),"Type inconnu",IF(ISNA(MATCH(C3792,art_ref,0)),"Référence inconnue",IF(OR(NOT(ISNUMBER(E3792)),N(E3792)&lt;=0),"Quantité invalide",IF(K3792&lt;0,"Stock négatif",IF(AND(ISNUMBER(A3791),A3792&lt;A3791),"Date hors ordre","OK"))))))))</f>
        <v/>
      </c>
      <c r="M3792" s="39" t="str">
        <f>IF(C3792="","",C3792&amp;"#"&amp;COUNTIF($C$5:C3792,C3792))</f>
        <v/>
      </c>
    </row>
    <row r="3793">
      <c r="A3793" s="41" t="n"/>
      <c r="B3793" s="37" t="n"/>
      <c r="C3793" s="37" t="n"/>
      <c r="D3793" s="39" t="str">
        <f>IF(C3793="","",IFERROR(INDEX(art_des,MATCH(C3793,art_ref,0))&amp;"","Référence inconnue"))</f>
        <v/>
      </c>
      <c r="E3793" s="37" t="n"/>
      <c r="F3793" s="39" t="str">
        <f>IF(C3793="","",IFERROR(INDEX(art_unit,MATCH(C3793,art_ref,0))&amp;"",""))</f>
        <v/>
      </c>
      <c r="G3793" s="37" t="n"/>
      <c r="H3793" s="37" t="n"/>
      <c r="I3793" s="37" t="n"/>
      <c r="J3793" s="40" t="str">
        <f>IF(OR(C3793="",NOT(ISNUMBER(E3793))),"",IFERROR(E3793*N(INDEX(art_price,MATCH(C3793,art_ref,0))),""))</f>
        <v/>
      </c>
      <c r="K3793" s="39" t="str">
        <f>IF(OR(C3793="",NOT(ISNUMBER(E3793))),"",IFERROR(ROUND(N(INDEX(art_init,MATCH(C3793,art_ref,0)))+SUMIFS($E$5:E3793,$C$5:C3793,C3793,$B$5:B3793,"Entrée")-SUMIFS($E$5:E3793,$C$5:C3793,C3793,$B$5:B3793,"Sortie"),6),""))</f>
        <v/>
      </c>
      <c r="L3793" s="39" t="str">
        <f>IF(COUNTA(A3793:C3793,E3793)=0,"",IF(COUNTA(A3793:C3793,E3793)&lt;4,"Ligne incomplète",IF(NOT(ISNUMBER(A3793)),"Date invalide",IF(AND(B3793&lt;&gt;"Entrée",B3793&lt;&gt;"Sortie"),"Type inconnu",IF(ISNA(MATCH(C3793,art_ref,0)),"Référence inconnue",IF(OR(NOT(ISNUMBER(E3793)),N(E3793)&lt;=0),"Quantité invalide",IF(K3793&lt;0,"Stock négatif",IF(AND(ISNUMBER(A3792),A3793&lt;A3792),"Date hors ordre","OK"))))))))</f>
        <v/>
      </c>
      <c r="M3793" s="39" t="str">
        <f>IF(C3793="","",C3793&amp;"#"&amp;COUNTIF($C$5:C3793,C3793))</f>
        <v/>
      </c>
    </row>
    <row r="3794">
      <c r="A3794" s="41" t="n"/>
      <c r="B3794" s="37" t="n"/>
      <c r="C3794" s="37" t="n"/>
      <c r="D3794" s="39" t="str">
        <f>IF(C3794="","",IFERROR(INDEX(art_des,MATCH(C3794,art_ref,0))&amp;"","Référence inconnue"))</f>
        <v/>
      </c>
      <c r="E3794" s="37" t="n"/>
      <c r="F3794" s="39" t="str">
        <f>IF(C3794="","",IFERROR(INDEX(art_unit,MATCH(C3794,art_ref,0))&amp;"",""))</f>
        <v/>
      </c>
      <c r="G3794" s="37" t="n"/>
      <c r="H3794" s="37" t="n"/>
      <c r="I3794" s="37" t="n"/>
      <c r="J3794" s="40" t="str">
        <f>IF(OR(C3794="",NOT(ISNUMBER(E3794))),"",IFERROR(E3794*N(INDEX(art_price,MATCH(C3794,art_ref,0))),""))</f>
        <v/>
      </c>
      <c r="K3794" s="39" t="str">
        <f>IF(OR(C3794="",NOT(ISNUMBER(E3794))),"",IFERROR(ROUND(N(INDEX(art_init,MATCH(C3794,art_ref,0)))+SUMIFS($E$5:E3794,$C$5:C3794,C3794,$B$5:B3794,"Entrée")-SUMIFS($E$5:E3794,$C$5:C3794,C3794,$B$5:B3794,"Sortie"),6),""))</f>
        <v/>
      </c>
      <c r="L3794" s="39" t="str">
        <f>IF(COUNTA(A3794:C3794,E3794)=0,"",IF(COUNTA(A3794:C3794,E3794)&lt;4,"Ligne incomplète",IF(NOT(ISNUMBER(A3794)),"Date invalide",IF(AND(B3794&lt;&gt;"Entrée",B3794&lt;&gt;"Sortie"),"Type inconnu",IF(ISNA(MATCH(C3794,art_ref,0)),"Référence inconnue",IF(OR(NOT(ISNUMBER(E3794)),N(E3794)&lt;=0),"Quantité invalide",IF(K3794&lt;0,"Stock négatif",IF(AND(ISNUMBER(A3793),A3794&lt;A3793),"Date hors ordre","OK"))))))))</f>
        <v/>
      </c>
      <c r="M3794" s="39" t="str">
        <f>IF(C3794="","",C3794&amp;"#"&amp;COUNTIF($C$5:C3794,C3794))</f>
        <v/>
      </c>
    </row>
    <row r="3795">
      <c r="A3795" s="41" t="n"/>
      <c r="B3795" s="37" t="n"/>
      <c r="C3795" s="37" t="n"/>
      <c r="D3795" s="39" t="str">
        <f>IF(C3795="","",IFERROR(INDEX(art_des,MATCH(C3795,art_ref,0))&amp;"","Référence inconnue"))</f>
        <v/>
      </c>
      <c r="E3795" s="37" t="n"/>
      <c r="F3795" s="39" t="str">
        <f>IF(C3795="","",IFERROR(INDEX(art_unit,MATCH(C3795,art_ref,0))&amp;"",""))</f>
        <v/>
      </c>
      <c r="G3795" s="37" t="n"/>
      <c r="H3795" s="37" t="n"/>
      <c r="I3795" s="37" t="n"/>
      <c r="J3795" s="40" t="str">
        <f>IF(OR(C3795="",NOT(ISNUMBER(E3795))),"",IFERROR(E3795*N(INDEX(art_price,MATCH(C3795,art_ref,0))),""))</f>
        <v/>
      </c>
      <c r="K3795" s="39" t="str">
        <f>IF(OR(C3795="",NOT(ISNUMBER(E3795))),"",IFERROR(ROUND(N(INDEX(art_init,MATCH(C3795,art_ref,0)))+SUMIFS($E$5:E3795,$C$5:C3795,C3795,$B$5:B3795,"Entrée")-SUMIFS($E$5:E3795,$C$5:C3795,C3795,$B$5:B3795,"Sortie"),6),""))</f>
        <v/>
      </c>
      <c r="L3795" s="39" t="str">
        <f>IF(COUNTA(A3795:C3795,E3795)=0,"",IF(COUNTA(A3795:C3795,E3795)&lt;4,"Ligne incomplète",IF(NOT(ISNUMBER(A3795)),"Date invalide",IF(AND(B3795&lt;&gt;"Entrée",B3795&lt;&gt;"Sortie"),"Type inconnu",IF(ISNA(MATCH(C3795,art_ref,0)),"Référence inconnue",IF(OR(NOT(ISNUMBER(E3795)),N(E3795)&lt;=0),"Quantité invalide",IF(K3795&lt;0,"Stock négatif",IF(AND(ISNUMBER(A3794),A3795&lt;A3794),"Date hors ordre","OK"))))))))</f>
        <v/>
      </c>
      <c r="M3795" s="39" t="str">
        <f>IF(C3795="","",C3795&amp;"#"&amp;COUNTIF($C$5:C3795,C3795))</f>
        <v/>
      </c>
    </row>
    <row r="3796">
      <c r="A3796" s="41" t="n"/>
      <c r="B3796" s="37" t="n"/>
      <c r="C3796" s="37" t="n"/>
      <c r="D3796" s="39" t="str">
        <f>IF(C3796="","",IFERROR(INDEX(art_des,MATCH(C3796,art_ref,0))&amp;"","Référence inconnue"))</f>
        <v/>
      </c>
      <c r="E3796" s="37" t="n"/>
      <c r="F3796" s="39" t="str">
        <f>IF(C3796="","",IFERROR(INDEX(art_unit,MATCH(C3796,art_ref,0))&amp;"",""))</f>
        <v/>
      </c>
      <c r="G3796" s="37" t="n"/>
      <c r="H3796" s="37" t="n"/>
      <c r="I3796" s="37" t="n"/>
      <c r="J3796" s="40" t="str">
        <f>IF(OR(C3796="",NOT(ISNUMBER(E3796))),"",IFERROR(E3796*N(INDEX(art_price,MATCH(C3796,art_ref,0))),""))</f>
        <v/>
      </c>
      <c r="K3796" s="39" t="str">
        <f>IF(OR(C3796="",NOT(ISNUMBER(E3796))),"",IFERROR(ROUND(N(INDEX(art_init,MATCH(C3796,art_ref,0)))+SUMIFS($E$5:E3796,$C$5:C3796,C3796,$B$5:B3796,"Entrée")-SUMIFS($E$5:E3796,$C$5:C3796,C3796,$B$5:B3796,"Sortie"),6),""))</f>
        <v/>
      </c>
      <c r="L3796" s="39" t="str">
        <f>IF(COUNTA(A3796:C3796,E3796)=0,"",IF(COUNTA(A3796:C3796,E3796)&lt;4,"Ligne incomplète",IF(NOT(ISNUMBER(A3796)),"Date invalide",IF(AND(B3796&lt;&gt;"Entrée",B3796&lt;&gt;"Sortie"),"Type inconnu",IF(ISNA(MATCH(C3796,art_ref,0)),"Référence inconnue",IF(OR(NOT(ISNUMBER(E3796)),N(E3796)&lt;=0),"Quantité invalide",IF(K3796&lt;0,"Stock négatif",IF(AND(ISNUMBER(A3795),A3796&lt;A3795),"Date hors ordre","OK"))))))))</f>
        <v/>
      </c>
      <c r="M3796" s="39" t="str">
        <f>IF(C3796="","",C3796&amp;"#"&amp;COUNTIF($C$5:C3796,C3796))</f>
        <v/>
      </c>
    </row>
    <row r="3797">
      <c r="A3797" s="41" t="n"/>
      <c r="B3797" s="37" t="n"/>
      <c r="C3797" s="37" t="n"/>
      <c r="D3797" s="39" t="str">
        <f>IF(C3797="","",IFERROR(INDEX(art_des,MATCH(C3797,art_ref,0))&amp;"","Référence inconnue"))</f>
        <v/>
      </c>
      <c r="E3797" s="37" t="n"/>
      <c r="F3797" s="39" t="str">
        <f>IF(C3797="","",IFERROR(INDEX(art_unit,MATCH(C3797,art_ref,0))&amp;"",""))</f>
        <v/>
      </c>
      <c r="G3797" s="37" t="n"/>
      <c r="H3797" s="37" t="n"/>
      <c r="I3797" s="37" t="n"/>
      <c r="J3797" s="40" t="str">
        <f>IF(OR(C3797="",NOT(ISNUMBER(E3797))),"",IFERROR(E3797*N(INDEX(art_price,MATCH(C3797,art_ref,0))),""))</f>
        <v/>
      </c>
      <c r="K3797" s="39" t="str">
        <f>IF(OR(C3797="",NOT(ISNUMBER(E3797))),"",IFERROR(ROUND(N(INDEX(art_init,MATCH(C3797,art_ref,0)))+SUMIFS($E$5:E3797,$C$5:C3797,C3797,$B$5:B3797,"Entrée")-SUMIFS($E$5:E3797,$C$5:C3797,C3797,$B$5:B3797,"Sortie"),6),""))</f>
        <v/>
      </c>
      <c r="L3797" s="39" t="str">
        <f>IF(COUNTA(A3797:C3797,E3797)=0,"",IF(COUNTA(A3797:C3797,E3797)&lt;4,"Ligne incomplète",IF(NOT(ISNUMBER(A3797)),"Date invalide",IF(AND(B3797&lt;&gt;"Entrée",B3797&lt;&gt;"Sortie"),"Type inconnu",IF(ISNA(MATCH(C3797,art_ref,0)),"Référence inconnue",IF(OR(NOT(ISNUMBER(E3797)),N(E3797)&lt;=0),"Quantité invalide",IF(K3797&lt;0,"Stock négatif",IF(AND(ISNUMBER(A3796),A3797&lt;A3796),"Date hors ordre","OK"))))))))</f>
        <v/>
      </c>
      <c r="M3797" s="39" t="str">
        <f>IF(C3797="","",C3797&amp;"#"&amp;COUNTIF($C$5:C3797,C3797))</f>
        <v/>
      </c>
    </row>
    <row r="3798">
      <c r="A3798" s="41" t="n"/>
      <c r="B3798" s="37" t="n"/>
      <c r="C3798" s="37" t="n"/>
      <c r="D3798" s="39" t="str">
        <f>IF(C3798="","",IFERROR(INDEX(art_des,MATCH(C3798,art_ref,0))&amp;"","Référence inconnue"))</f>
        <v/>
      </c>
      <c r="E3798" s="37" t="n"/>
      <c r="F3798" s="39" t="str">
        <f>IF(C3798="","",IFERROR(INDEX(art_unit,MATCH(C3798,art_ref,0))&amp;"",""))</f>
        <v/>
      </c>
      <c r="G3798" s="37" t="n"/>
      <c r="H3798" s="37" t="n"/>
      <c r="I3798" s="37" t="n"/>
      <c r="J3798" s="40" t="str">
        <f>IF(OR(C3798="",NOT(ISNUMBER(E3798))),"",IFERROR(E3798*N(INDEX(art_price,MATCH(C3798,art_ref,0))),""))</f>
        <v/>
      </c>
      <c r="K3798" s="39" t="str">
        <f>IF(OR(C3798="",NOT(ISNUMBER(E3798))),"",IFERROR(ROUND(N(INDEX(art_init,MATCH(C3798,art_ref,0)))+SUMIFS($E$5:E3798,$C$5:C3798,C3798,$B$5:B3798,"Entrée")-SUMIFS($E$5:E3798,$C$5:C3798,C3798,$B$5:B3798,"Sortie"),6),""))</f>
        <v/>
      </c>
      <c r="L3798" s="39" t="str">
        <f>IF(COUNTA(A3798:C3798,E3798)=0,"",IF(COUNTA(A3798:C3798,E3798)&lt;4,"Ligne incomplète",IF(NOT(ISNUMBER(A3798)),"Date invalide",IF(AND(B3798&lt;&gt;"Entrée",B3798&lt;&gt;"Sortie"),"Type inconnu",IF(ISNA(MATCH(C3798,art_ref,0)),"Référence inconnue",IF(OR(NOT(ISNUMBER(E3798)),N(E3798)&lt;=0),"Quantité invalide",IF(K3798&lt;0,"Stock négatif",IF(AND(ISNUMBER(A3797),A3798&lt;A3797),"Date hors ordre","OK"))))))))</f>
        <v/>
      </c>
      <c r="M3798" s="39" t="str">
        <f>IF(C3798="","",C3798&amp;"#"&amp;COUNTIF($C$5:C3798,C3798))</f>
        <v/>
      </c>
    </row>
    <row r="3799">
      <c r="A3799" s="41" t="n"/>
      <c r="B3799" s="37" t="n"/>
      <c r="C3799" s="37" t="n"/>
      <c r="D3799" s="39" t="str">
        <f>IF(C3799="","",IFERROR(INDEX(art_des,MATCH(C3799,art_ref,0))&amp;"","Référence inconnue"))</f>
        <v/>
      </c>
      <c r="E3799" s="37" t="n"/>
      <c r="F3799" s="39" t="str">
        <f>IF(C3799="","",IFERROR(INDEX(art_unit,MATCH(C3799,art_ref,0))&amp;"",""))</f>
        <v/>
      </c>
      <c r="G3799" s="37" t="n"/>
      <c r="H3799" s="37" t="n"/>
      <c r="I3799" s="37" t="n"/>
      <c r="J3799" s="40" t="str">
        <f>IF(OR(C3799="",NOT(ISNUMBER(E3799))),"",IFERROR(E3799*N(INDEX(art_price,MATCH(C3799,art_ref,0))),""))</f>
        <v/>
      </c>
      <c r="K3799" s="39" t="str">
        <f>IF(OR(C3799="",NOT(ISNUMBER(E3799))),"",IFERROR(ROUND(N(INDEX(art_init,MATCH(C3799,art_ref,0)))+SUMIFS($E$5:E3799,$C$5:C3799,C3799,$B$5:B3799,"Entrée")-SUMIFS($E$5:E3799,$C$5:C3799,C3799,$B$5:B3799,"Sortie"),6),""))</f>
        <v/>
      </c>
      <c r="L3799" s="39" t="str">
        <f>IF(COUNTA(A3799:C3799,E3799)=0,"",IF(COUNTA(A3799:C3799,E3799)&lt;4,"Ligne incomplète",IF(NOT(ISNUMBER(A3799)),"Date invalide",IF(AND(B3799&lt;&gt;"Entrée",B3799&lt;&gt;"Sortie"),"Type inconnu",IF(ISNA(MATCH(C3799,art_ref,0)),"Référence inconnue",IF(OR(NOT(ISNUMBER(E3799)),N(E3799)&lt;=0),"Quantité invalide",IF(K3799&lt;0,"Stock négatif",IF(AND(ISNUMBER(A3798),A3799&lt;A3798),"Date hors ordre","OK"))))))))</f>
        <v/>
      </c>
      <c r="M3799" s="39" t="str">
        <f>IF(C3799="","",C3799&amp;"#"&amp;COUNTIF($C$5:C3799,C3799))</f>
        <v/>
      </c>
    </row>
    <row r="3800">
      <c r="A3800" s="41" t="n"/>
      <c r="B3800" s="37" t="n"/>
      <c r="C3800" s="37" t="n"/>
      <c r="D3800" s="39" t="str">
        <f>IF(C3800="","",IFERROR(INDEX(art_des,MATCH(C3800,art_ref,0))&amp;"","Référence inconnue"))</f>
        <v/>
      </c>
      <c r="E3800" s="37" t="n"/>
      <c r="F3800" s="39" t="str">
        <f>IF(C3800="","",IFERROR(INDEX(art_unit,MATCH(C3800,art_ref,0))&amp;"",""))</f>
        <v/>
      </c>
      <c r="G3800" s="37" t="n"/>
      <c r="H3800" s="37" t="n"/>
      <c r="I3800" s="37" t="n"/>
      <c r="J3800" s="40" t="str">
        <f>IF(OR(C3800="",NOT(ISNUMBER(E3800))),"",IFERROR(E3800*N(INDEX(art_price,MATCH(C3800,art_ref,0))),""))</f>
        <v/>
      </c>
      <c r="K3800" s="39" t="str">
        <f>IF(OR(C3800="",NOT(ISNUMBER(E3800))),"",IFERROR(ROUND(N(INDEX(art_init,MATCH(C3800,art_ref,0)))+SUMIFS($E$5:E3800,$C$5:C3800,C3800,$B$5:B3800,"Entrée")-SUMIFS($E$5:E3800,$C$5:C3800,C3800,$B$5:B3800,"Sortie"),6),""))</f>
        <v/>
      </c>
      <c r="L3800" s="39" t="str">
        <f>IF(COUNTA(A3800:C3800,E3800)=0,"",IF(COUNTA(A3800:C3800,E3800)&lt;4,"Ligne incomplète",IF(NOT(ISNUMBER(A3800)),"Date invalide",IF(AND(B3800&lt;&gt;"Entrée",B3800&lt;&gt;"Sortie"),"Type inconnu",IF(ISNA(MATCH(C3800,art_ref,0)),"Référence inconnue",IF(OR(NOT(ISNUMBER(E3800)),N(E3800)&lt;=0),"Quantité invalide",IF(K3800&lt;0,"Stock négatif",IF(AND(ISNUMBER(A3799),A3800&lt;A3799),"Date hors ordre","OK"))))))))</f>
        <v/>
      </c>
      <c r="M3800" s="39" t="str">
        <f>IF(C3800="","",C3800&amp;"#"&amp;COUNTIF($C$5:C3800,C3800))</f>
        <v/>
      </c>
    </row>
    <row r="3801">
      <c r="A3801" s="41" t="n"/>
      <c r="B3801" s="37" t="n"/>
      <c r="C3801" s="37" t="n"/>
      <c r="D3801" s="39" t="str">
        <f>IF(C3801="","",IFERROR(INDEX(art_des,MATCH(C3801,art_ref,0))&amp;"","Référence inconnue"))</f>
        <v/>
      </c>
      <c r="E3801" s="37" t="n"/>
      <c r="F3801" s="39" t="str">
        <f>IF(C3801="","",IFERROR(INDEX(art_unit,MATCH(C3801,art_ref,0))&amp;"",""))</f>
        <v/>
      </c>
      <c r="G3801" s="37" t="n"/>
      <c r="H3801" s="37" t="n"/>
      <c r="I3801" s="37" t="n"/>
      <c r="J3801" s="40" t="str">
        <f>IF(OR(C3801="",NOT(ISNUMBER(E3801))),"",IFERROR(E3801*N(INDEX(art_price,MATCH(C3801,art_ref,0))),""))</f>
        <v/>
      </c>
      <c r="K3801" s="39" t="str">
        <f>IF(OR(C3801="",NOT(ISNUMBER(E3801))),"",IFERROR(ROUND(N(INDEX(art_init,MATCH(C3801,art_ref,0)))+SUMIFS($E$5:E3801,$C$5:C3801,C3801,$B$5:B3801,"Entrée")-SUMIFS($E$5:E3801,$C$5:C3801,C3801,$B$5:B3801,"Sortie"),6),""))</f>
        <v/>
      </c>
      <c r="L3801" s="39" t="str">
        <f>IF(COUNTA(A3801:C3801,E3801)=0,"",IF(COUNTA(A3801:C3801,E3801)&lt;4,"Ligne incomplète",IF(NOT(ISNUMBER(A3801)),"Date invalide",IF(AND(B3801&lt;&gt;"Entrée",B3801&lt;&gt;"Sortie"),"Type inconnu",IF(ISNA(MATCH(C3801,art_ref,0)),"Référence inconnue",IF(OR(NOT(ISNUMBER(E3801)),N(E3801)&lt;=0),"Quantité invalide",IF(K3801&lt;0,"Stock négatif",IF(AND(ISNUMBER(A3800),A3801&lt;A3800),"Date hors ordre","OK"))))))))</f>
        <v/>
      </c>
      <c r="M3801" s="39" t="str">
        <f>IF(C3801="","",C3801&amp;"#"&amp;COUNTIF($C$5:C3801,C3801))</f>
        <v/>
      </c>
    </row>
    <row r="3802">
      <c r="A3802" s="41" t="n"/>
      <c r="B3802" s="37" t="n"/>
      <c r="C3802" s="37" t="n"/>
      <c r="D3802" s="39" t="str">
        <f>IF(C3802="","",IFERROR(INDEX(art_des,MATCH(C3802,art_ref,0))&amp;"","Référence inconnue"))</f>
        <v/>
      </c>
      <c r="E3802" s="37" t="n"/>
      <c r="F3802" s="39" t="str">
        <f>IF(C3802="","",IFERROR(INDEX(art_unit,MATCH(C3802,art_ref,0))&amp;"",""))</f>
        <v/>
      </c>
      <c r="G3802" s="37" t="n"/>
      <c r="H3802" s="37" t="n"/>
      <c r="I3802" s="37" t="n"/>
      <c r="J3802" s="40" t="str">
        <f>IF(OR(C3802="",NOT(ISNUMBER(E3802))),"",IFERROR(E3802*N(INDEX(art_price,MATCH(C3802,art_ref,0))),""))</f>
        <v/>
      </c>
      <c r="K3802" s="39" t="str">
        <f>IF(OR(C3802="",NOT(ISNUMBER(E3802))),"",IFERROR(ROUND(N(INDEX(art_init,MATCH(C3802,art_ref,0)))+SUMIFS($E$5:E3802,$C$5:C3802,C3802,$B$5:B3802,"Entrée")-SUMIFS($E$5:E3802,$C$5:C3802,C3802,$B$5:B3802,"Sortie"),6),""))</f>
        <v/>
      </c>
      <c r="L3802" s="39" t="str">
        <f>IF(COUNTA(A3802:C3802,E3802)=0,"",IF(COUNTA(A3802:C3802,E3802)&lt;4,"Ligne incomplète",IF(NOT(ISNUMBER(A3802)),"Date invalide",IF(AND(B3802&lt;&gt;"Entrée",B3802&lt;&gt;"Sortie"),"Type inconnu",IF(ISNA(MATCH(C3802,art_ref,0)),"Référence inconnue",IF(OR(NOT(ISNUMBER(E3802)),N(E3802)&lt;=0),"Quantité invalide",IF(K3802&lt;0,"Stock négatif",IF(AND(ISNUMBER(A3801),A3802&lt;A3801),"Date hors ordre","OK"))))))))</f>
        <v/>
      </c>
      <c r="M3802" s="39" t="str">
        <f>IF(C3802="","",C3802&amp;"#"&amp;COUNTIF($C$5:C3802,C3802))</f>
        <v/>
      </c>
    </row>
    <row r="3803">
      <c r="A3803" s="41" t="n"/>
      <c r="B3803" s="37" t="n"/>
      <c r="C3803" s="37" t="n"/>
      <c r="D3803" s="39" t="str">
        <f>IF(C3803="","",IFERROR(INDEX(art_des,MATCH(C3803,art_ref,0))&amp;"","Référence inconnue"))</f>
        <v/>
      </c>
      <c r="E3803" s="37" t="n"/>
      <c r="F3803" s="39" t="str">
        <f>IF(C3803="","",IFERROR(INDEX(art_unit,MATCH(C3803,art_ref,0))&amp;"",""))</f>
        <v/>
      </c>
      <c r="G3803" s="37" t="n"/>
      <c r="H3803" s="37" t="n"/>
      <c r="I3803" s="37" t="n"/>
      <c r="J3803" s="40" t="str">
        <f>IF(OR(C3803="",NOT(ISNUMBER(E3803))),"",IFERROR(E3803*N(INDEX(art_price,MATCH(C3803,art_ref,0))),""))</f>
        <v/>
      </c>
      <c r="K3803" s="39" t="str">
        <f>IF(OR(C3803="",NOT(ISNUMBER(E3803))),"",IFERROR(ROUND(N(INDEX(art_init,MATCH(C3803,art_ref,0)))+SUMIFS($E$5:E3803,$C$5:C3803,C3803,$B$5:B3803,"Entrée")-SUMIFS($E$5:E3803,$C$5:C3803,C3803,$B$5:B3803,"Sortie"),6),""))</f>
        <v/>
      </c>
      <c r="L3803" s="39" t="str">
        <f>IF(COUNTA(A3803:C3803,E3803)=0,"",IF(COUNTA(A3803:C3803,E3803)&lt;4,"Ligne incomplète",IF(NOT(ISNUMBER(A3803)),"Date invalide",IF(AND(B3803&lt;&gt;"Entrée",B3803&lt;&gt;"Sortie"),"Type inconnu",IF(ISNA(MATCH(C3803,art_ref,0)),"Référence inconnue",IF(OR(NOT(ISNUMBER(E3803)),N(E3803)&lt;=0),"Quantité invalide",IF(K3803&lt;0,"Stock négatif",IF(AND(ISNUMBER(A3802),A3803&lt;A3802),"Date hors ordre","OK"))))))))</f>
        <v/>
      </c>
      <c r="M3803" s="39" t="str">
        <f>IF(C3803="","",C3803&amp;"#"&amp;COUNTIF($C$5:C3803,C3803))</f>
        <v/>
      </c>
    </row>
    <row r="3804">
      <c r="A3804" s="41" t="n"/>
      <c r="B3804" s="37" t="n"/>
      <c r="C3804" s="37" t="n"/>
      <c r="D3804" s="39" t="str">
        <f>IF(C3804="","",IFERROR(INDEX(art_des,MATCH(C3804,art_ref,0))&amp;"","Référence inconnue"))</f>
        <v/>
      </c>
      <c r="E3804" s="37" t="n"/>
      <c r="F3804" s="39" t="str">
        <f>IF(C3804="","",IFERROR(INDEX(art_unit,MATCH(C3804,art_ref,0))&amp;"",""))</f>
        <v/>
      </c>
      <c r="G3804" s="37" t="n"/>
      <c r="H3804" s="37" t="n"/>
      <c r="I3804" s="37" t="n"/>
      <c r="J3804" s="40" t="str">
        <f>IF(OR(C3804="",NOT(ISNUMBER(E3804))),"",IFERROR(E3804*N(INDEX(art_price,MATCH(C3804,art_ref,0))),""))</f>
        <v/>
      </c>
      <c r="K3804" s="39" t="str">
        <f>IF(OR(C3804="",NOT(ISNUMBER(E3804))),"",IFERROR(ROUND(N(INDEX(art_init,MATCH(C3804,art_ref,0)))+SUMIFS($E$5:E3804,$C$5:C3804,C3804,$B$5:B3804,"Entrée")-SUMIFS($E$5:E3804,$C$5:C3804,C3804,$B$5:B3804,"Sortie"),6),""))</f>
        <v/>
      </c>
      <c r="L3804" s="39" t="str">
        <f>IF(COUNTA(A3804:C3804,E3804)=0,"",IF(COUNTA(A3804:C3804,E3804)&lt;4,"Ligne incomplète",IF(NOT(ISNUMBER(A3804)),"Date invalide",IF(AND(B3804&lt;&gt;"Entrée",B3804&lt;&gt;"Sortie"),"Type inconnu",IF(ISNA(MATCH(C3804,art_ref,0)),"Référence inconnue",IF(OR(NOT(ISNUMBER(E3804)),N(E3804)&lt;=0),"Quantité invalide",IF(K3804&lt;0,"Stock négatif",IF(AND(ISNUMBER(A3803),A3804&lt;A3803),"Date hors ordre","OK"))))))))</f>
        <v/>
      </c>
      <c r="M3804" s="39" t="str">
        <f>IF(C3804="","",C3804&amp;"#"&amp;COUNTIF($C$5:C3804,C3804))</f>
        <v/>
      </c>
    </row>
    <row r="3805">
      <c r="A3805" s="41" t="n"/>
      <c r="B3805" s="37" t="n"/>
      <c r="C3805" s="37" t="n"/>
      <c r="D3805" s="39" t="str">
        <f>IF(C3805="","",IFERROR(INDEX(art_des,MATCH(C3805,art_ref,0))&amp;"","Référence inconnue"))</f>
        <v/>
      </c>
      <c r="E3805" s="37" t="n"/>
      <c r="F3805" s="39" t="str">
        <f>IF(C3805="","",IFERROR(INDEX(art_unit,MATCH(C3805,art_ref,0))&amp;"",""))</f>
        <v/>
      </c>
      <c r="G3805" s="37" t="n"/>
      <c r="H3805" s="37" t="n"/>
      <c r="I3805" s="37" t="n"/>
      <c r="J3805" s="40" t="str">
        <f>IF(OR(C3805="",NOT(ISNUMBER(E3805))),"",IFERROR(E3805*N(INDEX(art_price,MATCH(C3805,art_ref,0))),""))</f>
        <v/>
      </c>
      <c r="K3805" s="39" t="str">
        <f>IF(OR(C3805="",NOT(ISNUMBER(E3805))),"",IFERROR(ROUND(N(INDEX(art_init,MATCH(C3805,art_ref,0)))+SUMIFS($E$5:E3805,$C$5:C3805,C3805,$B$5:B3805,"Entrée")-SUMIFS($E$5:E3805,$C$5:C3805,C3805,$B$5:B3805,"Sortie"),6),""))</f>
        <v/>
      </c>
      <c r="L3805" s="39" t="str">
        <f>IF(COUNTA(A3805:C3805,E3805)=0,"",IF(COUNTA(A3805:C3805,E3805)&lt;4,"Ligne incomplète",IF(NOT(ISNUMBER(A3805)),"Date invalide",IF(AND(B3805&lt;&gt;"Entrée",B3805&lt;&gt;"Sortie"),"Type inconnu",IF(ISNA(MATCH(C3805,art_ref,0)),"Référence inconnue",IF(OR(NOT(ISNUMBER(E3805)),N(E3805)&lt;=0),"Quantité invalide",IF(K3805&lt;0,"Stock négatif",IF(AND(ISNUMBER(A3804),A3805&lt;A3804),"Date hors ordre","OK"))))))))</f>
        <v/>
      </c>
      <c r="M3805" s="39" t="str">
        <f>IF(C3805="","",C3805&amp;"#"&amp;COUNTIF($C$5:C3805,C3805))</f>
        <v/>
      </c>
    </row>
    <row r="3806">
      <c r="A3806" s="41" t="n"/>
      <c r="B3806" s="37" t="n"/>
      <c r="C3806" s="37" t="n"/>
      <c r="D3806" s="39" t="str">
        <f>IF(C3806="","",IFERROR(INDEX(art_des,MATCH(C3806,art_ref,0))&amp;"","Référence inconnue"))</f>
        <v/>
      </c>
      <c r="E3806" s="37" t="n"/>
      <c r="F3806" s="39" t="str">
        <f>IF(C3806="","",IFERROR(INDEX(art_unit,MATCH(C3806,art_ref,0))&amp;"",""))</f>
        <v/>
      </c>
      <c r="G3806" s="37" t="n"/>
      <c r="H3806" s="37" t="n"/>
      <c r="I3806" s="37" t="n"/>
      <c r="J3806" s="40" t="str">
        <f>IF(OR(C3806="",NOT(ISNUMBER(E3806))),"",IFERROR(E3806*N(INDEX(art_price,MATCH(C3806,art_ref,0))),""))</f>
        <v/>
      </c>
      <c r="K3806" s="39" t="str">
        <f>IF(OR(C3806="",NOT(ISNUMBER(E3806))),"",IFERROR(ROUND(N(INDEX(art_init,MATCH(C3806,art_ref,0)))+SUMIFS($E$5:E3806,$C$5:C3806,C3806,$B$5:B3806,"Entrée")-SUMIFS($E$5:E3806,$C$5:C3806,C3806,$B$5:B3806,"Sortie"),6),""))</f>
        <v/>
      </c>
      <c r="L3806" s="39" t="str">
        <f>IF(COUNTA(A3806:C3806,E3806)=0,"",IF(COUNTA(A3806:C3806,E3806)&lt;4,"Ligne incomplète",IF(NOT(ISNUMBER(A3806)),"Date invalide",IF(AND(B3806&lt;&gt;"Entrée",B3806&lt;&gt;"Sortie"),"Type inconnu",IF(ISNA(MATCH(C3806,art_ref,0)),"Référence inconnue",IF(OR(NOT(ISNUMBER(E3806)),N(E3806)&lt;=0),"Quantité invalide",IF(K3806&lt;0,"Stock négatif",IF(AND(ISNUMBER(A3805),A3806&lt;A3805),"Date hors ordre","OK"))))))))</f>
        <v/>
      </c>
      <c r="M3806" s="39" t="str">
        <f>IF(C3806="","",C3806&amp;"#"&amp;COUNTIF($C$5:C3806,C3806))</f>
        <v/>
      </c>
    </row>
    <row r="3807">
      <c r="A3807" s="41" t="n"/>
      <c r="B3807" s="37" t="n"/>
      <c r="C3807" s="37" t="n"/>
      <c r="D3807" s="39" t="str">
        <f>IF(C3807="","",IFERROR(INDEX(art_des,MATCH(C3807,art_ref,0))&amp;"","Référence inconnue"))</f>
        <v/>
      </c>
      <c r="E3807" s="37" t="n"/>
      <c r="F3807" s="39" t="str">
        <f>IF(C3807="","",IFERROR(INDEX(art_unit,MATCH(C3807,art_ref,0))&amp;"",""))</f>
        <v/>
      </c>
      <c r="G3807" s="37" t="n"/>
      <c r="H3807" s="37" t="n"/>
      <c r="I3807" s="37" t="n"/>
      <c r="J3807" s="40" t="str">
        <f>IF(OR(C3807="",NOT(ISNUMBER(E3807))),"",IFERROR(E3807*N(INDEX(art_price,MATCH(C3807,art_ref,0))),""))</f>
        <v/>
      </c>
      <c r="K3807" s="39" t="str">
        <f>IF(OR(C3807="",NOT(ISNUMBER(E3807))),"",IFERROR(ROUND(N(INDEX(art_init,MATCH(C3807,art_ref,0)))+SUMIFS($E$5:E3807,$C$5:C3807,C3807,$B$5:B3807,"Entrée")-SUMIFS($E$5:E3807,$C$5:C3807,C3807,$B$5:B3807,"Sortie"),6),""))</f>
        <v/>
      </c>
      <c r="L3807" s="39" t="str">
        <f>IF(COUNTA(A3807:C3807,E3807)=0,"",IF(COUNTA(A3807:C3807,E3807)&lt;4,"Ligne incomplète",IF(NOT(ISNUMBER(A3807)),"Date invalide",IF(AND(B3807&lt;&gt;"Entrée",B3807&lt;&gt;"Sortie"),"Type inconnu",IF(ISNA(MATCH(C3807,art_ref,0)),"Référence inconnue",IF(OR(NOT(ISNUMBER(E3807)),N(E3807)&lt;=0),"Quantité invalide",IF(K3807&lt;0,"Stock négatif",IF(AND(ISNUMBER(A3806),A3807&lt;A3806),"Date hors ordre","OK"))))))))</f>
        <v/>
      </c>
      <c r="M3807" s="39" t="str">
        <f>IF(C3807="","",C3807&amp;"#"&amp;COUNTIF($C$5:C3807,C3807))</f>
        <v/>
      </c>
    </row>
    <row r="3808">
      <c r="A3808" s="41" t="n"/>
      <c r="B3808" s="37" t="n"/>
      <c r="C3808" s="37" t="n"/>
      <c r="D3808" s="39" t="str">
        <f>IF(C3808="","",IFERROR(INDEX(art_des,MATCH(C3808,art_ref,0))&amp;"","Référence inconnue"))</f>
        <v/>
      </c>
      <c r="E3808" s="37" t="n"/>
      <c r="F3808" s="39" t="str">
        <f>IF(C3808="","",IFERROR(INDEX(art_unit,MATCH(C3808,art_ref,0))&amp;"",""))</f>
        <v/>
      </c>
      <c r="G3808" s="37" t="n"/>
      <c r="H3808" s="37" t="n"/>
      <c r="I3808" s="37" t="n"/>
      <c r="J3808" s="40" t="str">
        <f>IF(OR(C3808="",NOT(ISNUMBER(E3808))),"",IFERROR(E3808*N(INDEX(art_price,MATCH(C3808,art_ref,0))),""))</f>
        <v/>
      </c>
      <c r="K3808" s="39" t="str">
        <f>IF(OR(C3808="",NOT(ISNUMBER(E3808))),"",IFERROR(ROUND(N(INDEX(art_init,MATCH(C3808,art_ref,0)))+SUMIFS($E$5:E3808,$C$5:C3808,C3808,$B$5:B3808,"Entrée")-SUMIFS($E$5:E3808,$C$5:C3808,C3808,$B$5:B3808,"Sortie"),6),""))</f>
        <v/>
      </c>
      <c r="L3808" s="39" t="str">
        <f>IF(COUNTA(A3808:C3808,E3808)=0,"",IF(COUNTA(A3808:C3808,E3808)&lt;4,"Ligne incomplète",IF(NOT(ISNUMBER(A3808)),"Date invalide",IF(AND(B3808&lt;&gt;"Entrée",B3808&lt;&gt;"Sortie"),"Type inconnu",IF(ISNA(MATCH(C3808,art_ref,0)),"Référence inconnue",IF(OR(NOT(ISNUMBER(E3808)),N(E3808)&lt;=0),"Quantité invalide",IF(K3808&lt;0,"Stock négatif",IF(AND(ISNUMBER(A3807),A3808&lt;A3807),"Date hors ordre","OK"))))))))</f>
        <v/>
      </c>
      <c r="M3808" s="39" t="str">
        <f>IF(C3808="","",C3808&amp;"#"&amp;COUNTIF($C$5:C3808,C3808))</f>
        <v/>
      </c>
    </row>
    <row r="3809">
      <c r="A3809" s="41" t="n"/>
      <c r="B3809" s="37" t="n"/>
      <c r="C3809" s="37" t="n"/>
      <c r="D3809" s="39" t="str">
        <f>IF(C3809="","",IFERROR(INDEX(art_des,MATCH(C3809,art_ref,0))&amp;"","Référence inconnue"))</f>
        <v/>
      </c>
      <c r="E3809" s="37" t="n"/>
      <c r="F3809" s="39" t="str">
        <f>IF(C3809="","",IFERROR(INDEX(art_unit,MATCH(C3809,art_ref,0))&amp;"",""))</f>
        <v/>
      </c>
      <c r="G3809" s="37" t="n"/>
      <c r="H3809" s="37" t="n"/>
      <c r="I3809" s="37" t="n"/>
      <c r="J3809" s="40" t="str">
        <f>IF(OR(C3809="",NOT(ISNUMBER(E3809))),"",IFERROR(E3809*N(INDEX(art_price,MATCH(C3809,art_ref,0))),""))</f>
        <v/>
      </c>
      <c r="K3809" s="39" t="str">
        <f>IF(OR(C3809="",NOT(ISNUMBER(E3809))),"",IFERROR(ROUND(N(INDEX(art_init,MATCH(C3809,art_ref,0)))+SUMIFS($E$5:E3809,$C$5:C3809,C3809,$B$5:B3809,"Entrée")-SUMIFS($E$5:E3809,$C$5:C3809,C3809,$B$5:B3809,"Sortie"),6),""))</f>
        <v/>
      </c>
      <c r="L3809" s="39" t="str">
        <f>IF(COUNTA(A3809:C3809,E3809)=0,"",IF(COUNTA(A3809:C3809,E3809)&lt;4,"Ligne incomplète",IF(NOT(ISNUMBER(A3809)),"Date invalide",IF(AND(B3809&lt;&gt;"Entrée",B3809&lt;&gt;"Sortie"),"Type inconnu",IF(ISNA(MATCH(C3809,art_ref,0)),"Référence inconnue",IF(OR(NOT(ISNUMBER(E3809)),N(E3809)&lt;=0),"Quantité invalide",IF(K3809&lt;0,"Stock négatif",IF(AND(ISNUMBER(A3808),A3809&lt;A3808),"Date hors ordre","OK"))))))))</f>
        <v/>
      </c>
      <c r="M3809" s="39" t="str">
        <f>IF(C3809="","",C3809&amp;"#"&amp;COUNTIF($C$5:C3809,C3809))</f>
        <v/>
      </c>
    </row>
    <row r="3810">
      <c r="A3810" s="41" t="n"/>
      <c r="B3810" s="37" t="n"/>
      <c r="C3810" s="37" t="n"/>
      <c r="D3810" s="39" t="str">
        <f>IF(C3810="","",IFERROR(INDEX(art_des,MATCH(C3810,art_ref,0))&amp;"","Référence inconnue"))</f>
        <v/>
      </c>
      <c r="E3810" s="37" t="n"/>
      <c r="F3810" s="39" t="str">
        <f>IF(C3810="","",IFERROR(INDEX(art_unit,MATCH(C3810,art_ref,0))&amp;"",""))</f>
        <v/>
      </c>
      <c r="G3810" s="37" t="n"/>
      <c r="H3810" s="37" t="n"/>
      <c r="I3810" s="37" t="n"/>
      <c r="J3810" s="40" t="str">
        <f>IF(OR(C3810="",NOT(ISNUMBER(E3810))),"",IFERROR(E3810*N(INDEX(art_price,MATCH(C3810,art_ref,0))),""))</f>
        <v/>
      </c>
      <c r="K3810" s="39" t="str">
        <f>IF(OR(C3810="",NOT(ISNUMBER(E3810))),"",IFERROR(ROUND(N(INDEX(art_init,MATCH(C3810,art_ref,0)))+SUMIFS($E$5:E3810,$C$5:C3810,C3810,$B$5:B3810,"Entrée")-SUMIFS($E$5:E3810,$C$5:C3810,C3810,$B$5:B3810,"Sortie"),6),""))</f>
        <v/>
      </c>
      <c r="L3810" s="39" t="str">
        <f>IF(COUNTA(A3810:C3810,E3810)=0,"",IF(COUNTA(A3810:C3810,E3810)&lt;4,"Ligne incomplète",IF(NOT(ISNUMBER(A3810)),"Date invalide",IF(AND(B3810&lt;&gt;"Entrée",B3810&lt;&gt;"Sortie"),"Type inconnu",IF(ISNA(MATCH(C3810,art_ref,0)),"Référence inconnue",IF(OR(NOT(ISNUMBER(E3810)),N(E3810)&lt;=0),"Quantité invalide",IF(K3810&lt;0,"Stock négatif",IF(AND(ISNUMBER(A3809),A3810&lt;A3809),"Date hors ordre","OK"))))))))</f>
        <v/>
      </c>
      <c r="M3810" s="39" t="str">
        <f>IF(C3810="","",C3810&amp;"#"&amp;COUNTIF($C$5:C3810,C3810))</f>
        <v/>
      </c>
    </row>
    <row r="3811">
      <c r="A3811" s="41" t="n"/>
      <c r="B3811" s="37" t="n"/>
      <c r="C3811" s="37" t="n"/>
      <c r="D3811" s="39" t="str">
        <f>IF(C3811="","",IFERROR(INDEX(art_des,MATCH(C3811,art_ref,0))&amp;"","Référence inconnue"))</f>
        <v/>
      </c>
      <c r="E3811" s="37" t="n"/>
      <c r="F3811" s="39" t="str">
        <f>IF(C3811="","",IFERROR(INDEX(art_unit,MATCH(C3811,art_ref,0))&amp;"",""))</f>
        <v/>
      </c>
      <c r="G3811" s="37" t="n"/>
      <c r="H3811" s="37" t="n"/>
      <c r="I3811" s="37" t="n"/>
      <c r="J3811" s="40" t="str">
        <f>IF(OR(C3811="",NOT(ISNUMBER(E3811))),"",IFERROR(E3811*N(INDEX(art_price,MATCH(C3811,art_ref,0))),""))</f>
        <v/>
      </c>
      <c r="K3811" s="39" t="str">
        <f>IF(OR(C3811="",NOT(ISNUMBER(E3811))),"",IFERROR(ROUND(N(INDEX(art_init,MATCH(C3811,art_ref,0)))+SUMIFS($E$5:E3811,$C$5:C3811,C3811,$B$5:B3811,"Entrée")-SUMIFS($E$5:E3811,$C$5:C3811,C3811,$B$5:B3811,"Sortie"),6),""))</f>
        <v/>
      </c>
      <c r="L3811" s="39" t="str">
        <f>IF(COUNTA(A3811:C3811,E3811)=0,"",IF(COUNTA(A3811:C3811,E3811)&lt;4,"Ligne incomplète",IF(NOT(ISNUMBER(A3811)),"Date invalide",IF(AND(B3811&lt;&gt;"Entrée",B3811&lt;&gt;"Sortie"),"Type inconnu",IF(ISNA(MATCH(C3811,art_ref,0)),"Référence inconnue",IF(OR(NOT(ISNUMBER(E3811)),N(E3811)&lt;=0),"Quantité invalide",IF(K3811&lt;0,"Stock négatif",IF(AND(ISNUMBER(A3810),A3811&lt;A3810),"Date hors ordre","OK"))))))))</f>
        <v/>
      </c>
      <c r="M3811" s="39" t="str">
        <f>IF(C3811="","",C3811&amp;"#"&amp;COUNTIF($C$5:C3811,C3811))</f>
        <v/>
      </c>
    </row>
    <row r="3812">
      <c r="A3812" s="41" t="n"/>
      <c r="B3812" s="37" t="n"/>
      <c r="C3812" s="37" t="n"/>
      <c r="D3812" s="39" t="str">
        <f>IF(C3812="","",IFERROR(INDEX(art_des,MATCH(C3812,art_ref,0))&amp;"","Référence inconnue"))</f>
        <v/>
      </c>
      <c r="E3812" s="37" t="n"/>
      <c r="F3812" s="39" t="str">
        <f>IF(C3812="","",IFERROR(INDEX(art_unit,MATCH(C3812,art_ref,0))&amp;"",""))</f>
        <v/>
      </c>
      <c r="G3812" s="37" t="n"/>
      <c r="H3812" s="37" t="n"/>
      <c r="I3812" s="37" t="n"/>
      <c r="J3812" s="40" t="str">
        <f>IF(OR(C3812="",NOT(ISNUMBER(E3812))),"",IFERROR(E3812*N(INDEX(art_price,MATCH(C3812,art_ref,0))),""))</f>
        <v/>
      </c>
      <c r="K3812" s="39" t="str">
        <f>IF(OR(C3812="",NOT(ISNUMBER(E3812))),"",IFERROR(ROUND(N(INDEX(art_init,MATCH(C3812,art_ref,0)))+SUMIFS($E$5:E3812,$C$5:C3812,C3812,$B$5:B3812,"Entrée")-SUMIFS($E$5:E3812,$C$5:C3812,C3812,$B$5:B3812,"Sortie"),6),""))</f>
        <v/>
      </c>
      <c r="L3812" s="39" t="str">
        <f>IF(COUNTA(A3812:C3812,E3812)=0,"",IF(COUNTA(A3812:C3812,E3812)&lt;4,"Ligne incomplète",IF(NOT(ISNUMBER(A3812)),"Date invalide",IF(AND(B3812&lt;&gt;"Entrée",B3812&lt;&gt;"Sortie"),"Type inconnu",IF(ISNA(MATCH(C3812,art_ref,0)),"Référence inconnue",IF(OR(NOT(ISNUMBER(E3812)),N(E3812)&lt;=0),"Quantité invalide",IF(K3812&lt;0,"Stock négatif",IF(AND(ISNUMBER(A3811),A3812&lt;A3811),"Date hors ordre","OK"))))))))</f>
        <v/>
      </c>
      <c r="M3812" s="39" t="str">
        <f>IF(C3812="","",C3812&amp;"#"&amp;COUNTIF($C$5:C3812,C3812))</f>
        <v/>
      </c>
    </row>
    <row r="3813">
      <c r="A3813" s="41" t="n"/>
      <c r="B3813" s="37" t="n"/>
      <c r="C3813" s="37" t="n"/>
      <c r="D3813" s="39" t="str">
        <f>IF(C3813="","",IFERROR(INDEX(art_des,MATCH(C3813,art_ref,0))&amp;"","Référence inconnue"))</f>
        <v/>
      </c>
      <c r="E3813" s="37" t="n"/>
      <c r="F3813" s="39" t="str">
        <f>IF(C3813="","",IFERROR(INDEX(art_unit,MATCH(C3813,art_ref,0))&amp;"",""))</f>
        <v/>
      </c>
      <c r="G3813" s="37" t="n"/>
      <c r="H3813" s="37" t="n"/>
      <c r="I3813" s="37" t="n"/>
      <c r="J3813" s="40" t="str">
        <f>IF(OR(C3813="",NOT(ISNUMBER(E3813))),"",IFERROR(E3813*N(INDEX(art_price,MATCH(C3813,art_ref,0))),""))</f>
        <v/>
      </c>
      <c r="K3813" s="39" t="str">
        <f>IF(OR(C3813="",NOT(ISNUMBER(E3813))),"",IFERROR(ROUND(N(INDEX(art_init,MATCH(C3813,art_ref,0)))+SUMIFS($E$5:E3813,$C$5:C3813,C3813,$B$5:B3813,"Entrée")-SUMIFS($E$5:E3813,$C$5:C3813,C3813,$B$5:B3813,"Sortie"),6),""))</f>
        <v/>
      </c>
      <c r="L3813" s="39" t="str">
        <f>IF(COUNTA(A3813:C3813,E3813)=0,"",IF(COUNTA(A3813:C3813,E3813)&lt;4,"Ligne incomplète",IF(NOT(ISNUMBER(A3813)),"Date invalide",IF(AND(B3813&lt;&gt;"Entrée",B3813&lt;&gt;"Sortie"),"Type inconnu",IF(ISNA(MATCH(C3813,art_ref,0)),"Référence inconnue",IF(OR(NOT(ISNUMBER(E3813)),N(E3813)&lt;=0),"Quantité invalide",IF(K3813&lt;0,"Stock négatif",IF(AND(ISNUMBER(A3812),A3813&lt;A3812),"Date hors ordre","OK"))))))))</f>
        <v/>
      </c>
      <c r="M3813" s="39" t="str">
        <f>IF(C3813="","",C3813&amp;"#"&amp;COUNTIF($C$5:C3813,C3813))</f>
        <v/>
      </c>
    </row>
    <row r="3814">
      <c r="A3814" s="41" t="n"/>
      <c r="B3814" s="37" t="n"/>
      <c r="C3814" s="37" t="n"/>
      <c r="D3814" s="39" t="str">
        <f>IF(C3814="","",IFERROR(INDEX(art_des,MATCH(C3814,art_ref,0))&amp;"","Référence inconnue"))</f>
        <v/>
      </c>
      <c r="E3814" s="37" t="n"/>
      <c r="F3814" s="39" t="str">
        <f>IF(C3814="","",IFERROR(INDEX(art_unit,MATCH(C3814,art_ref,0))&amp;"",""))</f>
        <v/>
      </c>
      <c r="G3814" s="37" t="n"/>
      <c r="H3814" s="37" t="n"/>
      <c r="I3814" s="37" t="n"/>
      <c r="J3814" s="40" t="str">
        <f>IF(OR(C3814="",NOT(ISNUMBER(E3814))),"",IFERROR(E3814*N(INDEX(art_price,MATCH(C3814,art_ref,0))),""))</f>
        <v/>
      </c>
      <c r="K3814" s="39" t="str">
        <f>IF(OR(C3814="",NOT(ISNUMBER(E3814))),"",IFERROR(ROUND(N(INDEX(art_init,MATCH(C3814,art_ref,0)))+SUMIFS($E$5:E3814,$C$5:C3814,C3814,$B$5:B3814,"Entrée")-SUMIFS($E$5:E3814,$C$5:C3814,C3814,$B$5:B3814,"Sortie"),6),""))</f>
        <v/>
      </c>
      <c r="L3814" s="39" t="str">
        <f>IF(COUNTA(A3814:C3814,E3814)=0,"",IF(COUNTA(A3814:C3814,E3814)&lt;4,"Ligne incomplète",IF(NOT(ISNUMBER(A3814)),"Date invalide",IF(AND(B3814&lt;&gt;"Entrée",B3814&lt;&gt;"Sortie"),"Type inconnu",IF(ISNA(MATCH(C3814,art_ref,0)),"Référence inconnue",IF(OR(NOT(ISNUMBER(E3814)),N(E3814)&lt;=0),"Quantité invalide",IF(K3814&lt;0,"Stock négatif",IF(AND(ISNUMBER(A3813),A3814&lt;A3813),"Date hors ordre","OK"))))))))</f>
        <v/>
      </c>
      <c r="M3814" s="39" t="str">
        <f>IF(C3814="","",C3814&amp;"#"&amp;COUNTIF($C$5:C3814,C3814))</f>
        <v/>
      </c>
    </row>
    <row r="3815">
      <c r="A3815" s="41" t="n"/>
      <c r="B3815" s="37" t="n"/>
      <c r="C3815" s="37" t="n"/>
      <c r="D3815" s="39" t="str">
        <f>IF(C3815="","",IFERROR(INDEX(art_des,MATCH(C3815,art_ref,0))&amp;"","Référence inconnue"))</f>
        <v/>
      </c>
      <c r="E3815" s="37" t="n"/>
      <c r="F3815" s="39" t="str">
        <f>IF(C3815="","",IFERROR(INDEX(art_unit,MATCH(C3815,art_ref,0))&amp;"",""))</f>
        <v/>
      </c>
      <c r="G3815" s="37" t="n"/>
      <c r="H3815" s="37" t="n"/>
      <c r="I3815" s="37" t="n"/>
      <c r="J3815" s="40" t="str">
        <f>IF(OR(C3815="",NOT(ISNUMBER(E3815))),"",IFERROR(E3815*N(INDEX(art_price,MATCH(C3815,art_ref,0))),""))</f>
        <v/>
      </c>
      <c r="K3815" s="39" t="str">
        <f>IF(OR(C3815="",NOT(ISNUMBER(E3815))),"",IFERROR(ROUND(N(INDEX(art_init,MATCH(C3815,art_ref,0)))+SUMIFS($E$5:E3815,$C$5:C3815,C3815,$B$5:B3815,"Entrée")-SUMIFS($E$5:E3815,$C$5:C3815,C3815,$B$5:B3815,"Sortie"),6),""))</f>
        <v/>
      </c>
      <c r="L3815" s="39" t="str">
        <f>IF(COUNTA(A3815:C3815,E3815)=0,"",IF(COUNTA(A3815:C3815,E3815)&lt;4,"Ligne incomplète",IF(NOT(ISNUMBER(A3815)),"Date invalide",IF(AND(B3815&lt;&gt;"Entrée",B3815&lt;&gt;"Sortie"),"Type inconnu",IF(ISNA(MATCH(C3815,art_ref,0)),"Référence inconnue",IF(OR(NOT(ISNUMBER(E3815)),N(E3815)&lt;=0),"Quantité invalide",IF(K3815&lt;0,"Stock négatif",IF(AND(ISNUMBER(A3814),A3815&lt;A3814),"Date hors ordre","OK"))))))))</f>
        <v/>
      </c>
      <c r="M3815" s="39" t="str">
        <f>IF(C3815="","",C3815&amp;"#"&amp;COUNTIF($C$5:C3815,C3815))</f>
        <v/>
      </c>
    </row>
    <row r="3816">
      <c r="A3816" s="41" t="n"/>
      <c r="B3816" s="37" t="n"/>
      <c r="C3816" s="37" t="n"/>
      <c r="D3816" s="39" t="str">
        <f>IF(C3816="","",IFERROR(INDEX(art_des,MATCH(C3816,art_ref,0))&amp;"","Référence inconnue"))</f>
        <v/>
      </c>
      <c r="E3816" s="37" t="n"/>
      <c r="F3816" s="39" t="str">
        <f>IF(C3816="","",IFERROR(INDEX(art_unit,MATCH(C3816,art_ref,0))&amp;"",""))</f>
        <v/>
      </c>
      <c r="G3816" s="37" t="n"/>
      <c r="H3816" s="37" t="n"/>
      <c r="I3816" s="37" t="n"/>
      <c r="J3816" s="40" t="str">
        <f>IF(OR(C3816="",NOT(ISNUMBER(E3816))),"",IFERROR(E3816*N(INDEX(art_price,MATCH(C3816,art_ref,0))),""))</f>
        <v/>
      </c>
      <c r="K3816" s="39" t="str">
        <f>IF(OR(C3816="",NOT(ISNUMBER(E3816))),"",IFERROR(ROUND(N(INDEX(art_init,MATCH(C3816,art_ref,0)))+SUMIFS($E$5:E3816,$C$5:C3816,C3816,$B$5:B3816,"Entrée")-SUMIFS($E$5:E3816,$C$5:C3816,C3816,$B$5:B3816,"Sortie"),6),""))</f>
        <v/>
      </c>
      <c r="L3816" s="39" t="str">
        <f>IF(COUNTA(A3816:C3816,E3816)=0,"",IF(COUNTA(A3816:C3816,E3816)&lt;4,"Ligne incomplète",IF(NOT(ISNUMBER(A3816)),"Date invalide",IF(AND(B3816&lt;&gt;"Entrée",B3816&lt;&gt;"Sortie"),"Type inconnu",IF(ISNA(MATCH(C3816,art_ref,0)),"Référence inconnue",IF(OR(NOT(ISNUMBER(E3816)),N(E3816)&lt;=0),"Quantité invalide",IF(K3816&lt;0,"Stock négatif",IF(AND(ISNUMBER(A3815),A3816&lt;A3815),"Date hors ordre","OK"))))))))</f>
        <v/>
      </c>
      <c r="M3816" s="39" t="str">
        <f>IF(C3816="","",C3816&amp;"#"&amp;COUNTIF($C$5:C3816,C3816))</f>
        <v/>
      </c>
    </row>
    <row r="3817">
      <c r="A3817" s="41" t="n"/>
      <c r="B3817" s="37" t="n"/>
      <c r="C3817" s="37" t="n"/>
      <c r="D3817" s="39" t="str">
        <f>IF(C3817="","",IFERROR(INDEX(art_des,MATCH(C3817,art_ref,0))&amp;"","Référence inconnue"))</f>
        <v/>
      </c>
      <c r="E3817" s="37" t="n"/>
      <c r="F3817" s="39" t="str">
        <f>IF(C3817="","",IFERROR(INDEX(art_unit,MATCH(C3817,art_ref,0))&amp;"",""))</f>
        <v/>
      </c>
      <c r="G3817" s="37" t="n"/>
      <c r="H3817" s="37" t="n"/>
      <c r="I3817" s="37" t="n"/>
      <c r="J3817" s="40" t="str">
        <f>IF(OR(C3817="",NOT(ISNUMBER(E3817))),"",IFERROR(E3817*N(INDEX(art_price,MATCH(C3817,art_ref,0))),""))</f>
        <v/>
      </c>
      <c r="K3817" s="39" t="str">
        <f>IF(OR(C3817="",NOT(ISNUMBER(E3817))),"",IFERROR(ROUND(N(INDEX(art_init,MATCH(C3817,art_ref,0)))+SUMIFS($E$5:E3817,$C$5:C3817,C3817,$B$5:B3817,"Entrée")-SUMIFS($E$5:E3817,$C$5:C3817,C3817,$B$5:B3817,"Sortie"),6),""))</f>
        <v/>
      </c>
      <c r="L3817" s="39" t="str">
        <f>IF(COUNTA(A3817:C3817,E3817)=0,"",IF(COUNTA(A3817:C3817,E3817)&lt;4,"Ligne incomplète",IF(NOT(ISNUMBER(A3817)),"Date invalide",IF(AND(B3817&lt;&gt;"Entrée",B3817&lt;&gt;"Sortie"),"Type inconnu",IF(ISNA(MATCH(C3817,art_ref,0)),"Référence inconnue",IF(OR(NOT(ISNUMBER(E3817)),N(E3817)&lt;=0),"Quantité invalide",IF(K3817&lt;0,"Stock négatif",IF(AND(ISNUMBER(A3816),A3817&lt;A3816),"Date hors ordre","OK"))))))))</f>
        <v/>
      </c>
      <c r="M3817" s="39" t="str">
        <f>IF(C3817="","",C3817&amp;"#"&amp;COUNTIF($C$5:C3817,C3817))</f>
        <v/>
      </c>
    </row>
    <row r="3818">
      <c r="A3818" s="41" t="n"/>
      <c r="B3818" s="37" t="n"/>
      <c r="C3818" s="37" t="n"/>
      <c r="D3818" s="39" t="str">
        <f>IF(C3818="","",IFERROR(INDEX(art_des,MATCH(C3818,art_ref,0))&amp;"","Référence inconnue"))</f>
        <v/>
      </c>
      <c r="E3818" s="37" t="n"/>
      <c r="F3818" s="39" t="str">
        <f>IF(C3818="","",IFERROR(INDEX(art_unit,MATCH(C3818,art_ref,0))&amp;"",""))</f>
        <v/>
      </c>
      <c r="G3818" s="37" t="n"/>
      <c r="H3818" s="37" t="n"/>
      <c r="I3818" s="37" t="n"/>
      <c r="J3818" s="40" t="str">
        <f>IF(OR(C3818="",NOT(ISNUMBER(E3818))),"",IFERROR(E3818*N(INDEX(art_price,MATCH(C3818,art_ref,0))),""))</f>
        <v/>
      </c>
      <c r="K3818" s="39" t="str">
        <f>IF(OR(C3818="",NOT(ISNUMBER(E3818))),"",IFERROR(ROUND(N(INDEX(art_init,MATCH(C3818,art_ref,0)))+SUMIFS($E$5:E3818,$C$5:C3818,C3818,$B$5:B3818,"Entrée")-SUMIFS($E$5:E3818,$C$5:C3818,C3818,$B$5:B3818,"Sortie"),6),""))</f>
        <v/>
      </c>
      <c r="L3818" s="39" t="str">
        <f>IF(COUNTA(A3818:C3818,E3818)=0,"",IF(COUNTA(A3818:C3818,E3818)&lt;4,"Ligne incomplète",IF(NOT(ISNUMBER(A3818)),"Date invalide",IF(AND(B3818&lt;&gt;"Entrée",B3818&lt;&gt;"Sortie"),"Type inconnu",IF(ISNA(MATCH(C3818,art_ref,0)),"Référence inconnue",IF(OR(NOT(ISNUMBER(E3818)),N(E3818)&lt;=0),"Quantité invalide",IF(K3818&lt;0,"Stock négatif",IF(AND(ISNUMBER(A3817),A3818&lt;A3817),"Date hors ordre","OK"))))))))</f>
        <v/>
      </c>
      <c r="M3818" s="39" t="str">
        <f>IF(C3818="","",C3818&amp;"#"&amp;COUNTIF($C$5:C3818,C3818))</f>
        <v/>
      </c>
    </row>
    <row r="3819">
      <c r="A3819" s="41" t="n"/>
      <c r="B3819" s="37" t="n"/>
      <c r="C3819" s="37" t="n"/>
      <c r="D3819" s="39" t="str">
        <f>IF(C3819="","",IFERROR(INDEX(art_des,MATCH(C3819,art_ref,0))&amp;"","Référence inconnue"))</f>
        <v/>
      </c>
      <c r="E3819" s="37" t="n"/>
      <c r="F3819" s="39" t="str">
        <f>IF(C3819="","",IFERROR(INDEX(art_unit,MATCH(C3819,art_ref,0))&amp;"",""))</f>
        <v/>
      </c>
      <c r="G3819" s="37" t="n"/>
      <c r="H3819" s="37" t="n"/>
      <c r="I3819" s="37" t="n"/>
      <c r="J3819" s="40" t="str">
        <f>IF(OR(C3819="",NOT(ISNUMBER(E3819))),"",IFERROR(E3819*N(INDEX(art_price,MATCH(C3819,art_ref,0))),""))</f>
        <v/>
      </c>
      <c r="K3819" s="39" t="str">
        <f>IF(OR(C3819="",NOT(ISNUMBER(E3819))),"",IFERROR(ROUND(N(INDEX(art_init,MATCH(C3819,art_ref,0)))+SUMIFS($E$5:E3819,$C$5:C3819,C3819,$B$5:B3819,"Entrée")-SUMIFS($E$5:E3819,$C$5:C3819,C3819,$B$5:B3819,"Sortie"),6),""))</f>
        <v/>
      </c>
      <c r="L3819" s="39" t="str">
        <f>IF(COUNTA(A3819:C3819,E3819)=0,"",IF(COUNTA(A3819:C3819,E3819)&lt;4,"Ligne incomplète",IF(NOT(ISNUMBER(A3819)),"Date invalide",IF(AND(B3819&lt;&gt;"Entrée",B3819&lt;&gt;"Sortie"),"Type inconnu",IF(ISNA(MATCH(C3819,art_ref,0)),"Référence inconnue",IF(OR(NOT(ISNUMBER(E3819)),N(E3819)&lt;=0),"Quantité invalide",IF(K3819&lt;0,"Stock négatif",IF(AND(ISNUMBER(A3818),A3819&lt;A3818),"Date hors ordre","OK"))))))))</f>
        <v/>
      </c>
      <c r="M3819" s="39" t="str">
        <f>IF(C3819="","",C3819&amp;"#"&amp;COUNTIF($C$5:C3819,C3819))</f>
        <v/>
      </c>
    </row>
    <row r="3820">
      <c r="A3820" s="41" t="n"/>
      <c r="B3820" s="37" t="n"/>
      <c r="C3820" s="37" t="n"/>
      <c r="D3820" s="39" t="str">
        <f>IF(C3820="","",IFERROR(INDEX(art_des,MATCH(C3820,art_ref,0))&amp;"","Référence inconnue"))</f>
        <v/>
      </c>
      <c r="E3820" s="37" t="n"/>
      <c r="F3820" s="39" t="str">
        <f>IF(C3820="","",IFERROR(INDEX(art_unit,MATCH(C3820,art_ref,0))&amp;"",""))</f>
        <v/>
      </c>
      <c r="G3820" s="37" t="n"/>
      <c r="H3820" s="37" t="n"/>
      <c r="I3820" s="37" t="n"/>
      <c r="J3820" s="40" t="str">
        <f>IF(OR(C3820="",NOT(ISNUMBER(E3820))),"",IFERROR(E3820*N(INDEX(art_price,MATCH(C3820,art_ref,0))),""))</f>
        <v/>
      </c>
      <c r="K3820" s="39" t="str">
        <f>IF(OR(C3820="",NOT(ISNUMBER(E3820))),"",IFERROR(ROUND(N(INDEX(art_init,MATCH(C3820,art_ref,0)))+SUMIFS($E$5:E3820,$C$5:C3820,C3820,$B$5:B3820,"Entrée")-SUMIFS($E$5:E3820,$C$5:C3820,C3820,$B$5:B3820,"Sortie"),6),""))</f>
        <v/>
      </c>
      <c r="L3820" s="39" t="str">
        <f>IF(COUNTA(A3820:C3820,E3820)=0,"",IF(COUNTA(A3820:C3820,E3820)&lt;4,"Ligne incomplète",IF(NOT(ISNUMBER(A3820)),"Date invalide",IF(AND(B3820&lt;&gt;"Entrée",B3820&lt;&gt;"Sortie"),"Type inconnu",IF(ISNA(MATCH(C3820,art_ref,0)),"Référence inconnue",IF(OR(NOT(ISNUMBER(E3820)),N(E3820)&lt;=0),"Quantité invalide",IF(K3820&lt;0,"Stock négatif",IF(AND(ISNUMBER(A3819),A3820&lt;A3819),"Date hors ordre","OK"))))))))</f>
        <v/>
      </c>
      <c r="M3820" s="39" t="str">
        <f>IF(C3820="","",C3820&amp;"#"&amp;COUNTIF($C$5:C3820,C3820))</f>
        <v/>
      </c>
    </row>
    <row r="3821">
      <c r="A3821" s="41" t="n"/>
      <c r="B3821" s="37" t="n"/>
      <c r="C3821" s="37" t="n"/>
      <c r="D3821" s="39" t="str">
        <f>IF(C3821="","",IFERROR(INDEX(art_des,MATCH(C3821,art_ref,0))&amp;"","Référence inconnue"))</f>
        <v/>
      </c>
      <c r="E3821" s="37" t="n"/>
      <c r="F3821" s="39" t="str">
        <f>IF(C3821="","",IFERROR(INDEX(art_unit,MATCH(C3821,art_ref,0))&amp;"",""))</f>
        <v/>
      </c>
      <c r="G3821" s="37" t="n"/>
      <c r="H3821" s="37" t="n"/>
      <c r="I3821" s="37" t="n"/>
      <c r="J3821" s="40" t="str">
        <f>IF(OR(C3821="",NOT(ISNUMBER(E3821))),"",IFERROR(E3821*N(INDEX(art_price,MATCH(C3821,art_ref,0))),""))</f>
        <v/>
      </c>
      <c r="K3821" s="39" t="str">
        <f>IF(OR(C3821="",NOT(ISNUMBER(E3821))),"",IFERROR(ROUND(N(INDEX(art_init,MATCH(C3821,art_ref,0)))+SUMIFS($E$5:E3821,$C$5:C3821,C3821,$B$5:B3821,"Entrée")-SUMIFS($E$5:E3821,$C$5:C3821,C3821,$B$5:B3821,"Sortie"),6),""))</f>
        <v/>
      </c>
      <c r="L3821" s="39" t="str">
        <f>IF(COUNTA(A3821:C3821,E3821)=0,"",IF(COUNTA(A3821:C3821,E3821)&lt;4,"Ligne incomplète",IF(NOT(ISNUMBER(A3821)),"Date invalide",IF(AND(B3821&lt;&gt;"Entrée",B3821&lt;&gt;"Sortie"),"Type inconnu",IF(ISNA(MATCH(C3821,art_ref,0)),"Référence inconnue",IF(OR(NOT(ISNUMBER(E3821)),N(E3821)&lt;=0),"Quantité invalide",IF(K3821&lt;0,"Stock négatif",IF(AND(ISNUMBER(A3820),A3821&lt;A3820),"Date hors ordre","OK"))))))))</f>
        <v/>
      </c>
      <c r="M3821" s="39" t="str">
        <f>IF(C3821="","",C3821&amp;"#"&amp;COUNTIF($C$5:C3821,C3821))</f>
        <v/>
      </c>
    </row>
    <row r="3822">
      <c r="A3822" s="41" t="n"/>
      <c r="B3822" s="37" t="n"/>
      <c r="C3822" s="37" t="n"/>
      <c r="D3822" s="39" t="str">
        <f>IF(C3822="","",IFERROR(INDEX(art_des,MATCH(C3822,art_ref,0))&amp;"","Référence inconnue"))</f>
        <v/>
      </c>
      <c r="E3822" s="37" t="n"/>
      <c r="F3822" s="39" t="str">
        <f>IF(C3822="","",IFERROR(INDEX(art_unit,MATCH(C3822,art_ref,0))&amp;"",""))</f>
        <v/>
      </c>
      <c r="G3822" s="37" t="n"/>
      <c r="H3822" s="37" t="n"/>
      <c r="I3822" s="37" t="n"/>
      <c r="J3822" s="40" t="str">
        <f>IF(OR(C3822="",NOT(ISNUMBER(E3822))),"",IFERROR(E3822*N(INDEX(art_price,MATCH(C3822,art_ref,0))),""))</f>
        <v/>
      </c>
      <c r="K3822" s="39" t="str">
        <f>IF(OR(C3822="",NOT(ISNUMBER(E3822))),"",IFERROR(ROUND(N(INDEX(art_init,MATCH(C3822,art_ref,0)))+SUMIFS($E$5:E3822,$C$5:C3822,C3822,$B$5:B3822,"Entrée")-SUMIFS($E$5:E3822,$C$5:C3822,C3822,$B$5:B3822,"Sortie"),6),""))</f>
        <v/>
      </c>
      <c r="L3822" s="39" t="str">
        <f>IF(COUNTA(A3822:C3822,E3822)=0,"",IF(COUNTA(A3822:C3822,E3822)&lt;4,"Ligne incomplète",IF(NOT(ISNUMBER(A3822)),"Date invalide",IF(AND(B3822&lt;&gt;"Entrée",B3822&lt;&gt;"Sortie"),"Type inconnu",IF(ISNA(MATCH(C3822,art_ref,0)),"Référence inconnue",IF(OR(NOT(ISNUMBER(E3822)),N(E3822)&lt;=0),"Quantité invalide",IF(K3822&lt;0,"Stock négatif",IF(AND(ISNUMBER(A3821),A3822&lt;A3821),"Date hors ordre","OK"))))))))</f>
        <v/>
      </c>
      <c r="M3822" s="39" t="str">
        <f>IF(C3822="","",C3822&amp;"#"&amp;COUNTIF($C$5:C3822,C3822))</f>
        <v/>
      </c>
    </row>
    <row r="3823">
      <c r="A3823" s="41" t="n"/>
      <c r="B3823" s="37" t="n"/>
      <c r="C3823" s="37" t="n"/>
      <c r="D3823" s="39" t="str">
        <f>IF(C3823="","",IFERROR(INDEX(art_des,MATCH(C3823,art_ref,0))&amp;"","Référence inconnue"))</f>
        <v/>
      </c>
      <c r="E3823" s="37" t="n"/>
      <c r="F3823" s="39" t="str">
        <f>IF(C3823="","",IFERROR(INDEX(art_unit,MATCH(C3823,art_ref,0))&amp;"",""))</f>
        <v/>
      </c>
      <c r="G3823" s="37" t="n"/>
      <c r="H3823" s="37" t="n"/>
      <c r="I3823" s="37" t="n"/>
      <c r="J3823" s="40" t="str">
        <f>IF(OR(C3823="",NOT(ISNUMBER(E3823))),"",IFERROR(E3823*N(INDEX(art_price,MATCH(C3823,art_ref,0))),""))</f>
        <v/>
      </c>
      <c r="K3823" s="39" t="str">
        <f>IF(OR(C3823="",NOT(ISNUMBER(E3823))),"",IFERROR(ROUND(N(INDEX(art_init,MATCH(C3823,art_ref,0)))+SUMIFS($E$5:E3823,$C$5:C3823,C3823,$B$5:B3823,"Entrée")-SUMIFS($E$5:E3823,$C$5:C3823,C3823,$B$5:B3823,"Sortie"),6),""))</f>
        <v/>
      </c>
      <c r="L3823" s="39" t="str">
        <f>IF(COUNTA(A3823:C3823,E3823)=0,"",IF(COUNTA(A3823:C3823,E3823)&lt;4,"Ligne incomplète",IF(NOT(ISNUMBER(A3823)),"Date invalide",IF(AND(B3823&lt;&gt;"Entrée",B3823&lt;&gt;"Sortie"),"Type inconnu",IF(ISNA(MATCH(C3823,art_ref,0)),"Référence inconnue",IF(OR(NOT(ISNUMBER(E3823)),N(E3823)&lt;=0),"Quantité invalide",IF(K3823&lt;0,"Stock négatif",IF(AND(ISNUMBER(A3822),A3823&lt;A3822),"Date hors ordre","OK"))))))))</f>
        <v/>
      </c>
      <c r="M3823" s="39" t="str">
        <f>IF(C3823="","",C3823&amp;"#"&amp;COUNTIF($C$5:C3823,C3823))</f>
        <v/>
      </c>
    </row>
    <row r="3824">
      <c r="A3824" s="41" t="n"/>
      <c r="B3824" s="37" t="n"/>
      <c r="C3824" s="37" t="n"/>
      <c r="D3824" s="39" t="str">
        <f>IF(C3824="","",IFERROR(INDEX(art_des,MATCH(C3824,art_ref,0))&amp;"","Référence inconnue"))</f>
        <v/>
      </c>
      <c r="E3824" s="37" t="n"/>
      <c r="F3824" s="39" t="str">
        <f>IF(C3824="","",IFERROR(INDEX(art_unit,MATCH(C3824,art_ref,0))&amp;"",""))</f>
        <v/>
      </c>
      <c r="G3824" s="37" t="n"/>
      <c r="H3824" s="37" t="n"/>
      <c r="I3824" s="37" t="n"/>
      <c r="J3824" s="40" t="str">
        <f>IF(OR(C3824="",NOT(ISNUMBER(E3824))),"",IFERROR(E3824*N(INDEX(art_price,MATCH(C3824,art_ref,0))),""))</f>
        <v/>
      </c>
      <c r="K3824" s="39" t="str">
        <f>IF(OR(C3824="",NOT(ISNUMBER(E3824))),"",IFERROR(ROUND(N(INDEX(art_init,MATCH(C3824,art_ref,0)))+SUMIFS($E$5:E3824,$C$5:C3824,C3824,$B$5:B3824,"Entrée")-SUMIFS($E$5:E3824,$C$5:C3824,C3824,$B$5:B3824,"Sortie"),6),""))</f>
        <v/>
      </c>
      <c r="L3824" s="39" t="str">
        <f>IF(COUNTA(A3824:C3824,E3824)=0,"",IF(COUNTA(A3824:C3824,E3824)&lt;4,"Ligne incomplète",IF(NOT(ISNUMBER(A3824)),"Date invalide",IF(AND(B3824&lt;&gt;"Entrée",B3824&lt;&gt;"Sortie"),"Type inconnu",IF(ISNA(MATCH(C3824,art_ref,0)),"Référence inconnue",IF(OR(NOT(ISNUMBER(E3824)),N(E3824)&lt;=0),"Quantité invalide",IF(K3824&lt;0,"Stock négatif",IF(AND(ISNUMBER(A3823),A3824&lt;A3823),"Date hors ordre","OK"))))))))</f>
        <v/>
      </c>
      <c r="M3824" s="39" t="str">
        <f>IF(C3824="","",C3824&amp;"#"&amp;COUNTIF($C$5:C3824,C3824))</f>
        <v/>
      </c>
    </row>
    <row r="3825">
      <c r="A3825" s="41" t="n"/>
      <c r="B3825" s="37" t="n"/>
      <c r="C3825" s="37" t="n"/>
      <c r="D3825" s="39" t="str">
        <f>IF(C3825="","",IFERROR(INDEX(art_des,MATCH(C3825,art_ref,0))&amp;"","Référence inconnue"))</f>
        <v/>
      </c>
      <c r="E3825" s="37" t="n"/>
      <c r="F3825" s="39" t="str">
        <f>IF(C3825="","",IFERROR(INDEX(art_unit,MATCH(C3825,art_ref,0))&amp;"",""))</f>
        <v/>
      </c>
      <c r="G3825" s="37" t="n"/>
      <c r="H3825" s="37" t="n"/>
      <c r="I3825" s="37" t="n"/>
      <c r="J3825" s="40" t="str">
        <f>IF(OR(C3825="",NOT(ISNUMBER(E3825))),"",IFERROR(E3825*N(INDEX(art_price,MATCH(C3825,art_ref,0))),""))</f>
        <v/>
      </c>
      <c r="K3825" s="39" t="str">
        <f>IF(OR(C3825="",NOT(ISNUMBER(E3825))),"",IFERROR(ROUND(N(INDEX(art_init,MATCH(C3825,art_ref,0)))+SUMIFS($E$5:E3825,$C$5:C3825,C3825,$B$5:B3825,"Entrée")-SUMIFS($E$5:E3825,$C$5:C3825,C3825,$B$5:B3825,"Sortie"),6),""))</f>
        <v/>
      </c>
      <c r="L3825" s="39" t="str">
        <f>IF(COUNTA(A3825:C3825,E3825)=0,"",IF(COUNTA(A3825:C3825,E3825)&lt;4,"Ligne incomplète",IF(NOT(ISNUMBER(A3825)),"Date invalide",IF(AND(B3825&lt;&gt;"Entrée",B3825&lt;&gt;"Sortie"),"Type inconnu",IF(ISNA(MATCH(C3825,art_ref,0)),"Référence inconnue",IF(OR(NOT(ISNUMBER(E3825)),N(E3825)&lt;=0),"Quantité invalide",IF(K3825&lt;0,"Stock négatif",IF(AND(ISNUMBER(A3824),A3825&lt;A3824),"Date hors ordre","OK"))))))))</f>
        <v/>
      </c>
      <c r="M3825" s="39" t="str">
        <f>IF(C3825="","",C3825&amp;"#"&amp;COUNTIF($C$5:C3825,C3825))</f>
        <v/>
      </c>
    </row>
    <row r="3826">
      <c r="A3826" s="41" t="n"/>
      <c r="B3826" s="37" t="n"/>
      <c r="C3826" s="37" t="n"/>
      <c r="D3826" s="39" t="str">
        <f>IF(C3826="","",IFERROR(INDEX(art_des,MATCH(C3826,art_ref,0))&amp;"","Référence inconnue"))</f>
        <v/>
      </c>
      <c r="E3826" s="37" t="n"/>
      <c r="F3826" s="39" t="str">
        <f>IF(C3826="","",IFERROR(INDEX(art_unit,MATCH(C3826,art_ref,0))&amp;"",""))</f>
        <v/>
      </c>
      <c r="G3826" s="37" t="n"/>
      <c r="H3826" s="37" t="n"/>
      <c r="I3826" s="37" t="n"/>
      <c r="J3826" s="40" t="str">
        <f>IF(OR(C3826="",NOT(ISNUMBER(E3826))),"",IFERROR(E3826*N(INDEX(art_price,MATCH(C3826,art_ref,0))),""))</f>
        <v/>
      </c>
      <c r="K3826" s="39" t="str">
        <f>IF(OR(C3826="",NOT(ISNUMBER(E3826))),"",IFERROR(ROUND(N(INDEX(art_init,MATCH(C3826,art_ref,0)))+SUMIFS($E$5:E3826,$C$5:C3826,C3826,$B$5:B3826,"Entrée")-SUMIFS($E$5:E3826,$C$5:C3826,C3826,$B$5:B3826,"Sortie"),6),""))</f>
        <v/>
      </c>
      <c r="L3826" s="39" t="str">
        <f>IF(COUNTA(A3826:C3826,E3826)=0,"",IF(COUNTA(A3826:C3826,E3826)&lt;4,"Ligne incomplète",IF(NOT(ISNUMBER(A3826)),"Date invalide",IF(AND(B3826&lt;&gt;"Entrée",B3826&lt;&gt;"Sortie"),"Type inconnu",IF(ISNA(MATCH(C3826,art_ref,0)),"Référence inconnue",IF(OR(NOT(ISNUMBER(E3826)),N(E3826)&lt;=0),"Quantité invalide",IF(K3826&lt;0,"Stock négatif",IF(AND(ISNUMBER(A3825),A3826&lt;A3825),"Date hors ordre","OK"))))))))</f>
        <v/>
      </c>
      <c r="M3826" s="39" t="str">
        <f>IF(C3826="","",C3826&amp;"#"&amp;COUNTIF($C$5:C3826,C3826))</f>
        <v/>
      </c>
    </row>
    <row r="3827">
      <c r="A3827" s="41" t="n"/>
      <c r="B3827" s="37" t="n"/>
      <c r="C3827" s="37" t="n"/>
      <c r="D3827" s="39" t="str">
        <f>IF(C3827="","",IFERROR(INDEX(art_des,MATCH(C3827,art_ref,0))&amp;"","Référence inconnue"))</f>
        <v/>
      </c>
      <c r="E3827" s="37" t="n"/>
      <c r="F3827" s="39" t="str">
        <f>IF(C3827="","",IFERROR(INDEX(art_unit,MATCH(C3827,art_ref,0))&amp;"",""))</f>
        <v/>
      </c>
      <c r="G3827" s="37" t="n"/>
      <c r="H3827" s="37" t="n"/>
      <c r="I3827" s="37" t="n"/>
      <c r="J3827" s="40" t="str">
        <f>IF(OR(C3827="",NOT(ISNUMBER(E3827))),"",IFERROR(E3827*N(INDEX(art_price,MATCH(C3827,art_ref,0))),""))</f>
        <v/>
      </c>
      <c r="K3827" s="39" t="str">
        <f>IF(OR(C3827="",NOT(ISNUMBER(E3827))),"",IFERROR(ROUND(N(INDEX(art_init,MATCH(C3827,art_ref,0)))+SUMIFS($E$5:E3827,$C$5:C3827,C3827,$B$5:B3827,"Entrée")-SUMIFS($E$5:E3827,$C$5:C3827,C3827,$B$5:B3827,"Sortie"),6),""))</f>
        <v/>
      </c>
      <c r="L3827" s="39" t="str">
        <f>IF(COUNTA(A3827:C3827,E3827)=0,"",IF(COUNTA(A3827:C3827,E3827)&lt;4,"Ligne incomplète",IF(NOT(ISNUMBER(A3827)),"Date invalide",IF(AND(B3827&lt;&gt;"Entrée",B3827&lt;&gt;"Sortie"),"Type inconnu",IF(ISNA(MATCH(C3827,art_ref,0)),"Référence inconnue",IF(OR(NOT(ISNUMBER(E3827)),N(E3827)&lt;=0),"Quantité invalide",IF(K3827&lt;0,"Stock négatif",IF(AND(ISNUMBER(A3826),A3827&lt;A3826),"Date hors ordre","OK"))))))))</f>
        <v/>
      </c>
      <c r="M3827" s="39" t="str">
        <f>IF(C3827="","",C3827&amp;"#"&amp;COUNTIF($C$5:C3827,C3827))</f>
        <v/>
      </c>
    </row>
    <row r="3828">
      <c r="A3828" s="41" t="n"/>
      <c r="B3828" s="37" t="n"/>
      <c r="C3828" s="37" t="n"/>
      <c r="D3828" s="39" t="str">
        <f>IF(C3828="","",IFERROR(INDEX(art_des,MATCH(C3828,art_ref,0))&amp;"","Référence inconnue"))</f>
        <v/>
      </c>
      <c r="E3828" s="37" t="n"/>
      <c r="F3828" s="39" t="str">
        <f>IF(C3828="","",IFERROR(INDEX(art_unit,MATCH(C3828,art_ref,0))&amp;"",""))</f>
        <v/>
      </c>
      <c r="G3828" s="37" t="n"/>
      <c r="H3828" s="37" t="n"/>
      <c r="I3828" s="37" t="n"/>
      <c r="J3828" s="40" t="str">
        <f>IF(OR(C3828="",NOT(ISNUMBER(E3828))),"",IFERROR(E3828*N(INDEX(art_price,MATCH(C3828,art_ref,0))),""))</f>
        <v/>
      </c>
      <c r="K3828" s="39" t="str">
        <f>IF(OR(C3828="",NOT(ISNUMBER(E3828))),"",IFERROR(ROUND(N(INDEX(art_init,MATCH(C3828,art_ref,0)))+SUMIFS($E$5:E3828,$C$5:C3828,C3828,$B$5:B3828,"Entrée")-SUMIFS($E$5:E3828,$C$5:C3828,C3828,$B$5:B3828,"Sortie"),6),""))</f>
        <v/>
      </c>
      <c r="L3828" s="39" t="str">
        <f>IF(COUNTA(A3828:C3828,E3828)=0,"",IF(COUNTA(A3828:C3828,E3828)&lt;4,"Ligne incomplète",IF(NOT(ISNUMBER(A3828)),"Date invalide",IF(AND(B3828&lt;&gt;"Entrée",B3828&lt;&gt;"Sortie"),"Type inconnu",IF(ISNA(MATCH(C3828,art_ref,0)),"Référence inconnue",IF(OR(NOT(ISNUMBER(E3828)),N(E3828)&lt;=0),"Quantité invalide",IF(K3828&lt;0,"Stock négatif",IF(AND(ISNUMBER(A3827),A3828&lt;A3827),"Date hors ordre","OK"))))))))</f>
        <v/>
      </c>
      <c r="M3828" s="39" t="str">
        <f>IF(C3828="","",C3828&amp;"#"&amp;COUNTIF($C$5:C3828,C3828))</f>
        <v/>
      </c>
    </row>
    <row r="3829">
      <c r="A3829" s="41" t="n"/>
      <c r="B3829" s="37" t="n"/>
      <c r="C3829" s="37" t="n"/>
      <c r="D3829" s="39" t="str">
        <f>IF(C3829="","",IFERROR(INDEX(art_des,MATCH(C3829,art_ref,0))&amp;"","Référence inconnue"))</f>
        <v/>
      </c>
      <c r="E3829" s="37" t="n"/>
      <c r="F3829" s="39" t="str">
        <f>IF(C3829="","",IFERROR(INDEX(art_unit,MATCH(C3829,art_ref,0))&amp;"",""))</f>
        <v/>
      </c>
      <c r="G3829" s="37" t="n"/>
      <c r="H3829" s="37" t="n"/>
      <c r="I3829" s="37" t="n"/>
      <c r="J3829" s="40" t="str">
        <f>IF(OR(C3829="",NOT(ISNUMBER(E3829))),"",IFERROR(E3829*N(INDEX(art_price,MATCH(C3829,art_ref,0))),""))</f>
        <v/>
      </c>
      <c r="K3829" s="39" t="str">
        <f>IF(OR(C3829="",NOT(ISNUMBER(E3829))),"",IFERROR(ROUND(N(INDEX(art_init,MATCH(C3829,art_ref,0)))+SUMIFS($E$5:E3829,$C$5:C3829,C3829,$B$5:B3829,"Entrée")-SUMIFS($E$5:E3829,$C$5:C3829,C3829,$B$5:B3829,"Sortie"),6),""))</f>
        <v/>
      </c>
      <c r="L3829" s="39" t="str">
        <f>IF(COUNTA(A3829:C3829,E3829)=0,"",IF(COUNTA(A3829:C3829,E3829)&lt;4,"Ligne incomplète",IF(NOT(ISNUMBER(A3829)),"Date invalide",IF(AND(B3829&lt;&gt;"Entrée",B3829&lt;&gt;"Sortie"),"Type inconnu",IF(ISNA(MATCH(C3829,art_ref,0)),"Référence inconnue",IF(OR(NOT(ISNUMBER(E3829)),N(E3829)&lt;=0),"Quantité invalide",IF(K3829&lt;0,"Stock négatif",IF(AND(ISNUMBER(A3828),A3829&lt;A3828),"Date hors ordre","OK"))))))))</f>
        <v/>
      </c>
      <c r="M3829" s="39" t="str">
        <f>IF(C3829="","",C3829&amp;"#"&amp;COUNTIF($C$5:C3829,C3829))</f>
        <v/>
      </c>
    </row>
    <row r="3830">
      <c r="A3830" s="41" t="n"/>
      <c r="B3830" s="37" t="n"/>
      <c r="C3830" s="37" t="n"/>
      <c r="D3830" s="39" t="str">
        <f>IF(C3830="","",IFERROR(INDEX(art_des,MATCH(C3830,art_ref,0))&amp;"","Référence inconnue"))</f>
        <v/>
      </c>
      <c r="E3830" s="37" t="n"/>
      <c r="F3830" s="39" t="str">
        <f>IF(C3830="","",IFERROR(INDEX(art_unit,MATCH(C3830,art_ref,0))&amp;"",""))</f>
        <v/>
      </c>
      <c r="G3830" s="37" t="n"/>
      <c r="H3830" s="37" t="n"/>
      <c r="I3830" s="37" t="n"/>
      <c r="J3830" s="40" t="str">
        <f>IF(OR(C3830="",NOT(ISNUMBER(E3830))),"",IFERROR(E3830*N(INDEX(art_price,MATCH(C3830,art_ref,0))),""))</f>
        <v/>
      </c>
      <c r="K3830" s="39" t="str">
        <f>IF(OR(C3830="",NOT(ISNUMBER(E3830))),"",IFERROR(ROUND(N(INDEX(art_init,MATCH(C3830,art_ref,0)))+SUMIFS($E$5:E3830,$C$5:C3830,C3830,$B$5:B3830,"Entrée")-SUMIFS($E$5:E3830,$C$5:C3830,C3830,$B$5:B3830,"Sortie"),6),""))</f>
        <v/>
      </c>
      <c r="L3830" s="39" t="str">
        <f>IF(COUNTA(A3830:C3830,E3830)=0,"",IF(COUNTA(A3830:C3830,E3830)&lt;4,"Ligne incomplète",IF(NOT(ISNUMBER(A3830)),"Date invalide",IF(AND(B3830&lt;&gt;"Entrée",B3830&lt;&gt;"Sortie"),"Type inconnu",IF(ISNA(MATCH(C3830,art_ref,0)),"Référence inconnue",IF(OR(NOT(ISNUMBER(E3830)),N(E3830)&lt;=0),"Quantité invalide",IF(K3830&lt;0,"Stock négatif",IF(AND(ISNUMBER(A3829),A3830&lt;A3829),"Date hors ordre","OK"))))))))</f>
        <v/>
      </c>
      <c r="M3830" s="39" t="str">
        <f>IF(C3830="","",C3830&amp;"#"&amp;COUNTIF($C$5:C3830,C3830))</f>
        <v/>
      </c>
    </row>
    <row r="3831">
      <c r="A3831" s="41" t="n"/>
      <c r="B3831" s="37" t="n"/>
      <c r="C3831" s="37" t="n"/>
      <c r="D3831" s="39" t="str">
        <f>IF(C3831="","",IFERROR(INDEX(art_des,MATCH(C3831,art_ref,0))&amp;"","Référence inconnue"))</f>
        <v/>
      </c>
      <c r="E3831" s="37" t="n"/>
      <c r="F3831" s="39" t="str">
        <f>IF(C3831="","",IFERROR(INDEX(art_unit,MATCH(C3831,art_ref,0))&amp;"",""))</f>
        <v/>
      </c>
      <c r="G3831" s="37" t="n"/>
      <c r="H3831" s="37" t="n"/>
      <c r="I3831" s="37" t="n"/>
      <c r="J3831" s="40" t="str">
        <f>IF(OR(C3831="",NOT(ISNUMBER(E3831))),"",IFERROR(E3831*N(INDEX(art_price,MATCH(C3831,art_ref,0))),""))</f>
        <v/>
      </c>
      <c r="K3831" s="39" t="str">
        <f>IF(OR(C3831="",NOT(ISNUMBER(E3831))),"",IFERROR(ROUND(N(INDEX(art_init,MATCH(C3831,art_ref,0)))+SUMIFS($E$5:E3831,$C$5:C3831,C3831,$B$5:B3831,"Entrée")-SUMIFS($E$5:E3831,$C$5:C3831,C3831,$B$5:B3831,"Sortie"),6),""))</f>
        <v/>
      </c>
      <c r="L3831" s="39" t="str">
        <f>IF(COUNTA(A3831:C3831,E3831)=0,"",IF(COUNTA(A3831:C3831,E3831)&lt;4,"Ligne incomplète",IF(NOT(ISNUMBER(A3831)),"Date invalide",IF(AND(B3831&lt;&gt;"Entrée",B3831&lt;&gt;"Sortie"),"Type inconnu",IF(ISNA(MATCH(C3831,art_ref,0)),"Référence inconnue",IF(OR(NOT(ISNUMBER(E3831)),N(E3831)&lt;=0),"Quantité invalide",IF(K3831&lt;0,"Stock négatif",IF(AND(ISNUMBER(A3830),A3831&lt;A3830),"Date hors ordre","OK"))))))))</f>
        <v/>
      </c>
      <c r="M3831" s="39" t="str">
        <f>IF(C3831="","",C3831&amp;"#"&amp;COUNTIF($C$5:C3831,C3831))</f>
        <v/>
      </c>
    </row>
    <row r="3832">
      <c r="A3832" s="41" t="n"/>
      <c r="B3832" s="37" t="n"/>
      <c r="C3832" s="37" t="n"/>
      <c r="D3832" s="39" t="str">
        <f>IF(C3832="","",IFERROR(INDEX(art_des,MATCH(C3832,art_ref,0))&amp;"","Référence inconnue"))</f>
        <v/>
      </c>
      <c r="E3832" s="37" t="n"/>
      <c r="F3832" s="39" t="str">
        <f>IF(C3832="","",IFERROR(INDEX(art_unit,MATCH(C3832,art_ref,0))&amp;"",""))</f>
        <v/>
      </c>
      <c r="G3832" s="37" t="n"/>
      <c r="H3832" s="37" t="n"/>
      <c r="I3832" s="37" t="n"/>
      <c r="J3832" s="40" t="str">
        <f>IF(OR(C3832="",NOT(ISNUMBER(E3832))),"",IFERROR(E3832*N(INDEX(art_price,MATCH(C3832,art_ref,0))),""))</f>
        <v/>
      </c>
      <c r="K3832" s="39" t="str">
        <f>IF(OR(C3832="",NOT(ISNUMBER(E3832))),"",IFERROR(ROUND(N(INDEX(art_init,MATCH(C3832,art_ref,0)))+SUMIFS($E$5:E3832,$C$5:C3832,C3832,$B$5:B3832,"Entrée")-SUMIFS($E$5:E3832,$C$5:C3832,C3832,$B$5:B3832,"Sortie"),6),""))</f>
        <v/>
      </c>
      <c r="L3832" s="39" t="str">
        <f>IF(COUNTA(A3832:C3832,E3832)=0,"",IF(COUNTA(A3832:C3832,E3832)&lt;4,"Ligne incomplète",IF(NOT(ISNUMBER(A3832)),"Date invalide",IF(AND(B3832&lt;&gt;"Entrée",B3832&lt;&gt;"Sortie"),"Type inconnu",IF(ISNA(MATCH(C3832,art_ref,0)),"Référence inconnue",IF(OR(NOT(ISNUMBER(E3832)),N(E3832)&lt;=0),"Quantité invalide",IF(K3832&lt;0,"Stock négatif",IF(AND(ISNUMBER(A3831),A3832&lt;A3831),"Date hors ordre","OK"))))))))</f>
        <v/>
      </c>
      <c r="M3832" s="39" t="str">
        <f>IF(C3832="","",C3832&amp;"#"&amp;COUNTIF($C$5:C3832,C3832))</f>
        <v/>
      </c>
    </row>
    <row r="3833">
      <c r="A3833" s="41" t="n"/>
      <c r="B3833" s="37" t="n"/>
      <c r="C3833" s="37" t="n"/>
      <c r="D3833" s="39" t="str">
        <f>IF(C3833="","",IFERROR(INDEX(art_des,MATCH(C3833,art_ref,0))&amp;"","Référence inconnue"))</f>
        <v/>
      </c>
      <c r="E3833" s="37" t="n"/>
      <c r="F3833" s="39" t="str">
        <f>IF(C3833="","",IFERROR(INDEX(art_unit,MATCH(C3833,art_ref,0))&amp;"",""))</f>
        <v/>
      </c>
      <c r="G3833" s="37" t="n"/>
      <c r="H3833" s="37" t="n"/>
      <c r="I3833" s="37" t="n"/>
      <c r="J3833" s="40" t="str">
        <f>IF(OR(C3833="",NOT(ISNUMBER(E3833))),"",IFERROR(E3833*N(INDEX(art_price,MATCH(C3833,art_ref,0))),""))</f>
        <v/>
      </c>
      <c r="K3833" s="39" t="str">
        <f>IF(OR(C3833="",NOT(ISNUMBER(E3833))),"",IFERROR(ROUND(N(INDEX(art_init,MATCH(C3833,art_ref,0)))+SUMIFS($E$5:E3833,$C$5:C3833,C3833,$B$5:B3833,"Entrée")-SUMIFS($E$5:E3833,$C$5:C3833,C3833,$B$5:B3833,"Sortie"),6),""))</f>
        <v/>
      </c>
      <c r="L3833" s="39" t="str">
        <f>IF(COUNTA(A3833:C3833,E3833)=0,"",IF(COUNTA(A3833:C3833,E3833)&lt;4,"Ligne incomplète",IF(NOT(ISNUMBER(A3833)),"Date invalide",IF(AND(B3833&lt;&gt;"Entrée",B3833&lt;&gt;"Sortie"),"Type inconnu",IF(ISNA(MATCH(C3833,art_ref,0)),"Référence inconnue",IF(OR(NOT(ISNUMBER(E3833)),N(E3833)&lt;=0),"Quantité invalide",IF(K3833&lt;0,"Stock négatif",IF(AND(ISNUMBER(A3832),A3833&lt;A3832),"Date hors ordre","OK"))))))))</f>
        <v/>
      </c>
      <c r="M3833" s="39" t="str">
        <f>IF(C3833="","",C3833&amp;"#"&amp;COUNTIF($C$5:C3833,C3833))</f>
        <v/>
      </c>
    </row>
    <row r="3834">
      <c r="A3834" s="41" t="n"/>
      <c r="B3834" s="37" t="n"/>
      <c r="C3834" s="37" t="n"/>
      <c r="D3834" s="39" t="str">
        <f>IF(C3834="","",IFERROR(INDEX(art_des,MATCH(C3834,art_ref,0))&amp;"","Référence inconnue"))</f>
        <v/>
      </c>
      <c r="E3834" s="37" t="n"/>
      <c r="F3834" s="39" t="str">
        <f>IF(C3834="","",IFERROR(INDEX(art_unit,MATCH(C3834,art_ref,0))&amp;"",""))</f>
        <v/>
      </c>
      <c r="G3834" s="37" t="n"/>
      <c r="H3834" s="37" t="n"/>
      <c r="I3834" s="37" t="n"/>
      <c r="J3834" s="40" t="str">
        <f>IF(OR(C3834="",NOT(ISNUMBER(E3834))),"",IFERROR(E3834*N(INDEX(art_price,MATCH(C3834,art_ref,0))),""))</f>
        <v/>
      </c>
      <c r="K3834" s="39" t="str">
        <f>IF(OR(C3834="",NOT(ISNUMBER(E3834))),"",IFERROR(ROUND(N(INDEX(art_init,MATCH(C3834,art_ref,0)))+SUMIFS($E$5:E3834,$C$5:C3834,C3834,$B$5:B3834,"Entrée")-SUMIFS($E$5:E3834,$C$5:C3834,C3834,$B$5:B3834,"Sortie"),6),""))</f>
        <v/>
      </c>
      <c r="L3834" s="39" t="str">
        <f>IF(COUNTA(A3834:C3834,E3834)=0,"",IF(COUNTA(A3834:C3834,E3834)&lt;4,"Ligne incomplète",IF(NOT(ISNUMBER(A3834)),"Date invalide",IF(AND(B3834&lt;&gt;"Entrée",B3834&lt;&gt;"Sortie"),"Type inconnu",IF(ISNA(MATCH(C3834,art_ref,0)),"Référence inconnue",IF(OR(NOT(ISNUMBER(E3834)),N(E3834)&lt;=0),"Quantité invalide",IF(K3834&lt;0,"Stock négatif",IF(AND(ISNUMBER(A3833),A3834&lt;A3833),"Date hors ordre","OK"))))))))</f>
        <v/>
      </c>
      <c r="M3834" s="39" t="str">
        <f>IF(C3834="","",C3834&amp;"#"&amp;COUNTIF($C$5:C3834,C3834))</f>
        <v/>
      </c>
    </row>
    <row r="3835">
      <c r="A3835" s="41" t="n"/>
      <c r="B3835" s="37" t="n"/>
      <c r="C3835" s="37" t="n"/>
      <c r="D3835" s="39" t="str">
        <f>IF(C3835="","",IFERROR(INDEX(art_des,MATCH(C3835,art_ref,0))&amp;"","Référence inconnue"))</f>
        <v/>
      </c>
      <c r="E3835" s="37" t="n"/>
      <c r="F3835" s="39" t="str">
        <f>IF(C3835="","",IFERROR(INDEX(art_unit,MATCH(C3835,art_ref,0))&amp;"",""))</f>
        <v/>
      </c>
      <c r="G3835" s="37" t="n"/>
      <c r="H3835" s="37" t="n"/>
      <c r="I3835" s="37" t="n"/>
      <c r="J3835" s="40" t="str">
        <f>IF(OR(C3835="",NOT(ISNUMBER(E3835))),"",IFERROR(E3835*N(INDEX(art_price,MATCH(C3835,art_ref,0))),""))</f>
        <v/>
      </c>
      <c r="K3835" s="39" t="str">
        <f>IF(OR(C3835="",NOT(ISNUMBER(E3835))),"",IFERROR(ROUND(N(INDEX(art_init,MATCH(C3835,art_ref,0)))+SUMIFS($E$5:E3835,$C$5:C3835,C3835,$B$5:B3835,"Entrée")-SUMIFS($E$5:E3835,$C$5:C3835,C3835,$B$5:B3835,"Sortie"),6),""))</f>
        <v/>
      </c>
      <c r="L3835" s="39" t="str">
        <f>IF(COUNTA(A3835:C3835,E3835)=0,"",IF(COUNTA(A3835:C3835,E3835)&lt;4,"Ligne incomplète",IF(NOT(ISNUMBER(A3835)),"Date invalide",IF(AND(B3835&lt;&gt;"Entrée",B3835&lt;&gt;"Sortie"),"Type inconnu",IF(ISNA(MATCH(C3835,art_ref,0)),"Référence inconnue",IF(OR(NOT(ISNUMBER(E3835)),N(E3835)&lt;=0),"Quantité invalide",IF(K3835&lt;0,"Stock négatif",IF(AND(ISNUMBER(A3834),A3835&lt;A3834),"Date hors ordre","OK"))))))))</f>
        <v/>
      </c>
      <c r="M3835" s="39" t="str">
        <f>IF(C3835="","",C3835&amp;"#"&amp;COUNTIF($C$5:C3835,C3835))</f>
        <v/>
      </c>
    </row>
    <row r="3836">
      <c r="A3836" s="41" t="n"/>
      <c r="B3836" s="37" t="n"/>
      <c r="C3836" s="37" t="n"/>
      <c r="D3836" s="39" t="str">
        <f>IF(C3836="","",IFERROR(INDEX(art_des,MATCH(C3836,art_ref,0))&amp;"","Référence inconnue"))</f>
        <v/>
      </c>
      <c r="E3836" s="37" t="n"/>
      <c r="F3836" s="39" t="str">
        <f>IF(C3836="","",IFERROR(INDEX(art_unit,MATCH(C3836,art_ref,0))&amp;"",""))</f>
        <v/>
      </c>
      <c r="G3836" s="37" t="n"/>
      <c r="H3836" s="37" t="n"/>
      <c r="I3836" s="37" t="n"/>
      <c r="J3836" s="40" t="str">
        <f>IF(OR(C3836="",NOT(ISNUMBER(E3836))),"",IFERROR(E3836*N(INDEX(art_price,MATCH(C3836,art_ref,0))),""))</f>
        <v/>
      </c>
      <c r="K3836" s="39" t="str">
        <f>IF(OR(C3836="",NOT(ISNUMBER(E3836))),"",IFERROR(ROUND(N(INDEX(art_init,MATCH(C3836,art_ref,0)))+SUMIFS($E$5:E3836,$C$5:C3836,C3836,$B$5:B3836,"Entrée")-SUMIFS($E$5:E3836,$C$5:C3836,C3836,$B$5:B3836,"Sortie"),6),""))</f>
        <v/>
      </c>
      <c r="L3836" s="39" t="str">
        <f>IF(COUNTA(A3836:C3836,E3836)=0,"",IF(COUNTA(A3836:C3836,E3836)&lt;4,"Ligne incomplète",IF(NOT(ISNUMBER(A3836)),"Date invalide",IF(AND(B3836&lt;&gt;"Entrée",B3836&lt;&gt;"Sortie"),"Type inconnu",IF(ISNA(MATCH(C3836,art_ref,0)),"Référence inconnue",IF(OR(NOT(ISNUMBER(E3836)),N(E3836)&lt;=0),"Quantité invalide",IF(K3836&lt;0,"Stock négatif",IF(AND(ISNUMBER(A3835),A3836&lt;A3835),"Date hors ordre","OK"))))))))</f>
        <v/>
      </c>
      <c r="M3836" s="39" t="str">
        <f>IF(C3836="","",C3836&amp;"#"&amp;COUNTIF($C$5:C3836,C3836))</f>
        <v/>
      </c>
    </row>
    <row r="3837">
      <c r="A3837" s="41" t="n"/>
      <c r="B3837" s="37" t="n"/>
      <c r="C3837" s="37" t="n"/>
      <c r="D3837" s="39" t="str">
        <f>IF(C3837="","",IFERROR(INDEX(art_des,MATCH(C3837,art_ref,0))&amp;"","Référence inconnue"))</f>
        <v/>
      </c>
      <c r="E3837" s="37" t="n"/>
      <c r="F3837" s="39" t="str">
        <f>IF(C3837="","",IFERROR(INDEX(art_unit,MATCH(C3837,art_ref,0))&amp;"",""))</f>
        <v/>
      </c>
      <c r="G3837" s="37" t="n"/>
      <c r="H3837" s="37" t="n"/>
      <c r="I3837" s="37" t="n"/>
      <c r="J3837" s="40" t="str">
        <f>IF(OR(C3837="",NOT(ISNUMBER(E3837))),"",IFERROR(E3837*N(INDEX(art_price,MATCH(C3837,art_ref,0))),""))</f>
        <v/>
      </c>
      <c r="K3837" s="39" t="str">
        <f>IF(OR(C3837="",NOT(ISNUMBER(E3837))),"",IFERROR(ROUND(N(INDEX(art_init,MATCH(C3837,art_ref,0)))+SUMIFS($E$5:E3837,$C$5:C3837,C3837,$B$5:B3837,"Entrée")-SUMIFS($E$5:E3837,$C$5:C3837,C3837,$B$5:B3837,"Sortie"),6),""))</f>
        <v/>
      </c>
      <c r="L3837" s="39" t="str">
        <f>IF(COUNTA(A3837:C3837,E3837)=0,"",IF(COUNTA(A3837:C3837,E3837)&lt;4,"Ligne incomplète",IF(NOT(ISNUMBER(A3837)),"Date invalide",IF(AND(B3837&lt;&gt;"Entrée",B3837&lt;&gt;"Sortie"),"Type inconnu",IF(ISNA(MATCH(C3837,art_ref,0)),"Référence inconnue",IF(OR(NOT(ISNUMBER(E3837)),N(E3837)&lt;=0),"Quantité invalide",IF(K3837&lt;0,"Stock négatif",IF(AND(ISNUMBER(A3836),A3837&lt;A3836),"Date hors ordre","OK"))))))))</f>
        <v/>
      </c>
      <c r="M3837" s="39" t="str">
        <f>IF(C3837="","",C3837&amp;"#"&amp;COUNTIF($C$5:C3837,C3837))</f>
        <v/>
      </c>
    </row>
    <row r="3838">
      <c r="A3838" s="41" t="n"/>
      <c r="B3838" s="37" t="n"/>
      <c r="C3838" s="37" t="n"/>
      <c r="D3838" s="39" t="str">
        <f>IF(C3838="","",IFERROR(INDEX(art_des,MATCH(C3838,art_ref,0))&amp;"","Référence inconnue"))</f>
        <v/>
      </c>
      <c r="E3838" s="37" t="n"/>
      <c r="F3838" s="39" t="str">
        <f>IF(C3838="","",IFERROR(INDEX(art_unit,MATCH(C3838,art_ref,0))&amp;"",""))</f>
        <v/>
      </c>
      <c r="G3838" s="37" t="n"/>
      <c r="H3838" s="37" t="n"/>
      <c r="I3838" s="37" t="n"/>
      <c r="J3838" s="40" t="str">
        <f>IF(OR(C3838="",NOT(ISNUMBER(E3838))),"",IFERROR(E3838*N(INDEX(art_price,MATCH(C3838,art_ref,0))),""))</f>
        <v/>
      </c>
      <c r="K3838" s="39" t="str">
        <f>IF(OR(C3838="",NOT(ISNUMBER(E3838))),"",IFERROR(ROUND(N(INDEX(art_init,MATCH(C3838,art_ref,0)))+SUMIFS($E$5:E3838,$C$5:C3838,C3838,$B$5:B3838,"Entrée")-SUMIFS($E$5:E3838,$C$5:C3838,C3838,$B$5:B3838,"Sortie"),6),""))</f>
        <v/>
      </c>
      <c r="L3838" s="39" t="str">
        <f>IF(COUNTA(A3838:C3838,E3838)=0,"",IF(COUNTA(A3838:C3838,E3838)&lt;4,"Ligne incomplète",IF(NOT(ISNUMBER(A3838)),"Date invalide",IF(AND(B3838&lt;&gt;"Entrée",B3838&lt;&gt;"Sortie"),"Type inconnu",IF(ISNA(MATCH(C3838,art_ref,0)),"Référence inconnue",IF(OR(NOT(ISNUMBER(E3838)),N(E3838)&lt;=0),"Quantité invalide",IF(K3838&lt;0,"Stock négatif",IF(AND(ISNUMBER(A3837),A3838&lt;A3837),"Date hors ordre","OK"))))))))</f>
        <v/>
      </c>
      <c r="M3838" s="39" t="str">
        <f>IF(C3838="","",C3838&amp;"#"&amp;COUNTIF($C$5:C3838,C3838))</f>
        <v/>
      </c>
    </row>
    <row r="3839">
      <c r="A3839" s="41" t="n"/>
      <c r="B3839" s="37" t="n"/>
      <c r="C3839" s="37" t="n"/>
      <c r="D3839" s="39" t="str">
        <f>IF(C3839="","",IFERROR(INDEX(art_des,MATCH(C3839,art_ref,0))&amp;"","Référence inconnue"))</f>
        <v/>
      </c>
      <c r="E3839" s="37" t="n"/>
      <c r="F3839" s="39" t="str">
        <f>IF(C3839="","",IFERROR(INDEX(art_unit,MATCH(C3839,art_ref,0))&amp;"",""))</f>
        <v/>
      </c>
      <c r="G3839" s="37" t="n"/>
      <c r="H3839" s="37" t="n"/>
      <c r="I3839" s="37" t="n"/>
      <c r="J3839" s="40" t="str">
        <f>IF(OR(C3839="",NOT(ISNUMBER(E3839))),"",IFERROR(E3839*N(INDEX(art_price,MATCH(C3839,art_ref,0))),""))</f>
        <v/>
      </c>
      <c r="K3839" s="39" t="str">
        <f>IF(OR(C3839="",NOT(ISNUMBER(E3839))),"",IFERROR(ROUND(N(INDEX(art_init,MATCH(C3839,art_ref,0)))+SUMIFS($E$5:E3839,$C$5:C3839,C3839,$B$5:B3839,"Entrée")-SUMIFS($E$5:E3839,$C$5:C3839,C3839,$B$5:B3839,"Sortie"),6),""))</f>
        <v/>
      </c>
      <c r="L3839" s="39" t="str">
        <f>IF(COUNTA(A3839:C3839,E3839)=0,"",IF(COUNTA(A3839:C3839,E3839)&lt;4,"Ligne incomplète",IF(NOT(ISNUMBER(A3839)),"Date invalide",IF(AND(B3839&lt;&gt;"Entrée",B3839&lt;&gt;"Sortie"),"Type inconnu",IF(ISNA(MATCH(C3839,art_ref,0)),"Référence inconnue",IF(OR(NOT(ISNUMBER(E3839)),N(E3839)&lt;=0),"Quantité invalide",IF(K3839&lt;0,"Stock négatif",IF(AND(ISNUMBER(A3838),A3839&lt;A3838),"Date hors ordre","OK"))))))))</f>
        <v/>
      </c>
      <c r="M3839" s="39" t="str">
        <f>IF(C3839="","",C3839&amp;"#"&amp;COUNTIF($C$5:C3839,C3839))</f>
        <v/>
      </c>
    </row>
    <row r="3840">
      <c r="A3840" s="41" t="n"/>
      <c r="B3840" s="37" t="n"/>
      <c r="C3840" s="37" t="n"/>
      <c r="D3840" s="39" t="str">
        <f>IF(C3840="","",IFERROR(INDEX(art_des,MATCH(C3840,art_ref,0))&amp;"","Référence inconnue"))</f>
        <v/>
      </c>
      <c r="E3840" s="37" t="n"/>
      <c r="F3840" s="39" t="str">
        <f>IF(C3840="","",IFERROR(INDEX(art_unit,MATCH(C3840,art_ref,0))&amp;"",""))</f>
        <v/>
      </c>
      <c r="G3840" s="37" t="n"/>
      <c r="H3840" s="37" t="n"/>
      <c r="I3840" s="37" t="n"/>
      <c r="J3840" s="40" t="str">
        <f>IF(OR(C3840="",NOT(ISNUMBER(E3840))),"",IFERROR(E3840*N(INDEX(art_price,MATCH(C3840,art_ref,0))),""))</f>
        <v/>
      </c>
      <c r="K3840" s="39" t="str">
        <f>IF(OR(C3840="",NOT(ISNUMBER(E3840))),"",IFERROR(ROUND(N(INDEX(art_init,MATCH(C3840,art_ref,0)))+SUMIFS($E$5:E3840,$C$5:C3840,C3840,$B$5:B3840,"Entrée")-SUMIFS($E$5:E3840,$C$5:C3840,C3840,$B$5:B3840,"Sortie"),6),""))</f>
        <v/>
      </c>
      <c r="L3840" s="39" t="str">
        <f>IF(COUNTA(A3840:C3840,E3840)=0,"",IF(COUNTA(A3840:C3840,E3840)&lt;4,"Ligne incomplète",IF(NOT(ISNUMBER(A3840)),"Date invalide",IF(AND(B3840&lt;&gt;"Entrée",B3840&lt;&gt;"Sortie"),"Type inconnu",IF(ISNA(MATCH(C3840,art_ref,0)),"Référence inconnue",IF(OR(NOT(ISNUMBER(E3840)),N(E3840)&lt;=0),"Quantité invalide",IF(K3840&lt;0,"Stock négatif",IF(AND(ISNUMBER(A3839),A3840&lt;A3839),"Date hors ordre","OK"))))))))</f>
        <v/>
      </c>
      <c r="M3840" s="39" t="str">
        <f>IF(C3840="","",C3840&amp;"#"&amp;COUNTIF($C$5:C3840,C3840))</f>
        <v/>
      </c>
    </row>
    <row r="3841">
      <c r="A3841" s="41" t="n"/>
      <c r="B3841" s="37" t="n"/>
      <c r="C3841" s="37" t="n"/>
      <c r="D3841" s="39" t="str">
        <f>IF(C3841="","",IFERROR(INDEX(art_des,MATCH(C3841,art_ref,0))&amp;"","Référence inconnue"))</f>
        <v/>
      </c>
      <c r="E3841" s="37" t="n"/>
      <c r="F3841" s="39" t="str">
        <f>IF(C3841="","",IFERROR(INDEX(art_unit,MATCH(C3841,art_ref,0))&amp;"",""))</f>
        <v/>
      </c>
      <c r="G3841" s="37" t="n"/>
      <c r="H3841" s="37" t="n"/>
      <c r="I3841" s="37" t="n"/>
      <c r="J3841" s="40" t="str">
        <f>IF(OR(C3841="",NOT(ISNUMBER(E3841))),"",IFERROR(E3841*N(INDEX(art_price,MATCH(C3841,art_ref,0))),""))</f>
        <v/>
      </c>
      <c r="K3841" s="39" t="str">
        <f>IF(OR(C3841="",NOT(ISNUMBER(E3841))),"",IFERROR(ROUND(N(INDEX(art_init,MATCH(C3841,art_ref,0)))+SUMIFS($E$5:E3841,$C$5:C3841,C3841,$B$5:B3841,"Entrée")-SUMIFS($E$5:E3841,$C$5:C3841,C3841,$B$5:B3841,"Sortie"),6),""))</f>
        <v/>
      </c>
      <c r="L3841" s="39" t="str">
        <f>IF(COUNTA(A3841:C3841,E3841)=0,"",IF(COUNTA(A3841:C3841,E3841)&lt;4,"Ligne incomplète",IF(NOT(ISNUMBER(A3841)),"Date invalide",IF(AND(B3841&lt;&gt;"Entrée",B3841&lt;&gt;"Sortie"),"Type inconnu",IF(ISNA(MATCH(C3841,art_ref,0)),"Référence inconnue",IF(OR(NOT(ISNUMBER(E3841)),N(E3841)&lt;=0),"Quantité invalide",IF(K3841&lt;0,"Stock négatif",IF(AND(ISNUMBER(A3840),A3841&lt;A3840),"Date hors ordre","OK"))))))))</f>
        <v/>
      </c>
      <c r="M3841" s="39" t="str">
        <f>IF(C3841="","",C3841&amp;"#"&amp;COUNTIF($C$5:C3841,C3841))</f>
        <v/>
      </c>
    </row>
    <row r="3842">
      <c r="A3842" s="41" t="n"/>
      <c r="B3842" s="37" t="n"/>
      <c r="C3842" s="37" t="n"/>
      <c r="D3842" s="39" t="str">
        <f>IF(C3842="","",IFERROR(INDEX(art_des,MATCH(C3842,art_ref,0))&amp;"","Référence inconnue"))</f>
        <v/>
      </c>
      <c r="E3842" s="37" t="n"/>
      <c r="F3842" s="39" t="str">
        <f>IF(C3842="","",IFERROR(INDEX(art_unit,MATCH(C3842,art_ref,0))&amp;"",""))</f>
        <v/>
      </c>
      <c r="G3842" s="37" t="n"/>
      <c r="H3842" s="37" t="n"/>
      <c r="I3842" s="37" t="n"/>
      <c r="J3842" s="40" t="str">
        <f>IF(OR(C3842="",NOT(ISNUMBER(E3842))),"",IFERROR(E3842*N(INDEX(art_price,MATCH(C3842,art_ref,0))),""))</f>
        <v/>
      </c>
      <c r="K3842" s="39" t="str">
        <f>IF(OR(C3842="",NOT(ISNUMBER(E3842))),"",IFERROR(ROUND(N(INDEX(art_init,MATCH(C3842,art_ref,0)))+SUMIFS($E$5:E3842,$C$5:C3842,C3842,$B$5:B3842,"Entrée")-SUMIFS($E$5:E3842,$C$5:C3842,C3842,$B$5:B3842,"Sortie"),6),""))</f>
        <v/>
      </c>
      <c r="L3842" s="39" t="str">
        <f>IF(COUNTA(A3842:C3842,E3842)=0,"",IF(COUNTA(A3842:C3842,E3842)&lt;4,"Ligne incomplète",IF(NOT(ISNUMBER(A3842)),"Date invalide",IF(AND(B3842&lt;&gt;"Entrée",B3842&lt;&gt;"Sortie"),"Type inconnu",IF(ISNA(MATCH(C3842,art_ref,0)),"Référence inconnue",IF(OR(NOT(ISNUMBER(E3842)),N(E3842)&lt;=0),"Quantité invalide",IF(K3842&lt;0,"Stock négatif",IF(AND(ISNUMBER(A3841),A3842&lt;A3841),"Date hors ordre","OK"))))))))</f>
        <v/>
      </c>
      <c r="M3842" s="39" t="str">
        <f>IF(C3842="","",C3842&amp;"#"&amp;COUNTIF($C$5:C3842,C3842))</f>
        <v/>
      </c>
    </row>
    <row r="3843">
      <c r="A3843" s="41" t="n"/>
      <c r="B3843" s="37" t="n"/>
      <c r="C3843" s="37" t="n"/>
      <c r="D3843" s="39" t="str">
        <f>IF(C3843="","",IFERROR(INDEX(art_des,MATCH(C3843,art_ref,0))&amp;"","Référence inconnue"))</f>
        <v/>
      </c>
      <c r="E3843" s="37" t="n"/>
      <c r="F3843" s="39" t="str">
        <f>IF(C3843="","",IFERROR(INDEX(art_unit,MATCH(C3843,art_ref,0))&amp;"",""))</f>
        <v/>
      </c>
      <c r="G3843" s="37" t="n"/>
      <c r="H3843" s="37" t="n"/>
      <c r="I3843" s="37" t="n"/>
      <c r="J3843" s="40" t="str">
        <f>IF(OR(C3843="",NOT(ISNUMBER(E3843))),"",IFERROR(E3843*N(INDEX(art_price,MATCH(C3843,art_ref,0))),""))</f>
        <v/>
      </c>
      <c r="K3843" s="39" t="str">
        <f>IF(OR(C3843="",NOT(ISNUMBER(E3843))),"",IFERROR(ROUND(N(INDEX(art_init,MATCH(C3843,art_ref,0)))+SUMIFS($E$5:E3843,$C$5:C3843,C3843,$B$5:B3843,"Entrée")-SUMIFS($E$5:E3843,$C$5:C3843,C3843,$B$5:B3843,"Sortie"),6),""))</f>
        <v/>
      </c>
      <c r="L3843" s="39" t="str">
        <f>IF(COUNTA(A3843:C3843,E3843)=0,"",IF(COUNTA(A3843:C3843,E3843)&lt;4,"Ligne incomplète",IF(NOT(ISNUMBER(A3843)),"Date invalide",IF(AND(B3843&lt;&gt;"Entrée",B3843&lt;&gt;"Sortie"),"Type inconnu",IF(ISNA(MATCH(C3843,art_ref,0)),"Référence inconnue",IF(OR(NOT(ISNUMBER(E3843)),N(E3843)&lt;=0),"Quantité invalide",IF(K3843&lt;0,"Stock négatif",IF(AND(ISNUMBER(A3842),A3843&lt;A3842),"Date hors ordre","OK"))))))))</f>
        <v/>
      </c>
      <c r="M3843" s="39" t="str">
        <f>IF(C3843="","",C3843&amp;"#"&amp;COUNTIF($C$5:C3843,C3843))</f>
        <v/>
      </c>
    </row>
    <row r="3844">
      <c r="A3844" s="41" t="n"/>
      <c r="B3844" s="37" t="n"/>
      <c r="C3844" s="37" t="n"/>
      <c r="D3844" s="39" t="str">
        <f>IF(C3844="","",IFERROR(INDEX(art_des,MATCH(C3844,art_ref,0))&amp;"","Référence inconnue"))</f>
        <v/>
      </c>
      <c r="E3844" s="37" t="n"/>
      <c r="F3844" s="39" t="str">
        <f>IF(C3844="","",IFERROR(INDEX(art_unit,MATCH(C3844,art_ref,0))&amp;"",""))</f>
        <v/>
      </c>
      <c r="G3844" s="37" t="n"/>
      <c r="H3844" s="37" t="n"/>
      <c r="I3844" s="37" t="n"/>
      <c r="J3844" s="40" t="str">
        <f>IF(OR(C3844="",NOT(ISNUMBER(E3844))),"",IFERROR(E3844*N(INDEX(art_price,MATCH(C3844,art_ref,0))),""))</f>
        <v/>
      </c>
      <c r="K3844" s="39" t="str">
        <f>IF(OR(C3844="",NOT(ISNUMBER(E3844))),"",IFERROR(ROUND(N(INDEX(art_init,MATCH(C3844,art_ref,0)))+SUMIFS($E$5:E3844,$C$5:C3844,C3844,$B$5:B3844,"Entrée")-SUMIFS($E$5:E3844,$C$5:C3844,C3844,$B$5:B3844,"Sortie"),6),""))</f>
        <v/>
      </c>
      <c r="L3844" s="39" t="str">
        <f>IF(COUNTA(A3844:C3844,E3844)=0,"",IF(COUNTA(A3844:C3844,E3844)&lt;4,"Ligne incomplète",IF(NOT(ISNUMBER(A3844)),"Date invalide",IF(AND(B3844&lt;&gt;"Entrée",B3844&lt;&gt;"Sortie"),"Type inconnu",IF(ISNA(MATCH(C3844,art_ref,0)),"Référence inconnue",IF(OR(NOT(ISNUMBER(E3844)),N(E3844)&lt;=0),"Quantité invalide",IF(K3844&lt;0,"Stock négatif",IF(AND(ISNUMBER(A3843),A3844&lt;A3843),"Date hors ordre","OK"))))))))</f>
        <v/>
      </c>
      <c r="M3844" s="39" t="str">
        <f>IF(C3844="","",C3844&amp;"#"&amp;COUNTIF($C$5:C3844,C3844))</f>
        <v/>
      </c>
    </row>
    <row r="3845">
      <c r="A3845" s="41" t="n"/>
      <c r="B3845" s="37" t="n"/>
      <c r="C3845" s="37" t="n"/>
      <c r="D3845" s="39" t="str">
        <f>IF(C3845="","",IFERROR(INDEX(art_des,MATCH(C3845,art_ref,0))&amp;"","Référence inconnue"))</f>
        <v/>
      </c>
      <c r="E3845" s="37" t="n"/>
      <c r="F3845" s="39" t="str">
        <f>IF(C3845="","",IFERROR(INDEX(art_unit,MATCH(C3845,art_ref,0))&amp;"",""))</f>
        <v/>
      </c>
      <c r="G3845" s="37" t="n"/>
      <c r="H3845" s="37" t="n"/>
      <c r="I3845" s="37" t="n"/>
      <c r="J3845" s="40" t="str">
        <f>IF(OR(C3845="",NOT(ISNUMBER(E3845))),"",IFERROR(E3845*N(INDEX(art_price,MATCH(C3845,art_ref,0))),""))</f>
        <v/>
      </c>
      <c r="K3845" s="39" t="str">
        <f>IF(OR(C3845="",NOT(ISNUMBER(E3845))),"",IFERROR(ROUND(N(INDEX(art_init,MATCH(C3845,art_ref,0)))+SUMIFS($E$5:E3845,$C$5:C3845,C3845,$B$5:B3845,"Entrée")-SUMIFS($E$5:E3845,$C$5:C3845,C3845,$B$5:B3845,"Sortie"),6),""))</f>
        <v/>
      </c>
      <c r="L3845" s="39" t="str">
        <f>IF(COUNTA(A3845:C3845,E3845)=0,"",IF(COUNTA(A3845:C3845,E3845)&lt;4,"Ligne incomplète",IF(NOT(ISNUMBER(A3845)),"Date invalide",IF(AND(B3845&lt;&gt;"Entrée",B3845&lt;&gt;"Sortie"),"Type inconnu",IF(ISNA(MATCH(C3845,art_ref,0)),"Référence inconnue",IF(OR(NOT(ISNUMBER(E3845)),N(E3845)&lt;=0),"Quantité invalide",IF(K3845&lt;0,"Stock négatif",IF(AND(ISNUMBER(A3844),A3845&lt;A3844),"Date hors ordre","OK"))))))))</f>
        <v/>
      </c>
      <c r="M3845" s="39" t="str">
        <f>IF(C3845="","",C3845&amp;"#"&amp;COUNTIF($C$5:C3845,C3845))</f>
        <v/>
      </c>
    </row>
    <row r="3846">
      <c r="A3846" s="41" t="n"/>
      <c r="B3846" s="37" t="n"/>
      <c r="C3846" s="37" t="n"/>
      <c r="D3846" s="39" t="str">
        <f>IF(C3846="","",IFERROR(INDEX(art_des,MATCH(C3846,art_ref,0))&amp;"","Référence inconnue"))</f>
        <v/>
      </c>
      <c r="E3846" s="37" t="n"/>
      <c r="F3846" s="39" t="str">
        <f>IF(C3846="","",IFERROR(INDEX(art_unit,MATCH(C3846,art_ref,0))&amp;"",""))</f>
        <v/>
      </c>
      <c r="G3846" s="37" t="n"/>
      <c r="H3846" s="37" t="n"/>
      <c r="I3846" s="37" t="n"/>
      <c r="J3846" s="40" t="str">
        <f>IF(OR(C3846="",NOT(ISNUMBER(E3846))),"",IFERROR(E3846*N(INDEX(art_price,MATCH(C3846,art_ref,0))),""))</f>
        <v/>
      </c>
      <c r="K3846" s="39" t="str">
        <f>IF(OR(C3846="",NOT(ISNUMBER(E3846))),"",IFERROR(ROUND(N(INDEX(art_init,MATCH(C3846,art_ref,0)))+SUMIFS($E$5:E3846,$C$5:C3846,C3846,$B$5:B3846,"Entrée")-SUMIFS($E$5:E3846,$C$5:C3846,C3846,$B$5:B3846,"Sortie"),6),""))</f>
        <v/>
      </c>
      <c r="L3846" s="39" t="str">
        <f>IF(COUNTA(A3846:C3846,E3846)=0,"",IF(COUNTA(A3846:C3846,E3846)&lt;4,"Ligne incomplète",IF(NOT(ISNUMBER(A3846)),"Date invalide",IF(AND(B3846&lt;&gt;"Entrée",B3846&lt;&gt;"Sortie"),"Type inconnu",IF(ISNA(MATCH(C3846,art_ref,0)),"Référence inconnue",IF(OR(NOT(ISNUMBER(E3846)),N(E3846)&lt;=0),"Quantité invalide",IF(K3846&lt;0,"Stock négatif",IF(AND(ISNUMBER(A3845),A3846&lt;A3845),"Date hors ordre","OK"))))))))</f>
        <v/>
      </c>
      <c r="M3846" s="39" t="str">
        <f>IF(C3846="","",C3846&amp;"#"&amp;COUNTIF($C$5:C3846,C3846))</f>
        <v/>
      </c>
    </row>
    <row r="3847">
      <c r="A3847" s="41" t="n"/>
      <c r="B3847" s="37" t="n"/>
      <c r="C3847" s="37" t="n"/>
      <c r="D3847" s="39" t="str">
        <f>IF(C3847="","",IFERROR(INDEX(art_des,MATCH(C3847,art_ref,0))&amp;"","Référence inconnue"))</f>
        <v/>
      </c>
      <c r="E3847" s="37" t="n"/>
      <c r="F3847" s="39" t="str">
        <f>IF(C3847="","",IFERROR(INDEX(art_unit,MATCH(C3847,art_ref,0))&amp;"",""))</f>
        <v/>
      </c>
      <c r="G3847" s="37" t="n"/>
      <c r="H3847" s="37" t="n"/>
      <c r="I3847" s="37" t="n"/>
      <c r="J3847" s="40" t="str">
        <f>IF(OR(C3847="",NOT(ISNUMBER(E3847))),"",IFERROR(E3847*N(INDEX(art_price,MATCH(C3847,art_ref,0))),""))</f>
        <v/>
      </c>
      <c r="K3847" s="39" t="str">
        <f>IF(OR(C3847="",NOT(ISNUMBER(E3847))),"",IFERROR(ROUND(N(INDEX(art_init,MATCH(C3847,art_ref,0)))+SUMIFS($E$5:E3847,$C$5:C3847,C3847,$B$5:B3847,"Entrée")-SUMIFS($E$5:E3847,$C$5:C3847,C3847,$B$5:B3847,"Sortie"),6),""))</f>
        <v/>
      </c>
      <c r="L3847" s="39" t="str">
        <f>IF(COUNTA(A3847:C3847,E3847)=0,"",IF(COUNTA(A3847:C3847,E3847)&lt;4,"Ligne incomplète",IF(NOT(ISNUMBER(A3847)),"Date invalide",IF(AND(B3847&lt;&gt;"Entrée",B3847&lt;&gt;"Sortie"),"Type inconnu",IF(ISNA(MATCH(C3847,art_ref,0)),"Référence inconnue",IF(OR(NOT(ISNUMBER(E3847)),N(E3847)&lt;=0),"Quantité invalide",IF(K3847&lt;0,"Stock négatif",IF(AND(ISNUMBER(A3846),A3847&lt;A3846),"Date hors ordre","OK"))))))))</f>
        <v/>
      </c>
      <c r="M3847" s="39" t="str">
        <f>IF(C3847="","",C3847&amp;"#"&amp;COUNTIF($C$5:C3847,C3847))</f>
        <v/>
      </c>
    </row>
    <row r="3848">
      <c r="A3848" s="41" t="n"/>
      <c r="B3848" s="37" t="n"/>
      <c r="C3848" s="37" t="n"/>
      <c r="D3848" s="39" t="str">
        <f>IF(C3848="","",IFERROR(INDEX(art_des,MATCH(C3848,art_ref,0))&amp;"","Référence inconnue"))</f>
        <v/>
      </c>
      <c r="E3848" s="37" t="n"/>
      <c r="F3848" s="39" t="str">
        <f>IF(C3848="","",IFERROR(INDEX(art_unit,MATCH(C3848,art_ref,0))&amp;"",""))</f>
        <v/>
      </c>
      <c r="G3848" s="37" t="n"/>
      <c r="H3848" s="37" t="n"/>
      <c r="I3848" s="37" t="n"/>
      <c r="J3848" s="40" t="str">
        <f>IF(OR(C3848="",NOT(ISNUMBER(E3848))),"",IFERROR(E3848*N(INDEX(art_price,MATCH(C3848,art_ref,0))),""))</f>
        <v/>
      </c>
      <c r="K3848" s="39" t="str">
        <f>IF(OR(C3848="",NOT(ISNUMBER(E3848))),"",IFERROR(ROUND(N(INDEX(art_init,MATCH(C3848,art_ref,0)))+SUMIFS($E$5:E3848,$C$5:C3848,C3848,$B$5:B3848,"Entrée")-SUMIFS($E$5:E3848,$C$5:C3848,C3848,$B$5:B3848,"Sortie"),6),""))</f>
        <v/>
      </c>
      <c r="L3848" s="39" t="str">
        <f>IF(COUNTA(A3848:C3848,E3848)=0,"",IF(COUNTA(A3848:C3848,E3848)&lt;4,"Ligne incomplète",IF(NOT(ISNUMBER(A3848)),"Date invalide",IF(AND(B3848&lt;&gt;"Entrée",B3848&lt;&gt;"Sortie"),"Type inconnu",IF(ISNA(MATCH(C3848,art_ref,0)),"Référence inconnue",IF(OR(NOT(ISNUMBER(E3848)),N(E3848)&lt;=0),"Quantité invalide",IF(K3848&lt;0,"Stock négatif",IF(AND(ISNUMBER(A3847),A3848&lt;A3847),"Date hors ordre","OK"))))))))</f>
        <v/>
      </c>
      <c r="M3848" s="39" t="str">
        <f>IF(C3848="","",C3848&amp;"#"&amp;COUNTIF($C$5:C3848,C3848))</f>
        <v/>
      </c>
    </row>
    <row r="3849">
      <c r="A3849" s="41" t="n"/>
      <c r="B3849" s="37" t="n"/>
      <c r="C3849" s="37" t="n"/>
      <c r="D3849" s="39" t="str">
        <f>IF(C3849="","",IFERROR(INDEX(art_des,MATCH(C3849,art_ref,0))&amp;"","Référence inconnue"))</f>
        <v/>
      </c>
      <c r="E3849" s="37" t="n"/>
      <c r="F3849" s="39" t="str">
        <f>IF(C3849="","",IFERROR(INDEX(art_unit,MATCH(C3849,art_ref,0))&amp;"",""))</f>
        <v/>
      </c>
      <c r="G3849" s="37" t="n"/>
      <c r="H3849" s="37" t="n"/>
      <c r="I3849" s="37" t="n"/>
      <c r="J3849" s="40" t="str">
        <f>IF(OR(C3849="",NOT(ISNUMBER(E3849))),"",IFERROR(E3849*N(INDEX(art_price,MATCH(C3849,art_ref,0))),""))</f>
        <v/>
      </c>
      <c r="K3849" s="39" t="str">
        <f>IF(OR(C3849="",NOT(ISNUMBER(E3849))),"",IFERROR(ROUND(N(INDEX(art_init,MATCH(C3849,art_ref,0)))+SUMIFS($E$5:E3849,$C$5:C3849,C3849,$B$5:B3849,"Entrée")-SUMIFS($E$5:E3849,$C$5:C3849,C3849,$B$5:B3849,"Sortie"),6),""))</f>
        <v/>
      </c>
      <c r="L3849" s="39" t="str">
        <f>IF(COUNTA(A3849:C3849,E3849)=0,"",IF(COUNTA(A3849:C3849,E3849)&lt;4,"Ligne incomplète",IF(NOT(ISNUMBER(A3849)),"Date invalide",IF(AND(B3849&lt;&gt;"Entrée",B3849&lt;&gt;"Sortie"),"Type inconnu",IF(ISNA(MATCH(C3849,art_ref,0)),"Référence inconnue",IF(OR(NOT(ISNUMBER(E3849)),N(E3849)&lt;=0),"Quantité invalide",IF(K3849&lt;0,"Stock négatif",IF(AND(ISNUMBER(A3848),A3849&lt;A3848),"Date hors ordre","OK"))))))))</f>
        <v/>
      </c>
      <c r="M3849" s="39" t="str">
        <f>IF(C3849="","",C3849&amp;"#"&amp;COUNTIF($C$5:C3849,C3849))</f>
        <v/>
      </c>
    </row>
    <row r="3850">
      <c r="A3850" s="41" t="n"/>
      <c r="B3850" s="37" t="n"/>
      <c r="C3850" s="37" t="n"/>
      <c r="D3850" s="39" t="str">
        <f>IF(C3850="","",IFERROR(INDEX(art_des,MATCH(C3850,art_ref,0))&amp;"","Référence inconnue"))</f>
        <v/>
      </c>
      <c r="E3850" s="37" t="n"/>
      <c r="F3850" s="39" t="str">
        <f>IF(C3850="","",IFERROR(INDEX(art_unit,MATCH(C3850,art_ref,0))&amp;"",""))</f>
        <v/>
      </c>
      <c r="G3850" s="37" t="n"/>
      <c r="H3850" s="37" t="n"/>
      <c r="I3850" s="37" t="n"/>
      <c r="J3850" s="40" t="str">
        <f>IF(OR(C3850="",NOT(ISNUMBER(E3850))),"",IFERROR(E3850*N(INDEX(art_price,MATCH(C3850,art_ref,0))),""))</f>
        <v/>
      </c>
      <c r="K3850" s="39" t="str">
        <f>IF(OR(C3850="",NOT(ISNUMBER(E3850))),"",IFERROR(ROUND(N(INDEX(art_init,MATCH(C3850,art_ref,0)))+SUMIFS($E$5:E3850,$C$5:C3850,C3850,$B$5:B3850,"Entrée")-SUMIFS($E$5:E3850,$C$5:C3850,C3850,$B$5:B3850,"Sortie"),6),""))</f>
        <v/>
      </c>
      <c r="L3850" s="39" t="str">
        <f>IF(COUNTA(A3850:C3850,E3850)=0,"",IF(COUNTA(A3850:C3850,E3850)&lt;4,"Ligne incomplète",IF(NOT(ISNUMBER(A3850)),"Date invalide",IF(AND(B3850&lt;&gt;"Entrée",B3850&lt;&gt;"Sortie"),"Type inconnu",IF(ISNA(MATCH(C3850,art_ref,0)),"Référence inconnue",IF(OR(NOT(ISNUMBER(E3850)),N(E3850)&lt;=0),"Quantité invalide",IF(K3850&lt;0,"Stock négatif",IF(AND(ISNUMBER(A3849),A3850&lt;A3849),"Date hors ordre","OK"))))))))</f>
        <v/>
      </c>
      <c r="M3850" s="39" t="str">
        <f>IF(C3850="","",C3850&amp;"#"&amp;COUNTIF($C$5:C3850,C3850))</f>
        <v/>
      </c>
    </row>
    <row r="3851">
      <c r="A3851" s="41" t="n"/>
      <c r="B3851" s="37" t="n"/>
      <c r="C3851" s="37" t="n"/>
      <c r="D3851" s="39" t="str">
        <f>IF(C3851="","",IFERROR(INDEX(art_des,MATCH(C3851,art_ref,0))&amp;"","Référence inconnue"))</f>
        <v/>
      </c>
      <c r="E3851" s="37" t="n"/>
      <c r="F3851" s="39" t="str">
        <f>IF(C3851="","",IFERROR(INDEX(art_unit,MATCH(C3851,art_ref,0))&amp;"",""))</f>
        <v/>
      </c>
      <c r="G3851" s="37" t="n"/>
      <c r="H3851" s="37" t="n"/>
      <c r="I3851" s="37" t="n"/>
      <c r="J3851" s="40" t="str">
        <f>IF(OR(C3851="",NOT(ISNUMBER(E3851))),"",IFERROR(E3851*N(INDEX(art_price,MATCH(C3851,art_ref,0))),""))</f>
        <v/>
      </c>
      <c r="K3851" s="39" t="str">
        <f>IF(OR(C3851="",NOT(ISNUMBER(E3851))),"",IFERROR(ROUND(N(INDEX(art_init,MATCH(C3851,art_ref,0)))+SUMIFS($E$5:E3851,$C$5:C3851,C3851,$B$5:B3851,"Entrée")-SUMIFS($E$5:E3851,$C$5:C3851,C3851,$B$5:B3851,"Sortie"),6),""))</f>
        <v/>
      </c>
      <c r="L3851" s="39" t="str">
        <f>IF(COUNTA(A3851:C3851,E3851)=0,"",IF(COUNTA(A3851:C3851,E3851)&lt;4,"Ligne incomplète",IF(NOT(ISNUMBER(A3851)),"Date invalide",IF(AND(B3851&lt;&gt;"Entrée",B3851&lt;&gt;"Sortie"),"Type inconnu",IF(ISNA(MATCH(C3851,art_ref,0)),"Référence inconnue",IF(OR(NOT(ISNUMBER(E3851)),N(E3851)&lt;=0),"Quantité invalide",IF(K3851&lt;0,"Stock négatif",IF(AND(ISNUMBER(A3850),A3851&lt;A3850),"Date hors ordre","OK"))))))))</f>
        <v/>
      </c>
      <c r="M3851" s="39" t="str">
        <f>IF(C3851="","",C3851&amp;"#"&amp;COUNTIF($C$5:C3851,C3851))</f>
        <v/>
      </c>
    </row>
    <row r="3852">
      <c r="A3852" s="41" t="n"/>
      <c r="B3852" s="37" t="n"/>
      <c r="C3852" s="37" t="n"/>
      <c r="D3852" s="39" t="str">
        <f>IF(C3852="","",IFERROR(INDEX(art_des,MATCH(C3852,art_ref,0))&amp;"","Référence inconnue"))</f>
        <v/>
      </c>
      <c r="E3852" s="37" t="n"/>
      <c r="F3852" s="39" t="str">
        <f>IF(C3852="","",IFERROR(INDEX(art_unit,MATCH(C3852,art_ref,0))&amp;"",""))</f>
        <v/>
      </c>
      <c r="G3852" s="37" t="n"/>
      <c r="H3852" s="37" t="n"/>
      <c r="I3852" s="37" t="n"/>
      <c r="J3852" s="40" t="str">
        <f>IF(OR(C3852="",NOT(ISNUMBER(E3852))),"",IFERROR(E3852*N(INDEX(art_price,MATCH(C3852,art_ref,0))),""))</f>
        <v/>
      </c>
      <c r="K3852" s="39" t="str">
        <f>IF(OR(C3852="",NOT(ISNUMBER(E3852))),"",IFERROR(ROUND(N(INDEX(art_init,MATCH(C3852,art_ref,0)))+SUMIFS($E$5:E3852,$C$5:C3852,C3852,$B$5:B3852,"Entrée")-SUMIFS($E$5:E3852,$C$5:C3852,C3852,$B$5:B3852,"Sortie"),6),""))</f>
        <v/>
      </c>
      <c r="L3852" s="39" t="str">
        <f>IF(COUNTA(A3852:C3852,E3852)=0,"",IF(COUNTA(A3852:C3852,E3852)&lt;4,"Ligne incomplète",IF(NOT(ISNUMBER(A3852)),"Date invalide",IF(AND(B3852&lt;&gt;"Entrée",B3852&lt;&gt;"Sortie"),"Type inconnu",IF(ISNA(MATCH(C3852,art_ref,0)),"Référence inconnue",IF(OR(NOT(ISNUMBER(E3852)),N(E3852)&lt;=0),"Quantité invalide",IF(K3852&lt;0,"Stock négatif",IF(AND(ISNUMBER(A3851),A3852&lt;A3851),"Date hors ordre","OK"))))))))</f>
        <v/>
      </c>
      <c r="M3852" s="39" t="str">
        <f>IF(C3852="","",C3852&amp;"#"&amp;COUNTIF($C$5:C3852,C3852))</f>
        <v/>
      </c>
    </row>
    <row r="3853">
      <c r="A3853" s="41" t="n"/>
      <c r="B3853" s="37" t="n"/>
      <c r="C3853" s="37" t="n"/>
      <c r="D3853" s="39" t="str">
        <f>IF(C3853="","",IFERROR(INDEX(art_des,MATCH(C3853,art_ref,0))&amp;"","Référence inconnue"))</f>
        <v/>
      </c>
      <c r="E3853" s="37" t="n"/>
      <c r="F3853" s="39" t="str">
        <f>IF(C3853="","",IFERROR(INDEX(art_unit,MATCH(C3853,art_ref,0))&amp;"",""))</f>
        <v/>
      </c>
      <c r="G3853" s="37" t="n"/>
      <c r="H3853" s="37" t="n"/>
      <c r="I3853" s="37" t="n"/>
      <c r="J3853" s="40" t="str">
        <f>IF(OR(C3853="",NOT(ISNUMBER(E3853))),"",IFERROR(E3853*N(INDEX(art_price,MATCH(C3853,art_ref,0))),""))</f>
        <v/>
      </c>
      <c r="K3853" s="39" t="str">
        <f>IF(OR(C3853="",NOT(ISNUMBER(E3853))),"",IFERROR(ROUND(N(INDEX(art_init,MATCH(C3853,art_ref,0)))+SUMIFS($E$5:E3853,$C$5:C3853,C3853,$B$5:B3853,"Entrée")-SUMIFS($E$5:E3853,$C$5:C3853,C3853,$B$5:B3853,"Sortie"),6),""))</f>
        <v/>
      </c>
      <c r="L3853" s="39" t="str">
        <f>IF(COUNTA(A3853:C3853,E3853)=0,"",IF(COUNTA(A3853:C3853,E3853)&lt;4,"Ligne incomplète",IF(NOT(ISNUMBER(A3853)),"Date invalide",IF(AND(B3853&lt;&gt;"Entrée",B3853&lt;&gt;"Sortie"),"Type inconnu",IF(ISNA(MATCH(C3853,art_ref,0)),"Référence inconnue",IF(OR(NOT(ISNUMBER(E3853)),N(E3853)&lt;=0),"Quantité invalide",IF(K3853&lt;0,"Stock négatif",IF(AND(ISNUMBER(A3852),A3853&lt;A3852),"Date hors ordre","OK"))))))))</f>
        <v/>
      </c>
      <c r="M3853" s="39" t="str">
        <f>IF(C3853="","",C3853&amp;"#"&amp;COUNTIF($C$5:C3853,C3853))</f>
        <v/>
      </c>
    </row>
    <row r="3854">
      <c r="A3854" s="41" t="n"/>
      <c r="B3854" s="37" t="n"/>
      <c r="C3854" s="37" t="n"/>
      <c r="D3854" s="39" t="str">
        <f>IF(C3854="","",IFERROR(INDEX(art_des,MATCH(C3854,art_ref,0))&amp;"","Référence inconnue"))</f>
        <v/>
      </c>
      <c r="E3854" s="37" t="n"/>
      <c r="F3854" s="39" t="str">
        <f>IF(C3854="","",IFERROR(INDEX(art_unit,MATCH(C3854,art_ref,0))&amp;"",""))</f>
        <v/>
      </c>
      <c r="G3854" s="37" t="n"/>
      <c r="H3854" s="37" t="n"/>
      <c r="I3854" s="37" t="n"/>
      <c r="J3854" s="40" t="str">
        <f>IF(OR(C3854="",NOT(ISNUMBER(E3854))),"",IFERROR(E3854*N(INDEX(art_price,MATCH(C3854,art_ref,0))),""))</f>
        <v/>
      </c>
      <c r="K3854" s="39" t="str">
        <f>IF(OR(C3854="",NOT(ISNUMBER(E3854))),"",IFERROR(ROUND(N(INDEX(art_init,MATCH(C3854,art_ref,0)))+SUMIFS($E$5:E3854,$C$5:C3854,C3854,$B$5:B3854,"Entrée")-SUMIFS($E$5:E3854,$C$5:C3854,C3854,$B$5:B3854,"Sortie"),6),""))</f>
        <v/>
      </c>
      <c r="L3854" s="39" t="str">
        <f>IF(COUNTA(A3854:C3854,E3854)=0,"",IF(COUNTA(A3854:C3854,E3854)&lt;4,"Ligne incomplète",IF(NOT(ISNUMBER(A3854)),"Date invalide",IF(AND(B3854&lt;&gt;"Entrée",B3854&lt;&gt;"Sortie"),"Type inconnu",IF(ISNA(MATCH(C3854,art_ref,0)),"Référence inconnue",IF(OR(NOT(ISNUMBER(E3854)),N(E3854)&lt;=0),"Quantité invalide",IF(K3854&lt;0,"Stock négatif",IF(AND(ISNUMBER(A3853),A3854&lt;A3853),"Date hors ordre","OK"))))))))</f>
        <v/>
      </c>
      <c r="M3854" s="39" t="str">
        <f>IF(C3854="","",C3854&amp;"#"&amp;COUNTIF($C$5:C3854,C3854))</f>
        <v/>
      </c>
    </row>
    <row r="3855">
      <c r="A3855" s="41" t="n"/>
      <c r="B3855" s="37" t="n"/>
      <c r="C3855" s="37" t="n"/>
      <c r="D3855" s="39" t="str">
        <f>IF(C3855="","",IFERROR(INDEX(art_des,MATCH(C3855,art_ref,0))&amp;"","Référence inconnue"))</f>
        <v/>
      </c>
      <c r="E3855" s="37" t="n"/>
      <c r="F3855" s="39" t="str">
        <f>IF(C3855="","",IFERROR(INDEX(art_unit,MATCH(C3855,art_ref,0))&amp;"",""))</f>
        <v/>
      </c>
      <c r="G3855" s="37" t="n"/>
      <c r="H3855" s="37" t="n"/>
      <c r="I3855" s="37" t="n"/>
      <c r="J3855" s="40" t="str">
        <f>IF(OR(C3855="",NOT(ISNUMBER(E3855))),"",IFERROR(E3855*N(INDEX(art_price,MATCH(C3855,art_ref,0))),""))</f>
        <v/>
      </c>
      <c r="K3855" s="39" t="str">
        <f>IF(OR(C3855="",NOT(ISNUMBER(E3855))),"",IFERROR(ROUND(N(INDEX(art_init,MATCH(C3855,art_ref,0)))+SUMIFS($E$5:E3855,$C$5:C3855,C3855,$B$5:B3855,"Entrée")-SUMIFS($E$5:E3855,$C$5:C3855,C3855,$B$5:B3855,"Sortie"),6),""))</f>
        <v/>
      </c>
      <c r="L3855" s="39" t="str">
        <f>IF(COUNTA(A3855:C3855,E3855)=0,"",IF(COUNTA(A3855:C3855,E3855)&lt;4,"Ligne incomplète",IF(NOT(ISNUMBER(A3855)),"Date invalide",IF(AND(B3855&lt;&gt;"Entrée",B3855&lt;&gt;"Sortie"),"Type inconnu",IF(ISNA(MATCH(C3855,art_ref,0)),"Référence inconnue",IF(OR(NOT(ISNUMBER(E3855)),N(E3855)&lt;=0),"Quantité invalide",IF(K3855&lt;0,"Stock négatif",IF(AND(ISNUMBER(A3854),A3855&lt;A3854),"Date hors ordre","OK"))))))))</f>
        <v/>
      </c>
      <c r="M3855" s="39" t="str">
        <f>IF(C3855="","",C3855&amp;"#"&amp;COUNTIF($C$5:C3855,C3855))</f>
        <v/>
      </c>
    </row>
    <row r="3856">
      <c r="A3856" s="41" t="n"/>
      <c r="B3856" s="37" t="n"/>
      <c r="C3856" s="37" t="n"/>
      <c r="D3856" s="39" t="str">
        <f>IF(C3856="","",IFERROR(INDEX(art_des,MATCH(C3856,art_ref,0))&amp;"","Référence inconnue"))</f>
        <v/>
      </c>
      <c r="E3856" s="37" t="n"/>
      <c r="F3856" s="39" t="str">
        <f>IF(C3856="","",IFERROR(INDEX(art_unit,MATCH(C3856,art_ref,0))&amp;"",""))</f>
        <v/>
      </c>
      <c r="G3856" s="37" t="n"/>
      <c r="H3856" s="37" t="n"/>
      <c r="I3856" s="37" t="n"/>
      <c r="J3856" s="40" t="str">
        <f>IF(OR(C3856="",NOT(ISNUMBER(E3856))),"",IFERROR(E3856*N(INDEX(art_price,MATCH(C3856,art_ref,0))),""))</f>
        <v/>
      </c>
      <c r="K3856" s="39" t="str">
        <f>IF(OR(C3856="",NOT(ISNUMBER(E3856))),"",IFERROR(ROUND(N(INDEX(art_init,MATCH(C3856,art_ref,0)))+SUMIFS($E$5:E3856,$C$5:C3856,C3856,$B$5:B3856,"Entrée")-SUMIFS($E$5:E3856,$C$5:C3856,C3856,$B$5:B3856,"Sortie"),6),""))</f>
        <v/>
      </c>
      <c r="L3856" s="39" t="str">
        <f>IF(COUNTA(A3856:C3856,E3856)=0,"",IF(COUNTA(A3856:C3856,E3856)&lt;4,"Ligne incomplète",IF(NOT(ISNUMBER(A3856)),"Date invalide",IF(AND(B3856&lt;&gt;"Entrée",B3856&lt;&gt;"Sortie"),"Type inconnu",IF(ISNA(MATCH(C3856,art_ref,0)),"Référence inconnue",IF(OR(NOT(ISNUMBER(E3856)),N(E3856)&lt;=0),"Quantité invalide",IF(K3856&lt;0,"Stock négatif",IF(AND(ISNUMBER(A3855),A3856&lt;A3855),"Date hors ordre","OK"))))))))</f>
        <v/>
      </c>
      <c r="M3856" s="39" t="str">
        <f>IF(C3856="","",C3856&amp;"#"&amp;COUNTIF($C$5:C3856,C3856))</f>
        <v/>
      </c>
    </row>
    <row r="3857">
      <c r="A3857" s="41" t="n"/>
      <c r="B3857" s="37" t="n"/>
      <c r="C3857" s="37" t="n"/>
      <c r="D3857" s="39" t="str">
        <f>IF(C3857="","",IFERROR(INDEX(art_des,MATCH(C3857,art_ref,0))&amp;"","Référence inconnue"))</f>
        <v/>
      </c>
      <c r="E3857" s="37" t="n"/>
      <c r="F3857" s="39" t="str">
        <f>IF(C3857="","",IFERROR(INDEX(art_unit,MATCH(C3857,art_ref,0))&amp;"",""))</f>
        <v/>
      </c>
      <c r="G3857" s="37" t="n"/>
      <c r="H3857" s="37" t="n"/>
      <c r="I3857" s="37" t="n"/>
      <c r="J3857" s="40" t="str">
        <f>IF(OR(C3857="",NOT(ISNUMBER(E3857))),"",IFERROR(E3857*N(INDEX(art_price,MATCH(C3857,art_ref,0))),""))</f>
        <v/>
      </c>
      <c r="K3857" s="39" t="str">
        <f>IF(OR(C3857="",NOT(ISNUMBER(E3857))),"",IFERROR(ROUND(N(INDEX(art_init,MATCH(C3857,art_ref,0)))+SUMIFS($E$5:E3857,$C$5:C3857,C3857,$B$5:B3857,"Entrée")-SUMIFS($E$5:E3857,$C$5:C3857,C3857,$B$5:B3857,"Sortie"),6),""))</f>
        <v/>
      </c>
      <c r="L3857" s="39" t="str">
        <f>IF(COUNTA(A3857:C3857,E3857)=0,"",IF(COUNTA(A3857:C3857,E3857)&lt;4,"Ligne incomplète",IF(NOT(ISNUMBER(A3857)),"Date invalide",IF(AND(B3857&lt;&gt;"Entrée",B3857&lt;&gt;"Sortie"),"Type inconnu",IF(ISNA(MATCH(C3857,art_ref,0)),"Référence inconnue",IF(OR(NOT(ISNUMBER(E3857)),N(E3857)&lt;=0),"Quantité invalide",IF(K3857&lt;0,"Stock négatif",IF(AND(ISNUMBER(A3856),A3857&lt;A3856),"Date hors ordre","OK"))))))))</f>
        <v/>
      </c>
      <c r="M3857" s="39" t="str">
        <f>IF(C3857="","",C3857&amp;"#"&amp;COUNTIF($C$5:C3857,C3857))</f>
        <v/>
      </c>
    </row>
    <row r="3858">
      <c r="A3858" s="41" t="n"/>
      <c r="B3858" s="37" t="n"/>
      <c r="C3858" s="37" t="n"/>
      <c r="D3858" s="39" t="str">
        <f>IF(C3858="","",IFERROR(INDEX(art_des,MATCH(C3858,art_ref,0))&amp;"","Référence inconnue"))</f>
        <v/>
      </c>
      <c r="E3858" s="37" t="n"/>
      <c r="F3858" s="39" t="str">
        <f>IF(C3858="","",IFERROR(INDEX(art_unit,MATCH(C3858,art_ref,0))&amp;"",""))</f>
        <v/>
      </c>
      <c r="G3858" s="37" t="n"/>
      <c r="H3858" s="37" t="n"/>
      <c r="I3858" s="37" t="n"/>
      <c r="J3858" s="40" t="str">
        <f>IF(OR(C3858="",NOT(ISNUMBER(E3858))),"",IFERROR(E3858*N(INDEX(art_price,MATCH(C3858,art_ref,0))),""))</f>
        <v/>
      </c>
      <c r="K3858" s="39" t="str">
        <f>IF(OR(C3858="",NOT(ISNUMBER(E3858))),"",IFERROR(ROUND(N(INDEX(art_init,MATCH(C3858,art_ref,0)))+SUMIFS($E$5:E3858,$C$5:C3858,C3858,$B$5:B3858,"Entrée")-SUMIFS($E$5:E3858,$C$5:C3858,C3858,$B$5:B3858,"Sortie"),6),""))</f>
        <v/>
      </c>
      <c r="L3858" s="39" t="str">
        <f>IF(COUNTA(A3858:C3858,E3858)=0,"",IF(COUNTA(A3858:C3858,E3858)&lt;4,"Ligne incomplète",IF(NOT(ISNUMBER(A3858)),"Date invalide",IF(AND(B3858&lt;&gt;"Entrée",B3858&lt;&gt;"Sortie"),"Type inconnu",IF(ISNA(MATCH(C3858,art_ref,0)),"Référence inconnue",IF(OR(NOT(ISNUMBER(E3858)),N(E3858)&lt;=0),"Quantité invalide",IF(K3858&lt;0,"Stock négatif",IF(AND(ISNUMBER(A3857),A3858&lt;A3857),"Date hors ordre","OK"))))))))</f>
        <v/>
      </c>
      <c r="M3858" s="39" t="str">
        <f>IF(C3858="","",C3858&amp;"#"&amp;COUNTIF($C$5:C3858,C3858))</f>
        <v/>
      </c>
    </row>
    <row r="3859">
      <c r="A3859" s="41" t="n"/>
      <c r="B3859" s="37" t="n"/>
      <c r="C3859" s="37" t="n"/>
      <c r="D3859" s="39" t="str">
        <f>IF(C3859="","",IFERROR(INDEX(art_des,MATCH(C3859,art_ref,0))&amp;"","Référence inconnue"))</f>
        <v/>
      </c>
      <c r="E3859" s="37" t="n"/>
      <c r="F3859" s="39" t="str">
        <f>IF(C3859="","",IFERROR(INDEX(art_unit,MATCH(C3859,art_ref,0))&amp;"",""))</f>
        <v/>
      </c>
      <c r="G3859" s="37" t="n"/>
      <c r="H3859" s="37" t="n"/>
      <c r="I3859" s="37" t="n"/>
      <c r="J3859" s="40" t="str">
        <f>IF(OR(C3859="",NOT(ISNUMBER(E3859))),"",IFERROR(E3859*N(INDEX(art_price,MATCH(C3859,art_ref,0))),""))</f>
        <v/>
      </c>
      <c r="K3859" s="39" t="str">
        <f>IF(OR(C3859="",NOT(ISNUMBER(E3859))),"",IFERROR(ROUND(N(INDEX(art_init,MATCH(C3859,art_ref,0)))+SUMIFS($E$5:E3859,$C$5:C3859,C3859,$B$5:B3859,"Entrée")-SUMIFS($E$5:E3859,$C$5:C3859,C3859,$B$5:B3859,"Sortie"),6),""))</f>
        <v/>
      </c>
      <c r="L3859" s="39" t="str">
        <f>IF(COUNTA(A3859:C3859,E3859)=0,"",IF(COUNTA(A3859:C3859,E3859)&lt;4,"Ligne incomplète",IF(NOT(ISNUMBER(A3859)),"Date invalide",IF(AND(B3859&lt;&gt;"Entrée",B3859&lt;&gt;"Sortie"),"Type inconnu",IF(ISNA(MATCH(C3859,art_ref,0)),"Référence inconnue",IF(OR(NOT(ISNUMBER(E3859)),N(E3859)&lt;=0),"Quantité invalide",IF(K3859&lt;0,"Stock négatif",IF(AND(ISNUMBER(A3858),A3859&lt;A3858),"Date hors ordre","OK"))))))))</f>
        <v/>
      </c>
      <c r="M3859" s="39" t="str">
        <f>IF(C3859="","",C3859&amp;"#"&amp;COUNTIF($C$5:C3859,C3859))</f>
        <v/>
      </c>
    </row>
    <row r="3860">
      <c r="A3860" s="41" t="n"/>
      <c r="B3860" s="37" t="n"/>
      <c r="C3860" s="37" t="n"/>
      <c r="D3860" s="39" t="str">
        <f>IF(C3860="","",IFERROR(INDEX(art_des,MATCH(C3860,art_ref,0))&amp;"","Référence inconnue"))</f>
        <v/>
      </c>
      <c r="E3860" s="37" t="n"/>
      <c r="F3860" s="39" t="str">
        <f>IF(C3860="","",IFERROR(INDEX(art_unit,MATCH(C3860,art_ref,0))&amp;"",""))</f>
        <v/>
      </c>
      <c r="G3860" s="37" t="n"/>
      <c r="H3860" s="37" t="n"/>
      <c r="I3860" s="37" t="n"/>
      <c r="J3860" s="40" t="str">
        <f>IF(OR(C3860="",NOT(ISNUMBER(E3860))),"",IFERROR(E3860*N(INDEX(art_price,MATCH(C3860,art_ref,0))),""))</f>
        <v/>
      </c>
      <c r="K3860" s="39" t="str">
        <f>IF(OR(C3860="",NOT(ISNUMBER(E3860))),"",IFERROR(ROUND(N(INDEX(art_init,MATCH(C3860,art_ref,0)))+SUMIFS($E$5:E3860,$C$5:C3860,C3860,$B$5:B3860,"Entrée")-SUMIFS($E$5:E3860,$C$5:C3860,C3860,$B$5:B3860,"Sortie"),6),""))</f>
        <v/>
      </c>
      <c r="L3860" s="39" t="str">
        <f>IF(COUNTA(A3860:C3860,E3860)=0,"",IF(COUNTA(A3860:C3860,E3860)&lt;4,"Ligne incomplète",IF(NOT(ISNUMBER(A3860)),"Date invalide",IF(AND(B3860&lt;&gt;"Entrée",B3860&lt;&gt;"Sortie"),"Type inconnu",IF(ISNA(MATCH(C3860,art_ref,0)),"Référence inconnue",IF(OR(NOT(ISNUMBER(E3860)),N(E3860)&lt;=0),"Quantité invalide",IF(K3860&lt;0,"Stock négatif",IF(AND(ISNUMBER(A3859),A3860&lt;A3859),"Date hors ordre","OK"))))))))</f>
        <v/>
      </c>
      <c r="M3860" s="39" t="str">
        <f>IF(C3860="","",C3860&amp;"#"&amp;COUNTIF($C$5:C3860,C3860))</f>
        <v/>
      </c>
    </row>
    <row r="3861">
      <c r="A3861" s="41" t="n"/>
      <c r="B3861" s="37" t="n"/>
      <c r="C3861" s="37" t="n"/>
      <c r="D3861" s="39" t="str">
        <f>IF(C3861="","",IFERROR(INDEX(art_des,MATCH(C3861,art_ref,0))&amp;"","Référence inconnue"))</f>
        <v/>
      </c>
      <c r="E3861" s="37" t="n"/>
      <c r="F3861" s="39" t="str">
        <f>IF(C3861="","",IFERROR(INDEX(art_unit,MATCH(C3861,art_ref,0))&amp;"",""))</f>
        <v/>
      </c>
      <c r="G3861" s="37" t="n"/>
      <c r="H3861" s="37" t="n"/>
      <c r="I3861" s="37" t="n"/>
      <c r="J3861" s="40" t="str">
        <f>IF(OR(C3861="",NOT(ISNUMBER(E3861))),"",IFERROR(E3861*N(INDEX(art_price,MATCH(C3861,art_ref,0))),""))</f>
        <v/>
      </c>
      <c r="K3861" s="39" t="str">
        <f>IF(OR(C3861="",NOT(ISNUMBER(E3861))),"",IFERROR(ROUND(N(INDEX(art_init,MATCH(C3861,art_ref,0)))+SUMIFS($E$5:E3861,$C$5:C3861,C3861,$B$5:B3861,"Entrée")-SUMIFS($E$5:E3861,$C$5:C3861,C3861,$B$5:B3861,"Sortie"),6),""))</f>
        <v/>
      </c>
      <c r="L3861" s="39" t="str">
        <f>IF(COUNTA(A3861:C3861,E3861)=0,"",IF(COUNTA(A3861:C3861,E3861)&lt;4,"Ligne incomplète",IF(NOT(ISNUMBER(A3861)),"Date invalide",IF(AND(B3861&lt;&gt;"Entrée",B3861&lt;&gt;"Sortie"),"Type inconnu",IF(ISNA(MATCH(C3861,art_ref,0)),"Référence inconnue",IF(OR(NOT(ISNUMBER(E3861)),N(E3861)&lt;=0),"Quantité invalide",IF(K3861&lt;0,"Stock négatif",IF(AND(ISNUMBER(A3860),A3861&lt;A3860),"Date hors ordre","OK"))))))))</f>
        <v/>
      </c>
      <c r="M3861" s="39" t="str">
        <f>IF(C3861="","",C3861&amp;"#"&amp;COUNTIF($C$5:C3861,C3861))</f>
        <v/>
      </c>
    </row>
    <row r="3862">
      <c r="A3862" s="41" t="n"/>
      <c r="B3862" s="37" t="n"/>
      <c r="C3862" s="37" t="n"/>
      <c r="D3862" s="39" t="str">
        <f>IF(C3862="","",IFERROR(INDEX(art_des,MATCH(C3862,art_ref,0))&amp;"","Référence inconnue"))</f>
        <v/>
      </c>
      <c r="E3862" s="37" t="n"/>
      <c r="F3862" s="39" t="str">
        <f>IF(C3862="","",IFERROR(INDEX(art_unit,MATCH(C3862,art_ref,0))&amp;"",""))</f>
        <v/>
      </c>
      <c r="G3862" s="37" t="n"/>
      <c r="H3862" s="37" t="n"/>
      <c r="I3862" s="37" t="n"/>
      <c r="J3862" s="40" t="str">
        <f>IF(OR(C3862="",NOT(ISNUMBER(E3862))),"",IFERROR(E3862*N(INDEX(art_price,MATCH(C3862,art_ref,0))),""))</f>
        <v/>
      </c>
      <c r="K3862" s="39" t="str">
        <f>IF(OR(C3862="",NOT(ISNUMBER(E3862))),"",IFERROR(ROUND(N(INDEX(art_init,MATCH(C3862,art_ref,0)))+SUMIFS($E$5:E3862,$C$5:C3862,C3862,$B$5:B3862,"Entrée")-SUMIFS($E$5:E3862,$C$5:C3862,C3862,$B$5:B3862,"Sortie"),6),""))</f>
        <v/>
      </c>
      <c r="L3862" s="39" t="str">
        <f>IF(COUNTA(A3862:C3862,E3862)=0,"",IF(COUNTA(A3862:C3862,E3862)&lt;4,"Ligne incomplète",IF(NOT(ISNUMBER(A3862)),"Date invalide",IF(AND(B3862&lt;&gt;"Entrée",B3862&lt;&gt;"Sortie"),"Type inconnu",IF(ISNA(MATCH(C3862,art_ref,0)),"Référence inconnue",IF(OR(NOT(ISNUMBER(E3862)),N(E3862)&lt;=0),"Quantité invalide",IF(K3862&lt;0,"Stock négatif",IF(AND(ISNUMBER(A3861),A3862&lt;A3861),"Date hors ordre","OK"))))))))</f>
        <v/>
      </c>
      <c r="M3862" s="39" t="str">
        <f>IF(C3862="","",C3862&amp;"#"&amp;COUNTIF($C$5:C3862,C3862))</f>
        <v/>
      </c>
    </row>
    <row r="3863">
      <c r="A3863" s="41" t="n"/>
      <c r="B3863" s="37" t="n"/>
      <c r="C3863" s="37" t="n"/>
      <c r="D3863" s="39" t="str">
        <f>IF(C3863="","",IFERROR(INDEX(art_des,MATCH(C3863,art_ref,0))&amp;"","Référence inconnue"))</f>
        <v/>
      </c>
      <c r="E3863" s="37" t="n"/>
      <c r="F3863" s="39" t="str">
        <f>IF(C3863="","",IFERROR(INDEX(art_unit,MATCH(C3863,art_ref,0))&amp;"",""))</f>
        <v/>
      </c>
      <c r="G3863" s="37" t="n"/>
      <c r="H3863" s="37" t="n"/>
      <c r="I3863" s="37" t="n"/>
      <c r="J3863" s="40" t="str">
        <f>IF(OR(C3863="",NOT(ISNUMBER(E3863))),"",IFERROR(E3863*N(INDEX(art_price,MATCH(C3863,art_ref,0))),""))</f>
        <v/>
      </c>
      <c r="K3863" s="39" t="str">
        <f>IF(OR(C3863="",NOT(ISNUMBER(E3863))),"",IFERROR(ROUND(N(INDEX(art_init,MATCH(C3863,art_ref,0)))+SUMIFS($E$5:E3863,$C$5:C3863,C3863,$B$5:B3863,"Entrée")-SUMIFS($E$5:E3863,$C$5:C3863,C3863,$B$5:B3863,"Sortie"),6),""))</f>
        <v/>
      </c>
      <c r="L3863" s="39" t="str">
        <f>IF(COUNTA(A3863:C3863,E3863)=0,"",IF(COUNTA(A3863:C3863,E3863)&lt;4,"Ligne incomplète",IF(NOT(ISNUMBER(A3863)),"Date invalide",IF(AND(B3863&lt;&gt;"Entrée",B3863&lt;&gt;"Sortie"),"Type inconnu",IF(ISNA(MATCH(C3863,art_ref,0)),"Référence inconnue",IF(OR(NOT(ISNUMBER(E3863)),N(E3863)&lt;=0),"Quantité invalide",IF(K3863&lt;0,"Stock négatif",IF(AND(ISNUMBER(A3862),A3863&lt;A3862),"Date hors ordre","OK"))))))))</f>
        <v/>
      </c>
      <c r="M3863" s="39" t="str">
        <f>IF(C3863="","",C3863&amp;"#"&amp;COUNTIF($C$5:C3863,C3863))</f>
        <v/>
      </c>
    </row>
    <row r="3864">
      <c r="A3864" s="41" t="n"/>
      <c r="B3864" s="37" t="n"/>
      <c r="C3864" s="37" t="n"/>
      <c r="D3864" s="39" t="str">
        <f>IF(C3864="","",IFERROR(INDEX(art_des,MATCH(C3864,art_ref,0))&amp;"","Référence inconnue"))</f>
        <v/>
      </c>
      <c r="E3864" s="37" t="n"/>
      <c r="F3864" s="39" t="str">
        <f>IF(C3864="","",IFERROR(INDEX(art_unit,MATCH(C3864,art_ref,0))&amp;"",""))</f>
        <v/>
      </c>
      <c r="G3864" s="37" t="n"/>
      <c r="H3864" s="37" t="n"/>
      <c r="I3864" s="37" t="n"/>
      <c r="J3864" s="40" t="str">
        <f>IF(OR(C3864="",NOT(ISNUMBER(E3864))),"",IFERROR(E3864*N(INDEX(art_price,MATCH(C3864,art_ref,0))),""))</f>
        <v/>
      </c>
      <c r="K3864" s="39" t="str">
        <f>IF(OR(C3864="",NOT(ISNUMBER(E3864))),"",IFERROR(ROUND(N(INDEX(art_init,MATCH(C3864,art_ref,0)))+SUMIFS($E$5:E3864,$C$5:C3864,C3864,$B$5:B3864,"Entrée")-SUMIFS($E$5:E3864,$C$5:C3864,C3864,$B$5:B3864,"Sortie"),6),""))</f>
        <v/>
      </c>
      <c r="L3864" s="39" t="str">
        <f>IF(COUNTA(A3864:C3864,E3864)=0,"",IF(COUNTA(A3864:C3864,E3864)&lt;4,"Ligne incomplète",IF(NOT(ISNUMBER(A3864)),"Date invalide",IF(AND(B3864&lt;&gt;"Entrée",B3864&lt;&gt;"Sortie"),"Type inconnu",IF(ISNA(MATCH(C3864,art_ref,0)),"Référence inconnue",IF(OR(NOT(ISNUMBER(E3864)),N(E3864)&lt;=0),"Quantité invalide",IF(K3864&lt;0,"Stock négatif",IF(AND(ISNUMBER(A3863),A3864&lt;A3863),"Date hors ordre","OK"))))))))</f>
        <v/>
      </c>
      <c r="M3864" s="39" t="str">
        <f>IF(C3864="","",C3864&amp;"#"&amp;COUNTIF($C$5:C3864,C3864))</f>
        <v/>
      </c>
    </row>
    <row r="3865">
      <c r="A3865" s="41" t="n"/>
      <c r="B3865" s="37" t="n"/>
      <c r="C3865" s="37" t="n"/>
      <c r="D3865" s="39" t="str">
        <f>IF(C3865="","",IFERROR(INDEX(art_des,MATCH(C3865,art_ref,0))&amp;"","Référence inconnue"))</f>
        <v/>
      </c>
      <c r="E3865" s="37" t="n"/>
      <c r="F3865" s="39" t="str">
        <f>IF(C3865="","",IFERROR(INDEX(art_unit,MATCH(C3865,art_ref,0))&amp;"",""))</f>
        <v/>
      </c>
      <c r="G3865" s="37" t="n"/>
      <c r="H3865" s="37" t="n"/>
      <c r="I3865" s="37" t="n"/>
      <c r="J3865" s="40" t="str">
        <f>IF(OR(C3865="",NOT(ISNUMBER(E3865))),"",IFERROR(E3865*N(INDEX(art_price,MATCH(C3865,art_ref,0))),""))</f>
        <v/>
      </c>
      <c r="K3865" s="39" t="str">
        <f>IF(OR(C3865="",NOT(ISNUMBER(E3865))),"",IFERROR(ROUND(N(INDEX(art_init,MATCH(C3865,art_ref,0)))+SUMIFS($E$5:E3865,$C$5:C3865,C3865,$B$5:B3865,"Entrée")-SUMIFS($E$5:E3865,$C$5:C3865,C3865,$B$5:B3865,"Sortie"),6),""))</f>
        <v/>
      </c>
      <c r="L3865" s="39" t="str">
        <f>IF(COUNTA(A3865:C3865,E3865)=0,"",IF(COUNTA(A3865:C3865,E3865)&lt;4,"Ligne incomplète",IF(NOT(ISNUMBER(A3865)),"Date invalide",IF(AND(B3865&lt;&gt;"Entrée",B3865&lt;&gt;"Sortie"),"Type inconnu",IF(ISNA(MATCH(C3865,art_ref,0)),"Référence inconnue",IF(OR(NOT(ISNUMBER(E3865)),N(E3865)&lt;=0),"Quantité invalide",IF(K3865&lt;0,"Stock négatif",IF(AND(ISNUMBER(A3864),A3865&lt;A3864),"Date hors ordre","OK"))))))))</f>
        <v/>
      </c>
      <c r="M3865" s="39" t="str">
        <f>IF(C3865="","",C3865&amp;"#"&amp;COUNTIF($C$5:C3865,C3865))</f>
        <v/>
      </c>
    </row>
    <row r="3866">
      <c r="A3866" s="41" t="n"/>
      <c r="B3866" s="37" t="n"/>
      <c r="C3866" s="37" t="n"/>
      <c r="D3866" s="39" t="str">
        <f>IF(C3866="","",IFERROR(INDEX(art_des,MATCH(C3866,art_ref,0))&amp;"","Référence inconnue"))</f>
        <v/>
      </c>
      <c r="E3866" s="37" t="n"/>
      <c r="F3866" s="39" t="str">
        <f>IF(C3866="","",IFERROR(INDEX(art_unit,MATCH(C3866,art_ref,0))&amp;"",""))</f>
        <v/>
      </c>
      <c r="G3866" s="37" t="n"/>
      <c r="H3866" s="37" t="n"/>
      <c r="I3866" s="37" t="n"/>
      <c r="J3866" s="40" t="str">
        <f>IF(OR(C3866="",NOT(ISNUMBER(E3866))),"",IFERROR(E3866*N(INDEX(art_price,MATCH(C3866,art_ref,0))),""))</f>
        <v/>
      </c>
      <c r="K3866" s="39" t="str">
        <f>IF(OR(C3866="",NOT(ISNUMBER(E3866))),"",IFERROR(ROUND(N(INDEX(art_init,MATCH(C3866,art_ref,0)))+SUMIFS($E$5:E3866,$C$5:C3866,C3866,$B$5:B3866,"Entrée")-SUMIFS($E$5:E3866,$C$5:C3866,C3866,$B$5:B3866,"Sortie"),6),""))</f>
        <v/>
      </c>
      <c r="L3866" s="39" t="str">
        <f>IF(COUNTA(A3866:C3866,E3866)=0,"",IF(COUNTA(A3866:C3866,E3866)&lt;4,"Ligne incomplète",IF(NOT(ISNUMBER(A3866)),"Date invalide",IF(AND(B3866&lt;&gt;"Entrée",B3866&lt;&gt;"Sortie"),"Type inconnu",IF(ISNA(MATCH(C3866,art_ref,0)),"Référence inconnue",IF(OR(NOT(ISNUMBER(E3866)),N(E3866)&lt;=0),"Quantité invalide",IF(K3866&lt;0,"Stock négatif",IF(AND(ISNUMBER(A3865),A3866&lt;A3865),"Date hors ordre","OK"))))))))</f>
        <v/>
      </c>
      <c r="M3866" s="39" t="str">
        <f>IF(C3866="","",C3866&amp;"#"&amp;COUNTIF($C$5:C3866,C3866))</f>
        <v/>
      </c>
    </row>
    <row r="3867">
      <c r="A3867" s="41" t="n"/>
      <c r="B3867" s="37" t="n"/>
      <c r="C3867" s="37" t="n"/>
      <c r="D3867" s="39" t="str">
        <f>IF(C3867="","",IFERROR(INDEX(art_des,MATCH(C3867,art_ref,0))&amp;"","Référence inconnue"))</f>
        <v/>
      </c>
      <c r="E3867" s="37" t="n"/>
      <c r="F3867" s="39" t="str">
        <f>IF(C3867="","",IFERROR(INDEX(art_unit,MATCH(C3867,art_ref,0))&amp;"",""))</f>
        <v/>
      </c>
      <c r="G3867" s="37" t="n"/>
      <c r="H3867" s="37" t="n"/>
      <c r="I3867" s="37" t="n"/>
      <c r="J3867" s="40" t="str">
        <f>IF(OR(C3867="",NOT(ISNUMBER(E3867))),"",IFERROR(E3867*N(INDEX(art_price,MATCH(C3867,art_ref,0))),""))</f>
        <v/>
      </c>
      <c r="K3867" s="39" t="str">
        <f>IF(OR(C3867="",NOT(ISNUMBER(E3867))),"",IFERROR(ROUND(N(INDEX(art_init,MATCH(C3867,art_ref,0)))+SUMIFS($E$5:E3867,$C$5:C3867,C3867,$B$5:B3867,"Entrée")-SUMIFS($E$5:E3867,$C$5:C3867,C3867,$B$5:B3867,"Sortie"),6),""))</f>
        <v/>
      </c>
      <c r="L3867" s="39" t="str">
        <f>IF(COUNTA(A3867:C3867,E3867)=0,"",IF(COUNTA(A3867:C3867,E3867)&lt;4,"Ligne incomplète",IF(NOT(ISNUMBER(A3867)),"Date invalide",IF(AND(B3867&lt;&gt;"Entrée",B3867&lt;&gt;"Sortie"),"Type inconnu",IF(ISNA(MATCH(C3867,art_ref,0)),"Référence inconnue",IF(OR(NOT(ISNUMBER(E3867)),N(E3867)&lt;=0),"Quantité invalide",IF(K3867&lt;0,"Stock négatif",IF(AND(ISNUMBER(A3866),A3867&lt;A3866),"Date hors ordre","OK"))))))))</f>
        <v/>
      </c>
      <c r="M3867" s="39" t="str">
        <f>IF(C3867="","",C3867&amp;"#"&amp;COUNTIF($C$5:C3867,C3867))</f>
        <v/>
      </c>
    </row>
    <row r="3868">
      <c r="A3868" s="41" t="n"/>
      <c r="B3868" s="37" t="n"/>
      <c r="C3868" s="37" t="n"/>
      <c r="D3868" s="39" t="str">
        <f>IF(C3868="","",IFERROR(INDEX(art_des,MATCH(C3868,art_ref,0))&amp;"","Référence inconnue"))</f>
        <v/>
      </c>
      <c r="E3868" s="37" t="n"/>
      <c r="F3868" s="39" t="str">
        <f>IF(C3868="","",IFERROR(INDEX(art_unit,MATCH(C3868,art_ref,0))&amp;"",""))</f>
        <v/>
      </c>
      <c r="G3868" s="37" t="n"/>
      <c r="H3868" s="37" t="n"/>
      <c r="I3868" s="37" t="n"/>
      <c r="J3868" s="40" t="str">
        <f>IF(OR(C3868="",NOT(ISNUMBER(E3868))),"",IFERROR(E3868*N(INDEX(art_price,MATCH(C3868,art_ref,0))),""))</f>
        <v/>
      </c>
      <c r="K3868" s="39" t="str">
        <f>IF(OR(C3868="",NOT(ISNUMBER(E3868))),"",IFERROR(ROUND(N(INDEX(art_init,MATCH(C3868,art_ref,0)))+SUMIFS($E$5:E3868,$C$5:C3868,C3868,$B$5:B3868,"Entrée")-SUMIFS($E$5:E3868,$C$5:C3868,C3868,$B$5:B3868,"Sortie"),6),""))</f>
        <v/>
      </c>
      <c r="L3868" s="39" t="str">
        <f>IF(COUNTA(A3868:C3868,E3868)=0,"",IF(COUNTA(A3868:C3868,E3868)&lt;4,"Ligne incomplète",IF(NOT(ISNUMBER(A3868)),"Date invalide",IF(AND(B3868&lt;&gt;"Entrée",B3868&lt;&gt;"Sortie"),"Type inconnu",IF(ISNA(MATCH(C3868,art_ref,0)),"Référence inconnue",IF(OR(NOT(ISNUMBER(E3868)),N(E3868)&lt;=0),"Quantité invalide",IF(K3868&lt;0,"Stock négatif",IF(AND(ISNUMBER(A3867),A3868&lt;A3867),"Date hors ordre","OK"))))))))</f>
        <v/>
      </c>
      <c r="M3868" s="39" t="str">
        <f>IF(C3868="","",C3868&amp;"#"&amp;COUNTIF($C$5:C3868,C3868))</f>
        <v/>
      </c>
    </row>
    <row r="3869">
      <c r="A3869" s="41" t="n"/>
      <c r="B3869" s="37" t="n"/>
      <c r="C3869" s="37" t="n"/>
      <c r="D3869" s="39" t="str">
        <f>IF(C3869="","",IFERROR(INDEX(art_des,MATCH(C3869,art_ref,0))&amp;"","Référence inconnue"))</f>
        <v/>
      </c>
      <c r="E3869" s="37" t="n"/>
      <c r="F3869" s="39" t="str">
        <f>IF(C3869="","",IFERROR(INDEX(art_unit,MATCH(C3869,art_ref,0))&amp;"",""))</f>
        <v/>
      </c>
      <c r="G3869" s="37" t="n"/>
      <c r="H3869" s="37" t="n"/>
      <c r="I3869" s="37" t="n"/>
      <c r="J3869" s="40" t="str">
        <f>IF(OR(C3869="",NOT(ISNUMBER(E3869))),"",IFERROR(E3869*N(INDEX(art_price,MATCH(C3869,art_ref,0))),""))</f>
        <v/>
      </c>
      <c r="K3869" s="39" t="str">
        <f>IF(OR(C3869="",NOT(ISNUMBER(E3869))),"",IFERROR(ROUND(N(INDEX(art_init,MATCH(C3869,art_ref,0)))+SUMIFS($E$5:E3869,$C$5:C3869,C3869,$B$5:B3869,"Entrée")-SUMIFS($E$5:E3869,$C$5:C3869,C3869,$B$5:B3869,"Sortie"),6),""))</f>
        <v/>
      </c>
      <c r="L3869" s="39" t="str">
        <f>IF(COUNTA(A3869:C3869,E3869)=0,"",IF(COUNTA(A3869:C3869,E3869)&lt;4,"Ligne incomplète",IF(NOT(ISNUMBER(A3869)),"Date invalide",IF(AND(B3869&lt;&gt;"Entrée",B3869&lt;&gt;"Sortie"),"Type inconnu",IF(ISNA(MATCH(C3869,art_ref,0)),"Référence inconnue",IF(OR(NOT(ISNUMBER(E3869)),N(E3869)&lt;=0),"Quantité invalide",IF(K3869&lt;0,"Stock négatif",IF(AND(ISNUMBER(A3868),A3869&lt;A3868),"Date hors ordre","OK"))))))))</f>
        <v/>
      </c>
      <c r="M3869" s="39" t="str">
        <f>IF(C3869="","",C3869&amp;"#"&amp;COUNTIF($C$5:C3869,C3869))</f>
        <v/>
      </c>
    </row>
    <row r="3870">
      <c r="A3870" s="41" t="n"/>
      <c r="B3870" s="37" t="n"/>
      <c r="C3870" s="37" t="n"/>
      <c r="D3870" s="39" t="str">
        <f>IF(C3870="","",IFERROR(INDEX(art_des,MATCH(C3870,art_ref,0))&amp;"","Référence inconnue"))</f>
        <v/>
      </c>
      <c r="E3870" s="37" t="n"/>
      <c r="F3870" s="39" t="str">
        <f>IF(C3870="","",IFERROR(INDEX(art_unit,MATCH(C3870,art_ref,0))&amp;"",""))</f>
        <v/>
      </c>
      <c r="G3870" s="37" t="n"/>
      <c r="H3870" s="37" t="n"/>
      <c r="I3870" s="37" t="n"/>
      <c r="J3870" s="40" t="str">
        <f>IF(OR(C3870="",NOT(ISNUMBER(E3870))),"",IFERROR(E3870*N(INDEX(art_price,MATCH(C3870,art_ref,0))),""))</f>
        <v/>
      </c>
      <c r="K3870" s="39" t="str">
        <f>IF(OR(C3870="",NOT(ISNUMBER(E3870))),"",IFERROR(ROUND(N(INDEX(art_init,MATCH(C3870,art_ref,0)))+SUMIFS($E$5:E3870,$C$5:C3870,C3870,$B$5:B3870,"Entrée")-SUMIFS($E$5:E3870,$C$5:C3870,C3870,$B$5:B3870,"Sortie"),6),""))</f>
        <v/>
      </c>
      <c r="L3870" s="39" t="str">
        <f>IF(COUNTA(A3870:C3870,E3870)=0,"",IF(COUNTA(A3870:C3870,E3870)&lt;4,"Ligne incomplète",IF(NOT(ISNUMBER(A3870)),"Date invalide",IF(AND(B3870&lt;&gt;"Entrée",B3870&lt;&gt;"Sortie"),"Type inconnu",IF(ISNA(MATCH(C3870,art_ref,0)),"Référence inconnue",IF(OR(NOT(ISNUMBER(E3870)),N(E3870)&lt;=0),"Quantité invalide",IF(K3870&lt;0,"Stock négatif",IF(AND(ISNUMBER(A3869),A3870&lt;A3869),"Date hors ordre","OK"))))))))</f>
        <v/>
      </c>
      <c r="M3870" s="39" t="str">
        <f>IF(C3870="","",C3870&amp;"#"&amp;COUNTIF($C$5:C3870,C3870))</f>
        <v/>
      </c>
    </row>
    <row r="3871">
      <c r="A3871" s="41" t="n"/>
      <c r="B3871" s="37" t="n"/>
      <c r="C3871" s="37" t="n"/>
      <c r="D3871" s="39" t="str">
        <f>IF(C3871="","",IFERROR(INDEX(art_des,MATCH(C3871,art_ref,0))&amp;"","Référence inconnue"))</f>
        <v/>
      </c>
      <c r="E3871" s="37" t="n"/>
      <c r="F3871" s="39" t="str">
        <f>IF(C3871="","",IFERROR(INDEX(art_unit,MATCH(C3871,art_ref,0))&amp;"",""))</f>
        <v/>
      </c>
      <c r="G3871" s="37" t="n"/>
      <c r="H3871" s="37" t="n"/>
      <c r="I3871" s="37" t="n"/>
      <c r="J3871" s="40" t="str">
        <f>IF(OR(C3871="",NOT(ISNUMBER(E3871))),"",IFERROR(E3871*N(INDEX(art_price,MATCH(C3871,art_ref,0))),""))</f>
        <v/>
      </c>
      <c r="K3871" s="39" t="str">
        <f>IF(OR(C3871="",NOT(ISNUMBER(E3871))),"",IFERROR(ROUND(N(INDEX(art_init,MATCH(C3871,art_ref,0)))+SUMIFS($E$5:E3871,$C$5:C3871,C3871,$B$5:B3871,"Entrée")-SUMIFS($E$5:E3871,$C$5:C3871,C3871,$B$5:B3871,"Sortie"),6),""))</f>
        <v/>
      </c>
      <c r="L3871" s="39" t="str">
        <f>IF(COUNTA(A3871:C3871,E3871)=0,"",IF(COUNTA(A3871:C3871,E3871)&lt;4,"Ligne incomplète",IF(NOT(ISNUMBER(A3871)),"Date invalide",IF(AND(B3871&lt;&gt;"Entrée",B3871&lt;&gt;"Sortie"),"Type inconnu",IF(ISNA(MATCH(C3871,art_ref,0)),"Référence inconnue",IF(OR(NOT(ISNUMBER(E3871)),N(E3871)&lt;=0),"Quantité invalide",IF(K3871&lt;0,"Stock négatif",IF(AND(ISNUMBER(A3870),A3871&lt;A3870),"Date hors ordre","OK"))))))))</f>
        <v/>
      </c>
      <c r="M3871" s="39" t="str">
        <f>IF(C3871="","",C3871&amp;"#"&amp;COUNTIF($C$5:C3871,C3871))</f>
        <v/>
      </c>
    </row>
    <row r="3872">
      <c r="A3872" s="41" t="n"/>
      <c r="B3872" s="37" t="n"/>
      <c r="C3872" s="37" t="n"/>
      <c r="D3872" s="39" t="str">
        <f>IF(C3872="","",IFERROR(INDEX(art_des,MATCH(C3872,art_ref,0))&amp;"","Référence inconnue"))</f>
        <v/>
      </c>
      <c r="E3872" s="37" t="n"/>
      <c r="F3872" s="39" t="str">
        <f>IF(C3872="","",IFERROR(INDEX(art_unit,MATCH(C3872,art_ref,0))&amp;"",""))</f>
        <v/>
      </c>
      <c r="G3872" s="37" t="n"/>
      <c r="H3872" s="37" t="n"/>
      <c r="I3872" s="37" t="n"/>
      <c r="J3872" s="40" t="str">
        <f>IF(OR(C3872="",NOT(ISNUMBER(E3872))),"",IFERROR(E3872*N(INDEX(art_price,MATCH(C3872,art_ref,0))),""))</f>
        <v/>
      </c>
      <c r="K3872" s="39" t="str">
        <f>IF(OR(C3872="",NOT(ISNUMBER(E3872))),"",IFERROR(ROUND(N(INDEX(art_init,MATCH(C3872,art_ref,0)))+SUMIFS($E$5:E3872,$C$5:C3872,C3872,$B$5:B3872,"Entrée")-SUMIFS($E$5:E3872,$C$5:C3872,C3872,$B$5:B3872,"Sortie"),6),""))</f>
        <v/>
      </c>
      <c r="L3872" s="39" t="str">
        <f>IF(COUNTA(A3872:C3872,E3872)=0,"",IF(COUNTA(A3872:C3872,E3872)&lt;4,"Ligne incomplète",IF(NOT(ISNUMBER(A3872)),"Date invalide",IF(AND(B3872&lt;&gt;"Entrée",B3872&lt;&gt;"Sortie"),"Type inconnu",IF(ISNA(MATCH(C3872,art_ref,0)),"Référence inconnue",IF(OR(NOT(ISNUMBER(E3872)),N(E3872)&lt;=0),"Quantité invalide",IF(K3872&lt;0,"Stock négatif",IF(AND(ISNUMBER(A3871),A3872&lt;A3871),"Date hors ordre","OK"))))))))</f>
        <v/>
      </c>
      <c r="M3872" s="39" t="str">
        <f>IF(C3872="","",C3872&amp;"#"&amp;COUNTIF($C$5:C3872,C3872))</f>
        <v/>
      </c>
    </row>
    <row r="3873">
      <c r="A3873" s="41" t="n"/>
      <c r="B3873" s="37" t="n"/>
      <c r="C3873" s="37" t="n"/>
      <c r="D3873" s="39" t="str">
        <f>IF(C3873="","",IFERROR(INDEX(art_des,MATCH(C3873,art_ref,0))&amp;"","Référence inconnue"))</f>
        <v/>
      </c>
      <c r="E3873" s="37" t="n"/>
      <c r="F3873" s="39" t="str">
        <f>IF(C3873="","",IFERROR(INDEX(art_unit,MATCH(C3873,art_ref,0))&amp;"",""))</f>
        <v/>
      </c>
      <c r="G3873" s="37" t="n"/>
      <c r="H3873" s="37" t="n"/>
      <c r="I3873" s="37" t="n"/>
      <c r="J3873" s="40" t="str">
        <f>IF(OR(C3873="",NOT(ISNUMBER(E3873))),"",IFERROR(E3873*N(INDEX(art_price,MATCH(C3873,art_ref,0))),""))</f>
        <v/>
      </c>
      <c r="K3873" s="39" t="str">
        <f>IF(OR(C3873="",NOT(ISNUMBER(E3873))),"",IFERROR(ROUND(N(INDEX(art_init,MATCH(C3873,art_ref,0)))+SUMIFS($E$5:E3873,$C$5:C3873,C3873,$B$5:B3873,"Entrée")-SUMIFS($E$5:E3873,$C$5:C3873,C3873,$B$5:B3873,"Sortie"),6),""))</f>
        <v/>
      </c>
      <c r="L3873" s="39" t="str">
        <f>IF(COUNTA(A3873:C3873,E3873)=0,"",IF(COUNTA(A3873:C3873,E3873)&lt;4,"Ligne incomplète",IF(NOT(ISNUMBER(A3873)),"Date invalide",IF(AND(B3873&lt;&gt;"Entrée",B3873&lt;&gt;"Sortie"),"Type inconnu",IF(ISNA(MATCH(C3873,art_ref,0)),"Référence inconnue",IF(OR(NOT(ISNUMBER(E3873)),N(E3873)&lt;=0),"Quantité invalide",IF(K3873&lt;0,"Stock négatif",IF(AND(ISNUMBER(A3872),A3873&lt;A3872),"Date hors ordre","OK"))))))))</f>
        <v/>
      </c>
      <c r="M3873" s="39" t="str">
        <f>IF(C3873="","",C3873&amp;"#"&amp;COUNTIF($C$5:C3873,C3873))</f>
        <v/>
      </c>
    </row>
    <row r="3874">
      <c r="A3874" s="41" t="n"/>
      <c r="B3874" s="37" t="n"/>
      <c r="C3874" s="37" t="n"/>
      <c r="D3874" s="39" t="str">
        <f>IF(C3874="","",IFERROR(INDEX(art_des,MATCH(C3874,art_ref,0))&amp;"","Référence inconnue"))</f>
        <v/>
      </c>
      <c r="E3874" s="37" t="n"/>
      <c r="F3874" s="39" t="str">
        <f>IF(C3874="","",IFERROR(INDEX(art_unit,MATCH(C3874,art_ref,0))&amp;"",""))</f>
        <v/>
      </c>
      <c r="G3874" s="37" t="n"/>
      <c r="H3874" s="37" t="n"/>
      <c r="I3874" s="37" t="n"/>
      <c r="J3874" s="40" t="str">
        <f>IF(OR(C3874="",NOT(ISNUMBER(E3874))),"",IFERROR(E3874*N(INDEX(art_price,MATCH(C3874,art_ref,0))),""))</f>
        <v/>
      </c>
      <c r="K3874" s="39" t="str">
        <f>IF(OR(C3874="",NOT(ISNUMBER(E3874))),"",IFERROR(ROUND(N(INDEX(art_init,MATCH(C3874,art_ref,0)))+SUMIFS($E$5:E3874,$C$5:C3874,C3874,$B$5:B3874,"Entrée")-SUMIFS($E$5:E3874,$C$5:C3874,C3874,$B$5:B3874,"Sortie"),6),""))</f>
        <v/>
      </c>
      <c r="L3874" s="39" t="str">
        <f>IF(COUNTA(A3874:C3874,E3874)=0,"",IF(COUNTA(A3874:C3874,E3874)&lt;4,"Ligne incomplète",IF(NOT(ISNUMBER(A3874)),"Date invalide",IF(AND(B3874&lt;&gt;"Entrée",B3874&lt;&gt;"Sortie"),"Type inconnu",IF(ISNA(MATCH(C3874,art_ref,0)),"Référence inconnue",IF(OR(NOT(ISNUMBER(E3874)),N(E3874)&lt;=0),"Quantité invalide",IF(K3874&lt;0,"Stock négatif",IF(AND(ISNUMBER(A3873),A3874&lt;A3873),"Date hors ordre","OK"))))))))</f>
        <v/>
      </c>
      <c r="M3874" s="39" t="str">
        <f>IF(C3874="","",C3874&amp;"#"&amp;COUNTIF($C$5:C3874,C3874))</f>
        <v/>
      </c>
    </row>
    <row r="3875">
      <c r="A3875" s="41" t="n"/>
      <c r="B3875" s="37" t="n"/>
      <c r="C3875" s="37" t="n"/>
      <c r="D3875" s="39" t="str">
        <f>IF(C3875="","",IFERROR(INDEX(art_des,MATCH(C3875,art_ref,0))&amp;"","Référence inconnue"))</f>
        <v/>
      </c>
      <c r="E3875" s="37" t="n"/>
      <c r="F3875" s="39" t="str">
        <f>IF(C3875="","",IFERROR(INDEX(art_unit,MATCH(C3875,art_ref,0))&amp;"",""))</f>
        <v/>
      </c>
      <c r="G3875" s="37" t="n"/>
      <c r="H3875" s="37" t="n"/>
      <c r="I3875" s="37" t="n"/>
      <c r="J3875" s="40" t="str">
        <f>IF(OR(C3875="",NOT(ISNUMBER(E3875))),"",IFERROR(E3875*N(INDEX(art_price,MATCH(C3875,art_ref,0))),""))</f>
        <v/>
      </c>
      <c r="K3875" s="39" t="str">
        <f>IF(OR(C3875="",NOT(ISNUMBER(E3875))),"",IFERROR(ROUND(N(INDEX(art_init,MATCH(C3875,art_ref,0)))+SUMIFS($E$5:E3875,$C$5:C3875,C3875,$B$5:B3875,"Entrée")-SUMIFS($E$5:E3875,$C$5:C3875,C3875,$B$5:B3875,"Sortie"),6),""))</f>
        <v/>
      </c>
      <c r="L3875" s="39" t="str">
        <f>IF(COUNTA(A3875:C3875,E3875)=0,"",IF(COUNTA(A3875:C3875,E3875)&lt;4,"Ligne incomplète",IF(NOT(ISNUMBER(A3875)),"Date invalide",IF(AND(B3875&lt;&gt;"Entrée",B3875&lt;&gt;"Sortie"),"Type inconnu",IF(ISNA(MATCH(C3875,art_ref,0)),"Référence inconnue",IF(OR(NOT(ISNUMBER(E3875)),N(E3875)&lt;=0),"Quantité invalide",IF(K3875&lt;0,"Stock négatif",IF(AND(ISNUMBER(A3874),A3875&lt;A3874),"Date hors ordre","OK"))))))))</f>
        <v/>
      </c>
      <c r="M3875" s="39" t="str">
        <f>IF(C3875="","",C3875&amp;"#"&amp;COUNTIF($C$5:C3875,C3875))</f>
        <v/>
      </c>
    </row>
    <row r="3876">
      <c r="A3876" s="41" t="n"/>
      <c r="B3876" s="37" t="n"/>
      <c r="C3876" s="37" t="n"/>
      <c r="D3876" s="39" t="str">
        <f>IF(C3876="","",IFERROR(INDEX(art_des,MATCH(C3876,art_ref,0))&amp;"","Référence inconnue"))</f>
        <v/>
      </c>
      <c r="E3876" s="37" t="n"/>
      <c r="F3876" s="39" t="str">
        <f>IF(C3876="","",IFERROR(INDEX(art_unit,MATCH(C3876,art_ref,0))&amp;"",""))</f>
        <v/>
      </c>
      <c r="G3876" s="37" t="n"/>
      <c r="H3876" s="37" t="n"/>
      <c r="I3876" s="37" t="n"/>
      <c r="J3876" s="40" t="str">
        <f>IF(OR(C3876="",NOT(ISNUMBER(E3876))),"",IFERROR(E3876*N(INDEX(art_price,MATCH(C3876,art_ref,0))),""))</f>
        <v/>
      </c>
      <c r="K3876" s="39" t="str">
        <f>IF(OR(C3876="",NOT(ISNUMBER(E3876))),"",IFERROR(ROUND(N(INDEX(art_init,MATCH(C3876,art_ref,0)))+SUMIFS($E$5:E3876,$C$5:C3876,C3876,$B$5:B3876,"Entrée")-SUMIFS($E$5:E3876,$C$5:C3876,C3876,$B$5:B3876,"Sortie"),6),""))</f>
        <v/>
      </c>
      <c r="L3876" s="39" t="str">
        <f>IF(COUNTA(A3876:C3876,E3876)=0,"",IF(COUNTA(A3876:C3876,E3876)&lt;4,"Ligne incomplète",IF(NOT(ISNUMBER(A3876)),"Date invalide",IF(AND(B3876&lt;&gt;"Entrée",B3876&lt;&gt;"Sortie"),"Type inconnu",IF(ISNA(MATCH(C3876,art_ref,0)),"Référence inconnue",IF(OR(NOT(ISNUMBER(E3876)),N(E3876)&lt;=0),"Quantité invalide",IF(K3876&lt;0,"Stock négatif",IF(AND(ISNUMBER(A3875),A3876&lt;A3875),"Date hors ordre","OK"))))))))</f>
        <v/>
      </c>
      <c r="M3876" s="39" t="str">
        <f>IF(C3876="","",C3876&amp;"#"&amp;COUNTIF($C$5:C3876,C3876))</f>
        <v/>
      </c>
    </row>
    <row r="3877">
      <c r="A3877" s="41" t="n"/>
      <c r="B3877" s="37" t="n"/>
      <c r="C3877" s="37" t="n"/>
      <c r="D3877" s="39" t="str">
        <f>IF(C3877="","",IFERROR(INDEX(art_des,MATCH(C3877,art_ref,0))&amp;"","Référence inconnue"))</f>
        <v/>
      </c>
      <c r="E3877" s="37" t="n"/>
      <c r="F3877" s="39" t="str">
        <f>IF(C3877="","",IFERROR(INDEX(art_unit,MATCH(C3877,art_ref,0))&amp;"",""))</f>
        <v/>
      </c>
      <c r="G3877" s="37" t="n"/>
      <c r="H3877" s="37" t="n"/>
      <c r="I3877" s="37" t="n"/>
      <c r="J3877" s="40" t="str">
        <f>IF(OR(C3877="",NOT(ISNUMBER(E3877))),"",IFERROR(E3877*N(INDEX(art_price,MATCH(C3877,art_ref,0))),""))</f>
        <v/>
      </c>
      <c r="K3877" s="39" t="str">
        <f>IF(OR(C3877="",NOT(ISNUMBER(E3877))),"",IFERROR(ROUND(N(INDEX(art_init,MATCH(C3877,art_ref,0)))+SUMIFS($E$5:E3877,$C$5:C3877,C3877,$B$5:B3877,"Entrée")-SUMIFS($E$5:E3877,$C$5:C3877,C3877,$B$5:B3877,"Sortie"),6),""))</f>
        <v/>
      </c>
      <c r="L3877" s="39" t="str">
        <f>IF(COUNTA(A3877:C3877,E3877)=0,"",IF(COUNTA(A3877:C3877,E3877)&lt;4,"Ligne incomplète",IF(NOT(ISNUMBER(A3877)),"Date invalide",IF(AND(B3877&lt;&gt;"Entrée",B3877&lt;&gt;"Sortie"),"Type inconnu",IF(ISNA(MATCH(C3877,art_ref,0)),"Référence inconnue",IF(OR(NOT(ISNUMBER(E3877)),N(E3877)&lt;=0),"Quantité invalide",IF(K3877&lt;0,"Stock négatif",IF(AND(ISNUMBER(A3876),A3877&lt;A3876),"Date hors ordre","OK"))))))))</f>
        <v/>
      </c>
      <c r="M3877" s="39" t="str">
        <f>IF(C3877="","",C3877&amp;"#"&amp;COUNTIF($C$5:C3877,C3877))</f>
        <v/>
      </c>
    </row>
    <row r="3878">
      <c r="A3878" s="41" t="n"/>
      <c r="B3878" s="37" t="n"/>
      <c r="C3878" s="37" t="n"/>
      <c r="D3878" s="39" t="str">
        <f>IF(C3878="","",IFERROR(INDEX(art_des,MATCH(C3878,art_ref,0))&amp;"","Référence inconnue"))</f>
        <v/>
      </c>
      <c r="E3878" s="37" t="n"/>
      <c r="F3878" s="39" t="str">
        <f>IF(C3878="","",IFERROR(INDEX(art_unit,MATCH(C3878,art_ref,0))&amp;"",""))</f>
        <v/>
      </c>
      <c r="G3878" s="37" t="n"/>
      <c r="H3878" s="37" t="n"/>
      <c r="I3878" s="37" t="n"/>
      <c r="J3878" s="40" t="str">
        <f>IF(OR(C3878="",NOT(ISNUMBER(E3878))),"",IFERROR(E3878*N(INDEX(art_price,MATCH(C3878,art_ref,0))),""))</f>
        <v/>
      </c>
      <c r="K3878" s="39" t="str">
        <f>IF(OR(C3878="",NOT(ISNUMBER(E3878))),"",IFERROR(ROUND(N(INDEX(art_init,MATCH(C3878,art_ref,0)))+SUMIFS($E$5:E3878,$C$5:C3878,C3878,$B$5:B3878,"Entrée")-SUMIFS($E$5:E3878,$C$5:C3878,C3878,$B$5:B3878,"Sortie"),6),""))</f>
        <v/>
      </c>
      <c r="L3878" s="39" t="str">
        <f>IF(COUNTA(A3878:C3878,E3878)=0,"",IF(COUNTA(A3878:C3878,E3878)&lt;4,"Ligne incomplète",IF(NOT(ISNUMBER(A3878)),"Date invalide",IF(AND(B3878&lt;&gt;"Entrée",B3878&lt;&gt;"Sortie"),"Type inconnu",IF(ISNA(MATCH(C3878,art_ref,0)),"Référence inconnue",IF(OR(NOT(ISNUMBER(E3878)),N(E3878)&lt;=0),"Quantité invalide",IF(K3878&lt;0,"Stock négatif",IF(AND(ISNUMBER(A3877),A3878&lt;A3877),"Date hors ordre","OK"))))))))</f>
        <v/>
      </c>
      <c r="M3878" s="39" t="str">
        <f>IF(C3878="","",C3878&amp;"#"&amp;COUNTIF($C$5:C3878,C3878))</f>
        <v/>
      </c>
    </row>
    <row r="3879">
      <c r="A3879" s="41" t="n"/>
      <c r="B3879" s="37" t="n"/>
      <c r="C3879" s="37" t="n"/>
      <c r="D3879" s="39" t="str">
        <f>IF(C3879="","",IFERROR(INDEX(art_des,MATCH(C3879,art_ref,0))&amp;"","Référence inconnue"))</f>
        <v/>
      </c>
      <c r="E3879" s="37" t="n"/>
      <c r="F3879" s="39" t="str">
        <f>IF(C3879="","",IFERROR(INDEX(art_unit,MATCH(C3879,art_ref,0))&amp;"",""))</f>
        <v/>
      </c>
      <c r="G3879" s="37" t="n"/>
      <c r="H3879" s="37" t="n"/>
      <c r="I3879" s="37" t="n"/>
      <c r="J3879" s="40" t="str">
        <f>IF(OR(C3879="",NOT(ISNUMBER(E3879))),"",IFERROR(E3879*N(INDEX(art_price,MATCH(C3879,art_ref,0))),""))</f>
        <v/>
      </c>
      <c r="K3879" s="39" t="str">
        <f>IF(OR(C3879="",NOT(ISNUMBER(E3879))),"",IFERROR(ROUND(N(INDEX(art_init,MATCH(C3879,art_ref,0)))+SUMIFS($E$5:E3879,$C$5:C3879,C3879,$B$5:B3879,"Entrée")-SUMIFS($E$5:E3879,$C$5:C3879,C3879,$B$5:B3879,"Sortie"),6),""))</f>
        <v/>
      </c>
      <c r="L3879" s="39" t="str">
        <f>IF(COUNTA(A3879:C3879,E3879)=0,"",IF(COUNTA(A3879:C3879,E3879)&lt;4,"Ligne incomplète",IF(NOT(ISNUMBER(A3879)),"Date invalide",IF(AND(B3879&lt;&gt;"Entrée",B3879&lt;&gt;"Sortie"),"Type inconnu",IF(ISNA(MATCH(C3879,art_ref,0)),"Référence inconnue",IF(OR(NOT(ISNUMBER(E3879)),N(E3879)&lt;=0),"Quantité invalide",IF(K3879&lt;0,"Stock négatif",IF(AND(ISNUMBER(A3878),A3879&lt;A3878),"Date hors ordre","OK"))))))))</f>
        <v/>
      </c>
      <c r="M3879" s="39" t="str">
        <f>IF(C3879="","",C3879&amp;"#"&amp;COUNTIF($C$5:C3879,C3879))</f>
        <v/>
      </c>
    </row>
    <row r="3880">
      <c r="A3880" s="41" t="n"/>
      <c r="B3880" s="37" t="n"/>
      <c r="C3880" s="37" t="n"/>
      <c r="D3880" s="39" t="str">
        <f>IF(C3880="","",IFERROR(INDEX(art_des,MATCH(C3880,art_ref,0))&amp;"","Référence inconnue"))</f>
        <v/>
      </c>
      <c r="E3880" s="37" t="n"/>
      <c r="F3880" s="39" t="str">
        <f>IF(C3880="","",IFERROR(INDEX(art_unit,MATCH(C3880,art_ref,0))&amp;"",""))</f>
        <v/>
      </c>
      <c r="G3880" s="37" t="n"/>
      <c r="H3880" s="37" t="n"/>
      <c r="I3880" s="37" t="n"/>
      <c r="J3880" s="40" t="str">
        <f>IF(OR(C3880="",NOT(ISNUMBER(E3880))),"",IFERROR(E3880*N(INDEX(art_price,MATCH(C3880,art_ref,0))),""))</f>
        <v/>
      </c>
      <c r="K3880" s="39" t="str">
        <f>IF(OR(C3880="",NOT(ISNUMBER(E3880))),"",IFERROR(ROUND(N(INDEX(art_init,MATCH(C3880,art_ref,0)))+SUMIFS($E$5:E3880,$C$5:C3880,C3880,$B$5:B3880,"Entrée")-SUMIFS($E$5:E3880,$C$5:C3880,C3880,$B$5:B3880,"Sortie"),6),""))</f>
        <v/>
      </c>
      <c r="L3880" s="39" t="str">
        <f>IF(COUNTA(A3880:C3880,E3880)=0,"",IF(COUNTA(A3880:C3880,E3880)&lt;4,"Ligne incomplète",IF(NOT(ISNUMBER(A3880)),"Date invalide",IF(AND(B3880&lt;&gt;"Entrée",B3880&lt;&gt;"Sortie"),"Type inconnu",IF(ISNA(MATCH(C3880,art_ref,0)),"Référence inconnue",IF(OR(NOT(ISNUMBER(E3880)),N(E3880)&lt;=0),"Quantité invalide",IF(K3880&lt;0,"Stock négatif",IF(AND(ISNUMBER(A3879),A3880&lt;A3879),"Date hors ordre","OK"))))))))</f>
        <v/>
      </c>
      <c r="M3880" s="39" t="str">
        <f>IF(C3880="","",C3880&amp;"#"&amp;COUNTIF($C$5:C3880,C3880))</f>
        <v/>
      </c>
    </row>
    <row r="3881">
      <c r="A3881" s="41" t="n"/>
      <c r="B3881" s="37" t="n"/>
      <c r="C3881" s="37" t="n"/>
      <c r="D3881" s="39" t="str">
        <f>IF(C3881="","",IFERROR(INDEX(art_des,MATCH(C3881,art_ref,0))&amp;"","Référence inconnue"))</f>
        <v/>
      </c>
      <c r="E3881" s="37" t="n"/>
      <c r="F3881" s="39" t="str">
        <f>IF(C3881="","",IFERROR(INDEX(art_unit,MATCH(C3881,art_ref,0))&amp;"",""))</f>
        <v/>
      </c>
      <c r="G3881" s="37" t="n"/>
      <c r="H3881" s="37" t="n"/>
      <c r="I3881" s="37" t="n"/>
      <c r="J3881" s="40" t="str">
        <f>IF(OR(C3881="",NOT(ISNUMBER(E3881))),"",IFERROR(E3881*N(INDEX(art_price,MATCH(C3881,art_ref,0))),""))</f>
        <v/>
      </c>
      <c r="K3881" s="39" t="str">
        <f>IF(OR(C3881="",NOT(ISNUMBER(E3881))),"",IFERROR(ROUND(N(INDEX(art_init,MATCH(C3881,art_ref,0)))+SUMIFS($E$5:E3881,$C$5:C3881,C3881,$B$5:B3881,"Entrée")-SUMIFS($E$5:E3881,$C$5:C3881,C3881,$B$5:B3881,"Sortie"),6),""))</f>
        <v/>
      </c>
      <c r="L3881" s="39" t="str">
        <f>IF(COUNTA(A3881:C3881,E3881)=0,"",IF(COUNTA(A3881:C3881,E3881)&lt;4,"Ligne incomplète",IF(NOT(ISNUMBER(A3881)),"Date invalide",IF(AND(B3881&lt;&gt;"Entrée",B3881&lt;&gt;"Sortie"),"Type inconnu",IF(ISNA(MATCH(C3881,art_ref,0)),"Référence inconnue",IF(OR(NOT(ISNUMBER(E3881)),N(E3881)&lt;=0),"Quantité invalide",IF(K3881&lt;0,"Stock négatif",IF(AND(ISNUMBER(A3880),A3881&lt;A3880),"Date hors ordre","OK"))))))))</f>
        <v/>
      </c>
      <c r="M3881" s="39" t="str">
        <f>IF(C3881="","",C3881&amp;"#"&amp;COUNTIF($C$5:C3881,C3881))</f>
        <v/>
      </c>
    </row>
    <row r="3882">
      <c r="A3882" s="41" t="n"/>
      <c r="B3882" s="37" t="n"/>
      <c r="C3882" s="37" t="n"/>
      <c r="D3882" s="39" t="str">
        <f>IF(C3882="","",IFERROR(INDEX(art_des,MATCH(C3882,art_ref,0))&amp;"","Référence inconnue"))</f>
        <v/>
      </c>
      <c r="E3882" s="37" t="n"/>
      <c r="F3882" s="39" t="str">
        <f>IF(C3882="","",IFERROR(INDEX(art_unit,MATCH(C3882,art_ref,0))&amp;"",""))</f>
        <v/>
      </c>
      <c r="G3882" s="37" t="n"/>
      <c r="H3882" s="37" t="n"/>
      <c r="I3882" s="37" t="n"/>
      <c r="J3882" s="40" t="str">
        <f>IF(OR(C3882="",NOT(ISNUMBER(E3882))),"",IFERROR(E3882*N(INDEX(art_price,MATCH(C3882,art_ref,0))),""))</f>
        <v/>
      </c>
      <c r="K3882" s="39" t="str">
        <f>IF(OR(C3882="",NOT(ISNUMBER(E3882))),"",IFERROR(ROUND(N(INDEX(art_init,MATCH(C3882,art_ref,0)))+SUMIFS($E$5:E3882,$C$5:C3882,C3882,$B$5:B3882,"Entrée")-SUMIFS($E$5:E3882,$C$5:C3882,C3882,$B$5:B3882,"Sortie"),6),""))</f>
        <v/>
      </c>
      <c r="L3882" s="39" t="str">
        <f>IF(COUNTA(A3882:C3882,E3882)=0,"",IF(COUNTA(A3882:C3882,E3882)&lt;4,"Ligne incomplète",IF(NOT(ISNUMBER(A3882)),"Date invalide",IF(AND(B3882&lt;&gt;"Entrée",B3882&lt;&gt;"Sortie"),"Type inconnu",IF(ISNA(MATCH(C3882,art_ref,0)),"Référence inconnue",IF(OR(NOT(ISNUMBER(E3882)),N(E3882)&lt;=0),"Quantité invalide",IF(K3882&lt;0,"Stock négatif",IF(AND(ISNUMBER(A3881),A3882&lt;A3881),"Date hors ordre","OK"))))))))</f>
        <v/>
      </c>
      <c r="M3882" s="39" t="str">
        <f>IF(C3882="","",C3882&amp;"#"&amp;COUNTIF($C$5:C3882,C3882))</f>
        <v/>
      </c>
    </row>
    <row r="3883">
      <c r="A3883" s="41" t="n"/>
      <c r="B3883" s="37" t="n"/>
      <c r="C3883" s="37" t="n"/>
      <c r="D3883" s="39" t="str">
        <f>IF(C3883="","",IFERROR(INDEX(art_des,MATCH(C3883,art_ref,0))&amp;"","Référence inconnue"))</f>
        <v/>
      </c>
      <c r="E3883" s="37" t="n"/>
      <c r="F3883" s="39" t="str">
        <f>IF(C3883="","",IFERROR(INDEX(art_unit,MATCH(C3883,art_ref,0))&amp;"",""))</f>
        <v/>
      </c>
      <c r="G3883" s="37" t="n"/>
      <c r="H3883" s="37" t="n"/>
      <c r="I3883" s="37" t="n"/>
      <c r="J3883" s="40" t="str">
        <f>IF(OR(C3883="",NOT(ISNUMBER(E3883))),"",IFERROR(E3883*N(INDEX(art_price,MATCH(C3883,art_ref,0))),""))</f>
        <v/>
      </c>
      <c r="K3883" s="39" t="str">
        <f>IF(OR(C3883="",NOT(ISNUMBER(E3883))),"",IFERROR(ROUND(N(INDEX(art_init,MATCH(C3883,art_ref,0)))+SUMIFS($E$5:E3883,$C$5:C3883,C3883,$B$5:B3883,"Entrée")-SUMIFS($E$5:E3883,$C$5:C3883,C3883,$B$5:B3883,"Sortie"),6),""))</f>
        <v/>
      </c>
      <c r="L3883" s="39" t="str">
        <f>IF(COUNTA(A3883:C3883,E3883)=0,"",IF(COUNTA(A3883:C3883,E3883)&lt;4,"Ligne incomplète",IF(NOT(ISNUMBER(A3883)),"Date invalide",IF(AND(B3883&lt;&gt;"Entrée",B3883&lt;&gt;"Sortie"),"Type inconnu",IF(ISNA(MATCH(C3883,art_ref,0)),"Référence inconnue",IF(OR(NOT(ISNUMBER(E3883)),N(E3883)&lt;=0),"Quantité invalide",IF(K3883&lt;0,"Stock négatif",IF(AND(ISNUMBER(A3882),A3883&lt;A3882),"Date hors ordre","OK"))))))))</f>
        <v/>
      </c>
      <c r="M3883" s="39" t="str">
        <f>IF(C3883="","",C3883&amp;"#"&amp;COUNTIF($C$5:C3883,C3883))</f>
        <v/>
      </c>
    </row>
    <row r="3884">
      <c r="A3884" s="41" t="n"/>
      <c r="B3884" s="37" t="n"/>
      <c r="C3884" s="37" t="n"/>
      <c r="D3884" s="39" t="str">
        <f>IF(C3884="","",IFERROR(INDEX(art_des,MATCH(C3884,art_ref,0))&amp;"","Référence inconnue"))</f>
        <v/>
      </c>
      <c r="E3884" s="37" t="n"/>
      <c r="F3884" s="39" t="str">
        <f>IF(C3884="","",IFERROR(INDEX(art_unit,MATCH(C3884,art_ref,0))&amp;"",""))</f>
        <v/>
      </c>
      <c r="G3884" s="37" t="n"/>
      <c r="H3884" s="37" t="n"/>
      <c r="I3884" s="37" t="n"/>
      <c r="J3884" s="40" t="str">
        <f>IF(OR(C3884="",NOT(ISNUMBER(E3884))),"",IFERROR(E3884*N(INDEX(art_price,MATCH(C3884,art_ref,0))),""))</f>
        <v/>
      </c>
      <c r="K3884" s="39" t="str">
        <f>IF(OR(C3884="",NOT(ISNUMBER(E3884))),"",IFERROR(ROUND(N(INDEX(art_init,MATCH(C3884,art_ref,0)))+SUMIFS($E$5:E3884,$C$5:C3884,C3884,$B$5:B3884,"Entrée")-SUMIFS($E$5:E3884,$C$5:C3884,C3884,$B$5:B3884,"Sortie"),6),""))</f>
        <v/>
      </c>
      <c r="L3884" s="39" t="str">
        <f>IF(COUNTA(A3884:C3884,E3884)=0,"",IF(COUNTA(A3884:C3884,E3884)&lt;4,"Ligne incomplète",IF(NOT(ISNUMBER(A3884)),"Date invalide",IF(AND(B3884&lt;&gt;"Entrée",B3884&lt;&gt;"Sortie"),"Type inconnu",IF(ISNA(MATCH(C3884,art_ref,0)),"Référence inconnue",IF(OR(NOT(ISNUMBER(E3884)),N(E3884)&lt;=0),"Quantité invalide",IF(K3884&lt;0,"Stock négatif",IF(AND(ISNUMBER(A3883),A3884&lt;A3883),"Date hors ordre","OK"))))))))</f>
        <v/>
      </c>
      <c r="M3884" s="39" t="str">
        <f>IF(C3884="","",C3884&amp;"#"&amp;COUNTIF($C$5:C3884,C3884))</f>
        <v/>
      </c>
    </row>
    <row r="3885">
      <c r="A3885" s="41" t="n"/>
      <c r="B3885" s="37" t="n"/>
      <c r="C3885" s="37" t="n"/>
      <c r="D3885" s="39" t="str">
        <f>IF(C3885="","",IFERROR(INDEX(art_des,MATCH(C3885,art_ref,0))&amp;"","Référence inconnue"))</f>
        <v/>
      </c>
      <c r="E3885" s="37" t="n"/>
      <c r="F3885" s="39" t="str">
        <f>IF(C3885="","",IFERROR(INDEX(art_unit,MATCH(C3885,art_ref,0))&amp;"",""))</f>
        <v/>
      </c>
      <c r="G3885" s="37" t="n"/>
      <c r="H3885" s="37" t="n"/>
      <c r="I3885" s="37" t="n"/>
      <c r="J3885" s="40" t="str">
        <f>IF(OR(C3885="",NOT(ISNUMBER(E3885))),"",IFERROR(E3885*N(INDEX(art_price,MATCH(C3885,art_ref,0))),""))</f>
        <v/>
      </c>
      <c r="K3885" s="39" t="str">
        <f>IF(OR(C3885="",NOT(ISNUMBER(E3885))),"",IFERROR(ROUND(N(INDEX(art_init,MATCH(C3885,art_ref,0)))+SUMIFS($E$5:E3885,$C$5:C3885,C3885,$B$5:B3885,"Entrée")-SUMIFS($E$5:E3885,$C$5:C3885,C3885,$B$5:B3885,"Sortie"),6),""))</f>
        <v/>
      </c>
      <c r="L3885" s="39" t="str">
        <f>IF(COUNTA(A3885:C3885,E3885)=0,"",IF(COUNTA(A3885:C3885,E3885)&lt;4,"Ligne incomplète",IF(NOT(ISNUMBER(A3885)),"Date invalide",IF(AND(B3885&lt;&gt;"Entrée",B3885&lt;&gt;"Sortie"),"Type inconnu",IF(ISNA(MATCH(C3885,art_ref,0)),"Référence inconnue",IF(OR(NOT(ISNUMBER(E3885)),N(E3885)&lt;=0),"Quantité invalide",IF(K3885&lt;0,"Stock négatif",IF(AND(ISNUMBER(A3884),A3885&lt;A3884),"Date hors ordre","OK"))))))))</f>
        <v/>
      </c>
      <c r="M3885" s="39" t="str">
        <f>IF(C3885="","",C3885&amp;"#"&amp;COUNTIF($C$5:C3885,C3885))</f>
        <v/>
      </c>
    </row>
    <row r="3886">
      <c r="A3886" s="41" t="n"/>
      <c r="B3886" s="37" t="n"/>
      <c r="C3886" s="37" t="n"/>
      <c r="D3886" s="39" t="str">
        <f>IF(C3886="","",IFERROR(INDEX(art_des,MATCH(C3886,art_ref,0))&amp;"","Référence inconnue"))</f>
        <v/>
      </c>
      <c r="E3886" s="37" t="n"/>
      <c r="F3886" s="39" t="str">
        <f>IF(C3886="","",IFERROR(INDEX(art_unit,MATCH(C3886,art_ref,0))&amp;"",""))</f>
        <v/>
      </c>
      <c r="G3886" s="37" t="n"/>
      <c r="H3886" s="37" t="n"/>
      <c r="I3886" s="37" t="n"/>
      <c r="J3886" s="40" t="str">
        <f>IF(OR(C3886="",NOT(ISNUMBER(E3886))),"",IFERROR(E3886*N(INDEX(art_price,MATCH(C3886,art_ref,0))),""))</f>
        <v/>
      </c>
      <c r="K3886" s="39" t="str">
        <f>IF(OR(C3886="",NOT(ISNUMBER(E3886))),"",IFERROR(ROUND(N(INDEX(art_init,MATCH(C3886,art_ref,0)))+SUMIFS($E$5:E3886,$C$5:C3886,C3886,$B$5:B3886,"Entrée")-SUMIFS($E$5:E3886,$C$5:C3886,C3886,$B$5:B3886,"Sortie"),6),""))</f>
        <v/>
      </c>
      <c r="L3886" s="39" t="str">
        <f>IF(COUNTA(A3886:C3886,E3886)=0,"",IF(COUNTA(A3886:C3886,E3886)&lt;4,"Ligne incomplète",IF(NOT(ISNUMBER(A3886)),"Date invalide",IF(AND(B3886&lt;&gt;"Entrée",B3886&lt;&gt;"Sortie"),"Type inconnu",IF(ISNA(MATCH(C3886,art_ref,0)),"Référence inconnue",IF(OR(NOT(ISNUMBER(E3886)),N(E3886)&lt;=0),"Quantité invalide",IF(K3886&lt;0,"Stock négatif",IF(AND(ISNUMBER(A3885),A3886&lt;A3885),"Date hors ordre","OK"))))))))</f>
        <v/>
      </c>
      <c r="M3886" s="39" t="str">
        <f>IF(C3886="","",C3886&amp;"#"&amp;COUNTIF($C$5:C3886,C3886))</f>
        <v/>
      </c>
    </row>
    <row r="3887">
      <c r="A3887" s="41" t="n"/>
      <c r="B3887" s="37" t="n"/>
      <c r="C3887" s="37" t="n"/>
      <c r="D3887" s="39" t="str">
        <f>IF(C3887="","",IFERROR(INDEX(art_des,MATCH(C3887,art_ref,0))&amp;"","Référence inconnue"))</f>
        <v/>
      </c>
      <c r="E3887" s="37" t="n"/>
      <c r="F3887" s="39" t="str">
        <f>IF(C3887="","",IFERROR(INDEX(art_unit,MATCH(C3887,art_ref,0))&amp;"",""))</f>
        <v/>
      </c>
      <c r="G3887" s="37" t="n"/>
      <c r="H3887" s="37" t="n"/>
      <c r="I3887" s="37" t="n"/>
      <c r="J3887" s="40" t="str">
        <f>IF(OR(C3887="",NOT(ISNUMBER(E3887))),"",IFERROR(E3887*N(INDEX(art_price,MATCH(C3887,art_ref,0))),""))</f>
        <v/>
      </c>
      <c r="K3887" s="39" t="str">
        <f>IF(OR(C3887="",NOT(ISNUMBER(E3887))),"",IFERROR(ROUND(N(INDEX(art_init,MATCH(C3887,art_ref,0)))+SUMIFS($E$5:E3887,$C$5:C3887,C3887,$B$5:B3887,"Entrée")-SUMIFS($E$5:E3887,$C$5:C3887,C3887,$B$5:B3887,"Sortie"),6),""))</f>
        <v/>
      </c>
      <c r="L3887" s="39" t="str">
        <f>IF(COUNTA(A3887:C3887,E3887)=0,"",IF(COUNTA(A3887:C3887,E3887)&lt;4,"Ligne incomplète",IF(NOT(ISNUMBER(A3887)),"Date invalide",IF(AND(B3887&lt;&gt;"Entrée",B3887&lt;&gt;"Sortie"),"Type inconnu",IF(ISNA(MATCH(C3887,art_ref,0)),"Référence inconnue",IF(OR(NOT(ISNUMBER(E3887)),N(E3887)&lt;=0),"Quantité invalide",IF(K3887&lt;0,"Stock négatif",IF(AND(ISNUMBER(A3886),A3887&lt;A3886),"Date hors ordre","OK"))))))))</f>
        <v/>
      </c>
      <c r="M3887" s="39" t="str">
        <f>IF(C3887="","",C3887&amp;"#"&amp;COUNTIF($C$5:C3887,C3887))</f>
        <v/>
      </c>
    </row>
    <row r="3888">
      <c r="A3888" s="41" t="n"/>
      <c r="B3888" s="37" t="n"/>
      <c r="C3888" s="37" t="n"/>
      <c r="D3888" s="39" t="str">
        <f>IF(C3888="","",IFERROR(INDEX(art_des,MATCH(C3888,art_ref,0))&amp;"","Référence inconnue"))</f>
        <v/>
      </c>
      <c r="E3888" s="37" t="n"/>
      <c r="F3888" s="39" t="str">
        <f>IF(C3888="","",IFERROR(INDEX(art_unit,MATCH(C3888,art_ref,0))&amp;"",""))</f>
        <v/>
      </c>
      <c r="G3888" s="37" t="n"/>
      <c r="H3888" s="37" t="n"/>
      <c r="I3888" s="37" t="n"/>
      <c r="J3888" s="40" t="str">
        <f>IF(OR(C3888="",NOT(ISNUMBER(E3888))),"",IFERROR(E3888*N(INDEX(art_price,MATCH(C3888,art_ref,0))),""))</f>
        <v/>
      </c>
      <c r="K3888" s="39" t="str">
        <f>IF(OR(C3888="",NOT(ISNUMBER(E3888))),"",IFERROR(ROUND(N(INDEX(art_init,MATCH(C3888,art_ref,0)))+SUMIFS($E$5:E3888,$C$5:C3888,C3888,$B$5:B3888,"Entrée")-SUMIFS($E$5:E3888,$C$5:C3888,C3888,$B$5:B3888,"Sortie"),6),""))</f>
        <v/>
      </c>
      <c r="L3888" s="39" t="str">
        <f>IF(COUNTA(A3888:C3888,E3888)=0,"",IF(COUNTA(A3888:C3888,E3888)&lt;4,"Ligne incomplète",IF(NOT(ISNUMBER(A3888)),"Date invalide",IF(AND(B3888&lt;&gt;"Entrée",B3888&lt;&gt;"Sortie"),"Type inconnu",IF(ISNA(MATCH(C3888,art_ref,0)),"Référence inconnue",IF(OR(NOT(ISNUMBER(E3888)),N(E3888)&lt;=0),"Quantité invalide",IF(K3888&lt;0,"Stock négatif",IF(AND(ISNUMBER(A3887),A3888&lt;A3887),"Date hors ordre","OK"))))))))</f>
        <v/>
      </c>
      <c r="M3888" s="39" t="str">
        <f>IF(C3888="","",C3888&amp;"#"&amp;COUNTIF($C$5:C3888,C3888))</f>
        <v/>
      </c>
    </row>
    <row r="3889">
      <c r="A3889" s="41" t="n"/>
      <c r="B3889" s="37" t="n"/>
      <c r="C3889" s="37" t="n"/>
      <c r="D3889" s="39" t="str">
        <f>IF(C3889="","",IFERROR(INDEX(art_des,MATCH(C3889,art_ref,0))&amp;"","Référence inconnue"))</f>
        <v/>
      </c>
      <c r="E3889" s="37" t="n"/>
      <c r="F3889" s="39" t="str">
        <f>IF(C3889="","",IFERROR(INDEX(art_unit,MATCH(C3889,art_ref,0))&amp;"",""))</f>
        <v/>
      </c>
      <c r="G3889" s="37" t="n"/>
      <c r="H3889" s="37" t="n"/>
      <c r="I3889" s="37" t="n"/>
      <c r="J3889" s="40" t="str">
        <f>IF(OR(C3889="",NOT(ISNUMBER(E3889))),"",IFERROR(E3889*N(INDEX(art_price,MATCH(C3889,art_ref,0))),""))</f>
        <v/>
      </c>
      <c r="K3889" s="39" t="str">
        <f>IF(OR(C3889="",NOT(ISNUMBER(E3889))),"",IFERROR(ROUND(N(INDEX(art_init,MATCH(C3889,art_ref,0)))+SUMIFS($E$5:E3889,$C$5:C3889,C3889,$B$5:B3889,"Entrée")-SUMIFS($E$5:E3889,$C$5:C3889,C3889,$B$5:B3889,"Sortie"),6),""))</f>
        <v/>
      </c>
      <c r="L3889" s="39" t="str">
        <f>IF(COUNTA(A3889:C3889,E3889)=0,"",IF(COUNTA(A3889:C3889,E3889)&lt;4,"Ligne incomplète",IF(NOT(ISNUMBER(A3889)),"Date invalide",IF(AND(B3889&lt;&gt;"Entrée",B3889&lt;&gt;"Sortie"),"Type inconnu",IF(ISNA(MATCH(C3889,art_ref,0)),"Référence inconnue",IF(OR(NOT(ISNUMBER(E3889)),N(E3889)&lt;=0),"Quantité invalide",IF(K3889&lt;0,"Stock négatif",IF(AND(ISNUMBER(A3888),A3889&lt;A3888),"Date hors ordre","OK"))))))))</f>
        <v/>
      </c>
      <c r="M3889" s="39" t="str">
        <f>IF(C3889="","",C3889&amp;"#"&amp;COUNTIF($C$5:C3889,C3889))</f>
        <v/>
      </c>
    </row>
    <row r="3890">
      <c r="A3890" s="41" t="n"/>
      <c r="B3890" s="37" t="n"/>
      <c r="C3890" s="37" t="n"/>
      <c r="D3890" s="39" t="str">
        <f>IF(C3890="","",IFERROR(INDEX(art_des,MATCH(C3890,art_ref,0))&amp;"","Référence inconnue"))</f>
        <v/>
      </c>
      <c r="E3890" s="37" t="n"/>
      <c r="F3890" s="39" t="str">
        <f>IF(C3890="","",IFERROR(INDEX(art_unit,MATCH(C3890,art_ref,0))&amp;"",""))</f>
        <v/>
      </c>
      <c r="G3890" s="37" t="n"/>
      <c r="H3890" s="37" t="n"/>
      <c r="I3890" s="37" t="n"/>
      <c r="J3890" s="40" t="str">
        <f>IF(OR(C3890="",NOT(ISNUMBER(E3890))),"",IFERROR(E3890*N(INDEX(art_price,MATCH(C3890,art_ref,0))),""))</f>
        <v/>
      </c>
      <c r="K3890" s="39" t="str">
        <f>IF(OR(C3890="",NOT(ISNUMBER(E3890))),"",IFERROR(ROUND(N(INDEX(art_init,MATCH(C3890,art_ref,0)))+SUMIFS($E$5:E3890,$C$5:C3890,C3890,$B$5:B3890,"Entrée")-SUMIFS($E$5:E3890,$C$5:C3890,C3890,$B$5:B3890,"Sortie"),6),""))</f>
        <v/>
      </c>
      <c r="L3890" s="39" t="str">
        <f>IF(COUNTA(A3890:C3890,E3890)=0,"",IF(COUNTA(A3890:C3890,E3890)&lt;4,"Ligne incomplète",IF(NOT(ISNUMBER(A3890)),"Date invalide",IF(AND(B3890&lt;&gt;"Entrée",B3890&lt;&gt;"Sortie"),"Type inconnu",IF(ISNA(MATCH(C3890,art_ref,0)),"Référence inconnue",IF(OR(NOT(ISNUMBER(E3890)),N(E3890)&lt;=0),"Quantité invalide",IF(K3890&lt;0,"Stock négatif",IF(AND(ISNUMBER(A3889),A3890&lt;A3889),"Date hors ordre","OK"))))))))</f>
        <v/>
      </c>
      <c r="M3890" s="39" t="str">
        <f>IF(C3890="","",C3890&amp;"#"&amp;COUNTIF($C$5:C3890,C3890))</f>
        <v/>
      </c>
    </row>
    <row r="3891">
      <c r="A3891" s="41" t="n"/>
      <c r="B3891" s="37" t="n"/>
      <c r="C3891" s="37" t="n"/>
      <c r="D3891" s="39" t="str">
        <f>IF(C3891="","",IFERROR(INDEX(art_des,MATCH(C3891,art_ref,0))&amp;"","Référence inconnue"))</f>
        <v/>
      </c>
      <c r="E3891" s="37" t="n"/>
      <c r="F3891" s="39" t="str">
        <f>IF(C3891="","",IFERROR(INDEX(art_unit,MATCH(C3891,art_ref,0))&amp;"",""))</f>
        <v/>
      </c>
      <c r="G3891" s="37" t="n"/>
      <c r="H3891" s="37" t="n"/>
      <c r="I3891" s="37" t="n"/>
      <c r="J3891" s="40" t="str">
        <f>IF(OR(C3891="",NOT(ISNUMBER(E3891))),"",IFERROR(E3891*N(INDEX(art_price,MATCH(C3891,art_ref,0))),""))</f>
        <v/>
      </c>
      <c r="K3891" s="39" t="str">
        <f>IF(OR(C3891="",NOT(ISNUMBER(E3891))),"",IFERROR(ROUND(N(INDEX(art_init,MATCH(C3891,art_ref,0)))+SUMIFS($E$5:E3891,$C$5:C3891,C3891,$B$5:B3891,"Entrée")-SUMIFS($E$5:E3891,$C$5:C3891,C3891,$B$5:B3891,"Sortie"),6),""))</f>
        <v/>
      </c>
      <c r="L3891" s="39" t="str">
        <f>IF(COUNTA(A3891:C3891,E3891)=0,"",IF(COUNTA(A3891:C3891,E3891)&lt;4,"Ligne incomplète",IF(NOT(ISNUMBER(A3891)),"Date invalide",IF(AND(B3891&lt;&gt;"Entrée",B3891&lt;&gt;"Sortie"),"Type inconnu",IF(ISNA(MATCH(C3891,art_ref,0)),"Référence inconnue",IF(OR(NOT(ISNUMBER(E3891)),N(E3891)&lt;=0),"Quantité invalide",IF(K3891&lt;0,"Stock négatif",IF(AND(ISNUMBER(A3890),A3891&lt;A3890),"Date hors ordre","OK"))))))))</f>
        <v/>
      </c>
      <c r="M3891" s="39" t="str">
        <f>IF(C3891="","",C3891&amp;"#"&amp;COUNTIF($C$5:C3891,C3891))</f>
        <v/>
      </c>
    </row>
    <row r="3892">
      <c r="A3892" s="41" t="n"/>
      <c r="B3892" s="37" t="n"/>
      <c r="C3892" s="37" t="n"/>
      <c r="D3892" s="39" t="str">
        <f>IF(C3892="","",IFERROR(INDEX(art_des,MATCH(C3892,art_ref,0))&amp;"","Référence inconnue"))</f>
        <v/>
      </c>
      <c r="E3892" s="37" t="n"/>
      <c r="F3892" s="39" t="str">
        <f>IF(C3892="","",IFERROR(INDEX(art_unit,MATCH(C3892,art_ref,0))&amp;"",""))</f>
        <v/>
      </c>
      <c r="G3892" s="37" t="n"/>
      <c r="H3892" s="37" t="n"/>
      <c r="I3892" s="37" t="n"/>
      <c r="J3892" s="40" t="str">
        <f>IF(OR(C3892="",NOT(ISNUMBER(E3892))),"",IFERROR(E3892*N(INDEX(art_price,MATCH(C3892,art_ref,0))),""))</f>
        <v/>
      </c>
      <c r="K3892" s="39" t="str">
        <f>IF(OR(C3892="",NOT(ISNUMBER(E3892))),"",IFERROR(ROUND(N(INDEX(art_init,MATCH(C3892,art_ref,0)))+SUMIFS($E$5:E3892,$C$5:C3892,C3892,$B$5:B3892,"Entrée")-SUMIFS($E$5:E3892,$C$5:C3892,C3892,$B$5:B3892,"Sortie"),6),""))</f>
        <v/>
      </c>
      <c r="L3892" s="39" t="str">
        <f>IF(COUNTA(A3892:C3892,E3892)=0,"",IF(COUNTA(A3892:C3892,E3892)&lt;4,"Ligne incomplète",IF(NOT(ISNUMBER(A3892)),"Date invalide",IF(AND(B3892&lt;&gt;"Entrée",B3892&lt;&gt;"Sortie"),"Type inconnu",IF(ISNA(MATCH(C3892,art_ref,0)),"Référence inconnue",IF(OR(NOT(ISNUMBER(E3892)),N(E3892)&lt;=0),"Quantité invalide",IF(K3892&lt;0,"Stock négatif",IF(AND(ISNUMBER(A3891),A3892&lt;A3891),"Date hors ordre","OK"))))))))</f>
        <v/>
      </c>
      <c r="M3892" s="39" t="str">
        <f>IF(C3892="","",C3892&amp;"#"&amp;COUNTIF($C$5:C3892,C3892))</f>
        <v/>
      </c>
    </row>
    <row r="3893">
      <c r="A3893" s="41" t="n"/>
      <c r="B3893" s="37" t="n"/>
      <c r="C3893" s="37" t="n"/>
      <c r="D3893" s="39" t="str">
        <f>IF(C3893="","",IFERROR(INDEX(art_des,MATCH(C3893,art_ref,0))&amp;"","Référence inconnue"))</f>
        <v/>
      </c>
      <c r="E3893" s="37" t="n"/>
      <c r="F3893" s="39" t="str">
        <f>IF(C3893="","",IFERROR(INDEX(art_unit,MATCH(C3893,art_ref,0))&amp;"",""))</f>
        <v/>
      </c>
      <c r="G3893" s="37" t="n"/>
      <c r="H3893" s="37" t="n"/>
      <c r="I3893" s="37" t="n"/>
      <c r="J3893" s="40" t="str">
        <f>IF(OR(C3893="",NOT(ISNUMBER(E3893))),"",IFERROR(E3893*N(INDEX(art_price,MATCH(C3893,art_ref,0))),""))</f>
        <v/>
      </c>
      <c r="K3893" s="39" t="str">
        <f>IF(OR(C3893="",NOT(ISNUMBER(E3893))),"",IFERROR(ROUND(N(INDEX(art_init,MATCH(C3893,art_ref,0)))+SUMIFS($E$5:E3893,$C$5:C3893,C3893,$B$5:B3893,"Entrée")-SUMIFS($E$5:E3893,$C$5:C3893,C3893,$B$5:B3893,"Sortie"),6),""))</f>
        <v/>
      </c>
      <c r="L3893" s="39" t="str">
        <f>IF(COUNTA(A3893:C3893,E3893)=0,"",IF(COUNTA(A3893:C3893,E3893)&lt;4,"Ligne incomplète",IF(NOT(ISNUMBER(A3893)),"Date invalide",IF(AND(B3893&lt;&gt;"Entrée",B3893&lt;&gt;"Sortie"),"Type inconnu",IF(ISNA(MATCH(C3893,art_ref,0)),"Référence inconnue",IF(OR(NOT(ISNUMBER(E3893)),N(E3893)&lt;=0),"Quantité invalide",IF(K3893&lt;0,"Stock négatif",IF(AND(ISNUMBER(A3892),A3893&lt;A3892),"Date hors ordre","OK"))))))))</f>
        <v/>
      </c>
      <c r="M3893" s="39" t="str">
        <f>IF(C3893="","",C3893&amp;"#"&amp;COUNTIF($C$5:C3893,C3893))</f>
        <v/>
      </c>
    </row>
    <row r="3894">
      <c r="A3894" s="41" t="n"/>
      <c r="B3894" s="37" t="n"/>
      <c r="C3894" s="37" t="n"/>
      <c r="D3894" s="39" t="str">
        <f>IF(C3894="","",IFERROR(INDEX(art_des,MATCH(C3894,art_ref,0))&amp;"","Référence inconnue"))</f>
        <v/>
      </c>
      <c r="E3894" s="37" t="n"/>
      <c r="F3894" s="39" t="str">
        <f>IF(C3894="","",IFERROR(INDEX(art_unit,MATCH(C3894,art_ref,0))&amp;"",""))</f>
        <v/>
      </c>
      <c r="G3894" s="37" t="n"/>
      <c r="H3894" s="37" t="n"/>
      <c r="I3894" s="37" t="n"/>
      <c r="J3894" s="40" t="str">
        <f>IF(OR(C3894="",NOT(ISNUMBER(E3894))),"",IFERROR(E3894*N(INDEX(art_price,MATCH(C3894,art_ref,0))),""))</f>
        <v/>
      </c>
      <c r="K3894" s="39" t="str">
        <f>IF(OR(C3894="",NOT(ISNUMBER(E3894))),"",IFERROR(ROUND(N(INDEX(art_init,MATCH(C3894,art_ref,0)))+SUMIFS($E$5:E3894,$C$5:C3894,C3894,$B$5:B3894,"Entrée")-SUMIFS($E$5:E3894,$C$5:C3894,C3894,$B$5:B3894,"Sortie"),6),""))</f>
        <v/>
      </c>
      <c r="L3894" s="39" t="str">
        <f>IF(COUNTA(A3894:C3894,E3894)=0,"",IF(COUNTA(A3894:C3894,E3894)&lt;4,"Ligne incomplète",IF(NOT(ISNUMBER(A3894)),"Date invalide",IF(AND(B3894&lt;&gt;"Entrée",B3894&lt;&gt;"Sortie"),"Type inconnu",IF(ISNA(MATCH(C3894,art_ref,0)),"Référence inconnue",IF(OR(NOT(ISNUMBER(E3894)),N(E3894)&lt;=0),"Quantité invalide",IF(K3894&lt;0,"Stock négatif",IF(AND(ISNUMBER(A3893),A3894&lt;A3893),"Date hors ordre","OK"))))))))</f>
        <v/>
      </c>
      <c r="M3894" s="39" t="str">
        <f>IF(C3894="","",C3894&amp;"#"&amp;COUNTIF($C$5:C3894,C3894))</f>
        <v/>
      </c>
    </row>
    <row r="3895">
      <c r="A3895" s="41" t="n"/>
      <c r="B3895" s="37" t="n"/>
      <c r="C3895" s="37" t="n"/>
      <c r="D3895" s="39" t="str">
        <f>IF(C3895="","",IFERROR(INDEX(art_des,MATCH(C3895,art_ref,0))&amp;"","Référence inconnue"))</f>
        <v/>
      </c>
      <c r="E3895" s="37" t="n"/>
      <c r="F3895" s="39" t="str">
        <f>IF(C3895="","",IFERROR(INDEX(art_unit,MATCH(C3895,art_ref,0))&amp;"",""))</f>
        <v/>
      </c>
      <c r="G3895" s="37" t="n"/>
      <c r="H3895" s="37" t="n"/>
      <c r="I3895" s="37" t="n"/>
      <c r="J3895" s="40" t="str">
        <f>IF(OR(C3895="",NOT(ISNUMBER(E3895))),"",IFERROR(E3895*N(INDEX(art_price,MATCH(C3895,art_ref,0))),""))</f>
        <v/>
      </c>
      <c r="K3895" s="39" t="str">
        <f>IF(OR(C3895="",NOT(ISNUMBER(E3895))),"",IFERROR(ROUND(N(INDEX(art_init,MATCH(C3895,art_ref,0)))+SUMIFS($E$5:E3895,$C$5:C3895,C3895,$B$5:B3895,"Entrée")-SUMIFS($E$5:E3895,$C$5:C3895,C3895,$B$5:B3895,"Sortie"),6),""))</f>
        <v/>
      </c>
      <c r="L3895" s="39" t="str">
        <f>IF(COUNTA(A3895:C3895,E3895)=0,"",IF(COUNTA(A3895:C3895,E3895)&lt;4,"Ligne incomplète",IF(NOT(ISNUMBER(A3895)),"Date invalide",IF(AND(B3895&lt;&gt;"Entrée",B3895&lt;&gt;"Sortie"),"Type inconnu",IF(ISNA(MATCH(C3895,art_ref,0)),"Référence inconnue",IF(OR(NOT(ISNUMBER(E3895)),N(E3895)&lt;=0),"Quantité invalide",IF(K3895&lt;0,"Stock négatif",IF(AND(ISNUMBER(A3894),A3895&lt;A3894),"Date hors ordre","OK"))))))))</f>
        <v/>
      </c>
      <c r="M3895" s="39" t="str">
        <f>IF(C3895="","",C3895&amp;"#"&amp;COUNTIF($C$5:C3895,C3895))</f>
        <v/>
      </c>
    </row>
    <row r="3896">
      <c r="A3896" s="41" t="n"/>
      <c r="B3896" s="37" t="n"/>
      <c r="C3896" s="37" t="n"/>
      <c r="D3896" s="39" t="str">
        <f>IF(C3896="","",IFERROR(INDEX(art_des,MATCH(C3896,art_ref,0))&amp;"","Référence inconnue"))</f>
        <v/>
      </c>
      <c r="E3896" s="37" t="n"/>
      <c r="F3896" s="39" t="str">
        <f>IF(C3896="","",IFERROR(INDEX(art_unit,MATCH(C3896,art_ref,0))&amp;"",""))</f>
        <v/>
      </c>
      <c r="G3896" s="37" t="n"/>
      <c r="H3896" s="37" t="n"/>
      <c r="I3896" s="37" t="n"/>
      <c r="J3896" s="40" t="str">
        <f>IF(OR(C3896="",NOT(ISNUMBER(E3896))),"",IFERROR(E3896*N(INDEX(art_price,MATCH(C3896,art_ref,0))),""))</f>
        <v/>
      </c>
      <c r="K3896" s="39" t="str">
        <f>IF(OR(C3896="",NOT(ISNUMBER(E3896))),"",IFERROR(ROUND(N(INDEX(art_init,MATCH(C3896,art_ref,0)))+SUMIFS($E$5:E3896,$C$5:C3896,C3896,$B$5:B3896,"Entrée")-SUMIFS($E$5:E3896,$C$5:C3896,C3896,$B$5:B3896,"Sortie"),6),""))</f>
        <v/>
      </c>
      <c r="L3896" s="39" t="str">
        <f>IF(COUNTA(A3896:C3896,E3896)=0,"",IF(COUNTA(A3896:C3896,E3896)&lt;4,"Ligne incomplète",IF(NOT(ISNUMBER(A3896)),"Date invalide",IF(AND(B3896&lt;&gt;"Entrée",B3896&lt;&gt;"Sortie"),"Type inconnu",IF(ISNA(MATCH(C3896,art_ref,0)),"Référence inconnue",IF(OR(NOT(ISNUMBER(E3896)),N(E3896)&lt;=0),"Quantité invalide",IF(K3896&lt;0,"Stock négatif",IF(AND(ISNUMBER(A3895),A3896&lt;A3895),"Date hors ordre","OK"))))))))</f>
        <v/>
      </c>
      <c r="M3896" s="39" t="str">
        <f>IF(C3896="","",C3896&amp;"#"&amp;COUNTIF($C$5:C3896,C3896))</f>
        <v/>
      </c>
    </row>
    <row r="3897">
      <c r="A3897" s="41" t="n"/>
      <c r="B3897" s="37" t="n"/>
      <c r="C3897" s="37" t="n"/>
      <c r="D3897" s="39" t="str">
        <f>IF(C3897="","",IFERROR(INDEX(art_des,MATCH(C3897,art_ref,0))&amp;"","Référence inconnue"))</f>
        <v/>
      </c>
      <c r="E3897" s="37" t="n"/>
      <c r="F3897" s="39" t="str">
        <f>IF(C3897="","",IFERROR(INDEX(art_unit,MATCH(C3897,art_ref,0))&amp;"",""))</f>
        <v/>
      </c>
      <c r="G3897" s="37" t="n"/>
      <c r="H3897" s="37" t="n"/>
      <c r="I3897" s="37" t="n"/>
      <c r="J3897" s="40" t="str">
        <f>IF(OR(C3897="",NOT(ISNUMBER(E3897))),"",IFERROR(E3897*N(INDEX(art_price,MATCH(C3897,art_ref,0))),""))</f>
        <v/>
      </c>
      <c r="K3897" s="39" t="str">
        <f>IF(OR(C3897="",NOT(ISNUMBER(E3897))),"",IFERROR(ROUND(N(INDEX(art_init,MATCH(C3897,art_ref,0)))+SUMIFS($E$5:E3897,$C$5:C3897,C3897,$B$5:B3897,"Entrée")-SUMIFS($E$5:E3897,$C$5:C3897,C3897,$B$5:B3897,"Sortie"),6),""))</f>
        <v/>
      </c>
      <c r="L3897" s="39" t="str">
        <f>IF(COUNTA(A3897:C3897,E3897)=0,"",IF(COUNTA(A3897:C3897,E3897)&lt;4,"Ligne incomplète",IF(NOT(ISNUMBER(A3897)),"Date invalide",IF(AND(B3897&lt;&gt;"Entrée",B3897&lt;&gt;"Sortie"),"Type inconnu",IF(ISNA(MATCH(C3897,art_ref,0)),"Référence inconnue",IF(OR(NOT(ISNUMBER(E3897)),N(E3897)&lt;=0),"Quantité invalide",IF(K3897&lt;0,"Stock négatif",IF(AND(ISNUMBER(A3896),A3897&lt;A3896),"Date hors ordre","OK"))))))))</f>
        <v/>
      </c>
      <c r="M3897" s="39" t="str">
        <f>IF(C3897="","",C3897&amp;"#"&amp;COUNTIF($C$5:C3897,C3897))</f>
        <v/>
      </c>
    </row>
    <row r="3898">
      <c r="A3898" s="41" t="n"/>
      <c r="B3898" s="37" t="n"/>
      <c r="C3898" s="37" t="n"/>
      <c r="D3898" s="39" t="str">
        <f>IF(C3898="","",IFERROR(INDEX(art_des,MATCH(C3898,art_ref,0))&amp;"","Référence inconnue"))</f>
        <v/>
      </c>
      <c r="E3898" s="37" t="n"/>
      <c r="F3898" s="39" t="str">
        <f>IF(C3898="","",IFERROR(INDEX(art_unit,MATCH(C3898,art_ref,0))&amp;"",""))</f>
        <v/>
      </c>
      <c r="G3898" s="37" t="n"/>
      <c r="H3898" s="37" t="n"/>
      <c r="I3898" s="37" t="n"/>
      <c r="J3898" s="40" t="str">
        <f>IF(OR(C3898="",NOT(ISNUMBER(E3898))),"",IFERROR(E3898*N(INDEX(art_price,MATCH(C3898,art_ref,0))),""))</f>
        <v/>
      </c>
      <c r="K3898" s="39" t="str">
        <f>IF(OR(C3898="",NOT(ISNUMBER(E3898))),"",IFERROR(ROUND(N(INDEX(art_init,MATCH(C3898,art_ref,0)))+SUMIFS($E$5:E3898,$C$5:C3898,C3898,$B$5:B3898,"Entrée")-SUMIFS($E$5:E3898,$C$5:C3898,C3898,$B$5:B3898,"Sortie"),6),""))</f>
        <v/>
      </c>
      <c r="L3898" s="39" t="str">
        <f>IF(COUNTA(A3898:C3898,E3898)=0,"",IF(COUNTA(A3898:C3898,E3898)&lt;4,"Ligne incomplète",IF(NOT(ISNUMBER(A3898)),"Date invalide",IF(AND(B3898&lt;&gt;"Entrée",B3898&lt;&gt;"Sortie"),"Type inconnu",IF(ISNA(MATCH(C3898,art_ref,0)),"Référence inconnue",IF(OR(NOT(ISNUMBER(E3898)),N(E3898)&lt;=0),"Quantité invalide",IF(K3898&lt;0,"Stock négatif",IF(AND(ISNUMBER(A3897),A3898&lt;A3897),"Date hors ordre","OK"))))))))</f>
        <v/>
      </c>
      <c r="M3898" s="39" t="str">
        <f>IF(C3898="","",C3898&amp;"#"&amp;COUNTIF($C$5:C3898,C3898))</f>
        <v/>
      </c>
    </row>
    <row r="3899">
      <c r="A3899" s="41" t="n"/>
      <c r="B3899" s="37" t="n"/>
      <c r="C3899" s="37" t="n"/>
      <c r="D3899" s="39" t="str">
        <f>IF(C3899="","",IFERROR(INDEX(art_des,MATCH(C3899,art_ref,0))&amp;"","Référence inconnue"))</f>
        <v/>
      </c>
      <c r="E3899" s="37" t="n"/>
      <c r="F3899" s="39" t="str">
        <f>IF(C3899="","",IFERROR(INDEX(art_unit,MATCH(C3899,art_ref,0))&amp;"",""))</f>
        <v/>
      </c>
      <c r="G3899" s="37" t="n"/>
      <c r="H3899" s="37" t="n"/>
      <c r="I3899" s="37" t="n"/>
      <c r="J3899" s="40" t="str">
        <f>IF(OR(C3899="",NOT(ISNUMBER(E3899))),"",IFERROR(E3899*N(INDEX(art_price,MATCH(C3899,art_ref,0))),""))</f>
        <v/>
      </c>
      <c r="K3899" s="39" t="str">
        <f>IF(OR(C3899="",NOT(ISNUMBER(E3899))),"",IFERROR(ROUND(N(INDEX(art_init,MATCH(C3899,art_ref,0)))+SUMIFS($E$5:E3899,$C$5:C3899,C3899,$B$5:B3899,"Entrée")-SUMIFS($E$5:E3899,$C$5:C3899,C3899,$B$5:B3899,"Sortie"),6),""))</f>
        <v/>
      </c>
      <c r="L3899" s="39" t="str">
        <f>IF(COUNTA(A3899:C3899,E3899)=0,"",IF(COUNTA(A3899:C3899,E3899)&lt;4,"Ligne incomplète",IF(NOT(ISNUMBER(A3899)),"Date invalide",IF(AND(B3899&lt;&gt;"Entrée",B3899&lt;&gt;"Sortie"),"Type inconnu",IF(ISNA(MATCH(C3899,art_ref,0)),"Référence inconnue",IF(OR(NOT(ISNUMBER(E3899)),N(E3899)&lt;=0),"Quantité invalide",IF(K3899&lt;0,"Stock négatif",IF(AND(ISNUMBER(A3898),A3899&lt;A3898),"Date hors ordre","OK"))))))))</f>
        <v/>
      </c>
      <c r="M3899" s="39" t="str">
        <f>IF(C3899="","",C3899&amp;"#"&amp;COUNTIF($C$5:C3899,C3899))</f>
        <v/>
      </c>
    </row>
    <row r="3900">
      <c r="A3900" s="41" t="n"/>
      <c r="B3900" s="37" t="n"/>
      <c r="C3900" s="37" t="n"/>
      <c r="D3900" s="39" t="str">
        <f>IF(C3900="","",IFERROR(INDEX(art_des,MATCH(C3900,art_ref,0))&amp;"","Référence inconnue"))</f>
        <v/>
      </c>
      <c r="E3900" s="37" t="n"/>
      <c r="F3900" s="39" t="str">
        <f>IF(C3900="","",IFERROR(INDEX(art_unit,MATCH(C3900,art_ref,0))&amp;"",""))</f>
        <v/>
      </c>
      <c r="G3900" s="37" t="n"/>
      <c r="H3900" s="37" t="n"/>
      <c r="I3900" s="37" t="n"/>
      <c r="J3900" s="40" t="str">
        <f>IF(OR(C3900="",NOT(ISNUMBER(E3900))),"",IFERROR(E3900*N(INDEX(art_price,MATCH(C3900,art_ref,0))),""))</f>
        <v/>
      </c>
      <c r="K3900" s="39" t="str">
        <f>IF(OR(C3900="",NOT(ISNUMBER(E3900))),"",IFERROR(ROUND(N(INDEX(art_init,MATCH(C3900,art_ref,0)))+SUMIFS($E$5:E3900,$C$5:C3900,C3900,$B$5:B3900,"Entrée")-SUMIFS($E$5:E3900,$C$5:C3900,C3900,$B$5:B3900,"Sortie"),6),""))</f>
        <v/>
      </c>
      <c r="L3900" s="39" t="str">
        <f>IF(COUNTA(A3900:C3900,E3900)=0,"",IF(COUNTA(A3900:C3900,E3900)&lt;4,"Ligne incomplète",IF(NOT(ISNUMBER(A3900)),"Date invalide",IF(AND(B3900&lt;&gt;"Entrée",B3900&lt;&gt;"Sortie"),"Type inconnu",IF(ISNA(MATCH(C3900,art_ref,0)),"Référence inconnue",IF(OR(NOT(ISNUMBER(E3900)),N(E3900)&lt;=0),"Quantité invalide",IF(K3900&lt;0,"Stock négatif",IF(AND(ISNUMBER(A3899),A3900&lt;A3899),"Date hors ordre","OK"))))))))</f>
        <v/>
      </c>
      <c r="M3900" s="39" t="str">
        <f>IF(C3900="","",C3900&amp;"#"&amp;COUNTIF($C$5:C3900,C3900))</f>
        <v/>
      </c>
    </row>
    <row r="3901">
      <c r="A3901" s="41" t="n"/>
      <c r="B3901" s="37" t="n"/>
      <c r="C3901" s="37" t="n"/>
      <c r="D3901" s="39" t="str">
        <f>IF(C3901="","",IFERROR(INDEX(art_des,MATCH(C3901,art_ref,0))&amp;"","Référence inconnue"))</f>
        <v/>
      </c>
      <c r="E3901" s="37" t="n"/>
      <c r="F3901" s="39" t="str">
        <f>IF(C3901="","",IFERROR(INDEX(art_unit,MATCH(C3901,art_ref,0))&amp;"",""))</f>
        <v/>
      </c>
      <c r="G3901" s="37" t="n"/>
      <c r="H3901" s="37" t="n"/>
      <c r="I3901" s="37" t="n"/>
      <c r="J3901" s="40" t="str">
        <f>IF(OR(C3901="",NOT(ISNUMBER(E3901))),"",IFERROR(E3901*N(INDEX(art_price,MATCH(C3901,art_ref,0))),""))</f>
        <v/>
      </c>
      <c r="K3901" s="39" t="str">
        <f>IF(OR(C3901="",NOT(ISNUMBER(E3901))),"",IFERROR(ROUND(N(INDEX(art_init,MATCH(C3901,art_ref,0)))+SUMIFS($E$5:E3901,$C$5:C3901,C3901,$B$5:B3901,"Entrée")-SUMIFS($E$5:E3901,$C$5:C3901,C3901,$B$5:B3901,"Sortie"),6),""))</f>
        <v/>
      </c>
      <c r="L3901" s="39" t="str">
        <f>IF(COUNTA(A3901:C3901,E3901)=0,"",IF(COUNTA(A3901:C3901,E3901)&lt;4,"Ligne incomplète",IF(NOT(ISNUMBER(A3901)),"Date invalide",IF(AND(B3901&lt;&gt;"Entrée",B3901&lt;&gt;"Sortie"),"Type inconnu",IF(ISNA(MATCH(C3901,art_ref,0)),"Référence inconnue",IF(OR(NOT(ISNUMBER(E3901)),N(E3901)&lt;=0),"Quantité invalide",IF(K3901&lt;0,"Stock négatif",IF(AND(ISNUMBER(A3900),A3901&lt;A3900),"Date hors ordre","OK"))))))))</f>
        <v/>
      </c>
      <c r="M3901" s="39" t="str">
        <f>IF(C3901="","",C3901&amp;"#"&amp;COUNTIF($C$5:C3901,C3901))</f>
        <v/>
      </c>
    </row>
    <row r="3902">
      <c r="A3902" s="41" t="n"/>
      <c r="B3902" s="37" t="n"/>
      <c r="C3902" s="37" t="n"/>
      <c r="D3902" s="39" t="str">
        <f>IF(C3902="","",IFERROR(INDEX(art_des,MATCH(C3902,art_ref,0))&amp;"","Référence inconnue"))</f>
        <v/>
      </c>
      <c r="E3902" s="37" t="n"/>
      <c r="F3902" s="39" t="str">
        <f>IF(C3902="","",IFERROR(INDEX(art_unit,MATCH(C3902,art_ref,0))&amp;"",""))</f>
        <v/>
      </c>
      <c r="G3902" s="37" t="n"/>
      <c r="H3902" s="37" t="n"/>
      <c r="I3902" s="37" t="n"/>
      <c r="J3902" s="40" t="str">
        <f>IF(OR(C3902="",NOT(ISNUMBER(E3902))),"",IFERROR(E3902*N(INDEX(art_price,MATCH(C3902,art_ref,0))),""))</f>
        <v/>
      </c>
      <c r="K3902" s="39" t="str">
        <f>IF(OR(C3902="",NOT(ISNUMBER(E3902))),"",IFERROR(ROUND(N(INDEX(art_init,MATCH(C3902,art_ref,0)))+SUMIFS($E$5:E3902,$C$5:C3902,C3902,$B$5:B3902,"Entrée")-SUMIFS($E$5:E3902,$C$5:C3902,C3902,$B$5:B3902,"Sortie"),6),""))</f>
        <v/>
      </c>
      <c r="L3902" s="39" t="str">
        <f>IF(COUNTA(A3902:C3902,E3902)=0,"",IF(COUNTA(A3902:C3902,E3902)&lt;4,"Ligne incomplète",IF(NOT(ISNUMBER(A3902)),"Date invalide",IF(AND(B3902&lt;&gt;"Entrée",B3902&lt;&gt;"Sortie"),"Type inconnu",IF(ISNA(MATCH(C3902,art_ref,0)),"Référence inconnue",IF(OR(NOT(ISNUMBER(E3902)),N(E3902)&lt;=0),"Quantité invalide",IF(K3902&lt;0,"Stock négatif",IF(AND(ISNUMBER(A3901),A3902&lt;A3901),"Date hors ordre","OK"))))))))</f>
        <v/>
      </c>
      <c r="M3902" s="39" t="str">
        <f>IF(C3902="","",C3902&amp;"#"&amp;COUNTIF($C$5:C3902,C3902))</f>
        <v/>
      </c>
    </row>
    <row r="3903">
      <c r="A3903" s="41" t="n"/>
      <c r="B3903" s="37" t="n"/>
      <c r="C3903" s="37" t="n"/>
      <c r="D3903" s="39" t="str">
        <f>IF(C3903="","",IFERROR(INDEX(art_des,MATCH(C3903,art_ref,0))&amp;"","Référence inconnue"))</f>
        <v/>
      </c>
      <c r="E3903" s="37" t="n"/>
      <c r="F3903" s="39" t="str">
        <f>IF(C3903="","",IFERROR(INDEX(art_unit,MATCH(C3903,art_ref,0))&amp;"",""))</f>
        <v/>
      </c>
      <c r="G3903" s="37" t="n"/>
      <c r="H3903" s="37" t="n"/>
      <c r="I3903" s="37" t="n"/>
      <c r="J3903" s="40" t="str">
        <f>IF(OR(C3903="",NOT(ISNUMBER(E3903))),"",IFERROR(E3903*N(INDEX(art_price,MATCH(C3903,art_ref,0))),""))</f>
        <v/>
      </c>
      <c r="K3903" s="39" t="str">
        <f>IF(OR(C3903="",NOT(ISNUMBER(E3903))),"",IFERROR(ROUND(N(INDEX(art_init,MATCH(C3903,art_ref,0)))+SUMIFS($E$5:E3903,$C$5:C3903,C3903,$B$5:B3903,"Entrée")-SUMIFS($E$5:E3903,$C$5:C3903,C3903,$B$5:B3903,"Sortie"),6),""))</f>
        <v/>
      </c>
      <c r="L3903" s="39" t="str">
        <f>IF(COUNTA(A3903:C3903,E3903)=0,"",IF(COUNTA(A3903:C3903,E3903)&lt;4,"Ligne incomplète",IF(NOT(ISNUMBER(A3903)),"Date invalide",IF(AND(B3903&lt;&gt;"Entrée",B3903&lt;&gt;"Sortie"),"Type inconnu",IF(ISNA(MATCH(C3903,art_ref,0)),"Référence inconnue",IF(OR(NOT(ISNUMBER(E3903)),N(E3903)&lt;=0),"Quantité invalide",IF(K3903&lt;0,"Stock négatif",IF(AND(ISNUMBER(A3902),A3903&lt;A3902),"Date hors ordre","OK"))))))))</f>
        <v/>
      </c>
      <c r="M3903" s="39" t="str">
        <f>IF(C3903="","",C3903&amp;"#"&amp;COUNTIF($C$5:C3903,C3903))</f>
        <v/>
      </c>
    </row>
    <row r="3904">
      <c r="A3904" s="41" t="n"/>
      <c r="B3904" s="37" t="n"/>
      <c r="C3904" s="37" t="n"/>
      <c r="D3904" s="39" t="str">
        <f>IF(C3904="","",IFERROR(INDEX(art_des,MATCH(C3904,art_ref,0))&amp;"","Référence inconnue"))</f>
        <v/>
      </c>
      <c r="E3904" s="37" t="n"/>
      <c r="F3904" s="39" t="str">
        <f>IF(C3904="","",IFERROR(INDEX(art_unit,MATCH(C3904,art_ref,0))&amp;"",""))</f>
        <v/>
      </c>
      <c r="G3904" s="37" t="n"/>
      <c r="H3904" s="37" t="n"/>
      <c r="I3904" s="37" t="n"/>
      <c r="J3904" s="40" t="str">
        <f>IF(OR(C3904="",NOT(ISNUMBER(E3904))),"",IFERROR(E3904*N(INDEX(art_price,MATCH(C3904,art_ref,0))),""))</f>
        <v/>
      </c>
      <c r="K3904" s="39" t="str">
        <f>IF(OR(C3904="",NOT(ISNUMBER(E3904))),"",IFERROR(ROUND(N(INDEX(art_init,MATCH(C3904,art_ref,0)))+SUMIFS($E$5:E3904,$C$5:C3904,C3904,$B$5:B3904,"Entrée")-SUMIFS($E$5:E3904,$C$5:C3904,C3904,$B$5:B3904,"Sortie"),6),""))</f>
        <v/>
      </c>
      <c r="L3904" s="39" t="str">
        <f>IF(COUNTA(A3904:C3904,E3904)=0,"",IF(COUNTA(A3904:C3904,E3904)&lt;4,"Ligne incomplète",IF(NOT(ISNUMBER(A3904)),"Date invalide",IF(AND(B3904&lt;&gt;"Entrée",B3904&lt;&gt;"Sortie"),"Type inconnu",IF(ISNA(MATCH(C3904,art_ref,0)),"Référence inconnue",IF(OR(NOT(ISNUMBER(E3904)),N(E3904)&lt;=0),"Quantité invalide",IF(K3904&lt;0,"Stock négatif",IF(AND(ISNUMBER(A3903),A3904&lt;A3903),"Date hors ordre","OK"))))))))</f>
        <v/>
      </c>
      <c r="M3904" s="39" t="str">
        <f>IF(C3904="","",C3904&amp;"#"&amp;COUNTIF($C$5:C3904,C3904))</f>
        <v/>
      </c>
    </row>
    <row r="3905">
      <c r="A3905" s="41" t="n"/>
      <c r="B3905" s="37" t="n"/>
      <c r="C3905" s="37" t="n"/>
      <c r="D3905" s="39" t="str">
        <f>IF(C3905="","",IFERROR(INDEX(art_des,MATCH(C3905,art_ref,0))&amp;"","Référence inconnue"))</f>
        <v/>
      </c>
      <c r="E3905" s="37" t="n"/>
      <c r="F3905" s="39" t="str">
        <f>IF(C3905="","",IFERROR(INDEX(art_unit,MATCH(C3905,art_ref,0))&amp;"",""))</f>
        <v/>
      </c>
      <c r="G3905" s="37" t="n"/>
      <c r="H3905" s="37" t="n"/>
      <c r="I3905" s="37" t="n"/>
      <c r="J3905" s="40" t="str">
        <f>IF(OR(C3905="",NOT(ISNUMBER(E3905))),"",IFERROR(E3905*N(INDEX(art_price,MATCH(C3905,art_ref,0))),""))</f>
        <v/>
      </c>
      <c r="K3905" s="39" t="str">
        <f>IF(OR(C3905="",NOT(ISNUMBER(E3905))),"",IFERROR(ROUND(N(INDEX(art_init,MATCH(C3905,art_ref,0)))+SUMIFS($E$5:E3905,$C$5:C3905,C3905,$B$5:B3905,"Entrée")-SUMIFS($E$5:E3905,$C$5:C3905,C3905,$B$5:B3905,"Sortie"),6),""))</f>
        <v/>
      </c>
      <c r="L3905" s="39" t="str">
        <f>IF(COUNTA(A3905:C3905,E3905)=0,"",IF(COUNTA(A3905:C3905,E3905)&lt;4,"Ligne incomplète",IF(NOT(ISNUMBER(A3905)),"Date invalide",IF(AND(B3905&lt;&gt;"Entrée",B3905&lt;&gt;"Sortie"),"Type inconnu",IF(ISNA(MATCH(C3905,art_ref,0)),"Référence inconnue",IF(OR(NOT(ISNUMBER(E3905)),N(E3905)&lt;=0),"Quantité invalide",IF(K3905&lt;0,"Stock négatif",IF(AND(ISNUMBER(A3904),A3905&lt;A3904),"Date hors ordre","OK"))))))))</f>
        <v/>
      </c>
      <c r="M3905" s="39" t="str">
        <f>IF(C3905="","",C3905&amp;"#"&amp;COUNTIF($C$5:C3905,C3905))</f>
        <v/>
      </c>
    </row>
    <row r="3906">
      <c r="A3906" s="41" t="n"/>
      <c r="B3906" s="37" t="n"/>
      <c r="C3906" s="37" t="n"/>
      <c r="D3906" s="39" t="str">
        <f>IF(C3906="","",IFERROR(INDEX(art_des,MATCH(C3906,art_ref,0))&amp;"","Référence inconnue"))</f>
        <v/>
      </c>
      <c r="E3906" s="37" t="n"/>
      <c r="F3906" s="39" t="str">
        <f>IF(C3906="","",IFERROR(INDEX(art_unit,MATCH(C3906,art_ref,0))&amp;"",""))</f>
        <v/>
      </c>
      <c r="G3906" s="37" t="n"/>
      <c r="H3906" s="37" t="n"/>
      <c r="I3906" s="37" t="n"/>
      <c r="J3906" s="40" t="str">
        <f>IF(OR(C3906="",NOT(ISNUMBER(E3906))),"",IFERROR(E3906*N(INDEX(art_price,MATCH(C3906,art_ref,0))),""))</f>
        <v/>
      </c>
      <c r="K3906" s="39" t="str">
        <f>IF(OR(C3906="",NOT(ISNUMBER(E3906))),"",IFERROR(ROUND(N(INDEX(art_init,MATCH(C3906,art_ref,0)))+SUMIFS($E$5:E3906,$C$5:C3906,C3906,$B$5:B3906,"Entrée")-SUMIFS($E$5:E3906,$C$5:C3906,C3906,$B$5:B3906,"Sortie"),6),""))</f>
        <v/>
      </c>
      <c r="L3906" s="39" t="str">
        <f>IF(COUNTA(A3906:C3906,E3906)=0,"",IF(COUNTA(A3906:C3906,E3906)&lt;4,"Ligne incomplète",IF(NOT(ISNUMBER(A3906)),"Date invalide",IF(AND(B3906&lt;&gt;"Entrée",B3906&lt;&gt;"Sortie"),"Type inconnu",IF(ISNA(MATCH(C3906,art_ref,0)),"Référence inconnue",IF(OR(NOT(ISNUMBER(E3906)),N(E3906)&lt;=0),"Quantité invalide",IF(K3906&lt;0,"Stock négatif",IF(AND(ISNUMBER(A3905),A3906&lt;A3905),"Date hors ordre","OK"))))))))</f>
        <v/>
      </c>
      <c r="M3906" s="39" t="str">
        <f>IF(C3906="","",C3906&amp;"#"&amp;COUNTIF($C$5:C3906,C3906))</f>
        <v/>
      </c>
    </row>
    <row r="3907">
      <c r="A3907" s="41" t="n"/>
      <c r="B3907" s="37" t="n"/>
      <c r="C3907" s="37" t="n"/>
      <c r="D3907" s="39" t="str">
        <f>IF(C3907="","",IFERROR(INDEX(art_des,MATCH(C3907,art_ref,0))&amp;"","Référence inconnue"))</f>
        <v/>
      </c>
      <c r="E3907" s="37" t="n"/>
      <c r="F3907" s="39" t="str">
        <f>IF(C3907="","",IFERROR(INDEX(art_unit,MATCH(C3907,art_ref,0))&amp;"",""))</f>
        <v/>
      </c>
      <c r="G3907" s="37" t="n"/>
      <c r="H3907" s="37" t="n"/>
      <c r="I3907" s="37" t="n"/>
      <c r="J3907" s="40" t="str">
        <f>IF(OR(C3907="",NOT(ISNUMBER(E3907))),"",IFERROR(E3907*N(INDEX(art_price,MATCH(C3907,art_ref,0))),""))</f>
        <v/>
      </c>
      <c r="K3907" s="39" t="str">
        <f>IF(OR(C3907="",NOT(ISNUMBER(E3907))),"",IFERROR(ROUND(N(INDEX(art_init,MATCH(C3907,art_ref,0)))+SUMIFS($E$5:E3907,$C$5:C3907,C3907,$B$5:B3907,"Entrée")-SUMIFS($E$5:E3907,$C$5:C3907,C3907,$B$5:B3907,"Sortie"),6),""))</f>
        <v/>
      </c>
      <c r="L3907" s="39" t="str">
        <f>IF(COUNTA(A3907:C3907,E3907)=0,"",IF(COUNTA(A3907:C3907,E3907)&lt;4,"Ligne incomplète",IF(NOT(ISNUMBER(A3907)),"Date invalide",IF(AND(B3907&lt;&gt;"Entrée",B3907&lt;&gt;"Sortie"),"Type inconnu",IF(ISNA(MATCH(C3907,art_ref,0)),"Référence inconnue",IF(OR(NOT(ISNUMBER(E3907)),N(E3907)&lt;=0),"Quantité invalide",IF(K3907&lt;0,"Stock négatif",IF(AND(ISNUMBER(A3906),A3907&lt;A3906),"Date hors ordre","OK"))))))))</f>
        <v/>
      </c>
      <c r="M3907" s="39" t="str">
        <f>IF(C3907="","",C3907&amp;"#"&amp;COUNTIF($C$5:C3907,C3907))</f>
        <v/>
      </c>
    </row>
    <row r="3908">
      <c r="A3908" s="41" t="n"/>
      <c r="B3908" s="37" t="n"/>
      <c r="C3908" s="37" t="n"/>
      <c r="D3908" s="39" t="str">
        <f>IF(C3908="","",IFERROR(INDEX(art_des,MATCH(C3908,art_ref,0))&amp;"","Référence inconnue"))</f>
        <v/>
      </c>
      <c r="E3908" s="37" t="n"/>
      <c r="F3908" s="39" t="str">
        <f>IF(C3908="","",IFERROR(INDEX(art_unit,MATCH(C3908,art_ref,0))&amp;"",""))</f>
        <v/>
      </c>
      <c r="G3908" s="37" t="n"/>
      <c r="H3908" s="37" t="n"/>
      <c r="I3908" s="37" t="n"/>
      <c r="J3908" s="40" t="str">
        <f>IF(OR(C3908="",NOT(ISNUMBER(E3908))),"",IFERROR(E3908*N(INDEX(art_price,MATCH(C3908,art_ref,0))),""))</f>
        <v/>
      </c>
      <c r="K3908" s="39" t="str">
        <f>IF(OR(C3908="",NOT(ISNUMBER(E3908))),"",IFERROR(ROUND(N(INDEX(art_init,MATCH(C3908,art_ref,0)))+SUMIFS($E$5:E3908,$C$5:C3908,C3908,$B$5:B3908,"Entrée")-SUMIFS($E$5:E3908,$C$5:C3908,C3908,$B$5:B3908,"Sortie"),6),""))</f>
        <v/>
      </c>
      <c r="L3908" s="39" t="str">
        <f>IF(COUNTA(A3908:C3908,E3908)=0,"",IF(COUNTA(A3908:C3908,E3908)&lt;4,"Ligne incomplète",IF(NOT(ISNUMBER(A3908)),"Date invalide",IF(AND(B3908&lt;&gt;"Entrée",B3908&lt;&gt;"Sortie"),"Type inconnu",IF(ISNA(MATCH(C3908,art_ref,0)),"Référence inconnue",IF(OR(NOT(ISNUMBER(E3908)),N(E3908)&lt;=0),"Quantité invalide",IF(K3908&lt;0,"Stock négatif",IF(AND(ISNUMBER(A3907),A3908&lt;A3907),"Date hors ordre","OK"))))))))</f>
        <v/>
      </c>
      <c r="M3908" s="39" t="str">
        <f>IF(C3908="","",C3908&amp;"#"&amp;COUNTIF($C$5:C3908,C3908))</f>
        <v/>
      </c>
    </row>
    <row r="3909">
      <c r="A3909" s="41" t="n"/>
      <c r="B3909" s="37" t="n"/>
      <c r="C3909" s="37" t="n"/>
      <c r="D3909" s="39" t="str">
        <f>IF(C3909="","",IFERROR(INDEX(art_des,MATCH(C3909,art_ref,0))&amp;"","Référence inconnue"))</f>
        <v/>
      </c>
      <c r="E3909" s="37" t="n"/>
      <c r="F3909" s="39" t="str">
        <f>IF(C3909="","",IFERROR(INDEX(art_unit,MATCH(C3909,art_ref,0))&amp;"",""))</f>
        <v/>
      </c>
      <c r="G3909" s="37" t="n"/>
      <c r="H3909" s="37" t="n"/>
      <c r="I3909" s="37" t="n"/>
      <c r="J3909" s="40" t="str">
        <f>IF(OR(C3909="",NOT(ISNUMBER(E3909))),"",IFERROR(E3909*N(INDEX(art_price,MATCH(C3909,art_ref,0))),""))</f>
        <v/>
      </c>
      <c r="K3909" s="39" t="str">
        <f>IF(OR(C3909="",NOT(ISNUMBER(E3909))),"",IFERROR(ROUND(N(INDEX(art_init,MATCH(C3909,art_ref,0)))+SUMIFS($E$5:E3909,$C$5:C3909,C3909,$B$5:B3909,"Entrée")-SUMIFS($E$5:E3909,$C$5:C3909,C3909,$B$5:B3909,"Sortie"),6),""))</f>
        <v/>
      </c>
      <c r="L3909" s="39" t="str">
        <f>IF(COUNTA(A3909:C3909,E3909)=0,"",IF(COUNTA(A3909:C3909,E3909)&lt;4,"Ligne incomplète",IF(NOT(ISNUMBER(A3909)),"Date invalide",IF(AND(B3909&lt;&gt;"Entrée",B3909&lt;&gt;"Sortie"),"Type inconnu",IF(ISNA(MATCH(C3909,art_ref,0)),"Référence inconnue",IF(OR(NOT(ISNUMBER(E3909)),N(E3909)&lt;=0),"Quantité invalide",IF(K3909&lt;0,"Stock négatif",IF(AND(ISNUMBER(A3908),A3909&lt;A3908),"Date hors ordre","OK"))))))))</f>
        <v/>
      </c>
      <c r="M3909" s="39" t="str">
        <f>IF(C3909="","",C3909&amp;"#"&amp;COUNTIF($C$5:C3909,C3909))</f>
        <v/>
      </c>
    </row>
    <row r="3910">
      <c r="A3910" s="41" t="n"/>
      <c r="B3910" s="37" t="n"/>
      <c r="C3910" s="37" t="n"/>
      <c r="D3910" s="39" t="str">
        <f>IF(C3910="","",IFERROR(INDEX(art_des,MATCH(C3910,art_ref,0))&amp;"","Référence inconnue"))</f>
        <v/>
      </c>
      <c r="E3910" s="37" t="n"/>
      <c r="F3910" s="39" t="str">
        <f>IF(C3910="","",IFERROR(INDEX(art_unit,MATCH(C3910,art_ref,0))&amp;"",""))</f>
        <v/>
      </c>
      <c r="G3910" s="37" t="n"/>
      <c r="H3910" s="37" t="n"/>
      <c r="I3910" s="37" t="n"/>
      <c r="J3910" s="40" t="str">
        <f>IF(OR(C3910="",NOT(ISNUMBER(E3910))),"",IFERROR(E3910*N(INDEX(art_price,MATCH(C3910,art_ref,0))),""))</f>
        <v/>
      </c>
      <c r="K3910" s="39" t="str">
        <f>IF(OR(C3910="",NOT(ISNUMBER(E3910))),"",IFERROR(ROUND(N(INDEX(art_init,MATCH(C3910,art_ref,0)))+SUMIFS($E$5:E3910,$C$5:C3910,C3910,$B$5:B3910,"Entrée")-SUMIFS($E$5:E3910,$C$5:C3910,C3910,$B$5:B3910,"Sortie"),6),""))</f>
        <v/>
      </c>
      <c r="L3910" s="39" t="str">
        <f>IF(COUNTA(A3910:C3910,E3910)=0,"",IF(COUNTA(A3910:C3910,E3910)&lt;4,"Ligne incomplète",IF(NOT(ISNUMBER(A3910)),"Date invalide",IF(AND(B3910&lt;&gt;"Entrée",B3910&lt;&gt;"Sortie"),"Type inconnu",IF(ISNA(MATCH(C3910,art_ref,0)),"Référence inconnue",IF(OR(NOT(ISNUMBER(E3910)),N(E3910)&lt;=0),"Quantité invalide",IF(K3910&lt;0,"Stock négatif",IF(AND(ISNUMBER(A3909),A3910&lt;A3909),"Date hors ordre","OK"))))))))</f>
        <v/>
      </c>
      <c r="M3910" s="39" t="str">
        <f>IF(C3910="","",C3910&amp;"#"&amp;COUNTIF($C$5:C3910,C3910))</f>
        <v/>
      </c>
    </row>
    <row r="3911">
      <c r="A3911" s="41" t="n"/>
      <c r="B3911" s="37" t="n"/>
      <c r="C3911" s="37" t="n"/>
      <c r="D3911" s="39" t="str">
        <f>IF(C3911="","",IFERROR(INDEX(art_des,MATCH(C3911,art_ref,0))&amp;"","Référence inconnue"))</f>
        <v/>
      </c>
      <c r="E3911" s="37" t="n"/>
      <c r="F3911" s="39" t="str">
        <f>IF(C3911="","",IFERROR(INDEX(art_unit,MATCH(C3911,art_ref,0))&amp;"",""))</f>
        <v/>
      </c>
      <c r="G3911" s="37" t="n"/>
      <c r="H3911" s="37" t="n"/>
      <c r="I3911" s="37" t="n"/>
      <c r="J3911" s="40" t="str">
        <f>IF(OR(C3911="",NOT(ISNUMBER(E3911))),"",IFERROR(E3911*N(INDEX(art_price,MATCH(C3911,art_ref,0))),""))</f>
        <v/>
      </c>
      <c r="K3911" s="39" t="str">
        <f>IF(OR(C3911="",NOT(ISNUMBER(E3911))),"",IFERROR(ROUND(N(INDEX(art_init,MATCH(C3911,art_ref,0)))+SUMIFS($E$5:E3911,$C$5:C3911,C3911,$B$5:B3911,"Entrée")-SUMIFS($E$5:E3911,$C$5:C3911,C3911,$B$5:B3911,"Sortie"),6),""))</f>
        <v/>
      </c>
      <c r="L3911" s="39" t="str">
        <f>IF(COUNTA(A3911:C3911,E3911)=0,"",IF(COUNTA(A3911:C3911,E3911)&lt;4,"Ligne incomplète",IF(NOT(ISNUMBER(A3911)),"Date invalide",IF(AND(B3911&lt;&gt;"Entrée",B3911&lt;&gt;"Sortie"),"Type inconnu",IF(ISNA(MATCH(C3911,art_ref,0)),"Référence inconnue",IF(OR(NOT(ISNUMBER(E3911)),N(E3911)&lt;=0),"Quantité invalide",IF(K3911&lt;0,"Stock négatif",IF(AND(ISNUMBER(A3910),A3911&lt;A3910),"Date hors ordre","OK"))))))))</f>
        <v/>
      </c>
      <c r="M3911" s="39" t="str">
        <f>IF(C3911="","",C3911&amp;"#"&amp;COUNTIF($C$5:C3911,C3911))</f>
        <v/>
      </c>
    </row>
    <row r="3912">
      <c r="A3912" s="41" t="n"/>
      <c r="B3912" s="37" t="n"/>
      <c r="C3912" s="37" t="n"/>
      <c r="D3912" s="39" t="str">
        <f>IF(C3912="","",IFERROR(INDEX(art_des,MATCH(C3912,art_ref,0))&amp;"","Référence inconnue"))</f>
        <v/>
      </c>
      <c r="E3912" s="37" t="n"/>
      <c r="F3912" s="39" t="str">
        <f>IF(C3912="","",IFERROR(INDEX(art_unit,MATCH(C3912,art_ref,0))&amp;"",""))</f>
        <v/>
      </c>
      <c r="G3912" s="37" t="n"/>
      <c r="H3912" s="37" t="n"/>
      <c r="I3912" s="37" t="n"/>
      <c r="J3912" s="40" t="str">
        <f>IF(OR(C3912="",NOT(ISNUMBER(E3912))),"",IFERROR(E3912*N(INDEX(art_price,MATCH(C3912,art_ref,0))),""))</f>
        <v/>
      </c>
      <c r="K3912" s="39" t="str">
        <f>IF(OR(C3912="",NOT(ISNUMBER(E3912))),"",IFERROR(ROUND(N(INDEX(art_init,MATCH(C3912,art_ref,0)))+SUMIFS($E$5:E3912,$C$5:C3912,C3912,$B$5:B3912,"Entrée")-SUMIFS($E$5:E3912,$C$5:C3912,C3912,$B$5:B3912,"Sortie"),6),""))</f>
        <v/>
      </c>
      <c r="L3912" s="39" t="str">
        <f>IF(COUNTA(A3912:C3912,E3912)=0,"",IF(COUNTA(A3912:C3912,E3912)&lt;4,"Ligne incomplète",IF(NOT(ISNUMBER(A3912)),"Date invalide",IF(AND(B3912&lt;&gt;"Entrée",B3912&lt;&gt;"Sortie"),"Type inconnu",IF(ISNA(MATCH(C3912,art_ref,0)),"Référence inconnue",IF(OR(NOT(ISNUMBER(E3912)),N(E3912)&lt;=0),"Quantité invalide",IF(K3912&lt;0,"Stock négatif",IF(AND(ISNUMBER(A3911),A3912&lt;A3911),"Date hors ordre","OK"))))))))</f>
        <v/>
      </c>
      <c r="M3912" s="39" t="str">
        <f>IF(C3912="","",C3912&amp;"#"&amp;COUNTIF($C$5:C3912,C3912))</f>
        <v/>
      </c>
    </row>
    <row r="3913">
      <c r="A3913" s="41" t="n"/>
      <c r="B3913" s="37" t="n"/>
      <c r="C3913" s="37" t="n"/>
      <c r="D3913" s="39" t="str">
        <f>IF(C3913="","",IFERROR(INDEX(art_des,MATCH(C3913,art_ref,0))&amp;"","Référence inconnue"))</f>
        <v/>
      </c>
      <c r="E3913" s="37" t="n"/>
      <c r="F3913" s="39" t="str">
        <f>IF(C3913="","",IFERROR(INDEX(art_unit,MATCH(C3913,art_ref,0))&amp;"",""))</f>
        <v/>
      </c>
      <c r="G3913" s="37" t="n"/>
      <c r="H3913" s="37" t="n"/>
      <c r="I3913" s="37" t="n"/>
      <c r="J3913" s="40" t="str">
        <f>IF(OR(C3913="",NOT(ISNUMBER(E3913))),"",IFERROR(E3913*N(INDEX(art_price,MATCH(C3913,art_ref,0))),""))</f>
        <v/>
      </c>
      <c r="K3913" s="39" t="str">
        <f>IF(OR(C3913="",NOT(ISNUMBER(E3913))),"",IFERROR(ROUND(N(INDEX(art_init,MATCH(C3913,art_ref,0)))+SUMIFS($E$5:E3913,$C$5:C3913,C3913,$B$5:B3913,"Entrée")-SUMIFS($E$5:E3913,$C$5:C3913,C3913,$B$5:B3913,"Sortie"),6),""))</f>
        <v/>
      </c>
      <c r="L3913" s="39" t="str">
        <f>IF(COUNTA(A3913:C3913,E3913)=0,"",IF(COUNTA(A3913:C3913,E3913)&lt;4,"Ligne incomplète",IF(NOT(ISNUMBER(A3913)),"Date invalide",IF(AND(B3913&lt;&gt;"Entrée",B3913&lt;&gt;"Sortie"),"Type inconnu",IF(ISNA(MATCH(C3913,art_ref,0)),"Référence inconnue",IF(OR(NOT(ISNUMBER(E3913)),N(E3913)&lt;=0),"Quantité invalide",IF(K3913&lt;0,"Stock négatif",IF(AND(ISNUMBER(A3912),A3913&lt;A3912),"Date hors ordre","OK"))))))))</f>
        <v/>
      </c>
      <c r="M3913" s="39" t="str">
        <f>IF(C3913="","",C3913&amp;"#"&amp;COUNTIF($C$5:C3913,C3913))</f>
        <v/>
      </c>
    </row>
    <row r="3914">
      <c r="A3914" s="41" t="n"/>
      <c r="B3914" s="37" t="n"/>
      <c r="C3914" s="37" t="n"/>
      <c r="D3914" s="39" t="str">
        <f>IF(C3914="","",IFERROR(INDEX(art_des,MATCH(C3914,art_ref,0))&amp;"","Référence inconnue"))</f>
        <v/>
      </c>
      <c r="E3914" s="37" t="n"/>
      <c r="F3914" s="39" t="str">
        <f>IF(C3914="","",IFERROR(INDEX(art_unit,MATCH(C3914,art_ref,0))&amp;"",""))</f>
        <v/>
      </c>
      <c r="G3914" s="37" t="n"/>
      <c r="H3914" s="37" t="n"/>
      <c r="I3914" s="37" t="n"/>
      <c r="J3914" s="40" t="str">
        <f>IF(OR(C3914="",NOT(ISNUMBER(E3914))),"",IFERROR(E3914*N(INDEX(art_price,MATCH(C3914,art_ref,0))),""))</f>
        <v/>
      </c>
      <c r="K3914" s="39" t="str">
        <f>IF(OR(C3914="",NOT(ISNUMBER(E3914))),"",IFERROR(ROUND(N(INDEX(art_init,MATCH(C3914,art_ref,0)))+SUMIFS($E$5:E3914,$C$5:C3914,C3914,$B$5:B3914,"Entrée")-SUMIFS($E$5:E3914,$C$5:C3914,C3914,$B$5:B3914,"Sortie"),6),""))</f>
        <v/>
      </c>
      <c r="L3914" s="39" t="str">
        <f>IF(COUNTA(A3914:C3914,E3914)=0,"",IF(COUNTA(A3914:C3914,E3914)&lt;4,"Ligne incomplète",IF(NOT(ISNUMBER(A3914)),"Date invalide",IF(AND(B3914&lt;&gt;"Entrée",B3914&lt;&gt;"Sortie"),"Type inconnu",IF(ISNA(MATCH(C3914,art_ref,0)),"Référence inconnue",IF(OR(NOT(ISNUMBER(E3914)),N(E3914)&lt;=0),"Quantité invalide",IF(K3914&lt;0,"Stock négatif",IF(AND(ISNUMBER(A3913),A3914&lt;A3913),"Date hors ordre","OK"))))))))</f>
        <v/>
      </c>
      <c r="M3914" s="39" t="str">
        <f>IF(C3914="","",C3914&amp;"#"&amp;COUNTIF($C$5:C3914,C3914))</f>
        <v/>
      </c>
    </row>
    <row r="3915">
      <c r="A3915" s="41" t="n"/>
      <c r="B3915" s="37" t="n"/>
      <c r="C3915" s="37" t="n"/>
      <c r="D3915" s="39" t="str">
        <f>IF(C3915="","",IFERROR(INDEX(art_des,MATCH(C3915,art_ref,0))&amp;"","Référence inconnue"))</f>
        <v/>
      </c>
      <c r="E3915" s="37" t="n"/>
      <c r="F3915" s="39" t="str">
        <f>IF(C3915="","",IFERROR(INDEX(art_unit,MATCH(C3915,art_ref,0))&amp;"",""))</f>
        <v/>
      </c>
      <c r="G3915" s="37" t="n"/>
      <c r="H3915" s="37" t="n"/>
      <c r="I3915" s="37" t="n"/>
      <c r="J3915" s="40" t="str">
        <f>IF(OR(C3915="",NOT(ISNUMBER(E3915))),"",IFERROR(E3915*N(INDEX(art_price,MATCH(C3915,art_ref,0))),""))</f>
        <v/>
      </c>
      <c r="K3915" s="39" t="str">
        <f>IF(OR(C3915="",NOT(ISNUMBER(E3915))),"",IFERROR(ROUND(N(INDEX(art_init,MATCH(C3915,art_ref,0)))+SUMIFS($E$5:E3915,$C$5:C3915,C3915,$B$5:B3915,"Entrée")-SUMIFS($E$5:E3915,$C$5:C3915,C3915,$B$5:B3915,"Sortie"),6),""))</f>
        <v/>
      </c>
      <c r="L3915" s="39" t="str">
        <f>IF(COUNTA(A3915:C3915,E3915)=0,"",IF(COUNTA(A3915:C3915,E3915)&lt;4,"Ligne incomplète",IF(NOT(ISNUMBER(A3915)),"Date invalide",IF(AND(B3915&lt;&gt;"Entrée",B3915&lt;&gt;"Sortie"),"Type inconnu",IF(ISNA(MATCH(C3915,art_ref,0)),"Référence inconnue",IF(OR(NOT(ISNUMBER(E3915)),N(E3915)&lt;=0),"Quantité invalide",IF(K3915&lt;0,"Stock négatif",IF(AND(ISNUMBER(A3914),A3915&lt;A3914),"Date hors ordre","OK"))))))))</f>
        <v/>
      </c>
      <c r="M3915" s="39" t="str">
        <f>IF(C3915="","",C3915&amp;"#"&amp;COUNTIF($C$5:C3915,C3915))</f>
        <v/>
      </c>
    </row>
    <row r="3916">
      <c r="A3916" s="41" t="n"/>
      <c r="B3916" s="37" t="n"/>
      <c r="C3916" s="37" t="n"/>
      <c r="D3916" s="39" t="str">
        <f>IF(C3916="","",IFERROR(INDEX(art_des,MATCH(C3916,art_ref,0))&amp;"","Référence inconnue"))</f>
        <v/>
      </c>
      <c r="E3916" s="37" t="n"/>
      <c r="F3916" s="39" t="str">
        <f>IF(C3916="","",IFERROR(INDEX(art_unit,MATCH(C3916,art_ref,0))&amp;"",""))</f>
        <v/>
      </c>
      <c r="G3916" s="37" t="n"/>
      <c r="H3916" s="37" t="n"/>
      <c r="I3916" s="37" t="n"/>
      <c r="J3916" s="40" t="str">
        <f>IF(OR(C3916="",NOT(ISNUMBER(E3916))),"",IFERROR(E3916*N(INDEX(art_price,MATCH(C3916,art_ref,0))),""))</f>
        <v/>
      </c>
      <c r="K3916" s="39" t="str">
        <f>IF(OR(C3916="",NOT(ISNUMBER(E3916))),"",IFERROR(ROUND(N(INDEX(art_init,MATCH(C3916,art_ref,0)))+SUMIFS($E$5:E3916,$C$5:C3916,C3916,$B$5:B3916,"Entrée")-SUMIFS($E$5:E3916,$C$5:C3916,C3916,$B$5:B3916,"Sortie"),6),""))</f>
        <v/>
      </c>
      <c r="L3916" s="39" t="str">
        <f>IF(COUNTA(A3916:C3916,E3916)=0,"",IF(COUNTA(A3916:C3916,E3916)&lt;4,"Ligne incomplète",IF(NOT(ISNUMBER(A3916)),"Date invalide",IF(AND(B3916&lt;&gt;"Entrée",B3916&lt;&gt;"Sortie"),"Type inconnu",IF(ISNA(MATCH(C3916,art_ref,0)),"Référence inconnue",IF(OR(NOT(ISNUMBER(E3916)),N(E3916)&lt;=0),"Quantité invalide",IF(K3916&lt;0,"Stock négatif",IF(AND(ISNUMBER(A3915),A3916&lt;A3915),"Date hors ordre","OK"))))))))</f>
        <v/>
      </c>
      <c r="M3916" s="39" t="str">
        <f>IF(C3916="","",C3916&amp;"#"&amp;COUNTIF($C$5:C3916,C3916))</f>
        <v/>
      </c>
    </row>
    <row r="3917">
      <c r="A3917" s="41" t="n"/>
      <c r="B3917" s="37" t="n"/>
      <c r="C3917" s="37" t="n"/>
      <c r="D3917" s="39" t="str">
        <f>IF(C3917="","",IFERROR(INDEX(art_des,MATCH(C3917,art_ref,0))&amp;"","Référence inconnue"))</f>
        <v/>
      </c>
      <c r="E3917" s="37" t="n"/>
      <c r="F3917" s="39" t="str">
        <f>IF(C3917="","",IFERROR(INDEX(art_unit,MATCH(C3917,art_ref,0))&amp;"",""))</f>
        <v/>
      </c>
      <c r="G3917" s="37" t="n"/>
      <c r="H3917" s="37" t="n"/>
      <c r="I3917" s="37" t="n"/>
      <c r="J3917" s="40" t="str">
        <f>IF(OR(C3917="",NOT(ISNUMBER(E3917))),"",IFERROR(E3917*N(INDEX(art_price,MATCH(C3917,art_ref,0))),""))</f>
        <v/>
      </c>
      <c r="K3917" s="39" t="str">
        <f>IF(OR(C3917="",NOT(ISNUMBER(E3917))),"",IFERROR(ROUND(N(INDEX(art_init,MATCH(C3917,art_ref,0)))+SUMIFS($E$5:E3917,$C$5:C3917,C3917,$B$5:B3917,"Entrée")-SUMIFS($E$5:E3917,$C$5:C3917,C3917,$B$5:B3917,"Sortie"),6),""))</f>
        <v/>
      </c>
      <c r="L3917" s="39" t="str">
        <f>IF(COUNTA(A3917:C3917,E3917)=0,"",IF(COUNTA(A3917:C3917,E3917)&lt;4,"Ligne incomplète",IF(NOT(ISNUMBER(A3917)),"Date invalide",IF(AND(B3917&lt;&gt;"Entrée",B3917&lt;&gt;"Sortie"),"Type inconnu",IF(ISNA(MATCH(C3917,art_ref,0)),"Référence inconnue",IF(OR(NOT(ISNUMBER(E3917)),N(E3917)&lt;=0),"Quantité invalide",IF(K3917&lt;0,"Stock négatif",IF(AND(ISNUMBER(A3916),A3917&lt;A3916),"Date hors ordre","OK"))))))))</f>
        <v/>
      </c>
      <c r="M3917" s="39" t="str">
        <f>IF(C3917="","",C3917&amp;"#"&amp;COUNTIF($C$5:C3917,C3917))</f>
        <v/>
      </c>
    </row>
    <row r="3918">
      <c r="A3918" s="41" t="n"/>
      <c r="B3918" s="37" t="n"/>
      <c r="C3918" s="37" t="n"/>
      <c r="D3918" s="39" t="str">
        <f>IF(C3918="","",IFERROR(INDEX(art_des,MATCH(C3918,art_ref,0))&amp;"","Référence inconnue"))</f>
        <v/>
      </c>
      <c r="E3918" s="37" t="n"/>
      <c r="F3918" s="39" t="str">
        <f>IF(C3918="","",IFERROR(INDEX(art_unit,MATCH(C3918,art_ref,0))&amp;"",""))</f>
        <v/>
      </c>
      <c r="G3918" s="37" t="n"/>
      <c r="H3918" s="37" t="n"/>
      <c r="I3918" s="37" t="n"/>
      <c r="J3918" s="40" t="str">
        <f>IF(OR(C3918="",NOT(ISNUMBER(E3918))),"",IFERROR(E3918*N(INDEX(art_price,MATCH(C3918,art_ref,0))),""))</f>
        <v/>
      </c>
      <c r="K3918" s="39" t="str">
        <f>IF(OR(C3918="",NOT(ISNUMBER(E3918))),"",IFERROR(ROUND(N(INDEX(art_init,MATCH(C3918,art_ref,0)))+SUMIFS($E$5:E3918,$C$5:C3918,C3918,$B$5:B3918,"Entrée")-SUMIFS($E$5:E3918,$C$5:C3918,C3918,$B$5:B3918,"Sortie"),6),""))</f>
        <v/>
      </c>
      <c r="L3918" s="39" t="str">
        <f>IF(COUNTA(A3918:C3918,E3918)=0,"",IF(COUNTA(A3918:C3918,E3918)&lt;4,"Ligne incomplète",IF(NOT(ISNUMBER(A3918)),"Date invalide",IF(AND(B3918&lt;&gt;"Entrée",B3918&lt;&gt;"Sortie"),"Type inconnu",IF(ISNA(MATCH(C3918,art_ref,0)),"Référence inconnue",IF(OR(NOT(ISNUMBER(E3918)),N(E3918)&lt;=0),"Quantité invalide",IF(K3918&lt;0,"Stock négatif",IF(AND(ISNUMBER(A3917),A3918&lt;A3917),"Date hors ordre","OK"))))))))</f>
        <v/>
      </c>
      <c r="M3918" s="39" t="str">
        <f>IF(C3918="","",C3918&amp;"#"&amp;COUNTIF($C$5:C3918,C3918))</f>
        <v/>
      </c>
    </row>
    <row r="3919">
      <c r="A3919" s="41" t="n"/>
      <c r="B3919" s="37" t="n"/>
      <c r="C3919" s="37" t="n"/>
      <c r="D3919" s="39" t="str">
        <f>IF(C3919="","",IFERROR(INDEX(art_des,MATCH(C3919,art_ref,0))&amp;"","Référence inconnue"))</f>
        <v/>
      </c>
      <c r="E3919" s="37" t="n"/>
      <c r="F3919" s="39" t="str">
        <f>IF(C3919="","",IFERROR(INDEX(art_unit,MATCH(C3919,art_ref,0))&amp;"",""))</f>
        <v/>
      </c>
      <c r="G3919" s="37" t="n"/>
      <c r="H3919" s="37" t="n"/>
      <c r="I3919" s="37" t="n"/>
      <c r="J3919" s="40" t="str">
        <f>IF(OR(C3919="",NOT(ISNUMBER(E3919))),"",IFERROR(E3919*N(INDEX(art_price,MATCH(C3919,art_ref,0))),""))</f>
        <v/>
      </c>
      <c r="K3919" s="39" t="str">
        <f>IF(OR(C3919="",NOT(ISNUMBER(E3919))),"",IFERROR(ROUND(N(INDEX(art_init,MATCH(C3919,art_ref,0)))+SUMIFS($E$5:E3919,$C$5:C3919,C3919,$B$5:B3919,"Entrée")-SUMIFS($E$5:E3919,$C$5:C3919,C3919,$B$5:B3919,"Sortie"),6),""))</f>
        <v/>
      </c>
      <c r="L3919" s="39" t="str">
        <f>IF(COUNTA(A3919:C3919,E3919)=0,"",IF(COUNTA(A3919:C3919,E3919)&lt;4,"Ligne incomplète",IF(NOT(ISNUMBER(A3919)),"Date invalide",IF(AND(B3919&lt;&gt;"Entrée",B3919&lt;&gt;"Sortie"),"Type inconnu",IF(ISNA(MATCH(C3919,art_ref,0)),"Référence inconnue",IF(OR(NOT(ISNUMBER(E3919)),N(E3919)&lt;=0),"Quantité invalide",IF(K3919&lt;0,"Stock négatif",IF(AND(ISNUMBER(A3918),A3919&lt;A3918),"Date hors ordre","OK"))))))))</f>
        <v/>
      </c>
      <c r="M3919" s="39" t="str">
        <f>IF(C3919="","",C3919&amp;"#"&amp;COUNTIF($C$5:C3919,C3919))</f>
        <v/>
      </c>
    </row>
    <row r="3920">
      <c r="A3920" s="41" t="n"/>
      <c r="B3920" s="37" t="n"/>
      <c r="C3920" s="37" t="n"/>
      <c r="D3920" s="39" t="str">
        <f>IF(C3920="","",IFERROR(INDEX(art_des,MATCH(C3920,art_ref,0))&amp;"","Référence inconnue"))</f>
        <v/>
      </c>
      <c r="E3920" s="37" t="n"/>
      <c r="F3920" s="39" t="str">
        <f>IF(C3920="","",IFERROR(INDEX(art_unit,MATCH(C3920,art_ref,0))&amp;"",""))</f>
        <v/>
      </c>
      <c r="G3920" s="37" t="n"/>
      <c r="H3920" s="37" t="n"/>
      <c r="I3920" s="37" t="n"/>
      <c r="J3920" s="40" t="str">
        <f>IF(OR(C3920="",NOT(ISNUMBER(E3920))),"",IFERROR(E3920*N(INDEX(art_price,MATCH(C3920,art_ref,0))),""))</f>
        <v/>
      </c>
      <c r="K3920" s="39" t="str">
        <f>IF(OR(C3920="",NOT(ISNUMBER(E3920))),"",IFERROR(ROUND(N(INDEX(art_init,MATCH(C3920,art_ref,0)))+SUMIFS($E$5:E3920,$C$5:C3920,C3920,$B$5:B3920,"Entrée")-SUMIFS($E$5:E3920,$C$5:C3920,C3920,$B$5:B3920,"Sortie"),6),""))</f>
        <v/>
      </c>
      <c r="L3920" s="39" t="str">
        <f>IF(COUNTA(A3920:C3920,E3920)=0,"",IF(COUNTA(A3920:C3920,E3920)&lt;4,"Ligne incomplète",IF(NOT(ISNUMBER(A3920)),"Date invalide",IF(AND(B3920&lt;&gt;"Entrée",B3920&lt;&gt;"Sortie"),"Type inconnu",IF(ISNA(MATCH(C3920,art_ref,0)),"Référence inconnue",IF(OR(NOT(ISNUMBER(E3920)),N(E3920)&lt;=0),"Quantité invalide",IF(K3920&lt;0,"Stock négatif",IF(AND(ISNUMBER(A3919),A3920&lt;A3919),"Date hors ordre","OK"))))))))</f>
        <v/>
      </c>
      <c r="M3920" s="39" t="str">
        <f>IF(C3920="","",C3920&amp;"#"&amp;COUNTIF($C$5:C3920,C3920))</f>
        <v/>
      </c>
    </row>
    <row r="3921">
      <c r="A3921" s="41" t="n"/>
      <c r="B3921" s="37" t="n"/>
      <c r="C3921" s="37" t="n"/>
      <c r="D3921" s="39" t="str">
        <f>IF(C3921="","",IFERROR(INDEX(art_des,MATCH(C3921,art_ref,0))&amp;"","Référence inconnue"))</f>
        <v/>
      </c>
      <c r="E3921" s="37" t="n"/>
      <c r="F3921" s="39" t="str">
        <f>IF(C3921="","",IFERROR(INDEX(art_unit,MATCH(C3921,art_ref,0))&amp;"",""))</f>
        <v/>
      </c>
      <c r="G3921" s="37" t="n"/>
      <c r="H3921" s="37" t="n"/>
      <c r="I3921" s="37" t="n"/>
      <c r="J3921" s="40" t="str">
        <f>IF(OR(C3921="",NOT(ISNUMBER(E3921))),"",IFERROR(E3921*N(INDEX(art_price,MATCH(C3921,art_ref,0))),""))</f>
        <v/>
      </c>
      <c r="K3921" s="39" t="str">
        <f>IF(OR(C3921="",NOT(ISNUMBER(E3921))),"",IFERROR(ROUND(N(INDEX(art_init,MATCH(C3921,art_ref,0)))+SUMIFS($E$5:E3921,$C$5:C3921,C3921,$B$5:B3921,"Entrée")-SUMIFS($E$5:E3921,$C$5:C3921,C3921,$B$5:B3921,"Sortie"),6),""))</f>
        <v/>
      </c>
      <c r="L3921" s="39" t="str">
        <f>IF(COUNTA(A3921:C3921,E3921)=0,"",IF(COUNTA(A3921:C3921,E3921)&lt;4,"Ligne incomplète",IF(NOT(ISNUMBER(A3921)),"Date invalide",IF(AND(B3921&lt;&gt;"Entrée",B3921&lt;&gt;"Sortie"),"Type inconnu",IF(ISNA(MATCH(C3921,art_ref,0)),"Référence inconnue",IF(OR(NOT(ISNUMBER(E3921)),N(E3921)&lt;=0),"Quantité invalide",IF(K3921&lt;0,"Stock négatif",IF(AND(ISNUMBER(A3920),A3921&lt;A3920),"Date hors ordre","OK"))))))))</f>
        <v/>
      </c>
      <c r="M3921" s="39" t="str">
        <f>IF(C3921="","",C3921&amp;"#"&amp;COUNTIF($C$5:C3921,C3921))</f>
        <v/>
      </c>
    </row>
    <row r="3922">
      <c r="A3922" s="41" t="n"/>
      <c r="B3922" s="37" t="n"/>
      <c r="C3922" s="37" t="n"/>
      <c r="D3922" s="39" t="str">
        <f>IF(C3922="","",IFERROR(INDEX(art_des,MATCH(C3922,art_ref,0))&amp;"","Référence inconnue"))</f>
        <v/>
      </c>
      <c r="E3922" s="37" t="n"/>
      <c r="F3922" s="39" t="str">
        <f>IF(C3922="","",IFERROR(INDEX(art_unit,MATCH(C3922,art_ref,0))&amp;"",""))</f>
        <v/>
      </c>
      <c r="G3922" s="37" t="n"/>
      <c r="H3922" s="37" t="n"/>
      <c r="I3922" s="37" t="n"/>
      <c r="J3922" s="40" t="str">
        <f>IF(OR(C3922="",NOT(ISNUMBER(E3922))),"",IFERROR(E3922*N(INDEX(art_price,MATCH(C3922,art_ref,0))),""))</f>
        <v/>
      </c>
      <c r="K3922" s="39" t="str">
        <f>IF(OR(C3922="",NOT(ISNUMBER(E3922))),"",IFERROR(ROUND(N(INDEX(art_init,MATCH(C3922,art_ref,0)))+SUMIFS($E$5:E3922,$C$5:C3922,C3922,$B$5:B3922,"Entrée")-SUMIFS($E$5:E3922,$C$5:C3922,C3922,$B$5:B3922,"Sortie"),6),""))</f>
        <v/>
      </c>
      <c r="L3922" s="39" t="str">
        <f>IF(COUNTA(A3922:C3922,E3922)=0,"",IF(COUNTA(A3922:C3922,E3922)&lt;4,"Ligne incomplète",IF(NOT(ISNUMBER(A3922)),"Date invalide",IF(AND(B3922&lt;&gt;"Entrée",B3922&lt;&gt;"Sortie"),"Type inconnu",IF(ISNA(MATCH(C3922,art_ref,0)),"Référence inconnue",IF(OR(NOT(ISNUMBER(E3922)),N(E3922)&lt;=0),"Quantité invalide",IF(K3922&lt;0,"Stock négatif",IF(AND(ISNUMBER(A3921),A3922&lt;A3921),"Date hors ordre","OK"))))))))</f>
        <v/>
      </c>
      <c r="M3922" s="39" t="str">
        <f>IF(C3922="","",C3922&amp;"#"&amp;COUNTIF($C$5:C3922,C3922))</f>
        <v/>
      </c>
    </row>
    <row r="3923">
      <c r="A3923" s="41" t="n"/>
      <c r="B3923" s="37" t="n"/>
      <c r="C3923" s="37" t="n"/>
      <c r="D3923" s="39" t="str">
        <f>IF(C3923="","",IFERROR(INDEX(art_des,MATCH(C3923,art_ref,0))&amp;"","Référence inconnue"))</f>
        <v/>
      </c>
      <c r="E3923" s="37" t="n"/>
      <c r="F3923" s="39" t="str">
        <f>IF(C3923="","",IFERROR(INDEX(art_unit,MATCH(C3923,art_ref,0))&amp;"",""))</f>
        <v/>
      </c>
      <c r="G3923" s="37" t="n"/>
      <c r="H3923" s="37" t="n"/>
      <c r="I3923" s="37" t="n"/>
      <c r="J3923" s="40" t="str">
        <f>IF(OR(C3923="",NOT(ISNUMBER(E3923))),"",IFERROR(E3923*N(INDEX(art_price,MATCH(C3923,art_ref,0))),""))</f>
        <v/>
      </c>
      <c r="K3923" s="39" t="str">
        <f>IF(OR(C3923="",NOT(ISNUMBER(E3923))),"",IFERROR(ROUND(N(INDEX(art_init,MATCH(C3923,art_ref,0)))+SUMIFS($E$5:E3923,$C$5:C3923,C3923,$B$5:B3923,"Entrée")-SUMIFS($E$5:E3923,$C$5:C3923,C3923,$B$5:B3923,"Sortie"),6),""))</f>
        <v/>
      </c>
      <c r="L3923" s="39" t="str">
        <f>IF(COUNTA(A3923:C3923,E3923)=0,"",IF(COUNTA(A3923:C3923,E3923)&lt;4,"Ligne incomplète",IF(NOT(ISNUMBER(A3923)),"Date invalide",IF(AND(B3923&lt;&gt;"Entrée",B3923&lt;&gt;"Sortie"),"Type inconnu",IF(ISNA(MATCH(C3923,art_ref,0)),"Référence inconnue",IF(OR(NOT(ISNUMBER(E3923)),N(E3923)&lt;=0),"Quantité invalide",IF(K3923&lt;0,"Stock négatif",IF(AND(ISNUMBER(A3922),A3923&lt;A3922),"Date hors ordre","OK"))))))))</f>
        <v/>
      </c>
      <c r="M3923" s="39" t="str">
        <f>IF(C3923="","",C3923&amp;"#"&amp;COUNTIF($C$5:C3923,C3923))</f>
        <v/>
      </c>
    </row>
    <row r="3924">
      <c r="A3924" s="41" t="n"/>
      <c r="B3924" s="37" t="n"/>
      <c r="C3924" s="37" t="n"/>
      <c r="D3924" s="39" t="str">
        <f>IF(C3924="","",IFERROR(INDEX(art_des,MATCH(C3924,art_ref,0))&amp;"","Référence inconnue"))</f>
        <v/>
      </c>
      <c r="E3924" s="37" t="n"/>
      <c r="F3924" s="39" t="str">
        <f>IF(C3924="","",IFERROR(INDEX(art_unit,MATCH(C3924,art_ref,0))&amp;"",""))</f>
        <v/>
      </c>
      <c r="G3924" s="37" t="n"/>
      <c r="H3924" s="37" t="n"/>
      <c r="I3924" s="37" t="n"/>
      <c r="J3924" s="40" t="str">
        <f>IF(OR(C3924="",NOT(ISNUMBER(E3924))),"",IFERROR(E3924*N(INDEX(art_price,MATCH(C3924,art_ref,0))),""))</f>
        <v/>
      </c>
      <c r="K3924" s="39" t="str">
        <f>IF(OR(C3924="",NOT(ISNUMBER(E3924))),"",IFERROR(ROUND(N(INDEX(art_init,MATCH(C3924,art_ref,0)))+SUMIFS($E$5:E3924,$C$5:C3924,C3924,$B$5:B3924,"Entrée")-SUMIFS($E$5:E3924,$C$5:C3924,C3924,$B$5:B3924,"Sortie"),6),""))</f>
        <v/>
      </c>
      <c r="L3924" s="39" t="str">
        <f>IF(COUNTA(A3924:C3924,E3924)=0,"",IF(COUNTA(A3924:C3924,E3924)&lt;4,"Ligne incomplète",IF(NOT(ISNUMBER(A3924)),"Date invalide",IF(AND(B3924&lt;&gt;"Entrée",B3924&lt;&gt;"Sortie"),"Type inconnu",IF(ISNA(MATCH(C3924,art_ref,0)),"Référence inconnue",IF(OR(NOT(ISNUMBER(E3924)),N(E3924)&lt;=0),"Quantité invalide",IF(K3924&lt;0,"Stock négatif",IF(AND(ISNUMBER(A3923),A3924&lt;A3923),"Date hors ordre","OK"))))))))</f>
        <v/>
      </c>
      <c r="M3924" s="39" t="str">
        <f>IF(C3924="","",C3924&amp;"#"&amp;COUNTIF($C$5:C3924,C3924))</f>
        <v/>
      </c>
    </row>
    <row r="3925">
      <c r="A3925" s="41" t="n"/>
      <c r="B3925" s="37" t="n"/>
      <c r="C3925" s="37" t="n"/>
      <c r="D3925" s="39" t="str">
        <f>IF(C3925="","",IFERROR(INDEX(art_des,MATCH(C3925,art_ref,0))&amp;"","Référence inconnue"))</f>
        <v/>
      </c>
      <c r="E3925" s="37" t="n"/>
      <c r="F3925" s="39" t="str">
        <f>IF(C3925="","",IFERROR(INDEX(art_unit,MATCH(C3925,art_ref,0))&amp;"",""))</f>
        <v/>
      </c>
      <c r="G3925" s="37" t="n"/>
      <c r="H3925" s="37" t="n"/>
      <c r="I3925" s="37" t="n"/>
      <c r="J3925" s="40" t="str">
        <f>IF(OR(C3925="",NOT(ISNUMBER(E3925))),"",IFERROR(E3925*N(INDEX(art_price,MATCH(C3925,art_ref,0))),""))</f>
        <v/>
      </c>
      <c r="K3925" s="39" t="str">
        <f>IF(OR(C3925="",NOT(ISNUMBER(E3925))),"",IFERROR(ROUND(N(INDEX(art_init,MATCH(C3925,art_ref,0)))+SUMIFS($E$5:E3925,$C$5:C3925,C3925,$B$5:B3925,"Entrée")-SUMIFS($E$5:E3925,$C$5:C3925,C3925,$B$5:B3925,"Sortie"),6),""))</f>
        <v/>
      </c>
      <c r="L3925" s="39" t="str">
        <f>IF(COUNTA(A3925:C3925,E3925)=0,"",IF(COUNTA(A3925:C3925,E3925)&lt;4,"Ligne incomplète",IF(NOT(ISNUMBER(A3925)),"Date invalide",IF(AND(B3925&lt;&gt;"Entrée",B3925&lt;&gt;"Sortie"),"Type inconnu",IF(ISNA(MATCH(C3925,art_ref,0)),"Référence inconnue",IF(OR(NOT(ISNUMBER(E3925)),N(E3925)&lt;=0),"Quantité invalide",IF(K3925&lt;0,"Stock négatif",IF(AND(ISNUMBER(A3924),A3925&lt;A3924),"Date hors ordre","OK"))))))))</f>
        <v/>
      </c>
      <c r="M3925" s="39" t="str">
        <f>IF(C3925="","",C3925&amp;"#"&amp;COUNTIF($C$5:C3925,C3925))</f>
        <v/>
      </c>
    </row>
    <row r="3926">
      <c r="A3926" s="41" t="n"/>
      <c r="B3926" s="37" t="n"/>
      <c r="C3926" s="37" t="n"/>
      <c r="D3926" s="39" t="str">
        <f>IF(C3926="","",IFERROR(INDEX(art_des,MATCH(C3926,art_ref,0))&amp;"","Référence inconnue"))</f>
        <v/>
      </c>
      <c r="E3926" s="37" t="n"/>
      <c r="F3926" s="39" t="str">
        <f>IF(C3926="","",IFERROR(INDEX(art_unit,MATCH(C3926,art_ref,0))&amp;"",""))</f>
        <v/>
      </c>
      <c r="G3926" s="37" t="n"/>
      <c r="H3926" s="37" t="n"/>
      <c r="I3926" s="37" t="n"/>
      <c r="J3926" s="40" t="str">
        <f>IF(OR(C3926="",NOT(ISNUMBER(E3926))),"",IFERROR(E3926*N(INDEX(art_price,MATCH(C3926,art_ref,0))),""))</f>
        <v/>
      </c>
      <c r="K3926" s="39" t="str">
        <f>IF(OR(C3926="",NOT(ISNUMBER(E3926))),"",IFERROR(ROUND(N(INDEX(art_init,MATCH(C3926,art_ref,0)))+SUMIFS($E$5:E3926,$C$5:C3926,C3926,$B$5:B3926,"Entrée")-SUMIFS($E$5:E3926,$C$5:C3926,C3926,$B$5:B3926,"Sortie"),6),""))</f>
        <v/>
      </c>
      <c r="L3926" s="39" t="str">
        <f>IF(COUNTA(A3926:C3926,E3926)=0,"",IF(COUNTA(A3926:C3926,E3926)&lt;4,"Ligne incomplète",IF(NOT(ISNUMBER(A3926)),"Date invalide",IF(AND(B3926&lt;&gt;"Entrée",B3926&lt;&gt;"Sortie"),"Type inconnu",IF(ISNA(MATCH(C3926,art_ref,0)),"Référence inconnue",IF(OR(NOT(ISNUMBER(E3926)),N(E3926)&lt;=0),"Quantité invalide",IF(K3926&lt;0,"Stock négatif",IF(AND(ISNUMBER(A3925),A3926&lt;A3925),"Date hors ordre","OK"))))))))</f>
        <v/>
      </c>
      <c r="M3926" s="39" t="str">
        <f>IF(C3926="","",C3926&amp;"#"&amp;COUNTIF($C$5:C3926,C3926))</f>
        <v/>
      </c>
    </row>
    <row r="3927">
      <c r="A3927" s="41" t="n"/>
      <c r="B3927" s="37" t="n"/>
      <c r="C3927" s="37" t="n"/>
      <c r="D3927" s="39" t="str">
        <f>IF(C3927="","",IFERROR(INDEX(art_des,MATCH(C3927,art_ref,0))&amp;"","Référence inconnue"))</f>
        <v/>
      </c>
      <c r="E3927" s="37" t="n"/>
      <c r="F3927" s="39" t="str">
        <f>IF(C3927="","",IFERROR(INDEX(art_unit,MATCH(C3927,art_ref,0))&amp;"",""))</f>
        <v/>
      </c>
      <c r="G3927" s="37" t="n"/>
      <c r="H3927" s="37" t="n"/>
      <c r="I3927" s="37" t="n"/>
      <c r="J3927" s="40" t="str">
        <f>IF(OR(C3927="",NOT(ISNUMBER(E3927))),"",IFERROR(E3927*N(INDEX(art_price,MATCH(C3927,art_ref,0))),""))</f>
        <v/>
      </c>
      <c r="K3927" s="39" t="str">
        <f>IF(OR(C3927="",NOT(ISNUMBER(E3927))),"",IFERROR(ROUND(N(INDEX(art_init,MATCH(C3927,art_ref,0)))+SUMIFS($E$5:E3927,$C$5:C3927,C3927,$B$5:B3927,"Entrée")-SUMIFS($E$5:E3927,$C$5:C3927,C3927,$B$5:B3927,"Sortie"),6),""))</f>
        <v/>
      </c>
      <c r="L3927" s="39" t="str">
        <f>IF(COUNTA(A3927:C3927,E3927)=0,"",IF(COUNTA(A3927:C3927,E3927)&lt;4,"Ligne incomplète",IF(NOT(ISNUMBER(A3927)),"Date invalide",IF(AND(B3927&lt;&gt;"Entrée",B3927&lt;&gt;"Sortie"),"Type inconnu",IF(ISNA(MATCH(C3927,art_ref,0)),"Référence inconnue",IF(OR(NOT(ISNUMBER(E3927)),N(E3927)&lt;=0),"Quantité invalide",IF(K3927&lt;0,"Stock négatif",IF(AND(ISNUMBER(A3926),A3927&lt;A3926),"Date hors ordre","OK"))))))))</f>
        <v/>
      </c>
      <c r="M3927" s="39" t="str">
        <f>IF(C3927="","",C3927&amp;"#"&amp;COUNTIF($C$5:C3927,C3927))</f>
        <v/>
      </c>
    </row>
    <row r="3928">
      <c r="A3928" s="41" t="n"/>
      <c r="B3928" s="37" t="n"/>
      <c r="C3928" s="37" t="n"/>
      <c r="D3928" s="39" t="str">
        <f>IF(C3928="","",IFERROR(INDEX(art_des,MATCH(C3928,art_ref,0))&amp;"","Référence inconnue"))</f>
        <v/>
      </c>
      <c r="E3928" s="37" t="n"/>
      <c r="F3928" s="39" t="str">
        <f>IF(C3928="","",IFERROR(INDEX(art_unit,MATCH(C3928,art_ref,0))&amp;"",""))</f>
        <v/>
      </c>
      <c r="G3928" s="37" t="n"/>
      <c r="H3928" s="37" t="n"/>
      <c r="I3928" s="37" t="n"/>
      <c r="J3928" s="40" t="str">
        <f>IF(OR(C3928="",NOT(ISNUMBER(E3928))),"",IFERROR(E3928*N(INDEX(art_price,MATCH(C3928,art_ref,0))),""))</f>
        <v/>
      </c>
      <c r="K3928" s="39" t="str">
        <f>IF(OR(C3928="",NOT(ISNUMBER(E3928))),"",IFERROR(ROUND(N(INDEX(art_init,MATCH(C3928,art_ref,0)))+SUMIFS($E$5:E3928,$C$5:C3928,C3928,$B$5:B3928,"Entrée")-SUMIFS($E$5:E3928,$C$5:C3928,C3928,$B$5:B3928,"Sortie"),6),""))</f>
        <v/>
      </c>
      <c r="L3928" s="39" t="str">
        <f>IF(COUNTA(A3928:C3928,E3928)=0,"",IF(COUNTA(A3928:C3928,E3928)&lt;4,"Ligne incomplète",IF(NOT(ISNUMBER(A3928)),"Date invalide",IF(AND(B3928&lt;&gt;"Entrée",B3928&lt;&gt;"Sortie"),"Type inconnu",IF(ISNA(MATCH(C3928,art_ref,0)),"Référence inconnue",IF(OR(NOT(ISNUMBER(E3928)),N(E3928)&lt;=0),"Quantité invalide",IF(K3928&lt;0,"Stock négatif",IF(AND(ISNUMBER(A3927),A3928&lt;A3927),"Date hors ordre","OK"))))))))</f>
        <v/>
      </c>
      <c r="M3928" s="39" t="str">
        <f>IF(C3928="","",C3928&amp;"#"&amp;COUNTIF($C$5:C3928,C3928))</f>
        <v/>
      </c>
    </row>
    <row r="3929">
      <c r="A3929" s="41" t="n"/>
      <c r="B3929" s="37" t="n"/>
      <c r="C3929" s="37" t="n"/>
      <c r="D3929" s="39" t="str">
        <f>IF(C3929="","",IFERROR(INDEX(art_des,MATCH(C3929,art_ref,0))&amp;"","Référence inconnue"))</f>
        <v/>
      </c>
      <c r="E3929" s="37" t="n"/>
      <c r="F3929" s="39" t="str">
        <f>IF(C3929="","",IFERROR(INDEX(art_unit,MATCH(C3929,art_ref,0))&amp;"",""))</f>
        <v/>
      </c>
      <c r="G3929" s="37" t="n"/>
      <c r="H3929" s="37" t="n"/>
      <c r="I3929" s="37" t="n"/>
      <c r="J3929" s="40" t="str">
        <f>IF(OR(C3929="",NOT(ISNUMBER(E3929))),"",IFERROR(E3929*N(INDEX(art_price,MATCH(C3929,art_ref,0))),""))</f>
        <v/>
      </c>
      <c r="K3929" s="39" t="str">
        <f>IF(OR(C3929="",NOT(ISNUMBER(E3929))),"",IFERROR(ROUND(N(INDEX(art_init,MATCH(C3929,art_ref,0)))+SUMIFS($E$5:E3929,$C$5:C3929,C3929,$B$5:B3929,"Entrée")-SUMIFS($E$5:E3929,$C$5:C3929,C3929,$B$5:B3929,"Sortie"),6),""))</f>
        <v/>
      </c>
      <c r="L3929" s="39" t="str">
        <f>IF(COUNTA(A3929:C3929,E3929)=0,"",IF(COUNTA(A3929:C3929,E3929)&lt;4,"Ligne incomplète",IF(NOT(ISNUMBER(A3929)),"Date invalide",IF(AND(B3929&lt;&gt;"Entrée",B3929&lt;&gt;"Sortie"),"Type inconnu",IF(ISNA(MATCH(C3929,art_ref,0)),"Référence inconnue",IF(OR(NOT(ISNUMBER(E3929)),N(E3929)&lt;=0),"Quantité invalide",IF(K3929&lt;0,"Stock négatif",IF(AND(ISNUMBER(A3928),A3929&lt;A3928),"Date hors ordre","OK"))))))))</f>
        <v/>
      </c>
      <c r="M3929" s="39" t="str">
        <f>IF(C3929="","",C3929&amp;"#"&amp;COUNTIF($C$5:C3929,C3929))</f>
        <v/>
      </c>
    </row>
    <row r="3930">
      <c r="A3930" s="41" t="n"/>
      <c r="B3930" s="37" t="n"/>
      <c r="C3930" s="37" t="n"/>
      <c r="D3930" s="39" t="str">
        <f>IF(C3930="","",IFERROR(INDEX(art_des,MATCH(C3930,art_ref,0))&amp;"","Référence inconnue"))</f>
        <v/>
      </c>
      <c r="E3930" s="37" t="n"/>
      <c r="F3930" s="39" t="str">
        <f>IF(C3930="","",IFERROR(INDEX(art_unit,MATCH(C3930,art_ref,0))&amp;"",""))</f>
        <v/>
      </c>
      <c r="G3930" s="37" t="n"/>
      <c r="H3930" s="37" t="n"/>
      <c r="I3930" s="37" t="n"/>
      <c r="J3930" s="40" t="str">
        <f>IF(OR(C3930="",NOT(ISNUMBER(E3930))),"",IFERROR(E3930*N(INDEX(art_price,MATCH(C3930,art_ref,0))),""))</f>
        <v/>
      </c>
      <c r="K3930" s="39" t="str">
        <f>IF(OR(C3930="",NOT(ISNUMBER(E3930))),"",IFERROR(ROUND(N(INDEX(art_init,MATCH(C3930,art_ref,0)))+SUMIFS($E$5:E3930,$C$5:C3930,C3930,$B$5:B3930,"Entrée")-SUMIFS($E$5:E3930,$C$5:C3930,C3930,$B$5:B3930,"Sortie"),6),""))</f>
        <v/>
      </c>
      <c r="L3930" s="39" t="str">
        <f>IF(COUNTA(A3930:C3930,E3930)=0,"",IF(COUNTA(A3930:C3930,E3930)&lt;4,"Ligne incomplète",IF(NOT(ISNUMBER(A3930)),"Date invalide",IF(AND(B3930&lt;&gt;"Entrée",B3930&lt;&gt;"Sortie"),"Type inconnu",IF(ISNA(MATCH(C3930,art_ref,0)),"Référence inconnue",IF(OR(NOT(ISNUMBER(E3930)),N(E3930)&lt;=0),"Quantité invalide",IF(K3930&lt;0,"Stock négatif",IF(AND(ISNUMBER(A3929),A3930&lt;A3929),"Date hors ordre","OK"))))))))</f>
        <v/>
      </c>
      <c r="M3930" s="39" t="str">
        <f>IF(C3930="","",C3930&amp;"#"&amp;COUNTIF($C$5:C3930,C3930))</f>
        <v/>
      </c>
    </row>
    <row r="3931">
      <c r="A3931" s="41" t="n"/>
      <c r="B3931" s="37" t="n"/>
      <c r="C3931" s="37" t="n"/>
      <c r="D3931" s="39" t="str">
        <f>IF(C3931="","",IFERROR(INDEX(art_des,MATCH(C3931,art_ref,0))&amp;"","Référence inconnue"))</f>
        <v/>
      </c>
      <c r="E3931" s="37" t="n"/>
      <c r="F3931" s="39" t="str">
        <f>IF(C3931="","",IFERROR(INDEX(art_unit,MATCH(C3931,art_ref,0))&amp;"",""))</f>
        <v/>
      </c>
      <c r="G3931" s="37" t="n"/>
      <c r="H3931" s="37" t="n"/>
      <c r="I3931" s="37" t="n"/>
      <c r="J3931" s="40" t="str">
        <f>IF(OR(C3931="",NOT(ISNUMBER(E3931))),"",IFERROR(E3931*N(INDEX(art_price,MATCH(C3931,art_ref,0))),""))</f>
        <v/>
      </c>
      <c r="K3931" s="39" t="str">
        <f>IF(OR(C3931="",NOT(ISNUMBER(E3931))),"",IFERROR(ROUND(N(INDEX(art_init,MATCH(C3931,art_ref,0)))+SUMIFS($E$5:E3931,$C$5:C3931,C3931,$B$5:B3931,"Entrée")-SUMIFS($E$5:E3931,$C$5:C3931,C3931,$B$5:B3931,"Sortie"),6),""))</f>
        <v/>
      </c>
      <c r="L3931" s="39" t="str">
        <f>IF(COUNTA(A3931:C3931,E3931)=0,"",IF(COUNTA(A3931:C3931,E3931)&lt;4,"Ligne incomplète",IF(NOT(ISNUMBER(A3931)),"Date invalide",IF(AND(B3931&lt;&gt;"Entrée",B3931&lt;&gt;"Sortie"),"Type inconnu",IF(ISNA(MATCH(C3931,art_ref,0)),"Référence inconnue",IF(OR(NOT(ISNUMBER(E3931)),N(E3931)&lt;=0),"Quantité invalide",IF(K3931&lt;0,"Stock négatif",IF(AND(ISNUMBER(A3930),A3931&lt;A3930),"Date hors ordre","OK"))))))))</f>
        <v/>
      </c>
      <c r="M3931" s="39" t="str">
        <f>IF(C3931="","",C3931&amp;"#"&amp;COUNTIF($C$5:C3931,C3931))</f>
        <v/>
      </c>
    </row>
    <row r="3932">
      <c r="A3932" s="41" t="n"/>
      <c r="B3932" s="37" t="n"/>
      <c r="C3932" s="37" t="n"/>
      <c r="D3932" s="39" t="str">
        <f>IF(C3932="","",IFERROR(INDEX(art_des,MATCH(C3932,art_ref,0))&amp;"","Référence inconnue"))</f>
        <v/>
      </c>
      <c r="E3932" s="37" t="n"/>
      <c r="F3932" s="39" t="str">
        <f>IF(C3932="","",IFERROR(INDEX(art_unit,MATCH(C3932,art_ref,0))&amp;"",""))</f>
        <v/>
      </c>
      <c r="G3932" s="37" t="n"/>
      <c r="H3932" s="37" t="n"/>
      <c r="I3932" s="37" t="n"/>
      <c r="J3932" s="40" t="str">
        <f>IF(OR(C3932="",NOT(ISNUMBER(E3932))),"",IFERROR(E3932*N(INDEX(art_price,MATCH(C3932,art_ref,0))),""))</f>
        <v/>
      </c>
      <c r="K3932" s="39" t="str">
        <f>IF(OR(C3932="",NOT(ISNUMBER(E3932))),"",IFERROR(ROUND(N(INDEX(art_init,MATCH(C3932,art_ref,0)))+SUMIFS($E$5:E3932,$C$5:C3932,C3932,$B$5:B3932,"Entrée")-SUMIFS($E$5:E3932,$C$5:C3932,C3932,$B$5:B3932,"Sortie"),6),""))</f>
        <v/>
      </c>
      <c r="L3932" s="39" t="str">
        <f>IF(COUNTA(A3932:C3932,E3932)=0,"",IF(COUNTA(A3932:C3932,E3932)&lt;4,"Ligne incomplète",IF(NOT(ISNUMBER(A3932)),"Date invalide",IF(AND(B3932&lt;&gt;"Entrée",B3932&lt;&gt;"Sortie"),"Type inconnu",IF(ISNA(MATCH(C3932,art_ref,0)),"Référence inconnue",IF(OR(NOT(ISNUMBER(E3932)),N(E3932)&lt;=0),"Quantité invalide",IF(K3932&lt;0,"Stock négatif",IF(AND(ISNUMBER(A3931),A3932&lt;A3931),"Date hors ordre","OK"))))))))</f>
        <v/>
      </c>
      <c r="M3932" s="39" t="str">
        <f>IF(C3932="","",C3932&amp;"#"&amp;COUNTIF($C$5:C3932,C3932))</f>
        <v/>
      </c>
    </row>
    <row r="3933">
      <c r="A3933" s="41" t="n"/>
      <c r="B3933" s="37" t="n"/>
      <c r="C3933" s="37" t="n"/>
      <c r="D3933" s="39" t="str">
        <f>IF(C3933="","",IFERROR(INDEX(art_des,MATCH(C3933,art_ref,0))&amp;"","Référence inconnue"))</f>
        <v/>
      </c>
      <c r="E3933" s="37" t="n"/>
      <c r="F3933" s="39" t="str">
        <f>IF(C3933="","",IFERROR(INDEX(art_unit,MATCH(C3933,art_ref,0))&amp;"",""))</f>
        <v/>
      </c>
      <c r="G3933" s="37" t="n"/>
      <c r="H3933" s="37" t="n"/>
      <c r="I3933" s="37" t="n"/>
      <c r="J3933" s="40" t="str">
        <f>IF(OR(C3933="",NOT(ISNUMBER(E3933))),"",IFERROR(E3933*N(INDEX(art_price,MATCH(C3933,art_ref,0))),""))</f>
        <v/>
      </c>
      <c r="K3933" s="39" t="str">
        <f>IF(OR(C3933="",NOT(ISNUMBER(E3933))),"",IFERROR(ROUND(N(INDEX(art_init,MATCH(C3933,art_ref,0)))+SUMIFS($E$5:E3933,$C$5:C3933,C3933,$B$5:B3933,"Entrée")-SUMIFS($E$5:E3933,$C$5:C3933,C3933,$B$5:B3933,"Sortie"),6),""))</f>
        <v/>
      </c>
      <c r="L3933" s="39" t="str">
        <f>IF(COUNTA(A3933:C3933,E3933)=0,"",IF(COUNTA(A3933:C3933,E3933)&lt;4,"Ligne incomplète",IF(NOT(ISNUMBER(A3933)),"Date invalide",IF(AND(B3933&lt;&gt;"Entrée",B3933&lt;&gt;"Sortie"),"Type inconnu",IF(ISNA(MATCH(C3933,art_ref,0)),"Référence inconnue",IF(OR(NOT(ISNUMBER(E3933)),N(E3933)&lt;=0),"Quantité invalide",IF(K3933&lt;0,"Stock négatif",IF(AND(ISNUMBER(A3932),A3933&lt;A3932),"Date hors ordre","OK"))))))))</f>
        <v/>
      </c>
      <c r="M3933" s="39" t="str">
        <f>IF(C3933="","",C3933&amp;"#"&amp;COUNTIF($C$5:C3933,C3933))</f>
        <v/>
      </c>
    </row>
    <row r="3934">
      <c r="A3934" s="41" t="n"/>
      <c r="B3934" s="37" t="n"/>
      <c r="C3934" s="37" t="n"/>
      <c r="D3934" s="39" t="str">
        <f>IF(C3934="","",IFERROR(INDEX(art_des,MATCH(C3934,art_ref,0))&amp;"","Référence inconnue"))</f>
        <v/>
      </c>
      <c r="E3934" s="37" t="n"/>
      <c r="F3934" s="39" t="str">
        <f>IF(C3934="","",IFERROR(INDEX(art_unit,MATCH(C3934,art_ref,0))&amp;"",""))</f>
        <v/>
      </c>
      <c r="G3934" s="37" t="n"/>
      <c r="H3934" s="37" t="n"/>
      <c r="I3934" s="37" t="n"/>
      <c r="J3934" s="40" t="str">
        <f>IF(OR(C3934="",NOT(ISNUMBER(E3934))),"",IFERROR(E3934*N(INDEX(art_price,MATCH(C3934,art_ref,0))),""))</f>
        <v/>
      </c>
      <c r="K3934" s="39" t="str">
        <f>IF(OR(C3934="",NOT(ISNUMBER(E3934))),"",IFERROR(ROUND(N(INDEX(art_init,MATCH(C3934,art_ref,0)))+SUMIFS($E$5:E3934,$C$5:C3934,C3934,$B$5:B3934,"Entrée")-SUMIFS($E$5:E3934,$C$5:C3934,C3934,$B$5:B3934,"Sortie"),6),""))</f>
        <v/>
      </c>
      <c r="L3934" s="39" t="str">
        <f>IF(COUNTA(A3934:C3934,E3934)=0,"",IF(COUNTA(A3934:C3934,E3934)&lt;4,"Ligne incomplète",IF(NOT(ISNUMBER(A3934)),"Date invalide",IF(AND(B3934&lt;&gt;"Entrée",B3934&lt;&gt;"Sortie"),"Type inconnu",IF(ISNA(MATCH(C3934,art_ref,0)),"Référence inconnue",IF(OR(NOT(ISNUMBER(E3934)),N(E3934)&lt;=0),"Quantité invalide",IF(K3934&lt;0,"Stock négatif",IF(AND(ISNUMBER(A3933),A3934&lt;A3933),"Date hors ordre","OK"))))))))</f>
        <v/>
      </c>
      <c r="M3934" s="39" t="str">
        <f>IF(C3934="","",C3934&amp;"#"&amp;COUNTIF($C$5:C3934,C3934))</f>
        <v/>
      </c>
    </row>
    <row r="3935">
      <c r="A3935" s="41" t="n"/>
      <c r="B3935" s="37" t="n"/>
      <c r="C3935" s="37" t="n"/>
      <c r="D3935" s="39" t="str">
        <f>IF(C3935="","",IFERROR(INDEX(art_des,MATCH(C3935,art_ref,0))&amp;"","Référence inconnue"))</f>
        <v/>
      </c>
      <c r="E3935" s="37" t="n"/>
      <c r="F3935" s="39" t="str">
        <f>IF(C3935="","",IFERROR(INDEX(art_unit,MATCH(C3935,art_ref,0))&amp;"",""))</f>
        <v/>
      </c>
      <c r="G3935" s="37" t="n"/>
      <c r="H3935" s="37" t="n"/>
      <c r="I3935" s="37" t="n"/>
      <c r="J3935" s="40" t="str">
        <f>IF(OR(C3935="",NOT(ISNUMBER(E3935))),"",IFERROR(E3935*N(INDEX(art_price,MATCH(C3935,art_ref,0))),""))</f>
        <v/>
      </c>
      <c r="K3935" s="39" t="str">
        <f>IF(OR(C3935="",NOT(ISNUMBER(E3935))),"",IFERROR(ROUND(N(INDEX(art_init,MATCH(C3935,art_ref,0)))+SUMIFS($E$5:E3935,$C$5:C3935,C3935,$B$5:B3935,"Entrée")-SUMIFS($E$5:E3935,$C$5:C3935,C3935,$B$5:B3935,"Sortie"),6),""))</f>
        <v/>
      </c>
      <c r="L3935" s="39" t="str">
        <f>IF(COUNTA(A3935:C3935,E3935)=0,"",IF(COUNTA(A3935:C3935,E3935)&lt;4,"Ligne incomplète",IF(NOT(ISNUMBER(A3935)),"Date invalide",IF(AND(B3935&lt;&gt;"Entrée",B3935&lt;&gt;"Sortie"),"Type inconnu",IF(ISNA(MATCH(C3935,art_ref,0)),"Référence inconnue",IF(OR(NOT(ISNUMBER(E3935)),N(E3935)&lt;=0),"Quantité invalide",IF(K3935&lt;0,"Stock négatif",IF(AND(ISNUMBER(A3934),A3935&lt;A3934),"Date hors ordre","OK"))))))))</f>
        <v/>
      </c>
      <c r="M3935" s="39" t="str">
        <f>IF(C3935="","",C3935&amp;"#"&amp;COUNTIF($C$5:C3935,C3935))</f>
        <v/>
      </c>
    </row>
    <row r="3936">
      <c r="A3936" s="41" t="n"/>
      <c r="B3936" s="37" t="n"/>
      <c r="C3936" s="37" t="n"/>
      <c r="D3936" s="39" t="str">
        <f>IF(C3936="","",IFERROR(INDEX(art_des,MATCH(C3936,art_ref,0))&amp;"","Référence inconnue"))</f>
        <v/>
      </c>
      <c r="E3936" s="37" t="n"/>
      <c r="F3936" s="39" t="str">
        <f>IF(C3936="","",IFERROR(INDEX(art_unit,MATCH(C3936,art_ref,0))&amp;"",""))</f>
        <v/>
      </c>
      <c r="G3936" s="37" t="n"/>
      <c r="H3936" s="37" t="n"/>
      <c r="I3936" s="37" t="n"/>
      <c r="J3936" s="40" t="str">
        <f>IF(OR(C3936="",NOT(ISNUMBER(E3936))),"",IFERROR(E3936*N(INDEX(art_price,MATCH(C3936,art_ref,0))),""))</f>
        <v/>
      </c>
      <c r="K3936" s="39" t="str">
        <f>IF(OR(C3936="",NOT(ISNUMBER(E3936))),"",IFERROR(ROUND(N(INDEX(art_init,MATCH(C3936,art_ref,0)))+SUMIFS($E$5:E3936,$C$5:C3936,C3936,$B$5:B3936,"Entrée")-SUMIFS($E$5:E3936,$C$5:C3936,C3936,$B$5:B3936,"Sortie"),6),""))</f>
        <v/>
      </c>
      <c r="L3936" s="39" t="str">
        <f>IF(COUNTA(A3936:C3936,E3936)=0,"",IF(COUNTA(A3936:C3936,E3936)&lt;4,"Ligne incomplète",IF(NOT(ISNUMBER(A3936)),"Date invalide",IF(AND(B3936&lt;&gt;"Entrée",B3936&lt;&gt;"Sortie"),"Type inconnu",IF(ISNA(MATCH(C3936,art_ref,0)),"Référence inconnue",IF(OR(NOT(ISNUMBER(E3936)),N(E3936)&lt;=0),"Quantité invalide",IF(K3936&lt;0,"Stock négatif",IF(AND(ISNUMBER(A3935),A3936&lt;A3935),"Date hors ordre","OK"))))))))</f>
        <v/>
      </c>
      <c r="M3936" s="39" t="str">
        <f>IF(C3936="","",C3936&amp;"#"&amp;COUNTIF($C$5:C3936,C3936))</f>
        <v/>
      </c>
    </row>
    <row r="3937">
      <c r="A3937" s="41" t="n"/>
      <c r="B3937" s="37" t="n"/>
      <c r="C3937" s="37" t="n"/>
      <c r="D3937" s="39" t="str">
        <f>IF(C3937="","",IFERROR(INDEX(art_des,MATCH(C3937,art_ref,0))&amp;"","Référence inconnue"))</f>
        <v/>
      </c>
      <c r="E3937" s="37" t="n"/>
      <c r="F3937" s="39" t="str">
        <f>IF(C3937="","",IFERROR(INDEX(art_unit,MATCH(C3937,art_ref,0))&amp;"",""))</f>
        <v/>
      </c>
      <c r="G3937" s="37" t="n"/>
      <c r="H3937" s="37" t="n"/>
      <c r="I3937" s="37" t="n"/>
      <c r="J3937" s="40" t="str">
        <f>IF(OR(C3937="",NOT(ISNUMBER(E3937))),"",IFERROR(E3937*N(INDEX(art_price,MATCH(C3937,art_ref,0))),""))</f>
        <v/>
      </c>
      <c r="K3937" s="39" t="str">
        <f>IF(OR(C3937="",NOT(ISNUMBER(E3937))),"",IFERROR(ROUND(N(INDEX(art_init,MATCH(C3937,art_ref,0)))+SUMIFS($E$5:E3937,$C$5:C3937,C3937,$B$5:B3937,"Entrée")-SUMIFS($E$5:E3937,$C$5:C3937,C3937,$B$5:B3937,"Sortie"),6),""))</f>
        <v/>
      </c>
      <c r="L3937" s="39" t="str">
        <f>IF(COUNTA(A3937:C3937,E3937)=0,"",IF(COUNTA(A3937:C3937,E3937)&lt;4,"Ligne incomplète",IF(NOT(ISNUMBER(A3937)),"Date invalide",IF(AND(B3937&lt;&gt;"Entrée",B3937&lt;&gt;"Sortie"),"Type inconnu",IF(ISNA(MATCH(C3937,art_ref,0)),"Référence inconnue",IF(OR(NOT(ISNUMBER(E3937)),N(E3937)&lt;=0),"Quantité invalide",IF(K3937&lt;0,"Stock négatif",IF(AND(ISNUMBER(A3936),A3937&lt;A3936),"Date hors ordre","OK"))))))))</f>
        <v/>
      </c>
      <c r="M3937" s="39" t="str">
        <f>IF(C3937="","",C3937&amp;"#"&amp;COUNTIF($C$5:C3937,C3937))</f>
        <v/>
      </c>
    </row>
    <row r="3938">
      <c r="A3938" s="41" t="n"/>
      <c r="B3938" s="37" t="n"/>
      <c r="C3938" s="37" t="n"/>
      <c r="D3938" s="39" t="str">
        <f>IF(C3938="","",IFERROR(INDEX(art_des,MATCH(C3938,art_ref,0))&amp;"","Référence inconnue"))</f>
        <v/>
      </c>
      <c r="E3938" s="37" t="n"/>
      <c r="F3938" s="39" t="str">
        <f>IF(C3938="","",IFERROR(INDEX(art_unit,MATCH(C3938,art_ref,0))&amp;"",""))</f>
        <v/>
      </c>
      <c r="G3938" s="37" t="n"/>
      <c r="H3938" s="37" t="n"/>
      <c r="I3938" s="37" t="n"/>
      <c r="J3938" s="40" t="str">
        <f>IF(OR(C3938="",NOT(ISNUMBER(E3938))),"",IFERROR(E3938*N(INDEX(art_price,MATCH(C3938,art_ref,0))),""))</f>
        <v/>
      </c>
      <c r="K3938" s="39" t="str">
        <f>IF(OR(C3938="",NOT(ISNUMBER(E3938))),"",IFERROR(ROUND(N(INDEX(art_init,MATCH(C3938,art_ref,0)))+SUMIFS($E$5:E3938,$C$5:C3938,C3938,$B$5:B3938,"Entrée")-SUMIFS($E$5:E3938,$C$5:C3938,C3938,$B$5:B3938,"Sortie"),6),""))</f>
        <v/>
      </c>
      <c r="L3938" s="39" t="str">
        <f>IF(COUNTA(A3938:C3938,E3938)=0,"",IF(COUNTA(A3938:C3938,E3938)&lt;4,"Ligne incomplète",IF(NOT(ISNUMBER(A3938)),"Date invalide",IF(AND(B3938&lt;&gt;"Entrée",B3938&lt;&gt;"Sortie"),"Type inconnu",IF(ISNA(MATCH(C3938,art_ref,0)),"Référence inconnue",IF(OR(NOT(ISNUMBER(E3938)),N(E3938)&lt;=0),"Quantité invalide",IF(K3938&lt;0,"Stock négatif",IF(AND(ISNUMBER(A3937),A3938&lt;A3937),"Date hors ordre","OK"))))))))</f>
        <v/>
      </c>
      <c r="M3938" s="39" t="str">
        <f>IF(C3938="","",C3938&amp;"#"&amp;COUNTIF($C$5:C3938,C3938))</f>
        <v/>
      </c>
    </row>
    <row r="3939">
      <c r="A3939" s="41" t="n"/>
      <c r="B3939" s="37" t="n"/>
      <c r="C3939" s="37" t="n"/>
      <c r="D3939" s="39" t="str">
        <f>IF(C3939="","",IFERROR(INDEX(art_des,MATCH(C3939,art_ref,0))&amp;"","Référence inconnue"))</f>
        <v/>
      </c>
      <c r="E3939" s="37" t="n"/>
      <c r="F3939" s="39" t="str">
        <f>IF(C3939="","",IFERROR(INDEX(art_unit,MATCH(C3939,art_ref,0))&amp;"",""))</f>
        <v/>
      </c>
      <c r="G3939" s="37" t="n"/>
      <c r="H3939" s="37" t="n"/>
      <c r="I3939" s="37" t="n"/>
      <c r="J3939" s="40" t="str">
        <f>IF(OR(C3939="",NOT(ISNUMBER(E3939))),"",IFERROR(E3939*N(INDEX(art_price,MATCH(C3939,art_ref,0))),""))</f>
        <v/>
      </c>
      <c r="K3939" s="39" t="str">
        <f>IF(OR(C3939="",NOT(ISNUMBER(E3939))),"",IFERROR(ROUND(N(INDEX(art_init,MATCH(C3939,art_ref,0)))+SUMIFS($E$5:E3939,$C$5:C3939,C3939,$B$5:B3939,"Entrée")-SUMIFS($E$5:E3939,$C$5:C3939,C3939,$B$5:B3939,"Sortie"),6),""))</f>
        <v/>
      </c>
      <c r="L3939" s="39" t="str">
        <f>IF(COUNTA(A3939:C3939,E3939)=0,"",IF(COUNTA(A3939:C3939,E3939)&lt;4,"Ligne incomplète",IF(NOT(ISNUMBER(A3939)),"Date invalide",IF(AND(B3939&lt;&gt;"Entrée",B3939&lt;&gt;"Sortie"),"Type inconnu",IF(ISNA(MATCH(C3939,art_ref,0)),"Référence inconnue",IF(OR(NOT(ISNUMBER(E3939)),N(E3939)&lt;=0),"Quantité invalide",IF(K3939&lt;0,"Stock négatif",IF(AND(ISNUMBER(A3938),A3939&lt;A3938),"Date hors ordre","OK"))))))))</f>
        <v/>
      </c>
      <c r="M3939" s="39" t="str">
        <f>IF(C3939="","",C3939&amp;"#"&amp;COUNTIF($C$5:C3939,C3939))</f>
        <v/>
      </c>
    </row>
    <row r="3940">
      <c r="A3940" s="41" t="n"/>
      <c r="B3940" s="37" t="n"/>
      <c r="C3940" s="37" t="n"/>
      <c r="D3940" s="39" t="str">
        <f>IF(C3940="","",IFERROR(INDEX(art_des,MATCH(C3940,art_ref,0))&amp;"","Référence inconnue"))</f>
        <v/>
      </c>
      <c r="E3940" s="37" t="n"/>
      <c r="F3940" s="39" t="str">
        <f>IF(C3940="","",IFERROR(INDEX(art_unit,MATCH(C3940,art_ref,0))&amp;"",""))</f>
        <v/>
      </c>
      <c r="G3940" s="37" t="n"/>
      <c r="H3940" s="37" t="n"/>
      <c r="I3940" s="37" t="n"/>
      <c r="J3940" s="40" t="str">
        <f>IF(OR(C3940="",NOT(ISNUMBER(E3940))),"",IFERROR(E3940*N(INDEX(art_price,MATCH(C3940,art_ref,0))),""))</f>
        <v/>
      </c>
      <c r="K3940" s="39" t="str">
        <f>IF(OR(C3940="",NOT(ISNUMBER(E3940))),"",IFERROR(ROUND(N(INDEX(art_init,MATCH(C3940,art_ref,0)))+SUMIFS($E$5:E3940,$C$5:C3940,C3940,$B$5:B3940,"Entrée")-SUMIFS($E$5:E3940,$C$5:C3940,C3940,$B$5:B3940,"Sortie"),6),""))</f>
        <v/>
      </c>
      <c r="L3940" s="39" t="str">
        <f>IF(COUNTA(A3940:C3940,E3940)=0,"",IF(COUNTA(A3940:C3940,E3940)&lt;4,"Ligne incomplète",IF(NOT(ISNUMBER(A3940)),"Date invalide",IF(AND(B3940&lt;&gt;"Entrée",B3940&lt;&gt;"Sortie"),"Type inconnu",IF(ISNA(MATCH(C3940,art_ref,0)),"Référence inconnue",IF(OR(NOT(ISNUMBER(E3940)),N(E3940)&lt;=0),"Quantité invalide",IF(K3940&lt;0,"Stock négatif",IF(AND(ISNUMBER(A3939),A3940&lt;A3939),"Date hors ordre","OK"))))))))</f>
        <v/>
      </c>
      <c r="M3940" s="39" t="str">
        <f>IF(C3940="","",C3940&amp;"#"&amp;COUNTIF($C$5:C3940,C3940))</f>
        <v/>
      </c>
    </row>
    <row r="3941">
      <c r="A3941" s="41" t="n"/>
      <c r="B3941" s="37" t="n"/>
      <c r="C3941" s="37" t="n"/>
      <c r="D3941" s="39" t="str">
        <f>IF(C3941="","",IFERROR(INDEX(art_des,MATCH(C3941,art_ref,0))&amp;"","Référence inconnue"))</f>
        <v/>
      </c>
      <c r="E3941" s="37" t="n"/>
      <c r="F3941" s="39" t="str">
        <f>IF(C3941="","",IFERROR(INDEX(art_unit,MATCH(C3941,art_ref,0))&amp;"",""))</f>
        <v/>
      </c>
      <c r="G3941" s="37" t="n"/>
      <c r="H3941" s="37" t="n"/>
      <c r="I3941" s="37" t="n"/>
      <c r="J3941" s="40" t="str">
        <f>IF(OR(C3941="",NOT(ISNUMBER(E3941))),"",IFERROR(E3941*N(INDEX(art_price,MATCH(C3941,art_ref,0))),""))</f>
        <v/>
      </c>
      <c r="K3941" s="39" t="str">
        <f>IF(OR(C3941="",NOT(ISNUMBER(E3941))),"",IFERROR(ROUND(N(INDEX(art_init,MATCH(C3941,art_ref,0)))+SUMIFS($E$5:E3941,$C$5:C3941,C3941,$B$5:B3941,"Entrée")-SUMIFS($E$5:E3941,$C$5:C3941,C3941,$B$5:B3941,"Sortie"),6),""))</f>
        <v/>
      </c>
      <c r="L3941" s="39" t="str">
        <f>IF(COUNTA(A3941:C3941,E3941)=0,"",IF(COUNTA(A3941:C3941,E3941)&lt;4,"Ligne incomplète",IF(NOT(ISNUMBER(A3941)),"Date invalide",IF(AND(B3941&lt;&gt;"Entrée",B3941&lt;&gt;"Sortie"),"Type inconnu",IF(ISNA(MATCH(C3941,art_ref,0)),"Référence inconnue",IF(OR(NOT(ISNUMBER(E3941)),N(E3941)&lt;=0),"Quantité invalide",IF(K3941&lt;0,"Stock négatif",IF(AND(ISNUMBER(A3940),A3941&lt;A3940),"Date hors ordre","OK"))))))))</f>
        <v/>
      </c>
      <c r="M3941" s="39" t="str">
        <f>IF(C3941="","",C3941&amp;"#"&amp;COUNTIF($C$5:C3941,C3941))</f>
        <v/>
      </c>
    </row>
    <row r="3942">
      <c r="A3942" s="41" t="n"/>
      <c r="B3942" s="37" t="n"/>
      <c r="C3942" s="37" t="n"/>
      <c r="D3942" s="39" t="str">
        <f>IF(C3942="","",IFERROR(INDEX(art_des,MATCH(C3942,art_ref,0))&amp;"","Référence inconnue"))</f>
        <v/>
      </c>
      <c r="E3942" s="37" t="n"/>
      <c r="F3942" s="39" t="str">
        <f>IF(C3942="","",IFERROR(INDEX(art_unit,MATCH(C3942,art_ref,0))&amp;"",""))</f>
        <v/>
      </c>
      <c r="G3942" s="37" t="n"/>
      <c r="H3942" s="37" t="n"/>
      <c r="I3942" s="37" t="n"/>
      <c r="J3942" s="40" t="str">
        <f>IF(OR(C3942="",NOT(ISNUMBER(E3942))),"",IFERROR(E3942*N(INDEX(art_price,MATCH(C3942,art_ref,0))),""))</f>
        <v/>
      </c>
      <c r="K3942" s="39" t="str">
        <f>IF(OR(C3942="",NOT(ISNUMBER(E3942))),"",IFERROR(ROUND(N(INDEX(art_init,MATCH(C3942,art_ref,0)))+SUMIFS($E$5:E3942,$C$5:C3942,C3942,$B$5:B3942,"Entrée")-SUMIFS($E$5:E3942,$C$5:C3942,C3942,$B$5:B3942,"Sortie"),6),""))</f>
        <v/>
      </c>
      <c r="L3942" s="39" t="str">
        <f>IF(COUNTA(A3942:C3942,E3942)=0,"",IF(COUNTA(A3942:C3942,E3942)&lt;4,"Ligne incomplète",IF(NOT(ISNUMBER(A3942)),"Date invalide",IF(AND(B3942&lt;&gt;"Entrée",B3942&lt;&gt;"Sortie"),"Type inconnu",IF(ISNA(MATCH(C3942,art_ref,0)),"Référence inconnue",IF(OR(NOT(ISNUMBER(E3942)),N(E3942)&lt;=0),"Quantité invalide",IF(K3942&lt;0,"Stock négatif",IF(AND(ISNUMBER(A3941),A3942&lt;A3941),"Date hors ordre","OK"))))))))</f>
        <v/>
      </c>
      <c r="M3942" s="39" t="str">
        <f>IF(C3942="","",C3942&amp;"#"&amp;COUNTIF($C$5:C3942,C3942))</f>
        <v/>
      </c>
    </row>
    <row r="3943">
      <c r="A3943" s="41" t="n"/>
      <c r="B3943" s="37" t="n"/>
      <c r="C3943" s="37" t="n"/>
      <c r="D3943" s="39" t="str">
        <f>IF(C3943="","",IFERROR(INDEX(art_des,MATCH(C3943,art_ref,0))&amp;"","Référence inconnue"))</f>
        <v/>
      </c>
      <c r="E3943" s="37" t="n"/>
      <c r="F3943" s="39" t="str">
        <f>IF(C3943="","",IFERROR(INDEX(art_unit,MATCH(C3943,art_ref,0))&amp;"",""))</f>
        <v/>
      </c>
      <c r="G3943" s="37" t="n"/>
      <c r="H3943" s="37" t="n"/>
      <c r="I3943" s="37" t="n"/>
      <c r="J3943" s="40" t="str">
        <f>IF(OR(C3943="",NOT(ISNUMBER(E3943))),"",IFERROR(E3943*N(INDEX(art_price,MATCH(C3943,art_ref,0))),""))</f>
        <v/>
      </c>
      <c r="K3943" s="39" t="str">
        <f>IF(OR(C3943="",NOT(ISNUMBER(E3943))),"",IFERROR(ROUND(N(INDEX(art_init,MATCH(C3943,art_ref,0)))+SUMIFS($E$5:E3943,$C$5:C3943,C3943,$B$5:B3943,"Entrée")-SUMIFS($E$5:E3943,$C$5:C3943,C3943,$B$5:B3943,"Sortie"),6),""))</f>
        <v/>
      </c>
      <c r="L3943" s="39" t="str">
        <f>IF(COUNTA(A3943:C3943,E3943)=0,"",IF(COUNTA(A3943:C3943,E3943)&lt;4,"Ligne incomplète",IF(NOT(ISNUMBER(A3943)),"Date invalide",IF(AND(B3943&lt;&gt;"Entrée",B3943&lt;&gt;"Sortie"),"Type inconnu",IF(ISNA(MATCH(C3943,art_ref,0)),"Référence inconnue",IF(OR(NOT(ISNUMBER(E3943)),N(E3943)&lt;=0),"Quantité invalide",IF(K3943&lt;0,"Stock négatif",IF(AND(ISNUMBER(A3942),A3943&lt;A3942),"Date hors ordre","OK"))))))))</f>
        <v/>
      </c>
      <c r="M3943" s="39" t="str">
        <f>IF(C3943="","",C3943&amp;"#"&amp;COUNTIF($C$5:C3943,C3943))</f>
        <v/>
      </c>
    </row>
    <row r="3944">
      <c r="A3944" s="41" t="n"/>
      <c r="B3944" s="37" t="n"/>
      <c r="C3944" s="37" t="n"/>
      <c r="D3944" s="39" t="str">
        <f>IF(C3944="","",IFERROR(INDEX(art_des,MATCH(C3944,art_ref,0))&amp;"","Référence inconnue"))</f>
        <v/>
      </c>
      <c r="E3944" s="37" t="n"/>
      <c r="F3944" s="39" t="str">
        <f>IF(C3944="","",IFERROR(INDEX(art_unit,MATCH(C3944,art_ref,0))&amp;"",""))</f>
        <v/>
      </c>
      <c r="G3944" s="37" t="n"/>
      <c r="H3944" s="37" t="n"/>
      <c r="I3944" s="37" t="n"/>
      <c r="J3944" s="40" t="str">
        <f>IF(OR(C3944="",NOT(ISNUMBER(E3944))),"",IFERROR(E3944*N(INDEX(art_price,MATCH(C3944,art_ref,0))),""))</f>
        <v/>
      </c>
      <c r="K3944" s="39" t="str">
        <f>IF(OR(C3944="",NOT(ISNUMBER(E3944))),"",IFERROR(ROUND(N(INDEX(art_init,MATCH(C3944,art_ref,0)))+SUMIFS($E$5:E3944,$C$5:C3944,C3944,$B$5:B3944,"Entrée")-SUMIFS($E$5:E3944,$C$5:C3944,C3944,$B$5:B3944,"Sortie"),6),""))</f>
        <v/>
      </c>
      <c r="L3944" s="39" t="str">
        <f>IF(COUNTA(A3944:C3944,E3944)=0,"",IF(COUNTA(A3944:C3944,E3944)&lt;4,"Ligne incomplète",IF(NOT(ISNUMBER(A3944)),"Date invalide",IF(AND(B3944&lt;&gt;"Entrée",B3944&lt;&gt;"Sortie"),"Type inconnu",IF(ISNA(MATCH(C3944,art_ref,0)),"Référence inconnue",IF(OR(NOT(ISNUMBER(E3944)),N(E3944)&lt;=0),"Quantité invalide",IF(K3944&lt;0,"Stock négatif",IF(AND(ISNUMBER(A3943),A3944&lt;A3943),"Date hors ordre","OK"))))))))</f>
        <v/>
      </c>
      <c r="M3944" s="39" t="str">
        <f>IF(C3944="","",C3944&amp;"#"&amp;COUNTIF($C$5:C3944,C3944))</f>
        <v/>
      </c>
    </row>
    <row r="3945">
      <c r="A3945" s="41" t="n"/>
      <c r="B3945" s="37" t="n"/>
      <c r="C3945" s="37" t="n"/>
      <c r="D3945" s="39" t="str">
        <f>IF(C3945="","",IFERROR(INDEX(art_des,MATCH(C3945,art_ref,0))&amp;"","Référence inconnue"))</f>
        <v/>
      </c>
      <c r="E3945" s="37" t="n"/>
      <c r="F3945" s="39" t="str">
        <f>IF(C3945="","",IFERROR(INDEX(art_unit,MATCH(C3945,art_ref,0))&amp;"",""))</f>
        <v/>
      </c>
      <c r="G3945" s="37" t="n"/>
      <c r="H3945" s="37" t="n"/>
      <c r="I3945" s="37" t="n"/>
      <c r="J3945" s="40" t="str">
        <f>IF(OR(C3945="",NOT(ISNUMBER(E3945))),"",IFERROR(E3945*N(INDEX(art_price,MATCH(C3945,art_ref,0))),""))</f>
        <v/>
      </c>
      <c r="K3945" s="39" t="str">
        <f>IF(OR(C3945="",NOT(ISNUMBER(E3945))),"",IFERROR(ROUND(N(INDEX(art_init,MATCH(C3945,art_ref,0)))+SUMIFS($E$5:E3945,$C$5:C3945,C3945,$B$5:B3945,"Entrée")-SUMIFS($E$5:E3945,$C$5:C3945,C3945,$B$5:B3945,"Sortie"),6),""))</f>
        <v/>
      </c>
      <c r="L3945" s="39" t="str">
        <f>IF(COUNTA(A3945:C3945,E3945)=0,"",IF(COUNTA(A3945:C3945,E3945)&lt;4,"Ligne incomplète",IF(NOT(ISNUMBER(A3945)),"Date invalide",IF(AND(B3945&lt;&gt;"Entrée",B3945&lt;&gt;"Sortie"),"Type inconnu",IF(ISNA(MATCH(C3945,art_ref,0)),"Référence inconnue",IF(OR(NOT(ISNUMBER(E3945)),N(E3945)&lt;=0),"Quantité invalide",IF(K3945&lt;0,"Stock négatif",IF(AND(ISNUMBER(A3944),A3945&lt;A3944),"Date hors ordre","OK"))))))))</f>
        <v/>
      </c>
      <c r="M3945" s="39" t="str">
        <f>IF(C3945="","",C3945&amp;"#"&amp;COUNTIF($C$5:C3945,C3945))</f>
        <v/>
      </c>
    </row>
    <row r="3946">
      <c r="A3946" s="41" t="n"/>
      <c r="B3946" s="37" t="n"/>
      <c r="C3946" s="37" t="n"/>
      <c r="D3946" s="39" t="str">
        <f>IF(C3946="","",IFERROR(INDEX(art_des,MATCH(C3946,art_ref,0))&amp;"","Référence inconnue"))</f>
        <v/>
      </c>
      <c r="E3946" s="37" t="n"/>
      <c r="F3946" s="39" t="str">
        <f>IF(C3946="","",IFERROR(INDEX(art_unit,MATCH(C3946,art_ref,0))&amp;"",""))</f>
        <v/>
      </c>
      <c r="G3946" s="37" t="n"/>
      <c r="H3946" s="37" t="n"/>
      <c r="I3946" s="37" t="n"/>
      <c r="J3946" s="40" t="str">
        <f>IF(OR(C3946="",NOT(ISNUMBER(E3946))),"",IFERROR(E3946*N(INDEX(art_price,MATCH(C3946,art_ref,0))),""))</f>
        <v/>
      </c>
      <c r="K3946" s="39" t="str">
        <f>IF(OR(C3946="",NOT(ISNUMBER(E3946))),"",IFERROR(ROUND(N(INDEX(art_init,MATCH(C3946,art_ref,0)))+SUMIFS($E$5:E3946,$C$5:C3946,C3946,$B$5:B3946,"Entrée")-SUMIFS($E$5:E3946,$C$5:C3946,C3946,$B$5:B3946,"Sortie"),6),""))</f>
        <v/>
      </c>
      <c r="L3946" s="39" t="str">
        <f>IF(COUNTA(A3946:C3946,E3946)=0,"",IF(COUNTA(A3946:C3946,E3946)&lt;4,"Ligne incomplète",IF(NOT(ISNUMBER(A3946)),"Date invalide",IF(AND(B3946&lt;&gt;"Entrée",B3946&lt;&gt;"Sortie"),"Type inconnu",IF(ISNA(MATCH(C3946,art_ref,0)),"Référence inconnue",IF(OR(NOT(ISNUMBER(E3946)),N(E3946)&lt;=0),"Quantité invalide",IF(K3946&lt;0,"Stock négatif",IF(AND(ISNUMBER(A3945),A3946&lt;A3945),"Date hors ordre","OK"))))))))</f>
        <v/>
      </c>
      <c r="M3946" s="39" t="str">
        <f>IF(C3946="","",C3946&amp;"#"&amp;COUNTIF($C$5:C3946,C3946))</f>
        <v/>
      </c>
    </row>
    <row r="3947">
      <c r="A3947" s="41" t="n"/>
      <c r="B3947" s="37" t="n"/>
      <c r="C3947" s="37" t="n"/>
      <c r="D3947" s="39" t="str">
        <f>IF(C3947="","",IFERROR(INDEX(art_des,MATCH(C3947,art_ref,0))&amp;"","Référence inconnue"))</f>
        <v/>
      </c>
      <c r="E3947" s="37" t="n"/>
      <c r="F3947" s="39" t="str">
        <f>IF(C3947="","",IFERROR(INDEX(art_unit,MATCH(C3947,art_ref,0))&amp;"",""))</f>
        <v/>
      </c>
      <c r="G3947" s="37" t="n"/>
      <c r="H3947" s="37" t="n"/>
      <c r="I3947" s="37" t="n"/>
      <c r="J3947" s="40" t="str">
        <f>IF(OR(C3947="",NOT(ISNUMBER(E3947))),"",IFERROR(E3947*N(INDEX(art_price,MATCH(C3947,art_ref,0))),""))</f>
        <v/>
      </c>
      <c r="K3947" s="39" t="str">
        <f>IF(OR(C3947="",NOT(ISNUMBER(E3947))),"",IFERROR(ROUND(N(INDEX(art_init,MATCH(C3947,art_ref,0)))+SUMIFS($E$5:E3947,$C$5:C3947,C3947,$B$5:B3947,"Entrée")-SUMIFS($E$5:E3947,$C$5:C3947,C3947,$B$5:B3947,"Sortie"),6),""))</f>
        <v/>
      </c>
      <c r="L3947" s="39" t="str">
        <f>IF(COUNTA(A3947:C3947,E3947)=0,"",IF(COUNTA(A3947:C3947,E3947)&lt;4,"Ligne incomplète",IF(NOT(ISNUMBER(A3947)),"Date invalide",IF(AND(B3947&lt;&gt;"Entrée",B3947&lt;&gt;"Sortie"),"Type inconnu",IF(ISNA(MATCH(C3947,art_ref,0)),"Référence inconnue",IF(OR(NOT(ISNUMBER(E3947)),N(E3947)&lt;=0),"Quantité invalide",IF(K3947&lt;0,"Stock négatif",IF(AND(ISNUMBER(A3946),A3947&lt;A3946),"Date hors ordre","OK"))))))))</f>
        <v/>
      </c>
      <c r="M3947" s="39" t="str">
        <f>IF(C3947="","",C3947&amp;"#"&amp;COUNTIF($C$5:C3947,C3947))</f>
        <v/>
      </c>
    </row>
    <row r="3948">
      <c r="A3948" s="41" t="n"/>
      <c r="B3948" s="37" t="n"/>
      <c r="C3948" s="37" t="n"/>
      <c r="D3948" s="39" t="str">
        <f>IF(C3948="","",IFERROR(INDEX(art_des,MATCH(C3948,art_ref,0))&amp;"","Référence inconnue"))</f>
        <v/>
      </c>
      <c r="E3948" s="37" t="n"/>
      <c r="F3948" s="39" t="str">
        <f>IF(C3948="","",IFERROR(INDEX(art_unit,MATCH(C3948,art_ref,0))&amp;"",""))</f>
        <v/>
      </c>
      <c r="G3948" s="37" t="n"/>
      <c r="H3948" s="37" t="n"/>
      <c r="I3948" s="37" t="n"/>
      <c r="J3948" s="40" t="str">
        <f>IF(OR(C3948="",NOT(ISNUMBER(E3948))),"",IFERROR(E3948*N(INDEX(art_price,MATCH(C3948,art_ref,0))),""))</f>
        <v/>
      </c>
      <c r="K3948" s="39" t="str">
        <f>IF(OR(C3948="",NOT(ISNUMBER(E3948))),"",IFERROR(ROUND(N(INDEX(art_init,MATCH(C3948,art_ref,0)))+SUMIFS($E$5:E3948,$C$5:C3948,C3948,$B$5:B3948,"Entrée")-SUMIFS($E$5:E3948,$C$5:C3948,C3948,$B$5:B3948,"Sortie"),6),""))</f>
        <v/>
      </c>
      <c r="L3948" s="39" t="str">
        <f>IF(COUNTA(A3948:C3948,E3948)=0,"",IF(COUNTA(A3948:C3948,E3948)&lt;4,"Ligne incomplète",IF(NOT(ISNUMBER(A3948)),"Date invalide",IF(AND(B3948&lt;&gt;"Entrée",B3948&lt;&gt;"Sortie"),"Type inconnu",IF(ISNA(MATCH(C3948,art_ref,0)),"Référence inconnue",IF(OR(NOT(ISNUMBER(E3948)),N(E3948)&lt;=0),"Quantité invalide",IF(K3948&lt;0,"Stock négatif",IF(AND(ISNUMBER(A3947),A3948&lt;A3947),"Date hors ordre","OK"))))))))</f>
        <v/>
      </c>
      <c r="M3948" s="39" t="str">
        <f>IF(C3948="","",C3948&amp;"#"&amp;COUNTIF($C$5:C3948,C3948))</f>
        <v/>
      </c>
    </row>
    <row r="3949">
      <c r="A3949" s="41" t="n"/>
      <c r="B3949" s="37" t="n"/>
      <c r="C3949" s="37" t="n"/>
      <c r="D3949" s="39" t="str">
        <f>IF(C3949="","",IFERROR(INDEX(art_des,MATCH(C3949,art_ref,0))&amp;"","Référence inconnue"))</f>
        <v/>
      </c>
      <c r="E3949" s="37" t="n"/>
      <c r="F3949" s="39" t="str">
        <f>IF(C3949="","",IFERROR(INDEX(art_unit,MATCH(C3949,art_ref,0))&amp;"",""))</f>
        <v/>
      </c>
      <c r="G3949" s="37" t="n"/>
      <c r="H3949" s="37" t="n"/>
      <c r="I3949" s="37" t="n"/>
      <c r="J3949" s="40" t="str">
        <f>IF(OR(C3949="",NOT(ISNUMBER(E3949))),"",IFERROR(E3949*N(INDEX(art_price,MATCH(C3949,art_ref,0))),""))</f>
        <v/>
      </c>
      <c r="K3949" s="39" t="str">
        <f>IF(OR(C3949="",NOT(ISNUMBER(E3949))),"",IFERROR(ROUND(N(INDEX(art_init,MATCH(C3949,art_ref,0)))+SUMIFS($E$5:E3949,$C$5:C3949,C3949,$B$5:B3949,"Entrée")-SUMIFS($E$5:E3949,$C$5:C3949,C3949,$B$5:B3949,"Sortie"),6),""))</f>
        <v/>
      </c>
      <c r="L3949" s="39" t="str">
        <f>IF(COUNTA(A3949:C3949,E3949)=0,"",IF(COUNTA(A3949:C3949,E3949)&lt;4,"Ligne incomplète",IF(NOT(ISNUMBER(A3949)),"Date invalide",IF(AND(B3949&lt;&gt;"Entrée",B3949&lt;&gt;"Sortie"),"Type inconnu",IF(ISNA(MATCH(C3949,art_ref,0)),"Référence inconnue",IF(OR(NOT(ISNUMBER(E3949)),N(E3949)&lt;=0),"Quantité invalide",IF(K3949&lt;0,"Stock négatif",IF(AND(ISNUMBER(A3948),A3949&lt;A3948),"Date hors ordre","OK"))))))))</f>
        <v/>
      </c>
      <c r="M3949" s="39" t="str">
        <f>IF(C3949="","",C3949&amp;"#"&amp;COUNTIF($C$5:C3949,C3949))</f>
        <v/>
      </c>
    </row>
    <row r="3950">
      <c r="A3950" s="41" t="n"/>
      <c r="B3950" s="37" t="n"/>
      <c r="C3950" s="37" t="n"/>
      <c r="D3950" s="39" t="str">
        <f>IF(C3950="","",IFERROR(INDEX(art_des,MATCH(C3950,art_ref,0))&amp;"","Référence inconnue"))</f>
        <v/>
      </c>
      <c r="E3950" s="37" t="n"/>
      <c r="F3950" s="39" t="str">
        <f>IF(C3950="","",IFERROR(INDEX(art_unit,MATCH(C3950,art_ref,0))&amp;"",""))</f>
        <v/>
      </c>
      <c r="G3950" s="37" t="n"/>
      <c r="H3950" s="37" t="n"/>
      <c r="I3950" s="37" t="n"/>
      <c r="J3950" s="40" t="str">
        <f>IF(OR(C3950="",NOT(ISNUMBER(E3950))),"",IFERROR(E3950*N(INDEX(art_price,MATCH(C3950,art_ref,0))),""))</f>
        <v/>
      </c>
      <c r="K3950" s="39" t="str">
        <f>IF(OR(C3950="",NOT(ISNUMBER(E3950))),"",IFERROR(ROUND(N(INDEX(art_init,MATCH(C3950,art_ref,0)))+SUMIFS($E$5:E3950,$C$5:C3950,C3950,$B$5:B3950,"Entrée")-SUMIFS($E$5:E3950,$C$5:C3950,C3950,$B$5:B3950,"Sortie"),6),""))</f>
        <v/>
      </c>
      <c r="L3950" s="39" t="str">
        <f>IF(COUNTA(A3950:C3950,E3950)=0,"",IF(COUNTA(A3950:C3950,E3950)&lt;4,"Ligne incomplète",IF(NOT(ISNUMBER(A3950)),"Date invalide",IF(AND(B3950&lt;&gt;"Entrée",B3950&lt;&gt;"Sortie"),"Type inconnu",IF(ISNA(MATCH(C3950,art_ref,0)),"Référence inconnue",IF(OR(NOT(ISNUMBER(E3950)),N(E3950)&lt;=0),"Quantité invalide",IF(K3950&lt;0,"Stock négatif",IF(AND(ISNUMBER(A3949),A3950&lt;A3949),"Date hors ordre","OK"))))))))</f>
        <v/>
      </c>
      <c r="M3950" s="39" t="str">
        <f>IF(C3950="","",C3950&amp;"#"&amp;COUNTIF($C$5:C3950,C3950))</f>
        <v/>
      </c>
    </row>
    <row r="3951">
      <c r="A3951" s="41" t="n"/>
      <c r="B3951" s="37" t="n"/>
      <c r="C3951" s="37" t="n"/>
      <c r="D3951" s="39" t="str">
        <f>IF(C3951="","",IFERROR(INDEX(art_des,MATCH(C3951,art_ref,0))&amp;"","Référence inconnue"))</f>
        <v/>
      </c>
      <c r="E3951" s="37" t="n"/>
      <c r="F3951" s="39" t="str">
        <f>IF(C3951="","",IFERROR(INDEX(art_unit,MATCH(C3951,art_ref,0))&amp;"",""))</f>
        <v/>
      </c>
      <c r="G3951" s="37" t="n"/>
      <c r="H3951" s="37" t="n"/>
      <c r="I3951" s="37" t="n"/>
      <c r="J3951" s="40" t="str">
        <f>IF(OR(C3951="",NOT(ISNUMBER(E3951))),"",IFERROR(E3951*N(INDEX(art_price,MATCH(C3951,art_ref,0))),""))</f>
        <v/>
      </c>
      <c r="K3951" s="39" t="str">
        <f>IF(OR(C3951="",NOT(ISNUMBER(E3951))),"",IFERROR(ROUND(N(INDEX(art_init,MATCH(C3951,art_ref,0)))+SUMIFS($E$5:E3951,$C$5:C3951,C3951,$B$5:B3951,"Entrée")-SUMIFS($E$5:E3951,$C$5:C3951,C3951,$B$5:B3951,"Sortie"),6),""))</f>
        <v/>
      </c>
      <c r="L3951" s="39" t="str">
        <f>IF(COUNTA(A3951:C3951,E3951)=0,"",IF(COUNTA(A3951:C3951,E3951)&lt;4,"Ligne incomplète",IF(NOT(ISNUMBER(A3951)),"Date invalide",IF(AND(B3951&lt;&gt;"Entrée",B3951&lt;&gt;"Sortie"),"Type inconnu",IF(ISNA(MATCH(C3951,art_ref,0)),"Référence inconnue",IF(OR(NOT(ISNUMBER(E3951)),N(E3951)&lt;=0),"Quantité invalide",IF(K3951&lt;0,"Stock négatif",IF(AND(ISNUMBER(A3950),A3951&lt;A3950),"Date hors ordre","OK"))))))))</f>
        <v/>
      </c>
      <c r="M3951" s="39" t="str">
        <f>IF(C3951="","",C3951&amp;"#"&amp;COUNTIF($C$5:C3951,C3951))</f>
        <v/>
      </c>
    </row>
    <row r="3952">
      <c r="A3952" s="41" t="n"/>
      <c r="B3952" s="37" t="n"/>
      <c r="C3952" s="37" t="n"/>
      <c r="D3952" s="39" t="str">
        <f>IF(C3952="","",IFERROR(INDEX(art_des,MATCH(C3952,art_ref,0))&amp;"","Référence inconnue"))</f>
        <v/>
      </c>
      <c r="E3952" s="37" t="n"/>
      <c r="F3952" s="39" t="str">
        <f>IF(C3952="","",IFERROR(INDEX(art_unit,MATCH(C3952,art_ref,0))&amp;"",""))</f>
        <v/>
      </c>
      <c r="G3952" s="37" t="n"/>
      <c r="H3952" s="37" t="n"/>
      <c r="I3952" s="37" t="n"/>
      <c r="J3952" s="40" t="str">
        <f>IF(OR(C3952="",NOT(ISNUMBER(E3952))),"",IFERROR(E3952*N(INDEX(art_price,MATCH(C3952,art_ref,0))),""))</f>
        <v/>
      </c>
      <c r="K3952" s="39" t="str">
        <f>IF(OR(C3952="",NOT(ISNUMBER(E3952))),"",IFERROR(ROUND(N(INDEX(art_init,MATCH(C3952,art_ref,0)))+SUMIFS($E$5:E3952,$C$5:C3952,C3952,$B$5:B3952,"Entrée")-SUMIFS($E$5:E3952,$C$5:C3952,C3952,$B$5:B3952,"Sortie"),6),""))</f>
        <v/>
      </c>
      <c r="L3952" s="39" t="str">
        <f>IF(COUNTA(A3952:C3952,E3952)=0,"",IF(COUNTA(A3952:C3952,E3952)&lt;4,"Ligne incomplète",IF(NOT(ISNUMBER(A3952)),"Date invalide",IF(AND(B3952&lt;&gt;"Entrée",B3952&lt;&gt;"Sortie"),"Type inconnu",IF(ISNA(MATCH(C3952,art_ref,0)),"Référence inconnue",IF(OR(NOT(ISNUMBER(E3952)),N(E3952)&lt;=0),"Quantité invalide",IF(K3952&lt;0,"Stock négatif",IF(AND(ISNUMBER(A3951),A3952&lt;A3951),"Date hors ordre","OK"))))))))</f>
        <v/>
      </c>
      <c r="M3952" s="39" t="str">
        <f>IF(C3952="","",C3952&amp;"#"&amp;COUNTIF($C$5:C3952,C3952))</f>
        <v/>
      </c>
    </row>
    <row r="3953">
      <c r="A3953" s="41" t="n"/>
      <c r="B3953" s="37" t="n"/>
      <c r="C3953" s="37" t="n"/>
      <c r="D3953" s="39" t="str">
        <f>IF(C3953="","",IFERROR(INDEX(art_des,MATCH(C3953,art_ref,0))&amp;"","Référence inconnue"))</f>
        <v/>
      </c>
      <c r="E3953" s="37" t="n"/>
      <c r="F3953" s="39" t="str">
        <f>IF(C3953="","",IFERROR(INDEX(art_unit,MATCH(C3953,art_ref,0))&amp;"",""))</f>
        <v/>
      </c>
      <c r="G3953" s="37" t="n"/>
      <c r="H3953" s="37" t="n"/>
      <c r="I3953" s="37" t="n"/>
      <c r="J3953" s="40" t="str">
        <f>IF(OR(C3953="",NOT(ISNUMBER(E3953))),"",IFERROR(E3953*N(INDEX(art_price,MATCH(C3953,art_ref,0))),""))</f>
        <v/>
      </c>
      <c r="K3953" s="39" t="str">
        <f>IF(OR(C3953="",NOT(ISNUMBER(E3953))),"",IFERROR(ROUND(N(INDEX(art_init,MATCH(C3953,art_ref,0)))+SUMIFS($E$5:E3953,$C$5:C3953,C3953,$B$5:B3953,"Entrée")-SUMIFS($E$5:E3953,$C$5:C3953,C3953,$B$5:B3953,"Sortie"),6),""))</f>
        <v/>
      </c>
      <c r="L3953" s="39" t="str">
        <f>IF(COUNTA(A3953:C3953,E3953)=0,"",IF(COUNTA(A3953:C3953,E3953)&lt;4,"Ligne incomplète",IF(NOT(ISNUMBER(A3953)),"Date invalide",IF(AND(B3953&lt;&gt;"Entrée",B3953&lt;&gt;"Sortie"),"Type inconnu",IF(ISNA(MATCH(C3953,art_ref,0)),"Référence inconnue",IF(OR(NOT(ISNUMBER(E3953)),N(E3953)&lt;=0),"Quantité invalide",IF(K3953&lt;0,"Stock négatif",IF(AND(ISNUMBER(A3952),A3953&lt;A3952),"Date hors ordre","OK"))))))))</f>
        <v/>
      </c>
      <c r="M3953" s="39" t="str">
        <f>IF(C3953="","",C3953&amp;"#"&amp;COUNTIF($C$5:C3953,C3953))</f>
        <v/>
      </c>
    </row>
    <row r="3954">
      <c r="A3954" s="41" t="n"/>
      <c r="B3954" s="37" t="n"/>
      <c r="C3954" s="37" t="n"/>
      <c r="D3954" s="39" t="str">
        <f>IF(C3954="","",IFERROR(INDEX(art_des,MATCH(C3954,art_ref,0))&amp;"","Référence inconnue"))</f>
        <v/>
      </c>
      <c r="E3954" s="37" t="n"/>
      <c r="F3954" s="39" t="str">
        <f>IF(C3954="","",IFERROR(INDEX(art_unit,MATCH(C3954,art_ref,0))&amp;"",""))</f>
        <v/>
      </c>
      <c r="G3954" s="37" t="n"/>
      <c r="H3954" s="37" t="n"/>
      <c r="I3954" s="37" t="n"/>
      <c r="J3954" s="40" t="str">
        <f>IF(OR(C3954="",NOT(ISNUMBER(E3954))),"",IFERROR(E3954*N(INDEX(art_price,MATCH(C3954,art_ref,0))),""))</f>
        <v/>
      </c>
      <c r="K3954" s="39" t="str">
        <f>IF(OR(C3954="",NOT(ISNUMBER(E3954))),"",IFERROR(ROUND(N(INDEX(art_init,MATCH(C3954,art_ref,0)))+SUMIFS($E$5:E3954,$C$5:C3954,C3954,$B$5:B3954,"Entrée")-SUMIFS($E$5:E3954,$C$5:C3954,C3954,$B$5:B3954,"Sortie"),6),""))</f>
        <v/>
      </c>
      <c r="L3954" s="39" t="str">
        <f>IF(COUNTA(A3954:C3954,E3954)=0,"",IF(COUNTA(A3954:C3954,E3954)&lt;4,"Ligne incomplète",IF(NOT(ISNUMBER(A3954)),"Date invalide",IF(AND(B3954&lt;&gt;"Entrée",B3954&lt;&gt;"Sortie"),"Type inconnu",IF(ISNA(MATCH(C3954,art_ref,0)),"Référence inconnue",IF(OR(NOT(ISNUMBER(E3954)),N(E3954)&lt;=0),"Quantité invalide",IF(K3954&lt;0,"Stock négatif",IF(AND(ISNUMBER(A3953),A3954&lt;A3953),"Date hors ordre","OK"))))))))</f>
        <v/>
      </c>
      <c r="M3954" s="39" t="str">
        <f>IF(C3954="","",C3954&amp;"#"&amp;COUNTIF($C$5:C3954,C3954))</f>
        <v/>
      </c>
    </row>
    <row r="3955">
      <c r="A3955" s="41" t="n"/>
      <c r="B3955" s="37" t="n"/>
      <c r="C3955" s="37" t="n"/>
      <c r="D3955" s="39" t="str">
        <f>IF(C3955="","",IFERROR(INDEX(art_des,MATCH(C3955,art_ref,0))&amp;"","Référence inconnue"))</f>
        <v/>
      </c>
      <c r="E3955" s="37" t="n"/>
      <c r="F3955" s="39" t="str">
        <f>IF(C3955="","",IFERROR(INDEX(art_unit,MATCH(C3955,art_ref,0))&amp;"",""))</f>
        <v/>
      </c>
      <c r="G3955" s="37" t="n"/>
      <c r="H3955" s="37" t="n"/>
      <c r="I3955" s="37" t="n"/>
      <c r="J3955" s="40" t="str">
        <f>IF(OR(C3955="",NOT(ISNUMBER(E3955))),"",IFERROR(E3955*N(INDEX(art_price,MATCH(C3955,art_ref,0))),""))</f>
        <v/>
      </c>
      <c r="K3955" s="39" t="str">
        <f>IF(OR(C3955="",NOT(ISNUMBER(E3955))),"",IFERROR(ROUND(N(INDEX(art_init,MATCH(C3955,art_ref,0)))+SUMIFS($E$5:E3955,$C$5:C3955,C3955,$B$5:B3955,"Entrée")-SUMIFS($E$5:E3955,$C$5:C3955,C3955,$B$5:B3955,"Sortie"),6),""))</f>
        <v/>
      </c>
      <c r="L3955" s="39" t="str">
        <f>IF(COUNTA(A3955:C3955,E3955)=0,"",IF(COUNTA(A3955:C3955,E3955)&lt;4,"Ligne incomplète",IF(NOT(ISNUMBER(A3955)),"Date invalide",IF(AND(B3955&lt;&gt;"Entrée",B3955&lt;&gt;"Sortie"),"Type inconnu",IF(ISNA(MATCH(C3955,art_ref,0)),"Référence inconnue",IF(OR(NOT(ISNUMBER(E3955)),N(E3955)&lt;=0),"Quantité invalide",IF(K3955&lt;0,"Stock négatif",IF(AND(ISNUMBER(A3954),A3955&lt;A3954),"Date hors ordre","OK"))))))))</f>
        <v/>
      </c>
      <c r="M3955" s="39" t="str">
        <f>IF(C3955="","",C3955&amp;"#"&amp;COUNTIF($C$5:C3955,C3955))</f>
        <v/>
      </c>
    </row>
    <row r="3956">
      <c r="A3956" s="41" t="n"/>
      <c r="B3956" s="37" t="n"/>
      <c r="C3956" s="37" t="n"/>
      <c r="D3956" s="39" t="str">
        <f>IF(C3956="","",IFERROR(INDEX(art_des,MATCH(C3956,art_ref,0))&amp;"","Référence inconnue"))</f>
        <v/>
      </c>
      <c r="E3956" s="37" t="n"/>
      <c r="F3956" s="39" t="str">
        <f>IF(C3956="","",IFERROR(INDEX(art_unit,MATCH(C3956,art_ref,0))&amp;"",""))</f>
        <v/>
      </c>
      <c r="G3956" s="37" t="n"/>
      <c r="H3956" s="37" t="n"/>
      <c r="I3956" s="37" t="n"/>
      <c r="J3956" s="40" t="str">
        <f>IF(OR(C3956="",NOT(ISNUMBER(E3956))),"",IFERROR(E3956*N(INDEX(art_price,MATCH(C3956,art_ref,0))),""))</f>
        <v/>
      </c>
      <c r="K3956" s="39" t="str">
        <f>IF(OR(C3956="",NOT(ISNUMBER(E3956))),"",IFERROR(ROUND(N(INDEX(art_init,MATCH(C3956,art_ref,0)))+SUMIFS($E$5:E3956,$C$5:C3956,C3956,$B$5:B3956,"Entrée")-SUMIFS($E$5:E3956,$C$5:C3956,C3956,$B$5:B3956,"Sortie"),6),""))</f>
        <v/>
      </c>
      <c r="L3956" s="39" t="str">
        <f>IF(COUNTA(A3956:C3956,E3956)=0,"",IF(COUNTA(A3956:C3956,E3956)&lt;4,"Ligne incomplète",IF(NOT(ISNUMBER(A3956)),"Date invalide",IF(AND(B3956&lt;&gt;"Entrée",B3956&lt;&gt;"Sortie"),"Type inconnu",IF(ISNA(MATCH(C3956,art_ref,0)),"Référence inconnue",IF(OR(NOT(ISNUMBER(E3956)),N(E3956)&lt;=0),"Quantité invalide",IF(K3956&lt;0,"Stock négatif",IF(AND(ISNUMBER(A3955),A3956&lt;A3955),"Date hors ordre","OK"))))))))</f>
        <v/>
      </c>
      <c r="M3956" s="39" t="str">
        <f>IF(C3956="","",C3956&amp;"#"&amp;COUNTIF($C$5:C3956,C3956))</f>
        <v/>
      </c>
    </row>
    <row r="3957">
      <c r="A3957" s="41" t="n"/>
      <c r="B3957" s="37" t="n"/>
      <c r="C3957" s="37" t="n"/>
      <c r="D3957" s="39" t="str">
        <f>IF(C3957="","",IFERROR(INDEX(art_des,MATCH(C3957,art_ref,0))&amp;"","Référence inconnue"))</f>
        <v/>
      </c>
      <c r="E3957" s="37" t="n"/>
      <c r="F3957" s="39" t="str">
        <f>IF(C3957="","",IFERROR(INDEX(art_unit,MATCH(C3957,art_ref,0))&amp;"",""))</f>
        <v/>
      </c>
      <c r="G3957" s="37" t="n"/>
      <c r="H3957" s="37" t="n"/>
      <c r="I3957" s="37" t="n"/>
      <c r="J3957" s="40" t="str">
        <f>IF(OR(C3957="",NOT(ISNUMBER(E3957))),"",IFERROR(E3957*N(INDEX(art_price,MATCH(C3957,art_ref,0))),""))</f>
        <v/>
      </c>
      <c r="K3957" s="39" t="str">
        <f>IF(OR(C3957="",NOT(ISNUMBER(E3957))),"",IFERROR(ROUND(N(INDEX(art_init,MATCH(C3957,art_ref,0)))+SUMIFS($E$5:E3957,$C$5:C3957,C3957,$B$5:B3957,"Entrée")-SUMIFS($E$5:E3957,$C$5:C3957,C3957,$B$5:B3957,"Sortie"),6),""))</f>
        <v/>
      </c>
      <c r="L3957" s="39" t="str">
        <f>IF(COUNTA(A3957:C3957,E3957)=0,"",IF(COUNTA(A3957:C3957,E3957)&lt;4,"Ligne incomplète",IF(NOT(ISNUMBER(A3957)),"Date invalide",IF(AND(B3957&lt;&gt;"Entrée",B3957&lt;&gt;"Sortie"),"Type inconnu",IF(ISNA(MATCH(C3957,art_ref,0)),"Référence inconnue",IF(OR(NOT(ISNUMBER(E3957)),N(E3957)&lt;=0),"Quantité invalide",IF(K3957&lt;0,"Stock négatif",IF(AND(ISNUMBER(A3956),A3957&lt;A3956),"Date hors ordre","OK"))))))))</f>
        <v/>
      </c>
      <c r="M3957" s="39" t="str">
        <f>IF(C3957="","",C3957&amp;"#"&amp;COUNTIF($C$5:C3957,C3957))</f>
        <v/>
      </c>
    </row>
    <row r="3958">
      <c r="A3958" s="41" t="n"/>
      <c r="B3958" s="37" t="n"/>
      <c r="C3958" s="37" t="n"/>
      <c r="D3958" s="39" t="str">
        <f>IF(C3958="","",IFERROR(INDEX(art_des,MATCH(C3958,art_ref,0))&amp;"","Référence inconnue"))</f>
        <v/>
      </c>
      <c r="E3958" s="37" t="n"/>
      <c r="F3958" s="39" t="str">
        <f>IF(C3958="","",IFERROR(INDEX(art_unit,MATCH(C3958,art_ref,0))&amp;"",""))</f>
        <v/>
      </c>
      <c r="G3958" s="37" t="n"/>
      <c r="H3958" s="37" t="n"/>
      <c r="I3958" s="37" t="n"/>
      <c r="J3958" s="40" t="str">
        <f>IF(OR(C3958="",NOT(ISNUMBER(E3958))),"",IFERROR(E3958*N(INDEX(art_price,MATCH(C3958,art_ref,0))),""))</f>
        <v/>
      </c>
      <c r="K3958" s="39" t="str">
        <f>IF(OR(C3958="",NOT(ISNUMBER(E3958))),"",IFERROR(ROUND(N(INDEX(art_init,MATCH(C3958,art_ref,0)))+SUMIFS($E$5:E3958,$C$5:C3958,C3958,$B$5:B3958,"Entrée")-SUMIFS($E$5:E3958,$C$5:C3958,C3958,$B$5:B3958,"Sortie"),6),""))</f>
        <v/>
      </c>
      <c r="L3958" s="39" t="str">
        <f>IF(COUNTA(A3958:C3958,E3958)=0,"",IF(COUNTA(A3958:C3958,E3958)&lt;4,"Ligne incomplète",IF(NOT(ISNUMBER(A3958)),"Date invalide",IF(AND(B3958&lt;&gt;"Entrée",B3958&lt;&gt;"Sortie"),"Type inconnu",IF(ISNA(MATCH(C3958,art_ref,0)),"Référence inconnue",IF(OR(NOT(ISNUMBER(E3958)),N(E3958)&lt;=0),"Quantité invalide",IF(K3958&lt;0,"Stock négatif",IF(AND(ISNUMBER(A3957),A3958&lt;A3957),"Date hors ordre","OK"))))))))</f>
        <v/>
      </c>
      <c r="M3958" s="39" t="str">
        <f>IF(C3958="","",C3958&amp;"#"&amp;COUNTIF($C$5:C3958,C3958))</f>
        <v/>
      </c>
    </row>
    <row r="3959">
      <c r="A3959" s="41" t="n"/>
      <c r="B3959" s="37" t="n"/>
      <c r="C3959" s="37" t="n"/>
      <c r="D3959" s="39" t="str">
        <f>IF(C3959="","",IFERROR(INDEX(art_des,MATCH(C3959,art_ref,0))&amp;"","Référence inconnue"))</f>
        <v/>
      </c>
      <c r="E3959" s="37" t="n"/>
      <c r="F3959" s="39" t="str">
        <f>IF(C3959="","",IFERROR(INDEX(art_unit,MATCH(C3959,art_ref,0))&amp;"",""))</f>
        <v/>
      </c>
      <c r="G3959" s="37" t="n"/>
      <c r="H3959" s="37" t="n"/>
      <c r="I3959" s="37" t="n"/>
      <c r="J3959" s="40" t="str">
        <f>IF(OR(C3959="",NOT(ISNUMBER(E3959))),"",IFERROR(E3959*N(INDEX(art_price,MATCH(C3959,art_ref,0))),""))</f>
        <v/>
      </c>
      <c r="K3959" s="39" t="str">
        <f>IF(OR(C3959="",NOT(ISNUMBER(E3959))),"",IFERROR(ROUND(N(INDEX(art_init,MATCH(C3959,art_ref,0)))+SUMIFS($E$5:E3959,$C$5:C3959,C3959,$B$5:B3959,"Entrée")-SUMIFS($E$5:E3959,$C$5:C3959,C3959,$B$5:B3959,"Sortie"),6),""))</f>
        <v/>
      </c>
      <c r="L3959" s="39" t="str">
        <f>IF(COUNTA(A3959:C3959,E3959)=0,"",IF(COUNTA(A3959:C3959,E3959)&lt;4,"Ligne incomplète",IF(NOT(ISNUMBER(A3959)),"Date invalide",IF(AND(B3959&lt;&gt;"Entrée",B3959&lt;&gt;"Sortie"),"Type inconnu",IF(ISNA(MATCH(C3959,art_ref,0)),"Référence inconnue",IF(OR(NOT(ISNUMBER(E3959)),N(E3959)&lt;=0),"Quantité invalide",IF(K3959&lt;0,"Stock négatif",IF(AND(ISNUMBER(A3958),A3959&lt;A3958),"Date hors ordre","OK"))))))))</f>
        <v/>
      </c>
      <c r="M3959" s="39" t="str">
        <f>IF(C3959="","",C3959&amp;"#"&amp;COUNTIF($C$5:C3959,C3959))</f>
        <v/>
      </c>
    </row>
    <row r="3960">
      <c r="A3960" s="41" t="n"/>
      <c r="B3960" s="37" t="n"/>
      <c r="C3960" s="37" t="n"/>
      <c r="D3960" s="39" t="str">
        <f>IF(C3960="","",IFERROR(INDEX(art_des,MATCH(C3960,art_ref,0))&amp;"","Référence inconnue"))</f>
        <v/>
      </c>
      <c r="E3960" s="37" t="n"/>
      <c r="F3960" s="39" t="str">
        <f>IF(C3960="","",IFERROR(INDEX(art_unit,MATCH(C3960,art_ref,0))&amp;"",""))</f>
        <v/>
      </c>
      <c r="G3960" s="37" t="n"/>
      <c r="H3960" s="37" t="n"/>
      <c r="I3960" s="37" t="n"/>
      <c r="J3960" s="40" t="str">
        <f>IF(OR(C3960="",NOT(ISNUMBER(E3960))),"",IFERROR(E3960*N(INDEX(art_price,MATCH(C3960,art_ref,0))),""))</f>
        <v/>
      </c>
      <c r="K3960" s="39" t="str">
        <f>IF(OR(C3960="",NOT(ISNUMBER(E3960))),"",IFERROR(ROUND(N(INDEX(art_init,MATCH(C3960,art_ref,0)))+SUMIFS($E$5:E3960,$C$5:C3960,C3960,$B$5:B3960,"Entrée")-SUMIFS($E$5:E3960,$C$5:C3960,C3960,$B$5:B3960,"Sortie"),6),""))</f>
        <v/>
      </c>
      <c r="L3960" s="39" t="str">
        <f>IF(COUNTA(A3960:C3960,E3960)=0,"",IF(COUNTA(A3960:C3960,E3960)&lt;4,"Ligne incomplète",IF(NOT(ISNUMBER(A3960)),"Date invalide",IF(AND(B3960&lt;&gt;"Entrée",B3960&lt;&gt;"Sortie"),"Type inconnu",IF(ISNA(MATCH(C3960,art_ref,0)),"Référence inconnue",IF(OR(NOT(ISNUMBER(E3960)),N(E3960)&lt;=0),"Quantité invalide",IF(K3960&lt;0,"Stock négatif",IF(AND(ISNUMBER(A3959),A3960&lt;A3959),"Date hors ordre","OK"))))))))</f>
        <v/>
      </c>
      <c r="M3960" s="39" t="str">
        <f>IF(C3960="","",C3960&amp;"#"&amp;COUNTIF($C$5:C3960,C3960))</f>
        <v/>
      </c>
    </row>
    <row r="3961">
      <c r="A3961" s="41" t="n"/>
      <c r="B3961" s="37" t="n"/>
      <c r="C3961" s="37" t="n"/>
      <c r="D3961" s="39" t="str">
        <f>IF(C3961="","",IFERROR(INDEX(art_des,MATCH(C3961,art_ref,0))&amp;"","Référence inconnue"))</f>
        <v/>
      </c>
      <c r="E3961" s="37" t="n"/>
      <c r="F3961" s="39" t="str">
        <f>IF(C3961="","",IFERROR(INDEX(art_unit,MATCH(C3961,art_ref,0))&amp;"",""))</f>
        <v/>
      </c>
      <c r="G3961" s="37" t="n"/>
      <c r="H3961" s="37" t="n"/>
      <c r="I3961" s="37" t="n"/>
      <c r="J3961" s="40" t="str">
        <f>IF(OR(C3961="",NOT(ISNUMBER(E3961))),"",IFERROR(E3961*N(INDEX(art_price,MATCH(C3961,art_ref,0))),""))</f>
        <v/>
      </c>
      <c r="K3961" s="39" t="str">
        <f>IF(OR(C3961="",NOT(ISNUMBER(E3961))),"",IFERROR(ROUND(N(INDEX(art_init,MATCH(C3961,art_ref,0)))+SUMIFS($E$5:E3961,$C$5:C3961,C3961,$B$5:B3961,"Entrée")-SUMIFS($E$5:E3961,$C$5:C3961,C3961,$B$5:B3961,"Sortie"),6),""))</f>
        <v/>
      </c>
      <c r="L3961" s="39" t="str">
        <f>IF(COUNTA(A3961:C3961,E3961)=0,"",IF(COUNTA(A3961:C3961,E3961)&lt;4,"Ligne incomplète",IF(NOT(ISNUMBER(A3961)),"Date invalide",IF(AND(B3961&lt;&gt;"Entrée",B3961&lt;&gt;"Sortie"),"Type inconnu",IF(ISNA(MATCH(C3961,art_ref,0)),"Référence inconnue",IF(OR(NOT(ISNUMBER(E3961)),N(E3961)&lt;=0),"Quantité invalide",IF(K3961&lt;0,"Stock négatif",IF(AND(ISNUMBER(A3960),A3961&lt;A3960),"Date hors ordre","OK"))))))))</f>
        <v/>
      </c>
      <c r="M3961" s="39" t="str">
        <f>IF(C3961="","",C3961&amp;"#"&amp;COUNTIF($C$5:C3961,C3961))</f>
        <v/>
      </c>
    </row>
    <row r="3962">
      <c r="A3962" s="41" t="n"/>
      <c r="B3962" s="37" t="n"/>
      <c r="C3962" s="37" t="n"/>
      <c r="D3962" s="39" t="str">
        <f>IF(C3962="","",IFERROR(INDEX(art_des,MATCH(C3962,art_ref,0))&amp;"","Référence inconnue"))</f>
        <v/>
      </c>
      <c r="E3962" s="37" t="n"/>
      <c r="F3962" s="39" t="str">
        <f>IF(C3962="","",IFERROR(INDEX(art_unit,MATCH(C3962,art_ref,0))&amp;"",""))</f>
        <v/>
      </c>
      <c r="G3962" s="37" t="n"/>
      <c r="H3962" s="37" t="n"/>
      <c r="I3962" s="37" t="n"/>
      <c r="J3962" s="40" t="str">
        <f>IF(OR(C3962="",NOT(ISNUMBER(E3962))),"",IFERROR(E3962*N(INDEX(art_price,MATCH(C3962,art_ref,0))),""))</f>
        <v/>
      </c>
      <c r="K3962" s="39" t="str">
        <f>IF(OR(C3962="",NOT(ISNUMBER(E3962))),"",IFERROR(ROUND(N(INDEX(art_init,MATCH(C3962,art_ref,0)))+SUMIFS($E$5:E3962,$C$5:C3962,C3962,$B$5:B3962,"Entrée")-SUMIFS($E$5:E3962,$C$5:C3962,C3962,$B$5:B3962,"Sortie"),6),""))</f>
        <v/>
      </c>
      <c r="L3962" s="39" t="str">
        <f>IF(COUNTA(A3962:C3962,E3962)=0,"",IF(COUNTA(A3962:C3962,E3962)&lt;4,"Ligne incomplète",IF(NOT(ISNUMBER(A3962)),"Date invalide",IF(AND(B3962&lt;&gt;"Entrée",B3962&lt;&gt;"Sortie"),"Type inconnu",IF(ISNA(MATCH(C3962,art_ref,0)),"Référence inconnue",IF(OR(NOT(ISNUMBER(E3962)),N(E3962)&lt;=0),"Quantité invalide",IF(K3962&lt;0,"Stock négatif",IF(AND(ISNUMBER(A3961),A3962&lt;A3961),"Date hors ordre","OK"))))))))</f>
        <v/>
      </c>
      <c r="M3962" s="39" t="str">
        <f>IF(C3962="","",C3962&amp;"#"&amp;COUNTIF($C$5:C3962,C3962))</f>
        <v/>
      </c>
    </row>
    <row r="3963">
      <c r="A3963" s="41" t="n"/>
      <c r="B3963" s="37" t="n"/>
      <c r="C3963" s="37" t="n"/>
      <c r="D3963" s="39" t="str">
        <f>IF(C3963="","",IFERROR(INDEX(art_des,MATCH(C3963,art_ref,0))&amp;"","Référence inconnue"))</f>
        <v/>
      </c>
      <c r="E3963" s="37" t="n"/>
      <c r="F3963" s="39" t="str">
        <f>IF(C3963="","",IFERROR(INDEX(art_unit,MATCH(C3963,art_ref,0))&amp;"",""))</f>
        <v/>
      </c>
      <c r="G3963" s="37" t="n"/>
      <c r="H3963" s="37" t="n"/>
      <c r="I3963" s="37" t="n"/>
      <c r="J3963" s="40" t="str">
        <f>IF(OR(C3963="",NOT(ISNUMBER(E3963))),"",IFERROR(E3963*N(INDEX(art_price,MATCH(C3963,art_ref,0))),""))</f>
        <v/>
      </c>
      <c r="K3963" s="39" t="str">
        <f>IF(OR(C3963="",NOT(ISNUMBER(E3963))),"",IFERROR(ROUND(N(INDEX(art_init,MATCH(C3963,art_ref,0)))+SUMIFS($E$5:E3963,$C$5:C3963,C3963,$B$5:B3963,"Entrée")-SUMIFS($E$5:E3963,$C$5:C3963,C3963,$B$5:B3963,"Sortie"),6),""))</f>
        <v/>
      </c>
      <c r="L3963" s="39" t="str">
        <f>IF(COUNTA(A3963:C3963,E3963)=0,"",IF(COUNTA(A3963:C3963,E3963)&lt;4,"Ligne incomplète",IF(NOT(ISNUMBER(A3963)),"Date invalide",IF(AND(B3963&lt;&gt;"Entrée",B3963&lt;&gt;"Sortie"),"Type inconnu",IF(ISNA(MATCH(C3963,art_ref,0)),"Référence inconnue",IF(OR(NOT(ISNUMBER(E3963)),N(E3963)&lt;=0),"Quantité invalide",IF(K3963&lt;0,"Stock négatif",IF(AND(ISNUMBER(A3962),A3963&lt;A3962),"Date hors ordre","OK"))))))))</f>
        <v/>
      </c>
      <c r="M3963" s="39" t="str">
        <f>IF(C3963="","",C3963&amp;"#"&amp;COUNTIF($C$5:C3963,C3963))</f>
        <v/>
      </c>
    </row>
    <row r="3964">
      <c r="A3964" s="41" t="n"/>
      <c r="B3964" s="37" t="n"/>
      <c r="C3964" s="37" t="n"/>
      <c r="D3964" s="39" t="str">
        <f>IF(C3964="","",IFERROR(INDEX(art_des,MATCH(C3964,art_ref,0))&amp;"","Référence inconnue"))</f>
        <v/>
      </c>
      <c r="E3964" s="37" t="n"/>
      <c r="F3964" s="39" t="str">
        <f>IF(C3964="","",IFERROR(INDEX(art_unit,MATCH(C3964,art_ref,0))&amp;"",""))</f>
        <v/>
      </c>
      <c r="G3964" s="37" t="n"/>
      <c r="H3964" s="37" t="n"/>
      <c r="I3964" s="37" t="n"/>
      <c r="J3964" s="40" t="str">
        <f>IF(OR(C3964="",NOT(ISNUMBER(E3964))),"",IFERROR(E3964*N(INDEX(art_price,MATCH(C3964,art_ref,0))),""))</f>
        <v/>
      </c>
      <c r="K3964" s="39" t="str">
        <f>IF(OR(C3964="",NOT(ISNUMBER(E3964))),"",IFERROR(ROUND(N(INDEX(art_init,MATCH(C3964,art_ref,0)))+SUMIFS($E$5:E3964,$C$5:C3964,C3964,$B$5:B3964,"Entrée")-SUMIFS($E$5:E3964,$C$5:C3964,C3964,$B$5:B3964,"Sortie"),6),""))</f>
        <v/>
      </c>
      <c r="L3964" s="39" t="str">
        <f>IF(COUNTA(A3964:C3964,E3964)=0,"",IF(COUNTA(A3964:C3964,E3964)&lt;4,"Ligne incomplète",IF(NOT(ISNUMBER(A3964)),"Date invalide",IF(AND(B3964&lt;&gt;"Entrée",B3964&lt;&gt;"Sortie"),"Type inconnu",IF(ISNA(MATCH(C3964,art_ref,0)),"Référence inconnue",IF(OR(NOT(ISNUMBER(E3964)),N(E3964)&lt;=0),"Quantité invalide",IF(K3964&lt;0,"Stock négatif",IF(AND(ISNUMBER(A3963),A3964&lt;A3963),"Date hors ordre","OK"))))))))</f>
        <v/>
      </c>
      <c r="M3964" s="39" t="str">
        <f>IF(C3964="","",C3964&amp;"#"&amp;COUNTIF($C$5:C3964,C3964))</f>
        <v/>
      </c>
    </row>
    <row r="3965">
      <c r="A3965" s="41" t="n"/>
      <c r="B3965" s="37" t="n"/>
      <c r="C3965" s="37" t="n"/>
      <c r="D3965" s="39" t="str">
        <f>IF(C3965="","",IFERROR(INDEX(art_des,MATCH(C3965,art_ref,0))&amp;"","Référence inconnue"))</f>
        <v/>
      </c>
      <c r="E3965" s="37" t="n"/>
      <c r="F3965" s="39" t="str">
        <f>IF(C3965="","",IFERROR(INDEX(art_unit,MATCH(C3965,art_ref,0))&amp;"",""))</f>
        <v/>
      </c>
      <c r="G3965" s="37" t="n"/>
      <c r="H3965" s="37" t="n"/>
      <c r="I3965" s="37" t="n"/>
      <c r="J3965" s="40" t="str">
        <f>IF(OR(C3965="",NOT(ISNUMBER(E3965))),"",IFERROR(E3965*N(INDEX(art_price,MATCH(C3965,art_ref,0))),""))</f>
        <v/>
      </c>
      <c r="K3965" s="39" t="str">
        <f>IF(OR(C3965="",NOT(ISNUMBER(E3965))),"",IFERROR(ROUND(N(INDEX(art_init,MATCH(C3965,art_ref,0)))+SUMIFS($E$5:E3965,$C$5:C3965,C3965,$B$5:B3965,"Entrée")-SUMIFS($E$5:E3965,$C$5:C3965,C3965,$B$5:B3965,"Sortie"),6),""))</f>
        <v/>
      </c>
      <c r="L3965" s="39" t="str">
        <f>IF(COUNTA(A3965:C3965,E3965)=0,"",IF(COUNTA(A3965:C3965,E3965)&lt;4,"Ligne incomplète",IF(NOT(ISNUMBER(A3965)),"Date invalide",IF(AND(B3965&lt;&gt;"Entrée",B3965&lt;&gt;"Sortie"),"Type inconnu",IF(ISNA(MATCH(C3965,art_ref,0)),"Référence inconnue",IF(OR(NOT(ISNUMBER(E3965)),N(E3965)&lt;=0),"Quantité invalide",IF(K3965&lt;0,"Stock négatif",IF(AND(ISNUMBER(A3964),A3965&lt;A3964),"Date hors ordre","OK"))))))))</f>
        <v/>
      </c>
      <c r="M3965" s="39" t="str">
        <f>IF(C3965="","",C3965&amp;"#"&amp;COUNTIF($C$5:C3965,C3965))</f>
        <v/>
      </c>
    </row>
    <row r="3966">
      <c r="A3966" s="41" t="n"/>
      <c r="B3966" s="37" t="n"/>
      <c r="C3966" s="37" t="n"/>
      <c r="D3966" s="39" t="str">
        <f>IF(C3966="","",IFERROR(INDEX(art_des,MATCH(C3966,art_ref,0))&amp;"","Référence inconnue"))</f>
        <v/>
      </c>
      <c r="E3966" s="37" t="n"/>
      <c r="F3966" s="39" t="str">
        <f>IF(C3966="","",IFERROR(INDEX(art_unit,MATCH(C3966,art_ref,0))&amp;"",""))</f>
        <v/>
      </c>
      <c r="G3966" s="37" t="n"/>
      <c r="H3966" s="37" t="n"/>
      <c r="I3966" s="37" t="n"/>
      <c r="J3966" s="40" t="str">
        <f>IF(OR(C3966="",NOT(ISNUMBER(E3966))),"",IFERROR(E3966*N(INDEX(art_price,MATCH(C3966,art_ref,0))),""))</f>
        <v/>
      </c>
      <c r="K3966" s="39" t="str">
        <f>IF(OR(C3966="",NOT(ISNUMBER(E3966))),"",IFERROR(ROUND(N(INDEX(art_init,MATCH(C3966,art_ref,0)))+SUMIFS($E$5:E3966,$C$5:C3966,C3966,$B$5:B3966,"Entrée")-SUMIFS($E$5:E3966,$C$5:C3966,C3966,$B$5:B3966,"Sortie"),6),""))</f>
        <v/>
      </c>
      <c r="L3966" s="39" t="str">
        <f>IF(COUNTA(A3966:C3966,E3966)=0,"",IF(COUNTA(A3966:C3966,E3966)&lt;4,"Ligne incomplète",IF(NOT(ISNUMBER(A3966)),"Date invalide",IF(AND(B3966&lt;&gt;"Entrée",B3966&lt;&gt;"Sortie"),"Type inconnu",IF(ISNA(MATCH(C3966,art_ref,0)),"Référence inconnue",IF(OR(NOT(ISNUMBER(E3966)),N(E3966)&lt;=0),"Quantité invalide",IF(K3966&lt;0,"Stock négatif",IF(AND(ISNUMBER(A3965),A3966&lt;A3965),"Date hors ordre","OK"))))))))</f>
        <v/>
      </c>
      <c r="M3966" s="39" t="str">
        <f>IF(C3966="","",C3966&amp;"#"&amp;COUNTIF($C$5:C3966,C3966))</f>
        <v/>
      </c>
    </row>
    <row r="3967">
      <c r="A3967" s="41" t="n"/>
      <c r="B3967" s="37" t="n"/>
      <c r="C3967" s="37" t="n"/>
      <c r="D3967" s="39" t="str">
        <f>IF(C3967="","",IFERROR(INDEX(art_des,MATCH(C3967,art_ref,0))&amp;"","Référence inconnue"))</f>
        <v/>
      </c>
      <c r="E3967" s="37" t="n"/>
      <c r="F3967" s="39" t="str">
        <f>IF(C3967="","",IFERROR(INDEX(art_unit,MATCH(C3967,art_ref,0))&amp;"",""))</f>
        <v/>
      </c>
      <c r="G3967" s="37" t="n"/>
      <c r="H3967" s="37" t="n"/>
      <c r="I3967" s="37" t="n"/>
      <c r="J3967" s="40" t="str">
        <f>IF(OR(C3967="",NOT(ISNUMBER(E3967))),"",IFERROR(E3967*N(INDEX(art_price,MATCH(C3967,art_ref,0))),""))</f>
        <v/>
      </c>
      <c r="K3967" s="39" t="str">
        <f>IF(OR(C3967="",NOT(ISNUMBER(E3967))),"",IFERROR(ROUND(N(INDEX(art_init,MATCH(C3967,art_ref,0)))+SUMIFS($E$5:E3967,$C$5:C3967,C3967,$B$5:B3967,"Entrée")-SUMIFS($E$5:E3967,$C$5:C3967,C3967,$B$5:B3967,"Sortie"),6),""))</f>
        <v/>
      </c>
      <c r="L3967" s="39" t="str">
        <f>IF(COUNTA(A3967:C3967,E3967)=0,"",IF(COUNTA(A3967:C3967,E3967)&lt;4,"Ligne incomplète",IF(NOT(ISNUMBER(A3967)),"Date invalide",IF(AND(B3967&lt;&gt;"Entrée",B3967&lt;&gt;"Sortie"),"Type inconnu",IF(ISNA(MATCH(C3967,art_ref,0)),"Référence inconnue",IF(OR(NOT(ISNUMBER(E3967)),N(E3967)&lt;=0),"Quantité invalide",IF(K3967&lt;0,"Stock négatif",IF(AND(ISNUMBER(A3966),A3967&lt;A3966),"Date hors ordre","OK"))))))))</f>
        <v/>
      </c>
      <c r="M3967" s="39" t="str">
        <f>IF(C3967="","",C3967&amp;"#"&amp;COUNTIF($C$5:C3967,C3967))</f>
        <v/>
      </c>
    </row>
    <row r="3968">
      <c r="A3968" s="41" t="n"/>
      <c r="B3968" s="37" t="n"/>
      <c r="C3968" s="37" t="n"/>
      <c r="D3968" s="39" t="str">
        <f>IF(C3968="","",IFERROR(INDEX(art_des,MATCH(C3968,art_ref,0))&amp;"","Référence inconnue"))</f>
        <v/>
      </c>
      <c r="E3968" s="37" t="n"/>
      <c r="F3968" s="39" t="str">
        <f>IF(C3968="","",IFERROR(INDEX(art_unit,MATCH(C3968,art_ref,0))&amp;"",""))</f>
        <v/>
      </c>
      <c r="G3968" s="37" t="n"/>
      <c r="H3968" s="37" t="n"/>
      <c r="I3968" s="37" t="n"/>
      <c r="J3968" s="40" t="str">
        <f>IF(OR(C3968="",NOT(ISNUMBER(E3968))),"",IFERROR(E3968*N(INDEX(art_price,MATCH(C3968,art_ref,0))),""))</f>
        <v/>
      </c>
      <c r="K3968" s="39" t="str">
        <f>IF(OR(C3968="",NOT(ISNUMBER(E3968))),"",IFERROR(ROUND(N(INDEX(art_init,MATCH(C3968,art_ref,0)))+SUMIFS($E$5:E3968,$C$5:C3968,C3968,$B$5:B3968,"Entrée")-SUMIFS($E$5:E3968,$C$5:C3968,C3968,$B$5:B3968,"Sortie"),6),""))</f>
        <v/>
      </c>
      <c r="L3968" s="39" t="str">
        <f>IF(COUNTA(A3968:C3968,E3968)=0,"",IF(COUNTA(A3968:C3968,E3968)&lt;4,"Ligne incomplète",IF(NOT(ISNUMBER(A3968)),"Date invalide",IF(AND(B3968&lt;&gt;"Entrée",B3968&lt;&gt;"Sortie"),"Type inconnu",IF(ISNA(MATCH(C3968,art_ref,0)),"Référence inconnue",IF(OR(NOT(ISNUMBER(E3968)),N(E3968)&lt;=0),"Quantité invalide",IF(K3968&lt;0,"Stock négatif",IF(AND(ISNUMBER(A3967),A3968&lt;A3967),"Date hors ordre","OK"))))))))</f>
        <v/>
      </c>
      <c r="M3968" s="39" t="str">
        <f>IF(C3968="","",C3968&amp;"#"&amp;COUNTIF($C$5:C3968,C3968))</f>
        <v/>
      </c>
    </row>
    <row r="3969">
      <c r="A3969" s="41" t="n"/>
      <c r="B3969" s="37" t="n"/>
      <c r="C3969" s="37" t="n"/>
      <c r="D3969" s="39" t="str">
        <f>IF(C3969="","",IFERROR(INDEX(art_des,MATCH(C3969,art_ref,0))&amp;"","Référence inconnue"))</f>
        <v/>
      </c>
      <c r="E3969" s="37" t="n"/>
      <c r="F3969" s="39" t="str">
        <f>IF(C3969="","",IFERROR(INDEX(art_unit,MATCH(C3969,art_ref,0))&amp;"",""))</f>
        <v/>
      </c>
      <c r="G3969" s="37" t="n"/>
      <c r="H3969" s="37" t="n"/>
      <c r="I3969" s="37" t="n"/>
      <c r="J3969" s="40" t="str">
        <f>IF(OR(C3969="",NOT(ISNUMBER(E3969))),"",IFERROR(E3969*N(INDEX(art_price,MATCH(C3969,art_ref,0))),""))</f>
        <v/>
      </c>
      <c r="K3969" s="39" t="str">
        <f>IF(OR(C3969="",NOT(ISNUMBER(E3969))),"",IFERROR(ROUND(N(INDEX(art_init,MATCH(C3969,art_ref,0)))+SUMIFS($E$5:E3969,$C$5:C3969,C3969,$B$5:B3969,"Entrée")-SUMIFS($E$5:E3969,$C$5:C3969,C3969,$B$5:B3969,"Sortie"),6),""))</f>
        <v/>
      </c>
      <c r="L3969" s="39" t="str">
        <f>IF(COUNTA(A3969:C3969,E3969)=0,"",IF(COUNTA(A3969:C3969,E3969)&lt;4,"Ligne incomplète",IF(NOT(ISNUMBER(A3969)),"Date invalide",IF(AND(B3969&lt;&gt;"Entrée",B3969&lt;&gt;"Sortie"),"Type inconnu",IF(ISNA(MATCH(C3969,art_ref,0)),"Référence inconnue",IF(OR(NOT(ISNUMBER(E3969)),N(E3969)&lt;=0),"Quantité invalide",IF(K3969&lt;0,"Stock négatif",IF(AND(ISNUMBER(A3968),A3969&lt;A3968),"Date hors ordre","OK"))))))))</f>
        <v/>
      </c>
      <c r="M3969" s="39" t="str">
        <f>IF(C3969="","",C3969&amp;"#"&amp;COUNTIF($C$5:C3969,C3969))</f>
        <v/>
      </c>
    </row>
    <row r="3970">
      <c r="A3970" s="41" t="n"/>
      <c r="B3970" s="37" t="n"/>
      <c r="C3970" s="37" t="n"/>
      <c r="D3970" s="39" t="str">
        <f>IF(C3970="","",IFERROR(INDEX(art_des,MATCH(C3970,art_ref,0))&amp;"","Référence inconnue"))</f>
        <v/>
      </c>
      <c r="E3970" s="37" t="n"/>
      <c r="F3970" s="39" t="str">
        <f>IF(C3970="","",IFERROR(INDEX(art_unit,MATCH(C3970,art_ref,0))&amp;"",""))</f>
        <v/>
      </c>
      <c r="G3970" s="37" t="n"/>
      <c r="H3970" s="37" t="n"/>
      <c r="I3970" s="37" t="n"/>
      <c r="J3970" s="40" t="str">
        <f>IF(OR(C3970="",NOT(ISNUMBER(E3970))),"",IFERROR(E3970*N(INDEX(art_price,MATCH(C3970,art_ref,0))),""))</f>
        <v/>
      </c>
      <c r="K3970" s="39" t="str">
        <f>IF(OR(C3970="",NOT(ISNUMBER(E3970))),"",IFERROR(ROUND(N(INDEX(art_init,MATCH(C3970,art_ref,0)))+SUMIFS($E$5:E3970,$C$5:C3970,C3970,$B$5:B3970,"Entrée")-SUMIFS($E$5:E3970,$C$5:C3970,C3970,$B$5:B3970,"Sortie"),6),""))</f>
        <v/>
      </c>
      <c r="L3970" s="39" t="str">
        <f>IF(COUNTA(A3970:C3970,E3970)=0,"",IF(COUNTA(A3970:C3970,E3970)&lt;4,"Ligne incomplète",IF(NOT(ISNUMBER(A3970)),"Date invalide",IF(AND(B3970&lt;&gt;"Entrée",B3970&lt;&gt;"Sortie"),"Type inconnu",IF(ISNA(MATCH(C3970,art_ref,0)),"Référence inconnue",IF(OR(NOT(ISNUMBER(E3970)),N(E3970)&lt;=0),"Quantité invalide",IF(K3970&lt;0,"Stock négatif",IF(AND(ISNUMBER(A3969),A3970&lt;A3969),"Date hors ordre","OK"))))))))</f>
        <v/>
      </c>
      <c r="M3970" s="39" t="str">
        <f>IF(C3970="","",C3970&amp;"#"&amp;COUNTIF($C$5:C3970,C3970))</f>
        <v/>
      </c>
    </row>
    <row r="3971">
      <c r="A3971" s="41" t="n"/>
      <c r="B3971" s="37" t="n"/>
      <c r="C3971" s="37" t="n"/>
      <c r="D3971" s="39" t="str">
        <f>IF(C3971="","",IFERROR(INDEX(art_des,MATCH(C3971,art_ref,0))&amp;"","Référence inconnue"))</f>
        <v/>
      </c>
      <c r="E3971" s="37" t="n"/>
      <c r="F3971" s="39" t="str">
        <f>IF(C3971="","",IFERROR(INDEX(art_unit,MATCH(C3971,art_ref,0))&amp;"",""))</f>
        <v/>
      </c>
      <c r="G3971" s="37" t="n"/>
      <c r="H3971" s="37" t="n"/>
      <c r="I3971" s="37" t="n"/>
      <c r="J3971" s="40" t="str">
        <f>IF(OR(C3971="",NOT(ISNUMBER(E3971))),"",IFERROR(E3971*N(INDEX(art_price,MATCH(C3971,art_ref,0))),""))</f>
        <v/>
      </c>
      <c r="K3971" s="39" t="str">
        <f>IF(OR(C3971="",NOT(ISNUMBER(E3971))),"",IFERROR(ROUND(N(INDEX(art_init,MATCH(C3971,art_ref,0)))+SUMIFS($E$5:E3971,$C$5:C3971,C3971,$B$5:B3971,"Entrée")-SUMIFS($E$5:E3971,$C$5:C3971,C3971,$B$5:B3971,"Sortie"),6),""))</f>
        <v/>
      </c>
      <c r="L3971" s="39" t="str">
        <f>IF(COUNTA(A3971:C3971,E3971)=0,"",IF(COUNTA(A3971:C3971,E3971)&lt;4,"Ligne incomplète",IF(NOT(ISNUMBER(A3971)),"Date invalide",IF(AND(B3971&lt;&gt;"Entrée",B3971&lt;&gt;"Sortie"),"Type inconnu",IF(ISNA(MATCH(C3971,art_ref,0)),"Référence inconnue",IF(OR(NOT(ISNUMBER(E3971)),N(E3971)&lt;=0),"Quantité invalide",IF(K3971&lt;0,"Stock négatif",IF(AND(ISNUMBER(A3970),A3971&lt;A3970),"Date hors ordre","OK"))))))))</f>
        <v/>
      </c>
      <c r="M3971" s="39" t="str">
        <f>IF(C3971="","",C3971&amp;"#"&amp;COUNTIF($C$5:C3971,C3971))</f>
        <v/>
      </c>
    </row>
    <row r="3972">
      <c r="A3972" s="41" t="n"/>
      <c r="B3972" s="37" t="n"/>
      <c r="C3972" s="37" t="n"/>
      <c r="D3972" s="39" t="str">
        <f>IF(C3972="","",IFERROR(INDEX(art_des,MATCH(C3972,art_ref,0))&amp;"","Référence inconnue"))</f>
        <v/>
      </c>
      <c r="E3972" s="37" t="n"/>
      <c r="F3972" s="39" t="str">
        <f>IF(C3972="","",IFERROR(INDEX(art_unit,MATCH(C3972,art_ref,0))&amp;"",""))</f>
        <v/>
      </c>
      <c r="G3972" s="37" t="n"/>
      <c r="H3972" s="37" t="n"/>
      <c r="I3972" s="37" t="n"/>
      <c r="J3972" s="40" t="str">
        <f>IF(OR(C3972="",NOT(ISNUMBER(E3972))),"",IFERROR(E3972*N(INDEX(art_price,MATCH(C3972,art_ref,0))),""))</f>
        <v/>
      </c>
      <c r="K3972" s="39" t="str">
        <f>IF(OR(C3972="",NOT(ISNUMBER(E3972))),"",IFERROR(ROUND(N(INDEX(art_init,MATCH(C3972,art_ref,0)))+SUMIFS($E$5:E3972,$C$5:C3972,C3972,$B$5:B3972,"Entrée")-SUMIFS($E$5:E3972,$C$5:C3972,C3972,$B$5:B3972,"Sortie"),6),""))</f>
        <v/>
      </c>
      <c r="L3972" s="39" t="str">
        <f>IF(COUNTA(A3972:C3972,E3972)=0,"",IF(COUNTA(A3972:C3972,E3972)&lt;4,"Ligne incomplète",IF(NOT(ISNUMBER(A3972)),"Date invalide",IF(AND(B3972&lt;&gt;"Entrée",B3972&lt;&gt;"Sortie"),"Type inconnu",IF(ISNA(MATCH(C3972,art_ref,0)),"Référence inconnue",IF(OR(NOT(ISNUMBER(E3972)),N(E3972)&lt;=0),"Quantité invalide",IF(K3972&lt;0,"Stock négatif",IF(AND(ISNUMBER(A3971),A3972&lt;A3971),"Date hors ordre","OK"))))))))</f>
        <v/>
      </c>
      <c r="M3972" s="39" t="str">
        <f>IF(C3972="","",C3972&amp;"#"&amp;COUNTIF($C$5:C3972,C3972))</f>
        <v/>
      </c>
    </row>
    <row r="3973">
      <c r="A3973" s="41" t="n"/>
      <c r="B3973" s="37" t="n"/>
      <c r="C3973" s="37" t="n"/>
      <c r="D3973" s="39" t="str">
        <f>IF(C3973="","",IFERROR(INDEX(art_des,MATCH(C3973,art_ref,0))&amp;"","Référence inconnue"))</f>
        <v/>
      </c>
      <c r="E3973" s="37" t="n"/>
      <c r="F3973" s="39" t="str">
        <f>IF(C3973="","",IFERROR(INDEX(art_unit,MATCH(C3973,art_ref,0))&amp;"",""))</f>
        <v/>
      </c>
      <c r="G3973" s="37" t="n"/>
      <c r="H3973" s="37" t="n"/>
      <c r="I3973" s="37" t="n"/>
      <c r="J3973" s="40" t="str">
        <f>IF(OR(C3973="",NOT(ISNUMBER(E3973))),"",IFERROR(E3973*N(INDEX(art_price,MATCH(C3973,art_ref,0))),""))</f>
        <v/>
      </c>
      <c r="K3973" s="39" t="str">
        <f>IF(OR(C3973="",NOT(ISNUMBER(E3973))),"",IFERROR(ROUND(N(INDEX(art_init,MATCH(C3973,art_ref,0)))+SUMIFS($E$5:E3973,$C$5:C3973,C3973,$B$5:B3973,"Entrée")-SUMIFS($E$5:E3973,$C$5:C3973,C3973,$B$5:B3973,"Sortie"),6),""))</f>
        <v/>
      </c>
      <c r="L3973" s="39" t="str">
        <f>IF(COUNTA(A3973:C3973,E3973)=0,"",IF(COUNTA(A3973:C3973,E3973)&lt;4,"Ligne incomplète",IF(NOT(ISNUMBER(A3973)),"Date invalide",IF(AND(B3973&lt;&gt;"Entrée",B3973&lt;&gt;"Sortie"),"Type inconnu",IF(ISNA(MATCH(C3973,art_ref,0)),"Référence inconnue",IF(OR(NOT(ISNUMBER(E3973)),N(E3973)&lt;=0),"Quantité invalide",IF(K3973&lt;0,"Stock négatif",IF(AND(ISNUMBER(A3972),A3973&lt;A3972),"Date hors ordre","OK"))))))))</f>
        <v/>
      </c>
      <c r="M3973" s="39" t="str">
        <f>IF(C3973="","",C3973&amp;"#"&amp;COUNTIF($C$5:C3973,C3973))</f>
        <v/>
      </c>
    </row>
    <row r="3974">
      <c r="A3974" s="41" t="n"/>
      <c r="B3974" s="37" t="n"/>
      <c r="C3974" s="37" t="n"/>
      <c r="D3974" s="39" t="str">
        <f>IF(C3974="","",IFERROR(INDEX(art_des,MATCH(C3974,art_ref,0))&amp;"","Référence inconnue"))</f>
        <v/>
      </c>
      <c r="E3974" s="37" t="n"/>
      <c r="F3974" s="39" t="str">
        <f>IF(C3974="","",IFERROR(INDEX(art_unit,MATCH(C3974,art_ref,0))&amp;"",""))</f>
        <v/>
      </c>
      <c r="G3974" s="37" t="n"/>
      <c r="H3974" s="37" t="n"/>
      <c r="I3974" s="37" t="n"/>
      <c r="J3974" s="40" t="str">
        <f>IF(OR(C3974="",NOT(ISNUMBER(E3974))),"",IFERROR(E3974*N(INDEX(art_price,MATCH(C3974,art_ref,0))),""))</f>
        <v/>
      </c>
      <c r="K3974" s="39" t="str">
        <f>IF(OR(C3974="",NOT(ISNUMBER(E3974))),"",IFERROR(ROUND(N(INDEX(art_init,MATCH(C3974,art_ref,0)))+SUMIFS($E$5:E3974,$C$5:C3974,C3974,$B$5:B3974,"Entrée")-SUMIFS($E$5:E3974,$C$5:C3974,C3974,$B$5:B3974,"Sortie"),6),""))</f>
        <v/>
      </c>
      <c r="L3974" s="39" t="str">
        <f>IF(COUNTA(A3974:C3974,E3974)=0,"",IF(COUNTA(A3974:C3974,E3974)&lt;4,"Ligne incomplète",IF(NOT(ISNUMBER(A3974)),"Date invalide",IF(AND(B3974&lt;&gt;"Entrée",B3974&lt;&gt;"Sortie"),"Type inconnu",IF(ISNA(MATCH(C3974,art_ref,0)),"Référence inconnue",IF(OR(NOT(ISNUMBER(E3974)),N(E3974)&lt;=0),"Quantité invalide",IF(K3974&lt;0,"Stock négatif",IF(AND(ISNUMBER(A3973),A3974&lt;A3973),"Date hors ordre","OK"))))))))</f>
        <v/>
      </c>
      <c r="M3974" s="39" t="str">
        <f>IF(C3974="","",C3974&amp;"#"&amp;COUNTIF($C$5:C3974,C3974))</f>
        <v/>
      </c>
    </row>
    <row r="3975">
      <c r="A3975" s="41" t="n"/>
      <c r="B3975" s="37" t="n"/>
      <c r="C3975" s="37" t="n"/>
      <c r="D3975" s="39" t="str">
        <f>IF(C3975="","",IFERROR(INDEX(art_des,MATCH(C3975,art_ref,0))&amp;"","Référence inconnue"))</f>
        <v/>
      </c>
      <c r="E3975" s="37" t="n"/>
      <c r="F3975" s="39" t="str">
        <f>IF(C3975="","",IFERROR(INDEX(art_unit,MATCH(C3975,art_ref,0))&amp;"",""))</f>
        <v/>
      </c>
      <c r="G3975" s="37" t="n"/>
      <c r="H3975" s="37" t="n"/>
      <c r="I3975" s="37" t="n"/>
      <c r="J3975" s="40" t="str">
        <f>IF(OR(C3975="",NOT(ISNUMBER(E3975))),"",IFERROR(E3975*N(INDEX(art_price,MATCH(C3975,art_ref,0))),""))</f>
        <v/>
      </c>
      <c r="K3975" s="39" t="str">
        <f>IF(OR(C3975="",NOT(ISNUMBER(E3975))),"",IFERROR(ROUND(N(INDEX(art_init,MATCH(C3975,art_ref,0)))+SUMIFS($E$5:E3975,$C$5:C3975,C3975,$B$5:B3975,"Entrée")-SUMIFS($E$5:E3975,$C$5:C3975,C3975,$B$5:B3975,"Sortie"),6),""))</f>
        <v/>
      </c>
      <c r="L3975" s="39" t="str">
        <f>IF(COUNTA(A3975:C3975,E3975)=0,"",IF(COUNTA(A3975:C3975,E3975)&lt;4,"Ligne incomplète",IF(NOT(ISNUMBER(A3975)),"Date invalide",IF(AND(B3975&lt;&gt;"Entrée",B3975&lt;&gt;"Sortie"),"Type inconnu",IF(ISNA(MATCH(C3975,art_ref,0)),"Référence inconnue",IF(OR(NOT(ISNUMBER(E3975)),N(E3975)&lt;=0),"Quantité invalide",IF(K3975&lt;0,"Stock négatif",IF(AND(ISNUMBER(A3974),A3975&lt;A3974),"Date hors ordre","OK"))))))))</f>
        <v/>
      </c>
      <c r="M3975" s="39" t="str">
        <f>IF(C3975="","",C3975&amp;"#"&amp;COUNTIF($C$5:C3975,C3975))</f>
        <v/>
      </c>
    </row>
    <row r="3976">
      <c r="A3976" s="41" t="n"/>
      <c r="B3976" s="37" t="n"/>
      <c r="C3976" s="37" t="n"/>
      <c r="D3976" s="39" t="str">
        <f>IF(C3976="","",IFERROR(INDEX(art_des,MATCH(C3976,art_ref,0))&amp;"","Référence inconnue"))</f>
        <v/>
      </c>
      <c r="E3976" s="37" t="n"/>
      <c r="F3976" s="39" t="str">
        <f>IF(C3976="","",IFERROR(INDEX(art_unit,MATCH(C3976,art_ref,0))&amp;"",""))</f>
        <v/>
      </c>
      <c r="G3976" s="37" t="n"/>
      <c r="H3976" s="37" t="n"/>
      <c r="I3976" s="37" t="n"/>
      <c r="J3976" s="40" t="str">
        <f>IF(OR(C3976="",NOT(ISNUMBER(E3976))),"",IFERROR(E3976*N(INDEX(art_price,MATCH(C3976,art_ref,0))),""))</f>
        <v/>
      </c>
      <c r="K3976" s="39" t="str">
        <f>IF(OR(C3976="",NOT(ISNUMBER(E3976))),"",IFERROR(ROUND(N(INDEX(art_init,MATCH(C3976,art_ref,0)))+SUMIFS($E$5:E3976,$C$5:C3976,C3976,$B$5:B3976,"Entrée")-SUMIFS($E$5:E3976,$C$5:C3976,C3976,$B$5:B3976,"Sortie"),6),""))</f>
        <v/>
      </c>
      <c r="L3976" s="39" t="str">
        <f>IF(COUNTA(A3976:C3976,E3976)=0,"",IF(COUNTA(A3976:C3976,E3976)&lt;4,"Ligne incomplète",IF(NOT(ISNUMBER(A3976)),"Date invalide",IF(AND(B3976&lt;&gt;"Entrée",B3976&lt;&gt;"Sortie"),"Type inconnu",IF(ISNA(MATCH(C3976,art_ref,0)),"Référence inconnue",IF(OR(NOT(ISNUMBER(E3976)),N(E3976)&lt;=0),"Quantité invalide",IF(K3976&lt;0,"Stock négatif",IF(AND(ISNUMBER(A3975),A3976&lt;A3975),"Date hors ordre","OK"))))))))</f>
        <v/>
      </c>
      <c r="M3976" s="39" t="str">
        <f>IF(C3976="","",C3976&amp;"#"&amp;COUNTIF($C$5:C3976,C3976))</f>
        <v/>
      </c>
    </row>
    <row r="3977">
      <c r="A3977" s="41" t="n"/>
      <c r="B3977" s="37" t="n"/>
      <c r="C3977" s="37" t="n"/>
      <c r="D3977" s="39" t="str">
        <f>IF(C3977="","",IFERROR(INDEX(art_des,MATCH(C3977,art_ref,0))&amp;"","Référence inconnue"))</f>
        <v/>
      </c>
      <c r="E3977" s="37" t="n"/>
      <c r="F3977" s="39" t="str">
        <f>IF(C3977="","",IFERROR(INDEX(art_unit,MATCH(C3977,art_ref,0))&amp;"",""))</f>
        <v/>
      </c>
      <c r="G3977" s="37" t="n"/>
      <c r="H3977" s="37" t="n"/>
      <c r="I3977" s="37" t="n"/>
      <c r="J3977" s="40" t="str">
        <f>IF(OR(C3977="",NOT(ISNUMBER(E3977))),"",IFERROR(E3977*N(INDEX(art_price,MATCH(C3977,art_ref,0))),""))</f>
        <v/>
      </c>
      <c r="K3977" s="39" t="str">
        <f>IF(OR(C3977="",NOT(ISNUMBER(E3977))),"",IFERROR(ROUND(N(INDEX(art_init,MATCH(C3977,art_ref,0)))+SUMIFS($E$5:E3977,$C$5:C3977,C3977,$B$5:B3977,"Entrée")-SUMIFS($E$5:E3977,$C$5:C3977,C3977,$B$5:B3977,"Sortie"),6),""))</f>
        <v/>
      </c>
      <c r="L3977" s="39" t="str">
        <f>IF(COUNTA(A3977:C3977,E3977)=0,"",IF(COUNTA(A3977:C3977,E3977)&lt;4,"Ligne incomplète",IF(NOT(ISNUMBER(A3977)),"Date invalide",IF(AND(B3977&lt;&gt;"Entrée",B3977&lt;&gt;"Sortie"),"Type inconnu",IF(ISNA(MATCH(C3977,art_ref,0)),"Référence inconnue",IF(OR(NOT(ISNUMBER(E3977)),N(E3977)&lt;=0),"Quantité invalide",IF(K3977&lt;0,"Stock négatif",IF(AND(ISNUMBER(A3976),A3977&lt;A3976),"Date hors ordre","OK"))))))))</f>
        <v/>
      </c>
      <c r="M3977" s="39" t="str">
        <f>IF(C3977="","",C3977&amp;"#"&amp;COUNTIF($C$5:C3977,C3977))</f>
        <v/>
      </c>
    </row>
    <row r="3978">
      <c r="A3978" s="41" t="n"/>
      <c r="B3978" s="37" t="n"/>
      <c r="C3978" s="37" t="n"/>
      <c r="D3978" s="39" t="str">
        <f>IF(C3978="","",IFERROR(INDEX(art_des,MATCH(C3978,art_ref,0))&amp;"","Référence inconnue"))</f>
        <v/>
      </c>
      <c r="E3978" s="37" t="n"/>
      <c r="F3978" s="39" t="str">
        <f>IF(C3978="","",IFERROR(INDEX(art_unit,MATCH(C3978,art_ref,0))&amp;"",""))</f>
        <v/>
      </c>
      <c r="G3978" s="37" t="n"/>
      <c r="H3978" s="37" t="n"/>
      <c r="I3978" s="37" t="n"/>
      <c r="J3978" s="40" t="str">
        <f>IF(OR(C3978="",NOT(ISNUMBER(E3978))),"",IFERROR(E3978*N(INDEX(art_price,MATCH(C3978,art_ref,0))),""))</f>
        <v/>
      </c>
      <c r="K3978" s="39" t="str">
        <f>IF(OR(C3978="",NOT(ISNUMBER(E3978))),"",IFERROR(ROUND(N(INDEX(art_init,MATCH(C3978,art_ref,0)))+SUMIFS($E$5:E3978,$C$5:C3978,C3978,$B$5:B3978,"Entrée")-SUMIFS($E$5:E3978,$C$5:C3978,C3978,$B$5:B3978,"Sortie"),6),""))</f>
        <v/>
      </c>
      <c r="L3978" s="39" t="str">
        <f>IF(COUNTA(A3978:C3978,E3978)=0,"",IF(COUNTA(A3978:C3978,E3978)&lt;4,"Ligne incomplète",IF(NOT(ISNUMBER(A3978)),"Date invalide",IF(AND(B3978&lt;&gt;"Entrée",B3978&lt;&gt;"Sortie"),"Type inconnu",IF(ISNA(MATCH(C3978,art_ref,0)),"Référence inconnue",IF(OR(NOT(ISNUMBER(E3978)),N(E3978)&lt;=0),"Quantité invalide",IF(K3978&lt;0,"Stock négatif",IF(AND(ISNUMBER(A3977),A3978&lt;A3977),"Date hors ordre","OK"))))))))</f>
        <v/>
      </c>
      <c r="M3978" s="39" t="str">
        <f>IF(C3978="","",C3978&amp;"#"&amp;COUNTIF($C$5:C3978,C3978))</f>
        <v/>
      </c>
    </row>
    <row r="3979">
      <c r="A3979" s="41" t="n"/>
      <c r="B3979" s="37" t="n"/>
      <c r="C3979" s="37" t="n"/>
      <c r="D3979" s="39" t="str">
        <f>IF(C3979="","",IFERROR(INDEX(art_des,MATCH(C3979,art_ref,0))&amp;"","Référence inconnue"))</f>
        <v/>
      </c>
      <c r="E3979" s="37" t="n"/>
      <c r="F3979" s="39" t="str">
        <f>IF(C3979="","",IFERROR(INDEX(art_unit,MATCH(C3979,art_ref,0))&amp;"",""))</f>
        <v/>
      </c>
      <c r="G3979" s="37" t="n"/>
      <c r="H3979" s="37" t="n"/>
      <c r="I3979" s="37" t="n"/>
      <c r="J3979" s="40" t="str">
        <f>IF(OR(C3979="",NOT(ISNUMBER(E3979))),"",IFERROR(E3979*N(INDEX(art_price,MATCH(C3979,art_ref,0))),""))</f>
        <v/>
      </c>
      <c r="K3979" s="39" t="str">
        <f>IF(OR(C3979="",NOT(ISNUMBER(E3979))),"",IFERROR(ROUND(N(INDEX(art_init,MATCH(C3979,art_ref,0)))+SUMIFS($E$5:E3979,$C$5:C3979,C3979,$B$5:B3979,"Entrée")-SUMIFS($E$5:E3979,$C$5:C3979,C3979,$B$5:B3979,"Sortie"),6),""))</f>
        <v/>
      </c>
      <c r="L3979" s="39" t="str">
        <f>IF(COUNTA(A3979:C3979,E3979)=0,"",IF(COUNTA(A3979:C3979,E3979)&lt;4,"Ligne incomplète",IF(NOT(ISNUMBER(A3979)),"Date invalide",IF(AND(B3979&lt;&gt;"Entrée",B3979&lt;&gt;"Sortie"),"Type inconnu",IF(ISNA(MATCH(C3979,art_ref,0)),"Référence inconnue",IF(OR(NOT(ISNUMBER(E3979)),N(E3979)&lt;=0),"Quantité invalide",IF(K3979&lt;0,"Stock négatif",IF(AND(ISNUMBER(A3978),A3979&lt;A3978),"Date hors ordre","OK"))))))))</f>
        <v/>
      </c>
      <c r="M3979" s="39" t="str">
        <f>IF(C3979="","",C3979&amp;"#"&amp;COUNTIF($C$5:C3979,C3979))</f>
        <v/>
      </c>
    </row>
    <row r="3980">
      <c r="A3980" s="41" t="n"/>
      <c r="B3980" s="37" t="n"/>
      <c r="C3980" s="37" t="n"/>
      <c r="D3980" s="39" t="str">
        <f>IF(C3980="","",IFERROR(INDEX(art_des,MATCH(C3980,art_ref,0))&amp;"","Référence inconnue"))</f>
        <v/>
      </c>
      <c r="E3980" s="37" t="n"/>
      <c r="F3980" s="39" t="str">
        <f>IF(C3980="","",IFERROR(INDEX(art_unit,MATCH(C3980,art_ref,0))&amp;"",""))</f>
        <v/>
      </c>
      <c r="G3980" s="37" t="n"/>
      <c r="H3980" s="37" t="n"/>
      <c r="I3980" s="37" t="n"/>
      <c r="J3980" s="40" t="str">
        <f>IF(OR(C3980="",NOT(ISNUMBER(E3980))),"",IFERROR(E3980*N(INDEX(art_price,MATCH(C3980,art_ref,0))),""))</f>
        <v/>
      </c>
      <c r="K3980" s="39" t="str">
        <f>IF(OR(C3980="",NOT(ISNUMBER(E3980))),"",IFERROR(ROUND(N(INDEX(art_init,MATCH(C3980,art_ref,0)))+SUMIFS($E$5:E3980,$C$5:C3980,C3980,$B$5:B3980,"Entrée")-SUMIFS($E$5:E3980,$C$5:C3980,C3980,$B$5:B3980,"Sortie"),6),""))</f>
        <v/>
      </c>
      <c r="L3980" s="39" t="str">
        <f>IF(COUNTA(A3980:C3980,E3980)=0,"",IF(COUNTA(A3980:C3980,E3980)&lt;4,"Ligne incomplète",IF(NOT(ISNUMBER(A3980)),"Date invalide",IF(AND(B3980&lt;&gt;"Entrée",B3980&lt;&gt;"Sortie"),"Type inconnu",IF(ISNA(MATCH(C3980,art_ref,0)),"Référence inconnue",IF(OR(NOT(ISNUMBER(E3980)),N(E3980)&lt;=0),"Quantité invalide",IF(K3980&lt;0,"Stock négatif",IF(AND(ISNUMBER(A3979),A3980&lt;A3979),"Date hors ordre","OK"))))))))</f>
        <v/>
      </c>
      <c r="M3980" s="39" t="str">
        <f>IF(C3980="","",C3980&amp;"#"&amp;COUNTIF($C$5:C3980,C3980))</f>
        <v/>
      </c>
    </row>
    <row r="3981">
      <c r="A3981" s="41" t="n"/>
      <c r="B3981" s="37" t="n"/>
      <c r="C3981" s="37" t="n"/>
      <c r="D3981" s="39" t="str">
        <f>IF(C3981="","",IFERROR(INDEX(art_des,MATCH(C3981,art_ref,0))&amp;"","Référence inconnue"))</f>
        <v/>
      </c>
      <c r="E3981" s="37" t="n"/>
      <c r="F3981" s="39" t="str">
        <f>IF(C3981="","",IFERROR(INDEX(art_unit,MATCH(C3981,art_ref,0))&amp;"",""))</f>
        <v/>
      </c>
      <c r="G3981" s="37" t="n"/>
      <c r="H3981" s="37" t="n"/>
      <c r="I3981" s="37" t="n"/>
      <c r="J3981" s="40" t="str">
        <f>IF(OR(C3981="",NOT(ISNUMBER(E3981))),"",IFERROR(E3981*N(INDEX(art_price,MATCH(C3981,art_ref,0))),""))</f>
        <v/>
      </c>
      <c r="K3981" s="39" t="str">
        <f>IF(OR(C3981="",NOT(ISNUMBER(E3981))),"",IFERROR(ROUND(N(INDEX(art_init,MATCH(C3981,art_ref,0)))+SUMIFS($E$5:E3981,$C$5:C3981,C3981,$B$5:B3981,"Entrée")-SUMIFS($E$5:E3981,$C$5:C3981,C3981,$B$5:B3981,"Sortie"),6),""))</f>
        <v/>
      </c>
      <c r="L3981" s="39" t="str">
        <f>IF(COUNTA(A3981:C3981,E3981)=0,"",IF(COUNTA(A3981:C3981,E3981)&lt;4,"Ligne incomplète",IF(NOT(ISNUMBER(A3981)),"Date invalide",IF(AND(B3981&lt;&gt;"Entrée",B3981&lt;&gt;"Sortie"),"Type inconnu",IF(ISNA(MATCH(C3981,art_ref,0)),"Référence inconnue",IF(OR(NOT(ISNUMBER(E3981)),N(E3981)&lt;=0),"Quantité invalide",IF(K3981&lt;0,"Stock négatif",IF(AND(ISNUMBER(A3980),A3981&lt;A3980),"Date hors ordre","OK"))))))))</f>
        <v/>
      </c>
      <c r="M3981" s="39" t="str">
        <f>IF(C3981="","",C3981&amp;"#"&amp;COUNTIF($C$5:C3981,C3981))</f>
        <v/>
      </c>
    </row>
    <row r="3982">
      <c r="A3982" s="41" t="n"/>
      <c r="B3982" s="37" t="n"/>
      <c r="C3982" s="37" t="n"/>
      <c r="D3982" s="39" t="str">
        <f>IF(C3982="","",IFERROR(INDEX(art_des,MATCH(C3982,art_ref,0))&amp;"","Référence inconnue"))</f>
        <v/>
      </c>
      <c r="E3982" s="37" t="n"/>
      <c r="F3982" s="39" t="str">
        <f>IF(C3982="","",IFERROR(INDEX(art_unit,MATCH(C3982,art_ref,0))&amp;"",""))</f>
        <v/>
      </c>
      <c r="G3982" s="37" t="n"/>
      <c r="H3982" s="37" t="n"/>
      <c r="I3982" s="37" t="n"/>
      <c r="J3982" s="40" t="str">
        <f>IF(OR(C3982="",NOT(ISNUMBER(E3982))),"",IFERROR(E3982*N(INDEX(art_price,MATCH(C3982,art_ref,0))),""))</f>
        <v/>
      </c>
      <c r="K3982" s="39" t="str">
        <f>IF(OR(C3982="",NOT(ISNUMBER(E3982))),"",IFERROR(ROUND(N(INDEX(art_init,MATCH(C3982,art_ref,0)))+SUMIFS($E$5:E3982,$C$5:C3982,C3982,$B$5:B3982,"Entrée")-SUMIFS($E$5:E3982,$C$5:C3982,C3982,$B$5:B3982,"Sortie"),6),""))</f>
        <v/>
      </c>
      <c r="L3982" s="39" t="str">
        <f>IF(COUNTA(A3982:C3982,E3982)=0,"",IF(COUNTA(A3982:C3982,E3982)&lt;4,"Ligne incomplète",IF(NOT(ISNUMBER(A3982)),"Date invalide",IF(AND(B3982&lt;&gt;"Entrée",B3982&lt;&gt;"Sortie"),"Type inconnu",IF(ISNA(MATCH(C3982,art_ref,0)),"Référence inconnue",IF(OR(NOT(ISNUMBER(E3982)),N(E3982)&lt;=0),"Quantité invalide",IF(K3982&lt;0,"Stock négatif",IF(AND(ISNUMBER(A3981),A3982&lt;A3981),"Date hors ordre","OK"))))))))</f>
        <v/>
      </c>
      <c r="M3982" s="39" t="str">
        <f>IF(C3982="","",C3982&amp;"#"&amp;COUNTIF($C$5:C3982,C3982))</f>
        <v/>
      </c>
    </row>
    <row r="3983">
      <c r="A3983" s="41" t="n"/>
      <c r="B3983" s="37" t="n"/>
      <c r="C3983" s="37" t="n"/>
      <c r="D3983" s="39" t="str">
        <f>IF(C3983="","",IFERROR(INDEX(art_des,MATCH(C3983,art_ref,0))&amp;"","Référence inconnue"))</f>
        <v/>
      </c>
      <c r="E3983" s="37" t="n"/>
      <c r="F3983" s="39" t="str">
        <f>IF(C3983="","",IFERROR(INDEX(art_unit,MATCH(C3983,art_ref,0))&amp;"",""))</f>
        <v/>
      </c>
      <c r="G3983" s="37" t="n"/>
      <c r="H3983" s="37" t="n"/>
      <c r="I3983" s="37" t="n"/>
      <c r="J3983" s="40" t="str">
        <f>IF(OR(C3983="",NOT(ISNUMBER(E3983))),"",IFERROR(E3983*N(INDEX(art_price,MATCH(C3983,art_ref,0))),""))</f>
        <v/>
      </c>
      <c r="K3983" s="39" t="str">
        <f>IF(OR(C3983="",NOT(ISNUMBER(E3983))),"",IFERROR(ROUND(N(INDEX(art_init,MATCH(C3983,art_ref,0)))+SUMIFS($E$5:E3983,$C$5:C3983,C3983,$B$5:B3983,"Entrée")-SUMIFS($E$5:E3983,$C$5:C3983,C3983,$B$5:B3983,"Sortie"),6),""))</f>
        <v/>
      </c>
      <c r="L3983" s="39" t="str">
        <f>IF(COUNTA(A3983:C3983,E3983)=0,"",IF(COUNTA(A3983:C3983,E3983)&lt;4,"Ligne incomplète",IF(NOT(ISNUMBER(A3983)),"Date invalide",IF(AND(B3983&lt;&gt;"Entrée",B3983&lt;&gt;"Sortie"),"Type inconnu",IF(ISNA(MATCH(C3983,art_ref,0)),"Référence inconnue",IF(OR(NOT(ISNUMBER(E3983)),N(E3983)&lt;=0),"Quantité invalide",IF(K3983&lt;0,"Stock négatif",IF(AND(ISNUMBER(A3982),A3983&lt;A3982),"Date hors ordre","OK"))))))))</f>
        <v/>
      </c>
      <c r="M3983" s="39" t="str">
        <f>IF(C3983="","",C3983&amp;"#"&amp;COUNTIF($C$5:C3983,C3983))</f>
        <v/>
      </c>
    </row>
    <row r="3984">
      <c r="A3984" s="41" t="n"/>
      <c r="B3984" s="37" t="n"/>
      <c r="C3984" s="37" t="n"/>
      <c r="D3984" s="39" t="str">
        <f>IF(C3984="","",IFERROR(INDEX(art_des,MATCH(C3984,art_ref,0))&amp;"","Référence inconnue"))</f>
        <v/>
      </c>
      <c r="E3984" s="37" t="n"/>
      <c r="F3984" s="39" t="str">
        <f>IF(C3984="","",IFERROR(INDEX(art_unit,MATCH(C3984,art_ref,0))&amp;"",""))</f>
        <v/>
      </c>
      <c r="G3984" s="37" t="n"/>
      <c r="H3984" s="37" t="n"/>
      <c r="I3984" s="37" t="n"/>
      <c r="J3984" s="40" t="str">
        <f>IF(OR(C3984="",NOT(ISNUMBER(E3984))),"",IFERROR(E3984*N(INDEX(art_price,MATCH(C3984,art_ref,0))),""))</f>
        <v/>
      </c>
      <c r="K3984" s="39" t="str">
        <f>IF(OR(C3984="",NOT(ISNUMBER(E3984))),"",IFERROR(ROUND(N(INDEX(art_init,MATCH(C3984,art_ref,0)))+SUMIFS($E$5:E3984,$C$5:C3984,C3984,$B$5:B3984,"Entrée")-SUMIFS($E$5:E3984,$C$5:C3984,C3984,$B$5:B3984,"Sortie"),6),""))</f>
        <v/>
      </c>
      <c r="L3984" s="39" t="str">
        <f>IF(COUNTA(A3984:C3984,E3984)=0,"",IF(COUNTA(A3984:C3984,E3984)&lt;4,"Ligne incomplète",IF(NOT(ISNUMBER(A3984)),"Date invalide",IF(AND(B3984&lt;&gt;"Entrée",B3984&lt;&gt;"Sortie"),"Type inconnu",IF(ISNA(MATCH(C3984,art_ref,0)),"Référence inconnue",IF(OR(NOT(ISNUMBER(E3984)),N(E3984)&lt;=0),"Quantité invalide",IF(K3984&lt;0,"Stock négatif",IF(AND(ISNUMBER(A3983),A3984&lt;A3983),"Date hors ordre","OK"))))))))</f>
        <v/>
      </c>
      <c r="M3984" s="39" t="str">
        <f>IF(C3984="","",C3984&amp;"#"&amp;COUNTIF($C$5:C3984,C3984))</f>
        <v/>
      </c>
    </row>
    <row r="3985">
      <c r="A3985" s="41" t="n"/>
      <c r="B3985" s="37" t="n"/>
      <c r="C3985" s="37" t="n"/>
      <c r="D3985" s="39" t="str">
        <f>IF(C3985="","",IFERROR(INDEX(art_des,MATCH(C3985,art_ref,0))&amp;"","Référence inconnue"))</f>
        <v/>
      </c>
      <c r="E3985" s="37" t="n"/>
      <c r="F3985" s="39" t="str">
        <f>IF(C3985="","",IFERROR(INDEX(art_unit,MATCH(C3985,art_ref,0))&amp;"",""))</f>
        <v/>
      </c>
      <c r="G3985" s="37" t="n"/>
      <c r="H3985" s="37" t="n"/>
      <c r="I3985" s="37" t="n"/>
      <c r="J3985" s="40" t="str">
        <f>IF(OR(C3985="",NOT(ISNUMBER(E3985))),"",IFERROR(E3985*N(INDEX(art_price,MATCH(C3985,art_ref,0))),""))</f>
        <v/>
      </c>
      <c r="K3985" s="39" t="str">
        <f>IF(OR(C3985="",NOT(ISNUMBER(E3985))),"",IFERROR(ROUND(N(INDEX(art_init,MATCH(C3985,art_ref,0)))+SUMIFS($E$5:E3985,$C$5:C3985,C3985,$B$5:B3985,"Entrée")-SUMIFS($E$5:E3985,$C$5:C3985,C3985,$B$5:B3985,"Sortie"),6),""))</f>
        <v/>
      </c>
      <c r="L3985" s="39" t="str">
        <f>IF(COUNTA(A3985:C3985,E3985)=0,"",IF(COUNTA(A3985:C3985,E3985)&lt;4,"Ligne incomplète",IF(NOT(ISNUMBER(A3985)),"Date invalide",IF(AND(B3985&lt;&gt;"Entrée",B3985&lt;&gt;"Sortie"),"Type inconnu",IF(ISNA(MATCH(C3985,art_ref,0)),"Référence inconnue",IF(OR(NOT(ISNUMBER(E3985)),N(E3985)&lt;=0),"Quantité invalide",IF(K3985&lt;0,"Stock négatif",IF(AND(ISNUMBER(A3984),A3985&lt;A3984),"Date hors ordre","OK"))))))))</f>
        <v/>
      </c>
      <c r="M3985" s="39" t="str">
        <f>IF(C3985="","",C3985&amp;"#"&amp;COUNTIF($C$5:C3985,C3985))</f>
        <v/>
      </c>
    </row>
    <row r="3986">
      <c r="A3986" s="41" t="n"/>
      <c r="B3986" s="37" t="n"/>
      <c r="C3986" s="37" t="n"/>
      <c r="D3986" s="39" t="str">
        <f>IF(C3986="","",IFERROR(INDEX(art_des,MATCH(C3986,art_ref,0))&amp;"","Référence inconnue"))</f>
        <v/>
      </c>
      <c r="E3986" s="37" t="n"/>
      <c r="F3986" s="39" t="str">
        <f>IF(C3986="","",IFERROR(INDEX(art_unit,MATCH(C3986,art_ref,0))&amp;"",""))</f>
        <v/>
      </c>
      <c r="G3986" s="37" t="n"/>
      <c r="H3986" s="37" t="n"/>
      <c r="I3986" s="37" t="n"/>
      <c r="J3986" s="40" t="str">
        <f>IF(OR(C3986="",NOT(ISNUMBER(E3986))),"",IFERROR(E3986*N(INDEX(art_price,MATCH(C3986,art_ref,0))),""))</f>
        <v/>
      </c>
      <c r="K3986" s="39" t="str">
        <f>IF(OR(C3986="",NOT(ISNUMBER(E3986))),"",IFERROR(ROUND(N(INDEX(art_init,MATCH(C3986,art_ref,0)))+SUMIFS($E$5:E3986,$C$5:C3986,C3986,$B$5:B3986,"Entrée")-SUMIFS($E$5:E3986,$C$5:C3986,C3986,$B$5:B3986,"Sortie"),6),""))</f>
        <v/>
      </c>
      <c r="L3986" s="39" t="str">
        <f>IF(COUNTA(A3986:C3986,E3986)=0,"",IF(COUNTA(A3986:C3986,E3986)&lt;4,"Ligne incomplète",IF(NOT(ISNUMBER(A3986)),"Date invalide",IF(AND(B3986&lt;&gt;"Entrée",B3986&lt;&gt;"Sortie"),"Type inconnu",IF(ISNA(MATCH(C3986,art_ref,0)),"Référence inconnue",IF(OR(NOT(ISNUMBER(E3986)),N(E3986)&lt;=0),"Quantité invalide",IF(K3986&lt;0,"Stock négatif",IF(AND(ISNUMBER(A3985),A3986&lt;A3985),"Date hors ordre","OK"))))))))</f>
        <v/>
      </c>
      <c r="M3986" s="39" t="str">
        <f>IF(C3986="","",C3986&amp;"#"&amp;COUNTIF($C$5:C3986,C3986))</f>
        <v/>
      </c>
    </row>
    <row r="3987">
      <c r="A3987" s="41" t="n"/>
      <c r="B3987" s="37" t="n"/>
      <c r="C3987" s="37" t="n"/>
      <c r="D3987" s="39" t="str">
        <f>IF(C3987="","",IFERROR(INDEX(art_des,MATCH(C3987,art_ref,0))&amp;"","Référence inconnue"))</f>
        <v/>
      </c>
      <c r="E3987" s="37" t="n"/>
      <c r="F3987" s="39" t="str">
        <f>IF(C3987="","",IFERROR(INDEX(art_unit,MATCH(C3987,art_ref,0))&amp;"",""))</f>
        <v/>
      </c>
      <c r="G3987" s="37" t="n"/>
      <c r="H3987" s="37" t="n"/>
      <c r="I3987" s="37" t="n"/>
      <c r="J3987" s="40" t="str">
        <f>IF(OR(C3987="",NOT(ISNUMBER(E3987))),"",IFERROR(E3987*N(INDEX(art_price,MATCH(C3987,art_ref,0))),""))</f>
        <v/>
      </c>
      <c r="K3987" s="39" t="str">
        <f>IF(OR(C3987="",NOT(ISNUMBER(E3987))),"",IFERROR(ROUND(N(INDEX(art_init,MATCH(C3987,art_ref,0)))+SUMIFS($E$5:E3987,$C$5:C3987,C3987,$B$5:B3987,"Entrée")-SUMIFS($E$5:E3987,$C$5:C3987,C3987,$B$5:B3987,"Sortie"),6),""))</f>
        <v/>
      </c>
      <c r="L3987" s="39" t="str">
        <f>IF(COUNTA(A3987:C3987,E3987)=0,"",IF(COUNTA(A3987:C3987,E3987)&lt;4,"Ligne incomplète",IF(NOT(ISNUMBER(A3987)),"Date invalide",IF(AND(B3987&lt;&gt;"Entrée",B3987&lt;&gt;"Sortie"),"Type inconnu",IF(ISNA(MATCH(C3987,art_ref,0)),"Référence inconnue",IF(OR(NOT(ISNUMBER(E3987)),N(E3987)&lt;=0),"Quantité invalide",IF(K3987&lt;0,"Stock négatif",IF(AND(ISNUMBER(A3986),A3987&lt;A3986),"Date hors ordre","OK"))))))))</f>
        <v/>
      </c>
      <c r="M3987" s="39" t="str">
        <f>IF(C3987="","",C3987&amp;"#"&amp;COUNTIF($C$5:C3987,C3987))</f>
        <v/>
      </c>
    </row>
    <row r="3988">
      <c r="A3988" s="41" t="n"/>
      <c r="B3988" s="37" t="n"/>
      <c r="C3988" s="37" t="n"/>
      <c r="D3988" s="39" t="str">
        <f>IF(C3988="","",IFERROR(INDEX(art_des,MATCH(C3988,art_ref,0))&amp;"","Référence inconnue"))</f>
        <v/>
      </c>
      <c r="E3988" s="37" t="n"/>
      <c r="F3988" s="39" t="str">
        <f>IF(C3988="","",IFERROR(INDEX(art_unit,MATCH(C3988,art_ref,0))&amp;"",""))</f>
        <v/>
      </c>
      <c r="G3988" s="37" t="n"/>
      <c r="H3988" s="37" t="n"/>
      <c r="I3988" s="37" t="n"/>
      <c r="J3988" s="40" t="str">
        <f>IF(OR(C3988="",NOT(ISNUMBER(E3988))),"",IFERROR(E3988*N(INDEX(art_price,MATCH(C3988,art_ref,0))),""))</f>
        <v/>
      </c>
      <c r="K3988" s="39" t="str">
        <f>IF(OR(C3988="",NOT(ISNUMBER(E3988))),"",IFERROR(ROUND(N(INDEX(art_init,MATCH(C3988,art_ref,0)))+SUMIFS($E$5:E3988,$C$5:C3988,C3988,$B$5:B3988,"Entrée")-SUMIFS($E$5:E3988,$C$5:C3988,C3988,$B$5:B3988,"Sortie"),6),""))</f>
        <v/>
      </c>
      <c r="L3988" s="39" t="str">
        <f>IF(COUNTA(A3988:C3988,E3988)=0,"",IF(COUNTA(A3988:C3988,E3988)&lt;4,"Ligne incomplète",IF(NOT(ISNUMBER(A3988)),"Date invalide",IF(AND(B3988&lt;&gt;"Entrée",B3988&lt;&gt;"Sortie"),"Type inconnu",IF(ISNA(MATCH(C3988,art_ref,0)),"Référence inconnue",IF(OR(NOT(ISNUMBER(E3988)),N(E3988)&lt;=0),"Quantité invalide",IF(K3988&lt;0,"Stock négatif",IF(AND(ISNUMBER(A3987),A3988&lt;A3987),"Date hors ordre","OK"))))))))</f>
        <v/>
      </c>
      <c r="M3988" s="39" t="str">
        <f>IF(C3988="","",C3988&amp;"#"&amp;COUNTIF($C$5:C3988,C3988))</f>
        <v/>
      </c>
    </row>
    <row r="3989">
      <c r="A3989" s="41" t="n"/>
      <c r="B3989" s="37" t="n"/>
      <c r="C3989" s="37" t="n"/>
      <c r="D3989" s="39" t="str">
        <f>IF(C3989="","",IFERROR(INDEX(art_des,MATCH(C3989,art_ref,0))&amp;"","Référence inconnue"))</f>
        <v/>
      </c>
      <c r="E3989" s="37" t="n"/>
      <c r="F3989" s="39" t="str">
        <f>IF(C3989="","",IFERROR(INDEX(art_unit,MATCH(C3989,art_ref,0))&amp;"",""))</f>
        <v/>
      </c>
      <c r="G3989" s="37" t="n"/>
      <c r="H3989" s="37" t="n"/>
      <c r="I3989" s="37" t="n"/>
      <c r="J3989" s="40" t="str">
        <f>IF(OR(C3989="",NOT(ISNUMBER(E3989))),"",IFERROR(E3989*N(INDEX(art_price,MATCH(C3989,art_ref,0))),""))</f>
        <v/>
      </c>
      <c r="K3989" s="39" t="str">
        <f>IF(OR(C3989="",NOT(ISNUMBER(E3989))),"",IFERROR(ROUND(N(INDEX(art_init,MATCH(C3989,art_ref,0)))+SUMIFS($E$5:E3989,$C$5:C3989,C3989,$B$5:B3989,"Entrée")-SUMIFS($E$5:E3989,$C$5:C3989,C3989,$B$5:B3989,"Sortie"),6),""))</f>
        <v/>
      </c>
      <c r="L3989" s="39" t="str">
        <f>IF(COUNTA(A3989:C3989,E3989)=0,"",IF(COUNTA(A3989:C3989,E3989)&lt;4,"Ligne incomplète",IF(NOT(ISNUMBER(A3989)),"Date invalide",IF(AND(B3989&lt;&gt;"Entrée",B3989&lt;&gt;"Sortie"),"Type inconnu",IF(ISNA(MATCH(C3989,art_ref,0)),"Référence inconnue",IF(OR(NOT(ISNUMBER(E3989)),N(E3989)&lt;=0),"Quantité invalide",IF(K3989&lt;0,"Stock négatif",IF(AND(ISNUMBER(A3988),A3989&lt;A3988),"Date hors ordre","OK"))))))))</f>
        <v/>
      </c>
      <c r="M3989" s="39" t="str">
        <f>IF(C3989="","",C3989&amp;"#"&amp;COUNTIF($C$5:C3989,C3989))</f>
        <v/>
      </c>
    </row>
    <row r="3990">
      <c r="A3990" s="41" t="n"/>
      <c r="B3990" s="37" t="n"/>
      <c r="C3990" s="37" t="n"/>
      <c r="D3990" s="39" t="str">
        <f>IF(C3990="","",IFERROR(INDEX(art_des,MATCH(C3990,art_ref,0))&amp;"","Référence inconnue"))</f>
        <v/>
      </c>
      <c r="E3990" s="37" t="n"/>
      <c r="F3990" s="39" t="str">
        <f>IF(C3990="","",IFERROR(INDEX(art_unit,MATCH(C3990,art_ref,0))&amp;"",""))</f>
        <v/>
      </c>
      <c r="G3990" s="37" t="n"/>
      <c r="H3990" s="37" t="n"/>
      <c r="I3990" s="37" t="n"/>
      <c r="J3990" s="40" t="str">
        <f>IF(OR(C3990="",NOT(ISNUMBER(E3990))),"",IFERROR(E3990*N(INDEX(art_price,MATCH(C3990,art_ref,0))),""))</f>
        <v/>
      </c>
      <c r="K3990" s="39" t="str">
        <f>IF(OR(C3990="",NOT(ISNUMBER(E3990))),"",IFERROR(ROUND(N(INDEX(art_init,MATCH(C3990,art_ref,0)))+SUMIFS($E$5:E3990,$C$5:C3990,C3990,$B$5:B3990,"Entrée")-SUMIFS($E$5:E3990,$C$5:C3990,C3990,$B$5:B3990,"Sortie"),6),""))</f>
        <v/>
      </c>
      <c r="L3990" s="39" t="str">
        <f>IF(COUNTA(A3990:C3990,E3990)=0,"",IF(COUNTA(A3990:C3990,E3990)&lt;4,"Ligne incomplète",IF(NOT(ISNUMBER(A3990)),"Date invalide",IF(AND(B3990&lt;&gt;"Entrée",B3990&lt;&gt;"Sortie"),"Type inconnu",IF(ISNA(MATCH(C3990,art_ref,0)),"Référence inconnue",IF(OR(NOT(ISNUMBER(E3990)),N(E3990)&lt;=0),"Quantité invalide",IF(K3990&lt;0,"Stock négatif",IF(AND(ISNUMBER(A3989),A3990&lt;A3989),"Date hors ordre","OK"))))))))</f>
        <v/>
      </c>
      <c r="M3990" s="39" t="str">
        <f>IF(C3990="","",C3990&amp;"#"&amp;COUNTIF($C$5:C3990,C3990))</f>
        <v/>
      </c>
    </row>
    <row r="3991">
      <c r="A3991" s="41" t="n"/>
      <c r="B3991" s="37" t="n"/>
      <c r="C3991" s="37" t="n"/>
      <c r="D3991" s="39" t="str">
        <f>IF(C3991="","",IFERROR(INDEX(art_des,MATCH(C3991,art_ref,0))&amp;"","Référence inconnue"))</f>
        <v/>
      </c>
      <c r="E3991" s="37" t="n"/>
      <c r="F3991" s="39" t="str">
        <f>IF(C3991="","",IFERROR(INDEX(art_unit,MATCH(C3991,art_ref,0))&amp;"",""))</f>
        <v/>
      </c>
      <c r="G3991" s="37" t="n"/>
      <c r="H3991" s="37" t="n"/>
      <c r="I3991" s="37" t="n"/>
      <c r="J3991" s="40" t="str">
        <f>IF(OR(C3991="",NOT(ISNUMBER(E3991))),"",IFERROR(E3991*N(INDEX(art_price,MATCH(C3991,art_ref,0))),""))</f>
        <v/>
      </c>
      <c r="K3991" s="39" t="str">
        <f>IF(OR(C3991="",NOT(ISNUMBER(E3991))),"",IFERROR(ROUND(N(INDEX(art_init,MATCH(C3991,art_ref,0)))+SUMIFS($E$5:E3991,$C$5:C3991,C3991,$B$5:B3991,"Entrée")-SUMIFS($E$5:E3991,$C$5:C3991,C3991,$B$5:B3991,"Sortie"),6),""))</f>
        <v/>
      </c>
      <c r="L3991" s="39" t="str">
        <f>IF(COUNTA(A3991:C3991,E3991)=0,"",IF(COUNTA(A3991:C3991,E3991)&lt;4,"Ligne incomplète",IF(NOT(ISNUMBER(A3991)),"Date invalide",IF(AND(B3991&lt;&gt;"Entrée",B3991&lt;&gt;"Sortie"),"Type inconnu",IF(ISNA(MATCH(C3991,art_ref,0)),"Référence inconnue",IF(OR(NOT(ISNUMBER(E3991)),N(E3991)&lt;=0),"Quantité invalide",IF(K3991&lt;0,"Stock négatif",IF(AND(ISNUMBER(A3990),A3991&lt;A3990),"Date hors ordre","OK"))))))))</f>
        <v/>
      </c>
      <c r="M3991" s="39" t="str">
        <f>IF(C3991="","",C3991&amp;"#"&amp;COUNTIF($C$5:C3991,C3991))</f>
        <v/>
      </c>
    </row>
    <row r="3992">
      <c r="A3992" s="41" t="n"/>
      <c r="B3992" s="37" t="n"/>
      <c r="C3992" s="37" t="n"/>
      <c r="D3992" s="39" t="str">
        <f>IF(C3992="","",IFERROR(INDEX(art_des,MATCH(C3992,art_ref,0))&amp;"","Référence inconnue"))</f>
        <v/>
      </c>
      <c r="E3992" s="37" t="n"/>
      <c r="F3992" s="39" t="str">
        <f>IF(C3992="","",IFERROR(INDEX(art_unit,MATCH(C3992,art_ref,0))&amp;"",""))</f>
        <v/>
      </c>
      <c r="G3992" s="37" t="n"/>
      <c r="H3992" s="37" t="n"/>
      <c r="I3992" s="37" t="n"/>
      <c r="J3992" s="40" t="str">
        <f>IF(OR(C3992="",NOT(ISNUMBER(E3992))),"",IFERROR(E3992*N(INDEX(art_price,MATCH(C3992,art_ref,0))),""))</f>
        <v/>
      </c>
      <c r="K3992" s="39" t="str">
        <f>IF(OR(C3992="",NOT(ISNUMBER(E3992))),"",IFERROR(ROUND(N(INDEX(art_init,MATCH(C3992,art_ref,0)))+SUMIFS($E$5:E3992,$C$5:C3992,C3992,$B$5:B3992,"Entrée")-SUMIFS($E$5:E3992,$C$5:C3992,C3992,$B$5:B3992,"Sortie"),6),""))</f>
        <v/>
      </c>
      <c r="L3992" s="39" t="str">
        <f>IF(COUNTA(A3992:C3992,E3992)=0,"",IF(COUNTA(A3992:C3992,E3992)&lt;4,"Ligne incomplète",IF(NOT(ISNUMBER(A3992)),"Date invalide",IF(AND(B3992&lt;&gt;"Entrée",B3992&lt;&gt;"Sortie"),"Type inconnu",IF(ISNA(MATCH(C3992,art_ref,0)),"Référence inconnue",IF(OR(NOT(ISNUMBER(E3992)),N(E3992)&lt;=0),"Quantité invalide",IF(K3992&lt;0,"Stock négatif",IF(AND(ISNUMBER(A3991),A3992&lt;A3991),"Date hors ordre","OK"))))))))</f>
        <v/>
      </c>
      <c r="M3992" s="39" t="str">
        <f>IF(C3992="","",C3992&amp;"#"&amp;COUNTIF($C$5:C3992,C3992))</f>
        <v/>
      </c>
    </row>
    <row r="3993">
      <c r="A3993" s="41" t="n"/>
      <c r="B3993" s="37" t="n"/>
      <c r="C3993" s="37" t="n"/>
      <c r="D3993" s="39" t="str">
        <f>IF(C3993="","",IFERROR(INDEX(art_des,MATCH(C3993,art_ref,0))&amp;"","Référence inconnue"))</f>
        <v/>
      </c>
      <c r="E3993" s="37" t="n"/>
      <c r="F3993" s="39" t="str">
        <f>IF(C3993="","",IFERROR(INDEX(art_unit,MATCH(C3993,art_ref,0))&amp;"",""))</f>
        <v/>
      </c>
      <c r="G3993" s="37" t="n"/>
      <c r="H3993" s="37" t="n"/>
      <c r="I3993" s="37" t="n"/>
      <c r="J3993" s="40" t="str">
        <f>IF(OR(C3993="",NOT(ISNUMBER(E3993))),"",IFERROR(E3993*N(INDEX(art_price,MATCH(C3993,art_ref,0))),""))</f>
        <v/>
      </c>
      <c r="K3993" s="39" t="str">
        <f>IF(OR(C3993="",NOT(ISNUMBER(E3993))),"",IFERROR(ROUND(N(INDEX(art_init,MATCH(C3993,art_ref,0)))+SUMIFS($E$5:E3993,$C$5:C3993,C3993,$B$5:B3993,"Entrée")-SUMIFS($E$5:E3993,$C$5:C3993,C3993,$B$5:B3993,"Sortie"),6),""))</f>
        <v/>
      </c>
      <c r="L3993" s="39" t="str">
        <f>IF(COUNTA(A3993:C3993,E3993)=0,"",IF(COUNTA(A3993:C3993,E3993)&lt;4,"Ligne incomplète",IF(NOT(ISNUMBER(A3993)),"Date invalide",IF(AND(B3993&lt;&gt;"Entrée",B3993&lt;&gt;"Sortie"),"Type inconnu",IF(ISNA(MATCH(C3993,art_ref,0)),"Référence inconnue",IF(OR(NOT(ISNUMBER(E3993)),N(E3993)&lt;=0),"Quantité invalide",IF(K3993&lt;0,"Stock négatif",IF(AND(ISNUMBER(A3992),A3993&lt;A3992),"Date hors ordre","OK"))))))))</f>
        <v/>
      </c>
      <c r="M3993" s="39" t="str">
        <f>IF(C3993="","",C3993&amp;"#"&amp;COUNTIF($C$5:C3993,C3993))</f>
        <v/>
      </c>
    </row>
    <row r="3994">
      <c r="A3994" s="41" t="n"/>
      <c r="B3994" s="37" t="n"/>
      <c r="C3994" s="37" t="n"/>
      <c r="D3994" s="39" t="str">
        <f>IF(C3994="","",IFERROR(INDEX(art_des,MATCH(C3994,art_ref,0))&amp;"","Référence inconnue"))</f>
        <v/>
      </c>
      <c r="E3994" s="37" t="n"/>
      <c r="F3994" s="39" t="str">
        <f>IF(C3994="","",IFERROR(INDEX(art_unit,MATCH(C3994,art_ref,0))&amp;"",""))</f>
        <v/>
      </c>
      <c r="G3994" s="37" t="n"/>
      <c r="H3994" s="37" t="n"/>
      <c r="I3994" s="37" t="n"/>
      <c r="J3994" s="40" t="str">
        <f>IF(OR(C3994="",NOT(ISNUMBER(E3994))),"",IFERROR(E3994*N(INDEX(art_price,MATCH(C3994,art_ref,0))),""))</f>
        <v/>
      </c>
      <c r="K3994" s="39" t="str">
        <f>IF(OR(C3994="",NOT(ISNUMBER(E3994))),"",IFERROR(ROUND(N(INDEX(art_init,MATCH(C3994,art_ref,0)))+SUMIFS($E$5:E3994,$C$5:C3994,C3994,$B$5:B3994,"Entrée")-SUMIFS($E$5:E3994,$C$5:C3994,C3994,$B$5:B3994,"Sortie"),6),""))</f>
        <v/>
      </c>
      <c r="L3994" s="39" t="str">
        <f>IF(COUNTA(A3994:C3994,E3994)=0,"",IF(COUNTA(A3994:C3994,E3994)&lt;4,"Ligne incomplète",IF(NOT(ISNUMBER(A3994)),"Date invalide",IF(AND(B3994&lt;&gt;"Entrée",B3994&lt;&gt;"Sortie"),"Type inconnu",IF(ISNA(MATCH(C3994,art_ref,0)),"Référence inconnue",IF(OR(NOT(ISNUMBER(E3994)),N(E3994)&lt;=0),"Quantité invalide",IF(K3994&lt;0,"Stock négatif",IF(AND(ISNUMBER(A3993),A3994&lt;A3993),"Date hors ordre","OK"))))))))</f>
        <v/>
      </c>
      <c r="M3994" s="39" t="str">
        <f>IF(C3994="","",C3994&amp;"#"&amp;COUNTIF($C$5:C3994,C3994))</f>
        <v/>
      </c>
    </row>
    <row r="3995">
      <c r="A3995" s="41" t="n"/>
      <c r="B3995" s="37" t="n"/>
      <c r="C3995" s="37" t="n"/>
      <c r="D3995" s="39" t="str">
        <f>IF(C3995="","",IFERROR(INDEX(art_des,MATCH(C3995,art_ref,0))&amp;"","Référence inconnue"))</f>
        <v/>
      </c>
      <c r="E3995" s="37" t="n"/>
      <c r="F3995" s="39" t="str">
        <f>IF(C3995="","",IFERROR(INDEX(art_unit,MATCH(C3995,art_ref,0))&amp;"",""))</f>
        <v/>
      </c>
      <c r="G3995" s="37" t="n"/>
      <c r="H3995" s="37" t="n"/>
      <c r="I3995" s="37" t="n"/>
      <c r="J3995" s="40" t="str">
        <f>IF(OR(C3995="",NOT(ISNUMBER(E3995))),"",IFERROR(E3995*N(INDEX(art_price,MATCH(C3995,art_ref,0))),""))</f>
        <v/>
      </c>
      <c r="K3995" s="39" t="str">
        <f>IF(OR(C3995="",NOT(ISNUMBER(E3995))),"",IFERROR(ROUND(N(INDEX(art_init,MATCH(C3995,art_ref,0)))+SUMIFS($E$5:E3995,$C$5:C3995,C3995,$B$5:B3995,"Entrée")-SUMIFS($E$5:E3995,$C$5:C3995,C3995,$B$5:B3995,"Sortie"),6),""))</f>
        <v/>
      </c>
      <c r="L3995" s="39" t="str">
        <f>IF(COUNTA(A3995:C3995,E3995)=0,"",IF(COUNTA(A3995:C3995,E3995)&lt;4,"Ligne incomplète",IF(NOT(ISNUMBER(A3995)),"Date invalide",IF(AND(B3995&lt;&gt;"Entrée",B3995&lt;&gt;"Sortie"),"Type inconnu",IF(ISNA(MATCH(C3995,art_ref,0)),"Référence inconnue",IF(OR(NOT(ISNUMBER(E3995)),N(E3995)&lt;=0),"Quantité invalide",IF(K3995&lt;0,"Stock négatif",IF(AND(ISNUMBER(A3994),A3995&lt;A3994),"Date hors ordre","OK"))))))))</f>
        <v/>
      </c>
      <c r="M3995" s="39" t="str">
        <f>IF(C3995="","",C3995&amp;"#"&amp;COUNTIF($C$5:C3995,C3995))</f>
        <v/>
      </c>
    </row>
    <row r="3996">
      <c r="A3996" s="41" t="n"/>
      <c r="B3996" s="37" t="n"/>
      <c r="C3996" s="37" t="n"/>
      <c r="D3996" s="39" t="str">
        <f>IF(C3996="","",IFERROR(INDEX(art_des,MATCH(C3996,art_ref,0))&amp;"","Référence inconnue"))</f>
        <v/>
      </c>
      <c r="E3996" s="37" t="n"/>
      <c r="F3996" s="39" t="str">
        <f>IF(C3996="","",IFERROR(INDEX(art_unit,MATCH(C3996,art_ref,0))&amp;"",""))</f>
        <v/>
      </c>
      <c r="G3996" s="37" t="n"/>
      <c r="H3996" s="37" t="n"/>
      <c r="I3996" s="37" t="n"/>
      <c r="J3996" s="40" t="str">
        <f>IF(OR(C3996="",NOT(ISNUMBER(E3996))),"",IFERROR(E3996*N(INDEX(art_price,MATCH(C3996,art_ref,0))),""))</f>
        <v/>
      </c>
      <c r="K3996" s="39" t="str">
        <f>IF(OR(C3996="",NOT(ISNUMBER(E3996))),"",IFERROR(ROUND(N(INDEX(art_init,MATCH(C3996,art_ref,0)))+SUMIFS($E$5:E3996,$C$5:C3996,C3996,$B$5:B3996,"Entrée")-SUMIFS($E$5:E3996,$C$5:C3996,C3996,$B$5:B3996,"Sortie"),6),""))</f>
        <v/>
      </c>
      <c r="L3996" s="39" t="str">
        <f>IF(COUNTA(A3996:C3996,E3996)=0,"",IF(COUNTA(A3996:C3996,E3996)&lt;4,"Ligne incomplète",IF(NOT(ISNUMBER(A3996)),"Date invalide",IF(AND(B3996&lt;&gt;"Entrée",B3996&lt;&gt;"Sortie"),"Type inconnu",IF(ISNA(MATCH(C3996,art_ref,0)),"Référence inconnue",IF(OR(NOT(ISNUMBER(E3996)),N(E3996)&lt;=0),"Quantité invalide",IF(K3996&lt;0,"Stock négatif",IF(AND(ISNUMBER(A3995),A3996&lt;A3995),"Date hors ordre","OK"))))))))</f>
        <v/>
      </c>
      <c r="M3996" s="39" t="str">
        <f>IF(C3996="","",C3996&amp;"#"&amp;COUNTIF($C$5:C3996,C3996))</f>
        <v/>
      </c>
    </row>
    <row r="3997">
      <c r="A3997" s="41" t="n"/>
      <c r="B3997" s="37" t="n"/>
      <c r="C3997" s="37" t="n"/>
      <c r="D3997" s="39" t="str">
        <f>IF(C3997="","",IFERROR(INDEX(art_des,MATCH(C3997,art_ref,0))&amp;"","Référence inconnue"))</f>
        <v/>
      </c>
      <c r="E3997" s="37" t="n"/>
      <c r="F3997" s="39" t="str">
        <f>IF(C3997="","",IFERROR(INDEX(art_unit,MATCH(C3997,art_ref,0))&amp;"",""))</f>
        <v/>
      </c>
      <c r="G3997" s="37" t="n"/>
      <c r="H3997" s="37" t="n"/>
      <c r="I3997" s="37" t="n"/>
      <c r="J3997" s="40" t="str">
        <f>IF(OR(C3997="",NOT(ISNUMBER(E3997))),"",IFERROR(E3997*N(INDEX(art_price,MATCH(C3997,art_ref,0))),""))</f>
        <v/>
      </c>
      <c r="K3997" s="39" t="str">
        <f>IF(OR(C3997="",NOT(ISNUMBER(E3997))),"",IFERROR(ROUND(N(INDEX(art_init,MATCH(C3997,art_ref,0)))+SUMIFS($E$5:E3997,$C$5:C3997,C3997,$B$5:B3997,"Entrée")-SUMIFS($E$5:E3997,$C$5:C3997,C3997,$B$5:B3997,"Sortie"),6),""))</f>
        <v/>
      </c>
      <c r="L3997" s="39" t="str">
        <f>IF(COUNTA(A3997:C3997,E3997)=0,"",IF(COUNTA(A3997:C3997,E3997)&lt;4,"Ligne incomplète",IF(NOT(ISNUMBER(A3997)),"Date invalide",IF(AND(B3997&lt;&gt;"Entrée",B3997&lt;&gt;"Sortie"),"Type inconnu",IF(ISNA(MATCH(C3997,art_ref,0)),"Référence inconnue",IF(OR(NOT(ISNUMBER(E3997)),N(E3997)&lt;=0),"Quantité invalide",IF(K3997&lt;0,"Stock négatif",IF(AND(ISNUMBER(A3996),A3997&lt;A3996),"Date hors ordre","OK"))))))))</f>
        <v/>
      </c>
      <c r="M3997" s="39" t="str">
        <f>IF(C3997="","",C3997&amp;"#"&amp;COUNTIF($C$5:C3997,C3997))</f>
        <v/>
      </c>
    </row>
    <row r="3998">
      <c r="A3998" s="41" t="n"/>
      <c r="B3998" s="37" t="n"/>
      <c r="C3998" s="37" t="n"/>
      <c r="D3998" s="39" t="str">
        <f>IF(C3998="","",IFERROR(INDEX(art_des,MATCH(C3998,art_ref,0))&amp;"","Référence inconnue"))</f>
        <v/>
      </c>
      <c r="E3998" s="37" t="n"/>
      <c r="F3998" s="39" t="str">
        <f>IF(C3998="","",IFERROR(INDEX(art_unit,MATCH(C3998,art_ref,0))&amp;"",""))</f>
        <v/>
      </c>
      <c r="G3998" s="37" t="n"/>
      <c r="H3998" s="37" t="n"/>
      <c r="I3998" s="37" t="n"/>
      <c r="J3998" s="40" t="str">
        <f>IF(OR(C3998="",NOT(ISNUMBER(E3998))),"",IFERROR(E3998*N(INDEX(art_price,MATCH(C3998,art_ref,0))),""))</f>
        <v/>
      </c>
      <c r="K3998" s="39" t="str">
        <f>IF(OR(C3998="",NOT(ISNUMBER(E3998))),"",IFERROR(ROUND(N(INDEX(art_init,MATCH(C3998,art_ref,0)))+SUMIFS($E$5:E3998,$C$5:C3998,C3998,$B$5:B3998,"Entrée")-SUMIFS($E$5:E3998,$C$5:C3998,C3998,$B$5:B3998,"Sortie"),6),""))</f>
        <v/>
      </c>
      <c r="L3998" s="39" t="str">
        <f>IF(COUNTA(A3998:C3998,E3998)=0,"",IF(COUNTA(A3998:C3998,E3998)&lt;4,"Ligne incomplète",IF(NOT(ISNUMBER(A3998)),"Date invalide",IF(AND(B3998&lt;&gt;"Entrée",B3998&lt;&gt;"Sortie"),"Type inconnu",IF(ISNA(MATCH(C3998,art_ref,0)),"Référence inconnue",IF(OR(NOT(ISNUMBER(E3998)),N(E3998)&lt;=0),"Quantité invalide",IF(K3998&lt;0,"Stock négatif",IF(AND(ISNUMBER(A3997),A3998&lt;A3997),"Date hors ordre","OK"))))))))</f>
        <v/>
      </c>
      <c r="M3998" s="39" t="str">
        <f>IF(C3998="","",C3998&amp;"#"&amp;COUNTIF($C$5:C3998,C3998))</f>
        <v/>
      </c>
    </row>
    <row r="3999">
      <c r="A3999" s="41" t="n"/>
      <c r="B3999" s="37" t="n"/>
      <c r="C3999" s="37" t="n"/>
      <c r="D3999" s="39" t="str">
        <f>IF(C3999="","",IFERROR(INDEX(art_des,MATCH(C3999,art_ref,0))&amp;"","Référence inconnue"))</f>
        <v/>
      </c>
      <c r="E3999" s="37" t="n"/>
      <c r="F3999" s="39" t="str">
        <f>IF(C3999="","",IFERROR(INDEX(art_unit,MATCH(C3999,art_ref,0))&amp;"",""))</f>
        <v/>
      </c>
      <c r="G3999" s="37" t="n"/>
      <c r="H3999" s="37" t="n"/>
      <c r="I3999" s="37" t="n"/>
      <c r="J3999" s="40" t="str">
        <f>IF(OR(C3999="",NOT(ISNUMBER(E3999))),"",IFERROR(E3999*N(INDEX(art_price,MATCH(C3999,art_ref,0))),""))</f>
        <v/>
      </c>
      <c r="K3999" s="39" t="str">
        <f>IF(OR(C3999="",NOT(ISNUMBER(E3999))),"",IFERROR(ROUND(N(INDEX(art_init,MATCH(C3999,art_ref,0)))+SUMIFS($E$5:E3999,$C$5:C3999,C3999,$B$5:B3999,"Entrée")-SUMIFS($E$5:E3999,$C$5:C3999,C3999,$B$5:B3999,"Sortie"),6),""))</f>
        <v/>
      </c>
      <c r="L3999" s="39" t="str">
        <f>IF(COUNTA(A3999:C3999,E3999)=0,"",IF(COUNTA(A3999:C3999,E3999)&lt;4,"Ligne incomplète",IF(NOT(ISNUMBER(A3999)),"Date invalide",IF(AND(B3999&lt;&gt;"Entrée",B3999&lt;&gt;"Sortie"),"Type inconnu",IF(ISNA(MATCH(C3999,art_ref,0)),"Référence inconnue",IF(OR(NOT(ISNUMBER(E3999)),N(E3999)&lt;=0),"Quantité invalide",IF(K3999&lt;0,"Stock négatif",IF(AND(ISNUMBER(A3998),A3999&lt;A3998),"Date hors ordre","OK"))))))))</f>
        <v/>
      </c>
      <c r="M3999" s="39" t="str">
        <f>IF(C3999="","",C3999&amp;"#"&amp;COUNTIF($C$5:C3999,C3999))</f>
        <v/>
      </c>
    </row>
    <row r="4000">
      <c r="A4000" s="41" t="n"/>
      <c r="B4000" s="37" t="n"/>
      <c r="C4000" s="37" t="n"/>
      <c r="D4000" s="39" t="str">
        <f>IF(C4000="","",IFERROR(INDEX(art_des,MATCH(C4000,art_ref,0))&amp;"","Référence inconnue"))</f>
        <v/>
      </c>
      <c r="E4000" s="37" t="n"/>
      <c r="F4000" s="39" t="str">
        <f>IF(C4000="","",IFERROR(INDEX(art_unit,MATCH(C4000,art_ref,0))&amp;"",""))</f>
        <v/>
      </c>
      <c r="G4000" s="37" t="n"/>
      <c r="H4000" s="37" t="n"/>
      <c r="I4000" s="37" t="n"/>
      <c r="J4000" s="40" t="str">
        <f>IF(OR(C4000="",NOT(ISNUMBER(E4000))),"",IFERROR(E4000*N(INDEX(art_price,MATCH(C4000,art_ref,0))),""))</f>
        <v/>
      </c>
      <c r="K4000" s="39" t="str">
        <f>IF(OR(C4000="",NOT(ISNUMBER(E4000))),"",IFERROR(ROUND(N(INDEX(art_init,MATCH(C4000,art_ref,0)))+SUMIFS($E$5:E4000,$C$5:C4000,C4000,$B$5:B4000,"Entrée")-SUMIFS($E$5:E4000,$C$5:C4000,C4000,$B$5:B4000,"Sortie"),6),""))</f>
        <v/>
      </c>
      <c r="L4000" s="39" t="str">
        <f>IF(COUNTA(A4000:C4000,E4000)=0,"",IF(COUNTA(A4000:C4000,E4000)&lt;4,"Ligne incomplète",IF(NOT(ISNUMBER(A4000)),"Date invalide",IF(AND(B4000&lt;&gt;"Entrée",B4000&lt;&gt;"Sortie"),"Type inconnu",IF(ISNA(MATCH(C4000,art_ref,0)),"Référence inconnue",IF(OR(NOT(ISNUMBER(E4000)),N(E4000)&lt;=0),"Quantité invalide",IF(K4000&lt;0,"Stock négatif",IF(AND(ISNUMBER(A3999),A4000&lt;A3999),"Date hors ordre","OK"))))))))</f>
        <v/>
      </c>
      <c r="M4000" s="39" t="str">
        <f>IF(C4000="","",C4000&amp;"#"&amp;COUNTIF($C$5:C4000,C4000))</f>
        <v/>
      </c>
    </row>
    <row r="4001">
      <c r="A4001" s="41" t="n"/>
      <c r="B4001" s="37" t="n"/>
      <c r="C4001" s="37" t="n"/>
      <c r="D4001" s="39" t="str">
        <f>IF(C4001="","",IFERROR(INDEX(art_des,MATCH(C4001,art_ref,0))&amp;"","Référence inconnue"))</f>
        <v/>
      </c>
      <c r="E4001" s="37" t="n"/>
      <c r="F4001" s="39" t="str">
        <f>IF(C4001="","",IFERROR(INDEX(art_unit,MATCH(C4001,art_ref,0))&amp;"",""))</f>
        <v/>
      </c>
      <c r="G4001" s="37" t="n"/>
      <c r="H4001" s="37" t="n"/>
      <c r="I4001" s="37" t="n"/>
      <c r="J4001" s="40" t="str">
        <f>IF(OR(C4001="",NOT(ISNUMBER(E4001))),"",IFERROR(E4001*N(INDEX(art_price,MATCH(C4001,art_ref,0))),""))</f>
        <v/>
      </c>
      <c r="K4001" s="39" t="str">
        <f>IF(OR(C4001="",NOT(ISNUMBER(E4001))),"",IFERROR(ROUND(N(INDEX(art_init,MATCH(C4001,art_ref,0)))+SUMIFS($E$5:E4001,$C$5:C4001,C4001,$B$5:B4001,"Entrée")-SUMIFS($E$5:E4001,$C$5:C4001,C4001,$B$5:B4001,"Sortie"),6),""))</f>
        <v/>
      </c>
      <c r="L4001" s="39" t="str">
        <f>IF(COUNTA(A4001:C4001,E4001)=0,"",IF(COUNTA(A4001:C4001,E4001)&lt;4,"Ligne incomplète",IF(NOT(ISNUMBER(A4001)),"Date invalide",IF(AND(B4001&lt;&gt;"Entrée",B4001&lt;&gt;"Sortie"),"Type inconnu",IF(ISNA(MATCH(C4001,art_ref,0)),"Référence inconnue",IF(OR(NOT(ISNUMBER(E4001)),N(E4001)&lt;=0),"Quantité invalide",IF(K4001&lt;0,"Stock négatif",IF(AND(ISNUMBER(A4000),A4001&lt;A4000),"Date hors ordre","OK"))))))))</f>
        <v/>
      </c>
      <c r="M4001" s="39" t="str">
        <f>IF(C4001="","",C4001&amp;"#"&amp;COUNTIF($C$5:C4001,C4001))</f>
        <v/>
      </c>
    </row>
    <row r="4002">
      <c r="A4002" s="41" t="n"/>
      <c r="B4002" s="37" t="n"/>
      <c r="C4002" s="37" t="n"/>
      <c r="D4002" s="39" t="str">
        <f>IF(C4002="","",IFERROR(INDEX(art_des,MATCH(C4002,art_ref,0))&amp;"","Référence inconnue"))</f>
        <v/>
      </c>
      <c r="E4002" s="37" t="n"/>
      <c r="F4002" s="39" t="str">
        <f>IF(C4002="","",IFERROR(INDEX(art_unit,MATCH(C4002,art_ref,0))&amp;"",""))</f>
        <v/>
      </c>
      <c r="G4002" s="37" t="n"/>
      <c r="H4002" s="37" t="n"/>
      <c r="I4002" s="37" t="n"/>
      <c r="J4002" s="40" t="str">
        <f>IF(OR(C4002="",NOT(ISNUMBER(E4002))),"",IFERROR(E4002*N(INDEX(art_price,MATCH(C4002,art_ref,0))),""))</f>
        <v/>
      </c>
      <c r="K4002" s="39" t="str">
        <f>IF(OR(C4002="",NOT(ISNUMBER(E4002))),"",IFERROR(ROUND(N(INDEX(art_init,MATCH(C4002,art_ref,0)))+SUMIFS($E$5:E4002,$C$5:C4002,C4002,$B$5:B4002,"Entrée")-SUMIFS($E$5:E4002,$C$5:C4002,C4002,$B$5:B4002,"Sortie"),6),""))</f>
        <v/>
      </c>
      <c r="L4002" s="39" t="str">
        <f>IF(COUNTA(A4002:C4002,E4002)=0,"",IF(COUNTA(A4002:C4002,E4002)&lt;4,"Ligne incomplète",IF(NOT(ISNUMBER(A4002)),"Date invalide",IF(AND(B4002&lt;&gt;"Entrée",B4002&lt;&gt;"Sortie"),"Type inconnu",IF(ISNA(MATCH(C4002,art_ref,0)),"Référence inconnue",IF(OR(NOT(ISNUMBER(E4002)),N(E4002)&lt;=0),"Quantité invalide",IF(K4002&lt;0,"Stock négatif",IF(AND(ISNUMBER(A4001),A4002&lt;A4001),"Date hors ordre","OK"))))))))</f>
        <v/>
      </c>
      <c r="M4002" s="39" t="str">
        <f>IF(C4002="","",C4002&amp;"#"&amp;COUNTIF($C$5:C4002,C4002))</f>
        <v/>
      </c>
    </row>
    <row r="4003">
      <c r="A4003" s="41" t="n"/>
      <c r="B4003" s="37" t="n"/>
      <c r="C4003" s="37" t="n"/>
      <c r="D4003" s="39" t="str">
        <f>IF(C4003="","",IFERROR(INDEX(art_des,MATCH(C4003,art_ref,0))&amp;"","Référence inconnue"))</f>
        <v/>
      </c>
      <c r="E4003" s="37" t="n"/>
      <c r="F4003" s="39" t="str">
        <f>IF(C4003="","",IFERROR(INDEX(art_unit,MATCH(C4003,art_ref,0))&amp;"",""))</f>
        <v/>
      </c>
      <c r="G4003" s="37" t="n"/>
      <c r="H4003" s="37" t="n"/>
      <c r="I4003" s="37" t="n"/>
      <c r="J4003" s="40" t="str">
        <f>IF(OR(C4003="",NOT(ISNUMBER(E4003))),"",IFERROR(E4003*N(INDEX(art_price,MATCH(C4003,art_ref,0))),""))</f>
        <v/>
      </c>
      <c r="K4003" s="39" t="str">
        <f>IF(OR(C4003="",NOT(ISNUMBER(E4003))),"",IFERROR(ROUND(N(INDEX(art_init,MATCH(C4003,art_ref,0)))+SUMIFS($E$5:E4003,$C$5:C4003,C4003,$B$5:B4003,"Entrée")-SUMIFS($E$5:E4003,$C$5:C4003,C4003,$B$5:B4003,"Sortie"),6),""))</f>
        <v/>
      </c>
      <c r="L4003" s="39" t="str">
        <f>IF(COUNTA(A4003:C4003,E4003)=0,"",IF(COUNTA(A4003:C4003,E4003)&lt;4,"Ligne incomplète",IF(NOT(ISNUMBER(A4003)),"Date invalide",IF(AND(B4003&lt;&gt;"Entrée",B4003&lt;&gt;"Sortie"),"Type inconnu",IF(ISNA(MATCH(C4003,art_ref,0)),"Référence inconnue",IF(OR(NOT(ISNUMBER(E4003)),N(E4003)&lt;=0),"Quantité invalide",IF(K4003&lt;0,"Stock négatif",IF(AND(ISNUMBER(A4002),A4003&lt;A4002),"Date hors ordre","OK"))))))))</f>
        <v/>
      </c>
      <c r="M4003" s="39" t="str">
        <f>IF(C4003="","",C4003&amp;"#"&amp;COUNTIF($C$5:C4003,C4003))</f>
        <v/>
      </c>
    </row>
    <row r="4004">
      <c r="A4004" s="41" t="n"/>
      <c r="B4004" s="37" t="n"/>
      <c r="C4004" s="37" t="n"/>
      <c r="D4004" s="39" t="str">
        <f>IF(C4004="","",IFERROR(INDEX(art_des,MATCH(C4004,art_ref,0))&amp;"","Référence inconnue"))</f>
        <v/>
      </c>
      <c r="E4004" s="37" t="n"/>
      <c r="F4004" s="39" t="str">
        <f>IF(C4004="","",IFERROR(INDEX(art_unit,MATCH(C4004,art_ref,0))&amp;"",""))</f>
        <v/>
      </c>
      <c r="G4004" s="37" t="n"/>
      <c r="H4004" s="37" t="n"/>
      <c r="I4004" s="37" t="n"/>
      <c r="J4004" s="40" t="str">
        <f>IF(OR(C4004="",NOT(ISNUMBER(E4004))),"",IFERROR(E4004*N(INDEX(art_price,MATCH(C4004,art_ref,0))),""))</f>
        <v/>
      </c>
      <c r="K4004" s="39" t="str">
        <f>IF(OR(C4004="",NOT(ISNUMBER(E4004))),"",IFERROR(ROUND(N(INDEX(art_init,MATCH(C4004,art_ref,0)))+SUMIFS($E$5:E4004,$C$5:C4004,C4004,$B$5:B4004,"Entrée")-SUMIFS($E$5:E4004,$C$5:C4004,C4004,$B$5:B4004,"Sortie"),6),""))</f>
        <v/>
      </c>
      <c r="L4004" s="39" t="str">
        <f>IF(COUNTA(A4004:C4004,E4004)=0,"",IF(COUNTA(A4004:C4004,E4004)&lt;4,"Ligne incomplète",IF(NOT(ISNUMBER(A4004)),"Date invalide",IF(AND(B4004&lt;&gt;"Entrée",B4004&lt;&gt;"Sortie"),"Type inconnu",IF(ISNA(MATCH(C4004,art_ref,0)),"Référence inconnue",IF(OR(NOT(ISNUMBER(E4004)),N(E4004)&lt;=0),"Quantité invalide",IF(K4004&lt;0,"Stock négatif",IF(AND(ISNUMBER(A4003),A4004&lt;A4003),"Date hors ordre","OK"))))))))</f>
        <v/>
      </c>
      <c r="M4004" s="39" t="str">
        <f>IF(C4004="","",C4004&amp;"#"&amp;COUNTIF($C$5:C4004,C4004))</f>
        <v/>
      </c>
    </row>
    <row r="4005">
      <c r="A4005" s="41" t="n"/>
      <c r="B4005" s="37" t="n"/>
      <c r="C4005" s="37" t="n"/>
      <c r="D4005" s="39" t="str">
        <f>IF(C4005="","",IFERROR(INDEX(art_des,MATCH(C4005,art_ref,0))&amp;"","Référence inconnue"))</f>
        <v/>
      </c>
      <c r="E4005" s="37" t="n"/>
      <c r="F4005" s="39" t="str">
        <f>IF(C4005="","",IFERROR(INDEX(art_unit,MATCH(C4005,art_ref,0))&amp;"",""))</f>
        <v/>
      </c>
      <c r="G4005" s="37" t="n"/>
      <c r="H4005" s="37" t="n"/>
      <c r="I4005" s="37" t="n"/>
      <c r="J4005" s="40" t="str">
        <f>IF(OR(C4005="",NOT(ISNUMBER(E4005))),"",IFERROR(E4005*N(INDEX(art_price,MATCH(C4005,art_ref,0))),""))</f>
        <v/>
      </c>
      <c r="K4005" s="39" t="str">
        <f>IF(OR(C4005="",NOT(ISNUMBER(E4005))),"",IFERROR(ROUND(N(INDEX(art_init,MATCH(C4005,art_ref,0)))+SUMIFS($E$5:E4005,$C$5:C4005,C4005,$B$5:B4005,"Entrée")-SUMIFS($E$5:E4005,$C$5:C4005,C4005,$B$5:B4005,"Sortie"),6),""))</f>
        <v/>
      </c>
      <c r="L4005" s="39" t="str">
        <f>IF(COUNTA(A4005:C4005,E4005)=0,"",IF(COUNTA(A4005:C4005,E4005)&lt;4,"Ligne incomplète",IF(NOT(ISNUMBER(A4005)),"Date invalide",IF(AND(B4005&lt;&gt;"Entrée",B4005&lt;&gt;"Sortie"),"Type inconnu",IF(ISNA(MATCH(C4005,art_ref,0)),"Référence inconnue",IF(OR(NOT(ISNUMBER(E4005)),N(E4005)&lt;=0),"Quantité invalide",IF(K4005&lt;0,"Stock négatif",IF(AND(ISNUMBER(A4004),A4005&lt;A4004),"Date hors ordre","OK"))))))))</f>
        <v/>
      </c>
      <c r="M4005" s="39" t="str">
        <f>IF(C4005="","",C4005&amp;"#"&amp;COUNTIF($C$5:C4005,C4005))</f>
        <v/>
      </c>
    </row>
    <row r="4006">
      <c r="A4006" s="41" t="n"/>
      <c r="B4006" s="37" t="n"/>
      <c r="C4006" s="37" t="n"/>
      <c r="D4006" s="39" t="str">
        <f>IF(C4006="","",IFERROR(INDEX(art_des,MATCH(C4006,art_ref,0))&amp;"","Référence inconnue"))</f>
        <v/>
      </c>
      <c r="E4006" s="37" t="n"/>
      <c r="F4006" s="39" t="str">
        <f>IF(C4006="","",IFERROR(INDEX(art_unit,MATCH(C4006,art_ref,0))&amp;"",""))</f>
        <v/>
      </c>
      <c r="G4006" s="37" t="n"/>
      <c r="H4006" s="37" t="n"/>
      <c r="I4006" s="37" t="n"/>
      <c r="J4006" s="40" t="str">
        <f>IF(OR(C4006="",NOT(ISNUMBER(E4006))),"",IFERROR(E4006*N(INDEX(art_price,MATCH(C4006,art_ref,0))),""))</f>
        <v/>
      </c>
      <c r="K4006" s="39" t="str">
        <f>IF(OR(C4006="",NOT(ISNUMBER(E4006))),"",IFERROR(ROUND(N(INDEX(art_init,MATCH(C4006,art_ref,0)))+SUMIFS($E$5:E4006,$C$5:C4006,C4006,$B$5:B4006,"Entrée")-SUMIFS($E$5:E4006,$C$5:C4006,C4006,$B$5:B4006,"Sortie"),6),""))</f>
        <v/>
      </c>
      <c r="L4006" s="39" t="str">
        <f>IF(COUNTA(A4006:C4006,E4006)=0,"",IF(COUNTA(A4006:C4006,E4006)&lt;4,"Ligne incomplète",IF(NOT(ISNUMBER(A4006)),"Date invalide",IF(AND(B4006&lt;&gt;"Entrée",B4006&lt;&gt;"Sortie"),"Type inconnu",IF(ISNA(MATCH(C4006,art_ref,0)),"Référence inconnue",IF(OR(NOT(ISNUMBER(E4006)),N(E4006)&lt;=0),"Quantité invalide",IF(K4006&lt;0,"Stock négatif",IF(AND(ISNUMBER(A4005),A4006&lt;A4005),"Date hors ordre","OK"))))))))</f>
        <v/>
      </c>
      <c r="M4006" s="39" t="str">
        <f>IF(C4006="","",C4006&amp;"#"&amp;COUNTIF($C$5:C4006,C4006))</f>
        <v/>
      </c>
    </row>
    <row r="4007">
      <c r="A4007" s="41" t="n"/>
      <c r="B4007" s="37" t="n"/>
      <c r="C4007" s="37" t="n"/>
      <c r="D4007" s="39" t="str">
        <f>IF(C4007="","",IFERROR(INDEX(art_des,MATCH(C4007,art_ref,0))&amp;"","Référence inconnue"))</f>
        <v/>
      </c>
      <c r="E4007" s="37" t="n"/>
      <c r="F4007" s="39" t="str">
        <f>IF(C4007="","",IFERROR(INDEX(art_unit,MATCH(C4007,art_ref,0))&amp;"",""))</f>
        <v/>
      </c>
      <c r="G4007" s="37" t="n"/>
      <c r="H4007" s="37" t="n"/>
      <c r="I4007" s="37" t="n"/>
      <c r="J4007" s="40" t="str">
        <f>IF(OR(C4007="",NOT(ISNUMBER(E4007))),"",IFERROR(E4007*N(INDEX(art_price,MATCH(C4007,art_ref,0))),""))</f>
        <v/>
      </c>
      <c r="K4007" s="39" t="str">
        <f>IF(OR(C4007="",NOT(ISNUMBER(E4007))),"",IFERROR(ROUND(N(INDEX(art_init,MATCH(C4007,art_ref,0)))+SUMIFS($E$5:E4007,$C$5:C4007,C4007,$B$5:B4007,"Entrée")-SUMIFS($E$5:E4007,$C$5:C4007,C4007,$B$5:B4007,"Sortie"),6),""))</f>
        <v/>
      </c>
      <c r="L4007" s="39" t="str">
        <f>IF(COUNTA(A4007:C4007,E4007)=0,"",IF(COUNTA(A4007:C4007,E4007)&lt;4,"Ligne incomplète",IF(NOT(ISNUMBER(A4007)),"Date invalide",IF(AND(B4007&lt;&gt;"Entrée",B4007&lt;&gt;"Sortie"),"Type inconnu",IF(ISNA(MATCH(C4007,art_ref,0)),"Référence inconnue",IF(OR(NOT(ISNUMBER(E4007)),N(E4007)&lt;=0),"Quantité invalide",IF(K4007&lt;0,"Stock négatif",IF(AND(ISNUMBER(A4006),A4007&lt;A4006),"Date hors ordre","OK"))))))))</f>
        <v/>
      </c>
      <c r="M4007" s="39" t="str">
        <f>IF(C4007="","",C4007&amp;"#"&amp;COUNTIF($C$5:C4007,C4007))</f>
        <v/>
      </c>
    </row>
    <row r="4008">
      <c r="A4008" s="41" t="n"/>
      <c r="B4008" s="37" t="n"/>
      <c r="C4008" s="37" t="n"/>
      <c r="D4008" s="39" t="str">
        <f>IF(C4008="","",IFERROR(INDEX(art_des,MATCH(C4008,art_ref,0))&amp;"","Référence inconnue"))</f>
        <v/>
      </c>
      <c r="E4008" s="37" t="n"/>
      <c r="F4008" s="39" t="str">
        <f>IF(C4008="","",IFERROR(INDEX(art_unit,MATCH(C4008,art_ref,0))&amp;"",""))</f>
        <v/>
      </c>
      <c r="G4008" s="37" t="n"/>
      <c r="H4008" s="37" t="n"/>
      <c r="I4008" s="37" t="n"/>
      <c r="J4008" s="40" t="str">
        <f>IF(OR(C4008="",NOT(ISNUMBER(E4008))),"",IFERROR(E4008*N(INDEX(art_price,MATCH(C4008,art_ref,0))),""))</f>
        <v/>
      </c>
      <c r="K4008" s="39" t="str">
        <f>IF(OR(C4008="",NOT(ISNUMBER(E4008))),"",IFERROR(ROUND(N(INDEX(art_init,MATCH(C4008,art_ref,0)))+SUMIFS($E$5:E4008,$C$5:C4008,C4008,$B$5:B4008,"Entrée")-SUMIFS($E$5:E4008,$C$5:C4008,C4008,$B$5:B4008,"Sortie"),6),""))</f>
        <v/>
      </c>
      <c r="L4008" s="39" t="str">
        <f>IF(COUNTA(A4008:C4008,E4008)=0,"",IF(COUNTA(A4008:C4008,E4008)&lt;4,"Ligne incomplète",IF(NOT(ISNUMBER(A4008)),"Date invalide",IF(AND(B4008&lt;&gt;"Entrée",B4008&lt;&gt;"Sortie"),"Type inconnu",IF(ISNA(MATCH(C4008,art_ref,0)),"Référence inconnue",IF(OR(NOT(ISNUMBER(E4008)),N(E4008)&lt;=0),"Quantité invalide",IF(K4008&lt;0,"Stock négatif",IF(AND(ISNUMBER(A4007),A4008&lt;A4007),"Date hors ordre","OK"))))))))</f>
        <v/>
      </c>
      <c r="M4008" s="39" t="str">
        <f>IF(C4008="","",C4008&amp;"#"&amp;COUNTIF($C$5:C4008,C4008))</f>
        <v/>
      </c>
    </row>
    <row r="4009">
      <c r="A4009" s="41" t="n"/>
      <c r="B4009" s="37" t="n"/>
      <c r="C4009" s="37" t="n"/>
      <c r="D4009" s="39" t="str">
        <f>IF(C4009="","",IFERROR(INDEX(art_des,MATCH(C4009,art_ref,0))&amp;"","Référence inconnue"))</f>
        <v/>
      </c>
      <c r="E4009" s="37" t="n"/>
      <c r="F4009" s="39" t="str">
        <f>IF(C4009="","",IFERROR(INDEX(art_unit,MATCH(C4009,art_ref,0))&amp;"",""))</f>
        <v/>
      </c>
      <c r="G4009" s="37" t="n"/>
      <c r="H4009" s="37" t="n"/>
      <c r="I4009" s="37" t="n"/>
      <c r="J4009" s="40" t="str">
        <f>IF(OR(C4009="",NOT(ISNUMBER(E4009))),"",IFERROR(E4009*N(INDEX(art_price,MATCH(C4009,art_ref,0))),""))</f>
        <v/>
      </c>
      <c r="K4009" s="39" t="str">
        <f>IF(OR(C4009="",NOT(ISNUMBER(E4009))),"",IFERROR(ROUND(N(INDEX(art_init,MATCH(C4009,art_ref,0)))+SUMIFS($E$5:E4009,$C$5:C4009,C4009,$B$5:B4009,"Entrée")-SUMIFS($E$5:E4009,$C$5:C4009,C4009,$B$5:B4009,"Sortie"),6),""))</f>
        <v/>
      </c>
      <c r="L4009" s="39" t="str">
        <f>IF(COUNTA(A4009:C4009,E4009)=0,"",IF(COUNTA(A4009:C4009,E4009)&lt;4,"Ligne incomplète",IF(NOT(ISNUMBER(A4009)),"Date invalide",IF(AND(B4009&lt;&gt;"Entrée",B4009&lt;&gt;"Sortie"),"Type inconnu",IF(ISNA(MATCH(C4009,art_ref,0)),"Référence inconnue",IF(OR(NOT(ISNUMBER(E4009)),N(E4009)&lt;=0),"Quantité invalide",IF(K4009&lt;0,"Stock négatif",IF(AND(ISNUMBER(A4008),A4009&lt;A4008),"Date hors ordre","OK"))))))))</f>
        <v/>
      </c>
      <c r="M4009" s="39" t="str">
        <f>IF(C4009="","",C4009&amp;"#"&amp;COUNTIF($C$5:C4009,C4009))</f>
        <v/>
      </c>
    </row>
    <row r="4010">
      <c r="A4010" s="41" t="n"/>
      <c r="B4010" s="37" t="n"/>
      <c r="C4010" s="37" t="n"/>
      <c r="D4010" s="39" t="str">
        <f>IF(C4010="","",IFERROR(INDEX(art_des,MATCH(C4010,art_ref,0))&amp;"","Référence inconnue"))</f>
        <v/>
      </c>
      <c r="E4010" s="37" t="n"/>
      <c r="F4010" s="39" t="str">
        <f>IF(C4010="","",IFERROR(INDEX(art_unit,MATCH(C4010,art_ref,0))&amp;"",""))</f>
        <v/>
      </c>
      <c r="G4010" s="37" t="n"/>
      <c r="H4010" s="37" t="n"/>
      <c r="I4010" s="37" t="n"/>
      <c r="J4010" s="40" t="str">
        <f>IF(OR(C4010="",NOT(ISNUMBER(E4010))),"",IFERROR(E4010*N(INDEX(art_price,MATCH(C4010,art_ref,0))),""))</f>
        <v/>
      </c>
      <c r="K4010" s="39" t="str">
        <f>IF(OR(C4010="",NOT(ISNUMBER(E4010))),"",IFERROR(ROUND(N(INDEX(art_init,MATCH(C4010,art_ref,0)))+SUMIFS($E$5:E4010,$C$5:C4010,C4010,$B$5:B4010,"Entrée")-SUMIFS($E$5:E4010,$C$5:C4010,C4010,$B$5:B4010,"Sortie"),6),""))</f>
        <v/>
      </c>
      <c r="L4010" s="39" t="str">
        <f>IF(COUNTA(A4010:C4010,E4010)=0,"",IF(COUNTA(A4010:C4010,E4010)&lt;4,"Ligne incomplète",IF(NOT(ISNUMBER(A4010)),"Date invalide",IF(AND(B4010&lt;&gt;"Entrée",B4010&lt;&gt;"Sortie"),"Type inconnu",IF(ISNA(MATCH(C4010,art_ref,0)),"Référence inconnue",IF(OR(NOT(ISNUMBER(E4010)),N(E4010)&lt;=0),"Quantité invalide",IF(K4010&lt;0,"Stock négatif",IF(AND(ISNUMBER(A4009),A4010&lt;A4009),"Date hors ordre","OK"))))))))</f>
        <v/>
      </c>
      <c r="M4010" s="39" t="str">
        <f>IF(C4010="","",C4010&amp;"#"&amp;COUNTIF($C$5:C4010,C4010))</f>
        <v/>
      </c>
    </row>
    <row r="4011">
      <c r="A4011" s="41" t="n"/>
      <c r="B4011" s="37" t="n"/>
      <c r="C4011" s="37" t="n"/>
      <c r="D4011" s="39" t="str">
        <f>IF(C4011="","",IFERROR(INDEX(art_des,MATCH(C4011,art_ref,0))&amp;"","Référence inconnue"))</f>
        <v/>
      </c>
      <c r="E4011" s="37" t="n"/>
      <c r="F4011" s="39" t="str">
        <f>IF(C4011="","",IFERROR(INDEX(art_unit,MATCH(C4011,art_ref,0))&amp;"",""))</f>
        <v/>
      </c>
      <c r="G4011" s="37" t="n"/>
      <c r="H4011" s="37" t="n"/>
      <c r="I4011" s="37" t="n"/>
      <c r="J4011" s="40" t="str">
        <f>IF(OR(C4011="",NOT(ISNUMBER(E4011))),"",IFERROR(E4011*N(INDEX(art_price,MATCH(C4011,art_ref,0))),""))</f>
        <v/>
      </c>
      <c r="K4011" s="39" t="str">
        <f>IF(OR(C4011="",NOT(ISNUMBER(E4011))),"",IFERROR(ROUND(N(INDEX(art_init,MATCH(C4011,art_ref,0)))+SUMIFS($E$5:E4011,$C$5:C4011,C4011,$B$5:B4011,"Entrée")-SUMIFS($E$5:E4011,$C$5:C4011,C4011,$B$5:B4011,"Sortie"),6),""))</f>
        <v/>
      </c>
      <c r="L4011" s="39" t="str">
        <f>IF(COUNTA(A4011:C4011,E4011)=0,"",IF(COUNTA(A4011:C4011,E4011)&lt;4,"Ligne incomplète",IF(NOT(ISNUMBER(A4011)),"Date invalide",IF(AND(B4011&lt;&gt;"Entrée",B4011&lt;&gt;"Sortie"),"Type inconnu",IF(ISNA(MATCH(C4011,art_ref,0)),"Référence inconnue",IF(OR(NOT(ISNUMBER(E4011)),N(E4011)&lt;=0),"Quantité invalide",IF(K4011&lt;0,"Stock négatif",IF(AND(ISNUMBER(A4010),A4011&lt;A4010),"Date hors ordre","OK"))))))))</f>
        <v/>
      </c>
      <c r="M4011" s="39" t="str">
        <f>IF(C4011="","",C4011&amp;"#"&amp;COUNTIF($C$5:C4011,C4011))</f>
        <v/>
      </c>
    </row>
    <row r="4012">
      <c r="A4012" s="41" t="n"/>
      <c r="B4012" s="37" t="n"/>
      <c r="C4012" s="37" t="n"/>
      <c r="D4012" s="39" t="str">
        <f>IF(C4012="","",IFERROR(INDEX(art_des,MATCH(C4012,art_ref,0))&amp;"","Référence inconnue"))</f>
        <v/>
      </c>
      <c r="E4012" s="37" t="n"/>
      <c r="F4012" s="39" t="str">
        <f>IF(C4012="","",IFERROR(INDEX(art_unit,MATCH(C4012,art_ref,0))&amp;"",""))</f>
        <v/>
      </c>
      <c r="G4012" s="37" t="n"/>
      <c r="H4012" s="37" t="n"/>
      <c r="I4012" s="37" t="n"/>
      <c r="J4012" s="40" t="str">
        <f>IF(OR(C4012="",NOT(ISNUMBER(E4012))),"",IFERROR(E4012*N(INDEX(art_price,MATCH(C4012,art_ref,0))),""))</f>
        <v/>
      </c>
      <c r="K4012" s="39" t="str">
        <f>IF(OR(C4012="",NOT(ISNUMBER(E4012))),"",IFERROR(ROUND(N(INDEX(art_init,MATCH(C4012,art_ref,0)))+SUMIFS($E$5:E4012,$C$5:C4012,C4012,$B$5:B4012,"Entrée")-SUMIFS($E$5:E4012,$C$5:C4012,C4012,$B$5:B4012,"Sortie"),6),""))</f>
        <v/>
      </c>
      <c r="L4012" s="39" t="str">
        <f>IF(COUNTA(A4012:C4012,E4012)=0,"",IF(COUNTA(A4012:C4012,E4012)&lt;4,"Ligne incomplète",IF(NOT(ISNUMBER(A4012)),"Date invalide",IF(AND(B4012&lt;&gt;"Entrée",B4012&lt;&gt;"Sortie"),"Type inconnu",IF(ISNA(MATCH(C4012,art_ref,0)),"Référence inconnue",IF(OR(NOT(ISNUMBER(E4012)),N(E4012)&lt;=0),"Quantité invalide",IF(K4012&lt;0,"Stock négatif",IF(AND(ISNUMBER(A4011),A4012&lt;A4011),"Date hors ordre","OK"))))))))</f>
        <v/>
      </c>
      <c r="M4012" s="39" t="str">
        <f>IF(C4012="","",C4012&amp;"#"&amp;COUNTIF($C$5:C4012,C4012))</f>
        <v/>
      </c>
    </row>
    <row r="4013">
      <c r="A4013" s="41" t="n"/>
      <c r="B4013" s="37" t="n"/>
      <c r="C4013" s="37" t="n"/>
      <c r="D4013" s="39" t="str">
        <f>IF(C4013="","",IFERROR(INDEX(art_des,MATCH(C4013,art_ref,0))&amp;"","Référence inconnue"))</f>
        <v/>
      </c>
      <c r="E4013" s="37" t="n"/>
      <c r="F4013" s="39" t="str">
        <f>IF(C4013="","",IFERROR(INDEX(art_unit,MATCH(C4013,art_ref,0))&amp;"",""))</f>
        <v/>
      </c>
      <c r="G4013" s="37" t="n"/>
      <c r="H4013" s="37" t="n"/>
      <c r="I4013" s="37" t="n"/>
      <c r="J4013" s="40" t="str">
        <f>IF(OR(C4013="",NOT(ISNUMBER(E4013))),"",IFERROR(E4013*N(INDEX(art_price,MATCH(C4013,art_ref,0))),""))</f>
        <v/>
      </c>
      <c r="K4013" s="39" t="str">
        <f>IF(OR(C4013="",NOT(ISNUMBER(E4013))),"",IFERROR(ROUND(N(INDEX(art_init,MATCH(C4013,art_ref,0)))+SUMIFS($E$5:E4013,$C$5:C4013,C4013,$B$5:B4013,"Entrée")-SUMIFS($E$5:E4013,$C$5:C4013,C4013,$B$5:B4013,"Sortie"),6),""))</f>
        <v/>
      </c>
      <c r="L4013" s="39" t="str">
        <f>IF(COUNTA(A4013:C4013,E4013)=0,"",IF(COUNTA(A4013:C4013,E4013)&lt;4,"Ligne incomplète",IF(NOT(ISNUMBER(A4013)),"Date invalide",IF(AND(B4013&lt;&gt;"Entrée",B4013&lt;&gt;"Sortie"),"Type inconnu",IF(ISNA(MATCH(C4013,art_ref,0)),"Référence inconnue",IF(OR(NOT(ISNUMBER(E4013)),N(E4013)&lt;=0),"Quantité invalide",IF(K4013&lt;0,"Stock négatif",IF(AND(ISNUMBER(A4012),A4013&lt;A4012),"Date hors ordre","OK"))))))))</f>
        <v/>
      </c>
      <c r="M4013" s="39" t="str">
        <f>IF(C4013="","",C4013&amp;"#"&amp;COUNTIF($C$5:C4013,C4013))</f>
        <v/>
      </c>
    </row>
    <row r="4014">
      <c r="A4014" s="41" t="n"/>
      <c r="B4014" s="37" t="n"/>
      <c r="C4014" s="37" t="n"/>
      <c r="D4014" s="39" t="str">
        <f>IF(C4014="","",IFERROR(INDEX(art_des,MATCH(C4014,art_ref,0))&amp;"","Référence inconnue"))</f>
        <v/>
      </c>
      <c r="E4014" s="37" t="n"/>
      <c r="F4014" s="39" t="str">
        <f>IF(C4014="","",IFERROR(INDEX(art_unit,MATCH(C4014,art_ref,0))&amp;"",""))</f>
        <v/>
      </c>
      <c r="G4014" s="37" t="n"/>
      <c r="H4014" s="37" t="n"/>
      <c r="I4014" s="37" t="n"/>
      <c r="J4014" s="40" t="str">
        <f>IF(OR(C4014="",NOT(ISNUMBER(E4014))),"",IFERROR(E4014*N(INDEX(art_price,MATCH(C4014,art_ref,0))),""))</f>
        <v/>
      </c>
      <c r="K4014" s="39" t="str">
        <f>IF(OR(C4014="",NOT(ISNUMBER(E4014))),"",IFERROR(ROUND(N(INDEX(art_init,MATCH(C4014,art_ref,0)))+SUMIFS($E$5:E4014,$C$5:C4014,C4014,$B$5:B4014,"Entrée")-SUMIFS($E$5:E4014,$C$5:C4014,C4014,$B$5:B4014,"Sortie"),6),""))</f>
        <v/>
      </c>
      <c r="L4014" s="39" t="str">
        <f>IF(COUNTA(A4014:C4014,E4014)=0,"",IF(COUNTA(A4014:C4014,E4014)&lt;4,"Ligne incomplète",IF(NOT(ISNUMBER(A4014)),"Date invalide",IF(AND(B4014&lt;&gt;"Entrée",B4014&lt;&gt;"Sortie"),"Type inconnu",IF(ISNA(MATCH(C4014,art_ref,0)),"Référence inconnue",IF(OR(NOT(ISNUMBER(E4014)),N(E4014)&lt;=0),"Quantité invalide",IF(K4014&lt;0,"Stock négatif",IF(AND(ISNUMBER(A4013),A4014&lt;A4013),"Date hors ordre","OK"))))))))</f>
        <v/>
      </c>
      <c r="M4014" s="39" t="str">
        <f>IF(C4014="","",C4014&amp;"#"&amp;COUNTIF($C$5:C4014,C4014))</f>
        <v/>
      </c>
    </row>
    <row r="4015">
      <c r="A4015" s="41" t="n"/>
      <c r="B4015" s="37" t="n"/>
      <c r="C4015" s="37" t="n"/>
      <c r="D4015" s="39" t="str">
        <f>IF(C4015="","",IFERROR(INDEX(art_des,MATCH(C4015,art_ref,0))&amp;"","Référence inconnue"))</f>
        <v/>
      </c>
      <c r="E4015" s="37" t="n"/>
      <c r="F4015" s="39" t="str">
        <f>IF(C4015="","",IFERROR(INDEX(art_unit,MATCH(C4015,art_ref,0))&amp;"",""))</f>
        <v/>
      </c>
      <c r="G4015" s="37" t="n"/>
      <c r="H4015" s="37" t="n"/>
      <c r="I4015" s="37" t="n"/>
      <c r="J4015" s="40" t="str">
        <f>IF(OR(C4015="",NOT(ISNUMBER(E4015))),"",IFERROR(E4015*N(INDEX(art_price,MATCH(C4015,art_ref,0))),""))</f>
        <v/>
      </c>
      <c r="K4015" s="39" t="str">
        <f>IF(OR(C4015="",NOT(ISNUMBER(E4015))),"",IFERROR(ROUND(N(INDEX(art_init,MATCH(C4015,art_ref,0)))+SUMIFS($E$5:E4015,$C$5:C4015,C4015,$B$5:B4015,"Entrée")-SUMIFS($E$5:E4015,$C$5:C4015,C4015,$B$5:B4015,"Sortie"),6),""))</f>
        <v/>
      </c>
      <c r="L4015" s="39" t="str">
        <f>IF(COUNTA(A4015:C4015,E4015)=0,"",IF(COUNTA(A4015:C4015,E4015)&lt;4,"Ligne incomplète",IF(NOT(ISNUMBER(A4015)),"Date invalide",IF(AND(B4015&lt;&gt;"Entrée",B4015&lt;&gt;"Sortie"),"Type inconnu",IF(ISNA(MATCH(C4015,art_ref,0)),"Référence inconnue",IF(OR(NOT(ISNUMBER(E4015)),N(E4015)&lt;=0),"Quantité invalide",IF(K4015&lt;0,"Stock négatif",IF(AND(ISNUMBER(A4014),A4015&lt;A4014),"Date hors ordre","OK"))))))))</f>
        <v/>
      </c>
      <c r="M4015" s="39" t="str">
        <f>IF(C4015="","",C4015&amp;"#"&amp;COUNTIF($C$5:C4015,C4015))</f>
        <v/>
      </c>
    </row>
    <row r="4016">
      <c r="A4016" s="41" t="n"/>
      <c r="B4016" s="37" t="n"/>
      <c r="C4016" s="37" t="n"/>
      <c r="D4016" s="39" t="str">
        <f>IF(C4016="","",IFERROR(INDEX(art_des,MATCH(C4016,art_ref,0))&amp;"","Référence inconnue"))</f>
        <v/>
      </c>
      <c r="E4016" s="37" t="n"/>
      <c r="F4016" s="39" t="str">
        <f>IF(C4016="","",IFERROR(INDEX(art_unit,MATCH(C4016,art_ref,0))&amp;"",""))</f>
        <v/>
      </c>
      <c r="G4016" s="37" t="n"/>
      <c r="H4016" s="37" t="n"/>
      <c r="I4016" s="37" t="n"/>
      <c r="J4016" s="40" t="str">
        <f>IF(OR(C4016="",NOT(ISNUMBER(E4016))),"",IFERROR(E4016*N(INDEX(art_price,MATCH(C4016,art_ref,0))),""))</f>
        <v/>
      </c>
      <c r="K4016" s="39" t="str">
        <f>IF(OR(C4016="",NOT(ISNUMBER(E4016))),"",IFERROR(ROUND(N(INDEX(art_init,MATCH(C4016,art_ref,0)))+SUMIFS($E$5:E4016,$C$5:C4016,C4016,$B$5:B4016,"Entrée")-SUMIFS($E$5:E4016,$C$5:C4016,C4016,$B$5:B4016,"Sortie"),6),""))</f>
        <v/>
      </c>
      <c r="L4016" s="39" t="str">
        <f>IF(COUNTA(A4016:C4016,E4016)=0,"",IF(COUNTA(A4016:C4016,E4016)&lt;4,"Ligne incomplète",IF(NOT(ISNUMBER(A4016)),"Date invalide",IF(AND(B4016&lt;&gt;"Entrée",B4016&lt;&gt;"Sortie"),"Type inconnu",IF(ISNA(MATCH(C4016,art_ref,0)),"Référence inconnue",IF(OR(NOT(ISNUMBER(E4016)),N(E4016)&lt;=0),"Quantité invalide",IF(K4016&lt;0,"Stock négatif",IF(AND(ISNUMBER(A4015),A4016&lt;A4015),"Date hors ordre","OK"))))))))</f>
        <v/>
      </c>
      <c r="M4016" s="39" t="str">
        <f>IF(C4016="","",C4016&amp;"#"&amp;COUNTIF($C$5:C4016,C4016))</f>
        <v/>
      </c>
    </row>
    <row r="4017">
      <c r="A4017" s="41" t="n"/>
      <c r="B4017" s="37" t="n"/>
      <c r="C4017" s="37" t="n"/>
      <c r="D4017" s="39" t="str">
        <f>IF(C4017="","",IFERROR(INDEX(art_des,MATCH(C4017,art_ref,0))&amp;"","Référence inconnue"))</f>
        <v/>
      </c>
      <c r="E4017" s="37" t="n"/>
      <c r="F4017" s="39" t="str">
        <f>IF(C4017="","",IFERROR(INDEX(art_unit,MATCH(C4017,art_ref,0))&amp;"",""))</f>
        <v/>
      </c>
      <c r="G4017" s="37" t="n"/>
      <c r="H4017" s="37" t="n"/>
      <c r="I4017" s="37" t="n"/>
      <c r="J4017" s="40" t="str">
        <f>IF(OR(C4017="",NOT(ISNUMBER(E4017))),"",IFERROR(E4017*N(INDEX(art_price,MATCH(C4017,art_ref,0))),""))</f>
        <v/>
      </c>
      <c r="K4017" s="39" t="str">
        <f>IF(OR(C4017="",NOT(ISNUMBER(E4017))),"",IFERROR(ROUND(N(INDEX(art_init,MATCH(C4017,art_ref,0)))+SUMIFS($E$5:E4017,$C$5:C4017,C4017,$B$5:B4017,"Entrée")-SUMIFS($E$5:E4017,$C$5:C4017,C4017,$B$5:B4017,"Sortie"),6),""))</f>
        <v/>
      </c>
      <c r="L4017" s="39" t="str">
        <f>IF(COUNTA(A4017:C4017,E4017)=0,"",IF(COUNTA(A4017:C4017,E4017)&lt;4,"Ligne incomplète",IF(NOT(ISNUMBER(A4017)),"Date invalide",IF(AND(B4017&lt;&gt;"Entrée",B4017&lt;&gt;"Sortie"),"Type inconnu",IF(ISNA(MATCH(C4017,art_ref,0)),"Référence inconnue",IF(OR(NOT(ISNUMBER(E4017)),N(E4017)&lt;=0),"Quantité invalide",IF(K4017&lt;0,"Stock négatif",IF(AND(ISNUMBER(A4016),A4017&lt;A4016),"Date hors ordre","OK"))))))))</f>
        <v/>
      </c>
      <c r="M4017" s="39" t="str">
        <f>IF(C4017="","",C4017&amp;"#"&amp;COUNTIF($C$5:C4017,C4017))</f>
        <v/>
      </c>
    </row>
    <row r="4018">
      <c r="A4018" s="41" t="n"/>
      <c r="B4018" s="37" t="n"/>
      <c r="C4018" s="37" t="n"/>
      <c r="D4018" s="39" t="str">
        <f>IF(C4018="","",IFERROR(INDEX(art_des,MATCH(C4018,art_ref,0))&amp;"","Référence inconnue"))</f>
        <v/>
      </c>
      <c r="E4018" s="37" t="n"/>
      <c r="F4018" s="39" t="str">
        <f>IF(C4018="","",IFERROR(INDEX(art_unit,MATCH(C4018,art_ref,0))&amp;"",""))</f>
        <v/>
      </c>
      <c r="G4018" s="37" t="n"/>
      <c r="H4018" s="37" t="n"/>
      <c r="I4018" s="37" t="n"/>
      <c r="J4018" s="40" t="str">
        <f>IF(OR(C4018="",NOT(ISNUMBER(E4018))),"",IFERROR(E4018*N(INDEX(art_price,MATCH(C4018,art_ref,0))),""))</f>
        <v/>
      </c>
      <c r="K4018" s="39" t="str">
        <f>IF(OR(C4018="",NOT(ISNUMBER(E4018))),"",IFERROR(ROUND(N(INDEX(art_init,MATCH(C4018,art_ref,0)))+SUMIFS($E$5:E4018,$C$5:C4018,C4018,$B$5:B4018,"Entrée")-SUMIFS($E$5:E4018,$C$5:C4018,C4018,$B$5:B4018,"Sortie"),6),""))</f>
        <v/>
      </c>
      <c r="L4018" s="39" t="str">
        <f>IF(COUNTA(A4018:C4018,E4018)=0,"",IF(COUNTA(A4018:C4018,E4018)&lt;4,"Ligne incomplète",IF(NOT(ISNUMBER(A4018)),"Date invalide",IF(AND(B4018&lt;&gt;"Entrée",B4018&lt;&gt;"Sortie"),"Type inconnu",IF(ISNA(MATCH(C4018,art_ref,0)),"Référence inconnue",IF(OR(NOT(ISNUMBER(E4018)),N(E4018)&lt;=0),"Quantité invalide",IF(K4018&lt;0,"Stock négatif",IF(AND(ISNUMBER(A4017),A4018&lt;A4017),"Date hors ordre","OK"))))))))</f>
        <v/>
      </c>
      <c r="M4018" s="39" t="str">
        <f>IF(C4018="","",C4018&amp;"#"&amp;COUNTIF($C$5:C4018,C4018))</f>
        <v/>
      </c>
    </row>
    <row r="4019">
      <c r="A4019" s="41" t="n"/>
      <c r="B4019" s="37" t="n"/>
      <c r="C4019" s="37" t="n"/>
      <c r="D4019" s="39" t="str">
        <f>IF(C4019="","",IFERROR(INDEX(art_des,MATCH(C4019,art_ref,0))&amp;"","Référence inconnue"))</f>
        <v/>
      </c>
      <c r="E4019" s="37" t="n"/>
      <c r="F4019" s="39" t="str">
        <f>IF(C4019="","",IFERROR(INDEX(art_unit,MATCH(C4019,art_ref,0))&amp;"",""))</f>
        <v/>
      </c>
      <c r="G4019" s="37" t="n"/>
      <c r="H4019" s="37" t="n"/>
      <c r="I4019" s="37" t="n"/>
      <c r="J4019" s="40" t="str">
        <f>IF(OR(C4019="",NOT(ISNUMBER(E4019))),"",IFERROR(E4019*N(INDEX(art_price,MATCH(C4019,art_ref,0))),""))</f>
        <v/>
      </c>
      <c r="K4019" s="39" t="str">
        <f>IF(OR(C4019="",NOT(ISNUMBER(E4019))),"",IFERROR(ROUND(N(INDEX(art_init,MATCH(C4019,art_ref,0)))+SUMIFS($E$5:E4019,$C$5:C4019,C4019,$B$5:B4019,"Entrée")-SUMIFS($E$5:E4019,$C$5:C4019,C4019,$B$5:B4019,"Sortie"),6),""))</f>
        <v/>
      </c>
      <c r="L4019" s="39" t="str">
        <f>IF(COUNTA(A4019:C4019,E4019)=0,"",IF(COUNTA(A4019:C4019,E4019)&lt;4,"Ligne incomplète",IF(NOT(ISNUMBER(A4019)),"Date invalide",IF(AND(B4019&lt;&gt;"Entrée",B4019&lt;&gt;"Sortie"),"Type inconnu",IF(ISNA(MATCH(C4019,art_ref,0)),"Référence inconnue",IF(OR(NOT(ISNUMBER(E4019)),N(E4019)&lt;=0),"Quantité invalide",IF(K4019&lt;0,"Stock négatif",IF(AND(ISNUMBER(A4018),A4019&lt;A4018),"Date hors ordre","OK"))))))))</f>
        <v/>
      </c>
      <c r="M4019" s="39" t="str">
        <f>IF(C4019="","",C4019&amp;"#"&amp;COUNTIF($C$5:C4019,C4019))</f>
        <v/>
      </c>
    </row>
    <row r="4020">
      <c r="A4020" s="41" t="n"/>
      <c r="B4020" s="37" t="n"/>
      <c r="C4020" s="37" t="n"/>
      <c r="D4020" s="39" t="str">
        <f>IF(C4020="","",IFERROR(INDEX(art_des,MATCH(C4020,art_ref,0))&amp;"","Référence inconnue"))</f>
        <v/>
      </c>
      <c r="E4020" s="37" t="n"/>
      <c r="F4020" s="39" t="str">
        <f>IF(C4020="","",IFERROR(INDEX(art_unit,MATCH(C4020,art_ref,0))&amp;"",""))</f>
        <v/>
      </c>
      <c r="G4020" s="37" t="n"/>
      <c r="H4020" s="37" t="n"/>
      <c r="I4020" s="37" t="n"/>
      <c r="J4020" s="40" t="str">
        <f>IF(OR(C4020="",NOT(ISNUMBER(E4020))),"",IFERROR(E4020*N(INDEX(art_price,MATCH(C4020,art_ref,0))),""))</f>
        <v/>
      </c>
      <c r="K4020" s="39" t="str">
        <f>IF(OR(C4020="",NOT(ISNUMBER(E4020))),"",IFERROR(ROUND(N(INDEX(art_init,MATCH(C4020,art_ref,0)))+SUMIFS($E$5:E4020,$C$5:C4020,C4020,$B$5:B4020,"Entrée")-SUMIFS($E$5:E4020,$C$5:C4020,C4020,$B$5:B4020,"Sortie"),6),""))</f>
        <v/>
      </c>
      <c r="L4020" s="39" t="str">
        <f>IF(COUNTA(A4020:C4020,E4020)=0,"",IF(COUNTA(A4020:C4020,E4020)&lt;4,"Ligne incomplète",IF(NOT(ISNUMBER(A4020)),"Date invalide",IF(AND(B4020&lt;&gt;"Entrée",B4020&lt;&gt;"Sortie"),"Type inconnu",IF(ISNA(MATCH(C4020,art_ref,0)),"Référence inconnue",IF(OR(NOT(ISNUMBER(E4020)),N(E4020)&lt;=0),"Quantité invalide",IF(K4020&lt;0,"Stock négatif",IF(AND(ISNUMBER(A4019),A4020&lt;A4019),"Date hors ordre","OK"))))))))</f>
        <v/>
      </c>
      <c r="M4020" s="39" t="str">
        <f>IF(C4020="","",C4020&amp;"#"&amp;COUNTIF($C$5:C4020,C4020))</f>
        <v/>
      </c>
    </row>
    <row r="4021">
      <c r="A4021" s="41" t="n"/>
      <c r="B4021" s="37" t="n"/>
      <c r="C4021" s="37" t="n"/>
      <c r="D4021" s="39" t="str">
        <f>IF(C4021="","",IFERROR(INDEX(art_des,MATCH(C4021,art_ref,0))&amp;"","Référence inconnue"))</f>
        <v/>
      </c>
      <c r="E4021" s="37" t="n"/>
      <c r="F4021" s="39" t="str">
        <f>IF(C4021="","",IFERROR(INDEX(art_unit,MATCH(C4021,art_ref,0))&amp;"",""))</f>
        <v/>
      </c>
      <c r="G4021" s="37" t="n"/>
      <c r="H4021" s="37" t="n"/>
      <c r="I4021" s="37" t="n"/>
      <c r="J4021" s="40" t="str">
        <f>IF(OR(C4021="",NOT(ISNUMBER(E4021))),"",IFERROR(E4021*N(INDEX(art_price,MATCH(C4021,art_ref,0))),""))</f>
        <v/>
      </c>
      <c r="K4021" s="39" t="str">
        <f>IF(OR(C4021="",NOT(ISNUMBER(E4021))),"",IFERROR(ROUND(N(INDEX(art_init,MATCH(C4021,art_ref,0)))+SUMIFS($E$5:E4021,$C$5:C4021,C4021,$B$5:B4021,"Entrée")-SUMIFS($E$5:E4021,$C$5:C4021,C4021,$B$5:B4021,"Sortie"),6),""))</f>
        <v/>
      </c>
      <c r="L4021" s="39" t="str">
        <f>IF(COUNTA(A4021:C4021,E4021)=0,"",IF(COUNTA(A4021:C4021,E4021)&lt;4,"Ligne incomplète",IF(NOT(ISNUMBER(A4021)),"Date invalide",IF(AND(B4021&lt;&gt;"Entrée",B4021&lt;&gt;"Sortie"),"Type inconnu",IF(ISNA(MATCH(C4021,art_ref,0)),"Référence inconnue",IF(OR(NOT(ISNUMBER(E4021)),N(E4021)&lt;=0),"Quantité invalide",IF(K4021&lt;0,"Stock négatif",IF(AND(ISNUMBER(A4020),A4021&lt;A4020),"Date hors ordre","OK"))))))))</f>
        <v/>
      </c>
      <c r="M4021" s="39" t="str">
        <f>IF(C4021="","",C4021&amp;"#"&amp;COUNTIF($C$5:C4021,C4021))</f>
        <v/>
      </c>
    </row>
    <row r="4022">
      <c r="A4022" s="41" t="n"/>
      <c r="B4022" s="37" t="n"/>
      <c r="C4022" s="37" t="n"/>
      <c r="D4022" s="39" t="str">
        <f>IF(C4022="","",IFERROR(INDEX(art_des,MATCH(C4022,art_ref,0))&amp;"","Référence inconnue"))</f>
        <v/>
      </c>
      <c r="E4022" s="37" t="n"/>
      <c r="F4022" s="39" t="str">
        <f>IF(C4022="","",IFERROR(INDEX(art_unit,MATCH(C4022,art_ref,0))&amp;"",""))</f>
        <v/>
      </c>
      <c r="G4022" s="37" t="n"/>
      <c r="H4022" s="37" t="n"/>
      <c r="I4022" s="37" t="n"/>
      <c r="J4022" s="40" t="str">
        <f>IF(OR(C4022="",NOT(ISNUMBER(E4022))),"",IFERROR(E4022*N(INDEX(art_price,MATCH(C4022,art_ref,0))),""))</f>
        <v/>
      </c>
      <c r="K4022" s="39" t="str">
        <f>IF(OR(C4022="",NOT(ISNUMBER(E4022))),"",IFERROR(ROUND(N(INDEX(art_init,MATCH(C4022,art_ref,0)))+SUMIFS($E$5:E4022,$C$5:C4022,C4022,$B$5:B4022,"Entrée")-SUMIFS($E$5:E4022,$C$5:C4022,C4022,$B$5:B4022,"Sortie"),6),""))</f>
        <v/>
      </c>
      <c r="L4022" s="39" t="str">
        <f>IF(COUNTA(A4022:C4022,E4022)=0,"",IF(COUNTA(A4022:C4022,E4022)&lt;4,"Ligne incomplète",IF(NOT(ISNUMBER(A4022)),"Date invalide",IF(AND(B4022&lt;&gt;"Entrée",B4022&lt;&gt;"Sortie"),"Type inconnu",IF(ISNA(MATCH(C4022,art_ref,0)),"Référence inconnue",IF(OR(NOT(ISNUMBER(E4022)),N(E4022)&lt;=0),"Quantité invalide",IF(K4022&lt;0,"Stock négatif",IF(AND(ISNUMBER(A4021),A4022&lt;A4021),"Date hors ordre","OK"))))))))</f>
        <v/>
      </c>
      <c r="M4022" s="39" t="str">
        <f>IF(C4022="","",C4022&amp;"#"&amp;COUNTIF($C$5:C4022,C4022))</f>
        <v/>
      </c>
    </row>
    <row r="4023">
      <c r="A4023" s="41" t="n"/>
      <c r="B4023" s="37" t="n"/>
      <c r="C4023" s="37" t="n"/>
      <c r="D4023" s="39" t="str">
        <f>IF(C4023="","",IFERROR(INDEX(art_des,MATCH(C4023,art_ref,0))&amp;"","Référence inconnue"))</f>
        <v/>
      </c>
      <c r="E4023" s="37" t="n"/>
      <c r="F4023" s="39" t="str">
        <f>IF(C4023="","",IFERROR(INDEX(art_unit,MATCH(C4023,art_ref,0))&amp;"",""))</f>
        <v/>
      </c>
      <c r="G4023" s="37" t="n"/>
      <c r="H4023" s="37" t="n"/>
      <c r="I4023" s="37" t="n"/>
      <c r="J4023" s="40" t="str">
        <f>IF(OR(C4023="",NOT(ISNUMBER(E4023))),"",IFERROR(E4023*N(INDEX(art_price,MATCH(C4023,art_ref,0))),""))</f>
        <v/>
      </c>
      <c r="K4023" s="39" t="str">
        <f>IF(OR(C4023="",NOT(ISNUMBER(E4023))),"",IFERROR(ROUND(N(INDEX(art_init,MATCH(C4023,art_ref,0)))+SUMIFS($E$5:E4023,$C$5:C4023,C4023,$B$5:B4023,"Entrée")-SUMIFS($E$5:E4023,$C$5:C4023,C4023,$B$5:B4023,"Sortie"),6),""))</f>
        <v/>
      </c>
      <c r="L4023" s="39" t="str">
        <f>IF(COUNTA(A4023:C4023,E4023)=0,"",IF(COUNTA(A4023:C4023,E4023)&lt;4,"Ligne incomplète",IF(NOT(ISNUMBER(A4023)),"Date invalide",IF(AND(B4023&lt;&gt;"Entrée",B4023&lt;&gt;"Sortie"),"Type inconnu",IF(ISNA(MATCH(C4023,art_ref,0)),"Référence inconnue",IF(OR(NOT(ISNUMBER(E4023)),N(E4023)&lt;=0),"Quantité invalide",IF(K4023&lt;0,"Stock négatif",IF(AND(ISNUMBER(A4022),A4023&lt;A4022),"Date hors ordre","OK"))))))))</f>
        <v/>
      </c>
      <c r="M4023" s="39" t="str">
        <f>IF(C4023="","",C4023&amp;"#"&amp;COUNTIF($C$5:C4023,C4023))</f>
        <v/>
      </c>
    </row>
    <row r="4024">
      <c r="A4024" s="41" t="n"/>
      <c r="B4024" s="37" t="n"/>
      <c r="C4024" s="37" t="n"/>
      <c r="D4024" s="39" t="str">
        <f>IF(C4024="","",IFERROR(INDEX(art_des,MATCH(C4024,art_ref,0))&amp;"","Référence inconnue"))</f>
        <v/>
      </c>
      <c r="E4024" s="37" t="n"/>
      <c r="F4024" s="39" t="str">
        <f>IF(C4024="","",IFERROR(INDEX(art_unit,MATCH(C4024,art_ref,0))&amp;"",""))</f>
        <v/>
      </c>
      <c r="G4024" s="37" t="n"/>
      <c r="H4024" s="37" t="n"/>
      <c r="I4024" s="37" t="n"/>
      <c r="J4024" s="40" t="str">
        <f>IF(OR(C4024="",NOT(ISNUMBER(E4024))),"",IFERROR(E4024*N(INDEX(art_price,MATCH(C4024,art_ref,0))),""))</f>
        <v/>
      </c>
      <c r="K4024" s="39" t="str">
        <f>IF(OR(C4024="",NOT(ISNUMBER(E4024))),"",IFERROR(ROUND(N(INDEX(art_init,MATCH(C4024,art_ref,0)))+SUMIFS($E$5:E4024,$C$5:C4024,C4024,$B$5:B4024,"Entrée")-SUMIFS($E$5:E4024,$C$5:C4024,C4024,$B$5:B4024,"Sortie"),6),""))</f>
        <v/>
      </c>
      <c r="L4024" s="39" t="str">
        <f>IF(COUNTA(A4024:C4024,E4024)=0,"",IF(COUNTA(A4024:C4024,E4024)&lt;4,"Ligne incomplète",IF(NOT(ISNUMBER(A4024)),"Date invalide",IF(AND(B4024&lt;&gt;"Entrée",B4024&lt;&gt;"Sortie"),"Type inconnu",IF(ISNA(MATCH(C4024,art_ref,0)),"Référence inconnue",IF(OR(NOT(ISNUMBER(E4024)),N(E4024)&lt;=0),"Quantité invalide",IF(K4024&lt;0,"Stock négatif",IF(AND(ISNUMBER(A4023),A4024&lt;A4023),"Date hors ordre","OK"))))))))</f>
        <v/>
      </c>
      <c r="M4024" s="39" t="str">
        <f>IF(C4024="","",C4024&amp;"#"&amp;COUNTIF($C$5:C4024,C4024))</f>
        <v/>
      </c>
    </row>
    <row r="4025">
      <c r="A4025" s="41" t="n"/>
      <c r="B4025" s="37" t="n"/>
      <c r="C4025" s="37" t="n"/>
      <c r="D4025" s="39" t="str">
        <f>IF(C4025="","",IFERROR(INDEX(art_des,MATCH(C4025,art_ref,0))&amp;"","Référence inconnue"))</f>
        <v/>
      </c>
      <c r="E4025" s="37" t="n"/>
      <c r="F4025" s="39" t="str">
        <f>IF(C4025="","",IFERROR(INDEX(art_unit,MATCH(C4025,art_ref,0))&amp;"",""))</f>
        <v/>
      </c>
      <c r="G4025" s="37" t="n"/>
      <c r="H4025" s="37" t="n"/>
      <c r="I4025" s="37" t="n"/>
      <c r="J4025" s="40" t="str">
        <f>IF(OR(C4025="",NOT(ISNUMBER(E4025))),"",IFERROR(E4025*N(INDEX(art_price,MATCH(C4025,art_ref,0))),""))</f>
        <v/>
      </c>
      <c r="K4025" s="39" t="str">
        <f>IF(OR(C4025="",NOT(ISNUMBER(E4025))),"",IFERROR(ROUND(N(INDEX(art_init,MATCH(C4025,art_ref,0)))+SUMIFS($E$5:E4025,$C$5:C4025,C4025,$B$5:B4025,"Entrée")-SUMIFS($E$5:E4025,$C$5:C4025,C4025,$B$5:B4025,"Sortie"),6),""))</f>
        <v/>
      </c>
      <c r="L4025" s="39" t="str">
        <f>IF(COUNTA(A4025:C4025,E4025)=0,"",IF(COUNTA(A4025:C4025,E4025)&lt;4,"Ligne incomplète",IF(NOT(ISNUMBER(A4025)),"Date invalide",IF(AND(B4025&lt;&gt;"Entrée",B4025&lt;&gt;"Sortie"),"Type inconnu",IF(ISNA(MATCH(C4025,art_ref,0)),"Référence inconnue",IF(OR(NOT(ISNUMBER(E4025)),N(E4025)&lt;=0),"Quantité invalide",IF(K4025&lt;0,"Stock négatif",IF(AND(ISNUMBER(A4024),A4025&lt;A4024),"Date hors ordre","OK"))))))))</f>
        <v/>
      </c>
      <c r="M4025" s="39" t="str">
        <f>IF(C4025="","",C4025&amp;"#"&amp;COUNTIF($C$5:C4025,C4025))</f>
        <v/>
      </c>
    </row>
    <row r="4026">
      <c r="A4026" s="41" t="n"/>
      <c r="B4026" s="37" t="n"/>
      <c r="C4026" s="37" t="n"/>
      <c r="D4026" s="39" t="str">
        <f>IF(C4026="","",IFERROR(INDEX(art_des,MATCH(C4026,art_ref,0))&amp;"","Référence inconnue"))</f>
        <v/>
      </c>
      <c r="E4026" s="37" t="n"/>
      <c r="F4026" s="39" t="str">
        <f>IF(C4026="","",IFERROR(INDEX(art_unit,MATCH(C4026,art_ref,0))&amp;"",""))</f>
        <v/>
      </c>
      <c r="G4026" s="37" t="n"/>
      <c r="H4026" s="37" t="n"/>
      <c r="I4026" s="37" t="n"/>
      <c r="J4026" s="40" t="str">
        <f>IF(OR(C4026="",NOT(ISNUMBER(E4026))),"",IFERROR(E4026*N(INDEX(art_price,MATCH(C4026,art_ref,0))),""))</f>
        <v/>
      </c>
      <c r="K4026" s="39" t="str">
        <f>IF(OR(C4026="",NOT(ISNUMBER(E4026))),"",IFERROR(ROUND(N(INDEX(art_init,MATCH(C4026,art_ref,0)))+SUMIFS($E$5:E4026,$C$5:C4026,C4026,$B$5:B4026,"Entrée")-SUMIFS($E$5:E4026,$C$5:C4026,C4026,$B$5:B4026,"Sortie"),6),""))</f>
        <v/>
      </c>
      <c r="L4026" s="39" t="str">
        <f>IF(COUNTA(A4026:C4026,E4026)=0,"",IF(COUNTA(A4026:C4026,E4026)&lt;4,"Ligne incomplète",IF(NOT(ISNUMBER(A4026)),"Date invalide",IF(AND(B4026&lt;&gt;"Entrée",B4026&lt;&gt;"Sortie"),"Type inconnu",IF(ISNA(MATCH(C4026,art_ref,0)),"Référence inconnue",IF(OR(NOT(ISNUMBER(E4026)),N(E4026)&lt;=0),"Quantité invalide",IF(K4026&lt;0,"Stock négatif",IF(AND(ISNUMBER(A4025),A4026&lt;A4025),"Date hors ordre","OK"))))))))</f>
        <v/>
      </c>
      <c r="M4026" s="39" t="str">
        <f>IF(C4026="","",C4026&amp;"#"&amp;COUNTIF($C$5:C4026,C4026))</f>
        <v/>
      </c>
    </row>
    <row r="4027">
      <c r="A4027" s="41" t="n"/>
      <c r="B4027" s="37" t="n"/>
      <c r="C4027" s="37" t="n"/>
      <c r="D4027" s="39" t="str">
        <f>IF(C4027="","",IFERROR(INDEX(art_des,MATCH(C4027,art_ref,0))&amp;"","Référence inconnue"))</f>
        <v/>
      </c>
      <c r="E4027" s="37" t="n"/>
      <c r="F4027" s="39" t="str">
        <f>IF(C4027="","",IFERROR(INDEX(art_unit,MATCH(C4027,art_ref,0))&amp;"",""))</f>
        <v/>
      </c>
      <c r="G4027" s="37" t="n"/>
      <c r="H4027" s="37" t="n"/>
      <c r="I4027" s="37" t="n"/>
      <c r="J4027" s="40" t="str">
        <f>IF(OR(C4027="",NOT(ISNUMBER(E4027))),"",IFERROR(E4027*N(INDEX(art_price,MATCH(C4027,art_ref,0))),""))</f>
        <v/>
      </c>
      <c r="K4027" s="39" t="str">
        <f>IF(OR(C4027="",NOT(ISNUMBER(E4027))),"",IFERROR(ROUND(N(INDEX(art_init,MATCH(C4027,art_ref,0)))+SUMIFS($E$5:E4027,$C$5:C4027,C4027,$B$5:B4027,"Entrée")-SUMIFS($E$5:E4027,$C$5:C4027,C4027,$B$5:B4027,"Sortie"),6),""))</f>
        <v/>
      </c>
      <c r="L4027" s="39" t="str">
        <f>IF(COUNTA(A4027:C4027,E4027)=0,"",IF(COUNTA(A4027:C4027,E4027)&lt;4,"Ligne incomplète",IF(NOT(ISNUMBER(A4027)),"Date invalide",IF(AND(B4027&lt;&gt;"Entrée",B4027&lt;&gt;"Sortie"),"Type inconnu",IF(ISNA(MATCH(C4027,art_ref,0)),"Référence inconnue",IF(OR(NOT(ISNUMBER(E4027)),N(E4027)&lt;=0),"Quantité invalide",IF(K4027&lt;0,"Stock négatif",IF(AND(ISNUMBER(A4026),A4027&lt;A4026),"Date hors ordre","OK"))))))))</f>
        <v/>
      </c>
      <c r="M4027" s="39" t="str">
        <f>IF(C4027="","",C4027&amp;"#"&amp;COUNTIF($C$5:C4027,C4027))</f>
        <v/>
      </c>
    </row>
    <row r="4028">
      <c r="A4028" s="41" t="n"/>
      <c r="B4028" s="37" t="n"/>
      <c r="C4028" s="37" t="n"/>
      <c r="D4028" s="39" t="str">
        <f>IF(C4028="","",IFERROR(INDEX(art_des,MATCH(C4028,art_ref,0))&amp;"","Référence inconnue"))</f>
        <v/>
      </c>
      <c r="E4028" s="37" t="n"/>
      <c r="F4028" s="39" t="str">
        <f>IF(C4028="","",IFERROR(INDEX(art_unit,MATCH(C4028,art_ref,0))&amp;"",""))</f>
        <v/>
      </c>
      <c r="G4028" s="37" t="n"/>
      <c r="H4028" s="37" t="n"/>
      <c r="I4028" s="37" t="n"/>
      <c r="J4028" s="40" t="str">
        <f>IF(OR(C4028="",NOT(ISNUMBER(E4028))),"",IFERROR(E4028*N(INDEX(art_price,MATCH(C4028,art_ref,0))),""))</f>
        <v/>
      </c>
      <c r="K4028" s="39" t="str">
        <f>IF(OR(C4028="",NOT(ISNUMBER(E4028))),"",IFERROR(ROUND(N(INDEX(art_init,MATCH(C4028,art_ref,0)))+SUMIFS($E$5:E4028,$C$5:C4028,C4028,$B$5:B4028,"Entrée")-SUMIFS($E$5:E4028,$C$5:C4028,C4028,$B$5:B4028,"Sortie"),6),""))</f>
        <v/>
      </c>
      <c r="L4028" s="39" t="str">
        <f>IF(COUNTA(A4028:C4028,E4028)=0,"",IF(COUNTA(A4028:C4028,E4028)&lt;4,"Ligne incomplète",IF(NOT(ISNUMBER(A4028)),"Date invalide",IF(AND(B4028&lt;&gt;"Entrée",B4028&lt;&gt;"Sortie"),"Type inconnu",IF(ISNA(MATCH(C4028,art_ref,0)),"Référence inconnue",IF(OR(NOT(ISNUMBER(E4028)),N(E4028)&lt;=0),"Quantité invalide",IF(K4028&lt;0,"Stock négatif",IF(AND(ISNUMBER(A4027),A4028&lt;A4027),"Date hors ordre","OK"))))))))</f>
        <v/>
      </c>
      <c r="M4028" s="39" t="str">
        <f>IF(C4028="","",C4028&amp;"#"&amp;COUNTIF($C$5:C4028,C4028))</f>
        <v/>
      </c>
    </row>
    <row r="4029">
      <c r="A4029" s="41" t="n"/>
      <c r="B4029" s="37" t="n"/>
      <c r="C4029" s="37" t="n"/>
      <c r="D4029" s="39" t="str">
        <f>IF(C4029="","",IFERROR(INDEX(art_des,MATCH(C4029,art_ref,0))&amp;"","Référence inconnue"))</f>
        <v/>
      </c>
      <c r="E4029" s="37" t="n"/>
      <c r="F4029" s="39" t="str">
        <f>IF(C4029="","",IFERROR(INDEX(art_unit,MATCH(C4029,art_ref,0))&amp;"",""))</f>
        <v/>
      </c>
      <c r="G4029" s="37" t="n"/>
      <c r="H4029" s="37" t="n"/>
      <c r="I4029" s="37" t="n"/>
      <c r="J4029" s="40" t="str">
        <f>IF(OR(C4029="",NOT(ISNUMBER(E4029))),"",IFERROR(E4029*N(INDEX(art_price,MATCH(C4029,art_ref,0))),""))</f>
        <v/>
      </c>
      <c r="K4029" s="39" t="str">
        <f>IF(OR(C4029="",NOT(ISNUMBER(E4029))),"",IFERROR(ROUND(N(INDEX(art_init,MATCH(C4029,art_ref,0)))+SUMIFS($E$5:E4029,$C$5:C4029,C4029,$B$5:B4029,"Entrée")-SUMIFS($E$5:E4029,$C$5:C4029,C4029,$B$5:B4029,"Sortie"),6),""))</f>
        <v/>
      </c>
      <c r="L4029" s="39" t="str">
        <f>IF(COUNTA(A4029:C4029,E4029)=0,"",IF(COUNTA(A4029:C4029,E4029)&lt;4,"Ligne incomplète",IF(NOT(ISNUMBER(A4029)),"Date invalide",IF(AND(B4029&lt;&gt;"Entrée",B4029&lt;&gt;"Sortie"),"Type inconnu",IF(ISNA(MATCH(C4029,art_ref,0)),"Référence inconnue",IF(OR(NOT(ISNUMBER(E4029)),N(E4029)&lt;=0),"Quantité invalide",IF(K4029&lt;0,"Stock négatif",IF(AND(ISNUMBER(A4028),A4029&lt;A4028),"Date hors ordre","OK"))))))))</f>
        <v/>
      </c>
      <c r="M4029" s="39" t="str">
        <f>IF(C4029="","",C4029&amp;"#"&amp;COUNTIF($C$5:C4029,C4029))</f>
        <v/>
      </c>
    </row>
    <row r="4030">
      <c r="A4030" s="41" t="n"/>
      <c r="B4030" s="37" t="n"/>
      <c r="C4030" s="37" t="n"/>
      <c r="D4030" s="39" t="str">
        <f>IF(C4030="","",IFERROR(INDEX(art_des,MATCH(C4030,art_ref,0))&amp;"","Référence inconnue"))</f>
        <v/>
      </c>
      <c r="E4030" s="37" t="n"/>
      <c r="F4030" s="39" t="str">
        <f>IF(C4030="","",IFERROR(INDEX(art_unit,MATCH(C4030,art_ref,0))&amp;"",""))</f>
        <v/>
      </c>
      <c r="G4030" s="37" t="n"/>
      <c r="H4030" s="37" t="n"/>
      <c r="I4030" s="37" t="n"/>
      <c r="J4030" s="40" t="str">
        <f>IF(OR(C4030="",NOT(ISNUMBER(E4030))),"",IFERROR(E4030*N(INDEX(art_price,MATCH(C4030,art_ref,0))),""))</f>
        <v/>
      </c>
      <c r="K4030" s="39" t="str">
        <f>IF(OR(C4030="",NOT(ISNUMBER(E4030))),"",IFERROR(ROUND(N(INDEX(art_init,MATCH(C4030,art_ref,0)))+SUMIFS($E$5:E4030,$C$5:C4030,C4030,$B$5:B4030,"Entrée")-SUMIFS($E$5:E4030,$C$5:C4030,C4030,$B$5:B4030,"Sortie"),6),""))</f>
        <v/>
      </c>
      <c r="L4030" s="39" t="str">
        <f>IF(COUNTA(A4030:C4030,E4030)=0,"",IF(COUNTA(A4030:C4030,E4030)&lt;4,"Ligne incomplète",IF(NOT(ISNUMBER(A4030)),"Date invalide",IF(AND(B4030&lt;&gt;"Entrée",B4030&lt;&gt;"Sortie"),"Type inconnu",IF(ISNA(MATCH(C4030,art_ref,0)),"Référence inconnue",IF(OR(NOT(ISNUMBER(E4030)),N(E4030)&lt;=0),"Quantité invalide",IF(K4030&lt;0,"Stock négatif",IF(AND(ISNUMBER(A4029),A4030&lt;A4029),"Date hors ordre","OK"))))))))</f>
        <v/>
      </c>
      <c r="M4030" s="39" t="str">
        <f>IF(C4030="","",C4030&amp;"#"&amp;COUNTIF($C$5:C4030,C4030))</f>
        <v/>
      </c>
    </row>
    <row r="4031">
      <c r="A4031" s="41" t="n"/>
      <c r="B4031" s="37" t="n"/>
      <c r="C4031" s="37" t="n"/>
      <c r="D4031" s="39" t="str">
        <f>IF(C4031="","",IFERROR(INDEX(art_des,MATCH(C4031,art_ref,0))&amp;"","Référence inconnue"))</f>
        <v/>
      </c>
      <c r="E4031" s="37" t="n"/>
      <c r="F4031" s="39" t="str">
        <f>IF(C4031="","",IFERROR(INDEX(art_unit,MATCH(C4031,art_ref,0))&amp;"",""))</f>
        <v/>
      </c>
      <c r="G4031" s="37" t="n"/>
      <c r="H4031" s="37" t="n"/>
      <c r="I4031" s="37" t="n"/>
      <c r="J4031" s="40" t="str">
        <f>IF(OR(C4031="",NOT(ISNUMBER(E4031))),"",IFERROR(E4031*N(INDEX(art_price,MATCH(C4031,art_ref,0))),""))</f>
        <v/>
      </c>
      <c r="K4031" s="39" t="str">
        <f>IF(OR(C4031="",NOT(ISNUMBER(E4031))),"",IFERROR(ROUND(N(INDEX(art_init,MATCH(C4031,art_ref,0)))+SUMIFS($E$5:E4031,$C$5:C4031,C4031,$B$5:B4031,"Entrée")-SUMIFS($E$5:E4031,$C$5:C4031,C4031,$B$5:B4031,"Sortie"),6),""))</f>
        <v/>
      </c>
      <c r="L4031" s="39" t="str">
        <f>IF(COUNTA(A4031:C4031,E4031)=0,"",IF(COUNTA(A4031:C4031,E4031)&lt;4,"Ligne incomplète",IF(NOT(ISNUMBER(A4031)),"Date invalide",IF(AND(B4031&lt;&gt;"Entrée",B4031&lt;&gt;"Sortie"),"Type inconnu",IF(ISNA(MATCH(C4031,art_ref,0)),"Référence inconnue",IF(OR(NOT(ISNUMBER(E4031)),N(E4031)&lt;=0),"Quantité invalide",IF(K4031&lt;0,"Stock négatif",IF(AND(ISNUMBER(A4030),A4031&lt;A4030),"Date hors ordre","OK"))))))))</f>
        <v/>
      </c>
      <c r="M4031" s="39" t="str">
        <f>IF(C4031="","",C4031&amp;"#"&amp;COUNTIF($C$5:C4031,C4031))</f>
        <v/>
      </c>
    </row>
    <row r="4032">
      <c r="A4032" s="41" t="n"/>
      <c r="B4032" s="37" t="n"/>
      <c r="C4032" s="37" t="n"/>
      <c r="D4032" s="39" t="str">
        <f>IF(C4032="","",IFERROR(INDEX(art_des,MATCH(C4032,art_ref,0))&amp;"","Référence inconnue"))</f>
        <v/>
      </c>
      <c r="E4032" s="37" t="n"/>
      <c r="F4032" s="39" t="str">
        <f>IF(C4032="","",IFERROR(INDEX(art_unit,MATCH(C4032,art_ref,0))&amp;"",""))</f>
        <v/>
      </c>
      <c r="G4032" s="37" t="n"/>
      <c r="H4032" s="37" t="n"/>
      <c r="I4032" s="37" t="n"/>
      <c r="J4032" s="40" t="str">
        <f>IF(OR(C4032="",NOT(ISNUMBER(E4032))),"",IFERROR(E4032*N(INDEX(art_price,MATCH(C4032,art_ref,0))),""))</f>
        <v/>
      </c>
      <c r="K4032" s="39" t="str">
        <f>IF(OR(C4032="",NOT(ISNUMBER(E4032))),"",IFERROR(ROUND(N(INDEX(art_init,MATCH(C4032,art_ref,0)))+SUMIFS($E$5:E4032,$C$5:C4032,C4032,$B$5:B4032,"Entrée")-SUMIFS($E$5:E4032,$C$5:C4032,C4032,$B$5:B4032,"Sortie"),6),""))</f>
        <v/>
      </c>
      <c r="L4032" s="39" t="str">
        <f>IF(COUNTA(A4032:C4032,E4032)=0,"",IF(COUNTA(A4032:C4032,E4032)&lt;4,"Ligne incomplète",IF(NOT(ISNUMBER(A4032)),"Date invalide",IF(AND(B4032&lt;&gt;"Entrée",B4032&lt;&gt;"Sortie"),"Type inconnu",IF(ISNA(MATCH(C4032,art_ref,0)),"Référence inconnue",IF(OR(NOT(ISNUMBER(E4032)),N(E4032)&lt;=0),"Quantité invalide",IF(K4032&lt;0,"Stock négatif",IF(AND(ISNUMBER(A4031),A4032&lt;A4031),"Date hors ordre","OK"))))))))</f>
        <v/>
      </c>
      <c r="M4032" s="39" t="str">
        <f>IF(C4032="","",C4032&amp;"#"&amp;COUNTIF($C$5:C4032,C4032))</f>
        <v/>
      </c>
    </row>
    <row r="4033">
      <c r="A4033" s="41" t="n"/>
      <c r="B4033" s="37" t="n"/>
      <c r="C4033" s="37" t="n"/>
      <c r="D4033" s="39" t="str">
        <f>IF(C4033="","",IFERROR(INDEX(art_des,MATCH(C4033,art_ref,0))&amp;"","Référence inconnue"))</f>
        <v/>
      </c>
      <c r="E4033" s="37" t="n"/>
      <c r="F4033" s="39" t="str">
        <f>IF(C4033="","",IFERROR(INDEX(art_unit,MATCH(C4033,art_ref,0))&amp;"",""))</f>
        <v/>
      </c>
      <c r="G4033" s="37" t="n"/>
      <c r="H4033" s="37" t="n"/>
      <c r="I4033" s="37" t="n"/>
      <c r="J4033" s="40" t="str">
        <f>IF(OR(C4033="",NOT(ISNUMBER(E4033))),"",IFERROR(E4033*N(INDEX(art_price,MATCH(C4033,art_ref,0))),""))</f>
        <v/>
      </c>
      <c r="K4033" s="39" t="str">
        <f>IF(OR(C4033="",NOT(ISNUMBER(E4033))),"",IFERROR(ROUND(N(INDEX(art_init,MATCH(C4033,art_ref,0)))+SUMIFS($E$5:E4033,$C$5:C4033,C4033,$B$5:B4033,"Entrée")-SUMIFS($E$5:E4033,$C$5:C4033,C4033,$B$5:B4033,"Sortie"),6),""))</f>
        <v/>
      </c>
      <c r="L4033" s="39" t="str">
        <f>IF(COUNTA(A4033:C4033,E4033)=0,"",IF(COUNTA(A4033:C4033,E4033)&lt;4,"Ligne incomplète",IF(NOT(ISNUMBER(A4033)),"Date invalide",IF(AND(B4033&lt;&gt;"Entrée",B4033&lt;&gt;"Sortie"),"Type inconnu",IF(ISNA(MATCH(C4033,art_ref,0)),"Référence inconnue",IF(OR(NOT(ISNUMBER(E4033)),N(E4033)&lt;=0),"Quantité invalide",IF(K4033&lt;0,"Stock négatif",IF(AND(ISNUMBER(A4032),A4033&lt;A4032),"Date hors ordre","OK"))))))))</f>
        <v/>
      </c>
      <c r="M4033" s="39" t="str">
        <f>IF(C4033="","",C4033&amp;"#"&amp;COUNTIF($C$5:C4033,C4033))</f>
        <v/>
      </c>
    </row>
    <row r="4034">
      <c r="A4034" s="41" t="n"/>
      <c r="B4034" s="37" t="n"/>
      <c r="C4034" s="37" t="n"/>
      <c r="D4034" s="39" t="str">
        <f>IF(C4034="","",IFERROR(INDEX(art_des,MATCH(C4034,art_ref,0))&amp;"","Référence inconnue"))</f>
        <v/>
      </c>
      <c r="E4034" s="37" t="n"/>
      <c r="F4034" s="39" t="str">
        <f>IF(C4034="","",IFERROR(INDEX(art_unit,MATCH(C4034,art_ref,0))&amp;"",""))</f>
        <v/>
      </c>
      <c r="G4034" s="37" t="n"/>
      <c r="H4034" s="37" t="n"/>
      <c r="I4034" s="37" t="n"/>
      <c r="J4034" s="40" t="str">
        <f>IF(OR(C4034="",NOT(ISNUMBER(E4034))),"",IFERROR(E4034*N(INDEX(art_price,MATCH(C4034,art_ref,0))),""))</f>
        <v/>
      </c>
      <c r="K4034" s="39" t="str">
        <f>IF(OR(C4034="",NOT(ISNUMBER(E4034))),"",IFERROR(ROUND(N(INDEX(art_init,MATCH(C4034,art_ref,0)))+SUMIFS($E$5:E4034,$C$5:C4034,C4034,$B$5:B4034,"Entrée")-SUMIFS($E$5:E4034,$C$5:C4034,C4034,$B$5:B4034,"Sortie"),6),""))</f>
        <v/>
      </c>
      <c r="L4034" s="39" t="str">
        <f>IF(COUNTA(A4034:C4034,E4034)=0,"",IF(COUNTA(A4034:C4034,E4034)&lt;4,"Ligne incomplète",IF(NOT(ISNUMBER(A4034)),"Date invalide",IF(AND(B4034&lt;&gt;"Entrée",B4034&lt;&gt;"Sortie"),"Type inconnu",IF(ISNA(MATCH(C4034,art_ref,0)),"Référence inconnue",IF(OR(NOT(ISNUMBER(E4034)),N(E4034)&lt;=0),"Quantité invalide",IF(K4034&lt;0,"Stock négatif",IF(AND(ISNUMBER(A4033),A4034&lt;A4033),"Date hors ordre","OK"))))))))</f>
        <v/>
      </c>
      <c r="M4034" s="39" t="str">
        <f>IF(C4034="","",C4034&amp;"#"&amp;COUNTIF($C$5:C4034,C4034))</f>
        <v/>
      </c>
    </row>
    <row r="4035">
      <c r="A4035" s="41" t="n"/>
      <c r="B4035" s="37" t="n"/>
      <c r="C4035" s="37" t="n"/>
      <c r="D4035" s="39" t="str">
        <f>IF(C4035="","",IFERROR(INDEX(art_des,MATCH(C4035,art_ref,0))&amp;"","Référence inconnue"))</f>
        <v/>
      </c>
      <c r="E4035" s="37" t="n"/>
      <c r="F4035" s="39" t="str">
        <f>IF(C4035="","",IFERROR(INDEX(art_unit,MATCH(C4035,art_ref,0))&amp;"",""))</f>
        <v/>
      </c>
      <c r="G4035" s="37" t="n"/>
      <c r="H4035" s="37" t="n"/>
      <c r="I4035" s="37" t="n"/>
      <c r="J4035" s="40" t="str">
        <f>IF(OR(C4035="",NOT(ISNUMBER(E4035))),"",IFERROR(E4035*N(INDEX(art_price,MATCH(C4035,art_ref,0))),""))</f>
        <v/>
      </c>
      <c r="K4035" s="39" t="str">
        <f>IF(OR(C4035="",NOT(ISNUMBER(E4035))),"",IFERROR(ROUND(N(INDEX(art_init,MATCH(C4035,art_ref,0)))+SUMIFS($E$5:E4035,$C$5:C4035,C4035,$B$5:B4035,"Entrée")-SUMIFS($E$5:E4035,$C$5:C4035,C4035,$B$5:B4035,"Sortie"),6),""))</f>
        <v/>
      </c>
      <c r="L4035" s="39" t="str">
        <f>IF(COUNTA(A4035:C4035,E4035)=0,"",IF(COUNTA(A4035:C4035,E4035)&lt;4,"Ligne incomplète",IF(NOT(ISNUMBER(A4035)),"Date invalide",IF(AND(B4035&lt;&gt;"Entrée",B4035&lt;&gt;"Sortie"),"Type inconnu",IF(ISNA(MATCH(C4035,art_ref,0)),"Référence inconnue",IF(OR(NOT(ISNUMBER(E4035)),N(E4035)&lt;=0),"Quantité invalide",IF(K4035&lt;0,"Stock négatif",IF(AND(ISNUMBER(A4034),A4035&lt;A4034),"Date hors ordre","OK"))))))))</f>
        <v/>
      </c>
      <c r="M4035" s="39" t="str">
        <f>IF(C4035="","",C4035&amp;"#"&amp;COUNTIF($C$5:C4035,C4035))</f>
        <v/>
      </c>
    </row>
    <row r="4036">
      <c r="A4036" s="41" t="n"/>
      <c r="B4036" s="37" t="n"/>
      <c r="C4036" s="37" t="n"/>
      <c r="D4036" s="39" t="str">
        <f>IF(C4036="","",IFERROR(INDEX(art_des,MATCH(C4036,art_ref,0))&amp;"","Référence inconnue"))</f>
        <v/>
      </c>
      <c r="E4036" s="37" t="n"/>
      <c r="F4036" s="39" t="str">
        <f>IF(C4036="","",IFERROR(INDEX(art_unit,MATCH(C4036,art_ref,0))&amp;"",""))</f>
        <v/>
      </c>
      <c r="G4036" s="37" t="n"/>
      <c r="H4036" s="37" t="n"/>
      <c r="I4036" s="37" t="n"/>
      <c r="J4036" s="40" t="str">
        <f>IF(OR(C4036="",NOT(ISNUMBER(E4036))),"",IFERROR(E4036*N(INDEX(art_price,MATCH(C4036,art_ref,0))),""))</f>
        <v/>
      </c>
      <c r="K4036" s="39" t="str">
        <f>IF(OR(C4036="",NOT(ISNUMBER(E4036))),"",IFERROR(ROUND(N(INDEX(art_init,MATCH(C4036,art_ref,0)))+SUMIFS($E$5:E4036,$C$5:C4036,C4036,$B$5:B4036,"Entrée")-SUMIFS($E$5:E4036,$C$5:C4036,C4036,$B$5:B4036,"Sortie"),6),""))</f>
        <v/>
      </c>
      <c r="L4036" s="39" t="str">
        <f>IF(COUNTA(A4036:C4036,E4036)=0,"",IF(COUNTA(A4036:C4036,E4036)&lt;4,"Ligne incomplète",IF(NOT(ISNUMBER(A4036)),"Date invalide",IF(AND(B4036&lt;&gt;"Entrée",B4036&lt;&gt;"Sortie"),"Type inconnu",IF(ISNA(MATCH(C4036,art_ref,0)),"Référence inconnue",IF(OR(NOT(ISNUMBER(E4036)),N(E4036)&lt;=0),"Quantité invalide",IF(K4036&lt;0,"Stock négatif",IF(AND(ISNUMBER(A4035),A4036&lt;A4035),"Date hors ordre","OK"))))))))</f>
        <v/>
      </c>
      <c r="M4036" s="39" t="str">
        <f>IF(C4036="","",C4036&amp;"#"&amp;COUNTIF($C$5:C4036,C4036))</f>
        <v/>
      </c>
    </row>
    <row r="4037">
      <c r="A4037" s="41" t="n"/>
      <c r="B4037" s="37" t="n"/>
      <c r="C4037" s="37" t="n"/>
      <c r="D4037" s="39" t="str">
        <f>IF(C4037="","",IFERROR(INDEX(art_des,MATCH(C4037,art_ref,0))&amp;"","Référence inconnue"))</f>
        <v/>
      </c>
      <c r="E4037" s="37" t="n"/>
      <c r="F4037" s="39" t="str">
        <f>IF(C4037="","",IFERROR(INDEX(art_unit,MATCH(C4037,art_ref,0))&amp;"",""))</f>
        <v/>
      </c>
      <c r="G4037" s="37" t="n"/>
      <c r="H4037" s="37" t="n"/>
      <c r="I4037" s="37" t="n"/>
      <c r="J4037" s="40" t="str">
        <f>IF(OR(C4037="",NOT(ISNUMBER(E4037))),"",IFERROR(E4037*N(INDEX(art_price,MATCH(C4037,art_ref,0))),""))</f>
        <v/>
      </c>
      <c r="K4037" s="39" t="str">
        <f>IF(OR(C4037="",NOT(ISNUMBER(E4037))),"",IFERROR(ROUND(N(INDEX(art_init,MATCH(C4037,art_ref,0)))+SUMIFS($E$5:E4037,$C$5:C4037,C4037,$B$5:B4037,"Entrée")-SUMIFS($E$5:E4037,$C$5:C4037,C4037,$B$5:B4037,"Sortie"),6),""))</f>
        <v/>
      </c>
      <c r="L4037" s="39" t="str">
        <f>IF(COUNTA(A4037:C4037,E4037)=0,"",IF(COUNTA(A4037:C4037,E4037)&lt;4,"Ligne incomplète",IF(NOT(ISNUMBER(A4037)),"Date invalide",IF(AND(B4037&lt;&gt;"Entrée",B4037&lt;&gt;"Sortie"),"Type inconnu",IF(ISNA(MATCH(C4037,art_ref,0)),"Référence inconnue",IF(OR(NOT(ISNUMBER(E4037)),N(E4037)&lt;=0),"Quantité invalide",IF(K4037&lt;0,"Stock négatif",IF(AND(ISNUMBER(A4036),A4037&lt;A4036),"Date hors ordre","OK"))))))))</f>
        <v/>
      </c>
      <c r="M4037" s="39" t="str">
        <f>IF(C4037="","",C4037&amp;"#"&amp;COUNTIF($C$5:C4037,C4037))</f>
        <v/>
      </c>
    </row>
    <row r="4038">
      <c r="A4038" s="41" t="n"/>
      <c r="B4038" s="37" t="n"/>
      <c r="C4038" s="37" t="n"/>
      <c r="D4038" s="39" t="str">
        <f>IF(C4038="","",IFERROR(INDEX(art_des,MATCH(C4038,art_ref,0))&amp;"","Référence inconnue"))</f>
        <v/>
      </c>
      <c r="E4038" s="37" t="n"/>
      <c r="F4038" s="39" t="str">
        <f>IF(C4038="","",IFERROR(INDEX(art_unit,MATCH(C4038,art_ref,0))&amp;"",""))</f>
        <v/>
      </c>
      <c r="G4038" s="37" t="n"/>
      <c r="H4038" s="37" t="n"/>
      <c r="I4038" s="37" t="n"/>
      <c r="J4038" s="40" t="str">
        <f>IF(OR(C4038="",NOT(ISNUMBER(E4038))),"",IFERROR(E4038*N(INDEX(art_price,MATCH(C4038,art_ref,0))),""))</f>
        <v/>
      </c>
      <c r="K4038" s="39" t="str">
        <f>IF(OR(C4038="",NOT(ISNUMBER(E4038))),"",IFERROR(ROUND(N(INDEX(art_init,MATCH(C4038,art_ref,0)))+SUMIFS($E$5:E4038,$C$5:C4038,C4038,$B$5:B4038,"Entrée")-SUMIFS($E$5:E4038,$C$5:C4038,C4038,$B$5:B4038,"Sortie"),6),""))</f>
        <v/>
      </c>
      <c r="L4038" s="39" t="str">
        <f>IF(COUNTA(A4038:C4038,E4038)=0,"",IF(COUNTA(A4038:C4038,E4038)&lt;4,"Ligne incomplète",IF(NOT(ISNUMBER(A4038)),"Date invalide",IF(AND(B4038&lt;&gt;"Entrée",B4038&lt;&gt;"Sortie"),"Type inconnu",IF(ISNA(MATCH(C4038,art_ref,0)),"Référence inconnue",IF(OR(NOT(ISNUMBER(E4038)),N(E4038)&lt;=0),"Quantité invalide",IF(K4038&lt;0,"Stock négatif",IF(AND(ISNUMBER(A4037),A4038&lt;A4037),"Date hors ordre","OK"))))))))</f>
        <v/>
      </c>
      <c r="M4038" s="39" t="str">
        <f>IF(C4038="","",C4038&amp;"#"&amp;COUNTIF($C$5:C4038,C4038))</f>
        <v/>
      </c>
    </row>
    <row r="4039">
      <c r="A4039" s="41" t="n"/>
      <c r="B4039" s="37" t="n"/>
      <c r="C4039" s="37" t="n"/>
      <c r="D4039" s="39" t="str">
        <f>IF(C4039="","",IFERROR(INDEX(art_des,MATCH(C4039,art_ref,0))&amp;"","Référence inconnue"))</f>
        <v/>
      </c>
      <c r="E4039" s="37" t="n"/>
      <c r="F4039" s="39" t="str">
        <f>IF(C4039="","",IFERROR(INDEX(art_unit,MATCH(C4039,art_ref,0))&amp;"",""))</f>
        <v/>
      </c>
      <c r="G4039" s="37" t="n"/>
      <c r="H4039" s="37" t="n"/>
      <c r="I4039" s="37" t="n"/>
      <c r="J4039" s="40" t="str">
        <f>IF(OR(C4039="",NOT(ISNUMBER(E4039))),"",IFERROR(E4039*N(INDEX(art_price,MATCH(C4039,art_ref,0))),""))</f>
        <v/>
      </c>
      <c r="K4039" s="39" t="str">
        <f>IF(OR(C4039="",NOT(ISNUMBER(E4039))),"",IFERROR(ROUND(N(INDEX(art_init,MATCH(C4039,art_ref,0)))+SUMIFS($E$5:E4039,$C$5:C4039,C4039,$B$5:B4039,"Entrée")-SUMIFS($E$5:E4039,$C$5:C4039,C4039,$B$5:B4039,"Sortie"),6),""))</f>
        <v/>
      </c>
      <c r="L4039" s="39" t="str">
        <f>IF(COUNTA(A4039:C4039,E4039)=0,"",IF(COUNTA(A4039:C4039,E4039)&lt;4,"Ligne incomplète",IF(NOT(ISNUMBER(A4039)),"Date invalide",IF(AND(B4039&lt;&gt;"Entrée",B4039&lt;&gt;"Sortie"),"Type inconnu",IF(ISNA(MATCH(C4039,art_ref,0)),"Référence inconnue",IF(OR(NOT(ISNUMBER(E4039)),N(E4039)&lt;=0),"Quantité invalide",IF(K4039&lt;0,"Stock négatif",IF(AND(ISNUMBER(A4038),A4039&lt;A4038),"Date hors ordre","OK"))))))))</f>
        <v/>
      </c>
      <c r="M4039" s="39" t="str">
        <f>IF(C4039="","",C4039&amp;"#"&amp;COUNTIF($C$5:C4039,C4039))</f>
        <v/>
      </c>
    </row>
    <row r="4040">
      <c r="A4040" s="41" t="n"/>
      <c r="B4040" s="37" t="n"/>
      <c r="C4040" s="37" t="n"/>
      <c r="D4040" s="39" t="str">
        <f>IF(C4040="","",IFERROR(INDEX(art_des,MATCH(C4040,art_ref,0))&amp;"","Référence inconnue"))</f>
        <v/>
      </c>
      <c r="E4040" s="37" t="n"/>
      <c r="F4040" s="39" t="str">
        <f>IF(C4040="","",IFERROR(INDEX(art_unit,MATCH(C4040,art_ref,0))&amp;"",""))</f>
        <v/>
      </c>
      <c r="G4040" s="37" t="n"/>
      <c r="H4040" s="37" t="n"/>
      <c r="I4040" s="37" t="n"/>
      <c r="J4040" s="40" t="str">
        <f>IF(OR(C4040="",NOT(ISNUMBER(E4040))),"",IFERROR(E4040*N(INDEX(art_price,MATCH(C4040,art_ref,0))),""))</f>
        <v/>
      </c>
      <c r="K4040" s="39" t="str">
        <f>IF(OR(C4040="",NOT(ISNUMBER(E4040))),"",IFERROR(ROUND(N(INDEX(art_init,MATCH(C4040,art_ref,0)))+SUMIFS($E$5:E4040,$C$5:C4040,C4040,$B$5:B4040,"Entrée")-SUMIFS($E$5:E4040,$C$5:C4040,C4040,$B$5:B4040,"Sortie"),6),""))</f>
        <v/>
      </c>
      <c r="L4040" s="39" t="str">
        <f>IF(COUNTA(A4040:C4040,E4040)=0,"",IF(COUNTA(A4040:C4040,E4040)&lt;4,"Ligne incomplète",IF(NOT(ISNUMBER(A4040)),"Date invalide",IF(AND(B4040&lt;&gt;"Entrée",B4040&lt;&gt;"Sortie"),"Type inconnu",IF(ISNA(MATCH(C4040,art_ref,0)),"Référence inconnue",IF(OR(NOT(ISNUMBER(E4040)),N(E4040)&lt;=0),"Quantité invalide",IF(K4040&lt;0,"Stock négatif",IF(AND(ISNUMBER(A4039),A4040&lt;A4039),"Date hors ordre","OK"))))))))</f>
        <v/>
      </c>
      <c r="M4040" s="39" t="str">
        <f>IF(C4040="","",C4040&amp;"#"&amp;COUNTIF($C$5:C4040,C4040))</f>
        <v/>
      </c>
    </row>
    <row r="4041">
      <c r="A4041" s="41" t="n"/>
      <c r="B4041" s="37" t="n"/>
      <c r="C4041" s="37" t="n"/>
      <c r="D4041" s="39" t="str">
        <f>IF(C4041="","",IFERROR(INDEX(art_des,MATCH(C4041,art_ref,0))&amp;"","Référence inconnue"))</f>
        <v/>
      </c>
      <c r="E4041" s="37" t="n"/>
      <c r="F4041" s="39" t="str">
        <f>IF(C4041="","",IFERROR(INDEX(art_unit,MATCH(C4041,art_ref,0))&amp;"",""))</f>
        <v/>
      </c>
      <c r="G4041" s="37" t="n"/>
      <c r="H4041" s="37" t="n"/>
      <c r="I4041" s="37" t="n"/>
      <c r="J4041" s="40" t="str">
        <f>IF(OR(C4041="",NOT(ISNUMBER(E4041))),"",IFERROR(E4041*N(INDEX(art_price,MATCH(C4041,art_ref,0))),""))</f>
        <v/>
      </c>
      <c r="K4041" s="39" t="str">
        <f>IF(OR(C4041="",NOT(ISNUMBER(E4041))),"",IFERROR(ROUND(N(INDEX(art_init,MATCH(C4041,art_ref,0)))+SUMIFS($E$5:E4041,$C$5:C4041,C4041,$B$5:B4041,"Entrée")-SUMIFS($E$5:E4041,$C$5:C4041,C4041,$B$5:B4041,"Sortie"),6),""))</f>
        <v/>
      </c>
      <c r="L4041" s="39" t="str">
        <f>IF(COUNTA(A4041:C4041,E4041)=0,"",IF(COUNTA(A4041:C4041,E4041)&lt;4,"Ligne incomplète",IF(NOT(ISNUMBER(A4041)),"Date invalide",IF(AND(B4041&lt;&gt;"Entrée",B4041&lt;&gt;"Sortie"),"Type inconnu",IF(ISNA(MATCH(C4041,art_ref,0)),"Référence inconnue",IF(OR(NOT(ISNUMBER(E4041)),N(E4041)&lt;=0),"Quantité invalide",IF(K4041&lt;0,"Stock négatif",IF(AND(ISNUMBER(A4040),A4041&lt;A4040),"Date hors ordre","OK"))))))))</f>
        <v/>
      </c>
      <c r="M4041" s="39" t="str">
        <f>IF(C4041="","",C4041&amp;"#"&amp;COUNTIF($C$5:C4041,C4041))</f>
        <v/>
      </c>
    </row>
    <row r="4042">
      <c r="A4042" s="41" t="n"/>
      <c r="B4042" s="37" t="n"/>
      <c r="C4042" s="37" t="n"/>
      <c r="D4042" s="39" t="str">
        <f>IF(C4042="","",IFERROR(INDEX(art_des,MATCH(C4042,art_ref,0))&amp;"","Référence inconnue"))</f>
        <v/>
      </c>
      <c r="E4042" s="37" t="n"/>
      <c r="F4042" s="39" t="str">
        <f>IF(C4042="","",IFERROR(INDEX(art_unit,MATCH(C4042,art_ref,0))&amp;"",""))</f>
        <v/>
      </c>
      <c r="G4042" s="37" t="n"/>
      <c r="H4042" s="37" t="n"/>
      <c r="I4042" s="37" t="n"/>
      <c r="J4042" s="40" t="str">
        <f>IF(OR(C4042="",NOT(ISNUMBER(E4042))),"",IFERROR(E4042*N(INDEX(art_price,MATCH(C4042,art_ref,0))),""))</f>
        <v/>
      </c>
      <c r="K4042" s="39" t="str">
        <f>IF(OR(C4042="",NOT(ISNUMBER(E4042))),"",IFERROR(ROUND(N(INDEX(art_init,MATCH(C4042,art_ref,0)))+SUMIFS($E$5:E4042,$C$5:C4042,C4042,$B$5:B4042,"Entrée")-SUMIFS($E$5:E4042,$C$5:C4042,C4042,$B$5:B4042,"Sortie"),6),""))</f>
        <v/>
      </c>
      <c r="L4042" s="39" t="str">
        <f>IF(COUNTA(A4042:C4042,E4042)=0,"",IF(COUNTA(A4042:C4042,E4042)&lt;4,"Ligne incomplète",IF(NOT(ISNUMBER(A4042)),"Date invalide",IF(AND(B4042&lt;&gt;"Entrée",B4042&lt;&gt;"Sortie"),"Type inconnu",IF(ISNA(MATCH(C4042,art_ref,0)),"Référence inconnue",IF(OR(NOT(ISNUMBER(E4042)),N(E4042)&lt;=0),"Quantité invalide",IF(K4042&lt;0,"Stock négatif",IF(AND(ISNUMBER(A4041),A4042&lt;A4041),"Date hors ordre","OK"))))))))</f>
        <v/>
      </c>
      <c r="M4042" s="39" t="str">
        <f>IF(C4042="","",C4042&amp;"#"&amp;COUNTIF($C$5:C4042,C4042))</f>
        <v/>
      </c>
    </row>
    <row r="4043">
      <c r="A4043" s="41" t="n"/>
      <c r="B4043" s="37" t="n"/>
      <c r="C4043" s="37" t="n"/>
      <c r="D4043" s="39" t="str">
        <f>IF(C4043="","",IFERROR(INDEX(art_des,MATCH(C4043,art_ref,0))&amp;"","Référence inconnue"))</f>
        <v/>
      </c>
      <c r="E4043" s="37" t="n"/>
      <c r="F4043" s="39" t="str">
        <f>IF(C4043="","",IFERROR(INDEX(art_unit,MATCH(C4043,art_ref,0))&amp;"",""))</f>
        <v/>
      </c>
      <c r="G4043" s="37" t="n"/>
      <c r="H4043" s="37" t="n"/>
      <c r="I4043" s="37" t="n"/>
      <c r="J4043" s="40" t="str">
        <f>IF(OR(C4043="",NOT(ISNUMBER(E4043))),"",IFERROR(E4043*N(INDEX(art_price,MATCH(C4043,art_ref,0))),""))</f>
        <v/>
      </c>
      <c r="K4043" s="39" t="str">
        <f>IF(OR(C4043="",NOT(ISNUMBER(E4043))),"",IFERROR(ROUND(N(INDEX(art_init,MATCH(C4043,art_ref,0)))+SUMIFS($E$5:E4043,$C$5:C4043,C4043,$B$5:B4043,"Entrée")-SUMIFS($E$5:E4043,$C$5:C4043,C4043,$B$5:B4043,"Sortie"),6),""))</f>
        <v/>
      </c>
      <c r="L4043" s="39" t="str">
        <f>IF(COUNTA(A4043:C4043,E4043)=0,"",IF(COUNTA(A4043:C4043,E4043)&lt;4,"Ligne incomplète",IF(NOT(ISNUMBER(A4043)),"Date invalide",IF(AND(B4043&lt;&gt;"Entrée",B4043&lt;&gt;"Sortie"),"Type inconnu",IF(ISNA(MATCH(C4043,art_ref,0)),"Référence inconnue",IF(OR(NOT(ISNUMBER(E4043)),N(E4043)&lt;=0),"Quantité invalide",IF(K4043&lt;0,"Stock négatif",IF(AND(ISNUMBER(A4042),A4043&lt;A4042),"Date hors ordre","OK"))))))))</f>
        <v/>
      </c>
      <c r="M4043" s="39" t="str">
        <f>IF(C4043="","",C4043&amp;"#"&amp;COUNTIF($C$5:C4043,C4043))</f>
        <v/>
      </c>
    </row>
    <row r="4044">
      <c r="A4044" s="41" t="n"/>
      <c r="B4044" s="37" t="n"/>
      <c r="C4044" s="37" t="n"/>
      <c r="D4044" s="39" t="str">
        <f>IF(C4044="","",IFERROR(INDEX(art_des,MATCH(C4044,art_ref,0))&amp;"","Référence inconnue"))</f>
        <v/>
      </c>
      <c r="E4044" s="37" t="n"/>
      <c r="F4044" s="39" t="str">
        <f>IF(C4044="","",IFERROR(INDEX(art_unit,MATCH(C4044,art_ref,0))&amp;"",""))</f>
        <v/>
      </c>
      <c r="G4044" s="37" t="n"/>
      <c r="H4044" s="37" t="n"/>
      <c r="I4044" s="37" t="n"/>
      <c r="J4044" s="40" t="str">
        <f>IF(OR(C4044="",NOT(ISNUMBER(E4044))),"",IFERROR(E4044*N(INDEX(art_price,MATCH(C4044,art_ref,0))),""))</f>
        <v/>
      </c>
      <c r="K4044" s="39" t="str">
        <f>IF(OR(C4044="",NOT(ISNUMBER(E4044))),"",IFERROR(ROUND(N(INDEX(art_init,MATCH(C4044,art_ref,0)))+SUMIFS($E$5:E4044,$C$5:C4044,C4044,$B$5:B4044,"Entrée")-SUMIFS($E$5:E4044,$C$5:C4044,C4044,$B$5:B4044,"Sortie"),6),""))</f>
        <v/>
      </c>
      <c r="L4044" s="39" t="str">
        <f>IF(COUNTA(A4044:C4044,E4044)=0,"",IF(COUNTA(A4044:C4044,E4044)&lt;4,"Ligne incomplète",IF(NOT(ISNUMBER(A4044)),"Date invalide",IF(AND(B4044&lt;&gt;"Entrée",B4044&lt;&gt;"Sortie"),"Type inconnu",IF(ISNA(MATCH(C4044,art_ref,0)),"Référence inconnue",IF(OR(NOT(ISNUMBER(E4044)),N(E4044)&lt;=0),"Quantité invalide",IF(K4044&lt;0,"Stock négatif",IF(AND(ISNUMBER(A4043),A4044&lt;A4043),"Date hors ordre","OK"))))))))</f>
        <v/>
      </c>
      <c r="M4044" s="39" t="str">
        <f>IF(C4044="","",C4044&amp;"#"&amp;COUNTIF($C$5:C4044,C4044))</f>
        <v/>
      </c>
    </row>
    <row r="4045">
      <c r="A4045" s="41" t="n"/>
      <c r="B4045" s="37" t="n"/>
      <c r="C4045" s="37" t="n"/>
      <c r="D4045" s="39" t="str">
        <f>IF(C4045="","",IFERROR(INDEX(art_des,MATCH(C4045,art_ref,0))&amp;"","Référence inconnue"))</f>
        <v/>
      </c>
      <c r="E4045" s="37" t="n"/>
      <c r="F4045" s="39" t="str">
        <f>IF(C4045="","",IFERROR(INDEX(art_unit,MATCH(C4045,art_ref,0))&amp;"",""))</f>
        <v/>
      </c>
      <c r="G4045" s="37" t="n"/>
      <c r="H4045" s="37" t="n"/>
      <c r="I4045" s="37" t="n"/>
      <c r="J4045" s="40" t="str">
        <f>IF(OR(C4045="",NOT(ISNUMBER(E4045))),"",IFERROR(E4045*N(INDEX(art_price,MATCH(C4045,art_ref,0))),""))</f>
        <v/>
      </c>
      <c r="K4045" s="39" t="str">
        <f>IF(OR(C4045="",NOT(ISNUMBER(E4045))),"",IFERROR(ROUND(N(INDEX(art_init,MATCH(C4045,art_ref,0)))+SUMIFS($E$5:E4045,$C$5:C4045,C4045,$B$5:B4045,"Entrée")-SUMIFS($E$5:E4045,$C$5:C4045,C4045,$B$5:B4045,"Sortie"),6),""))</f>
        <v/>
      </c>
      <c r="L4045" s="39" t="str">
        <f>IF(COUNTA(A4045:C4045,E4045)=0,"",IF(COUNTA(A4045:C4045,E4045)&lt;4,"Ligne incomplète",IF(NOT(ISNUMBER(A4045)),"Date invalide",IF(AND(B4045&lt;&gt;"Entrée",B4045&lt;&gt;"Sortie"),"Type inconnu",IF(ISNA(MATCH(C4045,art_ref,0)),"Référence inconnue",IF(OR(NOT(ISNUMBER(E4045)),N(E4045)&lt;=0),"Quantité invalide",IF(K4045&lt;0,"Stock négatif",IF(AND(ISNUMBER(A4044),A4045&lt;A4044),"Date hors ordre","OK"))))))))</f>
        <v/>
      </c>
      <c r="M4045" s="39" t="str">
        <f>IF(C4045="","",C4045&amp;"#"&amp;COUNTIF($C$5:C4045,C4045))</f>
        <v/>
      </c>
    </row>
    <row r="4046">
      <c r="A4046" s="41" t="n"/>
      <c r="B4046" s="37" t="n"/>
      <c r="C4046" s="37" t="n"/>
      <c r="D4046" s="39" t="str">
        <f>IF(C4046="","",IFERROR(INDEX(art_des,MATCH(C4046,art_ref,0))&amp;"","Référence inconnue"))</f>
        <v/>
      </c>
      <c r="E4046" s="37" t="n"/>
      <c r="F4046" s="39" t="str">
        <f>IF(C4046="","",IFERROR(INDEX(art_unit,MATCH(C4046,art_ref,0))&amp;"",""))</f>
        <v/>
      </c>
      <c r="G4046" s="37" t="n"/>
      <c r="H4046" s="37" t="n"/>
      <c r="I4046" s="37" t="n"/>
      <c r="J4046" s="40" t="str">
        <f>IF(OR(C4046="",NOT(ISNUMBER(E4046))),"",IFERROR(E4046*N(INDEX(art_price,MATCH(C4046,art_ref,0))),""))</f>
        <v/>
      </c>
      <c r="K4046" s="39" t="str">
        <f>IF(OR(C4046="",NOT(ISNUMBER(E4046))),"",IFERROR(ROUND(N(INDEX(art_init,MATCH(C4046,art_ref,0)))+SUMIFS($E$5:E4046,$C$5:C4046,C4046,$B$5:B4046,"Entrée")-SUMIFS($E$5:E4046,$C$5:C4046,C4046,$B$5:B4046,"Sortie"),6),""))</f>
        <v/>
      </c>
      <c r="L4046" s="39" t="str">
        <f>IF(COUNTA(A4046:C4046,E4046)=0,"",IF(COUNTA(A4046:C4046,E4046)&lt;4,"Ligne incomplète",IF(NOT(ISNUMBER(A4046)),"Date invalide",IF(AND(B4046&lt;&gt;"Entrée",B4046&lt;&gt;"Sortie"),"Type inconnu",IF(ISNA(MATCH(C4046,art_ref,0)),"Référence inconnue",IF(OR(NOT(ISNUMBER(E4046)),N(E4046)&lt;=0),"Quantité invalide",IF(K4046&lt;0,"Stock négatif",IF(AND(ISNUMBER(A4045),A4046&lt;A4045),"Date hors ordre","OK"))))))))</f>
        <v/>
      </c>
      <c r="M4046" s="39" t="str">
        <f>IF(C4046="","",C4046&amp;"#"&amp;COUNTIF($C$5:C4046,C4046))</f>
        <v/>
      </c>
    </row>
    <row r="4047">
      <c r="A4047" s="41" t="n"/>
      <c r="B4047" s="37" t="n"/>
      <c r="C4047" s="37" t="n"/>
      <c r="D4047" s="39" t="str">
        <f>IF(C4047="","",IFERROR(INDEX(art_des,MATCH(C4047,art_ref,0))&amp;"","Référence inconnue"))</f>
        <v/>
      </c>
      <c r="E4047" s="37" t="n"/>
      <c r="F4047" s="39" t="str">
        <f>IF(C4047="","",IFERROR(INDEX(art_unit,MATCH(C4047,art_ref,0))&amp;"",""))</f>
        <v/>
      </c>
      <c r="G4047" s="37" t="n"/>
      <c r="H4047" s="37" t="n"/>
      <c r="I4047" s="37" t="n"/>
      <c r="J4047" s="40" t="str">
        <f>IF(OR(C4047="",NOT(ISNUMBER(E4047))),"",IFERROR(E4047*N(INDEX(art_price,MATCH(C4047,art_ref,0))),""))</f>
        <v/>
      </c>
      <c r="K4047" s="39" t="str">
        <f>IF(OR(C4047="",NOT(ISNUMBER(E4047))),"",IFERROR(ROUND(N(INDEX(art_init,MATCH(C4047,art_ref,0)))+SUMIFS($E$5:E4047,$C$5:C4047,C4047,$B$5:B4047,"Entrée")-SUMIFS($E$5:E4047,$C$5:C4047,C4047,$B$5:B4047,"Sortie"),6),""))</f>
        <v/>
      </c>
      <c r="L4047" s="39" t="str">
        <f>IF(COUNTA(A4047:C4047,E4047)=0,"",IF(COUNTA(A4047:C4047,E4047)&lt;4,"Ligne incomplète",IF(NOT(ISNUMBER(A4047)),"Date invalide",IF(AND(B4047&lt;&gt;"Entrée",B4047&lt;&gt;"Sortie"),"Type inconnu",IF(ISNA(MATCH(C4047,art_ref,0)),"Référence inconnue",IF(OR(NOT(ISNUMBER(E4047)),N(E4047)&lt;=0),"Quantité invalide",IF(K4047&lt;0,"Stock négatif",IF(AND(ISNUMBER(A4046),A4047&lt;A4046),"Date hors ordre","OK"))))))))</f>
        <v/>
      </c>
      <c r="M4047" s="39" t="str">
        <f>IF(C4047="","",C4047&amp;"#"&amp;COUNTIF($C$5:C4047,C4047))</f>
        <v/>
      </c>
    </row>
    <row r="4048">
      <c r="A4048" s="41" t="n"/>
      <c r="B4048" s="37" t="n"/>
      <c r="C4048" s="37" t="n"/>
      <c r="D4048" s="39" t="str">
        <f>IF(C4048="","",IFERROR(INDEX(art_des,MATCH(C4048,art_ref,0))&amp;"","Référence inconnue"))</f>
        <v/>
      </c>
      <c r="E4048" s="37" t="n"/>
      <c r="F4048" s="39" t="str">
        <f>IF(C4048="","",IFERROR(INDEX(art_unit,MATCH(C4048,art_ref,0))&amp;"",""))</f>
        <v/>
      </c>
      <c r="G4048" s="37" t="n"/>
      <c r="H4048" s="37" t="n"/>
      <c r="I4048" s="37" t="n"/>
      <c r="J4048" s="40" t="str">
        <f>IF(OR(C4048="",NOT(ISNUMBER(E4048))),"",IFERROR(E4048*N(INDEX(art_price,MATCH(C4048,art_ref,0))),""))</f>
        <v/>
      </c>
      <c r="K4048" s="39" t="str">
        <f>IF(OR(C4048="",NOT(ISNUMBER(E4048))),"",IFERROR(ROUND(N(INDEX(art_init,MATCH(C4048,art_ref,0)))+SUMIFS($E$5:E4048,$C$5:C4048,C4048,$B$5:B4048,"Entrée")-SUMIFS($E$5:E4048,$C$5:C4048,C4048,$B$5:B4048,"Sortie"),6),""))</f>
        <v/>
      </c>
      <c r="L4048" s="39" t="str">
        <f>IF(COUNTA(A4048:C4048,E4048)=0,"",IF(COUNTA(A4048:C4048,E4048)&lt;4,"Ligne incomplète",IF(NOT(ISNUMBER(A4048)),"Date invalide",IF(AND(B4048&lt;&gt;"Entrée",B4048&lt;&gt;"Sortie"),"Type inconnu",IF(ISNA(MATCH(C4048,art_ref,0)),"Référence inconnue",IF(OR(NOT(ISNUMBER(E4048)),N(E4048)&lt;=0),"Quantité invalide",IF(K4048&lt;0,"Stock négatif",IF(AND(ISNUMBER(A4047),A4048&lt;A4047),"Date hors ordre","OK"))))))))</f>
        <v/>
      </c>
      <c r="M4048" s="39" t="str">
        <f>IF(C4048="","",C4048&amp;"#"&amp;COUNTIF($C$5:C4048,C4048))</f>
        <v/>
      </c>
    </row>
    <row r="4049">
      <c r="A4049" s="41" t="n"/>
      <c r="B4049" s="37" t="n"/>
      <c r="C4049" s="37" t="n"/>
      <c r="D4049" s="39" t="str">
        <f>IF(C4049="","",IFERROR(INDEX(art_des,MATCH(C4049,art_ref,0))&amp;"","Référence inconnue"))</f>
        <v/>
      </c>
      <c r="E4049" s="37" t="n"/>
      <c r="F4049" s="39" t="str">
        <f>IF(C4049="","",IFERROR(INDEX(art_unit,MATCH(C4049,art_ref,0))&amp;"",""))</f>
        <v/>
      </c>
      <c r="G4049" s="37" t="n"/>
      <c r="H4049" s="37" t="n"/>
      <c r="I4049" s="37" t="n"/>
      <c r="J4049" s="40" t="str">
        <f>IF(OR(C4049="",NOT(ISNUMBER(E4049))),"",IFERROR(E4049*N(INDEX(art_price,MATCH(C4049,art_ref,0))),""))</f>
        <v/>
      </c>
      <c r="K4049" s="39" t="str">
        <f>IF(OR(C4049="",NOT(ISNUMBER(E4049))),"",IFERROR(ROUND(N(INDEX(art_init,MATCH(C4049,art_ref,0)))+SUMIFS($E$5:E4049,$C$5:C4049,C4049,$B$5:B4049,"Entrée")-SUMIFS($E$5:E4049,$C$5:C4049,C4049,$B$5:B4049,"Sortie"),6),""))</f>
        <v/>
      </c>
      <c r="L4049" s="39" t="str">
        <f>IF(COUNTA(A4049:C4049,E4049)=0,"",IF(COUNTA(A4049:C4049,E4049)&lt;4,"Ligne incomplète",IF(NOT(ISNUMBER(A4049)),"Date invalide",IF(AND(B4049&lt;&gt;"Entrée",B4049&lt;&gt;"Sortie"),"Type inconnu",IF(ISNA(MATCH(C4049,art_ref,0)),"Référence inconnue",IF(OR(NOT(ISNUMBER(E4049)),N(E4049)&lt;=0),"Quantité invalide",IF(K4049&lt;0,"Stock négatif",IF(AND(ISNUMBER(A4048),A4049&lt;A4048),"Date hors ordre","OK"))))))))</f>
        <v/>
      </c>
      <c r="M4049" s="39" t="str">
        <f>IF(C4049="","",C4049&amp;"#"&amp;COUNTIF($C$5:C4049,C4049))</f>
        <v/>
      </c>
    </row>
    <row r="4050">
      <c r="A4050" s="41" t="n"/>
      <c r="B4050" s="37" t="n"/>
      <c r="C4050" s="37" t="n"/>
      <c r="D4050" s="39" t="str">
        <f>IF(C4050="","",IFERROR(INDEX(art_des,MATCH(C4050,art_ref,0))&amp;"","Référence inconnue"))</f>
        <v/>
      </c>
      <c r="E4050" s="37" t="n"/>
      <c r="F4050" s="39" t="str">
        <f>IF(C4050="","",IFERROR(INDEX(art_unit,MATCH(C4050,art_ref,0))&amp;"",""))</f>
        <v/>
      </c>
      <c r="G4050" s="37" t="n"/>
      <c r="H4050" s="37" t="n"/>
      <c r="I4050" s="37" t="n"/>
      <c r="J4050" s="40" t="str">
        <f>IF(OR(C4050="",NOT(ISNUMBER(E4050))),"",IFERROR(E4050*N(INDEX(art_price,MATCH(C4050,art_ref,0))),""))</f>
        <v/>
      </c>
      <c r="K4050" s="39" t="str">
        <f>IF(OR(C4050="",NOT(ISNUMBER(E4050))),"",IFERROR(ROUND(N(INDEX(art_init,MATCH(C4050,art_ref,0)))+SUMIFS($E$5:E4050,$C$5:C4050,C4050,$B$5:B4050,"Entrée")-SUMIFS($E$5:E4050,$C$5:C4050,C4050,$B$5:B4050,"Sortie"),6),""))</f>
        <v/>
      </c>
      <c r="L4050" s="39" t="str">
        <f>IF(COUNTA(A4050:C4050,E4050)=0,"",IF(COUNTA(A4050:C4050,E4050)&lt;4,"Ligne incomplète",IF(NOT(ISNUMBER(A4050)),"Date invalide",IF(AND(B4050&lt;&gt;"Entrée",B4050&lt;&gt;"Sortie"),"Type inconnu",IF(ISNA(MATCH(C4050,art_ref,0)),"Référence inconnue",IF(OR(NOT(ISNUMBER(E4050)),N(E4050)&lt;=0),"Quantité invalide",IF(K4050&lt;0,"Stock négatif",IF(AND(ISNUMBER(A4049),A4050&lt;A4049),"Date hors ordre","OK"))))))))</f>
        <v/>
      </c>
      <c r="M4050" s="39" t="str">
        <f>IF(C4050="","",C4050&amp;"#"&amp;COUNTIF($C$5:C4050,C4050))</f>
        <v/>
      </c>
    </row>
    <row r="4051">
      <c r="A4051" s="41" t="n"/>
      <c r="B4051" s="37" t="n"/>
      <c r="C4051" s="37" t="n"/>
      <c r="D4051" s="39" t="str">
        <f>IF(C4051="","",IFERROR(INDEX(art_des,MATCH(C4051,art_ref,0))&amp;"","Référence inconnue"))</f>
        <v/>
      </c>
      <c r="E4051" s="37" t="n"/>
      <c r="F4051" s="39" t="str">
        <f>IF(C4051="","",IFERROR(INDEX(art_unit,MATCH(C4051,art_ref,0))&amp;"",""))</f>
        <v/>
      </c>
      <c r="G4051" s="37" t="n"/>
      <c r="H4051" s="37" t="n"/>
      <c r="I4051" s="37" t="n"/>
      <c r="J4051" s="40" t="str">
        <f>IF(OR(C4051="",NOT(ISNUMBER(E4051))),"",IFERROR(E4051*N(INDEX(art_price,MATCH(C4051,art_ref,0))),""))</f>
        <v/>
      </c>
      <c r="K4051" s="39" t="str">
        <f>IF(OR(C4051="",NOT(ISNUMBER(E4051))),"",IFERROR(ROUND(N(INDEX(art_init,MATCH(C4051,art_ref,0)))+SUMIFS($E$5:E4051,$C$5:C4051,C4051,$B$5:B4051,"Entrée")-SUMIFS($E$5:E4051,$C$5:C4051,C4051,$B$5:B4051,"Sortie"),6),""))</f>
        <v/>
      </c>
      <c r="L4051" s="39" t="str">
        <f>IF(COUNTA(A4051:C4051,E4051)=0,"",IF(COUNTA(A4051:C4051,E4051)&lt;4,"Ligne incomplète",IF(NOT(ISNUMBER(A4051)),"Date invalide",IF(AND(B4051&lt;&gt;"Entrée",B4051&lt;&gt;"Sortie"),"Type inconnu",IF(ISNA(MATCH(C4051,art_ref,0)),"Référence inconnue",IF(OR(NOT(ISNUMBER(E4051)),N(E4051)&lt;=0),"Quantité invalide",IF(K4051&lt;0,"Stock négatif",IF(AND(ISNUMBER(A4050),A4051&lt;A4050),"Date hors ordre","OK"))))))))</f>
        <v/>
      </c>
      <c r="M4051" s="39" t="str">
        <f>IF(C4051="","",C4051&amp;"#"&amp;COUNTIF($C$5:C4051,C4051))</f>
        <v/>
      </c>
    </row>
    <row r="4052">
      <c r="A4052" s="41" t="n"/>
      <c r="B4052" s="37" t="n"/>
      <c r="C4052" s="37" t="n"/>
      <c r="D4052" s="39" t="str">
        <f>IF(C4052="","",IFERROR(INDEX(art_des,MATCH(C4052,art_ref,0))&amp;"","Référence inconnue"))</f>
        <v/>
      </c>
      <c r="E4052" s="37" t="n"/>
      <c r="F4052" s="39" t="str">
        <f>IF(C4052="","",IFERROR(INDEX(art_unit,MATCH(C4052,art_ref,0))&amp;"",""))</f>
        <v/>
      </c>
      <c r="G4052" s="37" t="n"/>
      <c r="H4052" s="37" t="n"/>
      <c r="I4052" s="37" t="n"/>
      <c r="J4052" s="40" t="str">
        <f>IF(OR(C4052="",NOT(ISNUMBER(E4052))),"",IFERROR(E4052*N(INDEX(art_price,MATCH(C4052,art_ref,0))),""))</f>
        <v/>
      </c>
      <c r="K4052" s="39" t="str">
        <f>IF(OR(C4052="",NOT(ISNUMBER(E4052))),"",IFERROR(ROUND(N(INDEX(art_init,MATCH(C4052,art_ref,0)))+SUMIFS($E$5:E4052,$C$5:C4052,C4052,$B$5:B4052,"Entrée")-SUMIFS($E$5:E4052,$C$5:C4052,C4052,$B$5:B4052,"Sortie"),6),""))</f>
        <v/>
      </c>
      <c r="L4052" s="39" t="str">
        <f>IF(COUNTA(A4052:C4052,E4052)=0,"",IF(COUNTA(A4052:C4052,E4052)&lt;4,"Ligne incomplète",IF(NOT(ISNUMBER(A4052)),"Date invalide",IF(AND(B4052&lt;&gt;"Entrée",B4052&lt;&gt;"Sortie"),"Type inconnu",IF(ISNA(MATCH(C4052,art_ref,0)),"Référence inconnue",IF(OR(NOT(ISNUMBER(E4052)),N(E4052)&lt;=0),"Quantité invalide",IF(K4052&lt;0,"Stock négatif",IF(AND(ISNUMBER(A4051),A4052&lt;A4051),"Date hors ordre","OK"))))))))</f>
        <v/>
      </c>
      <c r="M4052" s="39" t="str">
        <f>IF(C4052="","",C4052&amp;"#"&amp;COUNTIF($C$5:C4052,C4052))</f>
        <v/>
      </c>
    </row>
    <row r="4053">
      <c r="A4053" s="41" t="n"/>
      <c r="B4053" s="37" t="n"/>
      <c r="C4053" s="37" t="n"/>
      <c r="D4053" s="39" t="str">
        <f>IF(C4053="","",IFERROR(INDEX(art_des,MATCH(C4053,art_ref,0))&amp;"","Référence inconnue"))</f>
        <v/>
      </c>
      <c r="E4053" s="37" t="n"/>
      <c r="F4053" s="39" t="str">
        <f>IF(C4053="","",IFERROR(INDEX(art_unit,MATCH(C4053,art_ref,0))&amp;"",""))</f>
        <v/>
      </c>
      <c r="G4053" s="37" t="n"/>
      <c r="H4053" s="37" t="n"/>
      <c r="I4053" s="37" t="n"/>
      <c r="J4053" s="40" t="str">
        <f>IF(OR(C4053="",NOT(ISNUMBER(E4053))),"",IFERROR(E4053*N(INDEX(art_price,MATCH(C4053,art_ref,0))),""))</f>
        <v/>
      </c>
      <c r="K4053" s="39" t="str">
        <f>IF(OR(C4053="",NOT(ISNUMBER(E4053))),"",IFERROR(ROUND(N(INDEX(art_init,MATCH(C4053,art_ref,0)))+SUMIFS($E$5:E4053,$C$5:C4053,C4053,$B$5:B4053,"Entrée")-SUMIFS($E$5:E4053,$C$5:C4053,C4053,$B$5:B4053,"Sortie"),6),""))</f>
        <v/>
      </c>
      <c r="L4053" s="39" t="str">
        <f>IF(COUNTA(A4053:C4053,E4053)=0,"",IF(COUNTA(A4053:C4053,E4053)&lt;4,"Ligne incomplète",IF(NOT(ISNUMBER(A4053)),"Date invalide",IF(AND(B4053&lt;&gt;"Entrée",B4053&lt;&gt;"Sortie"),"Type inconnu",IF(ISNA(MATCH(C4053,art_ref,0)),"Référence inconnue",IF(OR(NOT(ISNUMBER(E4053)),N(E4053)&lt;=0),"Quantité invalide",IF(K4053&lt;0,"Stock négatif",IF(AND(ISNUMBER(A4052),A4053&lt;A4052),"Date hors ordre","OK"))))))))</f>
        <v/>
      </c>
      <c r="M4053" s="39" t="str">
        <f>IF(C4053="","",C4053&amp;"#"&amp;COUNTIF($C$5:C4053,C4053))</f>
        <v/>
      </c>
    </row>
    <row r="4054">
      <c r="A4054" s="41" t="n"/>
      <c r="B4054" s="37" t="n"/>
      <c r="C4054" s="37" t="n"/>
      <c r="D4054" s="39" t="str">
        <f>IF(C4054="","",IFERROR(INDEX(art_des,MATCH(C4054,art_ref,0))&amp;"","Référence inconnue"))</f>
        <v/>
      </c>
      <c r="E4054" s="37" t="n"/>
      <c r="F4054" s="39" t="str">
        <f>IF(C4054="","",IFERROR(INDEX(art_unit,MATCH(C4054,art_ref,0))&amp;"",""))</f>
        <v/>
      </c>
      <c r="G4054" s="37" t="n"/>
      <c r="H4054" s="37" t="n"/>
      <c r="I4054" s="37" t="n"/>
      <c r="J4054" s="40" t="str">
        <f>IF(OR(C4054="",NOT(ISNUMBER(E4054))),"",IFERROR(E4054*N(INDEX(art_price,MATCH(C4054,art_ref,0))),""))</f>
        <v/>
      </c>
      <c r="K4054" s="39" t="str">
        <f>IF(OR(C4054="",NOT(ISNUMBER(E4054))),"",IFERROR(ROUND(N(INDEX(art_init,MATCH(C4054,art_ref,0)))+SUMIFS($E$5:E4054,$C$5:C4054,C4054,$B$5:B4054,"Entrée")-SUMIFS($E$5:E4054,$C$5:C4054,C4054,$B$5:B4054,"Sortie"),6),""))</f>
        <v/>
      </c>
      <c r="L4054" s="39" t="str">
        <f>IF(COUNTA(A4054:C4054,E4054)=0,"",IF(COUNTA(A4054:C4054,E4054)&lt;4,"Ligne incomplète",IF(NOT(ISNUMBER(A4054)),"Date invalide",IF(AND(B4054&lt;&gt;"Entrée",B4054&lt;&gt;"Sortie"),"Type inconnu",IF(ISNA(MATCH(C4054,art_ref,0)),"Référence inconnue",IF(OR(NOT(ISNUMBER(E4054)),N(E4054)&lt;=0),"Quantité invalide",IF(K4054&lt;0,"Stock négatif",IF(AND(ISNUMBER(A4053),A4054&lt;A4053),"Date hors ordre","OK"))))))))</f>
        <v/>
      </c>
      <c r="M4054" s="39" t="str">
        <f>IF(C4054="","",C4054&amp;"#"&amp;COUNTIF($C$5:C4054,C4054))</f>
        <v/>
      </c>
    </row>
    <row r="4055">
      <c r="A4055" s="41" t="n"/>
      <c r="B4055" s="37" t="n"/>
      <c r="C4055" s="37" t="n"/>
      <c r="D4055" s="39" t="str">
        <f>IF(C4055="","",IFERROR(INDEX(art_des,MATCH(C4055,art_ref,0))&amp;"","Référence inconnue"))</f>
        <v/>
      </c>
      <c r="E4055" s="37" t="n"/>
      <c r="F4055" s="39" t="str">
        <f>IF(C4055="","",IFERROR(INDEX(art_unit,MATCH(C4055,art_ref,0))&amp;"",""))</f>
        <v/>
      </c>
      <c r="G4055" s="37" t="n"/>
      <c r="H4055" s="37" t="n"/>
      <c r="I4055" s="37" t="n"/>
      <c r="J4055" s="40" t="str">
        <f>IF(OR(C4055="",NOT(ISNUMBER(E4055))),"",IFERROR(E4055*N(INDEX(art_price,MATCH(C4055,art_ref,0))),""))</f>
        <v/>
      </c>
      <c r="K4055" s="39" t="str">
        <f>IF(OR(C4055="",NOT(ISNUMBER(E4055))),"",IFERROR(ROUND(N(INDEX(art_init,MATCH(C4055,art_ref,0)))+SUMIFS($E$5:E4055,$C$5:C4055,C4055,$B$5:B4055,"Entrée")-SUMIFS($E$5:E4055,$C$5:C4055,C4055,$B$5:B4055,"Sortie"),6),""))</f>
        <v/>
      </c>
      <c r="L4055" s="39" t="str">
        <f>IF(COUNTA(A4055:C4055,E4055)=0,"",IF(COUNTA(A4055:C4055,E4055)&lt;4,"Ligne incomplète",IF(NOT(ISNUMBER(A4055)),"Date invalide",IF(AND(B4055&lt;&gt;"Entrée",B4055&lt;&gt;"Sortie"),"Type inconnu",IF(ISNA(MATCH(C4055,art_ref,0)),"Référence inconnue",IF(OR(NOT(ISNUMBER(E4055)),N(E4055)&lt;=0),"Quantité invalide",IF(K4055&lt;0,"Stock négatif",IF(AND(ISNUMBER(A4054),A4055&lt;A4054),"Date hors ordre","OK"))))))))</f>
        <v/>
      </c>
      <c r="M4055" s="39" t="str">
        <f>IF(C4055="","",C4055&amp;"#"&amp;COUNTIF($C$5:C4055,C4055))</f>
        <v/>
      </c>
    </row>
    <row r="4056">
      <c r="A4056" s="41" t="n"/>
      <c r="B4056" s="37" t="n"/>
      <c r="C4056" s="37" t="n"/>
      <c r="D4056" s="39" t="str">
        <f>IF(C4056="","",IFERROR(INDEX(art_des,MATCH(C4056,art_ref,0))&amp;"","Référence inconnue"))</f>
        <v/>
      </c>
      <c r="E4056" s="37" t="n"/>
      <c r="F4056" s="39" t="str">
        <f>IF(C4056="","",IFERROR(INDEX(art_unit,MATCH(C4056,art_ref,0))&amp;"",""))</f>
        <v/>
      </c>
      <c r="G4056" s="37" t="n"/>
      <c r="H4056" s="37" t="n"/>
      <c r="I4056" s="37" t="n"/>
      <c r="J4056" s="40" t="str">
        <f>IF(OR(C4056="",NOT(ISNUMBER(E4056))),"",IFERROR(E4056*N(INDEX(art_price,MATCH(C4056,art_ref,0))),""))</f>
        <v/>
      </c>
      <c r="K4056" s="39" t="str">
        <f>IF(OR(C4056="",NOT(ISNUMBER(E4056))),"",IFERROR(ROUND(N(INDEX(art_init,MATCH(C4056,art_ref,0)))+SUMIFS($E$5:E4056,$C$5:C4056,C4056,$B$5:B4056,"Entrée")-SUMIFS($E$5:E4056,$C$5:C4056,C4056,$B$5:B4056,"Sortie"),6),""))</f>
        <v/>
      </c>
      <c r="L4056" s="39" t="str">
        <f>IF(COUNTA(A4056:C4056,E4056)=0,"",IF(COUNTA(A4056:C4056,E4056)&lt;4,"Ligne incomplète",IF(NOT(ISNUMBER(A4056)),"Date invalide",IF(AND(B4056&lt;&gt;"Entrée",B4056&lt;&gt;"Sortie"),"Type inconnu",IF(ISNA(MATCH(C4056,art_ref,0)),"Référence inconnue",IF(OR(NOT(ISNUMBER(E4056)),N(E4056)&lt;=0),"Quantité invalide",IF(K4056&lt;0,"Stock négatif",IF(AND(ISNUMBER(A4055),A4056&lt;A4055),"Date hors ordre","OK"))))))))</f>
        <v/>
      </c>
      <c r="M4056" s="39" t="str">
        <f>IF(C4056="","",C4056&amp;"#"&amp;COUNTIF($C$5:C4056,C4056))</f>
        <v/>
      </c>
    </row>
    <row r="4057">
      <c r="A4057" s="41" t="n"/>
      <c r="B4057" s="37" t="n"/>
      <c r="C4057" s="37" t="n"/>
      <c r="D4057" s="39" t="str">
        <f>IF(C4057="","",IFERROR(INDEX(art_des,MATCH(C4057,art_ref,0))&amp;"","Référence inconnue"))</f>
        <v/>
      </c>
      <c r="E4057" s="37" t="n"/>
      <c r="F4057" s="39" t="str">
        <f>IF(C4057="","",IFERROR(INDEX(art_unit,MATCH(C4057,art_ref,0))&amp;"",""))</f>
        <v/>
      </c>
      <c r="G4057" s="37" t="n"/>
      <c r="H4057" s="37" t="n"/>
      <c r="I4057" s="37" t="n"/>
      <c r="J4057" s="40" t="str">
        <f>IF(OR(C4057="",NOT(ISNUMBER(E4057))),"",IFERROR(E4057*N(INDEX(art_price,MATCH(C4057,art_ref,0))),""))</f>
        <v/>
      </c>
      <c r="K4057" s="39" t="str">
        <f>IF(OR(C4057="",NOT(ISNUMBER(E4057))),"",IFERROR(ROUND(N(INDEX(art_init,MATCH(C4057,art_ref,0)))+SUMIFS($E$5:E4057,$C$5:C4057,C4057,$B$5:B4057,"Entrée")-SUMIFS($E$5:E4057,$C$5:C4057,C4057,$B$5:B4057,"Sortie"),6),""))</f>
        <v/>
      </c>
      <c r="L4057" s="39" t="str">
        <f>IF(COUNTA(A4057:C4057,E4057)=0,"",IF(COUNTA(A4057:C4057,E4057)&lt;4,"Ligne incomplète",IF(NOT(ISNUMBER(A4057)),"Date invalide",IF(AND(B4057&lt;&gt;"Entrée",B4057&lt;&gt;"Sortie"),"Type inconnu",IF(ISNA(MATCH(C4057,art_ref,0)),"Référence inconnue",IF(OR(NOT(ISNUMBER(E4057)),N(E4057)&lt;=0),"Quantité invalide",IF(K4057&lt;0,"Stock négatif",IF(AND(ISNUMBER(A4056),A4057&lt;A4056),"Date hors ordre","OK"))))))))</f>
        <v/>
      </c>
      <c r="M4057" s="39" t="str">
        <f>IF(C4057="","",C4057&amp;"#"&amp;COUNTIF($C$5:C4057,C4057))</f>
        <v/>
      </c>
    </row>
    <row r="4058">
      <c r="A4058" s="41" t="n"/>
      <c r="B4058" s="37" t="n"/>
      <c r="C4058" s="37" t="n"/>
      <c r="D4058" s="39" t="str">
        <f>IF(C4058="","",IFERROR(INDEX(art_des,MATCH(C4058,art_ref,0))&amp;"","Référence inconnue"))</f>
        <v/>
      </c>
      <c r="E4058" s="37" t="n"/>
      <c r="F4058" s="39" t="str">
        <f>IF(C4058="","",IFERROR(INDEX(art_unit,MATCH(C4058,art_ref,0))&amp;"",""))</f>
        <v/>
      </c>
      <c r="G4058" s="37" t="n"/>
      <c r="H4058" s="37" t="n"/>
      <c r="I4058" s="37" t="n"/>
      <c r="J4058" s="40" t="str">
        <f>IF(OR(C4058="",NOT(ISNUMBER(E4058))),"",IFERROR(E4058*N(INDEX(art_price,MATCH(C4058,art_ref,0))),""))</f>
        <v/>
      </c>
      <c r="K4058" s="39" t="str">
        <f>IF(OR(C4058="",NOT(ISNUMBER(E4058))),"",IFERROR(ROUND(N(INDEX(art_init,MATCH(C4058,art_ref,0)))+SUMIFS($E$5:E4058,$C$5:C4058,C4058,$B$5:B4058,"Entrée")-SUMIFS($E$5:E4058,$C$5:C4058,C4058,$B$5:B4058,"Sortie"),6),""))</f>
        <v/>
      </c>
      <c r="L4058" s="39" t="str">
        <f>IF(COUNTA(A4058:C4058,E4058)=0,"",IF(COUNTA(A4058:C4058,E4058)&lt;4,"Ligne incomplète",IF(NOT(ISNUMBER(A4058)),"Date invalide",IF(AND(B4058&lt;&gt;"Entrée",B4058&lt;&gt;"Sortie"),"Type inconnu",IF(ISNA(MATCH(C4058,art_ref,0)),"Référence inconnue",IF(OR(NOT(ISNUMBER(E4058)),N(E4058)&lt;=0),"Quantité invalide",IF(K4058&lt;0,"Stock négatif",IF(AND(ISNUMBER(A4057),A4058&lt;A4057),"Date hors ordre","OK"))))))))</f>
        <v/>
      </c>
      <c r="M4058" s="39" t="str">
        <f>IF(C4058="","",C4058&amp;"#"&amp;COUNTIF($C$5:C4058,C4058))</f>
        <v/>
      </c>
    </row>
    <row r="4059">
      <c r="A4059" s="41" t="n"/>
      <c r="B4059" s="37" t="n"/>
      <c r="C4059" s="37" t="n"/>
      <c r="D4059" s="39" t="str">
        <f>IF(C4059="","",IFERROR(INDEX(art_des,MATCH(C4059,art_ref,0))&amp;"","Référence inconnue"))</f>
        <v/>
      </c>
      <c r="E4059" s="37" t="n"/>
      <c r="F4059" s="39" t="str">
        <f>IF(C4059="","",IFERROR(INDEX(art_unit,MATCH(C4059,art_ref,0))&amp;"",""))</f>
        <v/>
      </c>
      <c r="G4059" s="37" t="n"/>
      <c r="H4059" s="37" t="n"/>
      <c r="I4059" s="37" t="n"/>
      <c r="J4059" s="40" t="str">
        <f>IF(OR(C4059="",NOT(ISNUMBER(E4059))),"",IFERROR(E4059*N(INDEX(art_price,MATCH(C4059,art_ref,0))),""))</f>
        <v/>
      </c>
      <c r="K4059" s="39" t="str">
        <f>IF(OR(C4059="",NOT(ISNUMBER(E4059))),"",IFERROR(ROUND(N(INDEX(art_init,MATCH(C4059,art_ref,0)))+SUMIFS($E$5:E4059,$C$5:C4059,C4059,$B$5:B4059,"Entrée")-SUMIFS($E$5:E4059,$C$5:C4059,C4059,$B$5:B4059,"Sortie"),6),""))</f>
        <v/>
      </c>
      <c r="L4059" s="39" t="str">
        <f>IF(COUNTA(A4059:C4059,E4059)=0,"",IF(COUNTA(A4059:C4059,E4059)&lt;4,"Ligne incomplète",IF(NOT(ISNUMBER(A4059)),"Date invalide",IF(AND(B4059&lt;&gt;"Entrée",B4059&lt;&gt;"Sortie"),"Type inconnu",IF(ISNA(MATCH(C4059,art_ref,0)),"Référence inconnue",IF(OR(NOT(ISNUMBER(E4059)),N(E4059)&lt;=0),"Quantité invalide",IF(K4059&lt;0,"Stock négatif",IF(AND(ISNUMBER(A4058),A4059&lt;A4058),"Date hors ordre","OK"))))))))</f>
        <v/>
      </c>
      <c r="M4059" s="39" t="str">
        <f>IF(C4059="","",C4059&amp;"#"&amp;COUNTIF($C$5:C4059,C4059))</f>
        <v/>
      </c>
    </row>
    <row r="4060">
      <c r="A4060" s="41" t="n"/>
      <c r="B4060" s="37" t="n"/>
      <c r="C4060" s="37" t="n"/>
      <c r="D4060" s="39" t="str">
        <f>IF(C4060="","",IFERROR(INDEX(art_des,MATCH(C4060,art_ref,0))&amp;"","Référence inconnue"))</f>
        <v/>
      </c>
      <c r="E4060" s="37" t="n"/>
      <c r="F4060" s="39" t="str">
        <f>IF(C4060="","",IFERROR(INDEX(art_unit,MATCH(C4060,art_ref,0))&amp;"",""))</f>
        <v/>
      </c>
      <c r="G4060" s="37" t="n"/>
      <c r="H4060" s="37" t="n"/>
      <c r="I4060" s="37" t="n"/>
      <c r="J4060" s="40" t="str">
        <f>IF(OR(C4060="",NOT(ISNUMBER(E4060))),"",IFERROR(E4060*N(INDEX(art_price,MATCH(C4060,art_ref,0))),""))</f>
        <v/>
      </c>
      <c r="K4060" s="39" t="str">
        <f>IF(OR(C4060="",NOT(ISNUMBER(E4060))),"",IFERROR(ROUND(N(INDEX(art_init,MATCH(C4060,art_ref,0)))+SUMIFS($E$5:E4060,$C$5:C4060,C4060,$B$5:B4060,"Entrée")-SUMIFS($E$5:E4060,$C$5:C4060,C4060,$B$5:B4060,"Sortie"),6),""))</f>
        <v/>
      </c>
      <c r="L4060" s="39" t="str">
        <f>IF(COUNTA(A4060:C4060,E4060)=0,"",IF(COUNTA(A4060:C4060,E4060)&lt;4,"Ligne incomplète",IF(NOT(ISNUMBER(A4060)),"Date invalide",IF(AND(B4060&lt;&gt;"Entrée",B4060&lt;&gt;"Sortie"),"Type inconnu",IF(ISNA(MATCH(C4060,art_ref,0)),"Référence inconnue",IF(OR(NOT(ISNUMBER(E4060)),N(E4060)&lt;=0),"Quantité invalide",IF(K4060&lt;0,"Stock négatif",IF(AND(ISNUMBER(A4059),A4060&lt;A4059),"Date hors ordre","OK"))))))))</f>
        <v/>
      </c>
      <c r="M4060" s="39" t="str">
        <f>IF(C4060="","",C4060&amp;"#"&amp;COUNTIF($C$5:C4060,C4060))</f>
        <v/>
      </c>
    </row>
    <row r="4061">
      <c r="A4061" s="41" t="n"/>
      <c r="B4061" s="37" t="n"/>
      <c r="C4061" s="37" t="n"/>
      <c r="D4061" s="39" t="str">
        <f>IF(C4061="","",IFERROR(INDEX(art_des,MATCH(C4061,art_ref,0))&amp;"","Référence inconnue"))</f>
        <v/>
      </c>
      <c r="E4061" s="37" t="n"/>
      <c r="F4061" s="39" t="str">
        <f>IF(C4061="","",IFERROR(INDEX(art_unit,MATCH(C4061,art_ref,0))&amp;"",""))</f>
        <v/>
      </c>
      <c r="G4061" s="37" t="n"/>
      <c r="H4061" s="37" t="n"/>
      <c r="I4061" s="37" t="n"/>
      <c r="J4061" s="40" t="str">
        <f>IF(OR(C4061="",NOT(ISNUMBER(E4061))),"",IFERROR(E4061*N(INDEX(art_price,MATCH(C4061,art_ref,0))),""))</f>
        <v/>
      </c>
      <c r="K4061" s="39" t="str">
        <f>IF(OR(C4061="",NOT(ISNUMBER(E4061))),"",IFERROR(ROUND(N(INDEX(art_init,MATCH(C4061,art_ref,0)))+SUMIFS($E$5:E4061,$C$5:C4061,C4061,$B$5:B4061,"Entrée")-SUMIFS($E$5:E4061,$C$5:C4061,C4061,$B$5:B4061,"Sortie"),6),""))</f>
        <v/>
      </c>
      <c r="L4061" s="39" t="str">
        <f>IF(COUNTA(A4061:C4061,E4061)=0,"",IF(COUNTA(A4061:C4061,E4061)&lt;4,"Ligne incomplète",IF(NOT(ISNUMBER(A4061)),"Date invalide",IF(AND(B4061&lt;&gt;"Entrée",B4061&lt;&gt;"Sortie"),"Type inconnu",IF(ISNA(MATCH(C4061,art_ref,0)),"Référence inconnue",IF(OR(NOT(ISNUMBER(E4061)),N(E4061)&lt;=0),"Quantité invalide",IF(K4061&lt;0,"Stock négatif",IF(AND(ISNUMBER(A4060),A4061&lt;A4060),"Date hors ordre","OK"))))))))</f>
        <v/>
      </c>
      <c r="M4061" s="39" t="str">
        <f>IF(C4061="","",C4061&amp;"#"&amp;COUNTIF($C$5:C4061,C4061))</f>
        <v/>
      </c>
    </row>
    <row r="4062">
      <c r="A4062" s="41" t="n"/>
      <c r="B4062" s="37" t="n"/>
      <c r="C4062" s="37" t="n"/>
      <c r="D4062" s="39" t="str">
        <f>IF(C4062="","",IFERROR(INDEX(art_des,MATCH(C4062,art_ref,0))&amp;"","Référence inconnue"))</f>
        <v/>
      </c>
      <c r="E4062" s="37" t="n"/>
      <c r="F4062" s="39" t="str">
        <f>IF(C4062="","",IFERROR(INDEX(art_unit,MATCH(C4062,art_ref,0))&amp;"",""))</f>
        <v/>
      </c>
      <c r="G4062" s="37" t="n"/>
      <c r="H4062" s="37" t="n"/>
      <c r="I4062" s="37" t="n"/>
      <c r="J4062" s="40" t="str">
        <f>IF(OR(C4062="",NOT(ISNUMBER(E4062))),"",IFERROR(E4062*N(INDEX(art_price,MATCH(C4062,art_ref,0))),""))</f>
        <v/>
      </c>
      <c r="K4062" s="39" t="str">
        <f>IF(OR(C4062="",NOT(ISNUMBER(E4062))),"",IFERROR(ROUND(N(INDEX(art_init,MATCH(C4062,art_ref,0)))+SUMIFS($E$5:E4062,$C$5:C4062,C4062,$B$5:B4062,"Entrée")-SUMIFS($E$5:E4062,$C$5:C4062,C4062,$B$5:B4062,"Sortie"),6),""))</f>
        <v/>
      </c>
      <c r="L4062" s="39" t="str">
        <f>IF(COUNTA(A4062:C4062,E4062)=0,"",IF(COUNTA(A4062:C4062,E4062)&lt;4,"Ligne incomplète",IF(NOT(ISNUMBER(A4062)),"Date invalide",IF(AND(B4062&lt;&gt;"Entrée",B4062&lt;&gt;"Sortie"),"Type inconnu",IF(ISNA(MATCH(C4062,art_ref,0)),"Référence inconnue",IF(OR(NOT(ISNUMBER(E4062)),N(E4062)&lt;=0),"Quantité invalide",IF(K4062&lt;0,"Stock négatif",IF(AND(ISNUMBER(A4061),A4062&lt;A4061),"Date hors ordre","OK"))))))))</f>
        <v/>
      </c>
      <c r="M4062" s="39" t="str">
        <f>IF(C4062="","",C4062&amp;"#"&amp;COUNTIF($C$5:C4062,C4062))</f>
        <v/>
      </c>
    </row>
    <row r="4063">
      <c r="A4063" s="41" t="n"/>
      <c r="B4063" s="37" t="n"/>
      <c r="C4063" s="37" t="n"/>
      <c r="D4063" s="39" t="str">
        <f>IF(C4063="","",IFERROR(INDEX(art_des,MATCH(C4063,art_ref,0))&amp;"","Référence inconnue"))</f>
        <v/>
      </c>
      <c r="E4063" s="37" t="n"/>
      <c r="F4063" s="39" t="str">
        <f>IF(C4063="","",IFERROR(INDEX(art_unit,MATCH(C4063,art_ref,0))&amp;"",""))</f>
        <v/>
      </c>
      <c r="G4063" s="37" t="n"/>
      <c r="H4063" s="37" t="n"/>
      <c r="I4063" s="37" t="n"/>
      <c r="J4063" s="40" t="str">
        <f>IF(OR(C4063="",NOT(ISNUMBER(E4063))),"",IFERROR(E4063*N(INDEX(art_price,MATCH(C4063,art_ref,0))),""))</f>
        <v/>
      </c>
      <c r="K4063" s="39" t="str">
        <f>IF(OR(C4063="",NOT(ISNUMBER(E4063))),"",IFERROR(ROUND(N(INDEX(art_init,MATCH(C4063,art_ref,0)))+SUMIFS($E$5:E4063,$C$5:C4063,C4063,$B$5:B4063,"Entrée")-SUMIFS($E$5:E4063,$C$5:C4063,C4063,$B$5:B4063,"Sortie"),6),""))</f>
        <v/>
      </c>
      <c r="L4063" s="39" t="str">
        <f>IF(COUNTA(A4063:C4063,E4063)=0,"",IF(COUNTA(A4063:C4063,E4063)&lt;4,"Ligne incomplète",IF(NOT(ISNUMBER(A4063)),"Date invalide",IF(AND(B4063&lt;&gt;"Entrée",B4063&lt;&gt;"Sortie"),"Type inconnu",IF(ISNA(MATCH(C4063,art_ref,0)),"Référence inconnue",IF(OR(NOT(ISNUMBER(E4063)),N(E4063)&lt;=0),"Quantité invalide",IF(K4063&lt;0,"Stock négatif",IF(AND(ISNUMBER(A4062),A4063&lt;A4062),"Date hors ordre","OK"))))))))</f>
        <v/>
      </c>
      <c r="M4063" s="39" t="str">
        <f>IF(C4063="","",C4063&amp;"#"&amp;COUNTIF($C$5:C4063,C4063))</f>
        <v/>
      </c>
    </row>
    <row r="4064">
      <c r="A4064" s="41" t="n"/>
      <c r="B4064" s="37" t="n"/>
      <c r="C4064" s="37" t="n"/>
      <c r="D4064" s="39" t="str">
        <f>IF(C4064="","",IFERROR(INDEX(art_des,MATCH(C4064,art_ref,0))&amp;"","Référence inconnue"))</f>
        <v/>
      </c>
      <c r="E4064" s="37" t="n"/>
      <c r="F4064" s="39" t="str">
        <f>IF(C4064="","",IFERROR(INDEX(art_unit,MATCH(C4064,art_ref,0))&amp;"",""))</f>
        <v/>
      </c>
      <c r="G4064" s="37" t="n"/>
      <c r="H4064" s="37" t="n"/>
      <c r="I4064" s="37" t="n"/>
      <c r="J4064" s="40" t="str">
        <f>IF(OR(C4064="",NOT(ISNUMBER(E4064))),"",IFERROR(E4064*N(INDEX(art_price,MATCH(C4064,art_ref,0))),""))</f>
        <v/>
      </c>
      <c r="K4064" s="39" t="str">
        <f>IF(OR(C4064="",NOT(ISNUMBER(E4064))),"",IFERROR(ROUND(N(INDEX(art_init,MATCH(C4064,art_ref,0)))+SUMIFS($E$5:E4064,$C$5:C4064,C4064,$B$5:B4064,"Entrée")-SUMIFS($E$5:E4064,$C$5:C4064,C4064,$B$5:B4064,"Sortie"),6),""))</f>
        <v/>
      </c>
      <c r="L4064" s="39" t="str">
        <f>IF(COUNTA(A4064:C4064,E4064)=0,"",IF(COUNTA(A4064:C4064,E4064)&lt;4,"Ligne incomplète",IF(NOT(ISNUMBER(A4064)),"Date invalide",IF(AND(B4064&lt;&gt;"Entrée",B4064&lt;&gt;"Sortie"),"Type inconnu",IF(ISNA(MATCH(C4064,art_ref,0)),"Référence inconnue",IF(OR(NOT(ISNUMBER(E4064)),N(E4064)&lt;=0),"Quantité invalide",IF(K4064&lt;0,"Stock négatif",IF(AND(ISNUMBER(A4063),A4064&lt;A4063),"Date hors ordre","OK"))))))))</f>
        <v/>
      </c>
      <c r="M4064" s="39" t="str">
        <f>IF(C4064="","",C4064&amp;"#"&amp;COUNTIF($C$5:C4064,C4064))</f>
        <v/>
      </c>
    </row>
    <row r="4065">
      <c r="A4065" s="41" t="n"/>
      <c r="B4065" s="37" t="n"/>
      <c r="C4065" s="37" t="n"/>
      <c r="D4065" s="39" t="str">
        <f>IF(C4065="","",IFERROR(INDEX(art_des,MATCH(C4065,art_ref,0))&amp;"","Référence inconnue"))</f>
        <v/>
      </c>
      <c r="E4065" s="37" t="n"/>
      <c r="F4065" s="39" t="str">
        <f>IF(C4065="","",IFERROR(INDEX(art_unit,MATCH(C4065,art_ref,0))&amp;"",""))</f>
        <v/>
      </c>
      <c r="G4065" s="37" t="n"/>
      <c r="H4065" s="37" t="n"/>
      <c r="I4065" s="37" t="n"/>
      <c r="J4065" s="40" t="str">
        <f>IF(OR(C4065="",NOT(ISNUMBER(E4065))),"",IFERROR(E4065*N(INDEX(art_price,MATCH(C4065,art_ref,0))),""))</f>
        <v/>
      </c>
      <c r="K4065" s="39" t="str">
        <f>IF(OR(C4065="",NOT(ISNUMBER(E4065))),"",IFERROR(ROUND(N(INDEX(art_init,MATCH(C4065,art_ref,0)))+SUMIFS($E$5:E4065,$C$5:C4065,C4065,$B$5:B4065,"Entrée")-SUMIFS($E$5:E4065,$C$5:C4065,C4065,$B$5:B4065,"Sortie"),6),""))</f>
        <v/>
      </c>
      <c r="L4065" s="39" t="str">
        <f>IF(COUNTA(A4065:C4065,E4065)=0,"",IF(COUNTA(A4065:C4065,E4065)&lt;4,"Ligne incomplète",IF(NOT(ISNUMBER(A4065)),"Date invalide",IF(AND(B4065&lt;&gt;"Entrée",B4065&lt;&gt;"Sortie"),"Type inconnu",IF(ISNA(MATCH(C4065,art_ref,0)),"Référence inconnue",IF(OR(NOT(ISNUMBER(E4065)),N(E4065)&lt;=0),"Quantité invalide",IF(K4065&lt;0,"Stock négatif",IF(AND(ISNUMBER(A4064),A4065&lt;A4064),"Date hors ordre","OK"))))))))</f>
        <v/>
      </c>
      <c r="M4065" s="39" t="str">
        <f>IF(C4065="","",C4065&amp;"#"&amp;COUNTIF($C$5:C4065,C4065))</f>
        <v/>
      </c>
    </row>
    <row r="4066">
      <c r="A4066" s="41" t="n"/>
      <c r="B4066" s="37" t="n"/>
      <c r="C4066" s="37" t="n"/>
      <c r="D4066" s="39" t="str">
        <f>IF(C4066="","",IFERROR(INDEX(art_des,MATCH(C4066,art_ref,0))&amp;"","Référence inconnue"))</f>
        <v/>
      </c>
      <c r="E4066" s="37" t="n"/>
      <c r="F4066" s="39" t="str">
        <f>IF(C4066="","",IFERROR(INDEX(art_unit,MATCH(C4066,art_ref,0))&amp;"",""))</f>
        <v/>
      </c>
      <c r="G4066" s="37" t="n"/>
      <c r="H4066" s="37" t="n"/>
      <c r="I4066" s="37" t="n"/>
      <c r="J4066" s="40" t="str">
        <f>IF(OR(C4066="",NOT(ISNUMBER(E4066))),"",IFERROR(E4066*N(INDEX(art_price,MATCH(C4066,art_ref,0))),""))</f>
        <v/>
      </c>
      <c r="K4066" s="39" t="str">
        <f>IF(OR(C4066="",NOT(ISNUMBER(E4066))),"",IFERROR(ROUND(N(INDEX(art_init,MATCH(C4066,art_ref,0)))+SUMIFS($E$5:E4066,$C$5:C4066,C4066,$B$5:B4066,"Entrée")-SUMIFS($E$5:E4066,$C$5:C4066,C4066,$B$5:B4066,"Sortie"),6),""))</f>
        <v/>
      </c>
      <c r="L4066" s="39" t="str">
        <f>IF(COUNTA(A4066:C4066,E4066)=0,"",IF(COUNTA(A4066:C4066,E4066)&lt;4,"Ligne incomplète",IF(NOT(ISNUMBER(A4066)),"Date invalide",IF(AND(B4066&lt;&gt;"Entrée",B4066&lt;&gt;"Sortie"),"Type inconnu",IF(ISNA(MATCH(C4066,art_ref,0)),"Référence inconnue",IF(OR(NOT(ISNUMBER(E4066)),N(E4066)&lt;=0),"Quantité invalide",IF(K4066&lt;0,"Stock négatif",IF(AND(ISNUMBER(A4065),A4066&lt;A4065),"Date hors ordre","OK"))))))))</f>
        <v/>
      </c>
      <c r="M4066" s="39" t="str">
        <f>IF(C4066="","",C4066&amp;"#"&amp;COUNTIF($C$5:C4066,C4066))</f>
        <v/>
      </c>
    </row>
    <row r="4067">
      <c r="A4067" s="41" t="n"/>
      <c r="B4067" s="37" t="n"/>
      <c r="C4067" s="37" t="n"/>
      <c r="D4067" s="39" t="str">
        <f>IF(C4067="","",IFERROR(INDEX(art_des,MATCH(C4067,art_ref,0))&amp;"","Référence inconnue"))</f>
        <v/>
      </c>
      <c r="E4067" s="37" t="n"/>
      <c r="F4067" s="39" t="str">
        <f>IF(C4067="","",IFERROR(INDEX(art_unit,MATCH(C4067,art_ref,0))&amp;"",""))</f>
        <v/>
      </c>
      <c r="G4067" s="37" t="n"/>
      <c r="H4067" s="37" t="n"/>
      <c r="I4067" s="37" t="n"/>
      <c r="J4067" s="40" t="str">
        <f>IF(OR(C4067="",NOT(ISNUMBER(E4067))),"",IFERROR(E4067*N(INDEX(art_price,MATCH(C4067,art_ref,0))),""))</f>
        <v/>
      </c>
      <c r="K4067" s="39" t="str">
        <f>IF(OR(C4067="",NOT(ISNUMBER(E4067))),"",IFERROR(ROUND(N(INDEX(art_init,MATCH(C4067,art_ref,0)))+SUMIFS($E$5:E4067,$C$5:C4067,C4067,$B$5:B4067,"Entrée")-SUMIFS($E$5:E4067,$C$5:C4067,C4067,$B$5:B4067,"Sortie"),6),""))</f>
        <v/>
      </c>
      <c r="L4067" s="39" t="str">
        <f>IF(COUNTA(A4067:C4067,E4067)=0,"",IF(COUNTA(A4067:C4067,E4067)&lt;4,"Ligne incomplète",IF(NOT(ISNUMBER(A4067)),"Date invalide",IF(AND(B4067&lt;&gt;"Entrée",B4067&lt;&gt;"Sortie"),"Type inconnu",IF(ISNA(MATCH(C4067,art_ref,0)),"Référence inconnue",IF(OR(NOT(ISNUMBER(E4067)),N(E4067)&lt;=0),"Quantité invalide",IF(K4067&lt;0,"Stock négatif",IF(AND(ISNUMBER(A4066),A4067&lt;A4066),"Date hors ordre","OK"))))))))</f>
        <v/>
      </c>
      <c r="M4067" s="39" t="str">
        <f>IF(C4067="","",C4067&amp;"#"&amp;COUNTIF($C$5:C4067,C4067))</f>
        <v/>
      </c>
    </row>
    <row r="4068">
      <c r="A4068" s="41" t="n"/>
      <c r="B4068" s="37" t="n"/>
      <c r="C4068" s="37" t="n"/>
      <c r="D4068" s="39" t="str">
        <f>IF(C4068="","",IFERROR(INDEX(art_des,MATCH(C4068,art_ref,0))&amp;"","Référence inconnue"))</f>
        <v/>
      </c>
      <c r="E4068" s="37" t="n"/>
      <c r="F4068" s="39" t="str">
        <f>IF(C4068="","",IFERROR(INDEX(art_unit,MATCH(C4068,art_ref,0))&amp;"",""))</f>
        <v/>
      </c>
      <c r="G4068" s="37" t="n"/>
      <c r="H4068" s="37" t="n"/>
      <c r="I4068" s="37" t="n"/>
      <c r="J4068" s="40" t="str">
        <f>IF(OR(C4068="",NOT(ISNUMBER(E4068))),"",IFERROR(E4068*N(INDEX(art_price,MATCH(C4068,art_ref,0))),""))</f>
        <v/>
      </c>
      <c r="K4068" s="39" t="str">
        <f>IF(OR(C4068="",NOT(ISNUMBER(E4068))),"",IFERROR(ROUND(N(INDEX(art_init,MATCH(C4068,art_ref,0)))+SUMIFS($E$5:E4068,$C$5:C4068,C4068,$B$5:B4068,"Entrée")-SUMIFS($E$5:E4068,$C$5:C4068,C4068,$B$5:B4068,"Sortie"),6),""))</f>
        <v/>
      </c>
      <c r="L4068" s="39" t="str">
        <f>IF(COUNTA(A4068:C4068,E4068)=0,"",IF(COUNTA(A4068:C4068,E4068)&lt;4,"Ligne incomplète",IF(NOT(ISNUMBER(A4068)),"Date invalide",IF(AND(B4068&lt;&gt;"Entrée",B4068&lt;&gt;"Sortie"),"Type inconnu",IF(ISNA(MATCH(C4068,art_ref,0)),"Référence inconnue",IF(OR(NOT(ISNUMBER(E4068)),N(E4068)&lt;=0),"Quantité invalide",IF(K4068&lt;0,"Stock négatif",IF(AND(ISNUMBER(A4067),A4068&lt;A4067),"Date hors ordre","OK"))))))))</f>
        <v/>
      </c>
      <c r="M4068" s="39" t="str">
        <f>IF(C4068="","",C4068&amp;"#"&amp;COUNTIF($C$5:C4068,C4068))</f>
        <v/>
      </c>
    </row>
    <row r="4069">
      <c r="A4069" s="41" t="n"/>
      <c r="B4069" s="37" t="n"/>
      <c r="C4069" s="37" t="n"/>
      <c r="D4069" s="39" t="str">
        <f>IF(C4069="","",IFERROR(INDEX(art_des,MATCH(C4069,art_ref,0))&amp;"","Référence inconnue"))</f>
        <v/>
      </c>
      <c r="E4069" s="37" t="n"/>
      <c r="F4069" s="39" t="str">
        <f>IF(C4069="","",IFERROR(INDEX(art_unit,MATCH(C4069,art_ref,0))&amp;"",""))</f>
        <v/>
      </c>
      <c r="G4069" s="37" t="n"/>
      <c r="H4069" s="37" t="n"/>
      <c r="I4069" s="37" t="n"/>
      <c r="J4069" s="40" t="str">
        <f>IF(OR(C4069="",NOT(ISNUMBER(E4069))),"",IFERROR(E4069*N(INDEX(art_price,MATCH(C4069,art_ref,0))),""))</f>
        <v/>
      </c>
      <c r="K4069" s="39" t="str">
        <f>IF(OR(C4069="",NOT(ISNUMBER(E4069))),"",IFERROR(ROUND(N(INDEX(art_init,MATCH(C4069,art_ref,0)))+SUMIFS($E$5:E4069,$C$5:C4069,C4069,$B$5:B4069,"Entrée")-SUMIFS($E$5:E4069,$C$5:C4069,C4069,$B$5:B4069,"Sortie"),6),""))</f>
        <v/>
      </c>
      <c r="L4069" s="39" t="str">
        <f>IF(COUNTA(A4069:C4069,E4069)=0,"",IF(COUNTA(A4069:C4069,E4069)&lt;4,"Ligne incomplète",IF(NOT(ISNUMBER(A4069)),"Date invalide",IF(AND(B4069&lt;&gt;"Entrée",B4069&lt;&gt;"Sortie"),"Type inconnu",IF(ISNA(MATCH(C4069,art_ref,0)),"Référence inconnue",IF(OR(NOT(ISNUMBER(E4069)),N(E4069)&lt;=0),"Quantité invalide",IF(K4069&lt;0,"Stock négatif",IF(AND(ISNUMBER(A4068),A4069&lt;A4068),"Date hors ordre","OK"))))))))</f>
        <v/>
      </c>
      <c r="M4069" s="39" t="str">
        <f>IF(C4069="","",C4069&amp;"#"&amp;COUNTIF($C$5:C4069,C4069))</f>
        <v/>
      </c>
    </row>
    <row r="4070">
      <c r="A4070" s="41" t="n"/>
      <c r="B4070" s="37" t="n"/>
      <c r="C4070" s="37" t="n"/>
      <c r="D4070" s="39" t="str">
        <f>IF(C4070="","",IFERROR(INDEX(art_des,MATCH(C4070,art_ref,0))&amp;"","Référence inconnue"))</f>
        <v/>
      </c>
      <c r="E4070" s="37" t="n"/>
      <c r="F4070" s="39" t="str">
        <f>IF(C4070="","",IFERROR(INDEX(art_unit,MATCH(C4070,art_ref,0))&amp;"",""))</f>
        <v/>
      </c>
      <c r="G4070" s="37" t="n"/>
      <c r="H4070" s="37" t="n"/>
      <c r="I4070" s="37" t="n"/>
      <c r="J4070" s="40" t="str">
        <f>IF(OR(C4070="",NOT(ISNUMBER(E4070))),"",IFERROR(E4070*N(INDEX(art_price,MATCH(C4070,art_ref,0))),""))</f>
        <v/>
      </c>
      <c r="K4070" s="39" t="str">
        <f>IF(OR(C4070="",NOT(ISNUMBER(E4070))),"",IFERROR(ROUND(N(INDEX(art_init,MATCH(C4070,art_ref,0)))+SUMIFS($E$5:E4070,$C$5:C4070,C4070,$B$5:B4070,"Entrée")-SUMIFS($E$5:E4070,$C$5:C4070,C4070,$B$5:B4070,"Sortie"),6),""))</f>
        <v/>
      </c>
      <c r="L4070" s="39" t="str">
        <f>IF(COUNTA(A4070:C4070,E4070)=0,"",IF(COUNTA(A4070:C4070,E4070)&lt;4,"Ligne incomplète",IF(NOT(ISNUMBER(A4070)),"Date invalide",IF(AND(B4070&lt;&gt;"Entrée",B4070&lt;&gt;"Sortie"),"Type inconnu",IF(ISNA(MATCH(C4070,art_ref,0)),"Référence inconnue",IF(OR(NOT(ISNUMBER(E4070)),N(E4070)&lt;=0),"Quantité invalide",IF(K4070&lt;0,"Stock négatif",IF(AND(ISNUMBER(A4069),A4070&lt;A4069),"Date hors ordre","OK"))))))))</f>
        <v/>
      </c>
      <c r="M4070" s="39" t="str">
        <f>IF(C4070="","",C4070&amp;"#"&amp;COUNTIF($C$5:C4070,C4070))</f>
        <v/>
      </c>
    </row>
    <row r="4071">
      <c r="A4071" s="41" t="n"/>
      <c r="B4071" s="37" t="n"/>
      <c r="C4071" s="37" t="n"/>
      <c r="D4071" s="39" t="str">
        <f>IF(C4071="","",IFERROR(INDEX(art_des,MATCH(C4071,art_ref,0))&amp;"","Référence inconnue"))</f>
        <v/>
      </c>
      <c r="E4071" s="37" t="n"/>
      <c r="F4071" s="39" t="str">
        <f>IF(C4071="","",IFERROR(INDEX(art_unit,MATCH(C4071,art_ref,0))&amp;"",""))</f>
        <v/>
      </c>
      <c r="G4071" s="37" t="n"/>
      <c r="H4071" s="37" t="n"/>
      <c r="I4071" s="37" t="n"/>
      <c r="J4071" s="40" t="str">
        <f>IF(OR(C4071="",NOT(ISNUMBER(E4071))),"",IFERROR(E4071*N(INDEX(art_price,MATCH(C4071,art_ref,0))),""))</f>
        <v/>
      </c>
      <c r="K4071" s="39" t="str">
        <f>IF(OR(C4071="",NOT(ISNUMBER(E4071))),"",IFERROR(ROUND(N(INDEX(art_init,MATCH(C4071,art_ref,0)))+SUMIFS($E$5:E4071,$C$5:C4071,C4071,$B$5:B4071,"Entrée")-SUMIFS($E$5:E4071,$C$5:C4071,C4071,$B$5:B4071,"Sortie"),6),""))</f>
        <v/>
      </c>
      <c r="L4071" s="39" t="str">
        <f>IF(COUNTA(A4071:C4071,E4071)=0,"",IF(COUNTA(A4071:C4071,E4071)&lt;4,"Ligne incomplète",IF(NOT(ISNUMBER(A4071)),"Date invalide",IF(AND(B4071&lt;&gt;"Entrée",B4071&lt;&gt;"Sortie"),"Type inconnu",IF(ISNA(MATCH(C4071,art_ref,0)),"Référence inconnue",IF(OR(NOT(ISNUMBER(E4071)),N(E4071)&lt;=0),"Quantité invalide",IF(K4071&lt;0,"Stock négatif",IF(AND(ISNUMBER(A4070),A4071&lt;A4070),"Date hors ordre","OK"))))))))</f>
        <v/>
      </c>
      <c r="M4071" s="39" t="str">
        <f>IF(C4071="","",C4071&amp;"#"&amp;COUNTIF($C$5:C4071,C4071))</f>
        <v/>
      </c>
    </row>
    <row r="4072">
      <c r="A4072" s="41" t="n"/>
      <c r="B4072" s="37" t="n"/>
      <c r="C4072" s="37" t="n"/>
      <c r="D4072" s="39" t="str">
        <f>IF(C4072="","",IFERROR(INDEX(art_des,MATCH(C4072,art_ref,0))&amp;"","Référence inconnue"))</f>
        <v/>
      </c>
      <c r="E4072" s="37" t="n"/>
      <c r="F4072" s="39" t="str">
        <f>IF(C4072="","",IFERROR(INDEX(art_unit,MATCH(C4072,art_ref,0))&amp;"",""))</f>
        <v/>
      </c>
      <c r="G4072" s="37" t="n"/>
      <c r="H4072" s="37" t="n"/>
      <c r="I4072" s="37" t="n"/>
      <c r="J4072" s="40" t="str">
        <f>IF(OR(C4072="",NOT(ISNUMBER(E4072))),"",IFERROR(E4072*N(INDEX(art_price,MATCH(C4072,art_ref,0))),""))</f>
        <v/>
      </c>
      <c r="K4072" s="39" t="str">
        <f>IF(OR(C4072="",NOT(ISNUMBER(E4072))),"",IFERROR(ROUND(N(INDEX(art_init,MATCH(C4072,art_ref,0)))+SUMIFS($E$5:E4072,$C$5:C4072,C4072,$B$5:B4072,"Entrée")-SUMIFS($E$5:E4072,$C$5:C4072,C4072,$B$5:B4072,"Sortie"),6),""))</f>
        <v/>
      </c>
      <c r="L4072" s="39" t="str">
        <f>IF(COUNTA(A4072:C4072,E4072)=0,"",IF(COUNTA(A4072:C4072,E4072)&lt;4,"Ligne incomplète",IF(NOT(ISNUMBER(A4072)),"Date invalide",IF(AND(B4072&lt;&gt;"Entrée",B4072&lt;&gt;"Sortie"),"Type inconnu",IF(ISNA(MATCH(C4072,art_ref,0)),"Référence inconnue",IF(OR(NOT(ISNUMBER(E4072)),N(E4072)&lt;=0),"Quantité invalide",IF(K4072&lt;0,"Stock négatif",IF(AND(ISNUMBER(A4071),A4072&lt;A4071),"Date hors ordre","OK"))))))))</f>
        <v/>
      </c>
      <c r="M4072" s="39" t="str">
        <f>IF(C4072="","",C4072&amp;"#"&amp;COUNTIF($C$5:C4072,C4072))</f>
        <v/>
      </c>
    </row>
    <row r="4073">
      <c r="A4073" s="41" t="n"/>
      <c r="B4073" s="37" t="n"/>
      <c r="C4073" s="37" t="n"/>
      <c r="D4073" s="39" t="str">
        <f>IF(C4073="","",IFERROR(INDEX(art_des,MATCH(C4073,art_ref,0))&amp;"","Référence inconnue"))</f>
        <v/>
      </c>
      <c r="E4073" s="37" t="n"/>
      <c r="F4073" s="39" t="str">
        <f>IF(C4073="","",IFERROR(INDEX(art_unit,MATCH(C4073,art_ref,0))&amp;"",""))</f>
        <v/>
      </c>
      <c r="G4073" s="37" t="n"/>
      <c r="H4073" s="37" t="n"/>
      <c r="I4073" s="37" t="n"/>
      <c r="J4073" s="40" t="str">
        <f>IF(OR(C4073="",NOT(ISNUMBER(E4073))),"",IFERROR(E4073*N(INDEX(art_price,MATCH(C4073,art_ref,0))),""))</f>
        <v/>
      </c>
      <c r="K4073" s="39" t="str">
        <f>IF(OR(C4073="",NOT(ISNUMBER(E4073))),"",IFERROR(ROUND(N(INDEX(art_init,MATCH(C4073,art_ref,0)))+SUMIFS($E$5:E4073,$C$5:C4073,C4073,$B$5:B4073,"Entrée")-SUMIFS($E$5:E4073,$C$5:C4073,C4073,$B$5:B4073,"Sortie"),6),""))</f>
        <v/>
      </c>
      <c r="L4073" s="39" t="str">
        <f>IF(COUNTA(A4073:C4073,E4073)=0,"",IF(COUNTA(A4073:C4073,E4073)&lt;4,"Ligne incomplète",IF(NOT(ISNUMBER(A4073)),"Date invalide",IF(AND(B4073&lt;&gt;"Entrée",B4073&lt;&gt;"Sortie"),"Type inconnu",IF(ISNA(MATCH(C4073,art_ref,0)),"Référence inconnue",IF(OR(NOT(ISNUMBER(E4073)),N(E4073)&lt;=0),"Quantité invalide",IF(K4073&lt;0,"Stock négatif",IF(AND(ISNUMBER(A4072),A4073&lt;A4072),"Date hors ordre","OK"))))))))</f>
        <v/>
      </c>
      <c r="M4073" s="39" t="str">
        <f>IF(C4073="","",C4073&amp;"#"&amp;COUNTIF($C$5:C4073,C4073))</f>
        <v/>
      </c>
    </row>
    <row r="4074">
      <c r="A4074" s="41" t="n"/>
      <c r="B4074" s="37" t="n"/>
      <c r="C4074" s="37" t="n"/>
      <c r="D4074" s="39" t="str">
        <f>IF(C4074="","",IFERROR(INDEX(art_des,MATCH(C4074,art_ref,0))&amp;"","Référence inconnue"))</f>
        <v/>
      </c>
      <c r="E4074" s="37" t="n"/>
      <c r="F4074" s="39" t="str">
        <f>IF(C4074="","",IFERROR(INDEX(art_unit,MATCH(C4074,art_ref,0))&amp;"",""))</f>
        <v/>
      </c>
      <c r="G4074" s="37" t="n"/>
      <c r="H4074" s="37" t="n"/>
      <c r="I4074" s="37" t="n"/>
      <c r="J4074" s="40" t="str">
        <f>IF(OR(C4074="",NOT(ISNUMBER(E4074))),"",IFERROR(E4074*N(INDEX(art_price,MATCH(C4074,art_ref,0))),""))</f>
        <v/>
      </c>
      <c r="K4074" s="39" t="str">
        <f>IF(OR(C4074="",NOT(ISNUMBER(E4074))),"",IFERROR(ROUND(N(INDEX(art_init,MATCH(C4074,art_ref,0)))+SUMIFS($E$5:E4074,$C$5:C4074,C4074,$B$5:B4074,"Entrée")-SUMIFS($E$5:E4074,$C$5:C4074,C4074,$B$5:B4074,"Sortie"),6),""))</f>
        <v/>
      </c>
      <c r="L4074" s="39" t="str">
        <f>IF(COUNTA(A4074:C4074,E4074)=0,"",IF(COUNTA(A4074:C4074,E4074)&lt;4,"Ligne incomplète",IF(NOT(ISNUMBER(A4074)),"Date invalide",IF(AND(B4074&lt;&gt;"Entrée",B4074&lt;&gt;"Sortie"),"Type inconnu",IF(ISNA(MATCH(C4074,art_ref,0)),"Référence inconnue",IF(OR(NOT(ISNUMBER(E4074)),N(E4074)&lt;=0),"Quantité invalide",IF(K4074&lt;0,"Stock négatif",IF(AND(ISNUMBER(A4073),A4074&lt;A4073),"Date hors ordre","OK"))))))))</f>
        <v/>
      </c>
      <c r="M4074" s="39" t="str">
        <f>IF(C4074="","",C4074&amp;"#"&amp;COUNTIF($C$5:C4074,C4074))</f>
        <v/>
      </c>
    </row>
    <row r="4075">
      <c r="A4075" s="41" t="n"/>
      <c r="B4075" s="37" t="n"/>
      <c r="C4075" s="37" t="n"/>
      <c r="D4075" s="39" t="str">
        <f>IF(C4075="","",IFERROR(INDEX(art_des,MATCH(C4075,art_ref,0))&amp;"","Référence inconnue"))</f>
        <v/>
      </c>
      <c r="E4075" s="37" t="n"/>
      <c r="F4075" s="39" t="str">
        <f>IF(C4075="","",IFERROR(INDEX(art_unit,MATCH(C4075,art_ref,0))&amp;"",""))</f>
        <v/>
      </c>
      <c r="G4075" s="37" t="n"/>
      <c r="H4075" s="37" t="n"/>
      <c r="I4075" s="37" t="n"/>
      <c r="J4075" s="40" t="str">
        <f>IF(OR(C4075="",NOT(ISNUMBER(E4075))),"",IFERROR(E4075*N(INDEX(art_price,MATCH(C4075,art_ref,0))),""))</f>
        <v/>
      </c>
      <c r="K4075" s="39" t="str">
        <f>IF(OR(C4075="",NOT(ISNUMBER(E4075))),"",IFERROR(ROUND(N(INDEX(art_init,MATCH(C4075,art_ref,0)))+SUMIFS($E$5:E4075,$C$5:C4075,C4075,$B$5:B4075,"Entrée")-SUMIFS($E$5:E4075,$C$5:C4075,C4075,$B$5:B4075,"Sortie"),6),""))</f>
        <v/>
      </c>
      <c r="L4075" s="39" t="str">
        <f>IF(COUNTA(A4075:C4075,E4075)=0,"",IF(COUNTA(A4075:C4075,E4075)&lt;4,"Ligne incomplète",IF(NOT(ISNUMBER(A4075)),"Date invalide",IF(AND(B4075&lt;&gt;"Entrée",B4075&lt;&gt;"Sortie"),"Type inconnu",IF(ISNA(MATCH(C4075,art_ref,0)),"Référence inconnue",IF(OR(NOT(ISNUMBER(E4075)),N(E4075)&lt;=0),"Quantité invalide",IF(K4075&lt;0,"Stock négatif",IF(AND(ISNUMBER(A4074),A4075&lt;A4074),"Date hors ordre","OK"))))))))</f>
        <v/>
      </c>
      <c r="M4075" s="39" t="str">
        <f>IF(C4075="","",C4075&amp;"#"&amp;COUNTIF($C$5:C4075,C4075))</f>
        <v/>
      </c>
    </row>
    <row r="4076">
      <c r="A4076" s="41" t="n"/>
      <c r="B4076" s="37" t="n"/>
      <c r="C4076" s="37" t="n"/>
      <c r="D4076" s="39" t="str">
        <f>IF(C4076="","",IFERROR(INDEX(art_des,MATCH(C4076,art_ref,0))&amp;"","Référence inconnue"))</f>
        <v/>
      </c>
      <c r="E4076" s="37" t="n"/>
      <c r="F4076" s="39" t="str">
        <f>IF(C4076="","",IFERROR(INDEX(art_unit,MATCH(C4076,art_ref,0))&amp;"",""))</f>
        <v/>
      </c>
      <c r="G4076" s="37" t="n"/>
      <c r="H4076" s="37" t="n"/>
      <c r="I4076" s="37" t="n"/>
      <c r="J4076" s="40" t="str">
        <f>IF(OR(C4076="",NOT(ISNUMBER(E4076))),"",IFERROR(E4076*N(INDEX(art_price,MATCH(C4076,art_ref,0))),""))</f>
        <v/>
      </c>
      <c r="K4076" s="39" t="str">
        <f>IF(OR(C4076="",NOT(ISNUMBER(E4076))),"",IFERROR(ROUND(N(INDEX(art_init,MATCH(C4076,art_ref,0)))+SUMIFS($E$5:E4076,$C$5:C4076,C4076,$B$5:B4076,"Entrée")-SUMIFS($E$5:E4076,$C$5:C4076,C4076,$B$5:B4076,"Sortie"),6),""))</f>
        <v/>
      </c>
      <c r="L4076" s="39" t="str">
        <f>IF(COUNTA(A4076:C4076,E4076)=0,"",IF(COUNTA(A4076:C4076,E4076)&lt;4,"Ligne incomplète",IF(NOT(ISNUMBER(A4076)),"Date invalide",IF(AND(B4076&lt;&gt;"Entrée",B4076&lt;&gt;"Sortie"),"Type inconnu",IF(ISNA(MATCH(C4076,art_ref,0)),"Référence inconnue",IF(OR(NOT(ISNUMBER(E4076)),N(E4076)&lt;=0),"Quantité invalide",IF(K4076&lt;0,"Stock négatif",IF(AND(ISNUMBER(A4075),A4076&lt;A4075),"Date hors ordre","OK"))))))))</f>
        <v/>
      </c>
      <c r="M4076" s="39" t="str">
        <f>IF(C4076="","",C4076&amp;"#"&amp;COUNTIF($C$5:C4076,C4076))</f>
        <v/>
      </c>
    </row>
    <row r="4077">
      <c r="A4077" s="41" t="n"/>
      <c r="B4077" s="37" t="n"/>
      <c r="C4077" s="37" t="n"/>
      <c r="D4077" s="39" t="str">
        <f>IF(C4077="","",IFERROR(INDEX(art_des,MATCH(C4077,art_ref,0))&amp;"","Référence inconnue"))</f>
        <v/>
      </c>
      <c r="E4077" s="37" t="n"/>
      <c r="F4077" s="39" t="str">
        <f>IF(C4077="","",IFERROR(INDEX(art_unit,MATCH(C4077,art_ref,0))&amp;"",""))</f>
        <v/>
      </c>
      <c r="G4077" s="37" t="n"/>
      <c r="H4077" s="37" t="n"/>
      <c r="I4077" s="37" t="n"/>
      <c r="J4077" s="40" t="str">
        <f>IF(OR(C4077="",NOT(ISNUMBER(E4077))),"",IFERROR(E4077*N(INDEX(art_price,MATCH(C4077,art_ref,0))),""))</f>
        <v/>
      </c>
      <c r="K4077" s="39" t="str">
        <f>IF(OR(C4077="",NOT(ISNUMBER(E4077))),"",IFERROR(ROUND(N(INDEX(art_init,MATCH(C4077,art_ref,0)))+SUMIFS($E$5:E4077,$C$5:C4077,C4077,$B$5:B4077,"Entrée")-SUMIFS($E$5:E4077,$C$5:C4077,C4077,$B$5:B4077,"Sortie"),6),""))</f>
        <v/>
      </c>
      <c r="L4077" s="39" t="str">
        <f>IF(COUNTA(A4077:C4077,E4077)=0,"",IF(COUNTA(A4077:C4077,E4077)&lt;4,"Ligne incomplète",IF(NOT(ISNUMBER(A4077)),"Date invalide",IF(AND(B4077&lt;&gt;"Entrée",B4077&lt;&gt;"Sortie"),"Type inconnu",IF(ISNA(MATCH(C4077,art_ref,0)),"Référence inconnue",IF(OR(NOT(ISNUMBER(E4077)),N(E4077)&lt;=0),"Quantité invalide",IF(K4077&lt;0,"Stock négatif",IF(AND(ISNUMBER(A4076),A4077&lt;A4076),"Date hors ordre","OK"))))))))</f>
        <v/>
      </c>
      <c r="M4077" s="39" t="str">
        <f>IF(C4077="","",C4077&amp;"#"&amp;COUNTIF($C$5:C4077,C4077))</f>
        <v/>
      </c>
    </row>
    <row r="4078">
      <c r="A4078" s="41" t="n"/>
      <c r="B4078" s="37" t="n"/>
      <c r="C4078" s="37" t="n"/>
      <c r="D4078" s="39" t="str">
        <f>IF(C4078="","",IFERROR(INDEX(art_des,MATCH(C4078,art_ref,0))&amp;"","Référence inconnue"))</f>
        <v/>
      </c>
      <c r="E4078" s="37" t="n"/>
      <c r="F4078" s="39" t="str">
        <f>IF(C4078="","",IFERROR(INDEX(art_unit,MATCH(C4078,art_ref,0))&amp;"",""))</f>
        <v/>
      </c>
      <c r="G4078" s="37" t="n"/>
      <c r="H4078" s="37" t="n"/>
      <c r="I4078" s="37" t="n"/>
      <c r="J4078" s="40" t="str">
        <f>IF(OR(C4078="",NOT(ISNUMBER(E4078))),"",IFERROR(E4078*N(INDEX(art_price,MATCH(C4078,art_ref,0))),""))</f>
        <v/>
      </c>
      <c r="K4078" s="39" t="str">
        <f>IF(OR(C4078="",NOT(ISNUMBER(E4078))),"",IFERROR(ROUND(N(INDEX(art_init,MATCH(C4078,art_ref,0)))+SUMIFS($E$5:E4078,$C$5:C4078,C4078,$B$5:B4078,"Entrée")-SUMIFS($E$5:E4078,$C$5:C4078,C4078,$B$5:B4078,"Sortie"),6),""))</f>
        <v/>
      </c>
      <c r="L4078" s="39" t="str">
        <f>IF(COUNTA(A4078:C4078,E4078)=0,"",IF(COUNTA(A4078:C4078,E4078)&lt;4,"Ligne incomplète",IF(NOT(ISNUMBER(A4078)),"Date invalide",IF(AND(B4078&lt;&gt;"Entrée",B4078&lt;&gt;"Sortie"),"Type inconnu",IF(ISNA(MATCH(C4078,art_ref,0)),"Référence inconnue",IF(OR(NOT(ISNUMBER(E4078)),N(E4078)&lt;=0),"Quantité invalide",IF(K4078&lt;0,"Stock négatif",IF(AND(ISNUMBER(A4077),A4078&lt;A4077),"Date hors ordre","OK"))))))))</f>
        <v/>
      </c>
      <c r="M4078" s="39" t="str">
        <f>IF(C4078="","",C4078&amp;"#"&amp;COUNTIF($C$5:C4078,C4078))</f>
        <v/>
      </c>
    </row>
    <row r="4079">
      <c r="A4079" s="41" t="n"/>
      <c r="B4079" s="37" t="n"/>
      <c r="C4079" s="37" t="n"/>
      <c r="D4079" s="39" t="str">
        <f>IF(C4079="","",IFERROR(INDEX(art_des,MATCH(C4079,art_ref,0))&amp;"","Référence inconnue"))</f>
        <v/>
      </c>
      <c r="E4079" s="37" t="n"/>
      <c r="F4079" s="39" t="str">
        <f>IF(C4079="","",IFERROR(INDEX(art_unit,MATCH(C4079,art_ref,0))&amp;"",""))</f>
        <v/>
      </c>
      <c r="G4079" s="37" t="n"/>
      <c r="H4079" s="37" t="n"/>
      <c r="I4079" s="37" t="n"/>
      <c r="J4079" s="40" t="str">
        <f>IF(OR(C4079="",NOT(ISNUMBER(E4079))),"",IFERROR(E4079*N(INDEX(art_price,MATCH(C4079,art_ref,0))),""))</f>
        <v/>
      </c>
      <c r="K4079" s="39" t="str">
        <f>IF(OR(C4079="",NOT(ISNUMBER(E4079))),"",IFERROR(ROUND(N(INDEX(art_init,MATCH(C4079,art_ref,0)))+SUMIFS($E$5:E4079,$C$5:C4079,C4079,$B$5:B4079,"Entrée")-SUMIFS($E$5:E4079,$C$5:C4079,C4079,$B$5:B4079,"Sortie"),6),""))</f>
        <v/>
      </c>
      <c r="L4079" s="39" t="str">
        <f>IF(COUNTA(A4079:C4079,E4079)=0,"",IF(COUNTA(A4079:C4079,E4079)&lt;4,"Ligne incomplète",IF(NOT(ISNUMBER(A4079)),"Date invalide",IF(AND(B4079&lt;&gt;"Entrée",B4079&lt;&gt;"Sortie"),"Type inconnu",IF(ISNA(MATCH(C4079,art_ref,0)),"Référence inconnue",IF(OR(NOT(ISNUMBER(E4079)),N(E4079)&lt;=0),"Quantité invalide",IF(K4079&lt;0,"Stock négatif",IF(AND(ISNUMBER(A4078),A4079&lt;A4078),"Date hors ordre","OK"))))))))</f>
        <v/>
      </c>
      <c r="M4079" s="39" t="str">
        <f>IF(C4079="","",C4079&amp;"#"&amp;COUNTIF($C$5:C4079,C4079))</f>
        <v/>
      </c>
    </row>
    <row r="4080">
      <c r="A4080" s="41" t="n"/>
      <c r="B4080" s="37" t="n"/>
      <c r="C4080" s="37" t="n"/>
      <c r="D4080" s="39" t="str">
        <f>IF(C4080="","",IFERROR(INDEX(art_des,MATCH(C4080,art_ref,0))&amp;"","Référence inconnue"))</f>
        <v/>
      </c>
      <c r="E4080" s="37" t="n"/>
      <c r="F4080" s="39" t="str">
        <f>IF(C4080="","",IFERROR(INDEX(art_unit,MATCH(C4080,art_ref,0))&amp;"",""))</f>
        <v/>
      </c>
      <c r="G4080" s="37" t="n"/>
      <c r="H4080" s="37" t="n"/>
      <c r="I4080" s="37" t="n"/>
      <c r="J4080" s="40" t="str">
        <f>IF(OR(C4080="",NOT(ISNUMBER(E4080))),"",IFERROR(E4080*N(INDEX(art_price,MATCH(C4080,art_ref,0))),""))</f>
        <v/>
      </c>
      <c r="K4080" s="39" t="str">
        <f>IF(OR(C4080="",NOT(ISNUMBER(E4080))),"",IFERROR(ROUND(N(INDEX(art_init,MATCH(C4080,art_ref,0)))+SUMIFS($E$5:E4080,$C$5:C4080,C4080,$B$5:B4080,"Entrée")-SUMIFS($E$5:E4080,$C$5:C4080,C4080,$B$5:B4080,"Sortie"),6),""))</f>
        <v/>
      </c>
      <c r="L4080" s="39" t="str">
        <f>IF(COUNTA(A4080:C4080,E4080)=0,"",IF(COUNTA(A4080:C4080,E4080)&lt;4,"Ligne incomplète",IF(NOT(ISNUMBER(A4080)),"Date invalide",IF(AND(B4080&lt;&gt;"Entrée",B4080&lt;&gt;"Sortie"),"Type inconnu",IF(ISNA(MATCH(C4080,art_ref,0)),"Référence inconnue",IF(OR(NOT(ISNUMBER(E4080)),N(E4080)&lt;=0),"Quantité invalide",IF(K4080&lt;0,"Stock négatif",IF(AND(ISNUMBER(A4079),A4080&lt;A4079),"Date hors ordre","OK"))))))))</f>
        <v/>
      </c>
      <c r="M4080" s="39" t="str">
        <f>IF(C4080="","",C4080&amp;"#"&amp;COUNTIF($C$5:C4080,C4080))</f>
        <v/>
      </c>
    </row>
    <row r="4081">
      <c r="A4081" s="41" t="n"/>
      <c r="B4081" s="37" t="n"/>
      <c r="C4081" s="37" t="n"/>
      <c r="D4081" s="39" t="str">
        <f>IF(C4081="","",IFERROR(INDEX(art_des,MATCH(C4081,art_ref,0))&amp;"","Référence inconnue"))</f>
        <v/>
      </c>
      <c r="E4081" s="37" t="n"/>
      <c r="F4081" s="39" t="str">
        <f>IF(C4081="","",IFERROR(INDEX(art_unit,MATCH(C4081,art_ref,0))&amp;"",""))</f>
        <v/>
      </c>
      <c r="G4081" s="37" t="n"/>
      <c r="H4081" s="37" t="n"/>
      <c r="I4081" s="37" t="n"/>
      <c r="J4081" s="40" t="str">
        <f>IF(OR(C4081="",NOT(ISNUMBER(E4081))),"",IFERROR(E4081*N(INDEX(art_price,MATCH(C4081,art_ref,0))),""))</f>
        <v/>
      </c>
      <c r="K4081" s="39" t="str">
        <f>IF(OR(C4081="",NOT(ISNUMBER(E4081))),"",IFERROR(ROUND(N(INDEX(art_init,MATCH(C4081,art_ref,0)))+SUMIFS($E$5:E4081,$C$5:C4081,C4081,$B$5:B4081,"Entrée")-SUMIFS($E$5:E4081,$C$5:C4081,C4081,$B$5:B4081,"Sortie"),6),""))</f>
        <v/>
      </c>
      <c r="L4081" s="39" t="str">
        <f>IF(COUNTA(A4081:C4081,E4081)=0,"",IF(COUNTA(A4081:C4081,E4081)&lt;4,"Ligne incomplète",IF(NOT(ISNUMBER(A4081)),"Date invalide",IF(AND(B4081&lt;&gt;"Entrée",B4081&lt;&gt;"Sortie"),"Type inconnu",IF(ISNA(MATCH(C4081,art_ref,0)),"Référence inconnue",IF(OR(NOT(ISNUMBER(E4081)),N(E4081)&lt;=0),"Quantité invalide",IF(K4081&lt;0,"Stock négatif",IF(AND(ISNUMBER(A4080),A4081&lt;A4080),"Date hors ordre","OK"))))))))</f>
        <v/>
      </c>
      <c r="M4081" s="39" t="str">
        <f>IF(C4081="","",C4081&amp;"#"&amp;COUNTIF($C$5:C4081,C4081))</f>
        <v/>
      </c>
    </row>
    <row r="4082">
      <c r="A4082" s="41" t="n"/>
      <c r="B4082" s="37" t="n"/>
      <c r="C4082" s="37" t="n"/>
      <c r="D4082" s="39" t="str">
        <f>IF(C4082="","",IFERROR(INDEX(art_des,MATCH(C4082,art_ref,0))&amp;"","Référence inconnue"))</f>
        <v/>
      </c>
      <c r="E4082" s="37" t="n"/>
      <c r="F4082" s="39" t="str">
        <f>IF(C4082="","",IFERROR(INDEX(art_unit,MATCH(C4082,art_ref,0))&amp;"",""))</f>
        <v/>
      </c>
      <c r="G4082" s="37" t="n"/>
      <c r="H4082" s="37" t="n"/>
      <c r="I4082" s="37" t="n"/>
      <c r="J4082" s="40" t="str">
        <f>IF(OR(C4082="",NOT(ISNUMBER(E4082))),"",IFERROR(E4082*N(INDEX(art_price,MATCH(C4082,art_ref,0))),""))</f>
        <v/>
      </c>
      <c r="K4082" s="39" t="str">
        <f>IF(OR(C4082="",NOT(ISNUMBER(E4082))),"",IFERROR(ROUND(N(INDEX(art_init,MATCH(C4082,art_ref,0)))+SUMIFS($E$5:E4082,$C$5:C4082,C4082,$B$5:B4082,"Entrée")-SUMIFS($E$5:E4082,$C$5:C4082,C4082,$B$5:B4082,"Sortie"),6),""))</f>
        <v/>
      </c>
      <c r="L4082" s="39" t="str">
        <f>IF(COUNTA(A4082:C4082,E4082)=0,"",IF(COUNTA(A4082:C4082,E4082)&lt;4,"Ligne incomplète",IF(NOT(ISNUMBER(A4082)),"Date invalide",IF(AND(B4082&lt;&gt;"Entrée",B4082&lt;&gt;"Sortie"),"Type inconnu",IF(ISNA(MATCH(C4082,art_ref,0)),"Référence inconnue",IF(OR(NOT(ISNUMBER(E4082)),N(E4082)&lt;=0),"Quantité invalide",IF(K4082&lt;0,"Stock négatif",IF(AND(ISNUMBER(A4081),A4082&lt;A4081),"Date hors ordre","OK"))))))))</f>
        <v/>
      </c>
      <c r="M4082" s="39" t="str">
        <f>IF(C4082="","",C4082&amp;"#"&amp;COUNTIF($C$5:C4082,C4082))</f>
        <v/>
      </c>
    </row>
    <row r="4083">
      <c r="A4083" s="41" t="n"/>
      <c r="B4083" s="37" t="n"/>
      <c r="C4083" s="37" t="n"/>
      <c r="D4083" s="39" t="str">
        <f>IF(C4083="","",IFERROR(INDEX(art_des,MATCH(C4083,art_ref,0))&amp;"","Référence inconnue"))</f>
        <v/>
      </c>
      <c r="E4083" s="37" t="n"/>
      <c r="F4083" s="39" t="str">
        <f>IF(C4083="","",IFERROR(INDEX(art_unit,MATCH(C4083,art_ref,0))&amp;"",""))</f>
        <v/>
      </c>
      <c r="G4083" s="37" t="n"/>
      <c r="H4083" s="37" t="n"/>
      <c r="I4083" s="37" t="n"/>
      <c r="J4083" s="40" t="str">
        <f>IF(OR(C4083="",NOT(ISNUMBER(E4083))),"",IFERROR(E4083*N(INDEX(art_price,MATCH(C4083,art_ref,0))),""))</f>
        <v/>
      </c>
      <c r="K4083" s="39" t="str">
        <f>IF(OR(C4083="",NOT(ISNUMBER(E4083))),"",IFERROR(ROUND(N(INDEX(art_init,MATCH(C4083,art_ref,0)))+SUMIFS($E$5:E4083,$C$5:C4083,C4083,$B$5:B4083,"Entrée")-SUMIFS($E$5:E4083,$C$5:C4083,C4083,$B$5:B4083,"Sortie"),6),""))</f>
        <v/>
      </c>
      <c r="L4083" s="39" t="str">
        <f>IF(COUNTA(A4083:C4083,E4083)=0,"",IF(COUNTA(A4083:C4083,E4083)&lt;4,"Ligne incomplète",IF(NOT(ISNUMBER(A4083)),"Date invalide",IF(AND(B4083&lt;&gt;"Entrée",B4083&lt;&gt;"Sortie"),"Type inconnu",IF(ISNA(MATCH(C4083,art_ref,0)),"Référence inconnue",IF(OR(NOT(ISNUMBER(E4083)),N(E4083)&lt;=0),"Quantité invalide",IF(K4083&lt;0,"Stock négatif",IF(AND(ISNUMBER(A4082),A4083&lt;A4082),"Date hors ordre","OK"))))))))</f>
        <v/>
      </c>
      <c r="M4083" s="39" t="str">
        <f>IF(C4083="","",C4083&amp;"#"&amp;COUNTIF($C$5:C4083,C4083))</f>
        <v/>
      </c>
    </row>
    <row r="4084">
      <c r="A4084" s="41" t="n"/>
      <c r="B4084" s="37" t="n"/>
      <c r="C4084" s="37" t="n"/>
      <c r="D4084" s="39" t="str">
        <f>IF(C4084="","",IFERROR(INDEX(art_des,MATCH(C4084,art_ref,0))&amp;"","Référence inconnue"))</f>
        <v/>
      </c>
      <c r="E4084" s="37" t="n"/>
      <c r="F4084" s="39" t="str">
        <f>IF(C4084="","",IFERROR(INDEX(art_unit,MATCH(C4084,art_ref,0))&amp;"",""))</f>
        <v/>
      </c>
      <c r="G4084" s="37" t="n"/>
      <c r="H4084" s="37" t="n"/>
      <c r="I4084" s="37" t="n"/>
      <c r="J4084" s="40" t="str">
        <f>IF(OR(C4084="",NOT(ISNUMBER(E4084))),"",IFERROR(E4084*N(INDEX(art_price,MATCH(C4084,art_ref,0))),""))</f>
        <v/>
      </c>
      <c r="K4084" s="39" t="str">
        <f>IF(OR(C4084="",NOT(ISNUMBER(E4084))),"",IFERROR(ROUND(N(INDEX(art_init,MATCH(C4084,art_ref,0)))+SUMIFS($E$5:E4084,$C$5:C4084,C4084,$B$5:B4084,"Entrée")-SUMIFS($E$5:E4084,$C$5:C4084,C4084,$B$5:B4084,"Sortie"),6),""))</f>
        <v/>
      </c>
      <c r="L4084" s="39" t="str">
        <f>IF(COUNTA(A4084:C4084,E4084)=0,"",IF(COUNTA(A4084:C4084,E4084)&lt;4,"Ligne incomplète",IF(NOT(ISNUMBER(A4084)),"Date invalide",IF(AND(B4084&lt;&gt;"Entrée",B4084&lt;&gt;"Sortie"),"Type inconnu",IF(ISNA(MATCH(C4084,art_ref,0)),"Référence inconnue",IF(OR(NOT(ISNUMBER(E4084)),N(E4084)&lt;=0),"Quantité invalide",IF(K4084&lt;0,"Stock négatif",IF(AND(ISNUMBER(A4083),A4084&lt;A4083),"Date hors ordre","OK"))))))))</f>
        <v/>
      </c>
      <c r="M4084" s="39" t="str">
        <f>IF(C4084="","",C4084&amp;"#"&amp;COUNTIF($C$5:C4084,C4084))</f>
        <v/>
      </c>
    </row>
    <row r="4085">
      <c r="A4085" s="41" t="n"/>
      <c r="B4085" s="37" t="n"/>
      <c r="C4085" s="37" t="n"/>
      <c r="D4085" s="39" t="str">
        <f>IF(C4085="","",IFERROR(INDEX(art_des,MATCH(C4085,art_ref,0))&amp;"","Référence inconnue"))</f>
        <v/>
      </c>
      <c r="E4085" s="37" t="n"/>
      <c r="F4085" s="39" t="str">
        <f>IF(C4085="","",IFERROR(INDEX(art_unit,MATCH(C4085,art_ref,0))&amp;"",""))</f>
        <v/>
      </c>
      <c r="G4085" s="37" t="n"/>
      <c r="H4085" s="37" t="n"/>
      <c r="I4085" s="37" t="n"/>
      <c r="J4085" s="40" t="str">
        <f>IF(OR(C4085="",NOT(ISNUMBER(E4085))),"",IFERROR(E4085*N(INDEX(art_price,MATCH(C4085,art_ref,0))),""))</f>
        <v/>
      </c>
      <c r="K4085" s="39" t="str">
        <f>IF(OR(C4085="",NOT(ISNUMBER(E4085))),"",IFERROR(ROUND(N(INDEX(art_init,MATCH(C4085,art_ref,0)))+SUMIFS($E$5:E4085,$C$5:C4085,C4085,$B$5:B4085,"Entrée")-SUMIFS($E$5:E4085,$C$5:C4085,C4085,$B$5:B4085,"Sortie"),6),""))</f>
        <v/>
      </c>
      <c r="L4085" s="39" t="str">
        <f>IF(COUNTA(A4085:C4085,E4085)=0,"",IF(COUNTA(A4085:C4085,E4085)&lt;4,"Ligne incomplète",IF(NOT(ISNUMBER(A4085)),"Date invalide",IF(AND(B4085&lt;&gt;"Entrée",B4085&lt;&gt;"Sortie"),"Type inconnu",IF(ISNA(MATCH(C4085,art_ref,0)),"Référence inconnue",IF(OR(NOT(ISNUMBER(E4085)),N(E4085)&lt;=0),"Quantité invalide",IF(K4085&lt;0,"Stock négatif",IF(AND(ISNUMBER(A4084),A4085&lt;A4084),"Date hors ordre","OK"))))))))</f>
        <v/>
      </c>
      <c r="M4085" s="39" t="str">
        <f>IF(C4085="","",C4085&amp;"#"&amp;COUNTIF($C$5:C4085,C4085))</f>
        <v/>
      </c>
    </row>
    <row r="4086">
      <c r="A4086" s="41" t="n"/>
      <c r="B4086" s="37" t="n"/>
      <c r="C4086" s="37" t="n"/>
      <c r="D4086" s="39" t="str">
        <f>IF(C4086="","",IFERROR(INDEX(art_des,MATCH(C4086,art_ref,0))&amp;"","Référence inconnue"))</f>
        <v/>
      </c>
      <c r="E4086" s="37" t="n"/>
      <c r="F4086" s="39" t="str">
        <f>IF(C4086="","",IFERROR(INDEX(art_unit,MATCH(C4086,art_ref,0))&amp;"",""))</f>
        <v/>
      </c>
      <c r="G4086" s="37" t="n"/>
      <c r="H4086" s="37" t="n"/>
      <c r="I4086" s="37" t="n"/>
      <c r="J4086" s="40" t="str">
        <f>IF(OR(C4086="",NOT(ISNUMBER(E4086))),"",IFERROR(E4086*N(INDEX(art_price,MATCH(C4086,art_ref,0))),""))</f>
        <v/>
      </c>
      <c r="K4086" s="39" t="str">
        <f>IF(OR(C4086="",NOT(ISNUMBER(E4086))),"",IFERROR(ROUND(N(INDEX(art_init,MATCH(C4086,art_ref,0)))+SUMIFS($E$5:E4086,$C$5:C4086,C4086,$B$5:B4086,"Entrée")-SUMIFS($E$5:E4086,$C$5:C4086,C4086,$B$5:B4086,"Sortie"),6),""))</f>
        <v/>
      </c>
      <c r="L4086" s="39" t="str">
        <f>IF(COUNTA(A4086:C4086,E4086)=0,"",IF(COUNTA(A4086:C4086,E4086)&lt;4,"Ligne incomplète",IF(NOT(ISNUMBER(A4086)),"Date invalide",IF(AND(B4086&lt;&gt;"Entrée",B4086&lt;&gt;"Sortie"),"Type inconnu",IF(ISNA(MATCH(C4086,art_ref,0)),"Référence inconnue",IF(OR(NOT(ISNUMBER(E4086)),N(E4086)&lt;=0),"Quantité invalide",IF(K4086&lt;0,"Stock négatif",IF(AND(ISNUMBER(A4085),A4086&lt;A4085),"Date hors ordre","OK"))))))))</f>
        <v/>
      </c>
      <c r="M4086" s="39" t="str">
        <f>IF(C4086="","",C4086&amp;"#"&amp;COUNTIF($C$5:C4086,C4086))</f>
        <v/>
      </c>
    </row>
    <row r="4087">
      <c r="A4087" s="41" t="n"/>
      <c r="B4087" s="37" t="n"/>
      <c r="C4087" s="37" t="n"/>
      <c r="D4087" s="39" t="str">
        <f>IF(C4087="","",IFERROR(INDEX(art_des,MATCH(C4087,art_ref,0))&amp;"","Référence inconnue"))</f>
        <v/>
      </c>
      <c r="E4087" s="37" t="n"/>
      <c r="F4087" s="39" t="str">
        <f>IF(C4087="","",IFERROR(INDEX(art_unit,MATCH(C4087,art_ref,0))&amp;"",""))</f>
        <v/>
      </c>
      <c r="G4087" s="37" t="n"/>
      <c r="H4087" s="37" t="n"/>
      <c r="I4087" s="37" t="n"/>
      <c r="J4087" s="40" t="str">
        <f>IF(OR(C4087="",NOT(ISNUMBER(E4087))),"",IFERROR(E4087*N(INDEX(art_price,MATCH(C4087,art_ref,0))),""))</f>
        <v/>
      </c>
      <c r="K4087" s="39" t="str">
        <f>IF(OR(C4087="",NOT(ISNUMBER(E4087))),"",IFERROR(ROUND(N(INDEX(art_init,MATCH(C4087,art_ref,0)))+SUMIFS($E$5:E4087,$C$5:C4087,C4087,$B$5:B4087,"Entrée")-SUMIFS($E$5:E4087,$C$5:C4087,C4087,$B$5:B4087,"Sortie"),6),""))</f>
        <v/>
      </c>
      <c r="L4087" s="39" t="str">
        <f>IF(COUNTA(A4087:C4087,E4087)=0,"",IF(COUNTA(A4087:C4087,E4087)&lt;4,"Ligne incomplète",IF(NOT(ISNUMBER(A4087)),"Date invalide",IF(AND(B4087&lt;&gt;"Entrée",B4087&lt;&gt;"Sortie"),"Type inconnu",IF(ISNA(MATCH(C4087,art_ref,0)),"Référence inconnue",IF(OR(NOT(ISNUMBER(E4087)),N(E4087)&lt;=0),"Quantité invalide",IF(K4087&lt;0,"Stock négatif",IF(AND(ISNUMBER(A4086),A4087&lt;A4086),"Date hors ordre","OK"))))))))</f>
        <v/>
      </c>
      <c r="M4087" s="39" t="str">
        <f>IF(C4087="","",C4087&amp;"#"&amp;COUNTIF($C$5:C4087,C4087))</f>
        <v/>
      </c>
    </row>
    <row r="4088">
      <c r="A4088" s="41" t="n"/>
      <c r="B4088" s="37" t="n"/>
      <c r="C4088" s="37" t="n"/>
      <c r="D4088" s="39" t="str">
        <f>IF(C4088="","",IFERROR(INDEX(art_des,MATCH(C4088,art_ref,0))&amp;"","Référence inconnue"))</f>
        <v/>
      </c>
      <c r="E4088" s="37" t="n"/>
      <c r="F4088" s="39" t="str">
        <f>IF(C4088="","",IFERROR(INDEX(art_unit,MATCH(C4088,art_ref,0))&amp;"",""))</f>
        <v/>
      </c>
      <c r="G4088" s="37" t="n"/>
      <c r="H4088" s="37" t="n"/>
      <c r="I4088" s="37" t="n"/>
      <c r="J4088" s="40" t="str">
        <f>IF(OR(C4088="",NOT(ISNUMBER(E4088))),"",IFERROR(E4088*N(INDEX(art_price,MATCH(C4088,art_ref,0))),""))</f>
        <v/>
      </c>
      <c r="K4088" s="39" t="str">
        <f>IF(OR(C4088="",NOT(ISNUMBER(E4088))),"",IFERROR(ROUND(N(INDEX(art_init,MATCH(C4088,art_ref,0)))+SUMIFS($E$5:E4088,$C$5:C4088,C4088,$B$5:B4088,"Entrée")-SUMIFS($E$5:E4088,$C$5:C4088,C4088,$B$5:B4088,"Sortie"),6),""))</f>
        <v/>
      </c>
      <c r="L4088" s="39" t="str">
        <f>IF(COUNTA(A4088:C4088,E4088)=0,"",IF(COUNTA(A4088:C4088,E4088)&lt;4,"Ligne incomplète",IF(NOT(ISNUMBER(A4088)),"Date invalide",IF(AND(B4088&lt;&gt;"Entrée",B4088&lt;&gt;"Sortie"),"Type inconnu",IF(ISNA(MATCH(C4088,art_ref,0)),"Référence inconnue",IF(OR(NOT(ISNUMBER(E4088)),N(E4088)&lt;=0),"Quantité invalide",IF(K4088&lt;0,"Stock négatif",IF(AND(ISNUMBER(A4087),A4088&lt;A4087),"Date hors ordre","OK"))))))))</f>
        <v/>
      </c>
      <c r="M4088" s="39" t="str">
        <f>IF(C4088="","",C4088&amp;"#"&amp;COUNTIF($C$5:C4088,C4088))</f>
        <v/>
      </c>
    </row>
    <row r="4089">
      <c r="A4089" s="41" t="n"/>
      <c r="B4089" s="37" t="n"/>
      <c r="C4089" s="37" t="n"/>
      <c r="D4089" s="39" t="str">
        <f>IF(C4089="","",IFERROR(INDEX(art_des,MATCH(C4089,art_ref,0))&amp;"","Référence inconnue"))</f>
        <v/>
      </c>
      <c r="E4089" s="37" t="n"/>
      <c r="F4089" s="39" t="str">
        <f>IF(C4089="","",IFERROR(INDEX(art_unit,MATCH(C4089,art_ref,0))&amp;"",""))</f>
        <v/>
      </c>
      <c r="G4089" s="37" t="n"/>
      <c r="H4089" s="37" t="n"/>
      <c r="I4089" s="37" t="n"/>
      <c r="J4089" s="40" t="str">
        <f>IF(OR(C4089="",NOT(ISNUMBER(E4089))),"",IFERROR(E4089*N(INDEX(art_price,MATCH(C4089,art_ref,0))),""))</f>
        <v/>
      </c>
      <c r="K4089" s="39" t="str">
        <f>IF(OR(C4089="",NOT(ISNUMBER(E4089))),"",IFERROR(ROUND(N(INDEX(art_init,MATCH(C4089,art_ref,0)))+SUMIFS($E$5:E4089,$C$5:C4089,C4089,$B$5:B4089,"Entrée")-SUMIFS($E$5:E4089,$C$5:C4089,C4089,$B$5:B4089,"Sortie"),6),""))</f>
        <v/>
      </c>
      <c r="L4089" s="39" t="str">
        <f>IF(COUNTA(A4089:C4089,E4089)=0,"",IF(COUNTA(A4089:C4089,E4089)&lt;4,"Ligne incomplète",IF(NOT(ISNUMBER(A4089)),"Date invalide",IF(AND(B4089&lt;&gt;"Entrée",B4089&lt;&gt;"Sortie"),"Type inconnu",IF(ISNA(MATCH(C4089,art_ref,0)),"Référence inconnue",IF(OR(NOT(ISNUMBER(E4089)),N(E4089)&lt;=0),"Quantité invalide",IF(K4089&lt;0,"Stock négatif",IF(AND(ISNUMBER(A4088),A4089&lt;A4088),"Date hors ordre","OK"))))))))</f>
        <v/>
      </c>
      <c r="M4089" s="39" t="str">
        <f>IF(C4089="","",C4089&amp;"#"&amp;COUNTIF($C$5:C4089,C4089))</f>
        <v/>
      </c>
    </row>
    <row r="4090">
      <c r="A4090" s="41" t="n"/>
      <c r="B4090" s="37" t="n"/>
      <c r="C4090" s="37" t="n"/>
      <c r="D4090" s="39" t="str">
        <f>IF(C4090="","",IFERROR(INDEX(art_des,MATCH(C4090,art_ref,0))&amp;"","Référence inconnue"))</f>
        <v/>
      </c>
      <c r="E4090" s="37" t="n"/>
      <c r="F4090" s="39" t="str">
        <f>IF(C4090="","",IFERROR(INDEX(art_unit,MATCH(C4090,art_ref,0))&amp;"",""))</f>
        <v/>
      </c>
      <c r="G4090" s="37" t="n"/>
      <c r="H4090" s="37" t="n"/>
      <c r="I4090" s="37" t="n"/>
      <c r="J4090" s="40" t="str">
        <f>IF(OR(C4090="",NOT(ISNUMBER(E4090))),"",IFERROR(E4090*N(INDEX(art_price,MATCH(C4090,art_ref,0))),""))</f>
        <v/>
      </c>
      <c r="K4090" s="39" t="str">
        <f>IF(OR(C4090="",NOT(ISNUMBER(E4090))),"",IFERROR(ROUND(N(INDEX(art_init,MATCH(C4090,art_ref,0)))+SUMIFS($E$5:E4090,$C$5:C4090,C4090,$B$5:B4090,"Entrée")-SUMIFS($E$5:E4090,$C$5:C4090,C4090,$B$5:B4090,"Sortie"),6),""))</f>
        <v/>
      </c>
      <c r="L4090" s="39" t="str">
        <f>IF(COUNTA(A4090:C4090,E4090)=0,"",IF(COUNTA(A4090:C4090,E4090)&lt;4,"Ligne incomplète",IF(NOT(ISNUMBER(A4090)),"Date invalide",IF(AND(B4090&lt;&gt;"Entrée",B4090&lt;&gt;"Sortie"),"Type inconnu",IF(ISNA(MATCH(C4090,art_ref,0)),"Référence inconnue",IF(OR(NOT(ISNUMBER(E4090)),N(E4090)&lt;=0),"Quantité invalide",IF(K4090&lt;0,"Stock négatif",IF(AND(ISNUMBER(A4089),A4090&lt;A4089),"Date hors ordre","OK"))))))))</f>
        <v/>
      </c>
      <c r="M4090" s="39" t="str">
        <f>IF(C4090="","",C4090&amp;"#"&amp;COUNTIF($C$5:C4090,C4090))</f>
        <v/>
      </c>
    </row>
    <row r="4091">
      <c r="A4091" s="41" t="n"/>
      <c r="B4091" s="37" t="n"/>
      <c r="C4091" s="37" t="n"/>
      <c r="D4091" s="39" t="str">
        <f>IF(C4091="","",IFERROR(INDEX(art_des,MATCH(C4091,art_ref,0))&amp;"","Référence inconnue"))</f>
        <v/>
      </c>
      <c r="E4091" s="37" t="n"/>
      <c r="F4091" s="39" t="str">
        <f>IF(C4091="","",IFERROR(INDEX(art_unit,MATCH(C4091,art_ref,0))&amp;"",""))</f>
        <v/>
      </c>
      <c r="G4091" s="37" t="n"/>
      <c r="H4091" s="37" t="n"/>
      <c r="I4091" s="37" t="n"/>
      <c r="J4091" s="40" t="str">
        <f>IF(OR(C4091="",NOT(ISNUMBER(E4091))),"",IFERROR(E4091*N(INDEX(art_price,MATCH(C4091,art_ref,0))),""))</f>
        <v/>
      </c>
      <c r="K4091" s="39" t="str">
        <f>IF(OR(C4091="",NOT(ISNUMBER(E4091))),"",IFERROR(ROUND(N(INDEX(art_init,MATCH(C4091,art_ref,0)))+SUMIFS($E$5:E4091,$C$5:C4091,C4091,$B$5:B4091,"Entrée")-SUMIFS($E$5:E4091,$C$5:C4091,C4091,$B$5:B4091,"Sortie"),6),""))</f>
        <v/>
      </c>
      <c r="L4091" s="39" t="str">
        <f>IF(COUNTA(A4091:C4091,E4091)=0,"",IF(COUNTA(A4091:C4091,E4091)&lt;4,"Ligne incomplète",IF(NOT(ISNUMBER(A4091)),"Date invalide",IF(AND(B4091&lt;&gt;"Entrée",B4091&lt;&gt;"Sortie"),"Type inconnu",IF(ISNA(MATCH(C4091,art_ref,0)),"Référence inconnue",IF(OR(NOT(ISNUMBER(E4091)),N(E4091)&lt;=0),"Quantité invalide",IF(K4091&lt;0,"Stock négatif",IF(AND(ISNUMBER(A4090),A4091&lt;A4090),"Date hors ordre","OK"))))))))</f>
        <v/>
      </c>
      <c r="M4091" s="39" t="str">
        <f>IF(C4091="","",C4091&amp;"#"&amp;COUNTIF($C$5:C4091,C4091))</f>
        <v/>
      </c>
    </row>
    <row r="4092">
      <c r="A4092" s="41" t="n"/>
      <c r="B4092" s="37" t="n"/>
      <c r="C4092" s="37" t="n"/>
      <c r="D4092" s="39" t="str">
        <f>IF(C4092="","",IFERROR(INDEX(art_des,MATCH(C4092,art_ref,0))&amp;"","Référence inconnue"))</f>
        <v/>
      </c>
      <c r="E4092" s="37" t="n"/>
      <c r="F4092" s="39" t="str">
        <f>IF(C4092="","",IFERROR(INDEX(art_unit,MATCH(C4092,art_ref,0))&amp;"",""))</f>
        <v/>
      </c>
      <c r="G4092" s="37" t="n"/>
      <c r="H4092" s="37" t="n"/>
      <c r="I4092" s="37" t="n"/>
      <c r="J4092" s="40" t="str">
        <f>IF(OR(C4092="",NOT(ISNUMBER(E4092))),"",IFERROR(E4092*N(INDEX(art_price,MATCH(C4092,art_ref,0))),""))</f>
        <v/>
      </c>
      <c r="K4092" s="39" t="str">
        <f>IF(OR(C4092="",NOT(ISNUMBER(E4092))),"",IFERROR(ROUND(N(INDEX(art_init,MATCH(C4092,art_ref,0)))+SUMIFS($E$5:E4092,$C$5:C4092,C4092,$B$5:B4092,"Entrée")-SUMIFS($E$5:E4092,$C$5:C4092,C4092,$B$5:B4092,"Sortie"),6),""))</f>
        <v/>
      </c>
      <c r="L4092" s="39" t="str">
        <f>IF(COUNTA(A4092:C4092,E4092)=0,"",IF(COUNTA(A4092:C4092,E4092)&lt;4,"Ligne incomplète",IF(NOT(ISNUMBER(A4092)),"Date invalide",IF(AND(B4092&lt;&gt;"Entrée",B4092&lt;&gt;"Sortie"),"Type inconnu",IF(ISNA(MATCH(C4092,art_ref,0)),"Référence inconnue",IF(OR(NOT(ISNUMBER(E4092)),N(E4092)&lt;=0),"Quantité invalide",IF(K4092&lt;0,"Stock négatif",IF(AND(ISNUMBER(A4091),A4092&lt;A4091),"Date hors ordre","OK"))))))))</f>
        <v/>
      </c>
      <c r="M4092" s="39" t="str">
        <f>IF(C4092="","",C4092&amp;"#"&amp;COUNTIF($C$5:C4092,C4092))</f>
        <v/>
      </c>
    </row>
    <row r="4093">
      <c r="A4093" s="41" t="n"/>
      <c r="B4093" s="37" t="n"/>
      <c r="C4093" s="37" t="n"/>
      <c r="D4093" s="39" t="str">
        <f>IF(C4093="","",IFERROR(INDEX(art_des,MATCH(C4093,art_ref,0))&amp;"","Référence inconnue"))</f>
        <v/>
      </c>
      <c r="E4093" s="37" t="n"/>
      <c r="F4093" s="39" t="str">
        <f>IF(C4093="","",IFERROR(INDEX(art_unit,MATCH(C4093,art_ref,0))&amp;"",""))</f>
        <v/>
      </c>
      <c r="G4093" s="37" t="n"/>
      <c r="H4093" s="37" t="n"/>
      <c r="I4093" s="37" t="n"/>
      <c r="J4093" s="40" t="str">
        <f>IF(OR(C4093="",NOT(ISNUMBER(E4093))),"",IFERROR(E4093*N(INDEX(art_price,MATCH(C4093,art_ref,0))),""))</f>
        <v/>
      </c>
      <c r="K4093" s="39" t="str">
        <f>IF(OR(C4093="",NOT(ISNUMBER(E4093))),"",IFERROR(ROUND(N(INDEX(art_init,MATCH(C4093,art_ref,0)))+SUMIFS($E$5:E4093,$C$5:C4093,C4093,$B$5:B4093,"Entrée")-SUMIFS($E$5:E4093,$C$5:C4093,C4093,$B$5:B4093,"Sortie"),6),""))</f>
        <v/>
      </c>
      <c r="L4093" s="39" t="str">
        <f>IF(COUNTA(A4093:C4093,E4093)=0,"",IF(COUNTA(A4093:C4093,E4093)&lt;4,"Ligne incomplète",IF(NOT(ISNUMBER(A4093)),"Date invalide",IF(AND(B4093&lt;&gt;"Entrée",B4093&lt;&gt;"Sortie"),"Type inconnu",IF(ISNA(MATCH(C4093,art_ref,0)),"Référence inconnue",IF(OR(NOT(ISNUMBER(E4093)),N(E4093)&lt;=0),"Quantité invalide",IF(K4093&lt;0,"Stock négatif",IF(AND(ISNUMBER(A4092),A4093&lt;A4092),"Date hors ordre","OK"))))))))</f>
        <v/>
      </c>
      <c r="M4093" s="39" t="str">
        <f>IF(C4093="","",C4093&amp;"#"&amp;COUNTIF($C$5:C4093,C4093))</f>
        <v/>
      </c>
    </row>
    <row r="4094">
      <c r="A4094" s="41" t="n"/>
      <c r="B4094" s="37" t="n"/>
      <c r="C4094" s="37" t="n"/>
      <c r="D4094" s="39" t="str">
        <f>IF(C4094="","",IFERROR(INDEX(art_des,MATCH(C4094,art_ref,0))&amp;"","Référence inconnue"))</f>
        <v/>
      </c>
      <c r="E4094" s="37" t="n"/>
      <c r="F4094" s="39" t="str">
        <f>IF(C4094="","",IFERROR(INDEX(art_unit,MATCH(C4094,art_ref,0))&amp;"",""))</f>
        <v/>
      </c>
      <c r="G4094" s="37" t="n"/>
      <c r="H4094" s="37" t="n"/>
      <c r="I4094" s="37" t="n"/>
      <c r="J4094" s="40" t="str">
        <f>IF(OR(C4094="",NOT(ISNUMBER(E4094))),"",IFERROR(E4094*N(INDEX(art_price,MATCH(C4094,art_ref,0))),""))</f>
        <v/>
      </c>
      <c r="K4094" s="39" t="str">
        <f>IF(OR(C4094="",NOT(ISNUMBER(E4094))),"",IFERROR(ROUND(N(INDEX(art_init,MATCH(C4094,art_ref,0)))+SUMIFS($E$5:E4094,$C$5:C4094,C4094,$B$5:B4094,"Entrée")-SUMIFS($E$5:E4094,$C$5:C4094,C4094,$B$5:B4094,"Sortie"),6),""))</f>
        <v/>
      </c>
      <c r="L4094" s="39" t="str">
        <f>IF(COUNTA(A4094:C4094,E4094)=0,"",IF(COUNTA(A4094:C4094,E4094)&lt;4,"Ligne incomplète",IF(NOT(ISNUMBER(A4094)),"Date invalide",IF(AND(B4094&lt;&gt;"Entrée",B4094&lt;&gt;"Sortie"),"Type inconnu",IF(ISNA(MATCH(C4094,art_ref,0)),"Référence inconnue",IF(OR(NOT(ISNUMBER(E4094)),N(E4094)&lt;=0),"Quantité invalide",IF(K4094&lt;0,"Stock négatif",IF(AND(ISNUMBER(A4093),A4094&lt;A4093),"Date hors ordre","OK"))))))))</f>
        <v/>
      </c>
      <c r="M4094" s="39" t="str">
        <f>IF(C4094="","",C4094&amp;"#"&amp;COUNTIF($C$5:C4094,C4094))</f>
        <v/>
      </c>
    </row>
    <row r="4095">
      <c r="A4095" s="41" t="n"/>
      <c r="B4095" s="37" t="n"/>
      <c r="C4095" s="37" t="n"/>
      <c r="D4095" s="39" t="str">
        <f>IF(C4095="","",IFERROR(INDEX(art_des,MATCH(C4095,art_ref,0))&amp;"","Référence inconnue"))</f>
        <v/>
      </c>
      <c r="E4095" s="37" t="n"/>
      <c r="F4095" s="39" t="str">
        <f>IF(C4095="","",IFERROR(INDEX(art_unit,MATCH(C4095,art_ref,0))&amp;"",""))</f>
        <v/>
      </c>
      <c r="G4095" s="37" t="n"/>
      <c r="H4095" s="37" t="n"/>
      <c r="I4095" s="37" t="n"/>
      <c r="J4095" s="40" t="str">
        <f>IF(OR(C4095="",NOT(ISNUMBER(E4095))),"",IFERROR(E4095*N(INDEX(art_price,MATCH(C4095,art_ref,0))),""))</f>
        <v/>
      </c>
      <c r="K4095" s="39" t="str">
        <f>IF(OR(C4095="",NOT(ISNUMBER(E4095))),"",IFERROR(ROUND(N(INDEX(art_init,MATCH(C4095,art_ref,0)))+SUMIFS($E$5:E4095,$C$5:C4095,C4095,$B$5:B4095,"Entrée")-SUMIFS($E$5:E4095,$C$5:C4095,C4095,$B$5:B4095,"Sortie"),6),""))</f>
        <v/>
      </c>
      <c r="L4095" s="39" t="str">
        <f>IF(COUNTA(A4095:C4095,E4095)=0,"",IF(COUNTA(A4095:C4095,E4095)&lt;4,"Ligne incomplète",IF(NOT(ISNUMBER(A4095)),"Date invalide",IF(AND(B4095&lt;&gt;"Entrée",B4095&lt;&gt;"Sortie"),"Type inconnu",IF(ISNA(MATCH(C4095,art_ref,0)),"Référence inconnue",IF(OR(NOT(ISNUMBER(E4095)),N(E4095)&lt;=0),"Quantité invalide",IF(K4095&lt;0,"Stock négatif",IF(AND(ISNUMBER(A4094),A4095&lt;A4094),"Date hors ordre","OK"))))))))</f>
        <v/>
      </c>
      <c r="M4095" s="39" t="str">
        <f>IF(C4095="","",C4095&amp;"#"&amp;COUNTIF($C$5:C4095,C4095))</f>
        <v/>
      </c>
    </row>
    <row r="4096">
      <c r="A4096" s="41" t="n"/>
      <c r="B4096" s="37" t="n"/>
      <c r="C4096" s="37" t="n"/>
      <c r="D4096" s="39" t="str">
        <f>IF(C4096="","",IFERROR(INDEX(art_des,MATCH(C4096,art_ref,0))&amp;"","Référence inconnue"))</f>
        <v/>
      </c>
      <c r="E4096" s="37" t="n"/>
      <c r="F4096" s="39" t="str">
        <f>IF(C4096="","",IFERROR(INDEX(art_unit,MATCH(C4096,art_ref,0))&amp;"",""))</f>
        <v/>
      </c>
      <c r="G4096" s="37" t="n"/>
      <c r="H4096" s="37" t="n"/>
      <c r="I4096" s="37" t="n"/>
      <c r="J4096" s="40" t="str">
        <f>IF(OR(C4096="",NOT(ISNUMBER(E4096))),"",IFERROR(E4096*N(INDEX(art_price,MATCH(C4096,art_ref,0))),""))</f>
        <v/>
      </c>
      <c r="K4096" s="39" t="str">
        <f>IF(OR(C4096="",NOT(ISNUMBER(E4096))),"",IFERROR(ROUND(N(INDEX(art_init,MATCH(C4096,art_ref,0)))+SUMIFS($E$5:E4096,$C$5:C4096,C4096,$B$5:B4096,"Entrée")-SUMIFS($E$5:E4096,$C$5:C4096,C4096,$B$5:B4096,"Sortie"),6),""))</f>
        <v/>
      </c>
      <c r="L4096" s="39" t="str">
        <f>IF(COUNTA(A4096:C4096,E4096)=0,"",IF(COUNTA(A4096:C4096,E4096)&lt;4,"Ligne incomplète",IF(NOT(ISNUMBER(A4096)),"Date invalide",IF(AND(B4096&lt;&gt;"Entrée",B4096&lt;&gt;"Sortie"),"Type inconnu",IF(ISNA(MATCH(C4096,art_ref,0)),"Référence inconnue",IF(OR(NOT(ISNUMBER(E4096)),N(E4096)&lt;=0),"Quantité invalide",IF(K4096&lt;0,"Stock négatif",IF(AND(ISNUMBER(A4095),A4096&lt;A4095),"Date hors ordre","OK"))))))))</f>
        <v/>
      </c>
      <c r="M4096" s="39" t="str">
        <f>IF(C4096="","",C4096&amp;"#"&amp;COUNTIF($C$5:C4096,C4096))</f>
        <v/>
      </c>
    </row>
    <row r="4097">
      <c r="A4097" s="41" t="n"/>
      <c r="B4097" s="37" t="n"/>
      <c r="C4097" s="37" t="n"/>
      <c r="D4097" s="39" t="str">
        <f>IF(C4097="","",IFERROR(INDEX(art_des,MATCH(C4097,art_ref,0))&amp;"","Référence inconnue"))</f>
        <v/>
      </c>
      <c r="E4097" s="37" t="n"/>
      <c r="F4097" s="39" t="str">
        <f>IF(C4097="","",IFERROR(INDEX(art_unit,MATCH(C4097,art_ref,0))&amp;"",""))</f>
        <v/>
      </c>
      <c r="G4097" s="37" t="n"/>
      <c r="H4097" s="37" t="n"/>
      <c r="I4097" s="37" t="n"/>
      <c r="J4097" s="40" t="str">
        <f>IF(OR(C4097="",NOT(ISNUMBER(E4097))),"",IFERROR(E4097*N(INDEX(art_price,MATCH(C4097,art_ref,0))),""))</f>
        <v/>
      </c>
      <c r="K4097" s="39" t="str">
        <f>IF(OR(C4097="",NOT(ISNUMBER(E4097))),"",IFERROR(ROUND(N(INDEX(art_init,MATCH(C4097,art_ref,0)))+SUMIFS($E$5:E4097,$C$5:C4097,C4097,$B$5:B4097,"Entrée")-SUMIFS($E$5:E4097,$C$5:C4097,C4097,$B$5:B4097,"Sortie"),6),""))</f>
        <v/>
      </c>
      <c r="L4097" s="39" t="str">
        <f>IF(COUNTA(A4097:C4097,E4097)=0,"",IF(COUNTA(A4097:C4097,E4097)&lt;4,"Ligne incomplète",IF(NOT(ISNUMBER(A4097)),"Date invalide",IF(AND(B4097&lt;&gt;"Entrée",B4097&lt;&gt;"Sortie"),"Type inconnu",IF(ISNA(MATCH(C4097,art_ref,0)),"Référence inconnue",IF(OR(NOT(ISNUMBER(E4097)),N(E4097)&lt;=0),"Quantité invalide",IF(K4097&lt;0,"Stock négatif",IF(AND(ISNUMBER(A4096),A4097&lt;A4096),"Date hors ordre","OK"))))))))</f>
        <v/>
      </c>
      <c r="M4097" s="39" t="str">
        <f>IF(C4097="","",C4097&amp;"#"&amp;COUNTIF($C$5:C4097,C4097))</f>
        <v/>
      </c>
    </row>
    <row r="4098">
      <c r="A4098" s="41" t="n"/>
      <c r="B4098" s="37" t="n"/>
      <c r="C4098" s="37" t="n"/>
      <c r="D4098" s="39" t="str">
        <f>IF(C4098="","",IFERROR(INDEX(art_des,MATCH(C4098,art_ref,0))&amp;"","Référence inconnue"))</f>
        <v/>
      </c>
      <c r="E4098" s="37" t="n"/>
      <c r="F4098" s="39" t="str">
        <f>IF(C4098="","",IFERROR(INDEX(art_unit,MATCH(C4098,art_ref,0))&amp;"",""))</f>
        <v/>
      </c>
      <c r="G4098" s="37" t="n"/>
      <c r="H4098" s="37" t="n"/>
      <c r="I4098" s="37" t="n"/>
      <c r="J4098" s="40" t="str">
        <f>IF(OR(C4098="",NOT(ISNUMBER(E4098))),"",IFERROR(E4098*N(INDEX(art_price,MATCH(C4098,art_ref,0))),""))</f>
        <v/>
      </c>
      <c r="K4098" s="39" t="str">
        <f>IF(OR(C4098="",NOT(ISNUMBER(E4098))),"",IFERROR(ROUND(N(INDEX(art_init,MATCH(C4098,art_ref,0)))+SUMIFS($E$5:E4098,$C$5:C4098,C4098,$B$5:B4098,"Entrée")-SUMIFS($E$5:E4098,$C$5:C4098,C4098,$B$5:B4098,"Sortie"),6),""))</f>
        <v/>
      </c>
      <c r="L4098" s="39" t="str">
        <f>IF(COUNTA(A4098:C4098,E4098)=0,"",IF(COUNTA(A4098:C4098,E4098)&lt;4,"Ligne incomplète",IF(NOT(ISNUMBER(A4098)),"Date invalide",IF(AND(B4098&lt;&gt;"Entrée",B4098&lt;&gt;"Sortie"),"Type inconnu",IF(ISNA(MATCH(C4098,art_ref,0)),"Référence inconnue",IF(OR(NOT(ISNUMBER(E4098)),N(E4098)&lt;=0),"Quantité invalide",IF(K4098&lt;0,"Stock négatif",IF(AND(ISNUMBER(A4097),A4098&lt;A4097),"Date hors ordre","OK"))))))))</f>
        <v/>
      </c>
      <c r="M4098" s="39" t="str">
        <f>IF(C4098="","",C4098&amp;"#"&amp;COUNTIF($C$5:C4098,C4098))</f>
        <v/>
      </c>
    </row>
    <row r="4099">
      <c r="A4099" s="41" t="n"/>
      <c r="B4099" s="37" t="n"/>
      <c r="C4099" s="37" t="n"/>
      <c r="D4099" s="39" t="str">
        <f>IF(C4099="","",IFERROR(INDEX(art_des,MATCH(C4099,art_ref,0))&amp;"","Référence inconnue"))</f>
        <v/>
      </c>
      <c r="E4099" s="37" t="n"/>
      <c r="F4099" s="39" t="str">
        <f>IF(C4099="","",IFERROR(INDEX(art_unit,MATCH(C4099,art_ref,0))&amp;"",""))</f>
        <v/>
      </c>
      <c r="G4099" s="37" t="n"/>
      <c r="H4099" s="37" t="n"/>
      <c r="I4099" s="37" t="n"/>
      <c r="J4099" s="40" t="str">
        <f>IF(OR(C4099="",NOT(ISNUMBER(E4099))),"",IFERROR(E4099*N(INDEX(art_price,MATCH(C4099,art_ref,0))),""))</f>
        <v/>
      </c>
      <c r="K4099" s="39" t="str">
        <f>IF(OR(C4099="",NOT(ISNUMBER(E4099))),"",IFERROR(ROUND(N(INDEX(art_init,MATCH(C4099,art_ref,0)))+SUMIFS($E$5:E4099,$C$5:C4099,C4099,$B$5:B4099,"Entrée")-SUMIFS($E$5:E4099,$C$5:C4099,C4099,$B$5:B4099,"Sortie"),6),""))</f>
        <v/>
      </c>
      <c r="L4099" s="39" t="str">
        <f>IF(COUNTA(A4099:C4099,E4099)=0,"",IF(COUNTA(A4099:C4099,E4099)&lt;4,"Ligne incomplète",IF(NOT(ISNUMBER(A4099)),"Date invalide",IF(AND(B4099&lt;&gt;"Entrée",B4099&lt;&gt;"Sortie"),"Type inconnu",IF(ISNA(MATCH(C4099,art_ref,0)),"Référence inconnue",IF(OR(NOT(ISNUMBER(E4099)),N(E4099)&lt;=0),"Quantité invalide",IF(K4099&lt;0,"Stock négatif",IF(AND(ISNUMBER(A4098),A4099&lt;A4098),"Date hors ordre","OK"))))))))</f>
        <v/>
      </c>
      <c r="M4099" s="39" t="str">
        <f>IF(C4099="","",C4099&amp;"#"&amp;COUNTIF($C$5:C4099,C4099))</f>
        <v/>
      </c>
    </row>
    <row r="4100">
      <c r="A4100" s="41" t="n"/>
      <c r="B4100" s="37" t="n"/>
      <c r="C4100" s="37" t="n"/>
      <c r="D4100" s="39" t="str">
        <f>IF(C4100="","",IFERROR(INDEX(art_des,MATCH(C4100,art_ref,0))&amp;"","Référence inconnue"))</f>
        <v/>
      </c>
      <c r="E4100" s="37" t="n"/>
      <c r="F4100" s="39" t="str">
        <f>IF(C4100="","",IFERROR(INDEX(art_unit,MATCH(C4100,art_ref,0))&amp;"",""))</f>
        <v/>
      </c>
      <c r="G4100" s="37" t="n"/>
      <c r="H4100" s="37" t="n"/>
      <c r="I4100" s="37" t="n"/>
      <c r="J4100" s="40" t="str">
        <f>IF(OR(C4100="",NOT(ISNUMBER(E4100))),"",IFERROR(E4100*N(INDEX(art_price,MATCH(C4100,art_ref,0))),""))</f>
        <v/>
      </c>
      <c r="K4100" s="39" t="str">
        <f>IF(OR(C4100="",NOT(ISNUMBER(E4100))),"",IFERROR(ROUND(N(INDEX(art_init,MATCH(C4100,art_ref,0)))+SUMIFS($E$5:E4100,$C$5:C4100,C4100,$B$5:B4100,"Entrée")-SUMIFS($E$5:E4100,$C$5:C4100,C4100,$B$5:B4100,"Sortie"),6),""))</f>
        <v/>
      </c>
      <c r="L4100" s="39" t="str">
        <f>IF(COUNTA(A4100:C4100,E4100)=0,"",IF(COUNTA(A4100:C4100,E4100)&lt;4,"Ligne incomplète",IF(NOT(ISNUMBER(A4100)),"Date invalide",IF(AND(B4100&lt;&gt;"Entrée",B4100&lt;&gt;"Sortie"),"Type inconnu",IF(ISNA(MATCH(C4100,art_ref,0)),"Référence inconnue",IF(OR(NOT(ISNUMBER(E4100)),N(E4100)&lt;=0),"Quantité invalide",IF(K4100&lt;0,"Stock négatif",IF(AND(ISNUMBER(A4099),A4100&lt;A4099),"Date hors ordre","OK"))))))))</f>
        <v/>
      </c>
      <c r="M4100" s="39" t="str">
        <f>IF(C4100="","",C4100&amp;"#"&amp;COUNTIF($C$5:C4100,C4100))</f>
        <v/>
      </c>
    </row>
    <row r="4101">
      <c r="A4101" s="41" t="n"/>
      <c r="B4101" s="37" t="n"/>
      <c r="C4101" s="37" t="n"/>
      <c r="D4101" s="39" t="str">
        <f>IF(C4101="","",IFERROR(INDEX(art_des,MATCH(C4101,art_ref,0))&amp;"","Référence inconnue"))</f>
        <v/>
      </c>
      <c r="E4101" s="37" t="n"/>
      <c r="F4101" s="39" t="str">
        <f>IF(C4101="","",IFERROR(INDEX(art_unit,MATCH(C4101,art_ref,0))&amp;"",""))</f>
        <v/>
      </c>
      <c r="G4101" s="37" t="n"/>
      <c r="H4101" s="37" t="n"/>
      <c r="I4101" s="37" t="n"/>
      <c r="J4101" s="40" t="str">
        <f>IF(OR(C4101="",NOT(ISNUMBER(E4101))),"",IFERROR(E4101*N(INDEX(art_price,MATCH(C4101,art_ref,0))),""))</f>
        <v/>
      </c>
      <c r="K4101" s="39" t="str">
        <f>IF(OR(C4101="",NOT(ISNUMBER(E4101))),"",IFERROR(ROUND(N(INDEX(art_init,MATCH(C4101,art_ref,0)))+SUMIFS($E$5:E4101,$C$5:C4101,C4101,$B$5:B4101,"Entrée")-SUMIFS($E$5:E4101,$C$5:C4101,C4101,$B$5:B4101,"Sortie"),6),""))</f>
        <v/>
      </c>
      <c r="L4101" s="39" t="str">
        <f>IF(COUNTA(A4101:C4101,E4101)=0,"",IF(COUNTA(A4101:C4101,E4101)&lt;4,"Ligne incomplète",IF(NOT(ISNUMBER(A4101)),"Date invalide",IF(AND(B4101&lt;&gt;"Entrée",B4101&lt;&gt;"Sortie"),"Type inconnu",IF(ISNA(MATCH(C4101,art_ref,0)),"Référence inconnue",IF(OR(NOT(ISNUMBER(E4101)),N(E4101)&lt;=0),"Quantité invalide",IF(K4101&lt;0,"Stock négatif",IF(AND(ISNUMBER(A4100),A4101&lt;A4100),"Date hors ordre","OK"))))))))</f>
        <v/>
      </c>
      <c r="M4101" s="39" t="str">
        <f>IF(C4101="","",C4101&amp;"#"&amp;COUNTIF($C$5:C4101,C4101))</f>
        <v/>
      </c>
    </row>
    <row r="4102">
      <c r="A4102" s="41" t="n"/>
      <c r="B4102" s="37" t="n"/>
      <c r="C4102" s="37" t="n"/>
      <c r="D4102" s="39" t="str">
        <f>IF(C4102="","",IFERROR(INDEX(art_des,MATCH(C4102,art_ref,0))&amp;"","Référence inconnue"))</f>
        <v/>
      </c>
      <c r="E4102" s="37" t="n"/>
      <c r="F4102" s="39" t="str">
        <f>IF(C4102="","",IFERROR(INDEX(art_unit,MATCH(C4102,art_ref,0))&amp;"",""))</f>
        <v/>
      </c>
      <c r="G4102" s="37" t="n"/>
      <c r="H4102" s="37" t="n"/>
      <c r="I4102" s="37" t="n"/>
      <c r="J4102" s="40" t="str">
        <f>IF(OR(C4102="",NOT(ISNUMBER(E4102))),"",IFERROR(E4102*N(INDEX(art_price,MATCH(C4102,art_ref,0))),""))</f>
        <v/>
      </c>
      <c r="K4102" s="39" t="str">
        <f>IF(OR(C4102="",NOT(ISNUMBER(E4102))),"",IFERROR(ROUND(N(INDEX(art_init,MATCH(C4102,art_ref,0)))+SUMIFS($E$5:E4102,$C$5:C4102,C4102,$B$5:B4102,"Entrée")-SUMIFS($E$5:E4102,$C$5:C4102,C4102,$B$5:B4102,"Sortie"),6),""))</f>
        <v/>
      </c>
      <c r="L4102" s="39" t="str">
        <f>IF(COUNTA(A4102:C4102,E4102)=0,"",IF(COUNTA(A4102:C4102,E4102)&lt;4,"Ligne incomplète",IF(NOT(ISNUMBER(A4102)),"Date invalide",IF(AND(B4102&lt;&gt;"Entrée",B4102&lt;&gt;"Sortie"),"Type inconnu",IF(ISNA(MATCH(C4102,art_ref,0)),"Référence inconnue",IF(OR(NOT(ISNUMBER(E4102)),N(E4102)&lt;=0),"Quantité invalide",IF(K4102&lt;0,"Stock négatif",IF(AND(ISNUMBER(A4101),A4102&lt;A4101),"Date hors ordre","OK"))))))))</f>
        <v/>
      </c>
      <c r="M4102" s="39" t="str">
        <f>IF(C4102="","",C4102&amp;"#"&amp;COUNTIF($C$5:C4102,C4102))</f>
        <v/>
      </c>
    </row>
    <row r="4103">
      <c r="A4103" s="41" t="n"/>
      <c r="B4103" s="37" t="n"/>
      <c r="C4103" s="37" t="n"/>
      <c r="D4103" s="39" t="str">
        <f>IF(C4103="","",IFERROR(INDEX(art_des,MATCH(C4103,art_ref,0))&amp;"","Référence inconnue"))</f>
        <v/>
      </c>
      <c r="E4103" s="37" t="n"/>
      <c r="F4103" s="39" t="str">
        <f>IF(C4103="","",IFERROR(INDEX(art_unit,MATCH(C4103,art_ref,0))&amp;"",""))</f>
        <v/>
      </c>
      <c r="G4103" s="37" t="n"/>
      <c r="H4103" s="37" t="n"/>
      <c r="I4103" s="37" t="n"/>
      <c r="J4103" s="40" t="str">
        <f>IF(OR(C4103="",NOT(ISNUMBER(E4103))),"",IFERROR(E4103*N(INDEX(art_price,MATCH(C4103,art_ref,0))),""))</f>
        <v/>
      </c>
      <c r="K4103" s="39" t="str">
        <f>IF(OR(C4103="",NOT(ISNUMBER(E4103))),"",IFERROR(ROUND(N(INDEX(art_init,MATCH(C4103,art_ref,0)))+SUMIFS($E$5:E4103,$C$5:C4103,C4103,$B$5:B4103,"Entrée")-SUMIFS($E$5:E4103,$C$5:C4103,C4103,$B$5:B4103,"Sortie"),6),""))</f>
        <v/>
      </c>
      <c r="L4103" s="39" t="str">
        <f>IF(COUNTA(A4103:C4103,E4103)=0,"",IF(COUNTA(A4103:C4103,E4103)&lt;4,"Ligne incomplète",IF(NOT(ISNUMBER(A4103)),"Date invalide",IF(AND(B4103&lt;&gt;"Entrée",B4103&lt;&gt;"Sortie"),"Type inconnu",IF(ISNA(MATCH(C4103,art_ref,0)),"Référence inconnue",IF(OR(NOT(ISNUMBER(E4103)),N(E4103)&lt;=0),"Quantité invalide",IF(K4103&lt;0,"Stock négatif",IF(AND(ISNUMBER(A4102),A4103&lt;A4102),"Date hors ordre","OK"))))))))</f>
        <v/>
      </c>
      <c r="M4103" s="39" t="str">
        <f>IF(C4103="","",C4103&amp;"#"&amp;COUNTIF($C$5:C4103,C4103))</f>
        <v/>
      </c>
    </row>
    <row r="4104">
      <c r="A4104" s="41" t="n"/>
      <c r="B4104" s="37" t="n"/>
      <c r="C4104" s="37" t="n"/>
      <c r="D4104" s="39" t="str">
        <f>IF(C4104="","",IFERROR(INDEX(art_des,MATCH(C4104,art_ref,0))&amp;"","Référence inconnue"))</f>
        <v/>
      </c>
      <c r="E4104" s="37" t="n"/>
      <c r="F4104" s="39" t="str">
        <f>IF(C4104="","",IFERROR(INDEX(art_unit,MATCH(C4104,art_ref,0))&amp;"",""))</f>
        <v/>
      </c>
      <c r="G4104" s="37" t="n"/>
      <c r="H4104" s="37" t="n"/>
      <c r="I4104" s="37" t="n"/>
      <c r="J4104" s="40" t="str">
        <f>IF(OR(C4104="",NOT(ISNUMBER(E4104))),"",IFERROR(E4104*N(INDEX(art_price,MATCH(C4104,art_ref,0))),""))</f>
        <v/>
      </c>
      <c r="K4104" s="39" t="str">
        <f>IF(OR(C4104="",NOT(ISNUMBER(E4104))),"",IFERROR(ROUND(N(INDEX(art_init,MATCH(C4104,art_ref,0)))+SUMIFS($E$5:E4104,$C$5:C4104,C4104,$B$5:B4104,"Entrée")-SUMIFS($E$5:E4104,$C$5:C4104,C4104,$B$5:B4104,"Sortie"),6),""))</f>
        <v/>
      </c>
      <c r="L4104" s="39" t="str">
        <f>IF(COUNTA(A4104:C4104,E4104)=0,"",IF(COUNTA(A4104:C4104,E4104)&lt;4,"Ligne incomplète",IF(NOT(ISNUMBER(A4104)),"Date invalide",IF(AND(B4104&lt;&gt;"Entrée",B4104&lt;&gt;"Sortie"),"Type inconnu",IF(ISNA(MATCH(C4104,art_ref,0)),"Référence inconnue",IF(OR(NOT(ISNUMBER(E4104)),N(E4104)&lt;=0),"Quantité invalide",IF(K4104&lt;0,"Stock négatif",IF(AND(ISNUMBER(A4103),A4104&lt;A4103),"Date hors ordre","OK"))))))))</f>
        <v/>
      </c>
      <c r="M4104" s="39" t="str">
        <f>IF(C4104="","",C4104&amp;"#"&amp;COUNTIF($C$5:C4104,C4104))</f>
        <v/>
      </c>
    </row>
    <row r="4105">
      <c r="A4105" s="41" t="n"/>
      <c r="B4105" s="37" t="n"/>
      <c r="C4105" s="37" t="n"/>
      <c r="D4105" s="39" t="str">
        <f>IF(C4105="","",IFERROR(INDEX(art_des,MATCH(C4105,art_ref,0))&amp;"","Référence inconnue"))</f>
        <v/>
      </c>
      <c r="E4105" s="37" t="n"/>
      <c r="F4105" s="39" t="str">
        <f>IF(C4105="","",IFERROR(INDEX(art_unit,MATCH(C4105,art_ref,0))&amp;"",""))</f>
        <v/>
      </c>
      <c r="G4105" s="37" t="n"/>
      <c r="H4105" s="37" t="n"/>
      <c r="I4105" s="37" t="n"/>
      <c r="J4105" s="40" t="str">
        <f>IF(OR(C4105="",NOT(ISNUMBER(E4105))),"",IFERROR(E4105*N(INDEX(art_price,MATCH(C4105,art_ref,0))),""))</f>
        <v/>
      </c>
      <c r="K4105" s="39" t="str">
        <f>IF(OR(C4105="",NOT(ISNUMBER(E4105))),"",IFERROR(ROUND(N(INDEX(art_init,MATCH(C4105,art_ref,0)))+SUMIFS($E$5:E4105,$C$5:C4105,C4105,$B$5:B4105,"Entrée")-SUMIFS($E$5:E4105,$C$5:C4105,C4105,$B$5:B4105,"Sortie"),6),""))</f>
        <v/>
      </c>
      <c r="L4105" s="39" t="str">
        <f>IF(COUNTA(A4105:C4105,E4105)=0,"",IF(COUNTA(A4105:C4105,E4105)&lt;4,"Ligne incomplète",IF(NOT(ISNUMBER(A4105)),"Date invalide",IF(AND(B4105&lt;&gt;"Entrée",B4105&lt;&gt;"Sortie"),"Type inconnu",IF(ISNA(MATCH(C4105,art_ref,0)),"Référence inconnue",IF(OR(NOT(ISNUMBER(E4105)),N(E4105)&lt;=0),"Quantité invalide",IF(K4105&lt;0,"Stock négatif",IF(AND(ISNUMBER(A4104),A4105&lt;A4104),"Date hors ordre","OK"))))))))</f>
        <v/>
      </c>
      <c r="M4105" s="39" t="str">
        <f>IF(C4105="","",C4105&amp;"#"&amp;COUNTIF($C$5:C4105,C4105))</f>
        <v/>
      </c>
    </row>
    <row r="4106">
      <c r="A4106" s="41" t="n"/>
      <c r="B4106" s="37" t="n"/>
      <c r="C4106" s="37" t="n"/>
      <c r="D4106" s="39" t="str">
        <f>IF(C4106="","",IFERROR(INDEX(art_des,MATCH(C4106,art_ref,0))&amp;"","Référence inconnue"))</f>
        <v/>
      </c>
      <c r="E4106" s="37" t="n"/>
      <c r="F4106" s="39" t="str">
        <f>IF(C4106="","",IFERROR(INDEX(art_unit,MATCH(C4106,art_ref,0))&amp;"",""))</f>
        <v/>
      </c>
      <c r="G4106" s="37" t="n"/>
      <c r="H4106" s="37" t="n"/>
      <c r="I4106" s="37" t="n"/>
      <c r="J4106" s="40" t="str">
        <f>IF(OR(C4106="",NOT(ISNUMBER(E4106))),"",IFERROR(E4106*N(INDEX(art_price,MATCH(C4106,art_ref,0))),""))</f>
        <v/>
      </c>
      <c r="K4106" s="39" t="str">
        <f>IF(OR(C4106="",NOT(ISNUMBER(E4106))),"",IFERROR(ROUND(N(INDEX(art_init,MATCH(C4106,art_ref,0)))+SUMIFS($E$5:E4106,$C$5:C4106,C4106,$B$5:B4106,"Entrée")-SUMIFS($E$5:E4106,$C$5:C4106,C4106,$B$5:B4106,"Sortie"),6),""))</f>
        <v/>
      </c>
      <c r="L4106" s="39" t="str">
        <f>IF(COUNTA(A4106:C4106,E4106)=0,"",IF(COUNTA(A4106:C4106,E4106)&lt;4,"Ligne incomplète",IF(NOT(ISNUMBER(A4106)),"Date invalide",IF(AND(B4106&lt;&gt;"Entrée",B4106&lt;&gt;"Sortie"),"Type inconnu",IF(ISNA(MATCH(C4106,art_ref,0)),"Référence inconnue",IF(OR(NOT(ISNUMBER(E4106)),N(E4106)&lt;=0),"Quantité invalide",IF(K4106&lt;0,"Stock négatif",IF(AND(ISNUMBER(A4105),A4106&lt;A4105),"Date hors ordre","OK"))))))))</f>
        <v/>
      </c>
      <c r="M4106" s="39" t="str">
        <f>IF(C4106="","",C4106&amp;"#"&amp;COUNTIF($C$5:C4106,C4106))</f>
        <v/>
      </c>
    </row>
    <row r="4107">
      <c r="A4107" s="41" t="n"/>
      <c r="B4107" s="37" t="n"/>
      <c r="C4107" s="37" t="n"/>
      <c r="D4107" s="39" t="str">
        <f>IF(C4107="","",IFERROR(INDEX(art_des,MATCH(C4107,art_ref,0))&amp;"","Référence inconnue"))</f>
        <v/>
      </c>
      <c r="E4107" s="37" t="n"/>
      <c r="F4107" s="39" t="str">
        <f>IF(C4107="","",IFERROR(INDEX(art_unit,MATCH(C4107,art_ref,0))&amp;"",""))</f>
        <v/>
      </c>
      <c r="G4107" s="37" t="n"/>
      <c r="H4107" s="37" t="n"/>
      <c r="I4107" s="37" t="n"/>
      <c r="J4107" s="40" t="str">
        <f>IF(OR(C4107="",NOT(ISNUMBER(E4107))),"",IFERROR(E4107*N(INDEX(art_price,MATCH(C4107,art_ref,0))),""))</f>
        <v/>
      </c>
      <c r="K4107" s="39" t="str">
        <f>IF(OR(C4107="",NOT(ISNUMBER(E4107))),"",IFERROR(ROUND(N(INDEX(art_init,MATCH(C4107,art_ref,0)))+SUMIFS($E$5:E4107,$C$5:C4107,C4107,$B$5:B4107,"Entrée")-SUMIFS($E$5:E4107,$C$5:C4107,C4107,$B$5:B4107,"Sortie"),6),""))</f>
        <v/>
      </c>
      <c r="L4107" s="39" t="str">
        <f>IF(COUNTA(A4107:C4107,E4107)=0,"",IF(COUNTA(A4107:C4107,E4107)&lt;4,"Ligne incomplète",IF(NOT(ISNUMBER(A4107)),"Date invalide",IF(AND(B4107&lt;&gt;"Entrée",B4107&lt;&gt;"Sortie"),"Type inconnu",IF(ISNA(MATCH(C4107,art_ref,0)),"Référence inconnue",IF(OR(NOT(ISNUMBER(E4107)),N(E4107)&lt;=0),"Quantité invalide",IF(K4107&lt;0,"Stock négatif",IF(AND(ISNUMBER(A4106),A4107&lt;A4106),"Date hors ordre","OK"))))))))</f>
        <v/>
      </c>
      <c r="M4107" s="39" t="str">
        <f>IF(C4107="","",C4107&amp;"#"&amp;COUNTIF($C$5:C4107,C4107))</f>
        <v/>
      </c>
    </row>
    <row r="4108">
      <c r="A4108" s="41" t="n"/>
      <c r="B4108" s="37" t="n"/>
      <c r="C4108" s="37" t="n"/>
      <c r="D4108" s="39" t="str">
        <f>IF(C4108="","",IFERROR(INDEX(art_des,MATCH(C4108,art_ref,0))&amp;"","Référence inconnue"))</f>
        <v/>
      </c>
      <c r="E4108" s="37" t="n"/>
      <c r="F4108" s="39" t="str">
        <f>IF(C4108="","",IFERROR(INDEX(art_unit,MATCH(C4108,art_ref,0))&amp;"",""))</f>
        <v/>
      </c>
      <c r="G4108" s="37" t="n"/>
      <c r="H4108" s="37" t="n"/>
      <c r="I4108" s="37" t="n"/>
      <c r="J4108" s="40" t="str">
        <f>IF(OR(C4108="",NOT(ISNUMBER(E4108))),"",IFERROR(E4108*N(INDEX(art_price,MATCH(C4108,art_ref,0))),""))</f>
        <v/>
      </c>
      <c r="K4108" s="39" t="str">
        <f>IF(OR(C4108="",NOT(ISNUMBER(E4108))),"",IFERROR(ROUND(N(INDEX(art_init,MATCH(C4108,art_ref,0)))+SUMIFS($E$5:E4108,$C$5:C4108,C4108,$B$5:B4108,"Entrée")-SUMIFS($E$5:E4108,$C$5:C4108,C4108,$B$5:B4108,"Sortie"),6),""))</f>
        <v/>
      </c>
      <c r="L4108" s="39" t="str">
        <f>IF(COUNTA(A4108:C4108,E4108)=0,"",IF(COUNTA(A4108:C4108,E4108)&lt;4,"Ligne incomplète",IF(NOT(ISNUMBER(A4108)),"Date invalide",IF(AND(B4108&lt;&gt;"Entrée",B4108&lt;&gt;"Sortie"),"Type inconnu",IF(ISNA(MATCH(C4108,art_ref,0)),"Référence inconnue",IF(OR(NOT(ISNUMBER(E4108)),N(E4108)&lt;=0),"Quantité invalide",IF(K4108&lt;0,"Stock négatif",IF(AND(ISNUMBER(A4107),A4108&lt;A4107),"Date hors ordre","OK"))))))))</f>
        <v/>
      </c>
      <c r="M4108" s="39" t="str">
        <f>IF(C4108="","",C4108&amp;"#"&amp;COUNTIF($C$5:C4108,C4108))</f>
        <v/>
      </c>
    </row>
    <row r="4109">
      <c r="A4109" s="41" t="n"/>
      <c r="B4109" s="37" t="n"/>
      <c r="C4109" s="37" t="n"/>
      <c r="D4109" s="39" t="str">
        <f>IF(C4109="","",IFERROR(INDEX(art_des,MATCH(C4109,art_ref,0))&amp;"","Référence inconnue"))</f>
        <v/>
      </c>
      <c r="E4109" s="37" t="n"/>
      <c r="F4109" s="39" t="str">
        <f>IF(C4109="","",IFERROR(INDEX(art_unit,MATCH(C4109,art_ref,0))&amp;"",""))</f>
        <v/>
      </c>
      <c r="G4109" s="37" t="n"/>
      <c r="H4109" s="37" t="n"/>
      <c r="I4109" s="37" t="n"/>
      <c r="J4109" s="40" t="str">
        <f>IF(OR(C4109="",NOT(ISNUMBER(E4109))),"",IFERROR(E4109*N(INDEX(art_price,MATCH(C4109,art_ref,0))),""))</f>
        <v/>
      </c>
      <c r="K4109" s="39" t="str">
        <f>IF(OR(C4109="",NOT(ISNUMBER(E4109))),"",IFERROR(ROUND(N(INDEX(art_init,MATCH(C4109,art_ref,0)))+SUMIFS($E$5:E4109,$C$5:C4109,C4109,$B$5:B4109,"Entrée")-SUMIFS($E$5:E4109,$C$5:C4109,C4109,$B$5:B4109,"Sortie"),6),""))</f>
        <v/>
      </c>
      <c r="L4109" s="39" t="str">
        <f>IF(COUNTA(A4109:C4109,E4109)=0,"",IF(COUNTA(A4109:C4109,E4109)&lt;4,"Ligne incomplète",IF(NOT(ISNUMBER(A4109)),"Date invalide",IF(AND(B4109&lt;&gt;"Entrée",B4109&lt;&gt;"Sortie"),"Type inconnu",IF(ISNA(MATCH(C4109,art_ref,0)),"Référence inconnue",IF(OR(NOT(ISNUMBER(E4109)),N(E4109)&lt;=0),"Quantité invalide",IF(K4109&lt;0,"Stock négatif",IF(AND(ISNUMBER(A4108),A4109&lt;A4108),"Date hors ordre","OK"))))))))</f>
        <v/>
      </c>
      <c r="M4109" s="39" t="str">
        <f>IF(C4109="","",C4109&amp;"#"&amp;COUNTIF($C$5:C4109,C4109))</f>
        <v/>
      </c>
    </row>
    <row r="4110">
      <c r="A4110" s="41" t="n"/>
      <c r="B4110" s="37" t="n"/>
      <c r="C4110" s="37" t="n"/>
      <c r="D4110" s="39" t="str">
        <f>IF(C4110="","",IFERROR(INDEX(art_des,MATCH(C4110,art_ref,0))&amp;"","Référence inconnue"))</f>
        <v/>
      </c>
      <c r="E4110" s="37" t="n"/>
      <c r="F4110" s="39" t="str">
        <f>IF(C4110="","",IFERROR(INDEX(art_unit,MATCH(C4110,art_ref,0))&amp;"",""))</f>
        <v/>
      </c>
      <c r="G4110" s="37" t="n"/>
      <c r="H4110" s="37" t="n"/>
      <c r="I4110" s="37" t="n"/>
      <c r="J4110" s="40" t="str">
        <f>IF(OR(C4110="",NOT(ISNUMBER(E4110))),"",IFERROR(E4110*N(INDEX(art_price,MATCH(C4110,art_ref,0))),""))</f>
        <v/>
      </c>
      <c r="K4110" s="39" t="str">
        <f>IF(OR(C4110="",NOT(ISNUMBER(E4110))),"",IFERROR(ROUND(N(INDEX(art_init,MATCH(C4110,art_ref,0)))+SUMIFS($E$5:E4110,$C$5:C4110,C4110,$B$5:B4110,"Entrée")-SUMIFS($E$5:E4110,$C$5:C4110,C4110,$B$5:B4110,"Sortie"),6),""))</f>
        <v/>
      </c>
      <c r="L4110" s="39" t="str">
        <f>IF(COUNTA(A4110:C4110,E4110)=0,"",IF(COUNTA(A4110:C4110,E4110)&lt;4,"Ligne incomplète",IF(NOT(ISNUMBER(A4110)),"Date invalide",IF(AND(B4110&lt;&gt;"Entrée",B4110&lt;&gt;"Sortie"),"Type inconnu",IF(ISNA(MATCH(C4110,art_ref,0)),"Référence inconnue",IF(OR(NOT(ISNUMBER(E4110)),N(E4110)&lt;=0),"Quantité invalide",IF(K4110&lt;0,"Stock négatif",IF(AND(ISNUMBER(A4109),A4110&lt;A4109),"Date hors ordre","OK"))))))))</f>
        <v/>
      </c>
      <c r="M4110" s="39" t="str">
        <f>IF(C4110="","",C4110&amp;"#"&amp;COUNTIF($C$5:C4110,C4110))</f>
        <v/>
      </c>
    </row>
    <row r="4111">
      <c r="A4111" s="41" t="n"/>
      <c r="B4111" s="37" t="n"/>
      <c r="C4111" s="37" t="n"/>
      <c r="D4111" s="39" t="str">
        <f>IF(C4111="","",IFERROR(INDEX(art_des,MATCH(C4111,art_ref,0))&amp;"","Référence inconnue"))</f>
        <v/>
      </c>
      <c r="E4111" s="37" t="n"/>
      <c r="F4111" s="39" t="str">
        <f>IF(C4111="","",IFERROR(INDEX(art_unit,MATCH(C4111,art_ref,0))&amp;"",""))</f>
        <v/>
      </c>
      <c r="G4111" s="37" t="n"/>
      <c r="H4111" s="37" t="n"/>
      <c r="I4111" s="37" t="n"/>
      <c r="J4111" s="40" t="str">
        <f>IF(OR(C4111="",NOT(ISNUMBER(E4111))),"",IFERROR(E4111*N(INDEX(art_price,MATCH(C4111,art_ref,0))),""))</f>
        <v/>
      </c>
      <c r="K4111" s="39" t="str">
        <f>IF(OR(C4111="",NOT(ISNUMBER(E4111))),"",IFERROR(ROUND(N(INDEX(art_init,MATCH(C4111,art_ref,0)))+SUMIFS($E$5:E4111,$C$5:C4111,C4111,$B$5:B4111,"Entrée")-SUMIFS($E$5:E4111,$C$5:C4111,C4111,$B$5:B4111,"Sortie"),6),""))</f>
        <v/>
      </c>
      <c r="L4111" s="39" t="str">
        <f>IF(COUNTA(A4111:C4111,E4111)=0,"",IF(COUNTA(A4111:C4111,E4111)&lt;4,"Ligne incomplète",IF(NOT(ISNUMBER(A4111)),"Date invalide",IF(AND(B4111&lt;&gt;"Entrée",B4111&lt;&gt;"Sortie"),"Type inconnu",IF(ISNA(MATCH(C4111,art_ref,0)),"Référence inconnue",IF(OR(NOT(ISNUMBER(E4111)),N(E4111)&lt;=0),"Quantité invalide",IF(K4111&lt;0,"Stock négatif",IF(AND(ISNUMBER(A4110),A4111&lt;A4110),"Date hors ordre","OK"))))))))</f>
        <v/>
      </c>
      <c r="M4111" s="39" t="str">
        <f>IF(C4111="","",C4111&amp;"#"&amp;COUNTIF($C$5:C4111,C4111))</f>
        <v/>
      </c>
    </row>
    <row r="4112">
      <c r="A4112" s="41" t="n"/>
      <c r="B4112" s="37" t="n"/>
      <c r="C4112" s="37" t="n"/>
      <c r="D4112" s="39" t="str">
        <f>IF(C4112="","",IFERROR(INDEX(art_des,MATCH(C4112,art_ref,0))&amp;"","Référence inconnue"))</f>
        <v/>
      </c>
      <c r="E4112" s="37" t="n"/>
      <c r="F4112" s="39" t="str">
        <f>IF(C4112="","",IFERROR(INDEX(art_unit,MATCH(C4112,art_ref,0))&amp;"",""))</f>
        <v/>
      </c>
      <c r="G4112" s="37" t="n"/>
      <c r="H4112" s="37" t="n"/>
      <c r="I4112" s="37" t="n"/>
      <c r="J4112" s="40" t="str">
        <f>IF(OR(C4112="",NOT(ISNUMBER(E4112))),"",IFERROR(E4112*N(INDEX(art_price,MATCH(C4112,art_ref,0))),""))</f>
        <v/>
      </c>
      <c r="K4112" s="39" t="str">
        <f>IF(OR(C4112="",NOT(ISNUMBER(E4112))),"",IFERROR(ROUND(N(INDEX(art_init,MATCH(C4112,art_ref,0)))+SUMIFS($E$5:E4112,$C$5:C4112,C4112,$B$5:B4112,"Entrée")-SUMIFS($E$5:E4112,$C$5:C4112,C4112,$B$5:B4112,"Sortie"),6),""))</f>
        <v/>
      </c>
      <c r="L4112" s="39" t="str">
        <f>IF(COUNTA(A4112:C4112,E4112)=0,"",IF(COUNTA(A4112:C4112,E4112)&lt;4,"Ligne incomplète",IF(NOT(ISNUMBER(A4112)),"Date invalide",IF(AND(B4112&lt;&gt;"Entrée",B4112&lt;&gt;"Sortie"),"Type inconnu",IF(ISNA(MATCH(C4112,art_ref,0)),"Référence inconnue",IF(OR(NOT(ISNUMBER(E4112)),N(E4112)&lt;=0),"Quantité invalide",IF(K4112&lt;0,"Stock négatif",IF(AND(ISNUMBER(A4111),A4112&lt;A4111),"Date hors ordre","OK"))))))))</f>
        <v/>
      </c>
      <c r="M4112" s="39" t="str">
        <f>IF(C4112="","",C4112&amp;"#"&amp;COUNTIF($C$5:C4112,C4112))</f>
        <v/>
      </c>
    </row>
    <row r="4113">
      <c r="A4113" s="41" t="n"/>
      <c r="B4113" s="37" t="n"/>
      <c r="C4113" s="37" t="n"/>
      <c r="D4113" s="39" t="str">
        <f>IF(C4113="","",IFERROR(INDEX(art_des,MATCH(C4113,art_ref,0))&amp;"","Référence inconnue"))</f>
        <v/>
      </c>
      <c r="E4113" s="37" t="n"/>
      <c r="F4113" s="39" t="str">
        <f>IF(C4113="","",IFERROR(INDEX(art_unit,MATCH(C4113,art_ref,0))&amp;"",""))</f>
        <v/>
      </c>
      <c r="G4113" s="37" t="n"/>
      <c r="H4113" s="37" t="n"/>
      <c r="I4113" s="37" t="n"/>
      <c r="J4113" s="40" t="str">
        <f>IF(OR(C4113="",NOT(ISNUMBER(E4113))),"",IFERROR(E4113*N(INDEX(art_price,MATCH(C4113,art_ref,0))),""))</f>
        <v/>
      </c>
      <c r="K4113" s="39" t="str">
        <f>IF(OR(C4113="",NOT(ISNUMBER(E4113))),"",IFERROR(ROUND(N(INDEX(art_init,MATCH(C4113,art_ref,0)))+SUMIFS($E$5:E4113,$C$5:C4113,C4113,$B$5:B4113,"Entrée")-SUMIFS($E$5:E4113,$C$5:C4113,C4113,$B$5:B4113,"Sortie"),6),""))</f>
        <v/>
      </c>
      <c r="L4113" s="39" t="str">
        <f>IF(COUNTA(A4113:C4113,E4113)=0,"",IF(COUNTA(A4113:C4113,E4113)&lt;4,"Ligne incomplète",IF(NOT(ISNUMBER(A4113)),"Date invalide",IF(AND(B4113&lt;&gt;"Entrée",B4113&lt;&gt;"Sortie"),"Type inconnu",IF(ISNA(MATCH(C4113,art_ref,0)),"Référence inconnue",IF(OR(NOT(ISNUMBER(E4113)),N(E4113)&lt;=0),"Quantité invalide",IF(K4113&lt;0,"Stock négatif",IF(AND(ISNUMBER(A4112),A4113&lt;A4112),"Date hors ordre","OK"))))))))</f>
        <v/>
      </c>
      <c r="M4113" s="39" t="str">
        <f>IF(C4113="","",C4113&amp;"#"&amp;COUNTIF($C$5:C4113,C4113))</f>
        <v/>
      </c>
    </row>
    <row r="4114">
      <c r="A4114" s="41" t="n"/>
      <c r="B4114" s="37" t="n"/>
      <c r="C4114" s="37" t="n"/>
      <c r="D4114" s="39" t="str">
        <f>IF(C4114="","",IFERROR(INDEX(art_des,MATCH(C4114,art_ref,0))&amp;"","Référence inconnue"))</f>
        <v/>
      </c>
      <c r="E4114" s="37" t="n"/>
      <c r="F4114" s="39" t="str">
        <f>IF(C4114="","",IFERROR(INDEX(art_unit,MATCH(C4114,art_ref,0))&amp;"",""))</f>
        <v/>
      </c>
      <c r="G4114" s="37" t="n"/>
      <c r="H4114" s="37" t="n"/>
      <c r="I4114" s="37" t="n"/>
      <c r="J4114" s="40" t="str">
        <f>IF(OR(C4114="",NOT(ISNUMBER(E4114))),"",IFERROR(E4114*N(INDEX(art_price,MATCH(C4114,art_ref,0))),""))</f>
        <v/>
      </c>
      <c r="K4114" s="39" t="str">
        <f>IF(OR(C4114="",NOT(ISNUMBER(E4114))),"",IFERROR(ROUND(N(INDEX(art_init,MATCH(C4114,art_ref,0)))+SUMIFS($E$5:E4114,$C$5:C4114,C4114,$B$5:B4114,"Entrée")-SUMIFS($E$5:E4114,$C$5:C4114,C4114,$B$5:B4114,"Sortie"),6),""))</f>
        <v/>
      </c>
      <c r="L4114" s="39" t="str">
        <f>IF(COUNTA(A4114:C4114,E4114)=0,"",IF(COUNTA(A4114:C4114,E4114)&lt;4,"Ligne incomplète",IF(NOT(ISNUMBER(A4114)),"Date invalide",IF(AND(B4114&lt;&gt;"Entrée",B4114&lt;&gt;"Sortie"),"Type inconnu",IF(ISNA(MATCH(C4114,art_ref,0)),"Référence inconnue",IF(OR(NOT(ISNUMBER(E4114)),N(E4114)&lt;=0),"Quantité invalide",IF(K4114&lt;0,"Stock négatif",IF(AND(ISNUMBER(A4113),A4114&lt;A4113),"Date hors ordre","OK"))))))))</f>
        <v/>
      </c>
      <c r="M4114" s="39" t="str">
        <f>IF(C4114="","",C4114&amp;"#"&amp;COUNTIF($C$5:C4114,C4114))</f>
        <v/>
      </c>
    </row>
    <row r="4115">
      <c r="A4115" s="41" t="n"/>
      <c r="B4115" s="37" t="n"/>
      <c r="C4115" s="37" t="n"/>
      <c r="D4115" s="39" t="str">
        <f>IF(C4115="","",IFERROR(INDEX(art_des,MATCH(C4115,art_ref,0))&amp;"","Référence inconnue"))</f>
        <v/>
      </c>
      <c r="E4115" s="37" t="n"/>
      <c r="F4115" s="39" t="str">
        <f>IF(C4115="","",IFERROR(INDEX(art_unit,MATCH(C4115,art_ref,0))&amp;"",""))</f>
        <v/>
      </c>
      <c r="G4115" s="37" t="n"/>
      <c r="H4115" s="37" t="n"/>
      <c r="I4115" s="37" t="n"/>
      <c r="J4115" s="40" t="str">
        <f>IF(OR(C4115="",NOT(ISNUMBER(E4115))),"",IFERROR(E4115*N(INDEX(art_price,MATCH(C4115,art_ref,0))),""))</f>
        <v/>
      </c>
      <c r="K4115" s="39" t="str">
        <f>IF(OR(C4115="",NOT(ISNUMBER(E4115))),"",IFERROR(ROUND(N(INDEX(art_init,MATCH(C4115,art_ref,0)))+SUMIFS($E$5:E4115,$C$5:C4115,C4115,$B$5:B4115,"Entrée")-SUMIFS($E$5:E4115,$C$5:C4115,C4115,$B$5:B4115,"Sortie"),6),""))</f>
        <v/>
      </c>
      <c r="L4115" s="39" t="str">
        <f>IF(COUNTA(A4115:C4115,E4115)=0,"",IF(COUNTA(A4115:C4115,E4115)&lt;4,"Ligne incomplète",IF(NOT(ISNUMBER(A4115)),"Date invalide",IF(AND(B4115&lt;&gt;"Entrée",B4115&lt;&gt;"Sortie"),"Type inconnu",IF(ISNA(MATCH(C4115,art_ref,0)),"Référence inconnue",IF(OR(NOT(ISNUMBER(E4115)),N(E4115)&lt;=0),"Quantité invalide",IF(K4115&lt;0,"Stock négatif",IF(AND(ISNUMBER(A4114),A4115&lt;A4114),"Date hors ordre","OK"))))))))</f>
        <v/>
      </c>
      <c r="M4115" s="39" t="str">
        <f>IF(C4115="","",C4115&amp;"#"&amp;COUNTIF($C$5:C4115,C4115))</f>
        <v/>
      </c>
    </row>
    <row r="4116">
      <c r="A4116" s="41" t="n"/>
      <c r="B4116" s="37" t="n"/>
      <c r="C4116" s="37" t="n"/>
      <c r="D4116" s="39" t="str">
        <f>IF(C4116="","",IFERROR(INDEX(art_des,MATCH(C4116,art_ref,0))&amp;"","Référence inconnue"))</f>
        <v/>
      </c>
      <c r="E4116" s="37" t="n"/>
      <c r="F4116" s="39" t="str">
        <f>IF(C4116="","",IFERROR(INDEX(art_unit,MATCH(C4116,art_ref,0))&amp;"",""))</f>
        <v/>
      </c>
      <c r="G4116" s="37" t="n"/>
      <c r="H4116" s="37" t="n"/>
      <c r="I4116" s="37" t="n"/>
      <c r="J4116" s="40" t="str">
        <f>IF(OR(C4116="",NOT(ISNUMBER(E4116))),"",IFERROR(E4116*N(INDEX(art_price,MATCH(C4116,art_ref,0))),""))</f>
        <v/>
      </c>
      <c r="K4116" s="39" t="str">
        <f>IF(OR(C4116="",NOT(ISNUMBER(E4116))),"",IFERROR(ROUND(N(INDEX(art_init,MATCH(C4116,art_ref,0)))+SUMIFS($E$5:E4116,$C$5:C4116,C4116,$B$5:B4116,"Entrée")-SUMIFS($E$5:E4116,$C$5:C4116,C4116,$B$5:B4116,"Sortie"),6),""))</f>
        <v/>
      </c>
      <c r="L4116" s="39" t="str">
        <f>IF(COUNTA(A4116:C4116,E4116)=0,"",IF(COUNTA(A4116:C4116,E4116)&lt;4,"Ligne incomplète",IF(NOT(ISNUMBER(A4116)),"Date invalide",IF(AND(B4116&lt;&gt;"Entrée",B4116&lt;&gt;"Sortie"),"Type inconnu",IF(ISNA(MATCH(C4116,art_ref,0)),"Référence inconnue",IF(OR(NOT(ISNUMBER(E4116)),N(E4116)&lt;=0),"Quantité invalide",IF(K4116&lt;0,"Stock négatif",IF(AND(ISNUMBER(A4115),A4116&lt;A4115),"Date hors ordre","OK"))))))))</f>
        <v/>
      </c>
      <c r="M4116" s="39" t="str">
        <f>IF(C4116="","",C4116&amp;"#"&amp;COUNTIF($C$5:C4116,C4116))</f>
        <v/>
      </c>
    </row>
    <row r="4117">
      <c r="A4117" s="41" t="n"/>
      <c r="B4117" s="37" t="n"/>
      <c r="C4117" s="37" t="n"/>
      <c r="D4117" s="39" t="str">
        <f>IF(C4117="","",IFERROR(INDEX(art_des,MATCH(C4117,art_ref,0))&amp;"","Référence inconnue"))</f>
        <v/>
      </c>
      <c r="E4117" s="37" t="n"/>
      <c r="F4117" s="39" t="str">
        <f>IF(C4117="","",IFERROR(INDEX(art_unit,MATCH(C4117,art_ref,0))&amp;"",""))</f>
        <v/>
      </c>
      <c r="G4117" s="37" t="n"/>
      <c r="H4117" s="37" t="n"/>
      <c r="I4117" s="37" t="n"/>
      <c r="J4117" s="40" t="str">
        <f>IF(OR(C4117="",NOT(ISNUMBER(E4117))),"",IFERROR(E4117*N(INDEX(art_price,MATCH(C4117,art_ref,0))),""))</f>
        <v/>
      </c>
      <c r="K4117" s="39" t="str">
        <f>IF(OR(C4117="",NOT(ISNUMBER(E4117))),"",IFERROR(ROUND(N(INDEX(art_init,MATCH(C4117,art_ref,0)))+SUMIFS($E$5:E4117,$C$5:C4117,C4117,$B$5:B4117,"Entrée")-SUMIFS($E$5:E4117,$C$5:C4117,C4117,$B$5:B4117,"Sortie"),6),""))</f>
        <v/>
      </c>
      <c r="L4117" s="39" t="str">
        <f>IF(COUNTA(A4117:C4117,E4117)=0,"",IF(COUNTA(A4117:C4117,E4117)&lt;4,"Ligne incomplète",IF(NOT(ISNUMBER(A4117)),"Date invalide",IF(AND(B4117&lt;&gt;"Entrée",B4117&lt;&gt;"Sortie"),"Type inconnu",IF(ISNA(MATCH(C4117,art_ref,0)),"Référence inconnue",IF(OR(NOT(ISNUMBER(E4117)),N(E4117)&lt;=0),"Quantité invalide",IF(K4117&lt;0,"Stock négatif",IF(AND(ISNUMBER(A4116),A4117&lt;A4116),"Date hors ordre","OK"))))))))</f>
        <v/>
      </c>
      <c r="M4117" s="39" t="str">
        <f>IF(C4117="","",C4117&amp;"#"&amp;COUNTIF($C$5:C4117,C4117))</f>
        <v/>
      </c>
    </row>
    <row r="4118">
      <c r="A4118" s="41" t="n"/>
      <c r="B4118" s="37" t="n"/>
      <c r="C4118" s="37" t="n"/>
      <c r="D4118" s="39" t="str">
        <f>IF(C4118="","",IFERROR(INDEX(art_des,MATCH(C4118,art_ref,0))&amp;"","Référence inconnue"))</f>
        <v/>
      </c>
      <c r="E4118" s="37" t="n"/>
      <c r="F4118" s="39" t="str">
        <f>IF(C4118="","",IFERROR(INDEX(art_unit,MATCH(C4118,art_ref,0))&amp;"",""))</f>
        <v/>
      </c>
      <c r="G4118" s="37" t="n"/>
      <c r="H4118" s="37" t="n"/>
      <c r="I4118" s="37" t="n"/>
      <c r="J4118" s="40" t="str">
        <f>IF(OR(C4118="",NOT(ISNUMBER(E4118))),"",IFERROR(E4118*N(INDEX(art_price,MATCH(C4118,art_ref,0))),""))</f>
        <v/>
      </c>
      <c r="K4118" s="39" t="str">
        <f>IF(OR(C4118="",NOT(ISNUMBER(E4118))),"",IFERROR(ROUND(N(INDEX(art_init,MATCH(C4118,art_ref,0)))+SUMIFS($E$5:E4118,$C$5:C4118,C4118,$B$5:B4118,"Entrée")-SUMIFS($E$5:E4118,$C$5:C4118,C4118,$B$5:B4118,"Sortie"),6),""))</f>
        <v/>
      </c>
      <c r="L4118" s="39" t="str">
        <f>IF(COUNTA(A4118:C4118,E4118)=0,"",IF(COUNTA(A4118:C4118,E4118)&lt;4,"Ligne incomplète",IF(NOT(ISNUMBER(A4118)),"Date invalide",IF(AND(B4118&lt;&gt;"Entrée",B4118&lt;&gt;"Sortie"),"Type inconnu",IF(ISNA(MATCH(C4118,art_ref,0)),"Référence inconnue",IF(OR(NOT(ISNUMBER(E4118)),N(E4118)&lt;=0),"Quantité invalide",IF(K4118&lt;0,"Stock négatif",IF(AND(ISNUMBER(A4117),A4118&lt;A4117),"Date hors ordre","OK"))))))))</f>
        <v/>
      </c>
      <c r="M4118" s="39" t="str">
        <f>IF(C4118="","",C4118&amp;"#"&amp;COUNTIF($C$5:C4118,C4118))</f>
        <v/>
      </c>
    </row>
    <row r="4119">
      <c r="A4119" s="41" t="n"/>
      <c r="B4119" s="37" t="n"/>
      <c r="C4119" s="37" t="n"/>
      <c r="D4119" s="39" t="str">
        <f>IF(C4119="","",IFERROR(INDEX(art_des,MATCH(C4119,art_ref,0))&amp;"","Référence inconnue"))</f>
        <v/>
      </c>
      <c r="E4119" s="37" t="n"/>
      <c r="F4119" s="39" t="str">
        <f>IF(C4119="","",IFERROR(INDEX(art_unit,MATCH(C4119,art_ref,0))&amp;"",""))</f>
        <v/>
      </c>
      <c r="G4119" s="37" t="n"/>
      <c r="H4119" s="37" t="n"/>
      <c r="I4119" s="37" t="n"/>
      <c r="J4119" s="40" t="str">
        <f>IF(OR(C4119="",NOT(ISNUMBER(E4119))),"",IFERROR(E4119*N(INDEX(art_price,MATCH(C4119,art_ref,0))),""))</f>
        <v/>
      </c>
      <c r="K4119" s="39" t="str">
        <f>IF(OR(C4119="",NOT(ISNUMBER(E4119))),"",IFERROR(ROUND(N(INDEX(art_init,MATCH(C4119,art_ref,0)))+SUMIFS($E$5:E4119,$C$5:C4119,C4119,$B$5:B4119,"Entrée")-SUMIFS($E$5:E4119,$C$5:C4119,C4119,$B$5:B4119,"Sortie"),6),""))</f>
        <v/>
      </c>
      <c r="L4119" s="39" t="str">
        <f>IF(COUNTA(A4119:C4119,E4119)=0,"",IF(COUNTA(A4119:C4119,E4119)&lt;4,"Ligne incomplète",IF(NOT(ISNUMBER(A4119)),"Date invalide",IF(AND(B4119&lt;&gt;"Entrée",B4119&lt;&gt;"Sortie"),"Type inconnu",IF(ISNA(MATCH(C4119,art_ref,0)),"Référence inconnue",IF(OR(NOT(ISNUMBER(E4119)),N(E4119)&lt;=0),"Quantité invalide",IF(K4119&lt;0,"Stock négatif",IF(AND(ISNUMBER(A4118),A4119&lt;A4118),"Date hors ordre","OK"))))))))</f>
        <v/>
      </c>
      <c r="M4119" s="39" t="str">
        <f>IF(C4119="","",C4119&amp;"#"&amp;COUNTIF($C$5:C4119,C4119))</f>
        <v/>
      </c>
    </row>
    <row r="4120">
      <c r="A4120" s="41" t="n"/>
      <c r="B4120" s="37" t="n"/>
      <c r="C4120" s="37" t="n"/>
      <c r="D4120" s="39" t="str">
        <f>IF(C4120="","",IFERROR(INDEX(art_des,MATCH(C4120,art_ref,0))&amp;"","Référence inconnue"))</f>
        <v/>
      </c>
      <c r="E4120" s="37" t="n"/>
      <c r="F4120" s="39" t="str">
        <f>IF(C4120="","",IFERROR(INDEX(art_unit,MATCH(C4120,art_ref,0))&amp;"",""))</f>
        <v/>
      </c>
      <c r="G4120" s="37" t="n"/>
      <c r="H4120" s="37" t="n"/>
      <c r="I4120" s="37" t="n"/>
      <c r="J4120" s="40" t="str">
        <f>IF(OR(C4120="",NOT(ISNUMBER(E4120))),"",IFERROR(E4120*N(INDEX(art_price,MATCH(C4120,art_ref,0))),""))</f>
        <v/>
      </c>
      <c r="K4120" s="39" t="str">
        <f>IF(OR(C4120="",NOT(ISNUMBER(E4120))),"",IFERROR(ROUND(N(INDEX(art_init,MATCH(C4120,art_ref,0)))+SUMIFS($E$5:E4120,$C$5:C4120,C4120,$B$5:B4120,"Entrée")-SUMIFS($E$5:E4120,$C$5:C4120,C4120,$B$5:B4120,"Sortie"),6),""))</f>
        <v/>
      </c>
      <c r="L4120" s="39" t="str">
        <f>IF(COUNTA(A4120:C4120,E4120)=0,"",IF(COUNTA(A4120:C4120,E4120)&lt;4,"Ligne incomplète",IF(NOT(ISNUMBER(A4120)),"Date invalide",IF(AND(B4120&lt;&gt;"Entrée",B4120&lt;&gt;"Sortie"),"Type inconnu",IF(ISNA(MATCH(C4120,art_ref,0)),"Référence inconnue",IF(OR(NOT(ISNUMBER(E4120)),N(E4120)&lt;=0),"Quantité invalide",IF(K4120&lt;0,"Stock négatif",IF(AND(ISNUMBER(A4119),A4120&lt;A4119),"Date hors ordre","OK"))))))))</f>
        <v/>
      </c>
      <c r="M4120" s="39" t="str">
        <f>IF(C4120="","",C4120&amp;"#"&amp;COUNTIF($C$5:C4120,C4120))</f>
        <v/>
      </c>
    </row>
    <row r="4121">
      <c r="A4121" s="41" t="n"/>
      <c r="B4121" s="37" t="n"/>
      <c r="C4121" s="37" t="n"/>
      <c r="D4121" s="39" t="str">
        <f>IF(C4121="","",IFERROR(INDEX(art_des,MATCH(C4121,art_ref,0))&amp;"","Référence inconnue"))</f>
        <v/>
      </c>
      <c r="E4121" s="37" t="n"/>
      <c r="F4121" s="39" t="str">
        <f>IF(C4121="","",IFERROR(INDEX(art_unit,MATCH(C4121,art_ref,0))&amp;"",""))</f>
        <v/>
      </c>
      <c r="G4121" s="37" t="n"/>
      <c r="H4121" s="37" t="n"/>
      <c r="I4121" s="37" t="n"/>
      <c r="J4121" s="40" t="str">
        <f>IF(OR(C4121="",NOT(ISNUMBER(E4121))),"",IFERROR(E4121*N(INDEX(art_price,MATCH(C4121,art_ref,0))),""))</f>
        <v/>
      </c>
      <c r="K4121" s="39" t="str">
        <f>IF(OR(C4121="",NOT(ISNUMBER(E4121))),"",IFERROR(ROUND(N(INDEX(art_init,MATCH(C4121,art_ref,0)))+SUMIFS($E$5:E4121,$C$5:C4121,C4121,$B$5:B4121,"Entrée")-SUMIFS($E$5:E4121,$C$5:C4121,C4121,$B$5:B4121,"Sortie"),6),""))</f>
        <v/>
      </c>
      <c r="L4121" s="39" t="str">
        <f>IF(COUNTA(A4121:C4121,E4121)=0,"",IF(COUNTA(A4121:C4121,E4121)&lt;4,"Ligne incomplète",IF(NOT(ISNUMBER(A4121)),"Date invalide",IF(AND(B4121&lt;&gt;"Entrée",B4121&lt;&gt;"Sortie"),"Type inconnu",IF(ISNA(MATCH(C4121,art_ref,0)),"Référence inconnue",IF(OR(NOT(ISNUMBER(E4121)),N(E4121)&lt;=0),"Quantité invalide",IF(K4121&lt;0,"Stock négatif",IF(AND(ISNUMBER(A4120),A4121&lt;A4120),"Date hors ordre","OK"))))))))</f>
        <v/>
      </c>
      <c r="M4121" s="39" t="str">
        <f>IF(C4121="","",C4121&amp;"#"&amp;COUNTIF($C$5:C4121,C4121))</f>
        <v/>
      </c>
    </row>
    <row r="4122">
      <c r="A4122" s="41" t="n"/>
      <c r="B4122" s="37" t="n"/>
      <c r="C4122" s="37" t="n"/>
      <c r="D4122" s="39" t="str">
        <f>IF(C4122="","",IFERROR(INDEX(art_des,MATCH(C4122,art_ref,0))&amp;"","Référence inconnue"))</f>
        <v/>
      </c>
      <c r="E4122" s="37" t="n"/>
      <c r="F4122" s="39" t="str">
        <f>IF(C4122="","",IFERROR(INDEX(art_unit,MATCH(C4122,art_ref,0))&amp;"",""))</f>
        <v/>
      </c>
      <c r="G4122" s="37" t="n"/>
      <c r="H4122" s="37" t="n"/>
      <c r="I4122" s="37" t="n"/>
      <c r="J4122" s="40" t="str">
        <f>IF(OR(C4122="",NOT(ISNUMBER(E4122))),"",IFERROR(E4122*N(INDEX(art_price,MATCH(C4122,art_ref,0))),""))</f>
        <v/>
      </c>
      <c r="K4122" s="39" t="str">
        <f>IF(OR(C4122="",NOT(ISNUMBER(E4122))),"",IFERROR(ROUND(N(INDEX(art_init,MATCH(C4122,art_ref,0)))+SUMIFS($E$5:E4122,$C$5:C4122,C4122,$B$5:B4122,"Entrée")-SUMIFS($E$5:E4122,$C$5:C4122,C4122,$B$5:B4122,"Sortie"),6),""))</f>
        <v/>
      </c>
      <c r="L4122" s="39" t="str">
        <f>IF(COUNTA(A4122:C4122,E4122)=0,"",IF(COUNTA(A4122:C4122,E4122)&lt;4,"Ligne incomplète",IF(NOT(ISNUMBER(A4122)),"Date invalide",IF(AND(B4122&lt;&gt;"Entrée",B4122&lt;&gt;"Sortie"),"Type inconnu",IF(ISNA(MATCH(C4122,art_ref,0)),"Référence inconnue",IF(OR(NOT(ISNUMBER(E4122)),N(E4122)&lt;=0),"Quantité invalide",IF(K4122&lt;0,"Stock négatif",IF(AND(ISNUMBER(A4121),A4122&lt;A4121),"Date hors ordre","OK"))))))))</f>
        <v/>
      </c>
      <c r="M4122" s="39" t="str">
        <f>IF(C4122="","",C4122&amp;"#"&amp;COUNTIF($C$5:C4122,C4122))</f>
        <v/>
      </c>
    </row>
    <row r="4123">
      <c r="A4123" s="41" t="n"/>
      <c r="B4123" s="37" t="n"/>
      <c r="C4123" s="37" t="n"/>
      <c r="D4123" s="39" t="str">
        <f>IF(C4123="","",IFERROR(INDEX(art_des,MATCH(C4123,art_ref,0))&amp;"","Référence inconnue"))</f>
        <v/>
      </c>
      <c r="E4123" s="37" t="n"/>
      <c r="F4123" s="39" t="str">
        <f>IF(C4123="","",IFERROR(INDEX(art_unit,MATCH(C4123,art_ref,0))&amp;"",""))</f>
        <v/>
      </c>
      <c r="G4123" s="37" t="n"/>
      <c r="H4123" s="37" t="n"/>
      <c r="I4123" s="37" t="n"/>
      <c r="J4123" s="40" t="str">
        <f>IF(OR(C4123="",NOT(ISNUMBER(E4123))),"",IFERROR(E4123*N(INDEX(art_price,MATCH(C4123,art_ref,0))),""))</f>
        <v/>
      </c>
      <c r="K4123" s="39" t="str">
        <f>IF(OR(C4123="",NOT(ISNUMBER(E4123))),"",IFERROR(ROUND(N(INDEX(art_init,MATCH(C4123,art_ref,0)))+SUMIFS($E$5:E4123,$C$5:C4123,C4123,$B$5:B4123,"Entrée")-SUMIFS($E$5:E4123,$C$5:C4123,C4123,$B$5:B4123,"Sortie"),6),""))</f>
        <v/>
      </c>
      <c r="L4123" s="39" t="str">
        <f>IF(COUNTA(A4123:C4123,E4123)=0,"",IF(COUNTA(A4123:C4123,E4123)&lt;4,"Ligne incomplète",IF(NOT(ISNUMBER(A4123)),"Date invalide",IF(AND(B4123&lt;&gt;"Entrée",B4123&lt;&gt;"Sortie"),"Type inconnu",IF(ISNA(MATCH(C4123,art_ref,0)),"Référence inconnue",IF(OR(NOT(ISNUMBER(E4123)),N(E4123)&lt;=0),"Quantité invalide",IF(K4123&lt;0,"Stock négatif",IF(AND(ISNUMBER(A4122),A4123&lt;A4122),"Date hors ordre","OK"))))))))</f>
        <v/>
      </c>
      <c r="M4123" s="39" t="str">
        <f>IF(C4123="","",C4123&amp;"#"&amp;COUNTIF($C$5:C4123,C4123))</f>
        <v/>
      </c>
    </row>
    <row r="4124">
      <c r="A4124" s="41" t="n"/>
      <c r="B4124" s="37" t="n"/>
      <c r="C4124" s="37" t="n"/>
      <c r="D4124" s="39" t="str">
        <f>IF(C4124="","",IFERROR(INDEX(art_des,MATCH(C4124,art_ref,0))&amp;"","Référence inconnue"))</f>
        <v/>
      </c>
      <c r="E4124" s="37" t="n"/>
      <c r="F4124" s="39" t="str">
        <f>IF(C4124="","",IFERROR(INDEX(art_unit,MATCH(C4124,art_ref,0))&amp;"",""))</f>
        <v/>
      </c>
      <c r="G4124" s="37" t="n"/>
      <c r="H4124" s="37" t="n"/>
      <c r="I4124" s="37" t="n"/>
      <c r="J4124" s="40" t="str">
        <f>IF(OR(C4124="",NOT(ISNUMBER(E4124))),"",IFERROR(E4124*N(INDEX(art_price,MATCH(C4124,art_ref,0))),""))</f>
        <v/>
      </c>
      <c r="K4124" s="39" t="str">
        <f>IF(OR(C4124="",NOT(ISNUMBER(E4124))),"",IFERROR(ROUND(N(INDEX(art_init,MATCH(C4124,art_ref,0)))+SUMIFS($E$5:E4124,$C$5:C4124,C4124,$B$5:B4124,"Entrée")-SUMIFS($E$5:E4124,$C$5:C4124,C4124,$B$5:B4124,"Sortie"),6),""))</f>
        <v/>
      </c>
      <c r="L4124" s="39" t="str">
        <f>IF(COUNTA(A4124:C4124,E4124)=0,"",IF(COUNTA(A4124:C4124,E4124)&lt;4,"Ligne incomplète",IF(NOT(ISNUMBER(A4124)),"Date invalide",IF(AND(B4124&lt;&gt;"Entrée",B4124&lt;&gt;"Sortie"),"Type inconnu",IF(ISNA(MATCH(C4124,art_ref,0)),"Référence inconnue",IF(OR(NOT(ISNUMBER(E4124)),N(E4124)&lt;=0),"Quantité invalide",IF(K4124&lt;0,"Stock négatif",IF(AND(ISNUMBER(A4123),A4124&lt;A4123),"Date hors ordre","OK"))))))))</f>
        <v/>
      </c>
      <c r="M4124" s="39" t="str">
        <f>IF(C4124="","",C4124&amp;"#"&amp;COUNTIF($C$5:C4124,C4124))</f>
        <v/>
      </c>
    </row>
    <row r="4125">
      <c r="A4125" s="41" t="n"/>
      <c r="B4125" s="37" t="n"/>
      <c r="C4125" s="37" t="n"/>
      <c r="D4125" s="39" t="str">
        <f>IF(C4125="","",IFERROR(INDEX(art_des,MATCH(C4125,art_ref,0))&amp;"","Référence inconnue"))</f>
        <v/>
      </c>
      <c r="E4125" s="37" t="n"/>
      <c r="F4125" s="39" t="str">
        <f>IF(C4125="","",IFERROR(INDEX(art_unit,MATCH(C4125,art_ref,0))&amp;"",""))</f>
        <v/>
      </c>
      <c r="G4125" s="37" t="n"/>
      <c r="H4125" s="37" t="n"/>
      <c r="I4125" s="37" t="n"/>
      <c r="J4125" s="40" t="str">
        <f>IF(OR(C4125="",NOT(ISNUMBER(E4125))),"",IFERROR(E4125*N(INDEX(art_price,MATCH(C4125,art_ref,0))),""))</f>
        <v/>
      </c>
      <c r="K4125" s="39" t="str">
        <f>IF(OR(C4125="",NOT(ISNUMBER(E4125))),"",IFERROR(ROUND(N(INDEX(art_init,MATCH(C4125,art_ref,0)))+SUMIFS($E$5:E4125,$C$5:C4125,C4125,$B$5:B4125,"Entrée")-SUMIFS($E$5:E4125,$C$5:C4125,C4125,$B$5:B4125,"Sortie"),6),""))</f>
        <v/>
      </c>
      <c r="L4125" s="39" t="str">
        <f>IF(COUNTA(A4125:C4125,E4125)=0,"",IF(COUNTA(A4125:C4125,E4125)&lt;4,"Ligne incomplète",IF(NOT(ISNUMBER(A4125)),"Date invalide",IF(AND(B4125&lt;&gt;"Entrée",B4125&lt;&gt;"Sortie"),"Type inconnu",IF(ISNA(MATCH(C4125,art_ref,0)),"Référence inconnue",IF(OR(NOT(ISNUMBER(E4125)),N(E4125)&lt;=0),"Quantité invalide",IF(K4125&lt;0,"Stock négatif",IF(AND(ISNUMBER(A4124),A4125&lt;A4124),"Date hors ordre","OK"))))))))</f>
        <v/>
      </c>
      <c r="M4125" s="39" t="str">
        <f>IF(C4125="","",C4125&amp;"#"&amp;COUNTIF($C$5:C4125,C4125))</f>
        <v/>
      </c>
    </row>
    <row r="4126">
      <c r="A4126" s="41" t="n"/>
      <c r="B4126" s="37" t="n"/>
      <c r="C4126" s="37" t="n"/>
      <c r="D4126" s="39" t="str">
        <f>IF(C4126="","",IFERROR(INDEX(art_des,MATCH(C4126,art_ref,0))&amp;"","Référence inconnue"))</f>
        <v/>
      </c>
      <c r="E4126" s="37" t="n"/>
      <c r="F4126" s="39" t="str">
        <f>IF(C4126="","",IFERROR(INDEX(art_unit,MATCH(C4126,art_ref,0))&amp;"",""))</f>
        <v/>
      </c>
      <c r="G4126" s="37" t="n"/>
      <c r="H4126" s="37" t="n"/>
      <c r="I4126" s="37" t="n"/>
      <c r="J4126" s="40" t="str">
        <f>IF(OR(C4126="",NOT(ISNUMBER(E4126))),"",IFERROR(E4126*N(INDEX(art_price,MATCH(C4126,art_ref,0))),""))</f>
        <v/>
      </c>
      <c r="K4126" s="39" t="str">
        <f>IF(OR(C4126="",NOT(ISNUMBER(E4126))),"",IFERROR(ROUND(N(INDEX(art_init,MATCH(C4126,art_ref,0)))+SUMIFS($E$5:E4126,$C$5:C4126,C4126,$B$5:B4126,"Entrée")-SUMIFS($E$5:E4126,$C$5:C4126,C4126,$B$5:B4126,"Sortie"),6),""))</f>
        <v/>
      </c>
      <c r="L4126" s="39" t="str">
        <f>IF(COUNTA(A4126:C4126,E4126)=0,"",IF(COUNTA(A4126:C4126,E4126)&lt;4,"Ligne incomplète",IF(NOT(ISNUMBER(A4126)),"Date invalide",IF(AND(B4126&lt;&gt;"Entrée",B4126&lt;&gt;"Sortie"),"Type inconnu",IF(ISNA(MATCH(C4126,art_ref,0)),"Référence inconnue",IF(OR(NOT(ISNUMBER(E4126)),N(E4126)&lt;=0),"Quantité invalide",IF(K4126&lt;0,"Stock négatif",IF(AND(ISNUMBER(A4125),A4126&lt;A4125),"Date hors ordre","OK"))))))))</f>
        <v/>
      </c>
      <c r="M4126" s="39" t="str">
        <f>IF(C4126="","",C4126&amp;"#"&amp;COUNTIF($C$5:C4126,C4126))</f>
        <v/>
      </c>
    </row>
    <row r="4127">
      <c r="A4127" s="41" t="n"/>
      <c r="B4127" s="37" t="n"/>
      <c r="C4127" s="37" t="n"/>
      <c r="D4127" s="39" t="str">
        <f>IF(C4127="","",IFERROR(INDEX(art_des,MATCH(C4127,art_ref,0))&amp;"","Référence inconnue"))</f>
        <v/>
      </c>
      <c r="E4127" s="37" t="n"/>
      <c r="F4127" s="39" t="str">
        <f>IF(C4127="","",IFERROR(INDEX(art_unit,MATCH(C4127,art_ref,0))&amp;"",""))</f>
        <v/>
      </c>
      <c r="G4127" s="37" t="n"/>
      <c r="H4127" s="37" t="n"/>
      <c r="I4127" s="37" t="n"/>
      <c r="J4127" s="40" t="str">
        <f>IF(OR(C4127="",NOT(ISNUMBER(E4127))),"",IFERROR(E4127*N(INDEX(art_price,MATCH(C4127,art_ref,0))),""))</f>
        <v/>
      </c>
      <c r="K4127" s="39" t="str">
        <f>IF(OR(C4127="",NOT(ISNUMBER(E4127))),"",IFERROR(ROUND(N(INDEX(art_init,MATCH(C4127,art_ref,0)))+SUMIFS($E$5:E4127,$C$5:C4127,C4127,$B$5:B4127,"Entrée")-SUMIFS($E$5:E4127,$C$5:C4127,C4127,$B$5:B4127,"Sortie"),6),""))</f>
        <v/>
      </c>
      <c r="L4127" s="39" t="str">
        <f>IF(COUNTA(A4127:C4127,E4127)=0,"",IF(COUNTA(A4127:C4127,E4127)&lt;4,"Ligne incomplète",IF(NOT(ISNUMBER(A4127)),"Date invalide",IF(AND(B4127&lt;&gt;"Entrée",B4127&lt;&gt;"Sortie"),"Type inconnu",IF(ISNA(MATCH(C4127,art_ref,0)),"Référence inconnue",IF(OR(NOT(ISNUMBER(E4127)),N(E4127)&lt;=0),"Quantité invalide",IF(K4127&lt;0,"Stock négatif",IF(AND(ISNUMBER(A4126),A4127&lt;A4126),"Date hors ordre","OK"))))))))</f>
        <v/>
      </c>
      <c r="M4127" s="39" t="str">
        <f>IF(C4127="","",C4127&amp;"#"&amp;COUNTIF($C$5:C4127,C4127))</f>
        <v/>
      </c>
    </row>
    <row r="4128">
      <c r="A4128" s="41" t="n"/>
      <c r="B4128" s="37" t="n"/>
      <c r="C4128" s="37" t="n"/>
      <c r="D4128" s="39" t="str">
        <f>IF(C4128="","",IFERROR(INDEX(art_des,MATCH(C4128,art_ref,0))&amp;"","Référence inconnue"))</f>
        <v/>
      </c>
      <c r="E4128" s="37" t="n"/>
      <c r="F4128" s="39" t="str">
        <f>IF(C4128="","",IFERROR(INDEX(art_unit,MATCH(C4128,art_ref,0))&amp;"",""))</f>
        <v/>
      </c>
      <c r="G4128" s="37" t="n"/>
      <c r="H4128" s="37" t="n"/>
      <c r="I4128" s="37" t="n"/>
      <c r="J4128" s="40" t="str">
        <f>IF(OR(C4128="",NOT(ISNUMBER(E4128))),"",IFERROR(E4128*N(INDEX(art_price,MATCH(C4128,art_ref,0))),""))</f>
        <v/>
      </c>
      <c r="K4128" s="39" t="str">
        <f>IF(OR(C4128="",NOT(ISNUMBER(E4128))),"",IFERROR(ROUND(N(INDEX(art_init,MATCH(C4128,art_ref,0)))+SUMIFS($E$5:E4128,$C$5:C4128,C4128,$B$5:B4128,"Entrée")-SUMIFS($E$5:E4128,$C$5:C4128,C4128,$B$5:B4128,"Sortie"),6),""))</f>
        <v/>
      </c>
      <c r="L4128" s="39" t="str">
        <f>IF(COUNTA(A4128:C4128,E4128)=0,"",IF(COUNTA(A4128:C4128,E4128)&lt;4,"Ligne incomplète",IF(NOT(ISNUMBER(A4128)),"Date invalide",IF(AND(B4128&lt;&gt;"Entrée",B4128&lt;&gt;"Sortie"),"Type inconnu",IF(ISNA(MATCH(C4128,art_ref,0)),"Référence inconnue",IF(OR(NOT(ISNUMBER(E4128)),N(E4128)&lt;=0),"Quantité invalide",IF(K4128&lt;0,"Stock négatif",IF(AND(ISNUMBER(A4127),A4128&lt;A4127),"Date hors ordre","OK"))))))))</f>
        <v/>
      </c>
      <c r="M4128" s="39" t="str">
        <f>IF(C4128="","",C4128&amp;"#"&amp;COUNTIF($C$5:C4128,C4128))</f>
        <v/>
      </c>
    </row>
    <row r="4129">
      <c r="A4129" s="41" t="n"/>
      <c r="B4129" s="37" t="n"/>
      <c r="C4129" s="37" t="n"/>
      <c r="D4129" s="39" t="str">
        <f>IF(C4129="","",IFERROR(INDEX(art_des,MATCH(C4129,art_ref,0))&amp;"","Référence inconnue"))</f>
        <v/>
      </c>
      <c r="E4129" s="37" t="n"/>
      <c r="F4129" s="39" t="str">
        <f>IF(C4129="","",IFERROR(INDEX(art_unit,MATCH(C4129,art_ref,0))&amp;"",""))</f>
        <v/>
      </c>
      <c r="G4129" s="37" t="n"/>
      <c r="H4129" s="37" t="n"/>
      <c r="I4129" s="37" t="n"/>
      <c r="J4129" s="40" t="str">
        <f>IF(OR(C4129="",NOT(ISNUMBER(E4129))),"",IFERROR(E4129*N(INDEX(art_price,MATCH(C4129,art_ref,0))),""))</f>
        <v/>
      </c>
      <c r="K4129" s="39" t="str">
        <f>IF(OR(C4129="",NOT(ISNUMBER(E4129))),"",IFERROR(ROUND(N(INDEX(art_init,MATCH(C4129,art_ref,0)))+SUMIFS($E$5:E4129,$C$5:C4129,C4129,$B$5:B4129,"Entrée")-SUMIFS($E$5:E4129,$C$5:C4129,C4129,$B$5:B4129,"Sortie"),6),""))</f>
        <v/>
      </c>
      <c r="L4129" s="39" t="str">
        <f>IF(COUNTA(A4129:C4129,E4129)=0,"",IF(COUNTA(A4129:C4129,E4129)&lt;4,"Ligne incomplète",IF(NOT(ISNUMBER(A4129)),"Date invalide",IF(AND(B4129&lt;&gt;"Entrée",B4129&lt;&gt;"Sortie"),"Type inconnu",IF(ISNA(MATCH(C4129,art_ref,0)),"Référence inconnue",IF(OR(NOT(ISNUMBER(E4129)),N(E4129)&lt;=0),"Quantité invalide",IF(K4129&lt;0,"Stock négatif",IF(AND(ISNUMBER(A4128),A4129&lt;A4128),"Date hors ordre","OK"))))))))</f>
        <v/>
      </c>
      <c r="M4129" s="39" t="str">
        <f>IF(C4129="","",C4129&amp;"#"&amp;COUNTIF($C$5:C4129,C4129))</f>
        <v/>
      </c>
    </row>
    <row r="4130">
      <c r="A4130" s="41" t="n"/>
      <c r="B4130" s="37" t="n"/>
      <c r="C4130" s="37" t="n"/>
      <c r="D4130" s="39" t="str">
        <f>IF(C4130="","",IFERROR(INDEX(art_des,MATCH(C4130,art_ref,0))&amp;"","Référence inconnue"))</f>
        <v/>
      </c>
      <c r="E4130" s="37" t="n"/>
      <c r="F4130" s="39" t="str">
        <f>IF(C4130="","",IFERROR(INDEX(art_unit,MATCH(C4130,art_ref,0))&amp;"",""))</f>
        <v/>
      </c>
      <c r="G4130" s="37" t="n"/>
      <c r="H4130" s="37" t="n"/>
      <c r="I4130" s="37" t="n"/>
      <c r="J4130" s="40" t="str">
        <f>IF(OR(C4130="",NOT(ISNUMBER(E4130))),"",IFERROR(E4130*N(INDEX(art_price,MATCH(C4130,art_ref,0))),""))</f>
        <v/>
      </c>
      <c r="K4130" s="39" t="str">
        <f>IF(OR(C4130="",NOT(ISNUMBER(E4130))),"",IFERROR(ROUND(N(INDEX(art_init,MATCH(C4130,art_ref,0)))+SUMIFS($E$5:E4130,$C$5:C4130,C4130,$B$5:B4130,"Entrée")-SUMIFS($E$5:E4130,$C$5:C4130,C4130,$B$5:B4130,"Sortie"),6),""))</f>
        <v/>
      </c>
      <c r="L4130" s="39" t="str">
        <f>IF(COUNTA(A4130:C4130,E4130)=0,"",IF(COUNTA(A4130:C4130,E4130)&lt;4,"Ligne incomplète",IF(NOT(ISNUMBER(A4130)),"Date invalide",IF(AND(B4130&lt;&gt;"Entrée",B4130&lt;&gt;"Sortie"),"Type inconnu",IF(ISNA(MATCH(C4130,art_ref,0)),"Référence inconnue",IF(OR(NOT(ISNUMBER(E4130)),N(E4130)&lt;=0),"Quantité invalide",IF(K4130&lt;0,"Stock négatif",IF(AND(ISNUMBER(A4129),A4130&lt;A4129),"Date hors ordre","OK"))))))))</f>
        <v/>
      </c>
      <c r="M4130" s="39" t="str">
        <f>IF(C4130="","",C4130&amp;"#"&amp;COUNTIF($C$5:C4130,C4130))</f>
        <v/>
      </c>
    </row>
    <row r="4131">
      <c r="A4131" s="41" t="n"/>
      <c r="B4131" s="37" t="n"/>
      <c r="C4131" s="37" t="n"/>
      <c r="D4131" s="39" t="str">
        <f>IF(C4131="","",IFERROR(INDEX(art_des,MATCH(C4131,art_ref,0))&amp;"","Référence inconnue"))</f>
        <v/>
      </c>
      <c r="E4131" s="37" t="n"/>
      <c r="F4131" s="39" t="str">
        <f>IF(C4131="","",IFERROR(INDEX(art_unit,MATCH(C4131,art_ref,0))&amp;"",""))</f>
        <v/>
      </c>
      <c r="G4131" s="37" t="n"/>
      <c r="H4131" s="37" t="n"/>
      <c r="I4131" s="37" t="n"/>
      <c r="J4131" s="40" t="str">
        <f>IF(OR(C4131="",NOT(ISNUMBER(E4131))),"",IFERROR(E4131*N(INDEX(art_price,MATCH(C4131,art_ref,0))),""))</f>
        <v/>
      </c>
      <c r="K4131" s="39" t="str">
        <f>IF(OR(C4131="",NOT(ISNUMBER(E4131))),"",IFERROR(ROUND(N(INDEX(art_init,MATCH(C4131,art_ref,0)))+SUMIFS($E$5:E4131,$C$5:C4131,C4131,$B$5:B4131,"Entrée")-SUMIFS($E$5:E4131,$C$5:C4131,C4131,$B$5:B4131,"Sortie"),6),""))</f>
        <v/>
      </c>
      <c r="L4131" s="39" t="str">
        <f>IF(COUNTA(A4131:C4131,E4131)=0,"",IF(COUNTA(A4131:C4131,E4131)&lt;4,"Ligne incomplète",IF(NOT(ISNUMBER(A4131)),"Date invalide",IF(AND(B4131&lt;&gt;"Entrée",B4131&lt;&gt;"Sortie"),"Type inconnu",IF(ISNA(MATCH(C4131,art_ref,0)),"Référence inconnue",IF(OR(NOT(ISNUMBER(E4131)),N(E4131)&lt;=0),"Quantité invalide",IF(K4131&lt;0,"Stock négatif",IF(AND(ISNUMBER(A4130),A4131&lt;A4130),"Date hors ordre","OK"))))))))</f>
        <v/>
      </c>
      <c r="M4131" s="39" t="str">
        <f>IF(C4131="","",C4131&amp;"#"&amp;COUNTIF($C$5:C4131,C4131))</f>
        <v/>
      </c>
    </row>
    <row r="4132">
      <c r="A4132" s="41" t="n"/>
      <c r="B4132" s="37" t="n"/>
      <c r="C4132" s="37" t="n"/>
      <c r="D4132" s="39" t="str">
        <f>IF(C4132="","",IFERROR(INDEX(art_des,MATCH(C4132,art_ref,0))&amp;"","Référence inconnue"))</f>
        <v/>
      </c>
      <c r="E4132" s="37" t="n"/>
      <c r="F4132" s="39" t="str">
        <f>IF(C4132="","",IFERROR(INDEX(art_unit,MATCH(C4132,art_ref,0))&amp;"",""))</f>
        <v/>
      </c>
      <c r="G4132" s="37" t="n"/>
      <c r="H4132" s="37" t="n"/>
      <c r="I4132" s="37" t="n"/>
      <c r="J4132" s="40" t="str">
        <f>IF(OR(C4132="",NOT(ISNUMBER(E4132))),"",IFERROR(E4132*N(INDEX(art_price,MATCH(C4132,art_ref,0))),""))</f>
        <v/>
      </c>
      <c r="K4132" s="39" t="str">
        <f>IF(OR(C4132="",NOT(ISNUMBER(E4132))),"",IFERROR(ROUND(N(INDEX(art_init,MATCH(C4132,art_ref,0)))+SUMIFS($E$5:E4132,$C$5:C4132,C4132,$B$5:B4132,"Entrée")-SUMIFS($E$5:E4132,$C$5:C4132,C4132,$B$5:B4132,"Sortie"),6),""))</f>
        <v/>
      </c>
      <c r="L4132" s="39" t="str">
        <f>IF(COUNTA(A4132:C4132,E4132)=0,"",IF(COUNTA(A4132:C4132,E4132)&lt;4,"Ligne incomplète",IF(NOT(ISNUMBER(A4132)),"Date invalide",IF(AND(B4132&lt;&gt;"Entrée",B4132&lt;&gt;"Sortie"),"Type inconnu",IF(ISNA(MATCH(C4132,art_ref,0)),"Référence inconnue",IF(OR(NOT(ISNUMBER(E4132)),N(E4132)&lt;=0),"Quantité invalide",IF(K4132&lt;0,"Stock négatif",IF(AND(ISNUMBER(A4131),A4132&lt;A4131),"Date hors ordre","OK"))))))))</f>
        <v/>
      </c>
      <c r="M4132" s="39" t="str">
        <f>IF(C4132="","",C4132&amp;"#"&amp;COUNTIF($C$5:C4132,C4132))</f>
        <v/>
      </c>
    </row>
    <row r="4133">
      <c r="A4133" s="41" t="n"/>
      <c r="B4133" s="37" t="n"/>
      <c r="C4133" s="37" t="n"/>
      <c r="D4133" s="39" t="str">
        <f>IF(C4133="","",IFERROR(INDEX(art_des,MATCH(C4133,art_ref,0))&amp;"","Référence inconnue"))</f>
        <v/>
      </c>
      <c r="E4133" s="37" t="n"/>
      <c r="F4133" s="39" t="str">
        <f>IF(C4133="","",IFERROR(INDEX(art_unit,MATCH(C4133,art_ref,0))&amp;"",""))</f>
        <v/>
      </c>
      <c r="G4133" s="37" t="n"/>
      <c r="H4133" s="37" t="n"/>
      <c r="I4133" s="37" t="n"/>
      <c r="J4133" s="40" t="str">
        <f>IF(OR(C4133="",NOT(ISNUMBER(E4133))),"",IFERROR(E4133*N(INDEX(art_price,MATCH(C4133,art_ref,0))),""))</f>
        <v/>
      </c>
      <c r="K4133" s="39" t="str">
        <f>IF(OR(C4133="",NOT(ISNUMBER(E4133))),"",IFERROR(ROUND(N(INDEX(art_init,MATCH(C4133,art_ref,0)))+SUMIFS($E$5:E4133,$C$5:C4133,C4133,$B$5:B4133,"Entrée")-SUMIFS($E$5:E4133,$C$5:C4133,C4133,$B$5:B4133,"Sortie"),6),""))</f>
        <v/>
      </c>
      <c r="L4133" s="39" t="str">
        <f>IF(COUNTA(A4133:C4133,E4133)=0,"",IF(COUNTA(A4133:C4133,E4133)&lt;4,"Ligne incomplète",IF(NOT(ISNUMBER(A4133)),"Date invalide",IF(AND(B4133&lt;&gt;"Entrée",B4133&lt;&gt;"Sortie"),"Type inconnu",IF(ISNA(MATCH(C4133,art_ref,0)),"Référence inconnue",IF(OR(NOT(ISNUMBER(E4133)),N(E4133)&lt;=0),"Quantité invalide",IF(K4133&lt;0,"Stock négatif",IF(AND(ISNUMBER(A4132),A4133&lt;A4132),"Date hors ordre","OK"))))))))</f>
        <v/>
      </c>
      <c r="M4133" s="39" t="str">
        <f>IF(C4133="","",C4133&amp;"#"&amp;COUNTIF($C$5:C4133,C4133))</f>
        <v/>
      </c>
    </row>
    <row r="4134">
      <c r="A4134" s="41" t="n"/>
      <c r="B4134" s="37" t="n"/>
      <c r="C4134" s="37" t="n"/>
      <c r="D4134" s="39" t="str">
        <f>IF(C4134="","",IFERROR(INDEX(art_des,MATCH(C4134,art_ref,0))&amp;"","Référence inconnue"))</f>
        <v/>
      </c>
      <c r="E4134" s="37" t="n"/>
      <c r="F4134" s="39" t="str">
        <f>IF(C4134="","",IFERROR(INDEX(art_unit,MATCH(C4134,art_ref,0))&amp;"",""))</f>
        <v/>
      </c>
      <c r="G4134" s="37" t="n"/>
      <c r="H4134" s="37" t="n"/>
      <c r="I4134" s="37" t="n"/>
      <c r="J4134" s="40" t="str">
        <f>IF(OR(C4134="",NOT(ISNUMBER(E4134))),"",IFERROR(E4134*N(INDEX(art_price,MATCH(C4134,art_ref,0))),""))</f>
        <v/>
      </c>
      <c r="K4134" s="39" t="str">
        <f>IF(OR(C4134="",NOT(ISNUMBER(E4134))),"",IFERROR(ROUND(N(INDEX(art_init,MATCH(C4134,art_ref,0)))+SUMIFS($E$5:E4134,$C$5:C4134,C4134,$B$5:B4134,"Entrée")-SUMIFS($E$5:E4134,$C$5:C4134,C4134,$B$5:B4134,"Sortie"),6),""))</f>
        <v/>
      </c>
      <c r="L4134" s="39" t="str">
        <f>IF(COUNTA(A4134:C4134,E4134)=0,"",IF(COUNTA(A4134:C4134,E4134)&lt;4,"Ligne incomplète",IF(NOT(ISNUMBER(A4134)),"Date invalide",IF(AND(B4134&lt;&gt;"Entrée",B4134&lt;&gt;"Sortie"),"Type inconnu",IF(ISNA(MATCH(C4134,art_ref,0)),"Référence inconnue",IF(OR(NOT(ISNUMBER(E4134)),N(E4134)&lt;=0),"Quantité invalide",IF(K4134&lt;0,"Stock négatif",IF(AND(ISNUMBER(A4133),A4134&lt;A4133),"Date hors ordre","OK"))))))))</f>
        <v/>
      </c>
      <c r="M4134" s="39" t="str">
        <f>IF(C4134="","",C4134&amp;"#"&amp;COUNTIF($C$5:C4134,C4134))</f>
        <v/>
      </c>
    </row>
    <row r="4135">
      <c r="A4135" s="41" t="n"/>
      <c r="B4135" s="37" t="n"/>
      <c r="C4135" s="37" t="n"/>
      <c r="D4135" s="39" t="str">
        <f>IF(C4135="","",IFERROR(INDEX(art_des,MATCH(C4135,art_ref,0))&amp;"","Référence inconnue"))</f>
        <v/>
      </c>
      <c r="E4135" s="37" t="n"/>
      <c r="F4135" s="39" t="str">
        <f>IF(C4135="","",IFERROR(INDEX(art_unit,MATCH(C4135,art_ref,0))&amp;"",""))</f>
        <v/>
      </c>
      <c r="G4135" s="37" t="n"/>
      <c r="H4135" s="37" t="n"/>
      <c r="I4135" s="37" t="n"/>
      <c r="J4135" s="40" t="str">
        <f>IF(OR(C4135="",NOT(ISNUMBER(E4135))),"",IFERROR(E4135*N(INDEX(art_price,MATCH(C4135,art_ref,0))),""))</f>
        <v/>
      </c>
      <c r="K4135" s="39" t="str">
        <f>IF(OR(C4135="",NOT(ISNUMBER(E4135))),"",IFERROR(ROUND(N(INDEX(art_init,MATCH(C4135,art_ref,0)))+SUMIFS($E$5:E4135,$C$5:C4135,C4135,$B$5:B4135,"Entrée")-SUMIFS($E$5:E4135,$C$5:C4135,C4135,$B$5:B4135,"Sortie"),6),""))</f>
        <v/>
      </c>
      <c r="L4135" s="39" t="str">
        <f>IF(COUNTA(A4135:C4135,E4135)=0,"",IF(COUNTA(A4135:C4135,E4135)&lt;4,"Ligne incomplète",IF(NOT(ISNUMBER(A4135)),"Date invalide",IF(AND(B4135&lt;&gt;"Entrée",B4135&lt;&gt;"Sortie"),"Type inconnu",IF(ISNA(MATCH(C4135,art_ref,0)),"Référence inconnue",IF(OR(NOT(ISNUMBER(E4135)),N(E4135)&lt;=0),"Quantité invalide",IF(K4135&lt;0,"Stock négatif",IF(AND(ISNUMBER(A4134),A4135&lt;A4134),"Date hors ordre","OK"))))))))</f>
        <v/>
      </c>
      <c r="M4135" s="39" t="str">
        <f>IF(C4135="","",C4135&amp;"#"&amp;COUNTIF($C$5:C4135,C4135))</f>
        <v/>
      </c>
    </row>
    <row r="4136">
      <c r="A4136" s="41" t="n"/>
      <c r="B4136" s="37" t="n"/>
      <c r="C4136" s="37" t="n"/>
      <c r="D4136" s="39" t="str">
        <f>IF(C4136="","",IFERROR(INDEX(art_des,MATCH(C4136,art_ref,0))&amp;"","Référence inconnue"))</f>
        <v/>
      </c>
      <c r="E4136" s="37" t="n"/>
      <c r="F4136" s="39" t="str">
        <f>IF(C4136="","",IFERROR(INDEX(art_unit,MATCH(C4136,art_ref,0))&amp;"",""))</f>
        <v/>
      </c>
      <c r="G4136" s="37" t="n"/>
      <c r="H4136" s="37" t="n"/>
      <c r="I4136" s="37" t="n"/>
      <c r="J4136" s="40" t="str">
        <f>IF(OR(C4136="",NOT(ISNUMBER(E4136))),"",IFERROR(E4136*N(INDEX(art_price,MATCH(C4136,art_ref,0))),""))</f>
        <v/>
      </c>
      <c r="K4136" s="39" t="str">
        <f>IF(OR(C4136="",NOT(ISNUMBER(E4136))),"",IFERROR(ROUND(N(INDEX(art_init,MATCH(C4136,art_ref,0)))+SUMIFS($E$5:E4136,$C$5:C4136,C4136,$B$5:B4136,"Entrée")-SUMIFS($E$5:E4136,$C$5:C4136,C4136,$B$5:B4136,"Sortie"),6),""))</f>
        <v/>
      </c>
      <c r="L4136" s="39" t="str">
        <f>IF(COUNTA(A4136:C4136,E4136)=0,"",IF(COUNTA(A4136:C4136,E4136)&lt;4,"Ligne incomplète",IF(NOT(ISNUMBER(A4136)),"Date invalide",IF(AND(B4136&lt;&gt;"Entrée",B4136&lt;&gt;"Sortie"),"Type inconnu",IF(ISNA(MATCH(C4136,art_ref,0)),"Référence inconnue",IF(OR(NOT(ISNUMBER(E4136)),N(E4136)&lt;=0),"Quantité invalide",IF(K4136&lt;0,"Stock négatif",IF(AND(ISNUMBER(A4135),A4136&lt;A4135),"Date hors ordre","OK"))))))))</f>
        <v/>
      </c>
      <c r="M4136" s="39" t="str">
        <f>IF(C4136="","",C4136&amp;"#"&amp;COUNTIF($C$5:C4136,C4136))</f>
        <v/>
      </c>
    </row>
    <row r="4137">
      <c r="A4137" s="41" t="n"/>
      <c r="B4137" s="37" t="n"/>
      <c r="C4137" s="37" t="n"/>
      <c r="D4137" s="39" t="str">
        <f>IF(C4137="","",IFERROR(INDEX(art_des,MATCH(C4137,art_ref,0))&amp;"","Référence inconnue"))</f>
        <v/>
      </c>
      <c r="E4137" s="37" t="n"/>
      <c r="F4137" s="39" t="str">
        <f>IF(C4137="","",IFERROR(INDEX(art_unit,MATCH(C4137,art_ref,0))&amp;"",""))</f>
        <v/>
      </c>
      <c r="G4137" s="37" t="n"/>
      <c r="H4137" s="37" t="n"/>
      <c r="I4137" s="37" t="n"/>
      <c r="J4137" s="40" t="str">
        <f>IF(OR(C4137="",NOT(ISNUMBER(E4137))),"",IFERROR(E4137*N(INDEX(art_price,MATCH(C4137,art_ref,0))),""))</f>
        <v/>
      </c>
      <c r="K4137" s="39" t="str">
        <f>IF(OR(C4137="",NOT(ISNUMBER(E4137))),"",IFERROR(ROUND(N(INDEX(art_init,MATCH(C4137,art_ref,0)))+SUMIFS($E$5:E4137,$C$5:C4137,C4137,$B$5:B4137,"Entrée")-SUMIFS($E$5:E4137,$C$5:C4137,C4137,$B$5:B4137,"Sortie"),6),""))</f>
        <v/>
      </c>
      <c r="L4137" s="39" t="str">
        <f>IF(COUNTA(A4137:C4137,E4137)=0,"",IF(COUNTA(A4137:C4137,E4137)&lt;4,"Ligne incomplète",IF(NOT(ISNUMBER(A4137)),"Date invalide",IF(AND(B4137&lt;&gt;"Entrée",B4137&lt;&gt;"Sortie"),"Type inconnu",IF(ISNA(MATCH(C4137,art_ref,0)),"Référence inconnue",IF(OR(NOT(ISNUMBER(E4137)),N(E4137)&lt;=0),"Quantité invalide",IF(K4137&lt;0,"Stock négatif",IF(AND(ISNUMBER(A4136),A4137&lt;A4136),"Date hors ordre","OK"))))))))</f>
        <v/>
      </c>
      <c r="M4137" s="39" t="str">
        <f>IF(C4137="","",C4137&amp;"#"&amp;COUNTIF($C$5:C4137,C4137))</f>
        <v/>
      </c>
    </row>
    <row r="4138">
      <c r="A4138" s="41" t="n"/>
      <c r="B4138" s="37" t="n"/>
      <c r="C4138" s="37" t="n"/>
      <c r="D4138" s="39" t="str">
        <f>IF(C4138="","",IFERROR(INDEX(art_des,MATCH(C4138,art_ref,0))&amp;"","Référence inconnue"))</f>
        <v/>
      </c>
      <c r="E4138" s="37" t="n"/>
      <c r="F4138" s="39" t="str">
        <f>IF(C4138="","",IFERROR(INDEX(art_unit,MATCH(C4138,art_ref,0))&amp;"",""))</f>
        <v/>
      </c>
      <c r="G4138" s="37" t="n"/>
      <c r="H4138" s="37" t="n"/>
      <c r="I4138" s="37" t="n"/>
      <c r="J4138" s="40" t="str">
        <f>IF(OR(C4138="",NOT(ISNUMBER(E4138))),"",IFERROR(E4138*N(INDEX(art_price,MATCH(C4138,art_ref,0))),""))</f>
        <v/>
      </c>
      <c r="K4138" s="39" t="str">
        <f>IF(OR(C4138="",NOT(ISNUMBER(E4138))),"",IFERROR(ROUND(N(INDEX(art_init,MATCH(C4138,art_ref,0)))+SUMIFS($E$5:E4138,$C$5:C4138,C4138,$B$5:B4138,"Entrée")-SUMIFS($E$5:E4138,$C$5:C4138,C4138,$B$5:B4138,"Sortie"),6),""))</f>
        <v/>
      </c>
      <c r="L4138" s="39" t="str">
        <f>IF(COUNTA(A4138:C4138,E4138)=0,"",IF(COUNTA(A4138:C4138,E4138)&lt;4,"Ligne incomplète",IF(NOT(ISNUMBER(A4138)),"Date invalide",IF(AND(B4138&lt;&gt;"Entrée",B4138&lt;&gt;"Sortie"),"Type inconnu",IF(ISNA(MATCH(C4138,art_ref,0)),"Référence inconnue",IF(OR(NOT(ISNUMBER(E4138)),N(E4138)&lt;=0),"Quantité invalide",IF(K4138&lt;0,"Stock négatif",IF(AND(ISNUMBER(A4137),A4138&lt;A4137),"Date hors ordre","OK"))))))))</f>
        <v/>
      </c>
      <c r="M4138" s="39" t="str">
        <f>IF(C4138="","",C4138&amp;"#"&amp;COUNTIF($C$5:C4138,C4138))</f>
        <v/>
      </c>
    </row>
    <row r="4139">
      <c r="A4139" s="41" t="n"/>
      <c r="B4139" s="37" t="n"/>
      <c r="C4139" s="37" t="n"/>
      <c r="D4139" s="39" t="str">
        <f>IF(C4139="","",IFERROR(INDEX(art_des,MATCH(C4139,art_ref,0))&amp;"","Référence inconnue"))</f>
        <v/>
      </c>
      <c r="E4139" s="37" t="n"/>
      <c r="F4139" s="39" t="str">
        <f>IF(C4139="","",IFERROR(INDEX(art_unit,MATCH(C4139,art_ref,0))&amp;"",""))</f>
        <v/>
      </c>
      <c r="G4139" s="37" t="n"/>
      <c r="H4139" s="37" t="n"/>
      <c r="I4139" s="37" t="n"/>
      <c r="J4139" s="40" t="str">
        <f>IF(OR(C4139="",NOT(ISNUMBER(E4139))),"",IFERROR(E4139*N(INDEX(art_price,MATCH(C4139,art_ref,0))),""))</f>
        <v/>
      </c>
      <c r="K4139" s="39" t="str">
        <f>IF(OR(C4139="",NOT(ISNUMBER(E4139))),"",IFERROR(ROUND(N(INDEX(art_init,MATCH(C4139,art_ref,0)))+SUMIFS($E$5:E4139,$C$5:C4139,C4139,$B$5:B4139,"Entrée")-SUMIFS($E$5:E4139,$C$5:C4139,C4139,$B$5:B4139,"Sortie"),6),""))</f>
        <v/>
      </c>
      <c r="L4139" s="39" t="str">
        <f>IF(COUNTA(A4139:C4139,E4139)=0,"",IF(COUNTA(A4139:C4139,E4139)&lt;4,"Ligne incomplète",IF(NOT(ISNUMBER(A4139)),"Date invalide",IF(AND(B4139&lt;&gt;"Entrée",B4139&lt;&gt;"Sortie"),"Type inconnu",IF(ISNA(MATCH(C4139,art_ref,0)),"Référence inconnue",IF(OR(NOT(ISNUMBER(E4139)),N(E4139)&lt;=0),"Quantité invalide",IF(K4139&lt;0,"Stock négatif",IF(AND(ISNUMBER(A4138),A4139&lt;A4138),"Date hors ordre","OK"))))))))</f>
        <v/>
      </c>
      <c r="M4139" s="39" t="str">
        <f>IF(C4139="","",C4139&amp;"#"&amp;COUNTIF($C$5:C4139,C4139))</f>
        <v/>
      </c>
    </row>
    <row r="4140">
      <c r="A4140" s="41" t="n"/>
      <c r="B4140" s="37" t="n"/>
      <c r="C4140" s="37" t="n"/>
      <c r="D4140" s="39" t="str">
        <f>IF(C4140="","",IFERROR(INDEX(art_des,MATCH(C4140,art_ref,0))&amp;"","Référence inconnue"))</f>
        <v/>
      </c>
      <c r="E4140" s="37" t="n"/>
      <c r="F4140" s="39" t="str">
        <f>IF(C4140="","",IFERROR(INDEX(art_unit,MATCH(C4140,art_ref,0))&amp;"",""))</f>
        <v/>
      </c>
      <c r="G4140" s="37" t="n"/>
      <c r="H4140" s="37" t="n"/>
      <c r="I4140" s="37" t="n"/>
      <c r="J4140" s="40" t="str">
        <f>IF(OR(C4140="",NOT(ISNUMBER(E4140))),"",IFERROR(E4140*N(INDEX(art_price,MATCH(C4140,art_ref,0))),""))</f>
        <v/>
      </c>
      <c r="K4140" s="39" t="str">
        <f>IF(OR(C4140="",NOT(ISNUMBER(E4140))),"",IFERROR(ROUND(N(INDEX(art_init,MATCH(C4140,art_ref,0)))+SUMIFS($E$5:E4140,$C$5:C4140,C4140,$B$5:B4140,"Entrée")-SUMIFS($E$5:E4140,$C$5:C4140,C4140,$B$5:B4140,"Sortie"),6),""))</f>
        <v/>
      </c>
      <c r="L4140" s="39" t="str">
        <f>IF(COUNTA(A4140:C4140,E4140)=0,"",IF(COUNTA(A4140:C4140,E4140)&lt;4,"Ligne incomplète",IF(NOT(ISNUMBER(A4140)),"Date invalide",IF(AND(B4140&lt;&gt;"Entrée",B4140&lt;&gt;"Sortie"),"Type inconnu",IF(ISNA(MATCH(C4140,art_ref,0)),"Référence inconnue",IF(OR(NOT(ISNUMBER(E4140)),N(E4140)&lt;=0),"Quantité invalide",IF(K4140&lt;0,"Stock négatif",IF(AND(ISNUMBER(A4139),A4140&lt;A4139),"Date hors ordre","OK"))))))))</f>
        <v/>
      </c>
      <c r="M4140" s="39" t="str">
        <f>IF(C4140="","",C4140&amp;"#"&amp;COUNTIF($C$5:C4140,C4140))</f>
        <v/>
      </c>
    </row>
    <row r="4141">
      <c r="A4141" s="41" t="n"/>
      <c r="B4141" s="37" t="n"/>
      <c r="C4141" s="37" t="n"/>
      <c r="D4141" s="39" t="str">
        <f>IF(C4141="","",IFERROR(INDEX(art_des,MATCH(C4141,art_ref,0))&amp;"","Référence inconnue"))</f>
        <v/>
      </c>
      <c r="E4141" s="37" t="n"/>
      <c r="F4141" s="39" t="str">
        <f>IF(C4141="","",IFERROR(INDEX(art_unit,MATCH(C4141,art_ref,0))&amp;"",""))</f>
        <v/>
      </c>
      <c r="G4141" s="37" t="n"/>
      <c r="H4141" s="37" t="n"/>
      <c r="I4141" s="37" t="n"/>
      <c r="J4141" s="40" t="str">
        <f>IF(OR(C4141="",NOT(ISNUMBER(E4141))),"",IFERROR(E4141*N(INDEX(art_price,MATCH(C4141,art_ref,0))),""))</f>
        <v/>
      </c>
      <c r="K4141" s="39" t="str">
        <f>IF(OR(C4141="",NOT(ISNUMBER(E4141))),"",IFERROR(ROUND(N(INDEX(art_init,MATCH(C4141,art_ref,0)))+SUMIFS($E$5:E4141,$C$5:C4141,C4141,$B$5:B4141,"Entrée")-SUMIFS($E$5:E4141,$C$5:C4141,C4141,$B$5:B4141,"Sortie"),6),""))</f>
        <v/>
      </c>
      <c r="L4141" s="39" t="str">
        <f>IF(COUNTA(A4141:C4141,E4141)=0,"",IF(COUNTA(A4141:C4141,E4141)&lt;4,"Ligne incomplète",IF(NOT(ISNUMBER(A4141)),"Date invalide",IF(AND(B4141&lt;&gt;"Entrée",B4141&lt;&gt;"Sortie"),"Type inconnu",IF(ISNA(MATCH(C4141,art_ref,0)),"Référence inconnue",IF(OR(NOT(ISNUMBER(E4141)),N(E4141)&lt;=0),"Quantité invalide",IF(K4141&lt;0,"Stock négatif",IF(AND(ISNUMBER(A4140),A4141&lt;A4140),"Date hors ordre","OK"))))))))</f>
        <v/>
      </c>
      <c r="M4141" s="39" t="str">
        <f>IF(C4141="","",C4141&amp;"#"&amp;COUNTIF($C$5:C4141,C4141))</f>
        <v/>
      </c>
    </row>
    <row r="4142">
      <c r="A4142" s="41" t="n"/>
      <c r="B4142" s="37" t="n"/>
      <c r="C4142" s="37" t="n"/>
      <c r="D4142" s="39" t="str">
        <f>IF(C4142="","",IFERROR(INDEX(art_des,MATCH(C4142,art_ref,0))&amp;"","Référence inconnue"))</f>
        <v/>
      </c>
      <c r="E4142" s="37" t="n"/>
      <c r="F4142" s="39" t="str">
        <f>IF(C4142="","",IFERROR(INDEX(art_unit,MATCH(C4142,art_ref,0))&amp;"",""))</f>
        <v/>
      </c>
      <c r="G4142" s="37" t="n"/>
      <c r="H4142" s="37" t="n"/>
      <c r="I4142" s="37" t="n"/>
      <c r="J4142" s="40" t="str">
        <f>IF(OR(C4142="",NOT(ISNUMBER(E4142))),"",IFERROR(E4142*N(INDEX(art_price,MATCH(C4142,art_ref,0))),""))</f>
        <v/>
      </c>
      <c r="K4142" s="39" t="str">
        <f>IF(OR(C4142="",NOT(ISNUMBER(E4142))),"",IFERROR(ROUND(N(INDEX(art_init,MATCH(C4142,art_ref,0)))+SUMIFS($E$5:E4142,$C$5:C4142,C4142,$B$5:B4142,"Entrée")-SUMIFS($E$5:E4142,$C$5:C4142,C4142,$B$5:B4142,"Sortie"),6),""))</f>
        <v/>
      </c>
      <c r="L4142" s="39" t="str">
        <f>IF(COUNTA(A4142:C4142,E4142)=0,"",IF(COUNTA(A4142:C4142,E4142)&lt;4,"Ligne incomplète",IF(NOT(ISNUMBER(A4142)),"Date invalide",IF(AND(B4142&lt;&gt;"Entrée",B4142&lt;&gt;"Sortie"),"Type inconnu",IF(ISNA(MATCH(C4142,art_ref,0)),"Référence inconnue",IF(OR(NOT(ISNUMBER(E4142)),N(E4142)&lt;=0),"Quantité invalide",IF(K4142&lt;0,"Stock négatif",IF(AND(ISNUMBER(A4141),A4142&lt;A4141),"Date hors ordre","OK"))))))))</f>
        <v/>
      </c>
      <c r="M4142" s="39" t="str">
        <f>IF(C4142="","",C4142&amp;"#"&amp;COUNTIF($C$5:C4142,C4142))</f>
        <v/>
      </c>
    </row>
    <row r="4143">
      <c r="A4143" s="41" t="n"/>
      <c r="B4143" s="37" t="n"/>
      <c r="C4143" s="37" t="n"/>
      <c r="D4143" s="39" t="str">
        <f>IF(C4143="","",IFERROR(INDEX(art_des,MATCH(C4143,art_ref,0))&amp;"","Référence inconnue"))</f>
        <v/>
      </c>
      <c r="E4143" s="37" t="n"/>
      <c r="F4143" s="39" t="str">
        <f>IF(C4143="","",IFERROR(INDEX(art_unit,MATCH(C4143,art_ref,0))&amp;"",""))</f>
        <v/>
      </c>
      <c r="G4143" s="37" t="n"/>
      <c r="H4143" s="37" t="n"/>
      <c r="I4143" s="37" t="n"/>
      <c r="J4143" s="40" t="str">
        <f>IF(OR(C4143="",NOT(ISNUMBER(E4143))),"",IFERROR(E4143*N(INDEX(art_price,MATCH(C4143,art_ref,0))),""))</f>
        <v/>
      </c>
      <c r="K4143" s="39" t="str">
        <f>IF(OR(C4143="",NOT(ISNUMBER(E4143))),"",IFERROR(ROUND(N(INDEX(art_init,MATCH(C4143,art_ref,0)))+SUMIFS($E$5:E4143,$C$5:C4143,C4143,$B$5:B4143,"Entrée")-SUMIFS($E$5:E4143,$C$5:C4143,C4143,$B$5:B4143,"Sortie"),6),""))</f>
        <v/>
      </c>
      <c r="L4143" s="39" t="str">
        <f>IF(COUNTA(A4143:C4143,E4143)=0,"",IF(COUNTA(A4143:C4143,E4143)&lt;4,"Ligne incomplète",IF(NOT(ISNUMBER(A4143)),"Date invalide",IF(AND(B4143&lt;&gt;"Entrée",B4143&lt;&gt;"Sortie"),"Type inconnu",IF(ISNA(MATCH(C4143,art_ref,0)),"Référence inconnue",IF(OR(NOT(ISNUMBER(E4143)),N(E4143)&lt;=0),"Quantité invalide",IF(K4143&lt;0,"Stock négatif",IF(AND(ISNUMBER(A4142),A4143&lt;A4142),"Date hors ordre","OK"))))))))</f>
        <v/>
      </c>
      <c r="M4143" s="39" t="str">
        <f>IF(C4143="","",C4143&amp;"#"&amp;COUNTIF($C$5:C4143,C4143))</f>
        <v/>
      </c>
    </row>
    <row r="4144">
      <c r="A4144" s="41" t="n"/>
      <c r="B4144" s="37" t="n"/>
      <c r="C4144" s="37" t="n"/>
      <c r="D4144" s="39" t="str">
        <f>IF(C4144="","",IFERROR(INDEX(art_des,MATCH(C4144,art_ref,0))&amp;"","Référence inconnue"))</f>
        <v/>
      </c>
      <c r="E4144" s="37" t="n"/>
      <c r="F4144" s="39" t="str">
        <f>IF(C4144="","",IFERROR(INDEX(art_unit,MATCH(C4144,art_ref,0))&amp;"",""))</f>
        <v/>
      </c>
      <c r="G4144" s="37" t="n"/>
      <c r="H4144" s="37" t="n"/>
      <c r="I4144" s="37" t="n"/>
      <c r="J4144" s="40" t="str">
        <f>IF(OR(C4144="",NOT(ISNUMBER(E4144))),"",IFERROR(E4144*N(INDEX(art_price,MATCH(C4144,art_ref,0))),""))</f>
        <v/>
      </c>
      <c r="K4144" s="39" t="str">
        <f>IF(OR(C4144="",NOT(ISNUMBER(E4144))),"",IFERROR(ROUND(N(INDEX(art_init,MATCH(C4144,art_ref,0)))+SUMIFS($E$5:E4144,$C$5:C4144,C4144,$B$5:B4144,"Entrée")-SUMIFS($E$5:E4144,$C$5:C4144,C4144,$B$5:B4144,"Sortie"),6),""))</f>
        <v/>
      </c>
      <c r="L4144" s="39" t="str">
        <f>IF(COUNTA(A4144:C4144,E4144)=0,"",IF(COUNTA(A4144:C4144,E4144)&lt;4,"Ligne incomplète",IF(NOT(ISNUMBER(A4144)),"Date invalide",IF(AND(B4144&lt;&gt;"Entrée",B4144&lt;&gt;"Sortie"),"Type inconnu",IF(ISNA(MATCH(C4144,art_ref,0)),"Référence inconnue",IF(OR(NOT(ISNUMBER(E4144)),N(E4144)&lt;=0),"Quantité invalide",IF(K4144&lt;0,"Stock négatif",IF(AND(ISNUMBER(A4143),A4144&lt;A4143),"Date hors ordre","OK"))))))))</f>
        <v/>
      </c>
      <c r="M4144" s="39" t="str">
        <f>IF(C4144="","",C4144&amp;"#"&amp;COUNTIF($C$5:C4144,C4144))</f>
        <v/>
      </c>
    </row>
    <row r="4145">
      <c r="A4145" s="41" t="n"/>
      <c r="B4145" s="37" t="n"/>
      <c r="C4145" s="37" t="n"/>
      <c r="D4145" s="39" t="str">
        <f>IF(C4145="","",IFERROR(INDEX(art_des,MATCH(C4145,art_ref,0))&amp;"","Référence inconnue"))</f>
        <v/>
      </c>
      <c r="E4145" s="37" t="n"/>
      <c r="F4145" s="39" t="str">
        <f>IF(C4145="","",IFERROR(INDEX(art_unit,MATCH(C4145,art_ref,0))&amp;"",""))</f>
        <v/>
      </c>
      <c r="G4145" s="37" t="n"/>
      <c r="H4145" s="37" t="n"/>
      <c r="I4145" s="37" t="n"/>
      <c r="J4145" s="40" t="str">
        <f>IF(OR(C4145="",NOT(ISNUMBER(E4145))),"",IFERROR(E4145*N(INDEX(art_price,MATCH(C4145,art_ref,0))),""))</f>
        <v/>
      </c>
      <c r="K4145" s="39" t="str">
        <f>IF(OR(C4145="",NOT(ISNUMBER(E4145))),"",IFERROR(ROUND(N(INDEX(art_init,MATCH(C4145,art_ref,0)))+SUMIFS($E$5:E4145,$C$5:C4145,C4145,$B$5:B4145,"Entrée")-SUMIFS($E$5:E4145,$C$5:C4145,C4145,$B$5:B4145,"Sortie"),6),""))</f>
        <v/>
      </c>
      <c r="L4145" s="39" t="str">
        <f>IF(COUNTA(A4145:C4145,E4145)=0,"",IF(COUNTA(A4145:C4145,E4145)&lt;4,"Ligne incomplète",IF(NOT(ISNUMBER(A4145)),"Date invalide",IF(AND(B4145&lt;&gt;"Entrée",B4145&lt;&gt;"Sortie"),"Type inconnu",IF(ISNA(MATCH(C4145,art_ref,0)),"Référence inconnue",IF(OR(NOT(ISNUMBER(E4145)),N(E4145)&lt;=0),"Quantité invalide",IF(K4145&lt;0,"Stock négatif",IF(AND(ISNUMBER(A4144),A4145&lt;A4144),"Date hors ordre","OK"))))))))</f>
        <v/>
      </c>
      <c r="M4145" s="39" t="str">
        <f>IF(C4145="","",C4145&amp;"#"&amp;COUNTIF($C$5:C4145,C4145))</f>
        <v/>
      </c>
    </row>
    <row r="4146">
      <c r="A4146" s="41" t="n"/>
      <c r="B4146" s="37" t="n"/>
      <c r="C4146" s="37" t="n"/>
      <c r="D4146" s="39" t="str">
        <f>IF(C4146="","",IFERROR(INDEX(art_des,MATCH(C4146,art_ref,0))&amp;"","Référence inconnue"))</f>
        <v/>
      </c>
      <c r="E4146" s="37" t="n"/>
      <c r="F4146" s="39" t="str">
        <f>IF(C4146="","",IFERROR(INDEX(art_unit,MATCH(C4146,art_ref,0))&amp;"",""))</f>
        <v/>
      </c>
      <c r="G4146" s="37" t="n"/>
      <c r="H4146" s="37" t="n"/>
      <c r="I4146" s="37" t="n"/>
      <c r="J4146" s="40" t="str">
        <f>IF(OR(C4146="",NOT(ISNUMBER(E4146))),"",IFERROR(E4146*N(INDEX(art_price,MATCH(C4146,art_ref,0))),""))</f>
        <v/>
      </c>
      <c r="K4146" s="39" t="str">
        <f>IF(OR(C4146="",NOT(ISNUMBER(E4146))),"",IFERROR(ROUND(N(INDEX(art_init,MATCH(C4146,art_ref,0)))+SUMIFS($E$5:E4146,$C$5:C4146,C4146,$B$5:B4146,"Entrée")-SUMIFS($E$5:E4146,$C$5:C4146,C4146,$B$5:B4146,"Sortie"),6),""))</f>
        <v/>
      </c>
      <c r="L4146" s="39" t="str">
        <f>IF(COUNTA(A4146:C4146,E4146)=0,"",IF(COUNTA(A4146:C4146,E4146)&lt;4,"Ligne incomplète",IF(NOT(ISNUMBER(A4146)),"Date invalide",IF(AND(B4146&lt;&gt;"Entrée",B4146&lt;&gt;"Sortie"),"Type inconnu",IF(ISNA(MATCH(C4146,art_ref,0)),"Référence inconnue",IF(OR(NOT(ISNUMBER(E4146)),N(E4146)&lt;=0),"Quantité invalide",IF(K4146&lt;0,"Stock négatif",IF(AND(ISNUMBER(A4145),A4146&lt;A4145),"Date hors ordre","OK"))))))))</f>
        <v/>
      </c>
      <c r="M4146" s="39" t="str">
        <f>IF(C4146="","",C4146&amp;"#"&amp;COUNTIF($C$5:C4146,C4146))</f>
        <v/>
      </c>
    </row>
    <row r="4147">
      <c r="A4147" s="41" t="n"/>
      <c r="B4147" s="37" t="n"/>
      <c r="C4147" s="37" t="n"/>
      <c r="D4147" s="39" t="str">
        <f>IF(C4147="","",IFERROR(INDEX(art_des,MATCH(C4147,art_ref,0))&amp;"","Référence inconnue"))</f>
        <v/>
      </c>
      <c r="E4147" s="37" t="n"/>
      <c r="F4147" s="39" t="str">
        <f>IF(C4147="","",IFERROR(INDEX(art_unit,MATCH(C4147,art_ref,0))&amp;"",""))</f>
        <v/>
      </c>
      <c r="G4147" s="37" t="n"/>
      <c r="H4147" s="37" t="n"/>
      <c r="I4147" s="37" t="n"/>
      <c r="J4147" s="40" t="str">
        <f>IF(OR(C4147="",NOT(ISNUMBER(E4147))),"",IFERROR(E4147*N(INDEX(art_price,MATCH(C4147,art_ref,0))),""))</f>
        <v/>
      </c>
      <c r="K4147" s="39" t="str">
        <f>IF(OR(C4147="",NOT(ISNUMBER(E4147))),"",IFERROR(ROUND(N(INDEX(art_init,MATCH(C4147,art_ref,0)))+SUMIFS($E$5:E4147,$C$5:C4147,C4147,$B$5:B4147,"Entrée")-SUMIFS($E$5:E4147,$C$5:C4147,C4147,$B$5:B4147,"Sortie"),6),""))</f>
        <v/>
      </c>
      <c r="L4147" s="39" t="str">
        <f>IF(COUNTA(A4147:C4147,E4147)=0,"",IF(COUNTA(A4147:C4147,E4147)&lt;4,"Ligne incomplète",IF(NOT(ISNUMBER(A4147)),"Date invalide",IF(AND(B4147&lt;&gt;"Entrée",B4147&lt;&gt;"Sortie"),"Type inconnu",IF(ISNA(MATCH(C4147,art_ref,0)),"Référence inconnue",IF(OR(NOT(ISNUMBER(E4147)),N(E4147)&lt;=0),"Quantité invalide",IF(K4147&lt;0,"Stock négatif",IF(AND(ISNUMBER(A4146),A4147&lt;A4146),"Date hors ordre","OK"))))))))</f>
        <v/>
      </c>
      <c r="M4147" s="39" t="str">
        <f>IF(C4147="","",C4147&amp;"#"&amp;COUNTIF($C$5:C4147,C4147))</f>
        <v/>
      </c>
    </row>
    <row r="4148">
      <c r="A4148" s="41" t="n"/>
      <c r="B4148" s="37" t="n"/>
      <c r="C4148" s="37" t="n"/>
      <c r="D4148" s="39" t="str">
        <f>IF(C4148="","",IFERROR(INDEX(art_des,MATCH(C4148,art_ref,0))&amp;"","Référence inconnue"))</f>
        <v/>
      </c>
      <c r="E4148" s="37" t="n"/>
      <c r="F4148" s="39" t="str">
        <f>IF(C4148="","",IFERROR(INDEX(art_unit,MATCH(C4148,art_ref,0))&amp;"",""))</f>
        <v/>
      </c>
      <c r="G4148" s="37" t="n"/>
      <c r="H4148" s="37" t="n"/>
      <c r="I4148" s="37" t="n"/>
      <c r="J4148" s="40" t="str">
        <f>IF(OR(C4148="",NOT(ISNUMBER(E4148))),"",IFERROR(E4148*N(INDEX(art_price,MATCH(C4148,art_ref,0))),""))</f>
        <v/>
      </c>
      <c r="K4148" s="39" t="str">
        <f>IF(OR(C4148="",NOT(ISNUMBER(E4148))),"",IFERROR(ROUND(N(INDEX(art_init,MATCH(C4148,art_ref,0)))+SUMIFS($E$5:E4148,$C$5:C4148,C4148,$B$5:B4148,"Entrée")-SUMIFS($E$5:E4148,$C$5:C4148,C4148,$B$5:B4148,"Sortie"),6),""))</f>
        <v/>
      </c>
      <c r="L4148" s="39" t="str">
        <f>IF(COUNTA(A4148:C4148,E4148)=0,"",IF(COUNTA(A4148:C4148,E4148)&lt;4,"Ligne incomplète",IF(NOT(ISNUMBER(A4148)),"Date invalide",IF(AND(B4148&lt;&gt;"Entrée",B4148&lt;&gt;"Sortie"),"Type inconnu",IF(ISNA(MATCH(C4148,art_ref,0)),"Référence inconnue",IF(OR(NOT(ISNUMBER(E4148)),N(E4148)&lt;=0),"Quantité invalide",IF(K4148&lt;0,"Stock négatif",IF(AND(ISNUMBER(A4147),A4148&lt;A4147),"Date hors ordre","OK"))))))))</f>
        <v/>
      </c>
      <c r="M4148" s="39" t="str">
        <f>IF(C4148="","",C4148&amp;"#"&amp;COUNTIF($C$5:C4148,C4148))</f>
        <v/>
      </c>
    </row>
    <row r="4149">
      <c r="A4149" s="41" t="n"/>
      <c r="B4149" s="37" t="n"/>
      <c r="C4149" s="37" t="n"/>
      <c r="D4149" s="39" t="str">
        <f>IF(C4149="","",IFERROR(INDEX(art_des,MATCH(C4149,art_ref,0))&amp;"","Référence inconnue"))</f>
        <v/>
      </c>
      <c r="E4149" s="37" t="n"/>
      <c r="F4149" s="39" t="str">
        <f>IF(C4149="","",IFERROR(INDEX(art_unit,MATCH(C4149,art_ref,0))&amp;"",""))</f>
        <v/>
      </c>
      <c r="G4149" s="37" t="n"/>
      <c r="H4149" s="37" t="n"/>
      <c r="I4149" s="37" t="n"/>
      <c r="J4149" s="40" t="str">
        <f>IF(OR(C4149="",NOT(ISNUMBER(E4149))),"",IFERROR(E4149*N(INDEX(art_price,MATCH(C4149,art_ref,0))),""))</f>
        <v/>
      </c>
      <c r="K4149" s="39" t="str">
        <f>IF(OR(C4149="",NOT(ISNUMBER(E4149))),"",IFERROR(ROUND(N(INDEX(art_init,MATCH(C4149,art_ref,0)))+SUMIFS($E$5:E4149,$C$5:C4149,C4149,$B$5:B4149,"Entrée")-SUMIFS($E$5:E4149,$C$5:C4149,C4149,$B$5:B4149,"Sortie"),6),""))</f>
        <v/>
      </c>
      <c r="L4149" s="39" t="str">
        <f>IF(COUNTA(A4149:C4149,E4149)=0,"",IF(COUNTA(A4149:C4149,E4149)&lt;4,"Ligne incomplète",IF(NOT(ISNUMBER(A4149)),"Date invalide",IF(AND(B4149&lt;&gt;"Entrée",B4149&lt;&gt;"Sortie"),"Type inconnu",IF(ISNA(MATCH(C4149,art_ref,0)),"Référence inconnue",IF(OR(NOT(ISNUMBER(E4149)),N(E4149)&lt;=0),"Quantité invalide",IF(K4149&lt;0,"Stock négatif",IF(AND(ISNUMBER(A4148),A4149&lt;A4148),"Date hors ordre","OK"))))))))</f>
        <v/>
      </c>
      <c r="M4149" s="39" t="str">
        <f>IF(C4149="","",C4149&amp;"#"&amp;COUNTIF($C$5:C4149,C4149))</f>
        <v/>
      </c>
    </row>
    <row r="4150">
      <c r="A4150" s="41" t="n"/>
      <c r="B4150" s="37" t="n"/>
      <c r="C4150" s="37" t="n"/>
      <c r="D4150" s="39" t="str">
        <f>IF(C4150="","",IFERROR(INDEX(art_des,MATCH(C4150,art_ref,0))&amp;"","Référence inconnue"))</f>
        <v/>
      </c>
      <c r="E4150" s="37" t="n"/>
      <c r="F4150" s="39" t="str">
        <f>IF(C4150="","",IFERROR(INDEX(art_unit,MATCH(C4150,art_ref,0))&amp;"",""))</f>
        <v/>
      </c>
      <c r="G4150" s="37" t="n"/>
      <c r="H4150" s="37" t="n"/>
      <c r="I4150" s="37" t="n"/>
      <c r="J4150" s="40" t="str">
        <f>IF(OR(C4150="",NOT(ISNUMBER(E4150))),"",IFERROR(E4150*N(INDEX(art_price,MATCH(C4150,art_ref,0))),""))</f>
        <v/>
      </c>
      <c r="K4150" s="39" t="str">
        <f>IF(OR(C4150="",NOT(ISNUMBER(E4150))),"",IFERROR(ROUND(N(INDEX(art_init,MATCH(C4150,art_ref,0)))+SUMIFS($E$5:E4150,$C$5:C4150,C4150,$B$5:B4150,"Entrée")-SUMIFS($E$5:E4150,$C$5:C4150,C4150,$B$5:B4150,"Sortie"),6),""))</f>
        <v/>
      </c>
      <c r="L4150" s="39" t="str">
        <f>IF(COUNTA(A4150:C4150,E4150)=0,"",IF(COUNTA(A4150:C4150,E4150)&lt;4,"Ligne incomplète",IF(NOT(ISNUMBER(A4150)),"Date invalide",IF(AND(B4150&lt;&gt;"Entrée",B4150&lt;&gt;"Sortie"),"Type inconnu",IF(ISNA(MATCH(C4150,art_ref,0)),"Référence inconnue",IF(OR(NOT(ISNUMBER(E4150)),N(E4150)&lt;=0),"Quantité invalide",IF(K4150&lt;0,"Stock négatif",IF(AND(ISNUMBER(A4149),A4150&lt;A4149),"Date hors ordre","OK"))))))))</f>
        <v/>
      </c>
      <c r="M4150" s="39" t="str">
        <f>IF(C4150="","",C4150&amp;"#"&amp;COUNTIF($C$5:C4150,C4150))</f>
        <v/>
      </c>
    </row>
    <row r="4151">
      <c r="A4151" s="41" t="n"/>
      <c r="B4151" s="37" t="n"/>
      <c r="C4151" s="37" t="n"/>
      <c r="D4151" s="39" t="str">
        <f>IF(C4151="","",IFERROR(INDEX(art_des,MATCH(C4151,art_ref,0))&amp;"","Référence inconnue"))</f>
        <v/>
      </c>
      <c r="E4151" s="37" t="n"/>
      <c r="F4151" s="39" t="str">
        <f>IF(C4151="","",IFERROR(INDEX(art_unit,MATCH(C4151,art_ref,0))&amp;"",""))</f>
        <v/>
      </c>
      <c r="G4151" s="37" t="n"/>
      <c r="H4151" s="37" t="n"/>
      <c r="I4151" s="37" t="n"/>
      <c r="J4151" s="40" t="str">
        <f>IF(OR(C4151="",NOT(ISNUMBER(E4151))),"",IFERROR(E4151*N(INDEX(art_price,MATCH(C4151,art_ref,0))),""))</f>
        <v/>
      </c>
      <c r="K4151" s="39" t="str">
        <f>IF(OR(C4151="",NOT(ISNUMBER(E4151))),"",IFERROR(ROUND(N(INDEX(art_init,MATCH(C4151,art_ref,0)))+SUMIFS($E$5:E4151,$C$5:C4151,C4151,$B$5:B4151,"Entrée")-SUMIFS($E$5:E4151,$C$5:C4151,C4151,$B$5:B4151,"Sortie"),6),""))</f>
        <v/>
      </c>
      <c r="L4151" s="39" t="str">
        <f>IF(COUNTA(A4151:C4151,E4151)=0,"",IF(COUNTA(A4151:C4151,E4151)&lt;4,"Ligne incomplète",IF(NOT(ISNUMBER(A4151)),"Date invalide",IF(AND(B4151&lt;&gt;"Entrée",B4151&lt;&gt;"Sortie"),"Type inconnu",IF(ISNA(MATCH(C4151,art_ref,0)),"Référence inconnue",IF(OR(NOT(ISNUMBER(E4151)),N(E4151)&lt;=0),"Quantité invalide",IF(K4151&lt;0,"Stock négatif",IF(AND(ISNUMBER(A4150),A4151&lt;A4150),"Date hors ordre","OK"))))))))</f>
        <v/>
      </c>
      <c r="M4151" s="39" t="str">
        <f>IF(C4151="","",C4151&amp;"#"&amp;COUNTIF($C$5:C4151,C4151))</f>
        <v/>
      </c>
    </row>
    <row r="4152">
      <c r="A4152" s="41" t="n"/>
      <c r="B4152" s="37" t="n"/>
      <c r="C4152" s="37" t="n"/>
      <c r="D4152" s="39" t="str">
        <f>IF(C4152="","",IFERROR(INDEX(art_des,MATCH(C4152,art_ref,0))&amp;"","Référence inconnue"))</f>
        <v/>
      </c>
      <c r="E4152" s="37" t="n"/>
      <c r="F4152" s="39" t="str">
        <f>IF(C4152="","",IFERROR(INDEX(art_unit,MATCH(C4152,art_ref,0))&amp;"",""))</f>
        <v/>
      </c>
      <c r="G4152" s="37" t="n"/>
      <c r="H4152" s="37" t="n"/>
      <c r="I4152" s="37" t="n"/>
      <c r="J4152" s="40" t="str">
        <f>IF(OR(C4152="",NOT(ISNUMBER(E4152))),"",IFERROR(E4152*N(INDEX(art_price,MATCH(C4152,art_ref,0))),""))</f>
        <v/>
      </c>
      <c r="K4152" s="39" t="str">
        <f>IF(OR(C4152="",NOT(ISNUMBER(E4152))),"",IFERROR(ROUND(N(INDEX(art_init,MATCH(C4152,art_ref,0)))+SUMIFS($E$5:E4152,$C$5:C4152,C4152,$B$5:B4152,"Entrée")-SUMIFS($E$5:E4152,$C$5:C4152,C4152,$B$5:B4152,"Sortie"),6),""))</f>
        <v/>
      </c>
      <c r="L4152" s="39" t="str">
        <f>IF(COUNTA(A4152:C4152,E4152)=0,"",IF(COUNTA(A4152:C4152,E4152)&lt;4,"Ligne incomplète",IF(NOT(ISNUMBER(A4152)),"Date invalide",IF(AND(B4152&lt;&gt;"Entrée",B4152&lt;&gt;"Sortie"),"Type inconnu",IF(ISNA(MATCH(C4152,art_ref,0)),"Référence inconnue",IF(OR(NOT(ISNUMBER(E4152)),N(E4152)&lt;=0),"Quantité invalide",IF(K4152&lt;0,"Stock négatif",IF(AND(ISNUMBER(A4151),A4152&lt;A4151),"Date hors ordre","OK"))))))))</f>
        <v/>
      </c>
      <c r="M4152" s="39" t="str">
        <f>IF(C4152="","",C4152&amp;"#"&amp;COUNTIF($C$5:C4152,C4152))</f>
        <v/>
      </c>
    </row>
    <row r="4153">
      <c r="A4153" s="41" t="n"/>
      <c r="B4153" s="37" t="n"/>
      <c r="C4153" s="37" t="n"/>
      <c r="D4153" s="39" t="str">
        <f>IF(C4153="","",IFERROR(INDEX(art_des,MATCH(C4153,art_ref,0))&amp;"","Référence inconnue"))</f>
        <v/>
      </c>
      <c r="E4153" s="37" t="n"/>
      <c r="F4153" s="39" t="str">
        <f>IF(C4153="","",IFERROR(INDEX(art_unit,MATCH(C4153,art_ref,0))&amp;"",""))</f>
        <v/>
      </c>
      <c r="G4153" s="37" t="n"/>
      <c r="H4153" s="37" t="n"/>
      <c r="I4153" s="37" t="n"/>
      <c r="J4153" s="40" t="str">
        <f>IF(OR(C4153="",NOT(ISNUMBER(E4153))),"",IFERROR(E4153*N(INDEX(art_price,MATCH(C4153,art_ref,0))),""))</f>
        <v/>
      </c>
      <c r="K4153" s="39" t="str">
        <f>IF(OR(C4153="",NOT(ISNUMBER(E4153))),"",IFERROR(ROUND(N(INDEX(art_init,MATCH(C4153,art_ref,0)))+SUMIFS($E$5:E4153,$C$5:C4153,C4153,$B$5:B4153,"Entrée")-SUMIFS($E$5:E4153,$C$5:C4153,C4153,$B$5:B4153,"Sortie"),6),""))</f>
        <v/>
      </c>
      <c r="L4153" s="39" t="str">
        <f>IF(COUNTA(A4153:C4153,E4153)=0,"",IF(COUNTA(A4153:C4153,E4153)&lt;4,"Ligne incomplète",IF(NOT(ISNUMBER(A4153)),"Date invalide",IF(AND(B4153&lt;&gt;"Entrée",B4153&lt;&gt;"Sortie"),"Type inconnu",IF(ISNA(MATCH(C4153,art_ref,0)),"Référence inconnue",IF(OR(NOT(ISNUMBER(E4153)),N(E4153)&lt;=0),"Quantité invalide",IF(K4153&lt;0,"Stock négatif",IF(AND(ISNUMBER(A4152),A4153&lt;A4152),"Date hors ordre","OK"))))))))</f>
        <v/>
      </c>
      <c r="M4153" s="39" t="str">
        <f>IF(C4153="","",C4153&amp;"#"&amp;COUNTIF($C$5:C4153,C4153))</f>
        <v/>
      </c>
    </row>
    <row r="4154">
      <c r="A4154" s="41" t="n"/>
      <c r="B4154" s="37" t="n"/>
      <c r="C4154" s="37" t="n"/>
      <c r="D4154" s="39" t="str">
        <f>IF(C4154="","",IFERROR(INDEX(art_des,MATCH(C4154,art_ref,0))&amp;"","Référence inconnue"))</f>
        <v/>
      </c>
      <c r="E4154" s="37" t="n"/>
      <c r="F4154" s="39" t="str">
        <f>IF(C4154="","",IFERROR(INDEX(art_unit,MATCH(C4154,art_ref,0))&amp;"",""))</f>
        <v/>
      </c>
      <c r="G4154" s="37" t="n"/>
      <c r="H4154" s="37" t="n"/>
      <c r="I4154" s="37" t="n"/>
      <c r="J4154" s="40" t="str">
        <f>IF(OR(C4154="",NOT(ISNUMBER(E4154))),"",IFERROR(E4154*N(INDEX(art_price,MATCH(C4154,art_ref,0))),""))</f>
        <v/>
      </c>
      <c r="K4154" s="39" t="str">
        <f>IF(OR(C4154="",NOT(ISNUMBER(E4154))),"",IFERROR(ROUND(N(INDEX(art_init,MATCH(C4154,art_ref,0)))+SUMIFS($E$5:E4154,$C$5:C4154,C4154,$B$5:B4154,"Entrée")-SUMIFS($E$5:E4154,$C$5:C4154,C4154,$B$5:B4154,"Sortie"),6),""))</f>
        <v/>
      </c>
      <c r="L4154" s="39" t="str">
        <f>IF(COUNTA(A4154:C4154,E4154)=0,"",IF(COUNTA(A4154:C4154,E4154)&lt;4,"Ligne incomplète",IF(NOT(ISNUMBER(A4154)),"Date invalide",IF(AND(B4154&lt;&gt;"Entrée",B4154&lt;&gt;"Sortie"),"Type inconnu",IF(ISNA(MATCH(C4154,art_ref,0)),"Référence inconnue",IF(OR(NOT(ISNUMBER(E4154)),N(E4154)&lt;=0),"Quantité invalide",IF(K4154&lt;0,"Stock négatif",IF(AND(ISNUMBER(A4153),A4154&lt;A4153),"Date hors ordre","OK"))))))))</f>
        <v/>
      </c>
      <c r="M4154" s="39" t="str">
        <f>IF(C4154="","",C4154&amp;"#"&amp;COUNTIF($C$5:C4154,C4154))</f>
        <v/>
      </c>
    </row>
    <row r="4155">
      <c r="A4155" s="41" t="n"/>
      <c r="B4155" s="37" t="n"/>
      <c r="C4155" s="37" t="n"/>
      <c r="D4155" s="39" t="str">
        <f>IF(C4155="","",IFERROR(INDEX(art_des,MATCH(C4155,art_ref,0))&amp;"","Référence inconnue"))</f>
        <v/>
      </c>
      <c r="E4155" s="37" t="n"/>
      <c r="F4155" s="39" t="str">
        <f>IF(C4155="","",IFERROR(INDEX(art_unit,MATCH(C4155,art_ref,0))&amp;"",""))</f>
        <v/>
      </c>
      <c r="G4155" s="37" t="n"/>
      <c r="H4155" s="37" t="n"/>
      <c r="I4155" s="37" t="n"/>
      <c r="J4155" s="40" t="str">
        <f>IF(OR(C4155="",NOT(ISNUMBER(E4155))),"",IFERROR(E4155*N(INDEX(art_price,MATCH(C4155,art_ref,0))),""))</f>
        <v/>
      </c>
      <c r="K4155" s="39" t="str">
        <f>IF(OR(C4155="",NOT(ISNUMBER(E4155))),"",IFERROR(ROUND(N(INDEX(art_init,MATCH(C4155,art_ref,0)))+SUMIFS($E$5:E4155,$C$5:C4155,C4155,$B$5:B4155,"Entrée")-SUMIFS($E$5:E4155,$C$5:C4155,C4155,$B$5:B4155,"Sortie"),6),""))</f>
        <v/>
      </c>
      <c r="L4155" s="39" t="str">
        <f>IF(COUNTA(A4155:C4155,E4155)=0,"",IF(COUNTA(A4155:C4155,E4155)&lt;4,"Ligne incomplète",IF(NOT(ISNUMBER(A4155)),"Date invalide",IF(AND(B4155&lt;&gt;"Entrée",B4155&lt;&gt;"Sortie"),"Type inconnu",IF(ISNA(MATCH(C4155,art_ref,0)),"Référence inconnue",IF(OR(NOT(ISNUMBER(E4155)),N(E4155)&lt;=0),"Quantité invalide",IF(K4155&lt;0,"Stock négatif",IF(AND(ISNUMBER(A4154),A4155&lt;A4154),"Date hors ordre","OK"))))))))</f>
        <v/>
      </c>
      <c r="M4155" s="39" t="str">
        <f>IF(C4155="","",C4155&amp;"#"&amp;COUNTIF($C$5:C4155,C4155))</f>
        <v/>
      </c>
    </row>
    <row r="4156">
      <c r="A4156" s="41" t="n"/>
      <c r="B4156" s="37" t="n"/>
      <c r="C4156" s="37" t="n"/>
      <c r="D4156" s="39" t="str">
        <f>IF(C4156="","",IFERROR(INDEX(art_des,MATCH(C4156,art_ref,0))&amp;"","Référence inconnue"))</f>
        <v/>
      </c>
      <c r="E4156" s="37" t="n"/>
      <c r="F4156" s="39" t="str">
        <f>IF(C4156="","",IFERROR(INDEX(art_unit,MATCH(C4156,art_ref,0))&amp;"",""))</f>
        <v/>
      </c>
      <c r="G4156" s="37" t="n"/>
      <c r="H4156" s="37" t="n"/>
      <c r="I4156" s="37" t="n"/>
      <c r="J4156" s="40" t="str">
        <f>IF(OR(C4156="",NOT(ISNUMBER(E4156))),"",IFERROR(E4156*N(INDEX(art_price,MATCH(C4156,art_ref,0))),""))</f>
        <v/>
      </c>
      <c r="K4156" s="39" t="str">
        <f>IF(OR(C4156="",NOT(ISNUMBER(E4156))),"",IFERROR(ROUND(N(INDEX(art_init,MATCH(C4156,art_ref,0)))+SUMIFS($E$5:E4156,$C$5:C4156,C4156,$B$5:B4156,"Entrée")-SUMIFS($E$5:E4156,$C$5:C4156,C4156,$B$5:B4156,"Sortie"),6),""))</f>
        <v/>
      </c>
      <c r="L4156" s="39" t="str">
        <f>IF(COUNTA(A4156:C4156,E4156)=0,"",IF(COUNTA(A4156:C4156,E4156)&lt;4,"Ligne incomplète",IF(NOT(ISNUMBER(A4156)),"Date invalide",IF(AND(B4156&lt;&gt;"Entrée",B4156&lt;&gt;"Sortie"),"Type inconnu",IF(ISNA(MATCH(C4156,art_ref,0)),"Référence inconnue",IF(OR(NOT(ISNUMBER(E4156)),N(E4156)&lt;=0),"Quantité invalide",IF(K4156&lt;0,"Stock négatif",IF(AND(ISNUMBER(A4155),A4156&lt;A4155),"Date hors ordre","OK"))))))))</f>
        <v/>
      </c>
      <c r="M4156" s="39" t="str">
        <f>IF(C4156="","",C4156&amp;"#"&amp;COUNTIF($C$5:C4156,C4156))</f>
        <v/>
      </c>
    </row>
    <row r="4157">
      <c r="A4157" s="41" t="n"/>
      <c r="B4157" s="37" t="n"/>
      <c r="C4157" s="37" t="n"/>
      <c r="D4157" s="39" t="str">
        <f>IF(C4157="","",IFERROR(INDEX(art_des,MATCH(C4157,art_ref,0))&amp;"","Référence inconnue"))</f>
        <v/>
      </c>
      <c r="E4157" s="37" t="n"/>
      <c r="F4157" s="39" t="str">
        <f>IF(C4157="","",IFERROR(INDEX(art_unit,MATCH(C4157,art_ref,0))&amp;"",""))</f>
        <v/>
      </c>
      <c r="G4157" s="37" t="n"/>
      <c r="H4157" s="37" t="n"/>
      <c r="I4157" s="37" t="n"/>
      <c r="J4157" s="40" t="str">
        <f>IF(OR(C4157="",NOT(ISNUMBER(E4157))),"",IFERROR(E4157*N(INDEX(art_price,MATCH(C4157,art_ref,0))),""))</f>
        <v/>
      </c>
      <c r="K4157" s="39" t="str">
        <f>IF(OR(C4157="",NOT(ISNUMBER(E4157))),"",IFERROR(ROUND(N(INDEX(art_init,MATCH(C4157,art_ref,0)))+SUMIFS($E$5:E4157,$C$5:C4157,C4157,$B$5:B4157,"Entrée")-SUMIFS($E$5:E4157,$C$5:C4157,C4157,$B$5:B4157,"Sortie"),6),""))</f>
        <v/>
      </c>
      <c r="L4157" s="39" t="str">
        <f>IF(COUNTA(A4157:C4157,E4157)=0,"",IF(COUNTA(A4157:C4157,E4157)&lt;4,"Ligne incomplète",IF(NOT(ISNUMBER(A4157)),"Date invalide",IF(AND(B4157&lt;&gt;"Entrée",B4157&lt;&gt;"Sortie"),"Type inconnu",IF(ISNA(MATCH(C4157,art_ref,0)),"Référence inconnue",IF(OR(NOT(ISNUMBER(E4157)),N(E4157)&lt;=0),"Quantité invalide",IF(K4157&lt;0,"Stock négatif",IF(AND(ISNUMBER(A4156),A4157&lt;A4156),"Date hors ordre","OK"))))))))</f>
        <v/>
      </c>
      <c r="M4157" s="39" t="str">
        <f>IF(C4157="","",C4157&amp;"#"&amp;COUNTIF($C$5:C4157,C4157))</f>
        <v/>
      </c>
    </row>
    <row r="4158">
      <c r="A4158" s="41" t="n"/>
      <c r="B4158" s="37" t="n"/>
      <c r="C4158" s="37" t="n"/>
      <c r="D4158" s="39" t="str">
        <f>IF(C4158="","",IFERROR(INDEX(art_des,MATCH(C4158,art_ref,0))&amp;"","Référence inconnue"))</f>
        <v/>
      </c>
      <c r="E4158" s="37" t="n"/>
      <c r="F4158" s="39" t="str">
        <f>IF(C4158="","",IFERROR(INDEX(art_unit,MATCH(C4158,art_ref,0))&amp;"",""))</f>
        <v/>
      </c>
      <c r="G4158" s="37" t="n"/>
      <c r="H4158" s="37" t="n"/>
      <c r="I4158" s="37" t="n"/>
      <c r="J4158" s="40" t="str">
        <f>IF(OR(C4158="",NOT(ISNUMBER(E4158))),"",IFERROR(E4158*N(INDEX(art_price,MATCH(C4158,art_ref,0))),""))</f>
        <v/>
      </c>
      <c r="K4158" s="39" t="str">
        <f>IF(OR(C4158="",NOT(ISNUMBER(E4158))),"",IFERROR(ROUND(N(INDEX(art_init,MATCH(C4158,art_ref,0)))+SUMIFS($E$5:E4158,$C$5:C4158,C4158,$B$5:B4158,"Entrée")-SUMIFS($E$5:E4158,$C$5:C4158,C4158,$B$5:B4158,"Sortie"),6),""))</f>
        <v/>
      </c>
      <c r="L4158" s="39" t="str">
        <f>IF(COUNTA(A4158:C4158,E4158)=0,"",IF(COUNTA(A4158:C4158,E4158)&lt;4,"Ligne incomplète",IF(NOT(ISNUMBER(A4158)),"Date invalide",IF(AND(B4158&lt;&gt;"Entrée",B4158&lt;&gt;"Sortie"),"Type inconnu",IF(ISNA(MATCH(C4158,art_ref,0)),"Référence inconnue",IF(OR(NOT(ISNUMBER(E4158)),N(E4158)&lt;=0),"Quantité invalide",IF(K4158&lt;0,"Stock négatif",IF(AND(ISNUMBER(A4157),A4158&lt;A4157),"Date hors ordre","OK"))))))))</f>
        <v/>
      </c>
      <c r="M4158" s="39" t="str">
        <f>IF(C4158="","",C4158&amp;"#"&amp;COUNTIF($C$5:C4158,C4158))</f>
        <v/>
      </c>
    </row>
    <row r="4159">
      <c r="A4159" s="41" t="n"/>
      <c r="B4159" s="37" t="n"/>
      <c r="C4159" s="37" t="n"/>
      <c r="D4159" s="39" t="str">
        <f>IF(C4159="","",IFERROR(INDEX(art_des,MATCH(C4159,art_ref,0))&amp;"","Référence inconnue"))</f>
        <v/>
      </c>
      <c r="E4159" s="37" t="n"/>
      <c r="F4159" s="39" t="str">
        <f>IF(C4159="","",IFERROR(INDEX(art_unit,MATCH(C4159,art_ref,0))&amp;"",""))</f>
        <v/>
      </c>
      <c r="G4159" s="37" t="n"/>
      <c r="H4159" s="37" t="n"/>
      <c r="I4159" s="37" t="n"/>
      <c r="J4159" s="40" t="str">
        <f>IF(OR(C4159="",NOT(ISNUMBER(E4159))),"",IFERROR(E4159*N(INDEX(art_price,MATCH(C4159,art_ref,0))),""))</f>
        <v/>
      </c>
      <c r="K4159" s="39" t="str">
        <f>IF(OR(C4159="",NOT(ISNUMBER(E4159))),"",IFERROR(ROUND(N(INDEX(art_init,MATCH(C4159,art_ref,0)))+SUMIFS($E$5:E4159,$C$5:C4159,C4159,$B$5:B4159,"Entrée")-SUMIFS($E$5:E4159,$C$5:C4159,C4159,$B$5:B4159,"Sortie"),6),""))</f>
        <v/>
      </c>
      <c r="L4159" s="39" t="str">
        <f>IF(COUNTA(A4159:C4159,E4159)=0,"",IF(COUNTA(A4159:C4159,E4159)&lt;4,"Ligne incomplète",IF(NOT(ISNUMBER(A4159)),"Date invalide",IF(AND(B4159&lt;&gt;"Entrée",B4159&lt;&gt;"Sortie"),"Type inconnu",IF(ISNA(MATCH(C4159,art_ref,0)),"Référence inconnue",IF(OR(NOT(ISNUMBER(E4159)),N(E4159)&lt;=0),"Quantité invalide",IF(K4159&lt;0,"Stock négatif",IF(AND(ISNUMBER(A4158),A4159&lt;A4158),"Date hors ordre","OK"))))))))</f>
        <v/>
      </c>
      <c r="M4159" s="39" t="str">
        <f>IF(C4159="","",C4159&amp;"#"&amp;COUNTIF($C$5:C4159,C4159))</f>
        <v/>
      </c>
    </row>
    <row r="4160">
      <c r="A4160" s="41" t="n"/>
      <c r="B4160" s="37" t="n"/>
      <c r="C4160" s="37" t="n"/>
      <c r="D4160" s="39" t="str">
        <f>IF(C4160="","",IFERROR(INDEX(art_des,MATCH(C4160,art_ref,0))&amp;"","Référence inconnue"))</f>
        <v/>
      </c>
      <c r="E4160" s="37" t="n"/>
      <c r="F4160" s="39" t="str">
        <f>IF(C4160="","",IFERROR(INDEX(art_unit,MATCH(C4160,art_ref,0))&amp;"",""))</f>
        <v/>
      </c>
      <c r="G4160" s="37" t="n"/>
      <c r="H4160" s="37" t="n"/>
      <c r="I4160" s="37" t="n"/>
      <c r="J4160" s="40" t="str">
        <f>IF(OR(C4160="",NOT(ISNUMBER(E4160))),"",IFERROR(E4160*N(INDEX(art_price,MATCH(C4160,art_ref,0))),""))</f>
        <v/>
      </c>
      <c r="K4160" s="39" t="str">
        <f>IF(OR(C4160="",NOT(ISNUMBER(E4160))),"",IFERROR(ROUND(N(INDEX(art_init,MATCH(C4160,art_ref,0)))+SUMIFS($E$5:E4160,$C$5:C4160,C4160,$B$5:B4160,"Entrée")-SUMIFS($E$5:E4160,$C$5:C4160,C4160,$B$5:B4160,"Sortie"),6),""))</f>
        <v/>
      </c>
      <c r="L4160" s="39" t="str">
        <f>IF(COUNTA(A4160:C4160,E4160)=0,"",IF(COUNTA(A4160:C4160,E4160)&lt;4,"Ligne incomplète",IF(NOT(ISNUMBER(A4160)),"Date invalide",IF(AND(B4160&lt;&gt;"Entrée",B4160&lt;&gt;"Sortie"),"Type inconnu",IF(ISNA(MATCH(C4160,art_ref,0)),"Référence inconnue",IF(OR(NOT(ISNUMBER(E4160)),N(E4160)&lt;=0),"Quantité invalide",IF(K4160&lt;0,"Stock négatif",IF(AND(ISNUMBER(A4159),A4160&lt;A4159),"Date hors ordre","OK"))))))))</f>
        <v/>
      </c>
      <c r="M4160" s="39" t="str">
        <f>IF(C4160="","",C4160&amp;"#"&amp;COUNTIF($C$5:C4160,C4160))</f>
        <v/>
      </c>
    </row>
    <row r="4161">
      <c r="A4161" s="41" t="n"/>
      <c r="B4161" s="37" t="n"/>
      <c r="C4161" s="37" t="n"/>
      <c r="D4161" s="39" t="str">
        <f>IF(C4161="","",IFERROR(INDEX(art_des,MATCH(C4161,art_ref,0))&amp;"","Référence inconnue"))</f>
        <v/>
      </c>
      <c r="E4161" s="37" t="n"/>
      <c r="F4161" s="39" t="str">
        <f>IF(C4161="","",IFERROR(INDEX(art_unit,MATCH(C4161,art_ref,0))&amp;"",""))</f>
        <v/>
      </c>
      <c r="G4161" s="37" t="n"/>
      <c r="H4161" s="37" t="n"/>
      <c r="I4161" s="37" t="n"/>
      <c r="J4161" s="40" t="str">
        <f>IF(OR(C4161="",NOT(ISNUMBER(E4161))),"",IFERROR(E4161*N(INDEX(art_price,MATCH(C4161,art_ref,0))),""))</f>
        <v/>
      </c>
      <c r="K4161" s="39" t="str">
        <f>IF(OR(C4161="",NOT(ISNUMBER(E4161))),"",IFERROR(ROUND(N(INDEX(art_init,MATCH(C4161,art_ref,0)))+SUMIFS($E$5:E4161,$C$5:C4161,C4161,$B$5:B4161,"Entrée")-SUMIFS($E$5:E4161,$C$5:C4161,C4161,$B$5:B4161,"Sortie"),6),""))</f>
        <v/>
      </c>
      <c r="L4161" s="39" t="str">
        <f>IF(COUNTA(A4161:C4161,E4161)=0,"",IF(COUNTA(A4161:C4161,E4161)&lt;4,"Ligne incomplète",IF(NOT(ISNUMBER(A4161)),"Date invalide",IF(AND(B4161&lt;&gt;"Entrée",B4161&lt;&gt;"Sortie"),"Type inconnu",IF(ISNA(MATCH(C4161,art_ref,0)),"Référence inconnue",IF(OR(NOT(ISNUMBER(E4161)),N(E4161)&lt;=0),"Quantité invalide",IF(K4161&lt;0,"Stock négatif",IF(AND(ISNUMBER(A4160),A4161&lt;A4160),"Date hors ordre","OK"))))))))</f>
        <v/>
      </c>
      <c r="M4161" s="39" t="str">
        <f>IF(C4161="","",C4161&amp;"#"&amp;COUNTIF($C$5:C4161,C4161))</f>
        <v/>
      </c>
    </row>
    <row r="4162">
      <c r="A4162" s="41" t="n"/>
      <c r="B4162" s="37" t="n"/>
      <c r="C4162" s="37" t="n"/>
      <c r="D4162" s="39" t="str">
        <f>IF(C4162="","",IFERROR(INDEX(art_des,MATCH(C4162,art_ref,0))&amp;"","Référence inconnue"))</f>
        <v/>
      </c>
      <c r="E4162" s="37" t="n"/>
      <c r="F4162" s="39" t="str">
        <f>IF(C4162="","",IFERROR(INDEX(art_unit,MATCH(C4162,art_ref,0))&amp;"",""))</f>
        <v/>
      </c>
      <c r="G4162" s="37" t="n"/>
      <c r="H4162" s="37" t="n"/>
      <c r="I4162" s="37" t="n"/>
      <c r="J4162" s="40" t="str">
        <f>IF(OR(C4162="",NOT(ISNUMBER(E4162))),"",IFERROR(E4162*N(INDEX(art_price,MATCH(C4162,art_ref,0))),""))</f>
        <v/>
      </c>
      <c r="K4162" s="39" t="str">
        <f>IF(OR(C4162="",NOT(ISNUMBER(E4162))),"",IFERROR(ROUND(N(INDEX(art_init,MATCH(C4162,art_ref,0)))+SUMIFS($E$5:E4162,$C$5:C4162,C4162,$B$5:B4162,"Entrée")-SUMIFS($E$5:E4162,$C$5:C4162,C4162,$B$5:B4162,"Sortie"),6),""))</f>
        <v/>
      </c>
      <c r="L4162" s="39" t="str">
        <f>IF(COUNTA(A4162:C4162,E4162)=0,"",IF(COUNTA(A4162:C4162,E4162)&lt;4,"Ligne incomplète",IF(NOT(ISNUMBER(A4162)),"Date invalide",IF(AND(B4162&lt;&gt;"Entrée",B4162&lt;&gt;"Sortie"),"Type inconnu",IF(ISNA(MATCH(C4162,art_ref,0)),"Référence inconnue",IF(OR(NOT(ISNUMBER(E4162)),N(E4162)&lt;=0),"Quantité invalide",IF(K4162&lt;0,"Stock négatif",IF(AND(ISNUMBER(A4161),A4162&lt;A4161),"Date hors ordre","OK"))))))))</f>
        <v/>
      </c>
      <c r="M4162" s="39" t="str">
        <f>IF(C4162="","",C4162&amp;"#"&amp;COUNTIF($C$5:C4162,C4162))</f>
        <v/>
      </c>
    </row>
    <row r="4163">
      <c r="A4163" s="41" t="n"/>
      <c r="B4163" s="37" t="n"/>
      <c r="C4163" s="37" t="n"/>
      <c r="D4163" s="39" t="str">
        <f>IF(C4163="","",IFERROR(INDEX(art_des,MATCH(C4163,art_ref,0))&amp;"","Référence inconnue"))</f>
        <v/>
      </c>
      <c r="E4163" s="37" t="n"/>
      <c r="F4163" s="39" t="str">
        <f>IF(C4163="","",IFERROR(INDEX(art_unit,MATCH(C4163,art_ref,0))&amp;"",""))</f>
        <v/>
      </c>
      <c r="G4163" s="37" t="n"/>
      <c r="H4163" s="37" t="n"/>
      <c r="I4163" s="37" t="n"/>
      <c r="J4163" s="40" t="str">
        <f>IF(OR(C4163="",NOT(ISNUMBER(E4163))),"",IFERROR(E4163*N(INDEX(art_price,MATCH(C4163,art_ref,0))),""))</f>
        <v/>
      </c>
      <c r="K4163" s="39" t="str">
        <f>IF(OR(C4163="",NOT(ISNUMBER(E4163))),"",IFERROR(ROUND(N(INDEX(art_init,MATCH(C4163,art_ref,0)))+SUMIFS($E$5:E4163,$C$5:C4163,C4163,$B$5:B4163,"Entrée")-SUMIFS($E$5:E4163,$C$5:C4163,C4163,$B$5:B4163,"Sortie"),6),""))</f>
        <v/>
      </c>
      <c r="L4163" s="39" t="str">
        <f>IF(COUNTA(A4163:C4163,E4163)=0,"",IF(COUNTA(A4163:C4163,E4163)&lt;4,"Ligne incomplète",IF(NOT(ISNUMBER(A4163)),"Date invalide",IF(AND(B4163&lt;&gt;"Entrée",B4163&lt;&gt;"Sortie"),"Type inconnu",IF(ISNA(MATCH(C4163,art_ref,0)),"Référence inconnue",IF(OR(NOT(ISNUMBER(E4163)),N(E4163)&lt;=0),"Quantité invalide",IF(K4163&lt;0,"Stock négatif",IF(AND(ISNUMBER(A4162),A4163&lt;A4162),"Date hors ordre","OK"))))))))</f>
        <v/>
      </c>
      <c r="M4163" s="39" t="str">
        <f>IF(C4163="","",C4163&amp;"#"&amp;COUNTIF($C$5:C4163,C4163))</f>
        <v/>
      </c>
    </row>
    <row r="4164">
      <c r="A4164" s="41" t="n"/>
      <c r="B4164" s="37" t="n"/>
      <c r="C4164" s="37" t="n"/>
      <c r="D4164" s="39" t="str">
        <f>IF(C4164="","",IFERROR(INDEX(art_des,MATCH(C4164,art_ref,0))&amp;"","Référence inconnue"))</f>
        <v/>
      </c>
      <c r="E4164" s="37" t="n"/>
      <c r="F4164" s="39" t="str">
        <f>IF(C4164="","",IFERROR(INDEX(art_unit,MATCH(C4164,art_ref,0))&amp;"",""))</f>
        <v/>
      </c>
      <c r="G4164" s="37" t="n"/>
      <c r="H4164" s="37" t="n"/>
      <c r="I4164" s="37" t="n"/>
      <c r="J4164" s="40" t="str">
        <f>IF(OR(C4164="",NOT(ISNUMBER(E4164))),"",IFERROR(E4164*N(INDEX(art_price,MATCH(C4164,art_ref,0))),""))</f>
        <v/>
      </c>
      <c r="K4164" s="39" t="str">
        <f>IF(OR(C4164="",NOT(ISNUMBER(E4164))),"",IFERROR(ROUND(N(INDEX(art_init,MATCH(C4164,art_ref,0)))+SUMIFS($E$5:E4164,$C$5:C4164,C4164,$B$5:B4164,"Entrée")-SUMIFS($E$5:E4164,$C$5:C4164,C4164,$B$5:B4164,"Sortie"),6),""))</f>
        <v/>
      </c>
      <c r="L4164" s="39" t="str">
        <f>IF(COUNTA(A4164:C4164,E4164)=0,"",IF(COUNTA(A4164:C4164,E4164)&lt;4,"Ligne incomplète",IF(NOT(ISNUMBER(A4164)),"Date invalide",IF(AND(B4164&lt;&gt;"Entrée",B4164&lt;&gt;"Sortie"),"Type inconnu",IF(ISNA(MATCH(C4164,art_ref,0)),"Référence inconnue",IF(OR(NOT(ISNUMBER(E4164)),N(E4164)&lt;=0),"Quantité invalide",IF(K4164&lt;0,"Stock négatif",IF(AND(ISNUMBER(A4163),A4164&lt;A4163),"Date hors ordre","OK"))))))))</f>
        <v/>
      </c>
      <c r="M4164" s="39" t="str">
        <f>IF(C4164="","",C4164&amp;"#"&amp;COUNTIF($C$5:C4164,C4164))</f>
        <v/>
      </c>
    </row>
    <row r="4165">
      <c r="A4165" s="41" t="n"/>
      <c r="B4165" s="37" t="n"/>
      <c r="C4165" s="37" t="n"/>
      <c r="D4165" s="39" t="str">
        <f>IF(C4165="","",IFERROR(INDEX(art_des,MATCH(C4165,art_ref,0))&amp;"","Référence inconnue"))</f>
        <v/>
      </c>
      <c r="E4165" s="37" t="n"/>
      <c r="F4165" s="39" t="str">
        <f>IF(C4165="","",IFERROR(INDEX(art_unit,MATCH(C4165,art_ref,0))&amp;"",""))</f>
        <v/>
      </c>
      <c r="G4165" s="37" t="n"/>
      <c r="H4165" s="37" t="n"/>
      <c r="I4165" s="37" t="n"/>
      <c r="J4165" s="40" t="str">
        <f>IF(OR(C4165="",NOT(ISNUMBER(E4165))),"",IFERROR(E4165*N(INDEX(art_price,MATCH(C4165,art_ref,0))),""))</f>
        <v/>
      </c>
      <c r="K4165" s="39" t="str">
        <f>IF(OR(C4165="",NOT(ISNUMBER(E4165))),"",IFERROR(ROUND(N(INDEX(art_init,MATCH(C4165,art_ref,0)))+SUMIFS($E$5:E4165,$C$5:C4165,C4165,$B$5:B4165,"Entrée")-SUMIFS($E$5:E4165,$C$5:C4165,C4165,$B$5:B4165,"Sortie"),6),""))</f>
        <v/>
      </c>
      <c r="L4165" s="39" t="str">
        <f>IF(COUNTA(A4165:C4165,E4165)=0,"",IF(COUNTA(A4165:C4165,E4165)&lt;4,"Ligne incomplète",IF(NOT(ISNUMBER(A4165)),"Date invalide",IF(AND(B4165&lt;&gt;"Entrée",B4165&lt;&gt;"Sortie"),"Type inconnu",IF(ISNA(MATCH(C4165,art_ref,0)),"Référence inconnue",IF(OR(NOT(ISNUMBER(E4165)),N(E4165)&lt;=0),"Quantité invalide",IF(K4165&lt;0,"Stock négatif",IF(AND(ISNUMBER(A4164),A4165&lt;A4164),"Date hors ordre","OK"))))))))</f>
        <v/>
      </c>
      <c r="M4165" s="39" t="str">
        <f>IF(C4165="","",C4165&amp;"#"&amp;COUNTIF($C$5:C4165,C4165))</f>
        <v/>
      </c>
    </row>
    <row r="4166">
      <c r="A4166" s="41" t="n"/>
      <c r="B4166" s="37" t="n"/>
      <c r="C4166" s="37" t="n"/>
      <c r="D4166" s="39" t="str">
        <f>IF(C4166="","",IFERROR(INDEX(art_des,MATCH(C4166,art_ref,0))&amp;"","Référence inconnue"))</f>
        <v/>
      </c>
      <c r="E4166" s="37" t="n"/>
      <c r="F4166" s="39" t="str">
        <f>IF(C4166="","",IFERROR(INDEX(art_unit,MATCH(C4166,art_ref,0))&amp;"",""))</f>
        <v/>
      </c>
      <c r="G4166" s="37" t="n"/>
      <c r="H4166" s="37" t="n"/>
      <c r="I4166" s="37" t="n"/>
      <c r="J4166" s="40" t="str">
        <f>IF(OR(C4166="",NOT(ISNUMBER(E4166))),"",IFERROR(E4166*N(INDEX(art_price,MATCH(C4166,art_ref,0))),""))</f>
        <v/>
      </c>
      <c r="K4166" s="39" t="str">
        <f>IF(OR(C4166="",NOT(ISNUMBER(E4166))),"",IFERROR(ROUND(N(INDEX(art_init,MATCH(C4166,art_ref,0)))+SUMIFS($E$5:E4166,$C$5:C4166,C4166,$B$5:B4166,"Entrée")-SUMIFS($E$5:E4166,$C$5:C4166,C4166,$B$5:B4166,"Sortie"),6),""))</f>
        <v/>
      </c>
      <c r="L4166" s="39" t="str">
        <f>IF(COUNTA(A4166:C4166,E4166)=0,"",IF(COUNTA(A4166:C4166,E4166)&lt;4,"Ligne incomplète",IF(NOT(ISNUMBER(A4166)),"Date invalide",IF(AND(B4166&lt;&gt;"Entrée",B4166&lt;&gt;"Sortie"),"Type inconnu",IF(ISNA(MATCH(C4166,art_ref,0)),"Référence inconnue",IF(OR(NOT(ISNUMBER(E4166)),N(E4166)&lt;=0),"Quantité invalide",IF(K4166&lt;0,"Stock négatif",IF(AND(ISNUMBER(A4165),A4166&lt;A4165),"Date hors ordre","OK"))))))))</f>
        <v/>
      </c>
      <c r="M4166" s="39" t="str">
        <f>IF(C4166="","",C4166&amp;"#"&amp;COUNTIF($C$5:C4166,C4166))</f>
        <v/>
      </c>
    </row>
    <row r="4167">
      <c r="A4167" s="41" t="n"/>
      <c r="B4167" s="37" t="n"/>
      <c r="C4167" s="37" t="n"/>
      <c r="D4167" s="39" t="str">
        <f>IF(C4167="","",IFERROR(INDEX(art_des,MATCH(C4167,art_ref,0))&amp;"","Référence inconnue"))</f>
        <v/>
      </c>
      <c r="E4167" s="37" t="n"/>
      <c r="F4167" s="39" t="str">
        <f>IF(C4167="","",IFERROR(INDEX(art_unit,MATCH(C4167,art_ref,0))&amp;"",""))</f>
        <v/>
      </c>
      <c r="G4167" s="37" t="n"/>
      <c r="H4167" s="37" t="n"/>
      <c r="I4167" s="37" t="n"/>
      <c r="J4167" s="40" t="str">
        <f>IF(OR(C4167="",NOT(ISNUMBER(E4167))),"",IFERROR(E4167*N(INDEX(art_price,MATCH(C4167,art_ref,0))),""))</f>
        <v/>
      </c>
      <c r="K4167" s="39" t="str">
        <f>IF(OR(C4167="",NOT(ISNUMBER(E4167))),"",IFERROR(ROUND(N(INDEX(art_init,MATCH(C4167,art_ref,0)))+SUMIFS($E$5:E4167,$C$5:C4167,C4167,$B$5:B4167,"Entrée")-SUMIFS($E$5:E4167,$C$5:C4167,C4167,$B$5:B4167,"Sortie"),6),""))</f>
        <v/>
      </c>
      <c r="L4167" s="39" t="str">
        <f>IF(COUNTA(A4167:C4167,E4167)=0,"",IF(COUNTA(A4167:C4167,E4167)&lt;4,"Ligne incomplète",IF(NOT(ISNUMBER(A4167)),"Date invalide",IF(AND(B4167&lt;&gt;"Entrée",B4167&lt;&gt;"Sortie"),"Type inconnu",IF(ISNA(MATCH(C4167,art_ref,0)),"Référence inconnue",IF(OR(NOT(ISNUMBER(E4167)),N(E4167)&lt;=0),"Quantité invalide",IF(K4167&lt;0,"Stock négatif",IF(AND(ISNUMBER(A4166),A4167&lt;A4166),"Date hors ordre","OK"))))))))</f>
        <v/>
      </c>
      <c r="M4167" s="39" t="str">
        <f>IF(C4167="","",C4167&amp;"#"&amp;COUNTIF($C$5:C4167,C4167))</f>
        <v/>
      </c>
    </row>
    <row r="4168">
      <c r="A4168" s="41" t="n"/>
      <c r="B4168" s="37" t="n"/>
      <c r="C4168" s="37" t="n"/>
      <c r="D4168" s="39" t="str">
        <f>IF(C4168="","",IFERROR(INDEX(art_des,MATCH(C4168,art_ref,0))&amp;"","Référence inconnue"))</f>
        <v/>
      </c>
      <c r="E4168" s="37" t="n"/>
      <c r="F4168" s="39" t="str">
        <f>IF(C4168="","",IFERROR(INDEX(art_unit,MATCH(C4168,art_ref,0))&amp;"",""))</f>
        <v/>
      </c>
      <c r="G4168" s="37" t="n"/>
      <c r="H4168" s="37" t="n"/>
      <c r="I4168" s="37" t="n"/>
      <c r="J4168" s="40" t="str">
        <f>IF(OR(C4168="",NOT(ISNUMBER(E4168))),"",IFERROR(E4168*N(INDEX(art_price,MATCH(C4168,art_ref,0))),""))</f>
        <v/>
      </c>
      <c r="K4168" s="39" t="str">
        <f>IF(OR(C4168="",NOT(ISNUMBER(E4168))),"",IFERROR(ROUND(N(INDEX(art_init,MATCH(C4168,art_ref,0)))+SUMIFS($E$5:E4168,$C$5:C4168,C4168,$B$5:B4168,"Entrée")-SUMIFS($E$5:E4168,$C$5:C4168,C4168,$B$5:B4168,"Sortie"),6),""))</f>
        <v/>
      </c>
      <c r="L4168" s="39" t="str">
        <f>IF(COUNTA(A4168:C4168,E4168)=0,"",IF(COUNTA(A4168:C4168,E4168)&lt;4,"Ligne incomplète",IF(NOT(ISNUMBER(A4168)),"Date invalide",IF(AND(B4168&lt;&gt;"Entrée",B4168&lt;&gt;"Sortie"),"Type inconnu",IF(ISNA(MATCH(C4168,art_ref,0)),"Référence inconnue",IF(OR(NOT(ISNUMBER(E4168)),N(E4168)&lt;=0),"Quantité invalide",IF(K4168&lt;0,"Stock négatif",IF(AND(ISNUMBER(A4167),A4168&lt;A4167),"Date hors ordre","OK"))))))))</f>
        <v/>
      </c>
      <c r="M4168" s="39" t="str">
        <f>IF(C4168="","",C4168&amp;"#"&amp;COUNTIF($C$5:C4168,C4168))</f>
        <v/>
      </c>
    </row>
    <row r="4169">
      <c r="A4169" s="41" t="n"/>
      <c r="B4169" s="37" t="n"/>
      <c r="C4169" s="37" t="n"/>
      <c r="D4169" s="39" t="str">
        <f>IF(C4169="","",IFERROR(INDEX(art_des,MATCH(C4169,art_ref,0))&amp;"","Référence inconnue"))</f>
        <v/>
      </c>
      <c r="E4169" s="37" t="n"/>
      <c r="F4169" s="39" t="str">
        <f>IF(C4169="","",IFERROR(INDEX(art_unit,MATCH(C4169,art_ref,0))&amp;"",""))</f>
        <v/>
      </c>
      <c r="G4169" s="37" t="n"/>
      <c r="H4169" s="37" t="n"/>
      <c r="I4169" s="37" t="n"/>
      <c r="J4169" s="40" t="str">
        <f>IF(OR(C4169="",NOT(ISNUMBER(E4169))),"",IFERROR(E4169*N(INDEX(art_price,MATCH(C4169,art_ref,0))),""))</f>
        <v/>
      </c>
      <c r="K4169" s="39" t="str">
        <f>IF(OR(C4169="",NOT(ISNUMBER(E4169))),"",IFERROR(ROUND(N(INDEX(art_init,MATCH(C4169,art_ref,0)))+SUMIFS($E$5:E4169,$C$5:C4169,C4169,$B$5:B4169,"Entrée")-SUMIFS($E$5:E4169,$C$5:C4169,C4169,$B$5:B4169,"Sortie"),6),""))</f>
        <v/>
      </c>
      <c r="L4169" s="39" t="str">
        <f>IF(COUNTA(A4169:C4169,E4169)=0,"",IF(COUNTA(A4169:C4169,E4169)&lt;4,"Ligne incomplète",IF(NOT(ISNUMBER(A4169)),"Date invalide",IF(AND(B4169&lt;&gt;"Entrée",B4169&lt;&gt;"Sortie"),"Type inconnu",IF(ISNA(MATCH(C4169,art_ref,0)),"Référence inconnue",IF(OR(NOT(ISNUMBER(E4169)),N(E4169)&lt;=0),"Quantité invalide",IF(K4169&lt;0,"Stock négatif",IF(AND(ISNUMBER(A4168),A4169&lt;A4168),"Date hors ordre","OK"))))))))</f>
        <v/>
      </c>
      <c r="M4169" s="39" t="str">
        <f>IF(C4169="","",C4169&amp;"#"&amp;COUNTIF($C$5:C4169,C4169))</f>
        <v/>
      </c>
    </row>
    <row r="4170">
      <c r="A4170" s="41" t="n"/>
      <c r="B4170" s="37" t="n"/>
      <c r="C4170" s="37" t="n"/>
      <c r="D4170" s="39" t="str">
        <f>IF(C4170="","",IFERROR(INDEX(art_des,MATCH(C4170,art_ref,0))&amp;"","Référence inconnue"))</f>
        <v/>
      </c>
      <c r="E4170" s="37" t="n"/>
      <c r="F4170" s="39" t="str">
        <f>IF(C4170="","",IFERROR(INDEX(art_unit,MATCH(C4170,art_ref,0))&amp;"",""))</f>
        <v/>
      </c>
      <c r="G4170" s="37" t="n"/>
      <c r="H4170" s="37" t="n"/>
      <c r="I4170" s="37" t="n"/>
      <c r="J4170" s="40" t="str">
        <f>IF(OR(C4170="",NOT(ISNUMBER(E4170))),"",IFERROR(E4170*N(INDEX(art_price,MATCH(C4170,art_ref,0))),""))</f>
        <v/>
      </c>
      <c r="K4170" s="39" t="str">
        <f>IF(OR(C4170="",NOT(ISNUMBER(E4170))),"",IFERROR(ROUND(N(INDEX(art_init,MATCH(C4170,art_ref,0)))+SUMIFS($E$5:E4170,$C$5:C4170,C4170,$B$5:B4170,"Entrée")-SUMIFS($E$5:E4170,$C$5:C4170,C4170,$B$5:B4170,"Sortie"),6),""))</f>
        <v/>
      </c>
      <c r="L4170" s="39" t="str">
        <f>IF(COUNTA(A4170:C4170,E4170)=0,"",IF(COUNTA(A4170:C4170,E4170)&lt;4,"Ligne incomplète",IF(NOT(ISNUMBER(A4170)),"Date invalide",IF(AND(B4170&lt;&gt;"Entrée",B4170&lt;&gt;"Sortie"),"Type inconnu",IF(ISNA(MATCH(C4170,art_ref,0)),"Référence inconnue",IF(OR(NOT(ISNUMBER(E4170)),N(E4170)&lt;=0),"Quantité invalide",IF(K4170&lt;0,"Stock négatif",IF(AND(ISNUMBER(A4169),A4170&lt;A4169),"Date hors ordre","OK"))))))))</f>
        <v/>
      </c>
      <c r="M4170" s="39" t="str">
        <f>IF(C4170="","",C4170&amp;"#"&amp;COUNTIF($C$5:C4170,C4170))</f>
        <v/>
      </c>
    </row>
    <row r="4171">
      <c r="A4171" s="41" t="n"/>
      <c r="B4171" s="37" t="n"/>
      <c r="C4171" s="37" t="n"/>
      <c r="D4171" s="39" t="str">
        <f>IF(C4171="","",IFERROR(INDEX(art_des,MATCH(C4171,art_ref,0))&amp;"","Référence inconnue"))</f>
        <v/>
      </c>
      <c r="E4171" s="37" t="n"/>
      <c r="F4171" s="39" t="str">
        <f>IF(C4171="","",IFERROR(INDEX(art_unit,MATCH(C4171,art_ref,0))&amp;"",""))</f>
        <v/>
      </c>
      <c r="G4171" s="37" t="n"/>
      <c r="H4171" s="37" t="n"/>
      <c r="I4171" s="37" t="n"/>
      <c r="J4171" s="40" t="str">
        <f>IF(OR(C4171="",NOT(ISNUMBER(E4171))),"",IFERROR(E4171*N(INDEX(art_price,MATCH(C4171,art_ref,0))),""))</f>
        <v/>
      </c>
      <c r="K4171" s="39" t="str">
        <f>IF(OR(C4171="",NOT(ISNUMBER(E4171))),"",IFERROR(ROUND(N(INDEX(art_init,MATCH(C4171,art_ref,0)))+SUMIFS($E$5:E4171,$C$5:C4171,C4171,$B$5:B4171,"Entrée")-SUMIFS($E$5:E4171,$C$5:C4171,C4171,$B$5:B4171,"Sortie"),6),""))</f>
        <v/>
      </c>
      <c r="L4171" s="39" t="str">
        <f>IF(COUNTA(A4171:C4171,E4171)=0,"",IF(COUNTA(A4171:C4171,E4171)&lt;4,"Ligne incomplète",IF(NOT(ISNUMBER(A4171)),"Date invalide",IF(AND(B4171&lt;&gt;"Entrée",B4171&lt;&gt;"Sortie"),"Type inconnu",IF(ISNA(MATCH(C4171,art_ref,0)),"Référence inconnue",IF(OR(NOT(ISNUMBER(E4171)),N(E4171)&lt;=0),"Quantité invalide",IF(K4171&lt;0,"Stock négatif",IF(AND(ISNUMBER(A4170),A4171&lt;A4170),"Date hors ordre","OK"))))))))</f>
        <v/>
      </c>
      <c r="M4171" s="39" t="str">
        <f>IF(C4171="","",C4171&amp;"#"&amp;COUNTIF($C$5:C4171,C4171))</f>
        <v/>
      </c>
    </row>
    <row r="4172">
      <c r="A4172" s="41" t="n"/>
      <c r="B4172" s="37" t="n"/>
      <c r="C4172" s="37" t="n"/>
      <c r="D4172" s="39" t="str">
        <f>IF(C4172="","",IFERROR(INDEX(art_des,MATCH(C4172,art_ref,0))&amp;"","Référence inconnue"))</f>
        <v/>
      </c>
      <c r="E4172" s="37" t="n"/>
      <c r="F4172" s="39" t="str">
        <f>IF(C4172="","",IFERROR(INDEX(art_unit,MATCH(C4172,art_ref,0))&amp;"",""))</f>
        <v/>
      </c>
      <c r="G4172" s="37" t="n"/>
      <c r="H4172" s="37" t="n"/>
      <c r="I4172" s="37" t="n"/>
      <c r="J4172" s="40" t="str">
        <f>IF(OR(C4172="",NOT(ISNUMBER(E4172))),"",IFERROR(E4172*N(INDEX(art_price,MATCH(C4172,art_ref,0))),""))</f>
        <v/>
      </c>
      <c r="K4172" s="39" t="str">
        <f>IF(OR(C4172="",NOT(ISNUMBER(E4172))),"",IFERROR(ROUND(N(INDEX(art_init,MATCH(C4172,art_ref,0)))+SUMIFS($E$5:E4172,$C$5:C4172,C4172,$B$5:B4172,"Entrée")-SUMIFS($E$5:E4172,$C$5:C4172,C4172,$B$5:B4172,"Sortie"),6),""))</f>
        <v/>
      </c>
      <c r="L4172" s="39" t="str">
        <f>IF(COUNTA(A4172:C4172,E4172)=0,"",IF(COUNTA(A4172:C4172,E4172)&lt;4,"Ligne incomplète",IF(NOT(ISNUMBER(A4172)),"Date invalide",IF(AND(B4172&lt;&gt;"Entrée",B4172&lt;&gt;"Sortie"),"Type inconnu",IF(ISNA(MATCH(C4172,art_ref,0)),"Référence inconnue",IF(OR(NOT(ISNUMBER(E4172)),N(E4172)&lt;=0),"Quantité invalide",IF(K4172&lt;0,"Stock négatif",IF(AND(ISNUMBER(A4171),A4172&lt;A4171),"Date hors ordre","OK"))))))))</f>
        <v/>
      </c>
      <c r="M4172" s="39" t="str">
        <f>IF(C4172="","",C4172&amp;"#"&amp;COUNTIF($C$5:C4172,C4172))</f>
        <v/>
      </c>
    </row>
    <row r="4173">
      <c r="A4173" s="41" t="n"/>
      <c r="B4173" s="37" t="n"/>
      <c r="C4173" s="37" t="n"/>
      <c r="D4173" s="39" t="str">
        <f>IF(C4173="","",IFERROR(INDEX(art_des,MATCH(C4173,art_ref,0))&amp;"","Référence inconnue"))</f>
        <v/>
      </c>
      <c r="E4173" s="37" t="n"/>
      <c r="F4173" s="39" t="str">
        <f>IF(C4173="","",IFERROR(INDEX(art_unit,MATCH(C4173,art_ref,0))&amp;"",""))</f>
        <v/>
      </c>
      <c r="G4173" s="37" t="n"/>
      <c r="H4173" s="37" t="n"/>
      <c r="I4173" s="37" t="n"/>
      <c r="J4173" s="40" t="str">
        <f>IF(OR(C4173="",NOT(ISNUMBER(E4173))),"",IFERROR(E4173*N(INDEX(art_price,MATCH(C4173,art_ref,0))),""))</f>
        <v/>
      </c>
      <c r="K4173" s="39" t="str">
        <f>IF(OR(C4173="",NOT(ISNUMBER(E4173))),"",IFERROR(ROUND(N(INDEX(art_init,MATCH(C4173,art_ref,0)))+SUMIFS($E$5:E4173,$C$5:C4173,C4173,$B$5:B4173,"Entrée")-SUMIFS($E$5:E4173,$C$5:C4173,C4173,$B$5:B4173,"Sortie"),6),""))</f>
        <v/>
      </c>
      <c r="L4173" s="39" t="str">
        <f>IF(COUNTA(A4173:C4173,E4173)=0,"",IF(COUNTA(A4173:C4173,E4173)&lt;4,"Ligne incomplète",IF(NOT(ISNUMBER(A4173)),"Date invalide",IF(AND(B4173&lt;&gt;"Entrée",B4173&lt;&gt;"Sortie"),"Type inconnu",IF(ISNA(MATCH(C4173,art_ref,0)),"Référence inconnue",IF(OR(NOT(ISNUMBER(E4173)),N(E4173)&lt;=0),"Quantité invalide",IF(K4173&lt;0,"Stock négatif",IF(AND(ISNUMBER(A4172),A4173&lt;A4172),"Date hors ordre","OK"))))))))</f>
        <v/>
      </c>
      <c r="M4173" s="39" t="str">
        <f>IF(C4173="","",C4173&amp;"#"&amp;COUNTIF($C$5:C4173,C4173))</f>
        <v/>
      </c>
    </row>
    <row r="4174">
      <c r="A4174" s="41" t="n"/>
      <c r="B4174" s="37" t="n"/>
      <c r="C4174" s="37" t="n"/>
      <c r="D4174" s="39" t="str">
        <f>IF(C4174="","",IFERROR(INDEX(art_des,MATCH(C4174,art_ref,0))&amp;"","Référence inconnue"))</f>
        <v/>
      </c>
      <c r="E4174" s="37" t="n"/>
      <c r="F4174" s="39" t="str">
        <f>IF(C4174="","",IFERROR(INDEX(art_unit,MATCH(C4174,art_ref,0))&amp;"",""))</f>
        <v/>
      </c>
      <c r="G4174" s="37" t="n"/>
      <c r="H4174" s="37" t="n"/>
      <c r="I4174" s="37" t="n"/>
      <c r="J4174" s="40" t="str">
        <f>IF(OR(C4174="",NOT(ISNUMBER(E4174))),"",IFERROR(E4174*N(INDEX(art_price,MATCH(C4174,art_ref,0))),""))</f>
        <v/>
      </c>
      <c r="K4174" s="39" t="str">
        <f>IF(OR(C4174="",NOT(ISNUMBER(E4174))),"",IFERROR(ROUND(N(INDEX(art_init,MATCH(C4174,art_ref,0)))+SUMIFS($E$5:E4174,$C$5:C4174,C4174,$B$5:B4174,"Entrée")-SUMIFS($E$5:E4174,$C$5:C4174,C4174,$B$5:B4174,"Sortie"),6),""))</f>
        <v/>
      </c>
      <c r="L4174" s="39" t="str">
        <f>IF(COUNTA(A4174:C4174,E4174)=0,"",IF(COUNTA(A4174:C4174,E4174)&lt;4,"Ligne incomplète",IF(NOT(ISNUMBER(A4174)),"Date invalide",IF(AND(B4174&lt;&gt;"Entrée",B4174&lt;&gt;"Sortie"),"Type inconnu",IF(ISNA(MATCH(C4174,art_ref,0)),"Référence inconnue",IF(OR(NOT(ISNUMBER(E4174)),N(E4174)&lt;=0),"Quantité invalide",IF(K4174&lt;0,"Stock négatif",IF(AND(ISNUMBER(A4173),A4174&lt;A4173),"Date hors ordre","OK"))))))))</f>
        <v/>
      </c>
      <c r="M4174" s="39" t="str">
        <f>IF(C4174="","",C4174&amp;"#"&amp;COUNTIF($C$5:C4174,C4174))</f>
        <v/>
      </c>
    </row>
    <row r="4175">
      <c r="A4175" s="41" t="n"/>
      <c r="B4175" s="37" t="n"/>
      <c r="C4175" s="37" t="n"/>
      <c r="D4175" s="39" t="str">
        <f>IF(C4175="","",IFERROR(INDEX(art_des,MATCH(C4175,art_ref,0))&amp;"","Référence inconnue"))</f>
        <v/>
      </c>
      <c r="E4175" s="37" t="n"/>
      <c r="F4175" s="39" t="str">
        <f>IF(C4175="","",IFERROR(INDEX(art_unit,MATCH(C4175,art_ref,0))&amp;"",""))</f>
        <v/>
      </c>
      <c r="G4175" s="37" t="n"/>
      <c r="H4175" s="37" t="n"/>
      <c r="I4175" s="37" t="n"/>
      <c r="J4175" s="40" t="str">
        <f>IF(OR(C4175="",NOT(ISNUMBER(E4175))),"",IFERROR(E4175*N(INDEX(art_price,MATCH(C4175,art_ref,0))),""))</f>
        <v/>
      </c>
      <c r="K4175" s="39" t="str">
        <f>IF(OR(C4175="",NOT(ISNUMBER(E4175))),"",IFERROR(ROUND(N(INDEX(art_init,MATCH(C4175,art_ref,0)))+SUMIFS($E$5:E4175,$C$5:C4175,C4175,$B$5:B4175,"Entrée")-SUMIFS($E$5:E4175,$C$5:C4175,C4175,$B$5:B4175,"Sortie"),6),""))</f>
        <v/>
      </c>
      <c r="L4175" s="39" t="str">
        <f>IF(COUNTA(A4175:C4175,E4175)=0,"",IF(COUNTA(A4175:C4175,E4175)&lt;4,"Ligne incomplète",IF(NOT(ISNUMBER(A4175)),"Date invalide",IF(AND(B4175&lt;&gt;"Entrée",B4175&lt;&gt;"Sortie"),"Type inconnu",IF(ISNA(MATCH(C4175,art_ref,0)),"Référence inconnue",IF(OR(NOT(ISNUMBER(E4175)),N(E4175)&lt;=0),"Quantité invalide",IF(K4175&lt;0,"Stock négatif",IF(AND(ISNUMBER(A4174),A4175&lt;A4174),"Date hors ordre","OK"))))))))</f>
        <v/>
      </c>
      <c r="M4175" s="39" t="str">
        <f>IF(C4175="","",C4175&amp;"#"&amp;COUNTIF($C$5:C4175,C4175))</f>
        <v/>
      </c>
    </row>
    <row r="4176">
      <c r="A4176" s="41" t="n"/>
      <c r="B4176" s="37" t="n"/>
      <c r="C4176" s="37" t="n"/>
      <c r="D4176" s="39" t="str">
        <f>IF(C4176="","",IFERROR(INDEX(art_des,MATCH(C4176,art_ref,0))&amp;"","Référence inconnue"))</f>
        <v/>
      </c>
      <c r="E4176" s="37" t="n"/>
      <c r="F4176" s="39" t="str">
        <f>IF(C4176="","",IFERROR(INDEX(art_unit,MATCH(C4176,art_ref,0))&amp;"",""))</f>
        <v/>
      </c>
      <c r="G4176" s="37" t="n"/>
      <c r="H4176" s="37" t="n"/>
      <c r="I4176" s="37" t="n"/>
      <c r="J4176" s="40" t="str">
        <f>IF(OR(C4176="",NOT(ISNUMBER(E4176))),"",IFERROR(E4176*N(INDEX(art_price,MATCH(C4176,art_ref,0))),""))</f>
        <v/>
      </c>
      <c r="K4176" s="39" t="str">
        <f>IF(OR(C4176="",NOT(ISNUMBER(E4176))),"",IFERROR(ROUND(N(INDEX(art_init,MATCH(C4176,art_ref,0)))+SUMIFS($E$5:E4176,$C$5:C4176,C4176,$B$5:B4176,"Entrée")-SUMIFS($E$5:E4176,$C$5:C4176,C4176,$B$5:B4176,"Sortie"),6),""))</f>
        <v/>
      </c>
      <c r="L4176" s="39" t="str">
        <f>IF(COUNTA(A4176:C4176,E4176)=0,"",IF(COUNTA(A4176:C4176,E4176)&lt;4,"Ligne incomplète",IF(NOT(ISNUMBER(A4176)),"Date invalide",IF(AND(B4176&lt;&gt;"Entrée",B4176&lt;&gt;"Sortie"),"Type inconnu",IF(ISNA(MATCH(C4176,art_ref,0)),"Référence inconnue",IF(OR(NOT(ISNUMBER(E4176)),N(E4176)&lt;=0),"Quantité invalide",IF(K4176&lt;0,"Stock négatif",IF(AND(ISNUMBER(A4175),A4176&lt;A4175),"Date hors ordre","OK"))))))))</f>
        <v/>
      </c>
      <c r="M4176" s="39" t="str">
        <f>IF(C4176="","",C4176&amp;"#"&amp;COUNTIF($C$5:C4176,C4176))</f>
        <v/>
      </c>
    </row>
    <row r="4177">
      <c r="A4177" s="41" t="n"/>
      <c r="B4177" s="37" t="n"/>
      <c r="C4177" s="37" t="n"/>
      <c r="D4177" s="39" t="str">
        <f>IF(C4177="","",IFERROR(INDEX(art_des,MATCH(C4177,art_ref,0))&amp;"","Référence inconnue"))</f>
        <v/>
      </c>
      <c r="E4177" s="37" t="n"/>
      <c r="F4177" s="39" t="str">
        <f>IF(C4177="","",IFERROR(INDEX(art_unit,MATCH(C4177,art_ref,0))&amp;"",""))</f>
        <v/>
      </c>
      <c r="G4177" s="37" t="n"/>
      <c r="H4177" s="37" t="n"/>
      <c r="I4177" s="37" t="n"/>
      <c r="J4177" s="40" t="str">
        <f>IF(OR(C4177="",NOT(ISNUMBER(E4177))),"",IFERROR(E4177*N(INDEX(art_price,MATCH(C4177,art_ref,0))),""))</f>
        <v/>
      </c>
      <c r="K4177" s="39" t="str">
        <f>IF(OR(C4177="",NOT(ISNUMBER(E4177))),"",IFERROR(ROUND(N(INDEX(art_init,MATCH(C4177,art_ref,0)))+SUMIFS($E$5:E4177,$C$5:C4177,C4177,$B$5:B4177,"Entrée")-SUMIFS($E$5:E4177,$C$5:C4177,C4177,$B$5:B4177,"Sortie"),6),""))</f>
        <v/>
      </c>
      <c r="L4177" s="39" t="str">
        <f>IF(COUNTA(A4177:C4177,E4177)=0,"",IF(COUNTA(A4177:C4177,E4177)&lt;4,"Ligne incomplète",IF(NOT(ISNUMBER(A4177)),"Date invalide",IF(AND(B4177&lt;&gt;"Entrée",B4177&lt;&gt;"Sortie"),"Type inconnu",IF(ISNA(MATCH(C4177,art_ref,0)),"Référence inconnue",IF(OR(NOT(ISNUMBER(E4177)),N(E4177)&lt;=0),"Quantité invalide",IF(K4177&lt;0,"Stock négatif",IF(AND(ISNUMBER(A4176),A4177&lt;A4176),"Date hors ordre","OK"))))))))</f>
        <v/>
      </c>
      <c r="M4177" s="39" t="str">
        <f>IF(C4177="","",C4177&amp;"#"&amp;COUNTIF($C$5:C4177,C4177))</f>
        <v/>
      </c>
    </row>
    <row r="4178">
      <c r="A4178" s="41" t="n"/>
      <c r="B4178" s="37" t="n"/>
      <c r="C4178" s="37" t="n"/>
      <c r="D4178" s="39" t="str">
        <f>IF(C4178="","",IFERROR(INDEX(art_des,MATCH(C4178,art_ref,0))&amp;"","Référence inconnue"))</f>
        <v/>
      </c>
      <c r="E4178" s="37" t="n"/>
      <c r="F4178" s="39" t="str">
        <f>IF(C4178="","",IFERROR(INDEX(art_unit,MATCH(C4178,art_ref,0))&amp;"",""))</f>
        <v/>
      </c>
      <c r="G4178" s="37" t="n"/>
      <c r="H4178" s="37" t="n"/>
      <c r="I4178" s="37" t="n"/>
      <c r="J4178" s="40" t="str">
        <f>IF(OR(C4178="",NOT(ISNUMBER(E4178))),"",IFERROR(E4178*N(INDEX(art_price,MATCH(C4178,art_ref,0))),""))</f>
        <v/>
      </c>
      <c r="K4178" s="39" t="str">
        <f>IF(OR(C4178="",NOT(ISNUMBER(E4178))),"",IFERROR(ROUND(N(INDEX(art_init,MATCH(C4178,art_ref,0)))+SUMIFS($E$5:E4178,$C$5:C4178,C4178,$B$5:B4178,"Entrée")-SUMIFS($E$5:E4178,$C$5:C4178,C4178,$B$5:B4178,"Sortie"),6),""))</f>
        <v/>
      </c>
      <c r="L4178" s="39" t="str">
        <f>IF(COUNTA(A4178:C4178,E4178)=0,"",IF(COUNTA(A4178:C4178,E4178)&lt;4,"Ligne incomplète",IF(NOT(ISNUMBER(A4178)),"Date invalide",IF(AND(B4178&lt;&gt;"Entrée",B4178&lt;&gt;"Sortie"),"Type inconnu",IF(ISNA(MATCH(C4178,art_ref,0)),"Référence inconnue",IF(OR(NOT(ISNUMBER(E4178)),N(E4178)&lt;=0),"Quantité invalide",IF(K4178&lt;0,"Stock négatif",IF(AND(ISNUMBER(A4177),A4178&lt;A4177),"Date hors ordre","OK"))))))))</f>
        <v/>
      </c>
      <c r="M4178" s="39" t="str">
        <f>IF(C4178="","",C4178&amp;"#"&amp;COUNTIF($C$5:C4178,C4178))</f>
        <v/>
      </c>
    </row>
    <row r="4179">
      <c r="A4179" s="41" t="n"/>
      <c r="B4179" s="37" t="n"/>
      <c r="C4179" s="37" t="n"/>
      <c r="D4179" s="39" t="str">
        <f>IF(C4179="","",IFERROR(INDEX(art_des,MATCH(C4179,art_ref,0))&amp;"","Référence inconnue"))</f>
        <v/>
      </c>
      <c r="E4179" s="37" t="n"/>
      <c r="F4179" s="39" t="str">
        <f>IF(C4179="","",IFERROR(INDEX(art_unit,MATCH(C4179,art_ref,0))&amp;"",""))</f>
        <v/>
      </c>
      <c r="G4179" s="37" t="n"/>
      <c r="H4179" s="37" t="n"/>
      <c r="I4179" s="37" t="n"/>
      <c r="J4179" s="40" t="str">
        <f>IF(OR(C4179="",NOT(ISNUMBER(E4179))),"",IFERROR(E4179*N(INDEX(art_price,MATCH(C4179,art_ref,0))),""))</f>
        <v/>
      </c>
      <c r="K4179" s="39" t="str">
        <f>IF(OR(C4179="",NOT(ISNUMBER(E4179))),"",IFERROR(ROUND(N(INDEX(art_init,MATCH(C4179,art_ref,0)))+SUMIFS($E$5:E4179,$C$5:C4179,C4179,$B$5:B4179,"Entrée")-SUMIFS($E$5:E4179,$C$5:C4179,C4179,$B$5:B4179,"Sortie"),6),""))</f>
        <v/>
      </c>
      <c r="L4179" s="39" t="str">
        <f>IF(COUNTA(A4179:C4179,E4179)=0,"",IF(COUNTA(A4179:C4179,E4179)&lt;4,"Ligne incomplète",IF(NOT(ISNUMBER(A4179)),"Date invalide",IF(AND(B4179&lt;&gt;"Entrée",B4179&lt;&gt;"Sortie"),"Type inconnu",IF(ISNA(MATCH(C4179,art_ref,0)),"Référence inconnue",IF(OR(NOT(ISNUMBER(E4179)),N(E4179)&lt;=0),"Quantité invalide",IF(K4179&lt;0,"Stock négatif",IF(AND(ISNUMBER(A4178),A4179&lt;A4178),"Date hors ordre","OK"))))))))</f>
        <v/>
      </c>
      <c r="M4179" s="39" t="str">
        <f>IF(C4179="","",C4179&amp;"#"&amp;COUNTIF($C$5:C4179,C4179))</f>
        <v/>
      </c>
    </row>
    <row r="4180">
      <c r="A4180" s="41" t="n"/>
      <c r="B4180" s="37" t="n"/>
      <c r="C4180" s="37" t="n"/>
      <c r="D4180" s="39" t="str">
        <f>IF(C4180="","",IFERROR(INDEX(art_des,MATCH(C4180,art_ref,0))&amp;"","Référence inconnue"))</f>
        <v/>
      </c>
      <c r="E4180" s="37" t="n"/>
      <c r="F4180" s="39" t="str">
        <f>IF(C4180="","",IFERROR(INDEX(art_unit,MATCH(C4180,art_ref,0))&amp;"",""))</f>
        <v/>
      </c>
      <c r="G4180" s="37" t="n"/>
      <c r="H4180" s="37" t="n"/>
      <c r="I4180" s="37" t="n"/>
      <c r="J4180" s="40" t="str">
        <f>IF(OR(C4180="",NOT(ISNUMBER(E4180))),"",IFERROR(E4180*N(INDEX(art_price,MATCH(C4180,art_ref,0))),""))</f>
        <v/>
      </c>
      <c r="K4180" s="39" t="str">
        <f>IF(OR(C4180="",NOT(ISNUMBER(E4180))),"",IFERROR(ROUND(N(INDEX(art_init,MATCH(C4180,art_ref,0)))+SUMIFS($E$5:E4180,$C$5:C4180,C4180,$B$5:B4180,"Entrée")-SUMIFS($E$5:E4180,$C$5:C4180,C4180,$B$5:B4180,"Sortie"),6),""))</f>
        <v/>
      </c>
      <c r="L4180" s="39" t="str">
        <f>IF(COUNTA(A4180:C4180,E4180)=0,"",IF(COUNTA(A4180:C4180,E4180)&lt;4,"Ligne incomplète",IF(NOT(ISNUMBER(A4180)),"Date invalide",IF(AND(B4180&lt;&gt;"Entrée",B4180&lt;&gt;"Sortie"),"Type inconnu",IF(ISNA(MATCH(C4180,art_ref,0)),"Référence inconnue",IF(OR(NOT(ISNUMBER(E4180)),N(E4180)&lt;=0),"Quantité invalide",IF(K4180&lt;0,"Stock négatif",IF(AND(ISNUMBER(A4179),A4180&lt;A4179),"Date hors ordre","OK"))))))))</f>
        <v/>
      </c>
      <c r="M4180" s="39" t="str">
        <f>IF(C4180="","",C4180&amp;"#"&amp;COUNTIF($C$5:C4180,C4180))</f>
        <v/>
      </c>
    </row>
    <row r="4181">
      <c r="A4181" s="41" t="n"/>
      <c r="B4181" s="37" t="n"/>
      <c r="C4181" s="37" t="n"/>
      <c r="D4181" s="39" t="str">
        <f>IF(C4181="","",IFERROR(INDEX(art_des,MATCH(C4181,art_ref,0))&amp;"","Référence inconnue"))</f>
        <v/>
      </c>
      <c r="E4181" s="37" t="n"/>
      <c r="F4181" s="39" t="str">
        <f>IF(C4181="","",IFERROR(INDEX(art_unit,MATCH(C4181,art_ref,0))&amp;"",""))</f>
        <v/>
      </c>
      <c r="G4181" s="37" t="n"/>
      <c r="H4181" s="37" t="n"/>
      <c r="I4181" s="37" t="n"/>
      <c r="J4181" s="40" t="str">
        <f>IF(OR(C4181="",NOT(ISNUMBER(E4181))),"",IFERROR(E4181*N(INDEX(art_price,MATCH(C4181,art_ref,0))),""))</f>
        <v/>
      </c>
      <c r="K4181" s="39" t="str">
        <f>IF(OR(C4181="",NOT(ISNUMBER(E4181))),"",IFERROR(ROUND(N(INDEX(art_init,MATCH(C4181,art_ref,0)))+SUMIFS($E$5:E4181,$C$5:C4181,C4181,$B$5:B4181,"Entrée")-SUMIFS($E$5:E4181,$C$5:C4181,C4181,$B$5:B4181,"Sortie"),6),""))</f>
        <v/>
      </c>
      <c r="L4181" s="39" t="str">
        <f>IF(COUNTA(A4181:C4181,E4181)=0,"",IF(COUNTA(A4181:C4181,E4181)&lt;4,"Ligne incomplète",IF(NOT(ISNUMBER(A4181)),"Date invalide",IF(AND(B4181&lt;&gt;"Entrée",B4181&lt;&gt;"Sortie"),"Type inconnu",IF(ISNA(MATCH(C4181,art_ref,0)),"Référence inconnue",IF(OR(NOT(ISNUMBER(E4181)),N(E4181)&lt;=0),"Quantité invalide",IF(K4181&lt;0,"Stock négatif",IF(AND(ISNUMBER(A4180),A4181&lt;A4180),"Date hors ordre","OK"))))))))</f>
        <v/>
      </c>
      <c r="M4181" s="39" t="str">
        <f>IF(C4181="","",C4181&amp;"#"&amp;COUNTIF($C$5:C4181,C4181))</f>
        <v/>
      </c>
    </row>
    <row r="4182">
      <c r="A4182" s="41" t="n"/>
      <c r="B4182" s="37" t="n"/>
      <c r="C4182" s="37" t="n"/>
      <c r="D4182" s="39" t="str">
        <f>IF(C4182="","",IFERROR(INDEX(art_des,MATCH(C4182,art_ref,0))&amp;"","Référence inconnue"))</f>
        <v/>
      </c>
      <c r="E4182" s="37" t="n"/>
      <c r="F4182" s="39" t="str">
        <f>IF(C4182="","",IFERROR(INDEX(art_unit,MATCH(C4182,art_ref,0))&amp;"",""))</f>
        <v/>
      </c>
      <c r="G4182" s="37" t="n"/>
      <c r="H4182" s="37" t="n"/>
      <c r="I4182" s="37" t="n"/>
      <c r="J4182" s="40" t="str">
        <f>IF(OR(C4182="",NOT(ISNUMBER(E4182))),"",IFERROR(E4182*N(INDEX(art_price,MATCH(C4182,art_ref,0))),""))</f>
        <v/>
      </c>
      <c r="K4182" s="39" t="str">
        <f>IF(OR(C4182="",NOT(ISNUMBER(E4182))),"",IFERROR(ROUND(N(INDEX(art_init,MATCH(C4182,art_ref,0)))+SUMIFS($E$5:E4182,$C$5:C4182,C4182,$B$5:B4182,"Entrée")-SUMIFS($E$5:E4182,$C$5:C4182,C4182,$B$5:B4182,"Sortie"),6),""))</f>
        <v/>
      </c>
      <c r="L4182" s="39" t="str">
        <f>IF(COUNTA(A4182:C4182,E4182)=0,"",IF(COUNTA(A4182:C4182,E4182)&lt;4,"Ligne incomplète",IF(NOT(ISNUMBER(A4182)),"Date invalide",IF(AND(B4182&lt;&gt;"Entrée",B4182&lt;&gt;"Sortie"),"Type inconnu",IF(ISNA(MATCH(C4182,art_ref,0)),"Référence inconnue",IF(OR(NOT(ISNUMBER(E4182)),N(E4182)&lt;=0),"Quantité invalide",IF(K4182&lt;0,"Stock négatif",IF(AND(ISNUMBER(A4181),A4182&lt;A4181),"Date hors ordre","OK"))))))))</f>
        <v/>
      </c>
      <c r="M4182" s="39" t="str">
        <f>IF(C4182="","",C4182&amp;"#"&amp;COUNTIF($C$5:C4182,C4182))</f>
        <v/>
      </c>
    </row>
    <row r="4183">
      <c r="A4183" s="41" t="n"/>
      <c r="B4183" s="37" t="n"/>
      <c r="C4183" s="37" t="n"/>
      <c r="D4183" s="39" t="str">
        <f>IF(C4183="","",IFERROR(INDEX(art_des,MATCH(C4183,art_ref,0))&amp;"","Référence inconnue"))</f>
        <v/>
      </c>
      <c r="E4183" s="37" t="n"/>
      <c r="F4183" s="39" t="str">
        <f>IF(C4183="","",IFERROR(INDEX(art_unit,MATCH(C4183,art_ref,0))&amp;"",""))</f>
        <v/>
      </c>
      <c r="G4183" s="37" t="n"/>
      <c r="H4183" s="37" t="n"/>
      <c r="I4183" s="37" t="n"/>
      <c r="J4183" s="40" t="str">
        <f>IF(OR(C4183="",NOT(ISNUMBER(E4183))),"",IFERROR(E4183*N(INDEX(art_price,MATCH(C4183,art_ref,0))),""))</f>
        <v/>
      </c>
      <c r="K4183" s="39" t="str">
        <f>IF(OR(C4183="",NOT(ISNUMBER(E4183))),"",IFERROR(ROUND(N(INDEX(art_init,MATCH(C4183,art_ref,0)))+SUMIFS($E$5:E4183,$C$5:C4183,C4183,$B$5:B4183,"Entrée")-SUMIFS($E$5:E4183,$C$5:C4183,C4183,$B$5:B4183,"Sortie"),6),""))</f>
        <v/>
      </c>
      <c r="L4183" s="39" t="str">
        <f>IF(COUNTA(A4183:C4183,E4183)=0,"",IF(COUNTA(A4183:C4183,E4183)&lt;4,"Ligne incomplète",IF(NOT(ISNUMBER(A4183)),"Date invalide",IF(AND(B4183&lt;&gt;"Entrée",B4183&lt;&gt;"Sortie"),"Type inconnu",IF(ISNA(MATCH(C4183,art_ref,0)),"Référence inconnue",IF(OR(NOT(ISNUMBER(E4183)),N(E4183)&lt;=0),"Quantité invalide",IF(K4183&lt;0,"Stock négatif",IF(AND(ISNUMBER(A4182),A4183&lt;A4182),"Date hors ordre","OK"))))))))</f>
        <v/>
      </c>
      <c r="M4183" s="39" t="str">
        <f>IF(C4183="","",C4183&amp;"#"&amp;COUNTIF($C$5:C4183,C4183))</f>
        <v/>
      </c>
    </row>
    <row r="4184">
      <c r="A4184" s="41" t="n"/>
      <c r="B4184" s="37" t="n"/>
      <c r="C4184" s="37" t="n"/>
      <c r="D4184" s="39" t="str">
        <f>IF(C4184="","",IFERROR(INDEX(art_des,MATCH(C4184,art_ref,0))&amp;"","Référence inconnue"))</f>
        <v/>
      </c>
      <c r="E4184" s="37" t="n"/>
      <c r="F4184" s="39" t="str">
        <f>IF(C4184="","",IFERROR(INDEX(art_unit,MATCH(C4184,art_ref,0))&amp;"",""))</f>
        <v/>
      </c>
      <c r="G4184" s="37" t="n"/>
      <c r="H4184" s="37" t="n"/>
      <c r="I4184" s="37" t="n"/>
      <c r="J4184" s="40" t="str">
        <f>IF(OR(C4184="",NOT(ISNUMBER(E4184))),"",IFERROR(E4184*N(INDEX(art_price,MATCH(C4184,art_ref,0))),""))</f>
        <v/>
      </c>
      <c r="K4184" s="39" t="str">
        <f>IF(OR(C4184="",NOT(ISNUMBER(E4184))),"",IFERROR(ROUND(N(INDEX(art_init,MATCH(C4184,art_ref,0)))+SUMIFS($E$5:E4184,$C$5:C4184,C4184,$B$5:B4184,"Entrée")-SUMIFS($E$5:E4184,$C$5:C4184,C4184,$B$5:B4184,"Sortie"),6),""))</f>
        <v/>
      </c>
      <c r="L4184" s="39" t="str">
        <f>IF(COUNTA(A4184:C4184,E4184)=0,"",IF(COUNTA(A4184:C4184,E4184)&lt;4,"Ligne incomplète",IF(NOT(ISNUMBER(A4184)),"Date invalide",IF(AND(B4184&lt;&gt;"Entrée",B4184&lt;&gt;"Sortie"),"Type inconnu",IF(ISNA(MATCH(C4184,art_ref,0)),"Référence inconnue",IF(OR(NOT(ISNUMBER(E4184)),N(E4184)&lt;=0),"Quantité invalide",IF(K4184&lt;0,"Stock négatif",IF(AND(ISNUMBER(A4183),A4184&lt;A4183),"Date hors ordre","OK"))))))))</f>
        <v/>
      </c>
      <c r="M4184" s="39" t="str">
        <f>IF(C4184="","",C4184&amp;"#"&amp;COUNTIF($C$5:C4184,C4184))</f>
        <v/>
      </c>
    </row>
    <row r="4185">
      <c r="A4185" s="41" t="n"/>
      <c r="B4185" s="37" t="n"/>
      <c r="C4185" s="37" t="n"/>
      <c r="D4185" s="39" t="str">
        <f>IF(C4185="","",IFERROR(INDEX(art_des,MATCH(C4185,art_ref,0))&amp;"","Référence inconnue"))</f>
        <v/>
      </c>
      <c r="E4185" s="37" t="n"/>
      <c r="F4185" s="39" t="str">
        <f>IF(C4185="","",IFERROR(INDEX(art_unit,MATCH(C4185,art_ref,0))&amp;"",""))</f>
        <v/>
      </c>
      <c r="G4185" s="37" t="n"/>
      <c r="H4185" s="37" t="n"/>
      <c r="I4185" s="37" t="n"/>
      <c r="J4185" s="40" t="str">
        <f>IF(OR(C4185="",NOT(ISNUMBER(E4185))),"",IFERROR(E4185*N(INDEX(art_price,MATCH(C4185,art_ref,0))),""))</f>
        <v/>
      </c>
      <c r="K4185" s="39" t="str">
        <f>IF(OR(C4185="",NOT(ISNUMBER(E4185))),"",IFERROR(ROUND(N(INDEX(art_init,MATCH(C4185,art_ref,0)))+SUMIFS($E$5:E4185,$C$5:C4185,C4185,$B$5:B4185,"Entrée")-SUMIFS($E$5:E4185,$C$5:C4185,C4185,$B$5:B4185,"Sortie"),6),""))</f>
        <v/>
      </c>
      <c r="L4185" s="39" t="str">
        <f>IF(COUNTA(A4185:C4185,E4185)=0,"",IF(COUNTA(A4185:C4185,E4185)&lt;4,"Ligne incomplète",IF(NOT(ISNUMBER(A4185)),"Date invalide",IF(AND(B4185&lt;&gt;"Entrée",B4185&lt;&gt;"Sortie"),"Type inconnu",IF(ISNA(MATCH(C4185,art_ref,0)),"Référence inconnue",IF(OR(NOT(ISNUMBER(E4185)),N(E4185)&lt;=0),"Quantité invalide",IF(K4185&lt;0,"Stock négatif",IF(AND(ISNUMBER(A4184),A4185&lt;A4184),"Date hors ordre","OK"))))))))</f>
        <v/>
      </c>
      <c r="M4185" s="39" t="str">
        <f>IF(C4185="","",C4185&amp;"#"&amp;COUNTIF($C$5:C4185,C4185))</f>
        <v/>
      </c>
    </row>
    <row r="4186">
      <c r="A4186" s="41" t="n"/>
      <c r="B4186" s="37" t="n"/>
      <c r="C4186" s="37" t="n"/>
      <c r="D4186" s="39" t="str">
        <f>IF(C4186="","",IFERROR(INDEX(art_des,MATCH(C4186,art_ref,0))&amp;"","Référence inconnue"))</f>
        <v/>
      </c>
      <c r="E4186" s="37" t="n"/>
      <c r="F4186" s="39" t="str">
        <f>IF(C4186="","",IFERROR(INDEX(art_unit,MATCH(C4186,art_ref,0))&amp;"",""))</f>
        <v/>
      </c>
      <c r="G4186" s="37" t="n"/>
      <c r="H4186" s="37" t="n"/>
      <c r="I4186" s="37" t="n"/>
      <c r="J4186" s="40" t="str">
        <f>IF(OR(C4186="",NOT(ISNUMBER(E4186))),"",IFERROR(E4186*N(INDEX(art_price,MATCH(C4186,art_ref,0))),""))</f>
        <v/>
      </c>
      <c r="K4186" s="39" t="str">
        <f>IF(OR(C4186="",NOT(ISNUMBER(E4186))),"",IFERROR(ROUND(N(INDEX(art_init,MATCH(C4186,art_ref,0)))+SUMIFS($E$5:E4186,$C$5:C4186,C4186,$B$5:B4186,"Entrée")-SUMIFS($E$5:E4186,$C$5:C4186,C4186,$B$5:B4186,"Sortie"),6),""))</f>
        <v/>
      </c>
      <c r="L4186" s="39" t="str">
        <f>IF(COUNTA(A4186:C4186,E4186)=0,"",IF(COUNTA(A4186:C4186,E4186)&lt;4,"Ligne incomplète",IF(NOT(ISNUMBER(A4186)),"Date invalide",IF(AND(B4186&lt;&gt;"Entrée",B4186&lt;&gt;"Sortie"),"Type inconnu",IF(ISNA(MATCH(C4186,art_ref,0)),"Référence inconnue",IF(OR(NOT(ISNUMBER(E4186)),N(E4186)&lt;=0),"Quantité invalide",IF(K4186&lt;0,"Stock négatif",IF(AND(ISNUMBER(A4185),A4186&lt;A4185),"Date hors ordre","OK"))))))))</f>
        <v/>
      </c>
      <c r="M4186" s="39" t="str">
        <f>IF(C4186="","",C4186&amp;"#"&amp;COUNTIF($C$5:C4186,C4186))</f>
        <v/>
      </c>
    </row>
    <row r="4187">
      <c r="A4187" s="41" t="n"/>
      <c r="B4187" s="37" t="n"/>
      <c r="C4187" s="37" t="n"/>
      <c r="D4187" s="39" t="str">
        <f>IF(C4187="","",IFERROR(INDEX(art_des,MATCH(C4187,art_ref,0))&amp;"","Référence inconnue"))</f>
        <v/>
      </c>
      <c r="E4187" s="37" t="n"/>
      <c r="F4187" s="39" t="str">
        <f>IF(C4187="","",IFERROR(INDEX(art_unit,MATCH(C4187,art_ref,0))&amp;"",""))</f>
        <v/>
      </c>
      <c r="G4187" s="37" t="n"/>
      <c r="H4187" s="37" t="n"/>
      <c r="I4187" s="37" t="n"/>
      <c r="J4187" s="40" t="str">
        <f>IF(OR(C4187="",NOT(ISNUMBER(E4187))),"",IFERROR(E4187*N(INDEX(art_price,MATCH(C4187,art_ref,0))),""))</f>
        <v/>
      </c>
      <c r="K4187" s="39" t="str">
        <f>IF(OR(C4187="",NOT(ISNUMBER(E4187))),"",IFERROR(ROUND(N(INDEX(art_init,MATCH(C4187,art_ref,0)))+SUMIFS($E$5:E4187,$C$5:C4187,C4187,$B$5:B4187,"Entrée")-SUMIFS($E$5:E4187,$C$5:C4187,C4187,$B$5:B4187,"Sortie"),6),""))</f>
        <v/>
      </c>
      <c r="L4187" s="39" t="str">
        <f>IF(COUNTA(A4187:C4187,E4187)=0,"",IF(COUNTA(A4187:C4187,E4187)&lt;4,"Ligne incomplète",IF(NOT(ISNUMBER(A4187)),"Date invalide",IF(AND(B4187&lt;&gt;"Entrée",B4187&lt;&gt;"Sortie"),"Type inconnu",IF(ISNA(MATCH(C4187,art_ref,0)),"Référence inconnue",IF(OR(NOT(ISNUMBER(E4187)),N(E4187)&lt;=0),"Quantité invalide",IF(K4187&lt;0,"Stock négatif",IF(AND(ISNUMBER(A4186),A4187&lt;A4186),"Date hors ordre","OK"))))))))</f>
        <v/>
      </c>
      <c r="M4187" s="39" t="str">
        <f>IF(C4187="","",C4187&amp;"#"&amp;COUNTIF($C$5:C4187,C4187))</f>
        <v/>
      </c>
    </row>
    <row r="4188">
      <c r="A4188" s="41" t="n"/>
      <c r="B4188" s="37" t="n"/>
      <c r="C4188" s="37" t="n"/>
      <c r="D4188" s="39" t="str">
        <f>IF(C4188="","",IFERROR(INDEX(art_des,MATCH(C4188,art_ref,0))&amp;"","Référence inconnue"))</f>
        <v/>
      </c>
      <c r="E4188" s="37" t="n"/>
      <c r="F4188" s="39" t="str">
        <f>IF(C4188="","",IFERROR(INDEX(art_unit,MATCH(C4188,art_ref,0))&amp;"",""))</f>
        <v/>
      </c>
      <c r="G4188" s="37" t="n"/>
      <c r="H4188" s="37" t="n"/>
      <c r="I4188" s="37" t="n"/>
      <c r="J4188" s="40" t="str">
        <f>IF(OR(C4188="",NOT(ISNUMBER(E4188))),"",IFERROR(E4188*N(INDEX(art_price,MATCH(C4188,art_ref,0))),""))</f>
        <v/>
      </c>
      <c r="K4188" s="39" t="str">
        <f>IF(OR(C4188="",NOT(ISNUMBER(E4188))),"",IFERROR(ROUND(N(INDEX(art_init,MATCH(C4188,art_ref,0)))+SUMIFS($E$5:E4188,$C$5:C4188,C4188,$B$5:B4188,"Entrée")-SUMIFS($E$5:E4188,$C$5:C4188,C4188,$B$5:B4188,"Sortie"),6),""))</f>
        <v/>
      </c>
      <c r="L4188" s="39" t="str">
        <f>IF(COUNTA(A4188:C4188,E4188)=0,"",IF(COUNTA(A4188:C4188,E4188)&lt;4,"Ligne incomplète",IF(NOT(ISNUMBER(A4188)),"Date invalide",IF(AND(B4188&lt;&gt;"Entrée",B4188&lt;&gt;"Sortie"),"Type inconnu",IF(ISNA(MATCH(C4188,art_ref,0)),"Référence inconnue",IF(OR(NOT(ISNUMBER(E4188)),N(E4188)&lt;=0),"Quantité invalide",IF(K4188&lt;0,"Stock négatif",IF(AND(ISNUMBER(A4187),A4188&lt;A4187),"Date hors ordre","OK"))))))))</f>
        <v/>
      </c>
      <c r="M4188" s="39" t="str">
        <f>IF(C4188="","",C4188&amp;"#"&amp;COUNTIF($C$5:C4188,C4188))</f>
        <v/>
      </c>
    </row>
    <row r="4189">
      <c r="A4189" s="41" t="n"/>
      <c r="B4189" s="37" t="n"/>
      <c r="C4189" s="37" t="n"/>
      <c r="D4189" s="39" t="str">
        <f>IF(C4189="","",IFERROR(INDEX(art_des,MATCH(C4189,art_ref,0))&amp;"","Référence inconnue"))</f>
        <v/>
      </c>
      <c r="E4189" s="37" t="n"/>
      <c r="F4189" s="39" t="str">
        <f>IF(C4189="","",IFERROR(INDEX(art_unit,MATCH(C4189,art_ref,0))&amp;"",""))</f>
        <v/>
      </c>
      <c r="G4189" s="37" t="n"/>
      <c r="H4189" s="37" t="n"/>
      <c r="I4189" s="37" t="n"/>
      <c r="J4189" s="40" t="str">
        <f>IF(OR(C4189="",NOT(ISNUMBER(E4189))),"",IFERROR(E4189*N(INDEX(art_price,MATCH(C4189,art_ref,0))),""))</f>
        <v/>
      </c>
      <c r="K4189" s="39" t="str">
        <f>IF(OR(C4189="",NOT(ISNUMBER(E4189))),"",IFERROR(ROUND(N(INDEX(art_init,MATCH(C4189,art_ref,0)))+SUMIFS($E$5:E4189,$C$5:C4189,C4189,$B$5:B4189,"Entrée")-SUMIFS($E$5:E4189,$C$5:C4189,C4189,$B$5:B4189,"Sortie"),6),""))</f>
        <v/>
      </c>
      <c r="L4189" s="39" t="str">
        <f>IF(COUNTA(A4189:C4189,E4189)=0,"",IF(COUNTA(A4189:C4189,E4189)&lt;4,"Ligne incomplète",IF(NOT(ISNUMBER(A4189)),"Date invalide",IF(AND(B4189&lt;&gt;"Entrée",B4189&lt;&gt;"Sortie"),"Type inconnu",IF(ISNA(MATCH(C4189,art_ref,0)),"Référence inconnue",IF(OR(NOT(ISNUMBER(E4189)),N(E4189)&lt;=0),"Quantité invalide",IF(K4189&lt;0,"Stock négatif",IF(AND(ISNUMBER(A4188),A4189&lt;A4188),"Date hors ordre","OK"))))))))</f>
        <v/>
      </c>
      <c r="M4189" s="39" t="str">
        <f>IF(C4189="","",C4189&amp;"#"&amp;COUNTIF($C$5:C4189,C4189))</f>
        <v/>
      </c>
    </row>
    <row r="4190">
      <c r="A4190" s="41" t="n"/>
      <c r="B4190" s="37" t="n"/>
      <c r="C4190" s="37" t="n"/>
      <c r="D4190" s="39" t="str">
        <f>IF(C4190="","",IFERROR(INDEX(art_des,MATCH(C4190,art_ref,0))&amp;"","Référence inconnue"))</f>
        <v/>
      </c>
      <c r="E4190" s="37" t="n"/>
      <c r="F4190" s="39" t="str">
        <f>IF(C4190="","",IFERROR(INDEX(art_unit,MATCH(C4190,art_ref,0))&amp;"",""))</f>
        <v/>
      </c>
      <c r="G4190" s="37" t="n"/>
      <c r="H4190" s="37" t="n"/>
      <c r="I4190" s="37" t="n"/>
      <c r="J4190" s="40" t="str">
        <f>IF(OR(C4190="",NOT(ISNUMBER(E4190))),"",IFERROR(E4190*N(INDEX(art_price,MATCH(C4190,art_ref,0))),""))</f>
        <v/>
      </c>
      <c r="K4190" s="39" t="str">
        <f>IF(OR(C4190="",NOT(ISNUMBER(E4190))),"",IFERROR(ROUND(N(INDEX(art_init,MATCH(C4190,art_ref,0)))+SUMIFS($E$5:E4190,$C$5:C4190,C4190,$B$5:B4190,"Entrée")-SUMIFS($E$5:E4190,$C$5:C4190,C4190,$B$5:B4190,"Sortie"),6),""))</f>
        <v/>
      </c>
      <c r="L4190" s="39" t="str">
        <f>IF(COUNTA(A4190:C4190,E4190)=0,"",IF(COUNTA(A4190:C4190,E4190)&lt;4,"Ligne incomplète",IF(NOT(ISNUMBER(A4190)),"Date invalide",IF(AND(B4190&lt;&gt;"Entrée",B4190&lt;&gt;"Sortie"),"Type inconnu",IF(ISNA(MATCH(C4190,art_ref,0)),"Référence inconnue",IF(OR(NOT(ISNUMBER(E4190)),N(E4190)&lt;=0),"Quantité invalide",IF(K4190&lt;0,"Stock négatif",IF(AND(ISNUMBER(A4189),A4190&lt;A4189),"Date hors ordre","OK"))))))))</f>
        <v/>
      </c>
      <c r="M4190" s="39" t="str">
        <f>IF(C4190="","",C4190&amp;"#"&amp;COUNTIF($C$5:C4190,C4190))</f>
        <v/>
      </c>
    </row>
    <row r="4191">
      <c r="A4191" s="41" t="n"/>
      <c r="B4191" s="37" t="n"/>
      <c r="C4191" s="37" t="n"/>
      <c r="D4191" s="39" t="str">
        <f>IF(C4191="","",IFERROR(INDEX(art_des,MATCH(C4191,art_ref,0))&amp;"","Référence inconnue"))</f>
        <v/>
      </c>
      <c r="E4191" s="37" t="n"/>
      <c r="F4191" s="39" t="str">
        <f>IF(C4191="","",IFERROR(INDEX(art_unit,MATCH(C4191,art_ref,0))&amp;"",""))</f>
        <v/>
      </c>
      <c r="G4191" s="37" t="n"/>
      <c r="H4191" s="37" t="n"/>
      <c r="I4191" s="37" t="n"/>
      <c r="J4191" s="40" t="str">
        <f>IF(OR(C4191="",NOT(ISNUMBER(E4191))),"",IFERROR(E4191*N(INDEX(art_price,MATCH(C4191,art_ref,0))),""))</f>
        <v/>
      </c>
      <c r="K4191" s="39" t="str">
        <f>IF(OR(C4191="",NOT(ISNUMBER(E4191))),"",IFERROR(ROUND(N(INDEX(art_init,MATCH(C4191,art_ref,0)))+SUMIFS($E$5:E4191,$C$5:C4191,C4191,$B$5:B4191,"Entrée")-SUMIFS($E$5:E4191,$C$5:C4191,C4191,$B$5:B4191,"Sortie"),6),""))</f>
        <v/>
      </c>
      <c r="L4191" s="39" t="str">
        <f>IF(COUNTA(A4191:C4191,E4191)=0,"",IF(COUNTA(A4191:C4191,E4191)&lt;4,"Ligne incomplète",IF(NOT(ISNUMBER(A4191)),"Date invalide",IF(AND(B4191&lt;&gt;"Entrée",B4191&lt;&gt;"Sortie"),"Type inconnu",IF(ISNA(MATCH(C4191,art_ref,0)),"Référence inconnue",IF(OR(NOT(ISNUMBER(E4191)),N(E4191)&lt;=0),"Quantité invalide",IF(K4191&lt;0,"Stock négatif",IF(AND(ISNUMBER(A4190),A4191&lt;A4190),"Date hors ordre","OK"))))))))</f>
        <v/>
      </c>
      <c r="M4191" s="39" t="str">
        <f>IF(C4191="","",C4191&amp;"#"&amp;COUNTIF($C$5:C4191,C4191))</f>
        <v/>
      </c>
    </row>
    <row r="4192">
      <c r="A4192" s="41" t="n"/>
      <c r="B4192" s="37" t="n"/>
      <c r="C4192" s="37" t="n"/>
      <c r="D4192" s="39" t="str">
        <f>IF(C4192="","",IFERROR(INDEX(art_des,MATCH(C4192,art_ref,0))&amp;"","Référence inconnue"))</f>
        <v/>
      </c>
      <c r="E4192" s="37" t="n"/>
      <c r="F4192" s="39" t="str">
        <f>IF(C4192="","",IFERROR(INDEX(art_unit,MATCH(C4192,art_ref,0))&amp;"",""))</f>
        <v/>
      </c>
      <c r="G4192" s="37" t="n"/>
      <c r="H4192" s="37" t="n"/>
      <c r="I4192" s="37" t="n"/>
      <c r="J4192" s="40" t="str">
        <f>IF(OR(C4192="",NOT(ISNUMBER(E4192))),"",IFERROR(E4192*N(INDEX(art_price,MATCH(C4192,art_ref,0))),""))</f>
        <v/>
      </c>
      <c r="K4192" s="39" t="str">
        <f>IF(OR(C4192="",NOT(ISNUMBER(E4192))),"",IFERROR(ROUND(N(INDEX(art_init,MATCH(C4192,art_ref,0)))+SUMIFS($E$5:E4192,$C$5:C4192,C4192,$B$5:B4192,"Entrée")-SUMIFS($E$5:E4192,$C$5:C4192,C4192,$B$5:B4192,"Sortie"),6),""))</f>
        <v/>
      </c>
      <c r="L4192" s="39" t="str">
        <f>IF(COUNTA(A4192:C4192,E4192)=0,"",IF(COUNTA(A4192:C4192,E4192)&lt;4,"Ligne incomplète",IF(NOT(ISNUMBER(A4192)),"Date invalide",IF(AND(B4192&lt;&gt;"Entrée",B4192&lt;&gt;"Sortie"),"Type inconnu",IF(ISNA(MATCH(C4192,art_ref,0)),"Référence inconnue",IF(OR(NOT(ISNUMBER(E4192)),N(E4192)&lt;=0),"Quantité invalide",IF(K4192&lt;0,"Stock négatif",IF(AND(ISNUMBER(A4191),A4192&lt;A4191),"Date hors ordre","OK"))))))))</f>
        <v/>
      </c>
      <c r="M4192" s="39" t="str">
        <f>IF(C4192="","",C4192&amp;"#"&amp;COUNTIF($C$5:C4192,C4192))</f>
        <v/>
      </c>
    </row>
    <row r="4193">
      <c r="A4193" s="41" t="n"/>
      <c r="B4193" s="37" t="n"/>
      <c r="C4193" s="37" t="n"/>
      <c r="D4193" s="39" t="str">
        <f>IF(C4193="","",IFERROR(INDEX(art_des,MATCH(C4193,art_ref,0))&amp;"","Référence inconnue"))</f>
        <v/>
      </c>
      <c r="E4193" s="37" t="n"/>
      <c r="F4193" s="39" t="str">
        <f>IF(C4193="","",IFERROR(INDEX(art_unit,MATCH(C4193,art_ref,0))&amp;"",""))</f>
        <v/>
      </c>
      <c r="G4193" s="37" t="n"/>
      <c r="H4193" s="37" t="n"/>
      <c r="I4193" s="37" t="n"/>
      <c r="J4193" s="40" t="str">
        <f>IF(OR(C4193="",NOT(ISNUMBER(E4193))),"",IFERROR(E4193*N(INDEX(art_price,MATCH(C4193,art_ref,0))),""))</f>
        <v/>
      </c>
      <c r="K4193" s="39" t="str">
        <f>IF(OR(C4193="",NOT(ISNUMBER(E4193))),"",IFERROR(ROUND(N(INDEX(art_init,MATCH(C4193,art_ref,0)))+SUMIFS($E$5:E4193,$C$5:C4193,C4193,$B$5:B4193,"Entrée")-SUMIFS($E$5:E4193,$C$5:C4193,C4193,$B$5:B4193,"Sortie"),6),""))</f>
        <v/>
      </c>
      <c r="L4193" s="39" t="str">
        <f>IF(COUNTA(A4193:C4193,E4193)=0,"",IF(COUNTA(A4193:C4193,E4193)&lt;4,"Ligne incomplète",IF(NOT(ISNUMBER(A4193)),"Date invalide",IF(AND(B4193&lt;&gt;"Entrée",B4193&lt;&gt;"Sortie"),"Type inconnu",IF(ISNA(MATCH(C4193,art_ref,0)),"Référence inconnue",IF(OR(NOT(ISNUMBER(E4193)),N(E4193)&lt;=0),"Quantité invalide",IF(K4193&lt;0,"Stock négatif",IF(AND(ISNUMBER(A4192),A4193&lt;A4192),"Date hors ordre","OK"))))))))</f>
        <v/>
      </c>
      <c r="M4193" s="39" t="str">
        <f>IF(C4193="","",C4193&amp;"#"&amp;COUNTIF($C$5:C4193,C4193))</f>
        <v/>
      </c>
    </row>
    <row r="4194">
      <c r="A4194" s="41" t="n"/>
      <c r="B4194" s="37" t="n"/>
      <c r="C4194" s="37" t="n"/>
      <c r="D4194" s="39" t="str">
        <f>IF(C4194="","",IFERROR(INDEX(art_des,MATCH(C4194,art_ref,0))&amp;"","Référence inconnue"))</f>
        <v/>
      </c>
      <c r="E4194" s="37" t="n"/>
      <c r="F4194" s="39" t="str">
        <f>IF(C4194="","",IFERROR(INDEX(art_unit,MATCH(C4194,art_ref,0))&amp;"",""))</f>
        <v/>
      </c>
      <c r="G4194" s="37" t="n"/>
      <c r="H4194" s="37" t="n"/>
      <c r="I4194" s="37" t="n"/>
      <c r="J4194" s="40" t="str">
        <f>IF(OR(C4194="",NOT(ISNUMBER(E4194))),"",IFERROR(E4194*N(INDEX(art_price,MATCH(C4194,art_ref,0))),""))</f>
        <v/>
      </c>
      <c r="K4194" s="39" t="str">
        <f>IF(OR(C4194="",NOT(ISNUMBER(E4194))),"",IFERROR(ROUND(N(INDEX(art_init,MATCH(C4194,art_ref,0)))+SUMIFS($E$5:E4194,$C$5:C4194,C4194,$B$5:B4194,"Entrée")-SUMIFS($E$5:E4194,$C$5:C4194,C4194,$B$5:B4194,"Sortie"),6),""))</f>
        <v/>
      </c>
      <c r="L4194" s="39" t="str">
        <f>IF(COUNTA(A4194:C4194,E4194)=0,"",IF(COUNTA(A4194:C4194,E4194)&lt;4,"Ligne incomplète",IF(NOT(ISNUMBER(A4194)),"Date invalide",IF(AND(B4194&lt;&gt;"Entrée",B4194&lt;&gt;"Sortie"),"Type inconnu",IF(ISNA(MATCH(C4194,art_ref,0)),"Référence inconnue",IF(OR(NOT(ISNUMBER(E4194)),N(E4194)&lt;=0),"Quantité invalide",IF(K4194&lt;0,"Stock négatif",IF(AND(ISNUMBER(A4193),A4194&lt;A4193),"Date hors ordre","OK"))))))))</f>
        <v/>
      </c>
      <c r="M4194" s="39" t="str">
        <f>IF(C4194="","",C4194&amp;"#"&amp;COUNTIF($C$5:C4194,C4194))</f>
        <v/>
      </c>
    </row>
    <row r="4195">
      <c r="A4195" s="41" t="n"/>
      <c r="B4195" s="37" t="n"/>
      <c r="C4195" s="37" t="n"/>
      <c r="D4195" s="39" t="str">
        <f>IF(C4195="","",IFERROR(INDEX(art_des,MATCH(C4195,art_ref,0))&amp;"","Référence inconnue"))</f>
        <v/>
      </c>
      <c r="E4195" s="37" t="n"/>
      <c r="F4195" s="39" t="str">
        <f>IF(C4195="","",IFERROR(INDEX(art_unit,MATCH(C4195,art_ref,0))&amp;"",""))</f>
        <v/>
      </c>
      <c r="G4195" s="37" t="n"/>
      <c r="H4195" s="37" t="n"/>
      <c r="I4195" s="37" t="n"/>
      <c r="J4195" s="40" t="str">
        <f>IF(OR(C4195="",NOT(ISNUMBER(E4195))),"",IFERROR(E4195*N(INDEX(art_price,MATCH(C4195,art_ref,0))),""))</f>
        <v/>
      </c>
      <c r="K4195" s="39" t="str">
        <f>IF(OR(C4195="",NOT(ISNUMBER(E4195))),"",IFERROR(ROUND(N(INDEX(art_init,MATCH(C4195,art_ref,0)))+SUMIFS($E$5:E4195,$C$5:C4195,C4195,$B$5:B4195,"Entrée")-SUMIFS($E$5:E4195,$C$5:C4195,C4195,$B$5:B4195,"Sortie"),6),""))</f>
        <v/>
      </c>
      <c r="L4195" s="39" t="str">
        <f>IF(COUNTA(A4195:C4195,E4195)=0,"",IF(COUNTA(A4195:C4195,E4195)&lt;4,"Ligne incomplète",IF(NOT(ISNUMBER(A4195)),"Date invalide",IF(AND(B4195&lt;&gt;"Entrée",B4195&lt;&gt;"Sortie"),"Type inconnu",IF(ISNA(MATCH(C4195,art_ref,0)),"Référence inconnue",IF(OR(NOT(ISNUMBER(E4195)),N(E4195)&lt;=0),"Quantité invalide",IF(K4195&lt;0,"Stock négatif",IF(AND(ISNUMBER(A4194),A4195&lt;A4194),"Date hors ordre","OK"))))))))</f>
        <v/>
      </c>
      <c r="M4195" s="39" t="str">
        <f>IF(C4195="","",C4195&amp;"#"&amp;COUNTIF($C$5:C4195,C4195))</f>
        <v/>
      </c>
    </row>
    <row r="4196">
      <c r="A4196" s="41" t="n"/>
      <c r="B4196" s="37" t="n"/>
      <c r="C4196" s="37" t="n"/>
      <c r="D4196" s="39" t="str">
        <f>IF(C4196="","",IFERROR(INDEX(art_des,MATCH(C4196,art_ref,0))&amp;"","Référence inconnue"))</f>
        <v/>
      </c>
      <c r="E4196" s="37" t="n"/>
      <c r="F4196" s="39" t="str">
        <f>IF(C4196="","",IFERROR(INDEX(art_unit,MATCH(C4196,art_ref,0))&amp;"",""))</f>
        <v/>
      </c>
      <c r="G4196" s="37" t="n"/>
      <c r="H4196" s="37" t="n"/>
      <c r="I4196" s="37" t="n"/>
      <c r="J4196" s="40" t="str">
        <f>IF(OR(C4196="",NOT(ISNUMBER(E4196))),"",IFERROR(E4196*N(INDEX(art_price,MATCH(C4196,art_ref,0))),""))</f>
        <v/>
      </c>
      <c r="K4196" s="39" t="str">
        <f>IF(OR(C4196="",NOT(ISNUMBER(E4196))),"",IFERROR(ROUND(N(INDEX(art_init,MATCH(C4196,art_ref,0)))+SUMIFS($E$5:E4196,$C$5:C4196,C4196,$B$5:B4196,"Entrée")-SUMIFS($E$5:E4196,$C$5:C4196,C4196,$B$5:B4196,"Sortie"),6),""))</f>
        <v/>
      </c>
      <c r="L4196" s="39" t="str">
        <f>IF(COUNTA(A4196:C4196,E4196)=0,"",IF(COUNTA(A4196:C4196,E4196)&lt;4,"Ligne incomplète",IF(NOT(ISNUMBER(A4196)),"Date invalide",IF(AND(B4196&lt;&gt;"Entrée",B4196&lt;&gt;"Sortie"),"Type inconnu",IF(ISNA(MATCH(C4196,art_ref,0)),"Référence inconnue",IF(OR(NOT(ISNUMBER(E4196)),N(E4196)&lt;=0),"Quantité invalide",IF(K4196&lt;0,"Stock négatif",IF(AND(ISNUMBER(A4195),A4196&lt;A4195),"Date hors ordre","OK"))))))))</f>
        <v/>
      </c>
      <c r="M4196" s="39" t="str">
        <f>IF(C4196="","",C4196&amp;"#"&amp;COUNTIF($C$5:C4196,C4196))</f>
        <v/>
      </c>
    </row>
    <row r="4197">
      <c r="A4197" s="41" t="n"/>
      <c r="B4197" s="37" t="n"/>
      <c r="C4197" s="37" t="n"/>
      <c r="D4197" s="39" t="str">
        <f>IF(C4197="","",IFERROR(INDEX(art_des,MATCH(C4197,art_ref,0))&amp;"","Référence inconnue"))</f>
        <v/>
      </c>
      <c r="E4197" s="37" t="n"/>
      <c r="F4197" s="39" t="str">
        <f>IF(C4197="","",IFERROR(INDEX(art_unit,MATCH(C4197,art_ref,0))&amp;"",""))</f>
        <v/>
      </c>
      <c r="G4197" s="37" t="n"/>
      <c r="H4197" s="37" t="n"/>
      <c r="I4197" s="37" t="n"/>
      <c r="J4197" s="40" t="str">
        <f>IF(OR(C4197="",NOT(ISNUMBER(E4197))),"",IFERROR(E4197*N(INDEX(art_price,MATCH(C4197,art_ref,0))),""))</f>
        <v/>
      </c>
      <c r="K4197" s="39" t="str">
        <f>IF(OR(C4197="",NOT(ISNUMBER(E4197))),"",IFERROR(ROUND(N(INDEX(art_init,MATCH(C4197,art_ref,0)))+SUMIFS($E$5:E4197,$C$5:C4197,C4197,$B$5:B4197,"Entrée")-SUMIFS($E$5:E4197,$C$5:C4197,C4197,$B$5:B4197,"Sortie"),6),""))</f>
        <v/>
      </c>
      <c r="L4197" s="39" t="str">
        <f>IF(COUNTA(A4197:C4197,E4197)=0,"",IF(COUNTA(A4197:C4197,E4197)&lt;4,"Ligne incomplète",IF(NOT(ISNUMBER(A4197)),"Date invalide",IF(AND(B4197&lt;&gt;"Entrée",B4197&lt;&gt;"Sortie"),"Type inconnu",IF(ISNA(MATCH(C4197,art_ref,0)),"Référence inconnue",IF(OR(NOT(ISNUMBER(E4197)),N(E4197)&lt;=0),"Quantité invalide",IF(K4197&lt;0,"Stock négatif",IF(AND(ISNUMBER(A4196),A4197&lt;A4196),"Date hors ordre","OK"))))))))</f>
        <v/>
      </c>
      <c r="M4197" s="39" t="str">
        <f>IF(C4197="","",C4197&amp;"#"&amp;COUNTIF($C$5:C4197,C4197))</f>
        <v/>
      </c>
    </row>
    <row r="4198">
      <c r="A4198" s="41" t="n"/>
      <c r="B4198" s="37" t="n"/>
      <c r="C4198" s="37" t="n"/>
      <c r="D4198" s="39" t="str">
        <f>IF(C4198="","",IFERROR(INDEX(art_des,MATCH(C4198,art_ref,0))&amp;"","Référence inconnue"))</f>
        <v/>
      </c>
      <c r="E4198" s="37" t="n"/>
      <c r="F4198" s="39" t="str">
        <f>IF(C4198="","",IFERROR(INDEX(art_unit,MATCH(C4198,art_ref,0))&amp;"",""))</f>
        <v/>
      </c>
      <c r="G4198" s="37" t="n"/>
      <c r="H4198" s="37" t="n"/>
      <c r="I4198" s="37" t="n"/>
      <c r="J4198" s="40" t="str">
        <f>IF(OR(C4198="",NOT(ISNUMBER(E4198))),"",IFERROR(E4198*N(INDEX(art_price,MATCH(C4198,art_ref,0))),""))</f>
        <v/>
      </c>
      <c r="K4198" s="39" t="str">
        <f>IF(OR(C4198="",NOT(ISNUMBER(E4198))),"",IFERROR(ROUND(N(INDEX(art_init,MATCH(C4198,art_ref,0)))+SUMIFS($E$5:E4198,$C$5:C4198,C4198,$B$5:B4198,"Entrée")-SUMIFS($E$5:E4198,$C$5:C4198,C4198,$B$5:B4198,"Sortie"),6),""))</f>
        <v/>
      </c>
      <c r="L4198" s="39" t="str">
        <f>IF(COUNTA(A4198:C4198,E4198)=0,"",IF(COUNTA(A4198:C4198,E4198)&lt;4,"Ligne incomplète",IF(NOT(ISNUMBER(A4198)),"Date invalide",IF(AND(B4198&lt;&gt;"Entrée",B4198&lt;&gt;"Sortie"),"Type inconnu",IF(ISNA(MATCH(C4198,art_ref,0)),"Référence inconnue",IF(OR(NOT(ISNUMBER(E4198)),N(E4198)&lt;=0),"Quantité invalide",IF(K4198&lt;0,"Stock négatif",IF(AND(ISNUMBER(A4197),A4198&lt;A4197),"Date hors ordre","OK"))))))))</f>
        <v/>
      </c>
      <c r="M4198" s="39" t="str">
        <f>IF(C4198="","",C4198&amp;"#"&amp;COUNTIF($C$5:C4198,C4198))</f>
        <v/>
      </c>
    </row>
    <row r="4199">
      <c r="A4199" s="41" t="n"/>
      <c r="B4199" s="37" t="n"/>
      <c r="C4199" s="37" t="n"/>
      <c r="D4199" s="39" t="str">
        <f>IF(C4199="","",IFERROR(INDEX(art_des,MATCH(C4199,art_ref,0))&amp;"","Référence inconnue"))</f>
        <v/>
      </c>
      <c r="E4199" s="37" t="n"/>
      <c r="F4199" s="39" t="str">
        <f>IF(C4199="","",IFERROR(INDEX(art_unit,MATCH(C4199,art_ref,0))&amp;"",""))</f>
        <v/>
      </c>
      <c r="G4199" s="37" t="n"/>
      <c r="H4199" s="37" t="n"/>
      <c r="I4199" s="37" t="n"/>
      <c r="J4199" s="40" t="str">
        <f>IF(OR(C4199="",NOT(ISNUMBER(E4199))),"",IFERROR(E4199*N(INDEX(art_price,MATCH(C4199,art_ref,0))),""))</f>
        <v/>
      </c>
      <c r="K4199" s="39" t="str">
        <f>IF(OR(C4199="",NOT(ISNUMBER(E4199))),"",IFERROR(ROUND(N(INDEX(art_init,MATCH(C4199,art_ref,0)))+SUMIFS($E$5:E4199,$C$5:C4199,C4199,$B$5:B4199,"Entrée")-SUMIFS($E$5:E4199,$C$5:C4199,C4199,$B$5:B4199,"Sortie"),6),""))</f>
        <v/>
      </c>
      <c r="L4199" s="39" t="str">
        <f>IF(COUNTA(A4199:C4199,E4199)=0,"",IF(COUNTA(A4199:C4199,E4199)&lt;4,"Ligne incomplète",IF(NOT(ISNUMBER(A4199)),"Date invalide",IF(AND(B4199&lt;&gt;"Entrée",B4199&lt;&gt;"Sortie"),"Type inconnu",IF(ISNA(MATCH(C4199,art_ref,0)),"Référence inconnue",IF(OR(NOT(ISNUMBER(E4199)),N(E4199)&lt;=0),"Quantité invalide",IF(K4199&lt;0,"Stock négatif",IF(AND(ISNUMBER(A4198),A4199&lt;A4198),"Date hors ordre","OK"))))))))</f>
        <v/>
      </c>
      <c r="M4199" s="39" t="str">
        <f>IF(C4199="","",C4199&amp;"#"&amp;COUNTIF($C$5:C4199,C4199))</f>
        <v/>
      </c>
    </row>
    <row r="4200">
      <c r="A4200" s="41" t="n"/>
      <c r="B4200" s="37" t="n"/>
      <c r="C4200" s="37" t="n"/>
      <c r="D4200" s="39" t="str">
        <f>IF(C4200="","",IFERROR(INDEX(art_des,MATCH(C4200,art_ref,0))&amp;"","Référence inconnue"))</f>
        <v/>
      </c>
      <c r="E4200" s="37" t="n"/>
      <c r="F4200" s="39" t="str">
        <f>IF(C4200="","",IFERROR(INDEX(art_unit,MATCH(C4200,art_ref,0))&amp;"",""))</f>
        <v/>
      </c>
      <c r="G4200" s="37" t="n"/>
      <c r="H4200" s="37" t="n"/>
      <c r="I4200" s="37" t="n"/>
      <c r="J4200" s="40" t="str">
        <f>IF(OR(C4200="",NOT(ISNUMBER(E4200))),"",IFERROR(E4200*N(INDEX(art_price,MATCH(C4200,art_ref,0))),""))</f>
        <v/>
      </c>
      <c r="K4200" s="39" t="str">
        <f>IF(OR(C4200="",NOT(ISNUMBER(E4200))),"",IFERROR(ROUND(N(INDEX(art_init,MATCH(C4200,art_ref,0)))+SUMIFS($E$5:E4200,$C$5:C4200,C4200,$B$5:B4200,"Entrée")-SUMIFS($E$5:E4200,$C$5:C4200,C4200,$B$5:B4200,"Sortie"),6),""))</f>
        <v/>
      </c>
      <c r="L4200" s="39" t="str">
        <f>IF(COUNTA(A4200:C4200,E4200)=0,"",IF(COUNTA(A4200:C4200,E4200)&lt;4,"Ligne incomplète",IF(NOT(ISNUMBER(A4200)),"Date invalide",IF(AND(B4200&lt;&gt;"Entrée",B4200&lt;&gt;"Sortie"),"Type inconnu",IF(ISNA(MATCH(C4200,art_ref,0)),"Référence inconnue",IF(OR(NOT(ISNUMBER(E4200)),N(E4200)&lt;=0),"Quantité invalide",IF(K4200&lt;0,"Stock négatif",IF(AND(ISNUMBER(A4199),A4200&lt;A4199),"Date hors ordre","OK"))))))))</f>
        <v/>
      </c>
      <c r="M4200" s="39" t="str">
        <f>IF(C4200="","",C4200&amp;"#"&amp;COUNTIF($C$5:C4200,C4200))</f>
        <v/>
      </c>
    </row>
    <row r="4201">
      <c r="A4201" s="41" t="n"/>
      <c r="B4201" s="37" t="n"/>
      <c r="C4201" s="37" t="n"/>
      <c r="D4201" s="39" t="str">
        <f>IF(C4201="","",IFERROR(INDEX(art_des,MATCH(C4201,art_ref,0))&amp;"","Référence inconnue"))</f>
        <v/>
      </c>
      <c r="E4201" s="37" t="n"/>
      <c r="F4201" s="39" t="str">
        <f>IF(C4201="","",IFERROR(INDEX(art_unit,MATCH(C4201,art_ref,0))&amp;"",""))</f>
        <v/>
      </c>
      <c r="G4201" s="37" t="n"/>
      <c r="H4201" s="37" t="n"/>
      <c r="I4201" s="37" t="n"/>
      <c r="J4201" s="40" t="str">
        <f>IF(OR(C4201="",NOT(ISNUMBER(E4201))),"",IFERROR(E4201*N(INDEX(art_price,MATCH(C4201,art_ref,0))),""))</f>
        <v/>
      </c>
      <c r="K4201" s="39" t="str">
        <f>IF(OR(C4201="",NOT(ISNUMBER(E4201))),"",IFERROR(ROUND(N(INDEX(art_init,MATCH(C4201,art_ref,0)))+SUMIFS($E$5:E4201,$C$5:C4201,C4201,$B$5:B4201,"Entrée")-SUMIFS($E$5:E4201,$C$5:C4201,C4201,$B$5:B4201,"Sortie"),6),""))</f>
        <v/>
      </c>
      <c r="L4201" s="39" t="str">
        <f>IF(COUNTA(A4201:C4201,E4201)=0,"",IF(COUNTA(A4201:C4201,E4201)&lt;4,"Ligne incomplète",IF(NOT(ISNUMBER(A4201)),"Date invalide",IF(AND(B4201&lt;&gt;"Entrée",B4201&lt;&gt;"Sortie"),"Type inconnu",IF(ISNA(MATCH(C4201,art_ref,0)),"Référence inconnue",IF(OR(NOT(ISNUMBER(E4201)),N(E4201)&lt;=0),"Quantité invalide",IF(K4201&lt;0,"Stock négatif",IF(AND(ISNUMBER(A4200),A4201&lt;A4200),"Date hors ordre","OK"))))))))</f>
        <v/>
      </c>
      <c r="M4201" s="39" t="str">
        <f>IF(C4201="","",C4201&amp;"#"&amp;COUNTIF($C$5:C4201,C4201))</f>
        <v/>
      </c>
    </row>
    <row r="4202">
      <c r="A4202" s="41" t="n"/>
      <c r="B4202" s="37" t="n"/>
      <c r="C4202" s="37" t="n"/>
      <c r="D4202" s="39" t="str">
        <f>IF(C4202="","",IFERROR(INDEX(art_des,MATCH(C4202,art_ref,0))&amp;"","Référence inconnue"))</f>
        <v/>
      </c>
      <c r="E4202" s="37" t="n"/>
      <c r="F4202" s="39" t="str">
        <f>IF(C4202="","",IFERROR(INDEX(art_unit,MATCH(C4202,art_ref,0))&amp;"",""))</f>
        <v/>
      </c>
      <c r="G4202" s="37" t="n"/>
      <c r="H4202" s="37" t="n"/>
      <c r="I4202" s="37" t="n"/>
      <c r="J4202" s="40" t="str">
        <f>IF(OR(C4202="",NOT(ISNUMBER(E4202))),"",IFERROR(E4202*N(INDEX(art_price,MATCH(C4202,art_ref,0))),""))</f>
        <v/>
      </c>
      <c r="K4202" s="39" t="str">
        <f>IF(OR(C4202="",NOT(ISNUMBER(E4202))),"",IFERROR(ROUND(N(INDEX(art_init,MATCH(C4202,art_ref,0)))+SUMIFS($E$5:E4202,$C$5:C4202,C4202,$B$5:B4202,"Entrée")-SUMIFS($E$5:E4202,$C$5:C4202,C4202,$B$5:B4202,"Sortie"),6),""))</f>
        <v/>
      </c>
      <c r="L4202" s="39" t="str">
        <f>IF(COUNTA(A4202:C4202,E4202)=0,"",IF(COUNTA(A4202:C4202,E4202)&lt;4,"Ligne incomplète",IF(NOT(ISNUMBER(A4202)),"Date invalide",IF(AND(B4202&lt;&gt;"Entrée",B4202&lt;&gt;"Sortie"),"Type inconnu",IF(ISNA(MATCH(C4202,art_ref,0)),"Référence inconnue",IF(OR(NOT(ISNUMBER(E4202)),N(E4202)&lt;=0),"Quantité invalide",IF(K4202&lt;0,"Stock négatif",IF(AND(ISNUMBER(A4201),A4202&lt;A4201),"Date hors ordre","OK"))))))))</f>
        <v/>
      </c>
      <c r="M4202" s="39" t="str">
        <f>IF(C4202="","",C4202&amp;"#"&amp;COUNTIF($C$5:C4202,C4202))</f>
        <v/>
      </c>
    </row>
    <row r="4203">
      <c r="A4203" s="41" t="n"/>
      <c r="B4203" s="37" t="n"/>
      <c r="C4203" s="37" t="n"/>
      <c r="D4203" s="39" t="str">
        <f>IF(C4203="","",IFERROR(INDEX(art_des,MATCH(C4203,art_ref,0))&amp;"","Référence inconnue"))</f>
        <v/>
      </c>
      <c r="E4203" s="37" t="n"/>
      <c r="F4203" s="39" t="str">
        <f>IF(C4203="","",IFERROR(INDEX(art_unit,MATCH(C4203,art_ref,0))&amp;"",""))</f>
        <v/>
      </c>
      <c r="G4203" s="37" t="n"/>
      <c r="H4203" s="37" t="n"/>
      <c r="I4203" s="37" t="n"/>
      <c r="J4203" s="40" t="str">
        <f>IF(OR(C4203="",NOT(ISNUMBER(E4203))),"",IFERROR(E4203*N(INDEX(art_price,MATCH(C4203,art_ref,0))),""))</f>
        <v/>
      </c>
      <c r="K4203" s="39" t="str">
        <f>IF(OR(C4203="",NOT(ISNUMBER(E4203))),"",IFERROR(ROUND(N(INDEX(art_init,MATCH(C4203,art_ref,0)))+SUMIFS($E$5:E4203,$C$5:C4203,C4203,$B$5:B4203,"Entrée")-SUMIFS($E$5:E4203,$C$5:C4203,C4203,$B$5:B4203,"Sortie"),6),""))</f>
        <v/>
      </c>
      <c r="L4203" s="39" t="str">
        <f>IF(COUNTA(A4203:C4203,E4203)=0,"",IF(COUNTA(A4203:C4203,E4203)&lt;4,"Ligne incomplète",IF(NOT(ISNUMBER(A4203)),"Date invalide",IF(AND(B4203&lt;&gt;"Entrée",B4203&lt;&gt;"Sortie"),"Type inconnu",IF(ISNA(MATCH(C4203,art_ref,0)),"Référence inconnue",IF(OR(NOT(ISNUMBER(E4203)),N(E4203)&lt;=0),"Quantité invalide",IF(K4203&lt;0,"Stock négatif",IF(AND(ISNUMBER(A4202),A4203&lt;A4202),"Date hors ordre","OK"))))))))</f>
        <v/>
      </c>
      <c r="M4203" s="39" t="str">
        <f>IF(C4203="","",C4203&amp;"#"&amp;COUNTIF($C$5:C4203,C4203))</f>
        <v/>
      </c>
    </row>
    <row r="4204">
      <c r="A4204" s="41" t="n"/>
      <c r="B4204" s="37" t="n"/>
      <c r="C4204" s="37" t="n"/>
      <c r="D4204" s="39" t="str">
        <f>IF(C4204="","",IFERROR(INDEX(art_des,MATCH(C4204,art_ref,0))&amp;"","Référence inconnue"))</f>
        <v/>
      </c>
      <c r="E4204" s="37" t="n"/>
      <c r="F4204" s="39" t="str">
        <f>IF(C4204="","",IFERROR(INDEX(art_unit,MATCH(C4204,art_ref,0))&amp;"",""))</f>
        <v/>
      </c>
      <c r="G4204" s="37" t="n"/>
      <c r="H4204" s="37" t="n"/>
      <c r="I4204" s="37" t="n"/>
      <c r="J4204" s="40" t="str">
        <f>IF(OR(C4204="",NOT(ISNUMBER(E4204))),"",IFERROR(E4204*N(INDEX(art_price,MATCH(C4204,art_ref,0))),""))</f>
        <v/>
      </c>
      <c r="K4204" s="39" t="str">
        <f>IF(OR(C4204="",NOT(ISNUMBER(E4204))),"",IFERROR(ROUND(N(INDEX(art_init,MATCH(C4204,art_ref,0)))+SUMIFS($E$5:E4204,$C$5:C4204,C4204,$B$5:B4204,"Entrée")-SUMIFS($E$5:E4204,$C$5:C4204,C4204,$B$5:B4204,"Sortie"),6),""))</f>
        <v/>
      </c>
      <c r="L4204" s="39" t="str">
        <f>IF(COUNTA(A4204:C4204,E4204)=0,"",IF(COUNTA(A4204:C4204,E4204)&lt;4,"Ligne incomplète",IF(NOT(ISNUMBER(A4204)),"Date invalide",IF(AND(B4204&lt;&gt;"Entrée",B4204&lt;&gt;"Sortie"),"Type inconnu",IF(ISNA(MATCH(C4204,art_ref,0)),"Référence inconnue",IF(OR(NOT(ISNUMBER(E4204)),N(E4204)&lt;=0),"Quantité invalide",IF(K4204&lt;0,"Stock négatif",IF(AND(ISNUMBER(A4203),A4204&lt;A4203),"Date hors ordre","OK"))))))))</f>
        <v/>
      </c>
      <c r="M4204" s="39" t="str">
        <f>IF(C4204="","",C4204&amp;"#"&amp;COUNTIF($C$5:C4204,C4204))</f>
        <v/>
      </c>
    </row>
    <row r="4205">
      <c r="A4205" s="41" t="n"/>
      <c r="B4205" s="37" t="n"/>
      <c r="C4205" s="37" t="n"/>
      <c r="D4205" s="39" t="str">
        <f>IF(C4205="","",IFERROR(INDEX(art_des,MATCH(C4205,art_ref,0))&amp;"","Référence inconnue"))</f>
        <v/>
      </c>
      <c r="E4205" s="37" t="n"/>
      <c r="F4205" s="39" t="str">
        <f>IF(C4205="","",IFERROR(INDEX(art_unit,MATCH(C4205,art_ref,0))&amp;"",""))</f>
        <v/>
      </c>
      <c r="G4205" s="37" t="n"/>
      <c r="H4205" s="37" t="n"/>
      <c r="I4205" s="37" t="n"/>
      <c r="J4205" s="40" t="str">
        <f>IF(OR(C4205="",NOT(ISNUMBER(E4205))),"",IFERROR(E4205*N(INDEX(art_price,MATCH(C4205,art_ref,0))),""))</f>
        <v/>
      </c>
      <c r="K4205" s="39" t="str">
        <f>IF(OR(C4205="",NOT(ISNUMBER(E4205))),"",IFERROR(ROUND(N(INDEX(art_init,MATCH(C4205,art_ref,0)))+SUMIFS($E$5:E4205,$C$5:C4205,C4205,$B$5:B4205,"Entrée")-SUMIFS($E$5:E4205,$C$5:C4205,C4205,$B$5:B4205,"Sortie"),6),""))</f>
        <v/>
      </c>
      <c r="L4205" s="39" t="str">
        <f>IF(COUNTA(A4205:C4205,E4205)=0,"",IF(COUNTA(A4205:C4205,E4205)&lt;4,"Ligne incomplète",IF(NOT(ISNUMBER(A4205)),"Date invalide",IF(AND(B4205&lt;&gt;"Entrée",B4205&lt;&gt;"Sortie"),"Type inconnu",IF(ISNA(MATCH(C4205,art_ref,0)),"Référence inconnue",IF(OR(NOT(ISNUMBER(E4205)),N(E4205)&lt;=0),"Quantité invalide",IF(K4205&lt;0,"Stock négatif",IF(AND(ISNUMBER(A4204),A4205&lt;A4204),"Date hors ordre","OK"))))))))</f>
        <v/>
      </c>
      <c r="M4205" s="39" t="str">
        <f>IF(C4205="","",C4205&amp;"#"&amp;COUNTIF($C$5:C4205,C4205))</f>
        <v/>
      </c>
    </row>
    <row r="4206">
      <c r="A4206" s="41" t="n"/>
      <c r="B4206" s="37" t="n"/>
      <c r="C4206" s="37" t="n"/>
      <c r="D4206" s="39" t="str">
        <f>IF(C4206="","",IFERROR(INDEX(art_des,MATCH(C4206,art_ref,0))&amp;"","Référence inconnue"))</f>
        <v/>
      </c>
      <c r="E4206" s="37" t="n"/>
      <c r="F4206" s="39" t="str">
        <f>IF(C4206="","",IFERROR(INDEX(art_unit,MATCH(C4206,art_ref,0))&amp;"",""))</f>
        <v/>
      </c>
      <c r="G4206" s="37" t="n"/>
      <c r="H4206" s="37" t="n"/>
      <c r="I4206" s="37" t="n"/>
      <c r="J4206" s="40" t="str">
        <f>IF(OR(C4206="",NOT(ISNUMBER(E4206))),"",IFERROR(E4206*N(INDEX(art_price,MATCH(C4206,art_ref,0))),""))</f>
        <v/>
      </c>
      <c r="K4206" s="39" t="str">
        <f>IF(OR(C4206="",NOT(ISNUMBER(E4206))),"",IFERROR(ROUND(N(INDEX(art_init,MATCH(C4206,art_ref,0)))+SUMIFS($E$5:E4206,$C$5:C4206,C4206,$B$5:B4206,"Entrée")-SUMIFS($E$5:E4206,$C$5:C4206,C4206,$B$5:B4206,"Sortie"),6),""))</f>
        <v/>
      </c>
      <c r="L4206" s="39" t="str">
        <f>IF(COUNTA(A4206:C4206,E4206)=0,"",IF(COUNTA(A4206:C4206,E4206)&lt;4,"Ligne incomplète",IF(NOT(ISNUMBER(A4206)),"Date invalide",IF(AND(B4206&lt;&gt;"Entrée",B4206&lt;&gt;"Sortie"),"Type inconnu",IF(ISNA(MATCH(C4206,art_ref,0)),"Référence inconnue",IF(OR(NOT(ISNUMBER(E4206)),N(E4206)&lt;=0),"Quantité invalide",IF(K4206&lt;0,"Stock négatif",IF(AND(ISNUMBER(A4205),A4206&lt;A4205),"Date hors ordre","OK"))))))))</f>
        <v/>
      </c>
      <c r="M4206" s="39" t="str">
        <f>IF(C4206="","",C4206&amp;"#"&amp;COUNTIF($C$5:C4206,C4206))</f>
        <v/>
      </c>
    </row>
    <row r="4207">
      <c r="A4207" s="41" t="n"/>
      <c r="B4207" s="37" t="n"/>
      <c r="C4207" s="37" t="n"/>
      <c r="D4207" s="39" t="str">
        <f>IF(C4207="","",IFERROR(INDEX(art_des,MATCH(C4207,art_ref,0))&amp;"","Référence inconnue"))</f>
        <v/>
      </c>
      <c r="E4207" s="37" t="n"/>
      <c r="F4207" s="39" t="str">
        <f>IF(C4207="","",IFERROR(INDEX(art_unit,MATCH(C4207,art_ref,0))&amp;"",""))</f>
        <v/>
      </c>
      <c r="G4207" s="37" t="n"/>
      <c r="H4207" s="37" t="n"/>
      <c r="I4207" s="37" t="n"/>
      <c r="J4207" s="40" t="str">
        <f>IF(OR(C4207="",NOT(ISNUMBER(E4207))),"",IFERROR(E4207*N(INDEX(art_price,MATCH(C4207,art_ref,0))),""))</f>
        <v/>
      </c>
      <c r="K4207" s="39" t="str">
        <f>IF(OR(C4207="",NOT(ISNUMBER(E4207))),"",IFERROR(ROUND(N(INDEX(art_init,MATCH(C4207,art_ref,0)))+SUMIFS($E$5:E4207,$C$5:C4207,C4207,$B$5:B4207,"Entrée")-SUMIFS($E$5:E4207,$C$5:C4207,C4207,$B$5:B4207,"Sortie"),6),""))</f>
        <v/>
      </c>
      <c r="L4207" s="39" t="str">
        <f>IF(COUNTA(A4207:C4207,E4207)=0,"",IF(COUNTA(A4207:C4207,E4207)&lt;4,"Ligne incomplète",IF(NOT(ISNUMBER(A4207)),"Date invalide",IF(AND(B4207&lt;&gt;"Entrée",B4207&lt;&gt;"Sortie"),"Type inconnu",IF(ISNA(MATCH(C4207,art_ref,0)),"Référence inconnue",IF(OR(NOT(ISNUMBER(E4207)),N(E4207)&lt;=0),"Quantité invalide",IF(K4207&lt;0,"Stock négatif",IF(AND(ISNUMBER(A4206),A4207&lt;A4206),"Date hors ordre","OK"))))))))</f>
        <v/>
      </c>
      <c r="M4207" s="39" t="str">
        <f>IF(C4207="","",C4207&amp;"#"&amp;COUNTIF($C$5:C4207,C4207))</f>
        <v/>
      </c>
    </row>
    <row r="4208">
      <c r="A4208" s="41" t="n"/>
      <c r="B4208" s="37" t="n"/>
      <c r="C4208" s="37" t="n"/>
      <c r="D4208" s="39" t="str">
        <f>IF(C4208="","",IFERROR(INDEX(art_des,MATCH(C4208,art_ref,0))&amp;"","Référence inconnue"))</f>
        <v/>
      </c>
      <c r="E4208" s="37" t="n"/>
      <c r="F4208" s="39" t="str">
        <f>IF(C4208="","",IFERROR(INDEX(art_unit,MATCH(C4208,art_ref,0))&amp;"",""))</f>
        <v/>
      </c>
      <c r="G4208" s="37" t="n"/>
      <c r="H4208" s="37" t="n"/>
      <c r="I4208" s="37" t="n"/>
      <c r="J4208" s="40" t="str">
        <f>IF(OR(C4208="",NOT(ISNUMBER(E4208))),"",IFERROR(E4208*N(INDEX(art_price,MATCH(C4208,art_ref,0))),""))</f>
        <v/>
      </c>
      <c r="K4208" s="39" t="str">
        <f>IF(OR(C4208="",NOT(ISNUMBER(E4208))),"",IFERROR(ROUND(N(INDEX(art_init,MATCH(C4208,art_ref,0)))+SUMIFS($E$5:E4208,$C$5:C4208,C4208,$B$5:B4208,"Entrée")-SUMIFS($E$5:E4208,$C$5:C4208,C4208,$B$5:B4208,"Sortie"),6),""))</f>
        <v/>
      </c>
      <c r="L4208" s="39" t="str">
        <f>IF(COUNTA(A4208:C4208,E4208)=0,"",IF(COUNTA(A4208:C4208,E4208)&lt;4,"Ligne incomplète",IF(NOT(ISNUMBER(A4208)),"Date invalide",IF(AND(B4208&lt;&gt;"Entrée",B4208&lt;&gt;"Sortie"),"Type inconnu",IF(ISNA(MATCH(C4208,art_ref,0)),"Référence inconnue",IF(OR(NOT(ISNUMBER(E4208)),N(E4208)&lt;=0),"Quantité invalide",IF(K4208&lt;0,"Stock négatif",IF(AND(ISNUMBER(A4207),A4208&lt;A4207),"Date hors ordre","OK"))))))))</f>
        <v/>
      </c>
      <c r="M4208" s="39" t="str">
        <f>IF(C4208="","",C4208&amp;"#"&amp;COUNTIF($C$5:C4208,C4208))</f>
        <v/>
      </c>
    </row>
    <row r="4209">
      <c r="A4209" s="41" t="n"/>
      <c r="B4209" s="37" t="n"/>
      <c r="C4209" s="37" t="n"/>
      <c r="D4209" s="39" t="str">
        <f>IF(C4209="","",IFERROR(INDEX(art_des,MATCH(C4209,art_ref,0))&amp;"","Référence inconnue"))</f>
        <v/>
      </c>
      <c r="E4209" s="37" t="n"/>
      <c r="F4209" s="39" t="str">
        <f>IF(C4209="","",IFERROR(INDEX(art_unit,MATCH(C4209,art_ref,0))&amp;"",""))</f>
        <v/>
      </c>
      <c r="G4209" s="37" t="n"/>
      <c r="H4209" s="37" t="n"/>
      <c r="I4209" s="37" t="n"/>
      <c r="J4209" s="40" t="str">
        <f>IF(OR(C4209="",NOT(ISNUMBER(E4209))),"",IFERROR(E4209*N(INDEX(art_price,MATCH(C4209,art_ref,0))),""))</f>
        <v/>
      </c>
      <c r="K4209" s="39" t="str">
        <f>IF(OR(C4209="",NOT(ISNUMBER(E4209))),"",IFERROR(ROUND(N(INDEX(art_init,MATCH(C4209,art_ref,0)))+SUMIFS($E$5:E4209,$C$5:C4209,C4209,$B$5:B4209,"Entrée")-SUMIFS($E$5:E4209,$C$5:C4209,C4209,$B$5:B4209,"Sortie"),6),""))</f>
        <v/>
      </c>
      <c r="L4209" s="39" t="str">
        <f>IF(COUNTA(A4209:C4209,E4209)=0,"",IF(COUNTA(A4209:C4209,E4209)&lt;4,"Ligne incomplète",IF(NOT(ISNUMBER(A4209)),"Date invalide",IF(AND(B4209&lt;&gt;"Entrée",B4209&lt;&gt;"Sortie"),"Type inconnu",IF(ISNA(MATCH(C4209,art_ref,0)),"Référence inconnue",IF(OR(NOT(ISNUMBER(E4209)),N(E4209)&lt;=0),"Quantité invalide",IF(K4209&lt;0,"Stock négatif",IF(AND(ISNUMBER(A4208),A4209&lt;A4208),"Date hors ordre","OK"))))))))</f>
        <v/>
      </c>
      <c r="M4209" s="39" t="str">
        <f>IF(C4209="","",C4209&amp;"#"&amp;COUNTIF($C$5:C4209,C4209))</f>
        <v/>
      </c>
    </row>
    <row r="4210">
      <c r="A4210" s="41" t="n"/>
      <c r="B4210" s="37" t="n"/>
      <c r="C4210" s="37" t="n"/>
      <c r="D4210" s="39" t="str">
        <f>IF(C4210="","",IFERROR(INDEX(art_des,MATCH(C4210,art_ref,0))&amp;"","Référence inconnue"))</f>
        <v/>
      </c>
      <c r="E4210" s="37" t="n"/>
      <c r="F4210" s="39" t="str">
        <f>IF(C4210="","",IFERROR(INDEX(art_unit,MATCH(C4210,art_ref,0))&amp;"",""))</f>
        <v/>
      </c>
      <c r="G4210" s="37" t="n"/>
      <c r="H4210" s="37" t="n"/>
      <c r="I4210" s="37" t="n"/>
      <c r="J4210" s="40" t="str">
        <f>IF(OR(C4210="",NOT(ISNUMBER(E4210))),"",IFERROR(E4210*N(INDEX(art_price,MATCH(C4210,art_ref,0))),""))</f>
        <v/>
      </c>
      <c r="K4210" s="39" t="str">
        <f>IF(OR(C4210="",NOT(ISNUMBER(E4210))),"",IFERROR(ROUND(N(INDEX(art_init,MATCH(C4210,art_ref,0)))+SUMIFS($E$5:E4210,$C$5:C4210,C4210,$B$5:B4210,"Entrée")-SUMIFS($E$5:E4210,$C$5:C4210,C4210,$B$5:B4210,"Sortie"),6),""))</f>
        <v/>
      </c>
      <c r="L4210" s="39" t="str">
        <f>IF(COUNTA(A4210:C4210,E4210)=0,"",IF(COUNTA(A4210:C4210,E4210)&lt;4,"Ligne incomplète",IF(NOT(ISNUMBER(A4210)),"Date invalide",IF(AND(B4210&lt;&gt;"Entrée",B4210&lt;&gt;"Sortie"),"Type inconnu",IF(ISNA(MATCH(C4210,art_ref,0)),"Référence inconnue",IF(OR(NOT(ISNUMBER(E4210)),N(E4210)&lt;=0),"Quantité invalide",IF(K4210&lt;0,"Stock négatif",IF(AND(ISNUMBER(A4209),A4210&lt;A4209),"Date hors ordre","OK"))))))))</f>
        <v/>
      </c>
      <c r="M4210" s="39" t="str">
        <f>IF(C4210="","",C4210&amp;"#"&amp;COUNTIF($C$5:C4210,C4210))</f>
        <v/>
      </c>
    </row>
    <row r="4211">
      <c r="A4211" s="41" t="n"/>
      <c r="B4211" s="37" t="n"/>
      <c r="C4211" s="37" t="n"/>
      <c r="D4211" s="39" t="str">
        <f>IF(C4211="","",IFERROR(INDEX(art_des,MATCH(C4211,art_ref,0))&amp;"","Référence inconnue"))</f>
        <v/>
      </c>
      <c r="E4211" s="37" t="n"/>
      <c r="F4211" s="39" t="str">
        <f>IF(C4211="","",IFERROR(INDEX(art_unit,MATCH(C4211,art_ref,0))&amp;"",""))</f>
        <v/>
      </c>
      <c r="G4211" s="37" t="n"/>
      <c r="H4211" s="37" t="n"/>
      <c r="I4211" s="37" t="n"/>
      <c r="J4211" s="40" t="str">
        <f>IF(OR(C4211="",NOT(ISNUMBER(E4211))),"",IFERROR(E4211*N(INDEX(art_price,MATCH(C4211,art_ref,0))),""))</f>
        <v/>
      </c>
      <c r="K4211" s="39" t="str">
        <f>IF(OR(C4211="",NOT(ISNUMBER(E4211))),"",IFERROR(ROUND(N(INDEX(art_init,MATCH(C4211,art_ref,0)))+SUMIFS($E$5:E4211,$C$5:C4211,C4211,$B$5:B4211,"Entrée")-SUMIFS($E$5:E4211,$C$5:C4211,C4211,$B$5:B4211,"Sortie"),6),""))</f>
        <v/>
      </c>
      <c r="L4211" s="39" t="str">
        <f>IF(COUNTA(A4211:C4211,E4211)=0,"",IF(COUNTA(A4211:C4211,E4211)&lt;4,"Ligne incomplète",IF(NOT(ISNUMBER(A4211)),"Date invalide",IF(AND(B4211&lt;&gt;"Entrée",B4211&lt;&gt;"Sortie"),"Type inconnu",IF(ISNA(MATCH(C4211,art_ref,0)),"Référence inconnue",IF(OR(NOT(ISNUMBER(E4211)),N(E4211)&lt;=0),"Quantité invalide",IF(K4211&lt;0,"Stock négatif",IF(AND(ISNUMBER(A4210),A4211&lt;A4210),"Date hors ordre","OK"))))))))</f>
        <v/>
      </c>
      <c r="M4211" s="39" t="str">
        <f>IF(C4211="","",C4211&amp;"#"&amp;COUNTIF($C$5:C4211,C4211))</f>
        <v/>
      </c>
    </row>
    <row r="4212">
      <c r="A4212" s="41" t="n"/>
      <c r="B4212" s="37" t="n"/>
      <c r="C4212" s="37" t="n"/>
      <c r="D4212" s="39" t="str">
        <f>IF(C4212="","",IFERROR(INDEX(art_des,MATCH(C4212,art_ref,0))&amp;"","Référence inconnue"))</f>
        <v/>
      </c>
      <c r="E4212" s="37" t="n"/>
      <c r="F4212" s="39" t="str">
        <f>IF(C4212="","",IFERROR(INDEX(art_unit,MATCH(C4212,art_ref,0))&amp;"",""))</f>
        <v/>
      </c>
      <c r="G4212" s="37" t="n"/>
      <c r="H4212" s="37" t="n"/>
      <c r="I4212" s="37" t="n"/>
      <c r="J4212" s="40" t="str">
        <f>IF(OR(C4212="",NOT(ISNUMBER(E4212))),"",IFERROR(E4212*N(INDEX(art_price,MATCH(C4212,art_ref,0))),""))</f>
        <v/>
      </c>
      <c r="K4212" s="39" t="str">
        <f>IF(OR(C4212="",NOT(ISNUMBER(E4212))),"",IFERROR(ROUND(N(INDEX(art_init,MATCH(C4212,art_ref,0)))+SUMIFS($E$5:E4212,$C$5:C4212,C4212,$B$5:B4212,"Entrée")-SUMIFS($E$5:E4212,$C$5:C4212,C4212,$B$5:B4212,"Sortie"),6),""))</f>
        <v/>
      </c>
      <c r="L4212" s="39" t="str">
        <f>IF(COUNTA(A4212:C4212,E4212)=0,"",IF(COUNTA(A4212:C4212,E4212)&lt;4,"Ligne incomplète",IF(NOT(ISNUMBER(A4212)),"Date invalide",IF(AND(B4212&lt;&gt;"Entrée",B4212&lt;&gt;"Sortie"),"Type inconnu",IF(ISNA(MATCH(C4212,art_ref,0)),"Référence inconnue",IF(OR(NOT(ISNUMBER(E4212)),N(E4212)&lt;=0),"Quantité invalide",IF(K4212&lt;0,"Stock négatif",IF(AND(ISNUMBER(A4211),A4212&lt;A4211),"Date hors ordre","OK"))))))))</f>
        <v/>
      </c>
      <c r="M4212" s="39" t="str">
        <f>IF(C4212="","",C4212&amp;"#"&amp;COUNTIF($C$5:C4212,C4212))</f>
        <v/>
      </c>
    </row>
    <row r="4213">
      <c r="A4213" s="41" t="n"/>
      <c r="B4213" s="37" t="n"/>
      <c r="C4213" s="37" t="n"/>
      <c r="D4213" s="39" t="str">
        <f>IF(C4213="","",IFERROR(INDEX(art_des,MATCH(C4213,art_ref,0))&amp;"","Référence inconnue"))</f>
        <v/>
      </c>
      <c r="E4213" s="37" t="n"/>
      <c r="F4213" s="39" t="str">
        <f>IF(C4213="","",IFERROR(INDEX(art_unit,MATCH(C4213,art_ref,0))&amp;"",""))</f>
        <v/>
      </c>
      <c r="G4213" s="37" t="n"/>
      <c r="H4213" s="37" t="n"/>
      <c r="I4213" s="37" t="n"/>
      <c r="J4213" s="40" t="str">
        <f>IF(OR(C4213="",NOT(ISNUMBER(E4213))),"",IFERROR(E4213*N(INDEX(art_price,MATCH(C4213,art_ref,0))),""))</f>
        <v/>
      </c>
      <c r="K4213" s="39" t="str">
        <f>IF(OR(C4213="",NOT(ISNUMBER(E4213))),"",IFERROR(ROUND(N(INDEX(art_init,MATCH(C4213,art_ref,0)))+SUMIFS($E$5:E4213,$C$5:C4213,C4213,$B$5:B4213,"Entrée")-SUMIFS($E$5:E4213,$C$5:C4213,C4213,$B$5:B4213,"Sortie"),6),""))</f>
        <v/>
      </c>
      <c r="L4213" s="39" t="str">
        <f>IF(COUNTA(A4213:C4213,E4213)=0,"",IF(COUNTA(A4213:C4213,E4213)&lt;4,"Ligne incomplète",IF(NOT(ISNUMBER(A4213)),"Date invalide",IF(AND(B4213&lt;&gt;"Entrée",B4213&lt;&gt;"Sortie"),"Type inconnu",IF(ISNA(MATCH(C4213,art_ref,0)),"Référence inconnue",IF(OR(NOT(ISNUMBER(E4213)),N(E4213)&lt;=0),"Quantité invalide",IF(K4213&lt;0,"Stock négatif",IF(AND(ISNUMBER(A4212),A4213&lt;A4212),"Date hors ordre","OK"))))))))</f>
        <v/>
      </c>
      <c r="M4213" s="39" t="str">
        <f>IF(C4213="","",C4213&amp;"#"&amp;COUNTIF($C$5:C4213,C4213))</f>
        <v/>
      </c>
    </row>
    <row r="4214">
      <c r="A4214" s="41" t="n"/>
      <c r="B4214" s="37" t="n"/>
      <c r="C4214" s="37" t="n"/>
      <c r="D4214" s="39" t="str">
        <f>IF(C4214="","",IFERROR(INDEX(art_des,MATCH(C4214,art_ref,0))&amp;"","Référence inconnue"))</f>
        <v/>
      </c>
      <c r="E4214" s="37" t="n"/>
      <c r="F4214" s="39" t="str">
        <f>IF(C4214="","",IFERROR(INDEX(art_unit,MATCH(C4214,art_ref,0))&amp;"",""))</f>
        <v/>
      </c>
      <c r="G4214" s="37" t="n"/>
      <c r="H4214" s="37" t="n"/>
      <c r="I4214" s="37" t="n"/>
      <c r="J4214" s="40" t="str">
        <f>IF(OR(C4214="",NOT(ISNUMBER(E4214))),"",IFERROR(E4214*N(INDEX(art_price,MATCH(C4214,art_ref,0))),""))</f>
        <v/>
      </c>
      <c r="K4214" s="39" t="str">
        <f>IF(OR(C4214="",NOT(ISNUMBER(E4214))),"",IFERROR(ROUND(N(INDEX(art_init,MATCH(C4214,art_ref,0)))+SUMIFS($E$5:E4214,$C$5:C4214,C4214,$B$5:B4214,"Entrée")-SUMIFS($E$5:E4214,$C$5:C4214,C4214,$B$5:B4214,"Sortie"),6),""))</f>
        <v/>
      </c>
      <c r="L4214" s="39" t="str">
        <f>IF(COUNTA(A4214:C4214,E4214)=0,"",IF(COUNTA(A4214:C4214,E4214)&lt;4,"Ligne incomplète",IF(NOT(ISNUMBER(A4214)),"Date invalide",IF(AND(B4214&lt;&gt;"Entrée",B4214&lt;&gt;"Sortie"),"Type inconnu",IF(ISNA(MATCH(C4214,art_ref,0)),"Référence inconnue",IF(OR(NOT(ISNUMBER(E4214)),N(E4214)&lt;=0),"Quantité invalide",IF(K4214&lt;0,"Stock négatif",IF(AND(ISNUMBER(A4213),A4214&lt;A4213),"Date hors ordre","OK"))))))))</f>
        <v/>
      </c>
      <c r="M4214" s="39" t="str">
        <f>IF(C4214="","",C4214&amp;"#"&amp;COUNTIF($C$5:C4214,C4214))</f>
        <v/>
      </c>
    </row>
    <row r="4215">
      <c r="A4215" s="41" t="n"/>
      <c r="B4215" s="37" t="n"/>
      <c r="C4215" s="37" t="n"/>
      <c r="D4215" s="39" t="str">
        <f>IF(C4215="","",IFERROR(INDEX(art_des,MATCH(C4215,art_ref,0))&amp;"","Référence inconnue"))</f>
        <v/>
      </c>
      <c r="E4215" s="37" t="n"/>
      <c r="F4215" s="39" t="str">
        <f>IF(C4215="","",IFERROR(INDEX(art_unit,MATCH(C4215,art_ref,0))&amp;"",""))</f>
        <v/>
      </c>
      <c r="G4215" s="37" t="n"/>
      <c r="H4215" s="37" t="n"/>
      <c r="I4215" s="37" t="n"/>
      <c r="J4215" s="40" t="str">
        <f>IF(OR(C4215="",NOT(ISNUMBER(E4215))),"",IFERROR(E4215*N(INDEX(art_price,MATCH(C4215,art_ref,0))),""))</f>
        <v/>
      </c>
      <c r="K4215" s="39" t="str">
        <f>IF(OR(C4215="",NOT(ISNUMBER(E4215))),"",IFERROR(ROUND(N(INDEX(art_init,MATCH(C4215,art_ref,0)))+SUMIFS($E$5:E4215,$C$5:C4215,C4215,$B$5:B4215,"Entrée")-SUMIFS($E$5:E4215,$C$5:C4215,C4215,$B$5:B4215,"Sortie"),6),""))</f>
        <v/>
      </c>
      <c r="L4215" s="39" t="str">
        <f>IF(COUNTA(A4215:C4215,E4215)=0,"",IF(COUNTA(A4215:C4215,E4215)&lt;4,"Ligne incomplète",IF(NOT(ISNUMBER(A4215)),"Date invalide",IF(AND(B4215&lt;&gt;"Entrée",B4215&lt;&gt;"Sortie"),"Type inconnu",IF(ISNA(MATCH(C4215,art_ref,0)),"Référence inconnue",IF(OR(NOT(ISNUMBER(E4215)),N(E4215)&lt;=0),"Quantité invalide",IF(K4215&lt;0,"Stock négatif",IF(AND(ISNUMBER(A4214),A4215&lt;A4214),"Date hors ordre","OK"))))))))</f>
        <v/>
      </c>
      <c r="M4215" s="39" t="str">
        <f>IF(C4215="","",C4215&amp;"#"&amp;COUNTIF($C$5:C4215,C4215))</f>
        <v/>
      </c>
    </row>
    <row r="4216">
      <c r="A4216" s="41" t="n"/>
      <c r="B4216" s="37" t="n"/>
      <c r="C4216" s="37" t="n"/>
      <c r="D4216" s="39" t="str">
        <f>IF(C4216="","",IFERROR(INDEX(art_des,MATCH(C4216,art_ref,0))&amp;"","Référence inconnue"))</f>
        <v/>
      </c>
      <c r="E4216" s="37" t="n"/>
      <c r="F4216" s="39" t="str">
        <f>IF(C4216="","",IFERROR(INDEX(art_unit,MATCH(C4216,art_ref,0))&amp;"",""))</f>
        <v/>
      </c>
      <c r="G4216" s="37" t="n"/>
      <c r="H4216" s="37" t="n"/>
      <c r="I4216" s="37" t="n"/>
      <c r="J4216" s="40" t="str">
        <f>IF(OR(C4216="",NOT(ISNUMBER(E4216))),"",IFERROR(E4216*N(INDEX(art_price,MATCH(C4216,art_ref,0))),""))</f>
        <v/>
      </c>
      <c r="K4216" s="39" t="str">
        <f>IF(OR(C4216="",NOT(ISNUMBER(E4216))),"",IFERROR(ROUND(N(INDEX(art_init,MATCH(C4216,art_ref,0)))+SUMIFS($E$5:E4216,$C$5:C4216,C4216,$B$5:B4216,"Entrée")-SUMIFS($E$5:E4216,$C$5:C4216,C4216,$B$5:B4216,"Sortie"),6),""))</f>
        <v/>
      </c>
      <c r="L4216" s="39" t="str">
        <f>IF(COUNTA(A4216:C4216,E4216)=0,"",IF(COUNTA(A4216:C4216,E4216)&lt;4,"Ligne incomplète",IF(NOT(ISNUMBER(A4216)),"Date invalide",IF(AND(B4216&lt;&gt;"Entrée",B4216&lt;&gt;"Sortie"),"Type inconnu",IF(ISNA(MATCH(C4216,art_ref,0)),"Référence inconnue",IF(OR(NOT(ISNUMBER(E4216)),N(E4216)&lt;=0),"Quantité invalide",IF(K4216&lt;0,"Stock négatif",IF(AND(ISNUMBER(A4215),A4216&lt;A4215),"Date hors ordre","OK"))))))))</f>
        <v/>
      </c>
      <c r="M4216" s="39" t="str">
        <f>IF(C4216="","",C4216&amp;"#"&amp;COUNTIF($C$5:C4216,C4216))</f>
        <v/>
      </c>
    </row>
    <row r="4217">
      <c r="A4217" s="41" t="n"/>
      <c r="B4217" s="37" t="n"/>
      <c r="C4217" s="37" t="n"/>
      <c r="D4217" s="39" t="str">
        <f>IF(C4217="","",IFERROR(INDEX(art_des,MATCH(C4217,art_ref,0))&amp;"","Référence inconnue"))</f>
        <v/>
      </c>
      <c r="E4217" s="37" t="n"/>
      <c r="F4217" s="39" t="str">
        <f>IF(C4217="","",IFERROR(INDEX(art_unit,MATCH(C4217,art_ref,0))&amp;"",""))</f>
        <v/>
      </c>
      <c r="G4217" s="37" t="n"/>
      <c r="H4217" s="37" t="n"/>
      <c r="I4217" s="37" t="n"/>
      <c r="J4217" s="40" t="str">
        <f>IF(OR(C4217="",NOT(ISNUMBER(E4217))),"",IFERROR(E4217*N(INDEX(art_price,MATCH(C4217,art_ref,0))),""))</f>
        <v/>
      </c>
      <c r="K4217" s="39" t="str">
        <f>IF(OR(C4217="",NOT(ISNUMBER(E4217))),"",IFERROR(ROUND(N(INDEX(art_init,MATCH(C4217,art_ref,0)))+SUMIFS($E$5:E4217,$C$5:C4217,C4217,$B$5:B4217,"Entrée")-SUMIFS($E$5:E4217,$C$5:C4217,C4217,$B$5:B4217,"Sortie"),6),""))</f>
        <v/>
      </c>
      <c r="L4217" s="39" t="str">
        <f>IF(COUNTA(A4217:C4217,E4217)=0,"",IF(COUNTA(A4217:C4217,E4217)&lt;4,"Ligne incomplète",IF(NOT(ISNUMBER(A4217)),"Date invalide",IF(AND(B4217&lt;&gt;"Entrée",B4217&lt;&gt;"Sortie"),"Type inconnu",IF(ISNA(MATCH(C4217,art_ref,0)),"Référence inconnue",IF(OR(NOT(ISNUMBER(E4217)),N(E4217)&lt;=0),"Quantité invalide",IF(K4217&lt;0,"Stock négatif",IF(AND(ISNUMBER(A4216),A4217&lt;A4216),"Date hors ordre","OK"))))))))</f>
        <v/>
      </c>
      <c r="M4217" s="39" t="str">
        <f>IF(C4217="","",C4217&amp;"#"&amp;COUNTIF($C$5:C4217,C4217))</f>
        <v/>
      </c>
    </row>
    <row r="4218">
      <c r="A4218" s="41" t="n"/>
      <c r="B4218" s="37" t="n"/>
      <c r="C4218" s="37" t="n"/>
      <c r="D4218" s="39" t="str">
        <f>IF(C4218="","",IFERROR(INDEX(art_des,MATCH(C4218,art_ref,0))&amp;"","Référence inconnue"))</f>
        <v/>
      </c>
      <c r="E4218" s="37" t="n"/>
      <c r="F4218" s="39" t="str">
        <f>IF(C4218="","",IFERROR(INDEX(art_unit,MATCH(C4218,art_ref,0))&amp;"",""))</f>
        <v/>
      </c>
      <c r="G4218" s="37" t="n"/>
      <c r="H4218" s="37" t="n"/>
      <c r="I4218" s="37" t="n"/>
      <c r="J4218" s="40" t="str">
        <f>IF(OR(C4218="",NOT(ISNUMBER(E4218))),"",IFERROR(E4218*N(INDEX(art_price,MATCH(C4218,art_ref,0))),""))</f>
        <v/>
      </c>
      <c r="K4218" s="39" t="str">
        <f>IF(OR(C4218="",NOT(ISNUMBER(E4218))),"",IFERROR(ROUND(N(INDEX(art_init,MATCH(C4218,art_ref,0)))+SUMIFS($E$5:E4218,$C$5:C4218,C4218,$B$5:B4218,"Entrée")-SUMIFS($E$5:E4218,$C$5:C4218,C4218,$B$5:B4218,"Sortie"),6),""))</f>
        <v/>
      </c>
      <c r="L4218" s="39" t="str">
        <f>IF(COUNTA(A4218:C4218,E4218)=0,"",IF(COUNTA(A4218:C4218,E4218)&lt;4,"Ligne incomplète",IF(NOT(ISNUMBER(A4218)),"Date invalide",IF(AND(B4218&lt;&gt;"Entrée",B4218&lt;&gt;"Sortie"),"Type inconnu",IF(ISNA(MATCH(C4218,art_ref,0)),"Référence inconnue",IF(OR(NOT(ISNUMBER(E4218)),N(E4218)&lt;=0),"Quantité invalide",IF(K4218&lt;0,"Stock négatif",IF(AND(ISNUMBER(A4217),A4218&lt;A4217),"Date hors ordre","OK"))))))))</f>
        <v/>
      </c>
      <c r="M4218" s="39" t="str">
        <f>IF(C4218="","",C4218&amp;"#"&amp;COUNTIF($C$5:C4218,C4218))</f>
        <v/>
      </c>
    </row>
    <row r="4219">
      <c r="A4219" s="41" t="n"/>
      <c r="B4219" s="37" t="n"/>
      <c r="C4219" s="37" t="n"/>
      <c r="D4219" s="39" t="str">
        <f>IF(C4219="","",IFERROR(INDEX(art_des,MATCH(C4219,art_ref,0))&amp;"","Référence inconnue"))</f>
        <v/>
      </c>
      <c r="E4219" s="37" t="n"/>
      <c r="F4219" s="39" t="str">
        <f>IF(C4219="","",IFERROR(INDEX(art_unit,MATCH(C4219,art_ref,0))&amp;"",""))</f>
        <v/>
      </c>
      <c r="G4219" s="37" t="n"/>
      <c r="H4219" s="37" t="n"/>
      <c r="I4219" s="37" t="n"/>
      <c r="J4219" s="40" t="str">
        <f>IF(OR(C4219="",NOT(ISNUMBER(E4219))),"",IFERROR(E4219*N(INDEX(art_price,MATCH(C4219,art_ref,0))),""))</f>
        <v/>
      </c>
      <c r="K4219" s="39" t="str">
        <f>IF(OR(C4219="",NOT(ISNUMBER(E4219))),"",IFERROR(ROUND(N(INDEX(art_init,MATCH(C4219,art_ref,0)))+SUMIFS($E$5:E4219,$C$5:C4219,C4219,$B$5:B4219,"Entrée")-SUMIFS($E$5:E4219,$C$5:C4219,C4219,$B$5:B4219,"Sortie"),6),""))</f>
        <v/>
      </c>
      <c r="L4219" s="39" t="str">
        <f>IF(COUNTA(A4219:C4219,E4219)=0,"",IF(COUNTA(A4219:C4219,E4219)&lt;4,"Ligne incomplète",IF(NOT(ISNUMBER(A4219)),"Date invalide",IF(AND(B4219&lt;&gt;"Entrée",B4219&lt;&gt;"Sortie"),"Type inconnu",IF(ISNA(MATCH(C4219,art_ref,0)),"Référence inconnue",IF(OR(NOT(ISNUMBER(E4219)),N(E4219)&lt;=0),"Quantité invalide",IF(K4219&lt;0,"Stock négatif",IF(AND(ISNUMBER(A4218),A4219&lt;A4218),"Date hors ordre","OK"))))))))</f>
        <v/>
      </c>
      <c r="M4219" s="39" t="str">
        <f>IF(C4219="","",C4219&amp;"#"&amp;COUNTIF($C$5:C4219,C4219))</f>
        <v/>
      </c>
    </row>
    <row r="4220">
      <c r="A4220" s="41" t="n"/>
      <c r="B4220" s="37" t="n"/>
      <c r="C4220" s="37" t="n"/>
      <c r="D4220" s="39" t="str">
        <f>IF(C4220="","",IFERROR(INDEX(art_des,MATCH(C4220,art_ref,0))&amp;"","Référence inconnue"))</f>
        <v/>
      </c>
      <c r="E4220" s="37" t="n"/>
      <c r="F4220" s="39" t="str">
        <f>IF(C4220="","",IFERROR(INDEX(art_unit,MATCH(C4220,art_ref,0))&amp;"",""))</f>
        <v/>
      </c>
      <c r="G4220" s="37" t="n"/>
      <c r="H4220" s="37" t="n"/>
      <c r="I4220" s="37" t="n"/>
      <c r="J4220" s="40" t="str">
        <f>IF(OR(C4220="",NOT(ISNUMBER(E4220))),"",IFERROR(E4220*N(INDEX(art_price,MATCH(C4220,art_ref,0))),""))</f>
        <v/>
      </c>
      <c r="K4220" s="39" t="str">
        <f>IF(OR(C4220="",NOT(ISNUMBER(E4220))),"",IFERROR(ROUND(N(INDEX(art_init,MATCH(C4220,art_ref,0)))+SUMIFS($E$5:E4220,$C$5:C4220,C4220,$B$5:B4220,"Entrée")-SUMIFS($E$5:E4220,$C$5:C4220,C4220,$B$5:B4220,"Sortie"),6),""))</f>
        <v/>
      </c>
      <c r="L4220" s="39" t="str">
        <f>IF(COUNTA(A4220:C4220,E4220)=0,"",IF(COUNTA(A4220:C4220,E4220)&lt;4,"Ligne incomplète",IF(NOT(ISNUMBER(A4220)),"Date invalide",IF(AND(B4220&lt;&gt;"Entrée",B4220&lt;&gt;"Sortie"),"Type inconnu",IF(ISNA(MATCH(C4220,art_ref,0)),"Référence inconnue",IF(OR(NOT(ISNUMBER(E4220)),N(E4220)&lt;=0),"Quantité invalide",IF(K4220&lt;0,"Stock négatif",IF(AND(ISNUMBER(A4219),A4220&lt;A4219),"Date hors ordre","OK"))))))))</f>
        <v/>
      </c>
      <c r="M4220" s="39" t="str">
        <f>IF(C4220="","",C4220&amp;"#"&amp;COUNTIF($C$5:C4220,C4220))</f>
        <v/>
      </c>
    </row>
    <row r="4221">
      <c r="A4221" s="41" t="n"/>
      <c r="B4221" s="37" t="n"/>
      <c r="C4221" s="37" t="n"/>
      <c r="D4221" s="39" t="str">
        <f>IF(C4221="","",IFERROR(INDEX(art_des,MATCH(C4221,art_ref,0))&amp;"","Référence inconnue"))</f>
        <v/>
      </c>
      <c r="E4221" s="37" t="n"/>
      <c r="F4221" s="39" t="str">
        <f>IF(C4221="","",IFERROR(INDEX(art_unit,MATCH(C4221,art_ref,0))&amp;"",""))</f>
        <v/>
      </c>
      <c r="G4221" s="37" t="n"/>
      <c r="H4221" s="37" t="n"/>
      <c r="I4221" s="37" t="n"/>
      <c r="J4221" s="40" t="str">
        <f>IF(OR(C4221="",NOT(ISNUMBER(E4221))),"",IFERROR(E4221*N(INDEX(art_price,MATCH(C4221,art_ref,0))),""))</f>
        <v/>
      </c>
      <c r="K4221" s="39" t="str">
        <f>IF(OR(C4221="",NOT(ISNUMBER(E4221))),"",IFERROR(ROUND(N(INDEX(art_init,MATCH(C4221,art_ref,0)))+SUMIFS($E$5:E4221,$C$5:C4221,C4221,$B$5:B4221,"Entrée")-SUMIFS($E$5:E4221,$C$5:C4221,C4221,$B$5:B4221,"Sortie"),6),""))</f>
        <v/>
      </c>
      <c r="L4221" s="39" t="str">
        <f>IF(COUNTA(A4221:C4221,E4221)=0,"",IF(COUNTA(A4221:C4221,E4221)&lt;4,"Ligne incomplète",IF(NOT(ISNUMBER(A4221)),"Date invalide",IF(AND(B4221&lt;&gt;"Entrée",B4221&lt;&gt;"Sortie"),"Type inconnu",IF(ISNA(MATCH(C4221,art_ref,0)),"Référence inconnue",IF(OR(NOT(ISNUMBER(E4221)),N(E4221)&lt;=0),"Quantité invalide",IF(K4221&lt;0,"Stock négatif",IF(AND(ISNUMBER(A4220),A4221&lt;A4220),"Date hors ordre","OK"))))))))</f>
        <v/>
      </c>
      <c r="M4221" s="39" t="str">
        <f>IF(C4221="","",C4221&amp;"#"&amp;COUNTIF($C$5:C4221,C4221))</f>
        <v/>
      </c>
    </row>
    <row r="4222">
      <c r="A4222" s="41" t="n"/>
      <c r="B4222" s="37" t="n"/>
      <c r="C4222" s="37" t="n"/>
      <c r="D4222" s="39" t="str">
        <f>IF(C4222="","",IFERROR(INDEX(art_des,MATCH(C4222,art_ref,0))&amp;"","Référence inconnue"))</f>
        <v/>
      </c>
      <c r="E4222" s="37" t="n"/>
      <c r="F4222" s="39" t="str">
        <f>IF(C4222="","",IFERROR(INDEX(art_unit,MATCH(C4222,art_ref,0))&amp;"",""))</f>
        <v/>
      </c>
      <c r="G4222" s="37" t="n"/>
      <c r="H4222" s="37" t="n"/>
      <c r="I4222" s="37" t="n"/>
      <c r="J4222" s="40" t="str">
        <f>IF(OR(C4222="",NOT(ISNUMBER(E4222))),"",IFERROR(E4222*N(INDEX(art_price,MATCH(C4222,art_ref,0))),""))</f>
        <v/>
      </c>
      <c r="K4222" s="39" t="str">
        <f>IF(OR(C4222="",NOT(ISNUMBER(E4222))),"",IFERROR(ROUND(N(INDEX(art_init,MATCH(C4222,art_ref,0)))+SUMIFS($E$5:E4222,$C$5:C4222,C4222,$B$5:B4222,"Entrée")-SUMIFS($E$5:E4222,$C$5:C4222,C4222,$B$5:B4222,"Sortie"),6),""))</f>
        <v/>
      </c>
      <c r="L4222" s="39" t="str">
        <f>IF(COUNTA(A4222:C4222,E4222)=0,"",IF(COUNTA(A4222:C4222,E4222)&lt;4,"Ligne incomplète",IF(NOT(ISNUMBER(A4222)),"Date invalide",IF(AND(B4222&lt;&gt;"Entrée",B4222&lt;&gt;"Sortie"),"Type inconnu",IF(ISNA(MATCH(C4222,art_ref,0)),"Référence inconnue",IF(OR(NOT(ISNUMBER(E4222)),N(E4222)&lt;=0),"Quantité invalide",IF(K4222&lt;0,"Stock négatif",IF(AND(ISNUMBER(A4221),A4222&lt;A4221),"Date hors ordre","OK"))))))))</f>
        <v/>
      </c>
      <c r="M4222" s="39" t="str">
        <f>IF(C4222="","",C4222&amp;"#"&amp;COUNTIF($C$5:C4222,C4222))</f>
        <v/>
      </c>
    </row>
    <row r="4223">
      <c r="A4223" s="41" t="n"/>
      <c r="B4223" s="37" t="n"/>
      <c r="C4223" s="37" t="n"/>
      <c r="D4223" s="39" t="str">
        <f>IF(C4223="","",IFERROR(INDEX(art_des,MATCH(C4223,art_ref,0))&amp;"","Référence inconnue"))</f>
        <v/>
      </c>
      <c r="E4223" s="37" t="n"/>
      <c r="F4223" s="39" t="str">
        <f>IF(C4223="","",IFERROR(INDEX(art_unit,MATCH(C4223,art_ref,0))&amp;"",""))</f>
        <v/>
      </c>
      <c r="G4223" s="37" t="n"/>
      <c r="H4223" s="37" t="n"/>
      <c r="I4223" s="37" t="n"/>
      <c r="J4223" s="40" t="str">
        <f>IF(OR(C4223="",NOT(ISNUMBER(E4223))),"",IFERROR(E4223*N(INDEX(art_price,MATCH(C4223,art_ref,0))),""))</f>
        <v/>
      </c>
      <c r="K4223" s="39" t="str">
        <f>IF(OR(C4223="",NOT(ISNUMBER(E4223))),"",IFERROR(ROUND(N(INDEX(art_init,MATCH(C4223,art_ref,0)))+SUMIFS($E$5:E4223,$C$5:C4223,C4223,$B$5:B4223,"Entrée")-SUMIFS($E$5:E4223,$C$5:C4223,C4223,$B$5:B4223,"Sortie"),6),""))</f>
        <v/>
      </c>
      <c r="L4223" s="39" t="str">
        <f>IF(COUNTA(A4223:C4223,E4223)=0,"",IF(COUNTA(A4223:C4223,E4223)&lt;4,"Ligne incomplète",IF(NOT(ISNUMBER(A4223)),"Date invalide",IF(AND(B4223&lt;&gt;"Entrée",B4223&lt;&gt;"Sortie"),"Type inconnu",IF(ISNA(MATCH(C4223,art_ref,0)),"Référence inconnue",IF(OR(NOT(ISNUMBER(E4223)),N(E4223)&lt;=0),"Quantité invalide",IF(K4223&lt;0,"Stock négatif",IF(AND(ISNUMBER(A4222),A4223&lt;A4222),"Date hors ordre","OK"))))))))</f>
        <v/>
      </c>
      <c r="M4223" s="39" t="str">
        <f>IF(C4223="","",C4223&amp;"#"&amp;COUNTIF($C$5:C4223,C4223))</f>
        <v/>
      </c>
    </row>
    <row r="4224">
      <c r="A4224" s="41" t="n"/>
      <c r="B4224" s="37" t="n"/>
      <c r="C4224" s="37" t="n"/>
      <c r="D4224" s="39" t="str">
        <f>IF(C4224="","",IFERROR(INDEX(art_des,MATCH(C4224,art_ref,0))&amp;"","Référence inconnue"))</f>
        <v/>
      </c>
      <c r="E4224" s="37" t="n"/>
      <c r="F4224" s="39" t="str">
        <f>IF(C4224="","",IFERROR(INDEX(art_unit,MATCH(C4224,art_ref,0))&amp;"",""))</f>
        <v/>
      </c>
      <c r="G4224" s="37" t="n"/>
      <c r="H4224" s="37" t="n"/>
      <c r="I4224" s="37" t="n"/>
      <c r="J4224" s="40" t="str">
        <f>IF(OR(C4224="",NOT(ISNUMBER(E4224))),"",IFERROR(E4224*N(INDEX(art_price,MATCH(C4224,art_ref,0))),""))</f>
        <v/>
      </c>
      <c r="K4224" s="39" t="str">
        <f>IF(OR(C4224="",NOT(ISNUMBER(E4224))),"",IFERROR(ROUND(N(INDEX(art_init,MATCH(C4224,art_ref,0)))+SUMIFS($E$5:E4224,$C$5:C4224,C4224,$B$5:B4224,"Entrée")-SUMIFS($E$5:E4224,$C$5:C4224,C4224,$B$5:B4224,"Sortie"),6),""))</f>
        <v/>
      </c>
      <c r="L4224" s="39" t="str">
        <f>IF(COUNTA(A4224:C4224,E4224)=0,"",IF(COUNTA(A4224:C4224,E4224)&lt;4,"Ligne incomplète",IF(NOT(ISNUMBER(A4224)),"Date invalide",IF(AND(B4224&lt;&gt;"Entrée",B4224&lt;&gt;"Sortie"),"Type inconnu",IF(ISNA(MATCH(C4224,art_ref,0)),"Référence inconnue",IF(OR(NOT(ISNUMBER(E4224)),N(E4224)&lt;=0),"Quantité invalide",IF(K4224&lt;0,"Stock négatif",IF(AND(ISNUMBER(A4223),A4224&lt;A4223),"Date hors ordre","OK"))))))))</f>
        <v/>
      </c>
      <c r="M4224" s="39" t="str">
        <f>IF(C4224="","",C4224&amp;"#"&amp;COUNTIF($C$5:C4224,C4224))</f>
        <v/>
      </c>
    </row>
    <row r="4225">
      <c r="A4225" s="41" t="n"/>
      <c r="B4225" s="37" t="n"/>
      <c r="C4225" s="37" t="n"/>
      <c r="D4225" s="39" t="str">
        <f>IF(C4225="","",IFERROR(INDEX(art_des,MATCH(C4225,art_ref,0))&amp;"","Référence inconnue"))</f>
        <v/>
      </c>
      <c r="E4225" s="37" t="n"/>
      <c r="F4225" s="39" t="str">
        <f>IF(C4225="","",IFERROR(INDEX(art_unit,MATCH(C4225,art_ref,0))&amp;"",""))</f>
        <v/>
      </c>
      <c r="G4225" s="37" t="n"/>
      <c r="H4225" s="37" t="n"/>
      <c r="I4225" s="37" t="n"/>
      <c r="J4225" s="40" t="str">
        <f>IF(OR(C4225="",NOT(ISNUMBER(E4225))),"",IFERROR(E4225*N(INDEX(art_price,MATCH(C4225,art_ref,0))),""))</f>
        <v/>
      </c>
      <c r="K4225" s="39" t="str">
        <f>IF(OR(C4225="",NOT(ISNUMBER(E4225))),"",IFERROR(ROUND(N(INDEX(art_init,MATCH(C4225,art_ref,0)))+SUMIFS($E$5:E4225,$C$5:C4225,C4225,$B$5:B4225,"Entrée")-SUMIFS($E$5:E4225,$C$5:C4225,C4225,$B$5:B4225,"Sortie"),6),""))</f>
        <v/>
      </c>
      <c r="L4225" s="39" t="str">
        <f>IF(COUNTA(A4225:C4225,E4225)=0,"",IF(COUNTA(A4225:C4225,E4225)&lt;4,"Ligne incomplète",IF(NOT(ISNUMBER(A4225)),"Date invalide",IF(AND(B4225&lt;&gt;"Entrée",B4225&lt;&gt;"Sortie"),"Type inconnu",IF(ISNA(MATCH(C4225,art_ref,0)),"Référence inconnue",IF(OR(NOT(ISNUMBER(E4225)),N(E4225)&lt;=0),"Quantité invalide",IF(K4225&lt;0,"Stock négatif",IF(AND(ISNUMBER(A4224),A4225&lt;A4224),"Date hors ordre","OK"))))))))</f>
        <v/>
      </c>
      <c r="M4225" s="39" t="str">
        <f>IF(C4225="","",C4225&amp;"#"&amp;COUNTIF($C$5:C4225,C4225))</f>
        <v/>
      </c>
    </row>
    <row r="4226">
      <c r="A4226" s="41" t="n"/>
      <c r="B4226" s="37" t="n"/>
      <c r="C4226" s="37" t="n"/>
      <c r="D4226" s="39" t="str">
        <f>IF(C4226="","",IFERROR(INDEX(art_des,MATCH(C4226,art_ref,0))&amp;"","Référence inconnue"))</f>
        <v/>
      </c>
      <c r="E4226" s="37" t="n"/>
      <c r="F4226" s="39" t="str">
        <f>IF(C4226="","",IFERROR(INDEX(art_unit,MATCH(C4226,art_ref,0))&amp;"",""))</f>
        <v/>
      </c>
      <c r="G4226" s="37" t="n"/>
      <c r="H4226" s="37" t="n"/>
      <c r="I4226" s="37" t="n"/>
      <c r="J4226" s="40" t="str">
        <f>IF(OR(C4226="",NOT(ISNUMBER(E4226))),"",IFERROR(E4226*N(INDEX(art_price,MATCH(C4226,art_ref,0))),""))</f>
        <v/>
      </c>
      <c r="K4226" s="39" t="str">
        <f>IF(OR(C4226="",NOT(ISNUMBER(E4226))),"",IFERROR(ROUND(N(INDEX(art_init,MATCH(C4226,art_ref,0)))+SUMIFS($E$5:E4226,$C$5:C4226,C4226,$B$5:B4226,"Entrée")-SUMIFS($E$5:E4226,$C$5:C4226,C4226,$B$5:B4226,"Sortie"),6),""))</f>
        <v/>
      </c>
      <c r="L4226" s="39" t="str">
        <f>IF(COUNTA(A4226:C4226,E4226)=0,"",IF(COUNTA(A4226:C4226,E4226)&lt;4,"Ligne incomplète",IF(NOT(ISNUMBER(A4226)),"Date invalide",IF(AND(B4226&lt;&gt;"Entrée",B4226&lt;&gt;"Sortie"),"Type inconnu",IF(ISNA(MATCH(C4226,art_ref,0)),"Référence inconnue",IF(OR(NOT(ISNUMBER(E4226)),N(E4226)&lt;=0),"Quantité invalide",IF(K4226&lt;0,"Stock négatif",IF(AND(ISNUMBER(A4225),A4226&lt;A4225),"Date hors ordre","OK"))))))))</f>
        <v/>
      </c>
      <c r="M4226" s="39" t="str">
        <f>IF(C4226="","",C4226&amp;"#"&amp;COUNTIF($C$5:C4226,C4226))</f>
        <v/>
      </c>
    </row>
    <row r="4227">
      <c r="A4227" s="41" t="n"/>
      <c r="B4227" s="37" t="n"/>
      <c r="C4227" s="37" t="n"/>
      <c r="D4227" s="39" t="str">
        <f>IF(C4227="","",IFERROR(INDEX(art_des,MATCH(C4227,art_ref,0))&amp;"","Référence inconnue"))</f>
        <v/>
      </c>
      <c r="E4227" s="37" t="n"/>
      <c r="F4227" s="39" t="str">
        <f>IF(C4227="","",IFERROR(INDEX(art_unit,MATCH(C4227,art_ref,0))&amp;"",""))</f>
        <v/>
      </c>
      <c r="G4227" s="37" t="n"/>
      <c r="H4227" s="37" t="n"/>
      <c r="I4227" s="37" t="n"/>
      <c r="J4227" s="40" t="str">
        <f>IF(OR(C4227="",NOT(ISNUMBER(E4227))),"",IFERROR(E4227*N(INDEX(art_price,MATCH(C4227,art_ref,0))),""))</f>
        <v/>
      </c>
      <c r="K4227" s="39" t="str">
        <f>IF(OR(C4227="",NOT(ISNUMBER(E4227))),"",IFERROR(ROUND(N(INDEX(art_init,MATCH(C4227,art_ref,0)))+SUMIFS($E$5:E4227,$C$5:C4227,C4227,$B$5:B4227,"Entrée")-SUMIFS($E$5:E4227,$C$5:C4227,C4227,$B$5:B4227,"Sortie"),6),""))</f>
        <v/>
      </c>
      <c r="L4227" s="39" t="str">
        <f>IF(COUNTA(A4227:C4227,E4227)=0,"",IF(COUNTA(A4227:C4227,E4227)&lt;4,"Ligne incomplète",IF(NOT(ISNUMBER(A4227)),"Date invalide",IF(AND(B4227&lt;&gt;"Entrée",B4227&lt;&gt;"Sortie"),"Type inconnu",IF(ISNA(MATCH(C4227,art_ref,0)),"Référence inconnue",IF(OR(NOT(ISNUMBER(E4227)),N(E4227)&lt;=0),"Quantité invalide",IF(K4227&lt;0,"Stock négatif",IF(AND(ISNUMBER(A4226),A4227&lt;A4226),"Date hors ordre","OK"))))))))</f>
        <v/>
      </c>
      <c r="M4227" s="39" t="str">
        <f>IF(C4227="","",C4227&amp;"#"&amp;COUNTIF($C$5:C4227,C4227))</f>
        <v/>
      </c>
    </row>
    <row r="4228">
      <c r="A4228" s="41" t="n"/>
      <c r="B4228" s="37" t="n"/>
      <c r="C4228" s="37" t="n"/>
      <c r="D4228" s="39" t="str">
        <f>IF(C4228="","",IFERROR(INDEX(art_des,MATCH(C4228,art_ref,0))&amp;"","Référence inconnue"))</f>
        <v/>
      </c>
      <c r="E4228" s="37" t="n"/>
      <c r="F4228" s="39" t="str">
        <f>IF(C4228="","",IFERROR(INDEX(art_unit,MATCH(C4228,art_ref,0))&amp;"",""))</f>
        <v/>
      </c>
      <c r="G4228" s="37" t="n"/>
      <c r="H4228" s="37" t="n"/>
      <c r="I4228" s="37" t="n"/>
      <c r="J4228" s="40" t="str">
        <f>IF(OR(C4228="",NOT(ISNUMBER(E4228))),"",IFERROR(E4228*N(INDEX(art_price,MATCH(C4228,art_ref,0))),""))</f>
        <v/>
      </c>
      <c r="K4228" s="39" t="str">
        <f>IF(OR(C4228="",NOT(ISNUMBER(E4228))),"",IFERROR(ROUND(N(INDEX(art_init,MATCH(C4228,art_ref,0)))+SUMIFS($E$5:E4228,$C$5:C4228,C4228,$B$5:B4228,"Entrée")-SUMIFS($E$5:E4228,$C$5:C4228,C4228,$B$5:B4228,"Sortie"),6),""))</f>
        <v/>
      </c>
      <c r="L4228" s="39" t="str">
        <f>IF(COUNTA(A4228:C4228,E4228)=0,"",IF(COUNTA(A4228:C4228,E4228)&lt;4,"Ligne incomplète",IF(NOT(ISNUMBER(A4228)),"Date invalide",IF(AND(B4228&lt;&gt;"Entrée",B4228&lt;&gt;"Sortie"),"Type inconnu",IF(ISNA(MATCH(C4228,art_ref,0)),"Référence inconnue",IF(OR(NOT(ISNUMBER(E4228)),N(E4228)&lt;=0),"Quantité invalide",IF(K4228&lt;0,"Stock négatif",IF(AND(ISNUMBER(A4227),A4228&lt;A4227),"Date hors ordre","OK"))))))))</f>
        <v/>
      </c>
      <c r="M4228" s="39" t="str">
        <f>IF(C4228="","",C4228&amp;"#"&amp;COUNTIF($C$5:C4228,C4228))</f>
        <v/>
      </c>
    </row>
    <row r="4229">
      <c r="A4229" s="41" t="n"/>
      <c r="B4229" s="37" t="n"/>
      <c r="C4229" s="37" t="n"/>
      <c r="D4229" s="39" t="str">
        <f>IF(C4229="","",IFERROR(INDEX(art_des,MATCH(C4229,art_ref,0))&amp;"","Référence inconnue"))</f>
        <v/>
      </c>
      <c r="E4229" s="37" t="n"/>
      <c r="F4229" s="39" t="str">
        <f>IF(C4229="","",IFERROR(INDEX(art_unit,MATCH(C4229,art_ref,0))&amp;"",""))</f>
        <v/>
      </c>
      <c r="G4229" s="37" t="n"/>
      <c r="H4229" s="37" t="n"/>
      <c r="I4229" s="37" t="n"/>
      <c r="J4229" s="40" t="str">
        <f>IF(OR(C4229="",NOT(ISNUMBER(E4229))),"",IFERROR(E4229*N(INDEX(art_price,MATCH(C4229,art_ref,0))),""))</f>
        <v/>
      </c>
      <c r="K4229" s="39" t="str">
        <f>IF(OR(C4229="",NOT(ISNUMBER(E4229))),"",IFERROR(ROUND(N(INDEX(art_init,MATCH(C4229,art_ref,0)))+SUMIFS($E$5:E4229,$C$5:C4229,C4229,$B$5:B4229,"Entrée")-SUMIFS($E$5:E4229,$C$5:C4229,C4229,$B$5:B4229,"Sortie"),6),""))</f>
        <v/>
      </c>
      <c r="L4229" s="39" t="str">
        <f>IF(COUNTA(A4229:C4229,E4229)=0,"",IF(COUNTA(A4229:C4229,E4229)&lt;4,"Ligne incomplète",IF(NOT(ISNUMBER(A4229)),"Date invalide",IF(AND(B4229&lt;&gt;"Entrée",B4229&lt;&gt;"Sortie"),"Type inconnu",IF(ISNA(MATCH(C4229,art_ref,0)),"Référence inconnue",IF(OR(NOT(ISNUMBER(E4229)),N(E4229)&lt;=0),"Quantité invalide",IF(K4229&lt;0,"Stock négatif",IF(AND(ISNUMBER(A4228),A4229&lt;A4228),"Date hors ordre","OK"))))))))</f>
        <v/>
      </c>
      <c r="M4229" s="39" t="str">
        <f>IF(C4229="","",C4229&amp;"#"&amp;COUNTIF($C$5:C4229,C4229))</f>
        <v/>
      </c>
    </row>
    <row r="4230">
      <c r="A4230" s="41" t="n"/>
      <c r="B4230" s="37" t="n"/>
      <c r="C4230" s="37" t="n"/>
      <c r="D4230" s="39" t="str">
        <f>IF(C4230="","",IFERROR(INDEX(art_des,MATCH(C4230,art_ref,0))&amp;"","Référence inconnue"))</f>
        <v/>
      </c>
      <c r="E4230" s="37" t="n"/>
      <c r="F4230" s="39" t="str">
        <f>IF(C4230="","",IFERROR(INDEX(art_unit,MATCH(C4230,art_ref,0))&amp;"",""))</f>
        <v/>
      </c>
      <c r="G4230" s="37" t="n"/>
      <c r="H4230" s="37" t="n"/>
      <c r="I4230" s="37" t="n"/>
      <c r="J4230" s="40" t="str">
        <f>IF(OR(C4230="",NOT(ISNUMBER(E4230))),"",IFERROR(E4230*N(INDEX(art_price,MATCH(C4230,art_ref,0))),""))</f>
        <v/>
      </c>
      <c r="K4230" s="39" t="str">
        <f>IF(OR(C4230="",NOT(ISNUMBER(E4230))),"",IFERROR(ROUND(N(INDEX(art_init,MATCH(C4230,art_ref,0)))+SUMIFS($E$5:E4230,$C$5:C4230,C4230,$B$5:B4230,"Entrée")-SUMIFS($E$5:E4230,$C$5:C4230,C4230,$B$5:B4230,"Sortie"),6),""))</f>
        <v/>
      </c>
      <c r="L4230" s="39" t="str">
        <f>IF(COUNTA(A4230:C4230,E4230)=0,"",IF(COUNTA(A4230:C4230,E4230)&lt;4,"Ligne incomplète",IF(NOT(ISNUMBER(A4230)),"Date invalide",IF(AND(B4230&lt;&gt;"Entrée",B4230&lt;&gt;"Sortie"),"Type inconnu",IF(ISNA(MATCH(C4230,art_ref,0)),"Référence inconnue",IF(OR(NOT(ISNUMBER(E4230)),N(E4230)&lt;=0),"Quantité invalide",IF(K4230&lt;0,"Stock négatif",IF(AND(ISNUMBER(A4229),A4230&lt;A4229),"Date hors ordre","OK"))))))))</f>
        <v/>
      </c>
      <c r="M4230" s="39" t="str">
        <f>IF(C4230="","",C4230&amp;"#"&amp;COUNTIF($C$5:C4230,C4230))</f>
        <v/>
      </c>
    </row>
    <row r="4231">
      <c r="A4231" s="41" t="n"/>
      <c r="B4231" s="37" t="n"/>
      <c r="C4231" s="37" t="n"/>
      <c r="D4231" s="39" t="str">
        <f>IF(C4231="","",IFERROR(INDEX(art_des,MATCH(C4231,art_ref,0))&amp;"","Référence inconnue"))</f>
        <v/>
      </c>
      <c r="E4231" s="37" t="n"/>
      <c r="F4231" s="39" t="str">
        <f>IF(C4231="","",IFERROR(INDEX(art_unit,MATCH(C4231,art_ref,0))&amp;"",""))</f>
        <v/>
      </c>
      <c r="G4231" s="37" t="n"/>
      <c r="H4231" s="37" t="n"/>
      <c r="I4231" s="37" t="n"/>
      <c r="J4231" s="40" t="str">
        <f>IF(OR(C4231="",NOT(ISNUMBER(E4231))),"",IFERROR(E4231*N(INDEX(art_price,MATCH(C4231,art_ref,0))),""))</f>
        <v/>
      </c>
      <c r="K4231" s="39" t="str">
        <f>IF(OR(C4231="",NOT(ISNUMBER(E4231))),"",IFERROR(ROUND(N(INDEX(art_init,MATCH(C4231,art_ref,0)))+SUMIFS($E$5:E4231,$C$5:C4231,C4231,$B$5:B4231,"Entrée")-SUMIFS($E$5:E4231,$C$5:C4231,C4231,$B$5:B4231,"Sortie"),6),""))</f>
        <v/>
      </c>
      <c r="L4231" s="39" t="str">
        <f>IF(COUNTA(A4231:C4231,E4231)=0,"",IF(COUNTA(A4231:C4231,E4231)&lt;4,"Ligne incomplète",IF(NOT(ISNUMBER(A4231)),"Date invalide",IF(AND(B4231&lt;&gt;"Entrée",B4231&lt;&gt;"Sortie"),"Type inconnu",IF(ISNA(MATCH(C4231,art_ref,0)),"Référence inconnue",IF(OR(NOT(ISNUMBER(E4231)),N(E4231)&lt;=0),"Quantité invalide",IF(K4231&lt;0,"Stock négatif",IF(AND(ISNUMBER(A4230),A4231&lt;A4230),"Date hors ordre","OK"))))))))</f>
        <v/>
      </c>
      <c r="M4231" s="39" t="str">
        <f>IF(C4231="","",C4231&amp;"#"&amp;COUNTIF($C$5:C4231,C4231))</f>
        <v/>
      </c>
    </row>
    <row r="4232">
      <c r="A4232" s="41" t="n"/>
      <c r="B4232" s="37" t="n"/>
      <c r="C4232" s="37" t="n"/>
      <c r="D4232" s="39" t="str">
        <f>IF(C4232="","",IFERROR(INDEX(art_des,MATCH(C4232,art_ref,0))&amp;"","Référence inconnue"))</f>
        <v/>
      </c>
      <c r="E4232" s="37" t="n"/>
      <c r="F4232" s="39" t="str">
        <f>IF(C4232="","",IFERROR(INDEX(art_unit,MATCH(C4232,art_ref,0))&amp;"",""))</f>
        <v/>
      </c>
      <c r="G4232" s="37" t="n"/>
      <c r="H4232" s="37" t="n"/>
      <c r="I4232" s="37" t="n"/>
      <c r="J4232" s="40" t="str">
        <f>IF(OR(C4232="",NOT(ISNUMBER(E4232))),"",IFERROR(E4232*N(INDEX(art_price,MATCH(C4232,art_ref,0))),""))</f>
        <v/>
      </c>
      <c r="K4232" s="39" t="str">
        <f>IF(OR(C4232="",NOT(ISNUMBER(E4232))),"",IFERROR(ROUND(N(INDEX(art_init,MATCH(C4232,art_ref,0)))+SUMIFS($E$5:E4232,$C$5:C4232,C4232,$B$5:B4232,"Entrée")-SUMIFS($E$5:E4232,$C$5:C4232,C4232,$B$5:B4232,"Sortie"),6),""))</f>
        <v/>
      </c>
      <c r="L4232" s="39" t="str">
        <f>IF(COUNTA(A4232:C4232,E4232)=0,"",IF(COUNTA(A4232:C4232,E4232)&lt;4,"Ligne incomplète",IF(NOT(ISNUMBER(A4232)),"Date invalide",IF(AND(B4232&lt;&gt;"Entrée",B4232&lt;&gt;"Sortie"),"Type inconnu",IF(ISNA(MATCH(C4232,art_ref,0)),"Référence inconnue",IF(OR(NOT(ISNUMBER(E4232)),N(E4232)&lt;=0),"Quantité invalide",IF(K4232&lt;0,"Stock négatif",IF(AND(ISNUMBER(A4231),A4232&lt;A4231),"Date hors ordre","OK"))))))))</f>
        <v/>
      </c>
      <c r="M4232" s="39" t="str">
        <f>IF(C4232="","",C4232&amp;"#"&amp;COUNTIF($C$5:C4232,C4232))</f>
        <v/>
      </c>
    </row>
    <row r="4233">
      <c r="A4233" s="41" t="n"/>
      <c r="B4233" s="37" t="n"/>
      <c r="C4233" s="37" t="n"/>
      <c r="D4233" s="39" t="str">
        <f>IF(C4233="","",IFERROR(INDEX(art_des,MATCH(C4233,art_ref,0))&amp;"","Référence inconnue"))</f>
        <v/>
      </c>
      <c r="E4233" s="37" t="n"/>
      <c r="F4233" s="39" t="str">
        <f>IF(C4233="","",IFERROR(INDEX(art_unit,MATCH(C4233,art_ref,0))&amp;"",""))</f>
        <v/>
      </c>
      <c r="G4233" s="37" t="n"/>
      <c r="H4233" s="37" t="n"/>
      <c r="I4233" s="37" t="n"/>
      <c r="J4233" s="40" t="str">
        <f>IF(OR(C4233="",NOT(ISNUMBER(E4233))),"",IFERROR(E4233*N(INDEX(art_price,MATCH(C4233,art_ref,0))),""))</f>
        <v/>
      </c>
      <c r="K4233" s="39" t="str">
        <f>IF(OR(C4233="",NOT(ISNUMBER(E4233))),"",IFERROR(ROUND(N(INDEX(art_init,MATCH(C4233,art_ref,0)))+SUMIFS($E$5:E4233,$C$5:C4233,C4233,$B$5:B4233,"Entrée")-SUMIFS($E$5:E4233,$C$5:C4233,C4233,$B$5:B4233,"Sortie"),6),""))</f>
        <v/>
      </c>
      <c r="L4233" s="39" t="str">
        <f>IF(COUNTA(A4233:C4233,E4233)=0,"",IF(COUNTA(A4233:C4233,E4233)&lt;4,"Ligne incomplète",IF(NOT(ISNUMBER(A4233)),"Date invalide",IF(AND(B4233&lt;&gt;"Entrée",B4233&lt;&gt;"Sortie"),"Type inconnu",IF(ISNA(MATCH(C4233,art_ref,0)),"Référence inconnue",IF(OR(NOT(ISNUMBER(E4233)),N(E4233)&lt;=0),"Quantité invalide",IF(K4233&lt;0,"Stock négatif",IF(AND(ISNUMBER(A4232),A4233&lt;A4232),"Date hors ordre","OK"))))))))</f>
        <v/>
      </c>
      <c r="M4233" s="39" t="str">
        <f>IF(C4233="","",C4233&amp;"#"&amp;COUNTIF($C$5:C4233,C4233))</f>
        <v/>
      </c>
    </row>
    <row r="4234">
      <c r="A4234" s="41" t="n"/>
      <c r="B4234" s="37" t="n"/>
      <c r="C4234" s="37" t="n"/>
      <c r="D4234" s="39" t="str">
        <f>IF(C4234="","",IFERROR(INDEX(art_des,MATCH(C4234,art_ref,0))&amp;"","Référence inconnue"))</f>
        <v/>
      </c>
      <c r="E4234" s="37" t="n"/>
      <c r="F4234" s="39" t="str">
        <f>IF(C4234="","",IFERROR(INDEX(art_unit,MATCH(C4234,art_ref,0))&amp;"",""))</f>
        <v/>
      </c>
      <c r="G4234" s="37" t="n"/>
      <c r="H4234" s="37" t="n"/>
      <c r="I4234" s="37" t="n"/>
      <c r="J4234" s="40" t="str">
        <f>IF(OR(C4234="",NOT(ISNUMBER(E4234))),"",IFERROR(E4234*N(INDEX(art_price,MATCH(C4234,art_ref,0))),""))</f>
        <v/>
      </c>
      <c r="K4234" s="39" t="str">
        <f>IF(OR(C4234="",NOT(ISNUMBER(E4234))),"",IFERROR(ROUND(N(INDEX(art_init,MATCH(C4234,art_ref,0)))+SUMIFS($E$5:E4234,$C$5:C4234,C4234,$B$5:B4234,"Entrée")-SUMIFS($E$5:E4234,$C$5:C4234,C4234,$B$5:B4234,"Sortie"),6),""))</f>
        <v/>
      </c>
      <c r="L4234" s="39" t="str">
        <f>IF(COUNTA(A4234:C4234,E4234)=0,"",IF(COUNTA(A4234:C4234,E4234)&lt;4,"Ligne incomplète",IF(NOT(ISNUMBER(A4234)),"Date invalide",IF(AND(B4234&lt;&gt;"Entrée",B4234&lt;&gt;"Sortie"),"Type inconnu",IF(ISNA(MATCH(C4234,art_ref,0)),"Référence inconnue",IF(OR(NOT(ISNUMBER(E4234)),N(E4234)&lt;=0),"Quantité invalide",IF(K4234&lt;0,"Stock négatif",IF(AND(ISNUMBER(A4233),A4234&lt;A4233),"Date hors ordre","OK"))))))))</f>
        <v/>
      </c>
      <c r="M4234" s="39" t="str">
        <f>IF(C4234="","",C4234&amp;"#"&amp;COUNTIF($C$5:C4234,C4234))</f>
        <v/>
      </c>
    </row>
    <row r="4235">
      <c r="A4235" s="41" t="n"/>
      <c r="B4235" s="37" t="n"/>
      <c r="C4235" s="37" t="n"/>
      <c r="D4235" s="39" t="str">
        <f>IF(C4235="","",IFERROR(INDEX(art_des,MATCH(C4235,art_ref,0))&amp;"","Référence inconnue"))</f>
        <v/>
      </c>
      <c r="E4235" s="37" t="n"/>
      <c r="F4235" s="39" t="str">
        <f>IF(C4235="","",IFERROR(INDEX(art_unit,MATCH(C4235,art_ref,0))&amp;"",""))</f>
        <v/>
      </c>
      <c r="G4235" s="37" t="n"/>
      <c r="H4235" s="37" t="n"/>
      <c r="I4235" s="37" t="n"/>
      <c r="J4235" s="40" t="str">
        <f>IF(OR(C4235="",NOT(ISNUMBER(E4235))),"",IFERROR(E4235*N(INDEX(art_price,MATCH(C4235,art_ref,0))),""))</f>
        <v/>
      </c>
      <c r="K4235" s="39" t="str">
        <f>IF(OR(C4235="",NOT(ISNUMBER(E4235))),"",IFERROR(ROUND(N(INDEX(art_init,MATCH(C4235,art_ref,0)))+SUMIFS($E$5:E4235,$C$5:C4235,C4235,$B$5:B4235,"Entrée")-SUMIFS($E$5:E4235,$C$5:C4235,C4235,$B$5:B4235,"Sortie"),6),""))</f>
        <v/>
      </c>
      <c r="L4235" s="39" t="str">
        <f>IF(COUNTA(A4235:C4235,E4235)=0,"",IF(COUNTA(A4235:C4235,E4235)&lt;4,"Ligne incomplète",IF(NOT(ISNUMBER(A4235)),"Date invalide",IF(AND(B4235&lt;&gt;"Entrée",B4235&lt;&gt;"Sortie"),"Type inconnu",IF(ISNA(MATCH(C4235,art_ref,0)),"Référence inconnue",IF(OR(NOT(ISNUMBER(E4235)),N(E4235)&lt;=0),"Quantité invalide",IF(K4235&lt;0,"Stock négatif",IF(AND(ISNUMBER(A4234),A4235&lt;A4234),"Date hors ordre","OK"))))))))</f>
        <v/>
      </c>
      <c r="M4235" s="39" t="str">
        <f>IF(C4235="","",C4235&amp;"#"&amp;COUNTIF($C$5:C4235,C4235))</f>
        <v/>
      </c>
    </row>
    <row r="4236">
      <c r="A4236" s="41" t="n"/>
      <c r="B4236" s="37" t="n"/>
      <c r="C4236" s="37" t="n"/>
      <c r="D4236" s="39" t="str">
        <f>IF(C4236="","",IFERROR(INDEX(art_des,MATCH(C4236,art_ref,0))&amp;"","Référence inconnue"))</f>
        <v/>
      </c>
      <c r="E4236" s="37" t="n"/>
      <c r="F4236" s="39" t="str">
        <f>IF(C4236="","",IFERROR(INDEX(art_unit,MATCH(C4236,art_ref,0))&amp;"",""))</f>
        <v/>
      </c>
      <c r="G4236" s="37" t="n"/>
      <c r="H4236" s="37" t="n"/>
      <c r="I4236" s="37" t="n"/>
      <c r="J4236" s="40" t="str">
        <f>IF(OR(C4236="",NOT(ISNUMBER(E4236))),"",IFERROR(E4236*N(INDEX(art_price,MATCH(C4236,art_ref,0))),""))</f>
        <v/>
      </c>
      <c r="K4236" s="39" t="str">
        <f>IF(OR(C4236="",NOT(ISNUMBER(E4236))),"",IFERROR(ROUND(N(INDEX(art_init,MATCH(C4236,art_ref,0)))+SUMIFS($E$5:E4236,$C$5:C4236,C4236,$B$5:B4236,"Entrée")-SUMIFS($E$5:E4236,$C$5:C4236,C4236,$B$5:B4236,"Sortie"),6),""))</f>
        <v/>
      </c>
      <c r="L4236" s="39" t="str">
        <f>IF(COUNTA(A4236:C4236,E4236)=0,"",IF(COUNTA(A4236:C4236,E4236)&lt;4,"Ligne incomplète",IF(NOT(ISNUMBER(A4236)),"Date invalide",IF(AND(B4236&lt;&gt;"Entrée",B4236&lt;&gt;"Sortie"),"Type inconnu",IF(ISNA(MATCH(C4236,art_ref,0)),"Référence inconnue",IF(OR(NOT(ISNUMBER(E4236)),N(E4236)&lt;=0),"Quantité invalide",IF(K4236&lt;0,"Stock négatif",IF(AND(ISNUMBER(A4235),A4236&lt;A4235),"Date hors ordre","OK"))))))))</f>
        <v/>
      </c>
      <c r="M4236" s="39" t="str">
        <f>IF(C4236="","",C4236&amp;"#"&amp;COUNTIF($C$5:C4236,C4236))</f>
        <v/>
      </c>
    </row>
    <row r="4237">
      <c r="A4237" s="41" t="n"/>
      <c r="B4237" s="37" t="n"/>
      <c r="C4237" s="37" t="n"/>
      <c r="D4237" s="39" t="str">
        <f>IF(C4237="","",IFERROR(INDEX(art_des,MATCH(C4237,art_ref,0))&amp;"","Référence inconnue"))</f>
        <v/>
      </c>
      <c r="E4237" s="37" t="n"/>
      <c r="F4237" s="39" t="str">
        <f>IF(C4237="","",IFERROR(INDEX(art_unit,MATCH(C4237,art_ref,0))&amp;"",""))</f>
        <v/>
      </c>
      <c r="G4237" s="37" t="n"/>
      <c r="H4237" s="37" t="n"/>
      <c r="I4237" s="37" t="n"/>
      <c r="J4237" s="40" t="str">
        <f>IF(OR(C4237="",NOT(ISNUMBER(E4237))),"",IFERROR(E4237*N(INDEX(art_price,MATCH(C4237,art_ref,0))),""))</f>
        <v/>
      </c>
      <c r="K4237" s="39" t="str">
        <f>IF(OR(C4237="",NOT(ISNUMBER(E4237))),"",IFERROR(ROUND(N(INDEX(art_init,MATCH(C4237,art_ref,0)))+SUMIFS($E$5:E4237,$C$5:C4237,C4237,$B$5:B4237,"Entrée")-SUMIFS($E$5:E4237,$C$5:C4237,C4237,$B$5:B4237,"Sortie"),6),""))</f>
        <v/>
      </c>
      <c r="L4237" s="39" t="str">
        <f>IF(COUNTA(A4237:C4237,E4237)=0,"",IF(COUNTA(A4237:C4237,E4237)&lt;4,"Ligne incomplète",IF(NOT(ISNUMBER(A4237)),"Date invalide",IF(AND(B4237&lt;&gt;"Entrée",B4237&lt;&gt;"Sortie"),"Type inconnu",IF(ISNA(MATCH(C4237,art_ref,0)),"Référence inconnue",IF(OR(NOT(ISNUMBER(E4237)),N(E4237)&lt;=0),"Quantité invalide",IF(K4237&lt;0,"Stock négatif",IF(AND(ISNUMBER(A4236),A4237&lt;A4236),"Date hors ordre","OK"))))))))</f>
        <v/>
      </c>
      <c r="M4237" s="39" t="str">
        <f>IF(C4237="","",C4237&amp;"#"&amp;COUNTIF($C$5:C4237,C4237))</f>
        <v/>
      </c>
    </row>
    <row r="4238">
      <c r="A4238" s="41" t="n"/>
      <c r="B4238" s="37" t="n"/>
      <c r="C4238" s="37" t="n"/>
      <c r="D4238" s="39" t="str">
        <f>IF(C4238="","",IFERROR(INDEX(art_des,MATCH(C4238,art_ref,0))&amp;"","Référence inconnue"))</f>
        <v/>
      </c>
      <c r="E4238" s="37" t="n"/>
      <c r="F4238" s="39" t="str">
        <f>IF(C4238="","",IFERROR(INDEX(art_unit,MATCH(C4238,art_ref,0))&amp;"",""))</f>
        <v/>
      </c>
      <c r="G4238" s="37" t="n"/>
      <c r="H4238" s="37" t="n"/>
      <c r="I4238" s="37" t="n"/>
      <c r="J4238" s="40" t="str">
        <f>IF(OR(C4238="",NOT(ISNUMBER(E4238))),"",IFERROR(E4238*N(INDEX(art_price,MATCH(C4238,art_ref,0))),""))</f>
        <v/>
      </c>
      <c r="K4238" s="39" t="str">
        <f>IF(OR(C4238="",NOT(ISNUMBER(E4238))),"",IFERROR(ROUND(N(INDEX(art_init,MATCH(C4238,art_ref,0)))+SUMIFS($E$5:E4238,$C$5:C4238,C4238,$B$5:B4238,"Entrée")-SUMIFS($E$5:E4238,$C$5:C4238,C4238,$B$5:B4238,"Sortie"),6),""))</f>
        <v/>
      </c>
      <c r="L4238" s="39" t="str">
        <f>IF(COUNTA(A4238:C4238,E4238)=0,"",IF(COUNTA(A4238:C4238,E4238)&lt;4,"Ligne incomplète",IF(NOT(ISNUMBER(A4238)),"Date invalide",IF(AND(B4238&lt;&gt;"Entrée",B4238&lt;&gt;"Sortie"),"Type inconnu",IF(ISNA(MATCH(C4238,art_ref,0)),"Référence inconnue",IF(OR(NOT(ISNUMBER(E4238)),N(E4238)&lt;=0),"Quantité invalide",IF(K4238&lt;0,"Stock négatif",IF(AND(ISNUMBER(A4237),A4238&lt;A4237),"Date hors ordre","OK"))))))))</f>
        <v/>
      </c>
      <c r="M4238" s="39" t="str">
        <f>IF(C4238="","",C4238&amp;"#"&amp;COUNTIF($C$5:C4238,C4238))</f>
        <v/>
      </c>
    </row>
    <row r="4239">
      <c r="A4239" s="41" t="n"/>
      <c r="B4239" s="37" t="n"/>
      <c r="C4239" s="37" t="n"/>
      <c r="D4239" s="39" t="str">
        <f>IF(C4239="","",IFERROR(INDEX(art_des,MATCH(C4239,art_ref,0))&amp;"","Référence inconnue"))</f>
        <v/>
      </c>
      <c r="E4239" s="37" t="n"/>
      <c r="F4239" s="39" t="str">
        <f>IF(C4239="","",IFERROR(INDEX(art_unit,MATCH(C4239,art_ref,0))&amp;"",""))</f>
        <v/>
      </c>
      <c r="G4239" s="37" t="n"/>
      <c r="H4239" s="37" t="n"/>
      <c r="I4239" s="37" t="n"/>
      <c r="J4239" s="40" t="str">
        <f>IF(OR(C4239="",NOT(ISNUMBER(E4239))),"",IFERROR(E4239*N(INDEX(art_price,MATCH(C4239,art_ref,0))),""))</f>
        <v/>
      </c>
      <c r="K4239" s="39" t="str">
        <f>IF(OR(C4239="",NOT(ISNUMBER(E4239))),"",IFERROR(ROUND(N(INDEX(art_init,MATCH(C4239,art_ref,0)))+SUMIFS($E$5:E4239,$C$5:C4239,C4239,$B$5:B4239,"Entrée")-SUMIFS($E$5:E4239,$C$5:C4239,C4239,$B$5:B4239,"Sortie"),6),""))</f>
        <v/>
      </c>
      <c r="L4239" s="39" t="str">
        <f>IF(COUNTA(A4239:C4239,E4239)=0,"",IF(COUNTA(A4239:C4239,E4239)&lt;4,"Ligne incomplète",IF(NOT(ISNUMBER(A4239)),"Date invalide",IF(AND(B4239&lt;&gt;"Entrée",B4239&lt;&gt;"Sortie"),"Type inconnu",IF(ISNA(MATCH(C4239,art_ref,0)),"Référence inconnue",IF(OR(NOT(ISNUMBER(E4239)),N(E4239)&lt;=0),"Quantité invalide",IF(K4239&lt;0,"Stock négatif",IF(AND(ISNUMBER(A4238),A4239&lt;A4238),"Date hors ordre","OK"))))))))</f>
        <v/>
      </c>
      <c r="M4239" s="39" t="str">
        <f>IF(C4239="","",C4239&amp;"#"&amp;COUNTIF($C$5:C4239,C4239))</f>
        <v/>
      </c>
    </row>
    <row r="4240">
      <c r="A4240" s="41" t="n"/>
      <c r="B4240" s="37" t="n"/>
      <c r="C4240" s="37" t="n"/>
      <c r="D4240" s="39" t="str">
        <f>IF(C4240="","",IFERROR(INDEX(art_des,MATCH(C4240,art_ref,0))&amp;"","Référence inconnue"))</f>
        <v/>
      </c>
      <c r="E4240" s="37" t="n"/>
      <c r="F4240" s="39" t="str">
        <f>IF(C4240="","",IFERROR(INDEX(art_unit,MATCH(C4240,art_ref,0))&amp;"",""))</f>
        <v/>
      </c>
      <c r="G4240" s="37" t="n"/>
      <c r="H4240" s="37" t="n"/>
      <c r="I4240" s="37" t="n"/>
      <c r="J4240" s="40" t="str">
        <f>IF(OR(C4240="",NOT(ISNUMBER(E4240))),"",IFERROR(E4240*N(INDEX(art_price,MATCH(C4240,art_ref,0))),""))</f>
        <v/>
      </c>
      <c r="K4240" s="39" t="str">
        <f>IF(OR(C4240="",NOT(ISNUMBER(E4240))),"",IFERROR(ROUND(N(INDEX(art_init,MATCH(C4240,art_ref,0)))+SUMIFS($E$5:E4240,$C$5:C4240,C4240,$B$5:B4240,"Entrée")-SUMIFS($E$5:E4240,$C$5:C4240,C4240,$B$5:B4240,"Sortie"),6),""))</f>
        <v/>
      </c>
      <c r="L4240" s="39" t="str">
        <f>IF(COUNTA(A4240:C4240,E4240)=0,"",IF(COUNTA(A4240:C4240,E4240)&lt;4,"Ligne incomplète",IF(NOT(ISNUMBER(A4240)),"Date invalide",IF(AND(B4240&lt;&gt;"Entrée",B4240&lt;&gt;"Sortie"),"Type inconnu",IF(ISNA(MATCH(C4240,art_ref,0)),"Référence inconnue",IF(OR(NOT(ISNUMBER(E4240)),N(E4240)&lt;=0),"Quantité invalide",IF(K4240&lt;0,"Stock négatif",IF(AND(ISNUMBER(A4239),A4240&lt;A4239),"Date hors ordre","OK"))))))))</f>
        <v/>
      </c>
      <c r="M4240" s="39" t="str">
        <f>IF(C4240="","",C4240&amp;"#"&amp;COUNTIF($C$5:C4240,C4240))</f>
        <v/>
      </c>
    </row>
    <row r="4241">
      <c r="A4241" s="41" t="n"/>
      <c r="B4241" s="37" t="n"/>
      <c r="C4241" s="37" t="n"/>
      <c r="D4241" s="39" t="str">
        <f>IF(C4241="","",IFERROR(INDEX(art_des,MATCH(C4241,art_ref,0))&amp;"","Référence inconnue"))</f>
        <v/>
      </c>
      <c r="E4241" s="37" t="n"/>
      <c r="F4241" s="39" t="str">
        <f>IF(C4241="","",IFERROR(INDEX(art_unit,MATCH(C4241,art_ref,0))&amp;"",""))</f>
        <v/>
      </c>
      <c r="G4241" s="37" t="n"/>
      <c r="H4241" s="37" t="n"/>
      <c r="I4241" s="37" t="n"/>
      <c r="J4241" s="40" t="str">
        <f>IF(OR(C4241="",NOT(ISNUMBER(E4241))),"",IFERROR(E4241*N(INDEX(art_price,MATCH(C4241,art_ref,0))),""))</f>
        <v/>
      </c>
      <c r="K4241" s="39" t="str">
        <f>IF(OR(C4241="",NOT(ISNUMBER(E4241))),"",IFERROR(ROUND(N(INDEX(art_init,MATCH(C4241,art_ref,0)))+SUMIFS($E$5:E4241,$C$5:C4241,C4241,$B$5:B4241,"Entrée")-SUMIFS($E$5:E4241,$C$5:C4241,C4241,$B$5:B4241,"Sortie"),6),""))</f>
        <v/>
      </c>
      <c r="L4241" s="39" t="str">
        <f>IF(COUNTA(A4241:C4241,E4241)=0,"",IF(COUNTA(A4241:C4241,E4241)&lt;4,"Ligne incomplète",IF(NOT(ISNUMBER(A4241)),"Date invalide",IF(AND(B4241&lt;&gt;"Entrée",B4241&lt;&gt;"Sortie"),"Type inconnu",IF(ISNA(MATCH(C4241,art_ref,0)),"Référence inconnue",IF(OR(NOT(ISNUMBER(E4241)),N(E4241)&lt;=0),"Quantité invalide",IF(K4241&lt;0,"Stock négatif",IF(AND(ISNUMBER(A4240),A4241&lt;A4240),"Date hors ordre","OK"))))))))</f>
        <v/>
      </c>
      <c r="M4241" s="39" t="str">
        <f>IF(C4241="","",C4241&amp;"#"&amp;COUNTIF($C$5:C4241,C4241))</f>
        <v/>
      </c>
    </row>
    <row r="4242">
      <c r="A4242" s="41" t="n"/>
      <c r="B4242" s="37" t="n"/>
      <c r="C4242" s="37" t="n"/>
      <c r="D4242" s="39" t="str">
        <f>IF(C4242="","",IFERROR(INDEX(art_des,MATCH(C4242,art_ref,0))&amp;"","Référence inconnue"))</f>
        <v/>
      </c>
      <c r="E4242" s="37" t="n"/>
      <c r="F4242" s="39" t="str">
        <f>IF(C4242="","",IFERROR(INDEX(art_unit,MATCH(C4242,art_ref,0))&amp;"",""))</f>
        <v/>
      </c>
      <c r="G4242" s="37" t="n"/>
      <c r="H4242" s="37" t="n"/>
      <c r="I4242" s="37" t="n"/>
      <c r="J4242" s="40" t="str">
        <f>IF(OR(C4242="",NOT(ISNUMBER(E4242))),"",IFERROR(E4242*N(INDEX(art_price,MATCH(C4242,art_ref,0))),""))</f>
        <v/>
      </c>
      <c r="K4242" s="39" t="str">
        <f>IF(OR(C4242="",NOT(ISNUMBER(E4242))),"",IFERROR(ROUND(N(INDEX(art_init,MATCH(C4242,art_ref,0)))+SUMIFS($E$5:E4242,$C$5:C4242,C4242,$B$5:B4242,"Entrée")-SUMIFS($E$5:E4242,$C$5:C4242,C4242,$B$5:B4242,"Sortie"),6),""))</f>
        <v/>
      </c>
      <c r="L4242" s="39" t="str">
        <f>IF(COUNTA(A4242:C4242,E4242)=0,"",IF(COUNTA(A4242:C4242,E4242)&lt;4,"Ligne incomplète",IF(NOT(ISNUMBER(A4242)),"Date invalide",IF(AND(B4242&lt;&gt;"Entrée",B4242&lt;&gt;"Sortie"),"Type inconnu",IF(ISNA(MATCH(C4242,art_ref,0)),"Référence inconnue",IF(OR(NOT(ISNUMBER(E4242)),N(E4242)&lt;=0),"Quantité invalide",IF(K4242&lt;0,"Stock négatif",IF(AND(ISNUMBER(A4241),A4242&lt;A4241),"Date hors ordre","OK"))))))))</f>
        <v/>
      </c>
      <c r="M4242" s="39" t="str">
        <f>IF(C4242="","",C4242&amp;"#"&amp;COUNTIF($C$5:C4242,C4242))</f>
        <v/>
      </c>
    </row>
    <row r="4243">
      <c r="A4243" s="41" t="n"/>
      <c r="B4243" s="37" t="n"/>
      <c r="C4243" s="37" t="n"/>
      <c r="D4243" s="39" t="str">
        <f>IF(C4243="","",IFERROR(INDEX(art_des,MATCH(C4243,art_ref,0))&amp;"","Référence inconnue"))</f>
        <v/>
      </c>
      <c r="E4243" s="37" t="n"/>
      <c r="F4243" s="39" t="str">
        <f>IF(C4243="","",IFERROR(INDEX(art_unit,MATCH(C4243,art_ref,0))&amp;"",""))</f>
        <v/>
      </c>
      <c r="G4243" s="37" t="n"/>
      <c r="H4243" s="37" t="n"/>
      <c r="I4243" s="37" t="n"/>
      <c r="J4243" s="40" t="str">
        <f>IF(OR(C4243="",NOT(ISNUMBER(E4243))),"",IFERROR(E4243*N(INDEX(art_price,MATCH(C4243,art_ref,0))),""))</f>
        <v/>
      </c>
      <c r="K4243" s="39" t="str">
        <f>IF(OR(C4243="",NOT(ISNUMBER(E4243))),"",IFERROR(ROUND(N(INDEX(art_init,MATCH(C4243,art_ref,0)))+SUMIFS($E$5:E4243,$C$5:C4243,C4243,$B$5:B4243,"Entrée")-SUMIFS($E$5:E4243,$C$5:C4243,C4243,$B$5:B4243,"Sortie"),6),""))</f>
        <v/>
      </c>
      <c r="L4243" s="39" t="str">
        <f>IF(COUNTA(A4243:C4243,E4243)=0,"",IF(COUNTA(A4243:C4243,E4243)&lt;4,"Ligne incomplète",IF(NOT(ISNUMBER(A4243)),"Date invalide",IF(AND(B4243&lt;&gt;"Entrée",B4243&lt;&gt;"Sortie"),"Type inconnu",IF(ISNA(MATCH(C4243,art_ref,0)),"Référence inconnue",IF(OR(NOT(ISNUMBER(E4243)),N(E4243)&lt;=0),"Quantité invalide",IF(K4243&lt;0,"Stock négatif",IF(AND(ISNUMBER(A4242),A4243&lt;A4242),"Date hors ordre","OK"))))))))</f>
        <v/>
      </c>
      <c r="M4243" s="39" t="str">
        <f>IF(C4243="","",C4243&amp;"#"&amp;COUNTIF($C$5:C4243,C4243))</f>
        <v/>
      </c>
    </row>
    <row r="4244">
      <c r="A4244" s="41" t="n"/>
      <c r="B4244" s="37" t="n"/>
      <c r="C4244" s="37" t="n"/>
      <c r="D4244" s="39" t="str">
        <f>IF(C4244="","",IFERROR(INDEX(art_des,MATCH(C4244,art_ref,0))&amp;"","Référence inconnue"))</f>
        <v/>
      </c>
      <c r="E4244" s="37" t="n"/>
      <c r="F4244" s="39" t="str">
        <f>IF(C4244="","",IFERROR(INDEX(art_unit,MATCH(C4244,art_ref,0))&amp;"",""))</f>
        <v/>
      </c>
      <c r="G4244" s="37" t="n"/>
      <c r="H4244" s="37" t="n"/>
      <c r="I4244" s="37" t="n"/>
      <c r="J4244" s="40" t="str">
        <f>IF(OR(C4244="",NOT(ISNUMBER(E4244))),"",IFERROR(E4244*N(INDEX(art_price,MATCH(C4244,art_ref,0))),""))</f>
        <v/>
      </c>
      <c r="K4244" s="39" t="str">
        <f>IF(OR(C4244="",NOT(ISNUMBER(E4244))),"",IFERROR(ROUND(N(INDEX(art_init,MATCH(C4244,art_ref,0)))+SUMIFS($E$5:E4244,$C$5:C4244,C4244,$B$5:B4244,"Entrée")-SUMIFS($E$5:E4244,$C$5:C4244,C4244,$B$5:B4244,"Sortie"),6),""))</f>
        <v/>
      </c>
      <c r="L4244" s="39" t="str">
        <f>IF(COUNTA(A4244:C4244,E4244)=0,"",IF(COUNTA(A4244:C4244,E4244)&lt;4,"Ligne incomplète",IF(NOT(ISNUMBER(A4244)),"Date invalide",IF(AND(B4244&lt;&gt;"Entrée",B4244&lt;&gt;"Sortie"),"Type inconnu",IF(ISNA(MATCH(C4244,art_ref,0)),"Référence inconnue",IF(OR(NOT(ISNUMBER(E4244)),N(E4244)&lt;=0),"Quantité invalide",IF(K4244&lt;0,"Stock négatif",IF(AND(ISNUMBER(A4243),A4244&lt;A4243),"Date hors ordre","OK"))))))))</f>
        <v/>
      </c>
      <c r="M4244" s="39" t="str">
        <f>IF(C4244="","",C4244&amp;"#"&amp;COUNTIF($C$5:C4244,C4244))</f>
        <v/>
      </c>
    </row>
    <row r="4245">
      <c r="A4245" s="41" t="n"/>
      <c r="B4245" s="37" t="n"/>
      <c r="C4245" s="37" t="n"/>
      <c r="D4245" s="39" t="str">
        <f>IF(C4245="","",IFERROR(INDEX(art_des,MATCH(C4245,art_ref,0))&amp;"","Référence inconnue"))</f>
        <v/>
      </c>
      <c r="E4245" s="37" t="n"/>
      <c r="F4245" s="39" t="str">
        <f>IF(C4245="","",IFERROR(INDEX(art_unit,MATCH(C4245,art_ref,0))&amp;"",""))</f>
        <v/>
      </c>
      <c r="G4245" s="37" t="n"/>
      <c r="H4245" s="37" t="n"/>
      <c r="I4245" s="37" t="n"/>
      <c r="J4245" s="40" t="str">
        <f>IF(OR(C4245="",NOT(ISNUMBER(E4245))),"",IFERROR(E4245*N(INDEX(art_price,MATCH(C4245,art_ref,0))),""))</f>
        <v/>
      </c>
      <c r="K4245" s="39" t="str">
        <f>IF(OR(C4245="",NOT(ISNUMBER(E4245))),"",IFERROR(ROUND(N(INDEX(art_init,MATCH(C4245,art_ref,0)))+SUMIFS($E$5:E4245,$C$5:C4245,C4245,$B$5:B4245,"Entrée")-SUMIFS($E$5:E4245,$C$5:C4245,C4245,$B$5:B4245,"Sortie"),6),""))</f>
        <v/>
      </c>
      <c r="L4245" s="39" t="str">
        <f>IF(COUNTA(A4245:C4245,E4245)=0,"",IF(COUNTA(A4245:C4245,E4245)&lt;4,"Ligne incomplète",IF(NOT(ISNUMBER(A4245)),"Date invalide",IF(AND(B4245&lt;&gt;"Entrée",B4245&lt;&gt;"Sortie"),"Type inconnu",IF(ISNA(MATCH(C4245,art_ref,0)),"Référence inconnue",IF(OR(NOT(ISNUMBER(E4245)),N(E4245)&lt;=0),"Quantité invalide",IF(K4245&lt;0,"Stock négatif",IF(AND(ISNUMBER(A4244),A4245&lt;A4244),"Date hors ordre","OK"))))))))</f>
        <v/>
      </c>
      <c r="M4245" s="39" t="str">
        <f>IF(C4245="","",C4245&amp;"#"&amp;COUNTIF($C$5:C4245,C4245))</f>
        <v/>
      </c>
    </row>
    <row r="4246">
      <c r="A4246" s="41" t="n"/>
      <c r="B4246" s="37" t="n"/>
      <c r="C4246" s="37" t="n"/>
      <c r="D4246" s="39" t="str">
        <f>IF(C4246="","",IFERROR(INDEX(art_des,MATCH(C4246,art_ref,0))&amp;"","Référence inconnue"))</f>
        <v/>
      </c>
      <c r="E4246" s="37" t="n"/>
      <c r="F4246" s="39" t="str">
        <f>IF(C4246="","",IFERROR(INDEX(art_unit,MATCH(C4246,art_ref,0))&amp;"",""))</f>
        <v/>
      </c>
      <c r="G4246" s="37" t="n"/>
      <c r="H4246" s="37" t="n"/>
      <c r="I4246" s="37" t="n"/>
      <c r="J4246" s="40" t="str">
        <f>IF(OR(C4246="",NOT(ISNUMBER(E4246))),"",IFERROR(E4246*N(INDEX(art_price,MATCH(C4246,art_ref,0))),""))</f>
        <v/>
      </c>
      <c r="K4246" s="39" t="str">
        <f>IF(OR(C4246="",NOT(ISNUMBER(E4246))),"",IFERROR(ROUND(N(INDEX(art_init,MATCH(C4246,art_ref,0)))+SUMIFS($E$5:E4246,$C$5:C4246,C4246,$B$5:B4246,"Entrée")-SUMIFS($E$5:E4246,$C$5:C4246,C4246,$B$5:B4246,"Sortie"),6),""))</f>
        <v/>
      </c>
      <c r="L4246" s="39" t="str">
        <f>IF(COUNTA(A4246:C4246,E4246)=0,"",IF(COUNTA(A4246:C4246,E4246)&lt;4,"Ligne incomplète",IF(NOT(ISNUMBER(A4246)),"Date invalide",IF(AND(B4246&lt;&gt;"Entrée",B4246&lt;&gt;"Sortie"),"Type inconnu",IF(ISNA(MATCH(C4246,art_ref,0)),"Référence inconnue",IF(OR(NOT(ISNUMBER(E4246)),N(E4246)&lt;=0),"Quantité invalide",IF(K4246&lt;0,"Stock négatif",IF(AND(ISNUMBER(A4245),A4246&lt;A4245),"Date hors ordre","OK"))))))))</f>
        <v/>
      </c>
      <c r="M4246" s="39" t="str">
        <f>IF(C4246="","",C4246&amp;"#"&amp;COUNTIF($C$5:C4246,C4246))</f>
        <v/>
      </c>
    </row>
    <row r="4247">
      <c r="A4247" s="41" t="n"/>
      <c r="B4247" s="37" t="n"/>
      <c r="C4247" s="37" t="n"/>
      <c r="D4247" s="39" t="str">
        <f>IF(C4247="","",IFERROR(INDEX(art_des,MATCH(C4247,art_ref,0))&amp;"","Référence inconnue"))</f>
        <v/>
      </c>
      <c r="E4247" s="37" t="n"/>
      <c r="F4247" s="39" t="str">
        <f>IF(C4247="","",IFERROR(INDEX(art_unit,MATCH(C4247,art_ref,0))&amp;"",""))</f>
        <v/>
      </c>
      <c r="G4247" s="37" t="n"/>
      <c r="H4247" s="37" t="n"/>
      <c r="I4247" s="37" t="n"/>
      <c r="J4247" s="40" t="str">
        <f>IF(OR(C4247="",NOT(ISNUMBER(E4247))),"",IFERROR(E4247*N(INDEX(art_price,MATCH(C4247,art_ref,0))),""))</f>
        <v/>
      </c>
      <c r="K4247" s="39" t="str">
        <f>IF(OR(C4247="",NOT(ISNUMBER(E4247))),"",IFERROR(ROUND(N(INDEX(art_init,MATCH(C4247,art_ref,0)))+SUMIFS($E$5:E4247,$C$5:C4247,C4247,$B$5:B4247,"Entrée")-SUMIFS($E$5:E4247,$C$5:C4247,C4247,$B$5:B4247,"Sortie"),6),""))</f>
        <v/>
      </c>
      <c r="L4247" s="39" t="str">
        <f>IF(COUNTA(A4247:C4247,E4247)=0,"",IF(COUNTA(A4247:C4247,E4247)&lt;4,"Ligne incomplète",IF(NOT(ISNUMBER(A4247)),"Date invalide",IF(AND(B4247&lt;&gt;"Entrée",B4247&lt;&gt;"Sortie"),"Type inconnu",IF(ISNA(MATCH(C4247,art_ref,0)),"Référence inconnue",IF(OR(NOT(ISNUMBER(E4247)),N(E4247)&lt;=0),"Quantité invalide",IF(K4247&lt;0,"Stock négatif",IF(AND(ISNUMBER(A4246),A4247&lt;A4246),"Date hors ordre","OK"))))))))</f>
        <v/>
      </c>
      <c r="M4247" s="39" t="str">
        <f>IF(C4247="","",C4247&amp;"#"&amp;COUNTIF($C$5:C4247,C4247))</f>
        <v/>
      </c>
    </row>
    <row r="4248">
      <c r="A4248" s="41" t="n"/>
      <c r="B4248" s="37" t="n"/>
      <c r="C4248" s="37" t="n"/>
      <c r="D4248" s="39" t="str">
        <f>IF(C4248="","",IFERROR(INDEX(art_des,MATCH(C4248,art_ref,0))&amp;"","Référence inconnue"))</f>
        <v/>
      </c>
      <c r="E4248" s="37" t="n"/>
      <c r="F4248" s="39" t="str">
        <f>IF(C4248="","",IFERROR(INDEX(art_unit,MATCH(C4248,art_ref,0))&amp;"",""))</f>
        <v/>
      </c>
      <c r="G4248" s="37" t="n"/>
      <c r="H4248" s="37" t="n"/>
      <c r="I4248" s="37" t="n"/>
      <c r="J4248" s="40" t="str">
        <f>IF(OR(C4248="",NOT(ISNUMBER(E4248))),"",IFERROR(E4248*N(INDEX(art_price,MATCH(C4248,art_ref,0))),""))</f>
        <v/>
      </c>
      <c r="K4248" s="39" t="str">
        <f>IF(OR(C4248="",NOT(ISNUMBER(E4248))),"",IFERROR(ROUND(N(INDEX(art_init,MATCH(C4248,art_ref,0)))+SUMIFS($E$5:E4248,$C$5:C4248,C4248,$B$5:B4248,"Entrée")-SUMIFS($E$5:E4248,$C$5:C4248,C4248,$B$5:B4248,"Sortie"),6),""))</f>
        <v/>
      </c>
      <c r="L4248" s="39" t="str">
        <f>IF(COUNTA(A4248:C4248,E4248)=0,"",IF(COUNTA(A4248:C4248,E4248)&lt;4,"Ligne incomplète",IF(NOT(ISNUMBER(A4248)),"Date invalide",IF(AND(B4248&lt;&gt;"Entrée",B4248&lt;&gt;"Sortie"),"Type inconnu",IF(ISNA(MATCH(C4248,art_ref,0)),"Référence inconnue",IF(OR(NOT(ISNUMBER(E4248)),N(E4248)&lt;=0),"Quantité invalide",IF(K4248&lt;0,"Stock négatif",IF(AND(ISNUMBER(A4247),A4248&lt;A4247),"Date hors ordre","OK"))))))))</f>
        <v/>
      </c>
      <c r="M4248" s="39" t="str">
        <f>IF(C4248="","",C4248&amp;"#"&amp;COUNTIF($C$5:C4248,C4248))</f>
        <v/>
      </c>
    </row>
    <row r="4249">
      <c r="A4249" s="41" t="n"/>
      <c r="B4249" s="37" t="n"/>
      <c r="C4249" s="37" t="n"/>
      <c r="D4249" s="39" t="str">
        <f>IF(C4249="","",IFERROR(INDEX(art_des,MATCH(C4249,art_ref,0))&amp;"","Référence inconnue"))</f>
        <v/>
      </c>
      <c r="E4249" s="37" t="n"/>
      <c r="F4249" s="39" t="str">
        <f>IF(C4249="","",IFERROR(INDEX(art_unit,MATCH(C4249,art_ref,0))&amp;"",""))</f>
        <v/>
      </c>
      <c r="G4249" s="37" t="n"/>
      <c r="H4249" s="37" t="n"/>
      <c r="I4249" s="37" t="n"/>
      <c r="J4249" s="40" t="str">
        <f>IF(OR(C4249="",NOT(ISNUMBER(E4249))),"",IFERROR(E4249*N(INDEX(art_price,MATCH(C4249,art_ref,0))),""))</f>
        <v/>
      </c>
      <c r="K4249" s="39" t="str">
        <f>IF(OR(C4249="",NOT(ISNUMBER(E4249))),"",IFERROR(ROUND(N(INDEX(art_init,MATCH(C4249,art_ref,0)))+SUMIFS($E$5:E4249,$C$5:C4249,C4249,$B$5:B4249,"Entrée")-SUMIFS($E$5:E4249,$C$5:C4249,C4249,$B$5:B4249,"Sortie"),6),""))</f>
        <v/>
      </c>
      <c r="L4249" s="39" t="str">
        <f>IF(COUNTA(A4249:C4249,E4249)=0,"",IF(COUNTA(A4249:C4249,E4249)&lt;4,"Ligne incomplète",IF(NOT(ISNUMBER(A4249)),"Date invalide",IF(AND(B4249&lt;&gt;"Entrée",B4249&lt;&gt;"Sortie"),"Type inconnu",IF(ISNA(MATCH(C4249,art_ref,0)),"Référence inconnue",IF(OR(NOT(ISNUMBER(E4249)),N(E4249)&lt;=0),"Quantité invalide",IF(K4249&lt;0,"Stock négatif",IF(AND(ISNUMBER(A4248),A4249&lt;A4248),"Date hors ordre","OK"))))))))</f>
        <v/>
      </c>
      <c r="M4249" s="39" t="str">
        <f>IF(C4249="","",C4249&amp;"#"&amp;COUNTIF($C$5:C4249,C4249))</f>
        <v/>
      </c>
    </row>
    <row r="4250">
      <c r="A4250" s="41" t="n"/>
      <c r="B4250" s="37" t="n"/>
      <c r="C4250" s="37" t="n"/>
      <c r="D4250" s="39" t="str">
        <f>IF(C4250="","",IFERROR(INDEX(art_des,MATCH(C4250,art_ref,0))&amp;"","Référence inconnue"))</f>
        <v/>
      </c>
      <c r="E4250" s="37" t="n"/>
      <c r="F4250" s="39" t="str">
        <f>IF(C4250="","",IFERROR(INDEX(art_unit,MATCH(C4250,art_ref,0))&amp;"",""))</f>
        <v/>
      </c>
      <c r="G4250" s="37" t="n"/>
      <c r="H4250" s="37" t="n"/>
      <c r="I4250" s="37" t="n"/>
      <c r="J4250" s="40" t="str">
        <f>IF(OR(C4250="",NOT(ISNUMBER(E4250))),"",IFERROR(E4250*N(INDEX(art_price,MATCH(C4250,art_ref,0))),""))</f>
        <v/>
      </c>
      <c r="K4250" s="39" t="str">
        <f>IF(OR(C4250="",NOT(ISNUMBER(E4250))),"",IFERROR(ROUND(N(INDEX(art_init,MATCH(C4250,art_ref,0)))+SUMIFS($E$5:E4250,$C$5:C4250,C4250,$B$5:B4250,"Entrée")-SUMIFS($E$5:E4250,$C$5:C4250,C4250,$B$5:B4250,"Sortie"),6),""))</f>
        <v/>
      </c>
      <c r="L4250" s="39" t="str">
        <f>IF(COUNTA(A4250:C4250,E4250)=0,"",IF(COUNTA(A4250:C4250,E4250)&lt;4,"Ligne incomplète",IF(NOT(ISNUMBER(A4250)),"Date invalide",IF(AND(B4250&lt;&gt;"Entrée",B4250&lt;&gt;"Sortie"),"Type inconnu",IF(ISNA(MATCH(C4250,art_ref,0)),"Référence inconnue",IF(OR(NOT(ISNUMBER(E4250)),N(E4250)&lt;=0),"Quantité invalide",IF(K4250&lt;0,"Stock négatif",IF(AND(ISNUMBER(A4249),A4250&lt;A4249),"Date hors ordre","OK"))))))))</f>
        <v/>
      </c>
      <c r="M4250" s="39" t="str">
        <f>IF(C4250="","",C4250&amp;"#"&amp;COUNTIF($C$5:C4250,C4250))</f>
        <v/>
      </c>
    </row>
    <row r="4251">
      <c r="A4251" s="41" t="n"/>
      <c r="B4251" s="37" t="n"/>
      <c r="C4251" s="37" t="n"/>
      <c r="D4251" s="39" t="str">
        <f>IF(C4251="","",IFERROR(INDEX(art_des,MATCH(C4251,art_ref,0))&amp;"","Référence inconnue"))</f>
        <v/>
      </c>
      <c r="E4251" s="37" t="n"/>
      <c r="F4251" s="39" t="str">
        <f>IF(C4251="","",IFERROR(INDEX(art_unit,MATCH(C4251,art_ref,0))&amp;"",""))</f>
        <v/>
      </c>
      <c r="G4251" s="37" t="n"/>
      <c r="H4251" s="37" t="n"/>
      <c r="I4251" s="37" t="n"/>
      <c r="J4251" s="40" t="str">
        <f>IF(OR(C4251="",NOT(ISNUMBER(E4251))),"",IFERROR(E4251*N(INDEX(art_price,MATCH(C4251,art_ref,0))),""))</f>
        <v/>
      </c>
      <c r="K4251" s="39" t="str">
        <f>IF(OR(C4251="",NOT(ISNUMBER(E4251))),"",IFERROR(ROUND(N(INDEX(art_init,MATCH(C4251,art_ref,0)))+SUMIFS($E$5:E4251,$C$5:C4251,C4251,$B$5:B4251,"Entrée")-SUMIFS($E$5:E4251,$C$5:C4251,C4251,$B$5:B4251,"Sortie"),6),""))</f>
        <v/>
      </c>
      <c r="L4251" s="39" t="str">
        <f>IF(COUNTA(A4251:C4251,E4251)=0,"",IF(COUNTA(A4251:C4251,E4251)&lt;4,"Ligne incomplète",IF(NOT(ISNUMBER(A4251)),"Date invalide",IF(AND(B4251&lt;&gt;"Entrée",B4251&lt;&gt;"Sortie"),"Type inconnu",IF(ISNA(MATCH(C4251,art_ref,0)),"Référence inconnue",IF(OR(NOT(ISNUMBER(E4251)),N(E4251)&lt;=0),"Quantité invalide",IF(K4251&lt;0,"Stock négatif",IF(AND(ISNUMBER(A4250),A4251&lt;A4250),"Date hors ordre","OK"))))))))</f>
        <v/>
      </c>
      <c r="M4251" s="39" t="str">
        <f>IF(C4251="","",C4251&amp;"#"&amp;COUNTIF($C$5:C4251,C4251))</f>
        <v/>
      </c>
    </row>
    <row r="4252">
      <c r="A4252" s="41" t="n"/>
      <c r="B4252" s="37" t="n"/>
      <c r="C4252" s="37" t="n"/>
      <c r="D4252" s="39" t="str">
        <f>IF(C4252="","",IFERROR(INDEX(art_des,MATCH(C4252,art_ref,0))&amp;"","Référence inconnue"))</f>
        <v/>
      </c>
      <c r="E4252" s="37" t="n"/>
      <c r="F4252" s="39" t="str">
        <f>IF(C4252="","",IFERROR(INDEX(art_unit,MATCH(C4252,art_ref,0))&amp;"",""))</f>
        <v/>
      </c>
      <c r="G4252" s="37" t="n"/>
      <c r="H4252" s="37" t="n"/>
      <c r="I4252" s="37" t="n"/>
      <c r="J4252" s="40" t="str">
        <f>IF(OR(C4252="",NOT(ISNUMBER(E4252))),"",IFERROR(E4252*N(INDEX(art_price,MATCH(C4252,art_ref,0))),""))</f>
        <v/>
      </c>
      <c r="K4252" s="39" t="str">
        <f>IF(OR(C4252="",NOT(ISNUMBER(E4252))),"",IFERROR(ROUND(N(INDEX(art_init,MATCH(C4252,art_ref,0)))+SUMIFS($E$5:E4252,$C$5:C4252,C4252,$B$5:B4252,"Entrée")-SUMIFS($E$5:E4252,$C$5:C4252,C4252,$B$5:B4252,"Sortie"),6),""))</f>
        <v/>
      </c>
      <c r="L4252" s="39" t="str">
        <f>IF(COUNTA(A4252:C4252,E4252)=0,"",IF(COUNTA(A4252:C4252,E4252)&lt;4,"Ligne incomplète",IF(NOT(ISNUMBER(A4252)),"Date invalide",IF(AND(B4252&lt;&gt;"Entrée",B4252&lt;&gt;"Sortie"),"Type inconnu",IF(ISNA(MATCH(C4252,art_ref,0)),"Référence inconnue",IF(OR(NOT(ISNUMBER(E4252)),N(E4252)&lt;=0),"Quantité invalide",IF(K4252&lt;0,"Stock négatif",IF(AND(ISNUMBER(A4251),A4252&lt;A4251),"Date hors ordre","OK"))))))))</f>
        <v/>
      </c>
      <c r="M4252" s="39" t="str">
        <f>IF(C4252="","",C4252&amp;"#"&amp;COUNTIF($C$5:C4252,C4252))</f>
        <v/>
      </c>
    </row>
    <row r="4253">
      <c r="A4253" s="41" t="n"/>
      <c r="B4253" s="37" t="n"/>
      <c r="C4253" s="37" t="n"/>
      <c r="D4253" s="39" t="str">
        <f>IF(C4253="","",IFERROR(INDEX(art_des,MATCH(C4253,art_ref,0))&amp;"","Référence inconnue"))</f>
        <v/>
      </c>
      <c r="E4253" s="37" t="n"/>
      <c r="F4253" s="39" t="str">
        <f>IF(C4253="","",IFERROR(INDEX(art_unit,MATCH(C4253,art_ref,0))&amp;"",""))</f>
        <v/>
      </c>
      <c r="G4253" s="37" t="n"/>
      <c r="H4253" s="37" t="n"/>
      <c r="I4253" s="37" t="n"/>
      <c r="J4253" s="40" t="str">
        <f>IF(OR(C4253="",NOT(ISNUMBER(E4253))),"",IFERROR(E4253*N(INDEX(art_price,MATCH(C4253,art_ref,0))),""))</f>
        <v/>
      </c>
      <c r="K4253" s="39" t="str">
        <f>IF(OR(C4253="",NOT(ISNUMBER(E4253))),"",IFERROR(ROUND(N(INDEX(art_init,MATCH(C4253,art_ref,0)))+SUMIFS($E$5:E4253,$C$5:C4253,C4253,$B$5:B4253,"Entrée")-SUMIFS($E$5:E4253,$C$5:C4253,C4253,$B$5:B4253,"Sortie"),6),""))</f>
        <v/>
      </c>
      <c r="L4253" s="39" t="str">
        <f>IF(COUNTA(A4253:C4253,E4253)=0,"",IF(COUNTA(A4253:C4253,E4253)&lt;4,"Ligne incomplète",IF(NOT(ISNUMBER(A4253)),"Date invalide",IF(AND(B4253&lt;&gt;"Entrée",B4253&lt;&gt;"Sortie"),"Type inconnu",IF(ISNA(MATCH(C4253,art_ref,0)),"Référence inconnue",IF(OR(NOT(ISNUMBER(E4253)),N(E4253)&lt;=0),"Quantité invalide",IF(K4253&lt;0,"Stock négatif",IF(AND(ISNUMBER(A4252),A4253&lt;A4252),"Date hors ordre","OK"))))))))</f>
        <v/>
      </c>
      <c r="M4253" s="39" t="str">
        <f>IF(C4253="","",C4253&amp;"#"&amp;COUNTIF($C$5:C4253,C4253))</f>
        <v/>
      </c>
    </row>
    <row r="4254">
      <c r="A4254" s="41" t="n"/>
      <c r="B4254" s="37" t="n"/>
      <c r="C4254" s="37" t="n"/>
      <c r="D4254" s="39" t="str">
        <f>IF(C4254="","",IFERROR(INDEX(art_des,MATCH(C4254,art_ref,0))&amp;"","Référence inconnue"))</f>
        <v/>
      </c>
      <c r="E4254" s="37" t="n"/>
      <c r="F4254" s="39" t="str">
        <f>IF(C4254="","",IFERROR(INDEX(art_unit,MATCH(C4254,art_ref,0))&amp;"",""))</f>
        <v/>
      </c>
      <c r="G4254" s="37" t="n"/>
      <c r="H4254" s="37" t="n"/>
      <c r="I4254" s="37" t="n"/>
      <c r="J4254" s="40" t="str">
        <f>IF(OR(C4254="",NOT(ISNUMBER(E4254))),"",IFERROR(E4254*N(INDEX(art_price,MATCH(C4254,art_ref,0))),""))</f>
        <v/>
      </c>
      <c r="K4254" s="39" t="str">
        <f>IF(OR(C4254="",NOT(ISNUMBER(E4254))),"",IFERROR(ROUND(N(INDEX(art_init,MATCH(C4254,art_ref,0)))+SUMIFS($E$5:E4254,$C$5:C4254,C4254,$B$5:B4254,"Entrée")-SUMIFS($E$5:E4254,$C$5:C4254,C4254,$B$5:B4254,"Sortie"),6),""))</f>
        <v/>
      </c>
      <c r="L4254" s="39" t="str">
        <f>IF(COUNTA(A4254:C4254,E4254)=0,"",IF(COUNTA(A4254:C4254,E4254)&lt;4,"Ligne incomplète",IF(NOT(ISNUMBER(A4254)),"Date invalide",IF(AND(B4254&lt;&gt;"Entrée",B4254&lt;&gt;"Sortie"),"Type inconnu",IF(ISNA(MATCH(C4254,art_ref,0)),"Référence inconnue",IF(OR(NOT(ISNUMBER(E4254)),N(E4254)&lt;=0),"Quantité invalide",IF(K4254&lt;0,"Stock négatif",IF(AND(ISNUMBER(A4253),A4254&lt;A4253),"Date hors ordre","OK"))))))))</f>
        <v/>
      </c>
      <c r="M4254" s="39" t="str">
        <f>IF(C4254="","",C4254&amp;"#"&amp;COUNTIF($C$5:C4254,C4254))</f>
        <v/>
      </c>
    </row>
    <row r="4255">
      <c r="A4255" s="41" t="n"/>
      <c r="B4255" s="37" t="n"/>
      <c r="C4255" s="37" t="n"/>
      <c r="D4255" s="39" t="str">
        <f>IF(C4255="","",IFERROR(INDEX(art_des,MATCH(C4255,art_ref,0))&amp;"","Référence inconnue"))</f>
        <v/>
      </c>
      <c r="E4255" s="37" t="n"/>
      <c r="F4255" s="39" t="str">
        <f>IF(C4255="","",IFERROR(INDEX(art_unit,MATCH(C4255,art_ref,0))&amp;"",""))</f>
        <v/>
      </c>
      <c r="G4255" s="37" t="n"/>
      <c r="H4255" s="37" t="n"/>
      <c r="I4255" s="37" t="n"/>
      <c r="J4255" s="40" t="str">
        <f>IF(OR(C4255="",NOT(ISNUMBER(E4255))),"",IFERROR(E4255*N(INDEX(art_price,MATCH(C4255,art_ref,0))),""))</f>
        <v/>
      </c>
      <c r="K4255" s="39" t="str">
        <f>IF(OR(C4255="",NOT(ISNUMBER(E4255))),"",IFERROR(ROUND(N(INDEX(art_init,MATCH(C4255,art_ref,0)))+SUMIFS($E$5:E4255,$C$5:C4255,C4255,$B$5:B4255,"Entrée")-SUMIFS($E$5:E4255,$C$5:C4255,C4255,$B$5:B4255,"Sortie"),6),""))</f>
        <v/>
      </c>
      <c r="L4255" s="39" t="str">
        <f>IF(COUNTA(A4255:C4255,E4255)=0,"",IF(COUNTA(A4255:C4255,E4255)&lt;4,"Ligne incomplète",IF(NOT(ISNUMBER(A4255)),"Date invalide",IF(AND(B4255&lt;&gt;"Entrée",B4255&lt;&gt;"Sortie"),"Type inconnu",IF(ISNA(MATCH(C4255,art_ref,0)),"Référence inconnue",IF(OR(NOT(ISNUMBER(E4255)),N(E4255)&lt;=0),"Quantité invalide",IF(K4255&lt;0,"Stock négatif",IF(AND(ISNUMBER(A4254),A4255&lt;A4254),"Date hors ordre","OK"))))))))</f>
        <v/>
      </c>
      <c r="M4255" s="39" t="str">
        <f>IF(C4255="","",C4255&amp;"#"&amp;COUNTIF($C$5:C4255,C4255))</f>
        <v/>
      </c>
    </row>
    <row r="4256">
      <c r="A4256" s="41" t="n"/>
      <c r="B4256" s="37" t="n"/>
      <c r="C4256" s="37" t="n"/>
      <c r="D4256" s="39" t="str">
        <f>IF(C4256="","",IFERROR(INDEX(art_des,MATCH(C4256,art_ref,0))&amp;"","Référence inconnue"))</f>
        <v/>
      </c>
      <c r="E4256" s="37" t="n"/>
      <c r="F4256" s="39" t="str">
        <f>IF(C4256="","",IFERROR(INDEX(art_unit,MATCH(C4256,art_ref,0))&amp;"",""))</f>
        <v/>
      </c>
      <c r="G4256" s="37" t="n"/>
      <c r="H4256" s="37" t="n"/>
      <c r="I4256" s="37" t="n"/>
      <c r="J4256" s="40" t="str">
        <f>IF(OR(C4256="",NOT(ISNUMBER(E4256))),"",IFERROR(E4256*N(INDEX(art_price,MATCH(C4256,art_ref,0))),""))</f>
        <v/>
      </c>
      <c r="K4256" s="39" t="str">
        <f>IF(OR(C4256="",NOT(ISNUMBER(E4256))),"",IFERROR(ROUND(N(INDEX(art_init,MATCH(C4256,art_ref,0)))+SUMIFS($E$5:E4256,$C$5:C4256,C4256,$B$5:B4256,"Entrée")-SUMIFS($E$5:E4256,$C$5:C4256,C4256,$B$5:B4256,"Sortie"),6),""))</f>
        <v/>
      </c>
      <c r="L4256" s="39" t="str">
        <f>IF(COUNTA(A4256:C4256,E4256)=0,"",IF(COUNTA(A4256:C4256,E4256)&lt;4,"Ligne incomplète",IF(NOT(ISNUMBER(A4256)),"Date invalide",IF(AND(B4256&lt;&gt;"Entrée",B4256&lt;&gt;"Sortie"),"Type inconnu",IF(ISNA(MATCH(C4256,art_ref,0)),"Référence inconnue",IF(OR(NOT(ISNUMBER(E4256)),N(E4256)&lt;=0),"Quantité invalide",IF(K4256&lt;0,"Stock négatif",IF(AND(ISNUMBER(A4255),A4256&lt;A4255),"Date hors ordre","OK"))))))))</f>
        <v/>
      </c>
      <c r="M4256" s="39" t="str">
        <f>IF(C4256="","",C4256&amp;"#"&amp;COUNTIF($C$5:C4256,C4256))</f>
        <v/>
      </c>
    </row>
    <row r="4257">
      <c r="A4257" s="41" t="n"/>
      <c r="B4257" s="37" t="n"/>
      <c r="C4257" s="37" t="n"/>
      <c r="D4257" s="39" t="str">
        <f>IF(C4257="","",IFERROR(INDEX(art_des,MATCH(C4257,art_ref,0))&amp;"","Référence inconnue"))</f>
        <v/>
      </c>
      <c r="E4257" s="37" t="n"/>
      <c r="F4257" s="39" t="str">
        <f>IF(C4257="","",IFERROR(INDEX(art_unit,MATCH(C4257,art_ref,0))&amp;"",""))</f>
        <v/>
      </c>
      <c r="G4257" s="37" t="n"/>
      <c r="H4257" s="37" t="n"/>
      <c r="I4257" s="37" t="n"/>
      <c r="J4257" s="40" t="str">
        <f>IF(OR(C4257="",NOT(ISNUMBER(E4257))),"",IFERROR(E4257*N(INDEX(art_price,MATCH(C4257,art_ref,0))),""))</f>
        <v/>
      </c>
      <c r="K4257" s="39" t="str">
        <f>IF(OR(C4257="",NOT(ISNUMBER(E4257))),"",IFERROR(ROUND(N(INDEX(art_init,MATCH(C4257,art_ref,0)))+SUMIFS($E$5:E4257,$C$5:C4257,C4257,$B$5:B4257,"Entrée")-SUMIFS($E$5:E4257,$C$5:C4257,C4257,$B$5:B4257,"Sortie"),6),""))</f>
        <v/>
      </c>
      <c r="L4257" s="39" t="str">
        <f>IF(COUNTA(A4257:C4257,E4257)=0,"",IF(COUNTA(A4257:C4257,E4257)&lt;4,"Ligne incomplète",IF(NOT(ISNUMBER(A4257)),"Date invalide",IF(AND(B4257&lt;&gt;"Entrée",B4257&lt;&gt;"Sortie"),"Type inconnu",IF(ISNA(MATCH(C4257,art_ref,0)),"Référence inconnue",IF(OR(NOT(ISNUMBER(E4257)),N(E4257)&lt;=0),"Quantité invalide",IF(K4257&lt;0,"Stock négatif",IF(AND(ISNUMBER(A4256),A4257&lt;A4256),"Date hors ordre","OK"))))))))</f>
        <v/>
      </c>
      <c r="M4257" s="39" t="str">
        <f>IF(C4257="","",C4257&amp;"#"&amp;COUNTIF($C$5:C4257,C4257))</f>
        <v/>
      </c>
    </row>
    <row r="4258">
      <c r="A4258" s="41" t="n"/>
      <c r="B4258" s="37" t="n"/>
      <c r="C4258" s="37" t="n"/>
      <c r="D4258" s="39" t="str">
        <f>IF(C4258="","",IFERROR(INDEX(art_des,MATCH(C4258,art_ref,0))&amp;"","Référence inconnue"))</f>
        <v/>
      </c>
      <c r="E4258" s="37" t="n"/>
      <c r="F4258" s="39" t="str">
        <f>IF(C4258="","",IFERROR(INDEX(art_unit,MATCH(C4258,art_ref,0))&amp;"",""))</f>
        <v/>
      </c>
      <c r="G4258" s="37" t="n"/>
      <c r="H4258" s="37" t="n"/>
      <c r="I4258" s="37" t="n"/>
      <c r="J4258" s="40" t="str">
        <f>IF(OR(C4258="",NOT(ISNUMBER(E4258))),"",IFERROR(E4258*N(INDEX(art_price,MATCH(C4258,art_ref,0))),""))</f>
        <v/>
      </c>
      <c r="K4258" s="39" t="str">
        <f>IF(OR(C4258="",NOT(ISNUMBER(E4258))),"",IFERROR(ROUND(N(INDEX(art_init,MATCH(C4258,art_ref,0)))+SUMIFS($E$5:E4258,$C$5:C4258,C4258,$B$5:B4258,"Entrée")-SUMIFS($E$5:E4258,$C$5:C4258,C4258,$B$5:B4258,"Sortie"),6),""))</f>
        <v/>
      </c>
      <c r="L4258" s="39" t="str">
        <f>IF(COUNTA(A4258:C4258,E4258)=0,"",IF(COUNTA(A4258:C4258,E4258)&lt;4,"Ligne incomplète",IF(NOT(ISNUMBER(A4258)),"Date invalide",IF(AND(B4258&lt;&gt;"Entrée",B4258&lt;&gt;"Sortie"),"Type inconnu",IF(ISNA(MATCH(C4258,art_ref,0)),"Référence inconnue",IF(OR(NOT(ISNUMBER(E4258)),N(E4258)&lt;=0),"Quantité invalide",IF(K4258&lt;0,"Stock négatif",IF(AND(ISNUMBER(A4257),A4258&lt;A4257),"Date hors ordre","OK"))))))))</f>
        <v/>
      </c>
      <c r="M4258" s="39" t="str">
        <f>IF(C4258="","",C4258&amp;"#"&amp;COUNTIF($C$5:C4258,C4258))</f>
        <v/>
      </c>
    </row>
    <row r="4259">
      <c r="A4259" s="41" t="n"/>
      <c r="B4259" s="37" t="n"/>
      <c r="C4259" s="37" t="n"/>
      <c r="D4259" s="39" t="str">
        <f>IF(C4259="","",IFERROR(INDEX(art_des,MATCH(C4259,art_ref,0))&amp;"","Référence inconnue"))</f>
        <v/>
      </c>
      <c r="E4259" s="37" t="n"/>
      <c r="F4259" s="39" t="str">
        <f>IF(C4259="","",IFERROR(INDEX(art_unit,MATCH(C4259,art_ref,0))&amp;"",""))</f>
        <v/>
      </c>
      <c r="G4259" s="37" t="n"/>
      <c r="H4259" s="37" t="n"/>
      <c r="I4259" s="37" t="n"/>
      <c r="J4259" s="40" t="str">
        <f>IF(OR(C4259="",NOT(ISNUMBER(E4259))),"",IFERROR(E4259*N(INDEX(art_price,MATCH(C4259,art_ref,0))),""))</f>
        <v/>
      </c>
      <c r="K4259" s="39" t="str">
        <f>IF(OR(C4259="",NOT(ISNUMBER(E4259))),"",IFERROR(ROUND(N(INDEX(art_init,MATCH(C4259,art_ref,0)))+SUMIFS($E$5:E4259,$C$5:C4259,C4259,$B$5:B4259,"Entrée")-SUMIFS($E$5:E4259,$C$5:C4259,C4259,$B$5:B4259,"Sortie"),6),""))</f>
        <v/>
      </c>
      <c r="L4259" s="39" t="str">
        <f>IF(COUNTA(A4259:C4259,E4259)=0,"",IF(COUNTA(A4259:C4259,E4259)&lt;4,"Ligne incomplète",IF(NOT(ISNUMBER(A4259)),"Date invalide",IF(AND(B4259&lt;&gt;"Entrée",B4259&lt;&gt;"Sortie"),"Type inconnu",IF(ISNA(MATCH(C4259,art_ref,0)),"Référence inconnue",IF(OR(NOT(ISNUMBER(E4259)),N(E4259)&lt;=0),"Quantité invalide",IF(K4259&lt;0,"Stock négatif",IF(AND(ISNUMBER(A4258),A4259&lt;A4258),"Date hors ordre","OK"))))))))</f>
        <v/>
      </c>
      <c r="M4259" s="39" t="str">
        <f>IF(C4259="","",C4259&amp;"#"&amp;COUNTIF($C$5:C4259,C4259))</f>
        <v/>
      </c>
    </row>
    <row r="4260">
      <c r="A4260" s="41" t="n"/>
      <c r="B4260" s="37" t="n"/>
      <c r="C4260" s="37" t="n"/>
      <c r="D4260" s="39" t="str">
        <f>IF(C4260="","",IFERROR(INDEX(art_des,MATCH(C4260,art_ref,0))&amp;"","Référence inconnue"))</f>
        <v/>
      </c>
      <c r="E4260" s="37" t="n"/>
      <c r="F4260" s="39" t="str">
        <f>IF(C4260="","",IFERROR(INDEX(art_unit,MATCH(C4260,art_ref,0))&amp;"",""))</f>
        <v/>
      </c>
      <c r="G4260" s="37" t="n"/>
      <c r="H4260" s="37" t="n"/>
      <c r="I4260" s="37" t="n"/>
      <c r="J4260" s="40" t="str">
        <f>IF(OR(C4260="",NOT(ISNUMBER(E4260))),"",IFERROR(E4260*N(INDEX(art_price,MATCH(C4260,art_ref,0))),""))</f>
        <v/>
      </c>
      <c r="K4260" s="39" t="str">
        <f>IF(OR(C4260="",NOT(ISNUMBER(E4260))),"",IFERROR(ROUND(N(INDEX(art_init,MATCH(C4260,art_ref,0)))+SUMIFS($E$5:E4260,$C$5:C4260,C4260,$B$5:B4260,"Entrée")-SUMIFS($E$5:E4260,$C$5:C4260,C4260,$B$5:B4260,"Sortie"),6),""))</f>
        <v/>
      </c>
      <c r="L4260" s="39" t="str">
        <f>IF(COUNTA(A4260:C4260,E4260)=0,"",IF(COUNTA(A4260:C4260,E4260)&lt;4,"Ligne incomplète",IF(NOT(ISNUMBER(A4260)),"Date invalide",IF(AND(B4260&lt;&gt;"Entrée",B4260&lt;&gt;"Sortie"),"Type inconnu",IF(ISNA(MATCH(C4260,art_ref,0)),"Référence inconnue",IF(OR(NOT(ISNUMBER(E4260)),N(E4260)&lt;=0),"Quantité invalide",IF(K4260&lt;0,"Stock négatif",IF(AND(ISNUMBER(A4259),A4260&lt;A4259),"Date hors ordre","OK"))))))))</f>
        <v/>
      </c>
      <c r="M4260" s="39" t="str">
        <f>IF(C4260="","",C4260&amp;"#"&amp;COUNTIF($C$5:C4260,C4260))</f>
        <v/>
      </c>
    </row>
    <row r="4261">
      <c r="A4261" s="41" t="n"/>
      <c r="B4261" s="37" t="n"/>
      <c r="C4261" s="37" t="n"/>
      <c r="D4261" s="39" t="str">
        <f>IF(C4261="","",IFERROR(INDEX(art_des,MATCH(C4261,art_ref,0))&amp;"","Référence inconnue"))</f>
        <v/>
      </c>
      <c r="E4261" s="37" t="n"/>
      <c r="F4261" s="39" t="str">
        <f>IF(C4261="","",IFERROR(INDEX(art_unit,MATCH(C4261,art_ref,0))&amp;"",""))</f>
        <v/>
      </c>
      <c r="G4261" s="37" t="n"/>
      <c r="H4261" s="37" t="n"/>
      <c r="I4261" s="37" t="n"/>
      <c r="J4261" s="40" t="str">
        <f>IF(OR(C4261="",NOT(ISNUMBER(E4261))),"",IFERROR(E4261*N(INDEX(art_price,MATCH(C4261,art_ref,0))),""))</f>
        <v/>
      </c>
      <c r="K4261" s="39" t="str">
        <f>IF(OR(C4261="",NOT(ISNUMBER(E4261))),"",IFERROR(ROUND(N(INDEX(art_init,MATCH(C4261,art_ref,0)))+SUMIFS($E$5:E4261,$C$5:C4261,C4261,$B$5:B4261,"Entrée")-SUMIFS($E$5:E4261,$C$5:C4261,C4261,$B$5:B4261,"Sortie"),6),""))</f>
        <v/>
      </c>
      <c r="L4261" s="39" t="str">
        <f>IF(COUNTA(A4261:C4261,E4261)=0,"",IF(COUNTA(A4261:C4261,E4261)&lt;4,"Ligne incomplète",IF(NOT(ISNUMBER(A4261)),"Date invalide",IF(AND(B4261&lt;&gt;"Entrée",B4261&lt;&gt;"Sortie"),"Type inconnu",IF(ISNA(MATCH(C4261,art_ref,0)),"Référence inconnue",IF(OR(NOT(ISNUMBER(E4261)),N(E4261)&lt;=0),"Quantité invalide",IF(K4261&lt;0,"Stock négatif",IF(AND(ISNUMBER(A4260),A4261&lt;A4260),"Date hors ordre","OK"))))))))</f>
        <v/>
      </c>
      <c r="M4261" s="39" t="str">
        <f>IF(C4261="","",C4261&amp;"#"&amp;COUNTIF($C$5:C4261,C4261))</f>
        <v/>
      </c>
    </row>
    <row r="4262">
      <c r="A4262" s="41" t="n"/>
      <c r="B4262" s="37" t="n"/>
      <c r="C4262" s="37" t="n"/>
      <c r="D4262" s="39" t="str">
        <f>IF(C4262="","",IFERROR(INDEX(art_des,MATCH(C4262,art_ref,0))&amp;"","Référence inconnue"))</f>
        <v/>
      </c>
      <c r="E4262" s="37" t="n"/>
      <c r="F4262" s="39" t="str">
        <f>IF(C4262="","",IFERROR(INDEX(art_unit,MATCH(C4262,art_ref,0))&amp;"",""))</f>
        <v/>
      </c>
      <c r="G4262" s="37" t="n"/>
      <c r="H4262" s="37" t="n"/>
      <c r="I4262" s="37" t="n"/>
      <c r="J4262" s="40" t="str">
        <f>IF(OR(C4262="",NOT(ISNUMBER(E4262))),"",IFERROR(E4262*N(INDEX(art_price,MATCH(C4262,art_ref,0))),""))</f>
        <v/>
      </c>
      <c r="K4262" s="39" t="str">
        <f>IF(OR(C4262="",NOT(ISNUMBER(E4262))),"",IFERROR(ROUND(N(INDEX(art_init,MATCH(C4262,art_ref,0)))+SUMIFS($E$5:E4262,$C$5:C4262,C4262,$B$5:B4262,"Entrée")-SUMIFS($E$5:E4262,$C$5:C4262,C4262,$B$5:B4262,"Sortie"),6),""))</f>
        <v/>
      </c>
      <c r="L4262" s="39" t="str">
        <f>IF(COUNTA(A4262:C4262,E4262)=0,"",IF(COUNTA(A4262:C4262,E4262)&lt;4,"Ligne incomplète",IF(NOT(ISNUMBER(A4262)),"Date invalide",IF(AND(B4262&lt;&gt;"Entrée",B4262&lt;&gt;"Sortie"),"Type inconnu",IF(ISNA(MATCH(C4262,art_ref,0)),"Référence inconnue",IF(OR(NOT(ISNUMBER(E4262)),N(E4262)&lt;=0),"Quantité invalide",IF(K4262&lt;0,"Stock négatif",IF(AND(ISNUMBER(A4261),A4262&lt;A4261),"Date hors ordre","OK"))))))))</f>
        <v/>
      </c>
      <c r="M4262" s="39" t="str">
        <f>IF(C4262="","",C4262&amp;"#"&amp;COUNTIF($C$5:C4262,C4262))</f>
        <v/>
      </c>
    </row>
    <row r="4263">
      <c r="A4263" s="41" t="n"/>
      <c r="B4263" s="37" t="n"/>
      <c r="C4263" s="37" t="n"/>
      <c r="D4263" s="39" t="str">
        <f>IF(C4263="","",IFERROR(INDEX(art_des,MATCH(C4263,art_ref,0))&amp;"","Référence inconnue"))</f>
        <v/>
      </c>
      <c r="E4263" s="37" t="n"/>
      <c r="F4263" s="39" t="str">
        <f>IF(C4263="","",IFERROR(INDEX(art_unit,MATCH(C4263,art_ref,0))&amp;"",""))</f>
        <v/>
      </c>
      <c r="G4263" s="37" t="n"/>
      <c r="H4263" s="37" t="n"/>
      <c r="I4263" s="37" t="n"/>
      <c r="J4263" s="40" t="str">
        <f>IF(OR(C4263="",NOT(ISNUMBER(E4263))),"",IFERROR(E4263*N(INDEX(art_price,MATCH(C4263,art_ref,0))),""))</f>
        <v/>
      </c>
      <c r="K4263" s="39" t="str">
        <f>IF(OR(C4263="",NOT(ISNUMBER(E4263))),"",IFERROR(ROUND(N(INDEX(art_init,MATCH(C4263,art_ref,0)))+SUMIFS($E$5:E4263,$C$5:C4263,C4263,$B$5:B4263,"Entrée")-SUMIFS($E$5:E4263,$C$5:C4263,C4263,$B$5:B4263,"Sortie"),6),""))</f>
        <v/>
      </c>
      <c r="L4263" s="39" t="str">
        <f>IF(COUNTA(A4263:C4263,E4263)=0,"",IF(COUNTA(A4263:C4263,E4263)&lt;4,"Ligne incomplète",IF(NOT(ISNUMBER(A4263)),"Date invalide",IF(AND(B4263&lt;&gt;"Entrée",B4263&lt;&gt;"Sortie"),"Type inconnu",IF(ISNA(MATCH(C4263,art_ref,0)),"Référence inconnue",IF(OR(NOT(ISNUMBER(E4263)),N(E4263)&lt;=0),"Quantité invalide",IF(K4263&lt;0,"Stock négatif",IF(AND(ISNUMBER(A4262),A4263&lt;A4262),"Date hors ordre","OK"))))))))</f>
        <v/>
      </c>
      <c r="M4263" s="39" t="str">
        <f>IF(C4263="","",C4263&amp;"#"&amp;COUNTIF($C$5:C4263,C4263))</f>
        <v/>
      </c>
    </row>
    <row r="4264">
      <c r="A4264" s="41" t="n"/>
      <c r="B4264" s="37" t="n"/>
      <c r="C4264" s="37" t="n"/>
      <c r="D4264" s="39" t="str">
        <f>IF(C4264="","",IFERROR(INDEX(art_des,MATCH(C4264,art_ref,0))&amp;"","Référence inconnue"))</f>
        <v/>
      </c>
      <c r="E4264" s="37" t="n"/>
      <c r="F4264" s="39" t="str">
        <f>IF(C4264="","",IFERROR(INDEX(art_unit,MATCH(C4264,art_ref,0))&amp;"",""))</f>
        <v/>
      </c>
      <c r="G4264" s="37" t="n"/>
      <c r="H4264" s="37" t="n"/>
      <c r="I4264" s="37" t="n"/>
      <c r="J4264" s="40" t="str">
        <f>IF(OR(C4264="",NOT(ISNUMBER(E4264))),"",IFERROR(E4264*N(INDEX(art_price,MATCH(C4264,art_ref,0))),""))</f>
        <v/>
      </c>
      <c r="K4264" s="39" t="str">
        <f>IF(OR(C4264="",NOT(ISNUMBER(E4264))),"",IFERROR(ROUND(N(INDEX(art_init,MATCH(C4264,art_ref,0)))+SUMIFS($E$5:E4264,$C$5:C4264,C4264,$B$5:B4264,"Entrée")-SUMIFS($E$5:E4264,$C$5:C4264,C4264,$B$5:B4264,"Sortie"),6),""))</f>
        <v/>
      </c>
      <c r="L4264" s="39" t="str">
        <f>IF(COUNTA(A4264:C4264,E4264)=0,"",IF(COUNTA(A4264:C4264,E4264)&lt;4,"Ligne incomplète",IF(NOT(ISNUMBER(A4264)),"Date invalide",IF(AND(B4264&lt;&gt;"Entrée",B4264&lt;&gt;"Sortie"),"Type inconnu",IF(ISNA(MATCH(C4264,art_ref,0)),"Référence inconnue",IF(OR(NOT(ISNUMBER(E4264)),N(E4264)&lt;=0),"Quantité invalide",IF(K4264&lt;0,"Stock négatif",IF(AND(ISNUMBER(A4263),A4264&lt;A4263),"Date hors ordre","OK"))))))))</f>
        <v/>
      </c>
      <c r="M4264" s="39" t="str">
        <f>IF(C4264="","",C4264&amp;"#"&amp;COUNTIF($C$5:C4264,C4264))</f>
        <v/>
      </c>
    </row>
    <row r="4265">
      <c r="A4265" s="41" t="n"/>
      <c r="B4265" s="37" t="n"/>
      <c r="C4265" s="37" t="n"/>
      <c r="D4265" s="39" t="str">
        <f>IF(C4265="","",IFERROR(INDEX(art_des,MATCH(C4265,art_ref,0))&amp;"","Référence inconnue"))</f>
        <v/>
      </c>
      <c r="E4265" s="37" t="n"/>
      <c r="F4265" s="39" t="str">
        <f>IF(C4265="","",IFERROR(INDEX(art_unit,MATCH(C4265,art_ref,0))&amp;"",""))</f>
        <v/>
      </c>
      <c r="G4265" s="37" t="n"/>
      <c r="H4265" s="37" t="n"/>
      <c r="I4265" s="37" t="n"/>
      <c r="J4265" s="40" t="str">
        <f>IF(OR(C4265="",NOT(ISNUMBER(E4265))),"",IFERROR(E4265*N(INDEX(art_price,MATCH(C4265,art_ref,0))),""))</f>
        <v/>
      </c>
      <c r="K4265" s="39" t="str">
        <f>IF(OR(C4265="",NOT(ISNUMBER(E4265))),"",IFERROR(ROUND(N(INDEX(art_init,MATCH(C4265,art_ref,0)))+SUMIFS($E$5:E4265,$C$5:C4265,C4265,$B$5:B4265,"Entrée")-SUMIFS($E$5:E4265,$C$5:C4265,C4265,$B$5:B4265,"Sortie"),6),""))</f>
        <v/>
      </c>
      <c r="L4265" s="39" t="str">
        <f>IF(COUNTA(A4265:C4265,E4265)=0,"",IF(COUNTA(A4265:C4265,E4265)&lt;4,"Ligne incomplète",IF(NOT(ISNUMBER(A4265)),"Date invalide",IF(AND(B4265&lt;&gt;"Entrée",B4265&lt;&gt;"Sortie"),"Type inconnu",IF(ISNA(MATCH(C4265,art_ref,0)),"Référence inconnue",IF(OR(NOT(ISNUMBER(E4265)),N(E4265)&lt;=0),"Quantité invalide",IF(K4265&lt;0,"Stock négatif",IF(AND(ISNUMBER(A4264),A4265&lt;A4264),"Date hors ordre","OK"))))))))</f>
        <v/>
      </c>
      <c r="M4265" s="39" t="str">
        <f>IF(C4265="","",C4265&amp;"#"&amp;COUNTIF($C$5:C4265,C4265))</f>
        <v/>
      </c>
    </row>
    <row r="4266">
      <c r="A4266" s="41" t="n"/>
      <c r="B4266" s="37" t="n"/>
      <c r="C4266" s="37" t="n"/>
      <c r="D4266" s="39" t="str">
        <f>IF(C4266="","",IFERROR(INDEX(art_des,MATCH(C4266,art_ref,0))&amp;"","Référence inconnue"))</f>
        <v/>
      </c>
      <c r="E4266" s="37" t="n"/>
      <c r="F4266" s="39" t="str">
        <f>IF(C4266="","",IFERROR(INDEX(art_unit,MATCH(C4266,art_ref,0))&amp;"",""))</f>
        <v/>
      </c>
      <c r="G4266" s="37" t="n"/>
      <c r="H4266" s="37" t="n"/>
      <c r="I4266" s="37" t="n"/>
      <c r="J4266" s="40" t="str">
        <f>IF(OR(C4266="",NOT(ISNUMBER(E4266))),"",IFERROR(E4266*N(INDEX(art_price,MATCH(C4266,art_ref,0))),""))</f>
        <v/>
      </c>
      <c r="K4266" s="39" t="str">
        <f>IF(OR(C4266="",NOT(ISNUMBER(E4266))),"",IFERROR(ROUND(N(INDEX(art_init,MATCH(C4266,art_ref,0)))+SUMIFS($E$5:E4266,$C$5:C4266,C4266,$B$5:B4266,"Entrée")-SUMIFS($E$5:E4266,$C$5:C4266,C4266,$B$5:B4266,"Sortie"),6),""))</f>
        <v/>
      </c>
      <c r="L4266" s="39" t="str">
        <f>IF(COUNTA(A4266:C4266,E4266)=0,"",IF(COUNTA(A4266:C4266,E4266)&lt;4,"Ligne incomplète",IF(NOT(ISNUMBER(A4266)),"Date invalide",IF(AND(B4266&lt;&gt;"Entrée",B4266&lt;&gt;"Sortie"),"Type inconnu",IF(ISNA(MATCH(C4266,art_ref,0)),"Référence inconnue",IF(OR(NOT(ISNUMBER(E4266)),N(E4266)&lt;=0),"Quantité invalide",IF(K4266&lt;0,"Stock négatif",IF(AND(ISNUMBER(A4265),A4266&lt;A4265),"Date hors ordre","OK"))))))))</f>
        <v/>
      </c>
      <c r="M4266" s="39" t="str">
        <f>IF(C4266="","",C4266&amp;"#"&amp;COUNTIF($C$5:C4266,C4266))</f>
        <v/>
      </c>
    </row>
    <row r="4267">
      <c r="A4267" s="41" t="n"/>
      <c r="B4267" s="37" t="n"/>
      <c r="C4267" s="37" t="n"/>
      <c r="D4267" s="39" t="str">
        <f>IF(C4267="","",IFERROR(INDEX(art_des,MATCH(C4267,art_ref,0))&amp;"","Référence inconnue"))</f>
        <v/>
      </c>
      <c r="E4267" s="37" t="n"/>
      <c r="F4267" s="39" t="str">
        <f>IF(C4267="","",IFERROR(INDEX(art_unit,MATCH(C4267,art_ref,0))&amp;"",""))</f>
        <v/>
      </c>
      <c r="G4267" s="37" t="n"/>
      <c r="H4267" s="37" t="n"/>
      <c r="I4267" s="37" t="n"/>
      <c r="J4267" s="40" t="str">
        <f>IF(OR(C4267="",NOT(ISNUMBER(E4267))),"",IFERROR(E4267*N(INDEX(art_price,MATCH(C4267,art_ref,0))),""))</f>
        <v/>
      </c>
      <c r="K4267" s="39" t="str">
        <f>IF(OR(C4267="",NOT(ISNUMBER(E4267))),"",IFERROR(ROUND(N(INDEX(art_init,MATCH(C4267,art_ref,0)))+SUMIFS($E$5:E4267,$C$5:C4267,C4267,$B$5:B4267,"Entrée")-SUMIFS($E$5:E4267,$C$5:C4267,C4267,$B$5:B4267,"Sortie"),6),""))</f>
        <v/>
      </c>
      <c r="L4267" s="39" t="str">
        <f>IF(COUNTA(A4267:C4267,E4267)=0,"",IF(COUNTA(A4267:C4267,E4267)&lt;4,"Ligne incomplète",IF(NOT(ISNUMBER(A4267)),"Date invalide",IF(AND(B4267&lt;&gt;"Entrée",B4267&lt;&gt;"Sortie"),"Type inconnu",IF(ISNA(MATCH(C4267,art_ref,0)),"Référence inconnue",IF(OR(NOT(ISNUMBER(E4267)),N(E4267)&lt;=0),"Quantité invalide",IF(K4267&lt;0,"Stock négatif",IF(AND(ISNUMBER(A4266),A4267&lt;A4266),"Date hors ordre","OK"))))))))</f>
        <v/>
      </c>
      <c r="M4267" s="39" t="str">
        <f>IF(C4267="","",C4267&amp;"#"&amp;COUNTIF($C$5:C4267,C4267))</f>
        <v/>
      </c>
    </row>
    <row r="4268">
      <c r="A4268" s="41" t="n"/>
      <c r="B4268" s="37" t="n"/>
      <c r="C4268" s="37" t="n"/>
      <c r="D4268" s="39" t="str">
        <f>IF(C4268="","",IFERROR(INDEX(art_des,MATCH(C4268,art_ref,0))&amp;"","Référence inconnue"))</f>
        <v/>
      </c>
      <c r="E4268" s="37" t="n"/>
      <c r="F4268" s="39" t="str">
        <f>IF(C4268="","",IFERROR(INDEX(art_unit,MATCH(C4268,art_ref,0))&amp;"",""))</f>
        <v/>
      </c>
      <c r="G4268" s="37" t="n"/>
      <c r="H4268" s="37" t="n"/>
      <c r="I4268" s="37" t="n"/>
      <c r="J4268" s="40" t="str">
        <f>IF(OR(C4268="",NOT(ISNUMBER(E4268))),"",IFERROR(E4268*N(INDEX(art_price,MATCH(C4268,art_ref,0))),""))</f>
        <v/>
      </c>
      <c r="K4268" s="39" t="str">
        <f>IF(OR(C4268="",NOT(ISNUMBER(E4268))),"",IFERROR(ROUND(N(INDEX(art_init,MATCH(C4268,art_ref,0)))+SUMIFS($E$5:E4268,$C$5:C4268,C4268,$B$5:B4268,"Entrée")-SUMIFS($E$5:E4268,$C$5:C4268,C4268,$B$5:B4268,"Sortie"),6),""))</f>
        <v/>
      </c>
      <c r="L4268" s="39" t="str">
        <f>IF(COUNTA(A4268:C4268,E4268)=0,"",IF(COUNTA(A4268:C4268,E4268)&lt;4,"Ligne incomplète",IF(NOT(ISNUMBER(A4268)),"Date invalide",IF(AND(B4268&lt;&gt;"Entrée",B4268&lt;&gt;"Sortie"),"Type inconnu",IF(ISNA(MATCH(C4268,art_ref,0)),"Référence inconnue",IF(OR(NOT(ISNUMBER(E4268)),N(E4268)&lt;=0),"Quantité invalide",IF(K4268&lt;0,"Stock négatif",IF(AND(ISNUMBER(A4267),A4268&lt;A4267),"Date hors ordre","OK"))))))))</f>
        <v/>
      </c>
      <c r="M4268" s="39" t="str">
        <f>IF(C4268="","",C4268&amp;"#"&amp;COUNTIF($C$5:C4268,C4268))</f>
        <v/>
      </c>
    </row>
    <row r="4269">
      <c r="A4269" s="41" t="n"/>
      <c r="B4269" s="37" t="n"/>
      <c r="C4269" s="37" t="n"/>
      <c r="D4269" s="39" t="str">
        <f>IF(C4269="","",IFERROR(INDEX(art_des,MATCH(C4269,art_ref,0))&amp;"","Référence inconnue"))</f>
        <v/>
      </c>
      <c r="E4269" s="37" t="n"/>
      <c r="F4269" s="39" t="str">
        <f>IF(C4269="","",IFERROR(INDEX(art_unit,MATCH(C4269,art_ref,0))&amp;"",""))</f>
        <v/>
      </c>
      <c r="G4269" s="37" t="n"/>
      <c r="H4269" s="37" t="n"/>
      <c r="I4269" s="37" t="n"/>
      <c r="J4269" s="40" t="str">
        <f>IF(OR(C4269="",NOT(ISNUMBER(E4269))),"",IFERROR(E4269*N(INDEX(art_price,MATCH(C4269,art_ref,0))),""))</f>
        <v/>
      </c>
      <c r="K4269" s="39" t="str">
        <f>IF(OR(C4269="",NOT(ISNUMBER(E4269))),"",IFERROR(ROUND(N(INDEX(art_init,MATCH(C4269,art_ref,0)))+SUMIFS($E$5:E4269,$C$5:C4269,C4269,$B$5:B4269,"Entrée")-SUMIFS($E$5:E4269,$C$5:C4269,C4269,$B$5:B4269,"Sortie"),6),""))</f>
        <v/>
      </c>
      <c r="L4269" s="39" t="str">
        <f>IF(COUNTA(A4269:C4269,E4269)=0,"",IF(COUNTA(A4269:C4269,E4269)&lt;4,"Ligne incomplète",IF(NOT(ISNUMBER(A4269)),"Date invalide",IF(AND(B4269&lt;&gt;"Entrée",B4269&lt;&gt;"Sortie"),"Type inconnu",IF(ISNA(MATCH(C4269,art_ref,0)),"Référence inconnue",IF(OR(NOT(ISNUMBER(E4269)),N(E4269)&lt;=0),"Quantité invalide",IF(K4269&lt;0,"Stock négatif",IF(AND(ISNUMBER(A4268),A4269&lt;A4268),"Date hors ordre","OK"))))))))</f>
        <v/>
      </c>
      <c r="M4269" s="39" t="str">
        <f>IF(C4269="","",C4269&amp;"#"&amp;COUNTIF($C$5:C4269,C4269))</f>
        <v/>
      </c>
    </row>
    <row r="4270">
      <c r="A4270" s="41" t="n"/>
      <c r="B4270" s="37" t="n"/>
      <c r="C4270" s="37" t="n"/>
      <c r="D4270" s="39" t="str">
        <f>IF(C4270="","",IFERROR(INDEX(art_des,MATCH(C4270,art_ref,0))&amp;"","Référence inconnue"))</f>
        <v/>
      </c>
      <c r="E4270" s="37" t="n"/>
      <c r="F4270" s="39" t="str">
        <f>IF(C4270="","",IFERROR(INDEX(art_unit,MATCH(C4270,art_ref,0))&amp;"",""))</f>
        <v/>
      </c>
      <c r="G4270" s="37" t="n"/>
      <c r="H4270" s="37" t="n"/>
      <c r="I4270" s="37" t="n"/>
      <c r="J4270" s="40" t="str">
        <f>IF(OR(C4270="",NOT(ISNUMBER(E4270))),"",IFERROR(E4270*N(INDEX(art_price,MATCH(C4270,art_ref,0))),""))</f>
        <v/>
      </c>
      <c r="K4270" s="39" t="str">
        <f>IF(OR(C4270="",NOT(ISNUMBER(E4270))),"",IFERROR(ROUND(N(INDEX(art_init,MATCH(C4270,art_ref,0)))+SUMIFS($E$5:E4270,$C$5:C4270,C4270,$B$5:B4270,"Entrée")-SUMIFS($E$5:E4270,$C$5:C4270,C4270,$B$5:B4270,"Sortie"),6),""))</f>
        <v/>
      </c>
      <c r="L4270" s="39" t="str">
        <f>IF(COUNTA(A4270:C4270,E4270)=0,"",IF(COUNTA(A4270:C4270,E4270)&lt;4,"Ligne incomplète",IF(NOT(ISNUMBER(A4270)),"Date invalide",IF(AND(B4270&lt;&gt;"Entrée",B4270&lt;&gt;"Sortie"),"Type inconnu",IF(ISNA(MATCH(C4270,art_ref,0)),"Référence inconnue",IF(OR(NOT(ISNUMBER(E4270)),N(E4270)&lt;=0),"Quantité invalide",IF(K4270&lt;0,"Stock négatif",IF(AND(ISNUMBER(A4269),A4270&lt;A4269),"Date hors ordre","OK"))))))))</f>
        <v/>
      </c>
      <c r="M4270" s="39" t="str">
        <f>IF(C4270="","",C4270&amp;"#"&amp;COUNTIF($C$5:C4270,C4270))</f>
        <v/>
      </c>
    </row>
    <row r="4271">
      <c r="A4271" s="41" t="n"/>
      <c r="B4271" s="37" t="n"/>
      <c r="C4271" s="37" t="n"/>
      <c r="D4271" s="39" t="str">
        <f>IF(C4271="","",IFERROR(INDEX(art_des,MATCH(C4271,art_ref,0))&amp;"","Référence inconnue"))</f>
        <v/>
      </c>
      <c r="E4271" s="37" t="n"/>
      <c r="F4271" s="39" t="str">
        <f>IF(C4271="","",IFERROR(INDEX(art_unit,MATCH(C4271,art_ref,0))&amp;"",""))</f>
        <v/>
      </c>
      <c r="G4271" s="37" t="n"/>
      <c r="H4271" s="37" t="n"/>
      <c r="I4271" s="37" t="n"/>
      <c r="J4271" s="40" t="str">
        <f>IF(OR(C4271="",NOT(ISNUMBER(E4271))),"",IFERROR(E4271*N(INDEX(art_price,MATCH(C4271,art_ref,0))),""))</f>
        <v/>
      </c>
      <c r="K4271" s="39" t="str">
        <f>IF(OR(C4271="",NOT(ISNUMBER(E4271))),"",IFERROR(ROUND(N(INDEX(art_init,MATCH(C4271,art_ref,0)))+SUMIFS($E$5:E4271,$C$5:C4271,C4271,$B$5:B4271,"Entrée")-SUMIFS($E$5:E4271,$C$5:C4271,C4271,$B$5:B4271,"Sortie"),6),""))</f>
        <v/>
      </c>
      <c r="L4271" s="39" t="str">
        <f>IF(COUNTA(A4271:C4271,E4271)=0,"",IF(COUNTA(A4271:C4271,E4271)&lt;4,"Ligne incomplète",IF(NOT(ISNUMBER(A4271)),"Date invalide",IF(AND(B4271&lt;&gt;"Entrée",B4271&lt;&gt;"Sortie"),"Type inconnu",IF(ISNA(MATCH(C4271,art_ref,0)),"Référence inconnue",IF(OR(NOT(ISNUMBER(E4271)),N(E4271)&lt;=0),"Quantité invalide",IF(K4271&lt;0,"Stock négatif",IF(AND(ISNUMBER(A4270),A4271&lt;A4270),"Date hors ordre","OK"))))))))</f>
        <v/>
      </c>
      <c r="M4271" s="39" t="str">
        <f>IF(C4271="","",C4271&amp;"#"&amp;COUNTIF($C$5:C4271,C4271))</f>
        <v/>
      </c>
    </row>
    <row r="4272">
      <c r="A4272" s="41" t="n"/>
      <c r="B4272" s="37" t="n"/>
      <c r="C4272" s="37" t="n"/>
      <c r="D4272" s="39" t="str">
        <f>IF(C4272="","",IFERROR(INDEX(art_des,MATCH(C4272,art_ref,0))&amp;"","Référence inconnue"))</f>
        <v/>
      </c>
      <c r="E4272" s="37" t="n"/>
      <c r="F4272" s="39" t="str">
        <f>IF(C4272="","",IFERROR(INDEX(art_unit,MATCH(C4272,art_ref,0))&amp;"",""))</f>
        <v/>
      </c>
      <c r="G4272" s="37" t="n"/>
      <c r="H4272" s="37" t="n"/>
      <c r="I4272" s="37" t="n"/>
      <c r="J4272" s="40" t="str">
        <f>IF(OR(C4272="",NOT(ISNUMBER(E4272))),"",IFERROR(E4272*N(INDEX(art_price,MATCH(C4272,art_ref,0))),""))</f>
        <v/>
      </c>
      <c r="K4272" s="39" t="str">
        <f>IF(OR(C4272="",NOT(ISNUMBER(E4272))),"",IFERROR(ROUND(N(INDEX(art_init,MATCH(C4272,art_ref,0)))+SUMIFS($E$5:E4272,$C$5:C4272,C4272,$B$5:B4272,"Entrée")-SUMIFS($E$5:E4272,$C$5:C4272,C4272,$B$5:B4272,"Sortie"),6),""))</f>
        <v/>
      </c>
      <c r="L4272" s="39" t="str">
        <f>IF(COUNTA(A4272:C4272,E4272)=0,"",IF(COUNTA(A4272:C4272,E4272)&lt;4,"Ligne incomplète",IF(NOT(ISNUMBER(A4272)),"Date invalide",IF(AND(B4272&lt;&gt;"Entrée",B4272&lt;&gt;"Sortie"),"Type inconnu",IF(ISNA(MATCH(C4272,art_ref,0)),"Référence inconnue",IF(OR(NOT(ISNUMBER(E4272)),N(E4272)&lt;=0),"Quantité invalide",IF(K4272&lt;0,"Stock négatif",IF(AND(ISNUMBER(A4271),A4272&lt;A4271),"Date hors ordre","OK"))))))))</f>
        <v/>
      </c>
      <c r="M4272" s="39" t="str">
        <f>IF(C4272="","",C4272&amp;"#"&amp;COUNTIF($C$5:C4272,C4272))</f>
        <v/>
      </c>
    </row>
    <row r="4273">
      <c r="A4273" s="41" t="n"/>
      <c r="B4273" s="37" t="n"/>
      <c r="C4273" s="37" t="n"/>
      <c r="D4273" s="39" t="str">
        <f>IF(C4273="","",IFERROR(INDEX(art_des,MATCH(C4273,art_ref,0))&amp;"","Référence inconnue"))</f>
        <v/>
      </c>
      <c r="E4273" s="37" t="n"/>
      <c r="F4273" s="39" t="str">
        <f>IF(C4273="","",IFERROR(INDEX(art_unit,MATCH(C4273,art_ref,0))&amp;"",""))</f>
        <v/>
      </c>
      <c r="G4273" s="37" t="n"/>
      <c r="H4273" s="37" t="n"/>
      <c r="I4273" s="37" t="n"/>
      <c r="J4273" s="40" t="str">
        <f>IF(OR(C4273="",NOT(ISNUMBER(E4273))),"",IFERROR(E4273*N(INDEX(art_price,MATCH(C4273,art_ref,0))),""))</f>
        <v/>
      </c>
      <c r="K4273" s="39" t="str">
        <f>IF(OR(C4273="",NOT(ISNUMBER(E4273))),"",IFERROR(ROUND(N(INDEX(art_init,MATCH(C4273,art_ref,0)))+SUMIFS($E$5:E4273,$C$5:C4273,C4273,$B$5:B4273,"Entrée")-SUMIFS($E$5:E4273,$C$5:C4273,C4273,$B$5:B4273,"Sortie"),6),""))</f>
        <v/>
      </c>
      <c r="L4273" s="39" t="str">
        <f>IF(COUNTA(A4273:C4273,E4273)=0,"",IF(COUNTA(A4273:C4273,E4273)&lt;4,"Ligne incomplète",IF(NOT(ISNUMBER(A4273)),"Date invalide",IF(AND(B4273&lt;&gt;"Entrée",B4273&lt;&gt;"Sortie"),"Type inconnu",IF(ISNA(MATCH(C4273,art_ref,0)),"Référence inconnue",IF(OR(NOT(ISNUMBER(E4273)),N(E4273)&lt;=0),"Quantité invalide",IF(K4273&lt;0,"Stock négatif",IF(AND(ISNUMBER(A4272),A4273&lt;A4272),"Date hors ordre","OK"))))))))</f>
        <v/>
      </c>
      <c r="M4273" s="39" t="str">
        <f>IF(C4273="","",C4273&amp;"#"&amp;COUNTIF($C$5:C4273,C4273))</f>
        <v/>
      </c>
    </row>
    <row r="4274">
      <c r="A4274" s="41" t="n"/>
      <c r="B4274" s="37" t="n"/>
      <c r="C4274" s="37" t="n"/>
      <c r="D4274" s="39" t="str">
        <f>IF(C4274="","",IFERROR(INDEX(art_des,MATCH(C4274,art_ref,0))&amp;"","Référence inconnue"))</f>
        <v/>
      </c>
      <c r="E4274" s="37" t="n"/>
      <c r="F4274" s="39" t="str">
        <f>IF(C4274="","",IFERROR(INDEX(art_unit,MATCH(C4274,art_ref,0))&amp;"",""))</f>
        <v/>
      </c>
      <c r="G4274" s="37" t="n"/>
      <c r="H4274" s="37" t="n"/>
      <c r="I4274" s="37" t="n"/>
      <c r="J4274" s="40" t="str">
        <f>IF(OR(C4274="",NOT(ISNUMBER(E4274))),"",IFERROR(E4274*N(INDEX(art_price,MATCH(C4274,art_ref,0))),""))</f>
        <v/>
      </c>
      <c r="K4274" s="39" t="str">
        <f>IF(OR(C4274="",NOT(ISNUMBER(E4274))),"",IFERROR(ROUND(N(INDEX(art_init,MATCH(C4274,art_ref,0)))+SUMIFS($E$5:E4274,$C$5:C4274,C4274,$B$5:B4274,"Entrée")-SUMIFS($E$5:E4274,$C$5:C4274,C4274,$B$5:B4274,"Sortie"),6),""))</f>
        <v/>
      </c>
      <c r="L4274" s="39" t="str">
        <f>IF(COUNTA(A4274:C4274,E4274)=0,"",IF(COUNTA(A4274:C4274,E4274)&lt;4,"Ligne incomplète",IF(NOT(ISNUMBER(A4274)),"Date invalide",IF(AND(B4274&lt;&gt;"Entrée",B4274&lt;&gt;"Sortie"),"Type inconnu",IF(ISNA(MATCH(C4274,art_ref,0)),"Référence inconnue",IF(OR(NOT(ISNUMBER(E4274)),N(E4274)&lt;=0),"Quantité invalide",IF(K4274&lt;0,"Stock négatif",IF(AND(ISNUMBER(A4273),A4274&lt;A4273),"Date hors ordre","OK"))))))))</f>
        <v/>
      </c>
      <c r="M4274" s="39" t="str">
        <f>IF(C4274="","",C4274&amp;"#"&amp;COUNTIF($C$5:C4274,C4274))</f>
        <v/>
      </c>
    </row>
    <row r="4275">
      <c r="A4275" s="41" t="n"/>
      <c r="B4275" s="37" t="n"/>
      <c r="C4275" s="37" t="n"/>
      <c r="D4275" s="39" t="str">
        <f>IF(C4275="","",IFERROR(INDEX(art_des,MATCH(C4275,art_ref,0))&amp;"","Référence inconnue"))</f>
        <v/>
      </c>
      <c r="E4275" s="37" t="n"/>
      <c r="F4275" s="39" t="str">
        <f>IF(C4275="","",IFERROR(INDEX(art_unit,MATCH(C4275,art_ref,0))&amp;"",""))</f>
        <v/>
      </c>
      <c r="G4275" s="37" t="n"/>
      <c r="H4275" s="37" t="n"/>
      <c r="I4275" s="37" t="n"/>
      <c r="J4275" s="40" t="str">
        <f>IF(OR(C4275="",NOT(ISNUMBER(E4275))),"",IFERROR(E4275*N(INDEX(art_price,MATCH(C4275,art_ref,0))),""))</f>
        <v/>
      </c>
      <c r="K4275" s="39" t="str">
        <f>IF(OR(C4275="",NOT(ISNUMBER(E4275))),"",IFERROR(ROUND(N(INDEX(art_init,MATCH(C4275,art_ref,0)))+SUMIFS($E$5:E4275,$C$5:C4275,C4275,$B$5:B4275,"Entrée")-SUMIFS($E$5:E4275,$C$5:C4275,C4275,$B$5:B4275,"Sortie"),6),""))</f>
        <v/>
      </c>
      <c r="L4275" s="39" t="str">
        <f>IF(COUNTA(A4275:C4275,E4275)=0,"",IF(COUNTA(A4275:C4275,E4275)&lt;4,"Ligne incomplète",IF(NOT(ISNUMBER(A4275)),"Date invalide",IF(AND(B4275&lt;&gt;"Entrée",B4275&lt;&gt;"Sortie"),"Type inconnu",IF(ISNA(MATCH(C4275,art_ref,0)),"Référence inconnue",IF(OR(NOT(ISNUMBER(E4275)),N(E4275)&lt;=0),"Quantité invalide",IF(K4275&lt;0,"Stock négatif",IF(AND(ISNUMBER(A4274),A4275&lt;A4274),"Date hors ordre","OK"))))))))</f>
        <v/>
      </c>
      <c r="M4275" s="39" t="str">
        <f>IF(C4275="","",C4275&amp;"#"&amp;COUNTIF($C$5:C4275,C4275))</f>
        <v/>
      </c>
    </row>
    <row r="4276">
      <c r="A4276" s="41" t="n"/>
      <c r="B4276" s="37" t="n"/>
      <c r="C4276" s="37" t="n"/>
      <c r="D4276" s="39" t="str">
        <f>IF(C4276="","",IFERROR(INDEX(art_des,MATCH(C4276,art_ref,0))&amp;"","Référence inconnue"))</f>
        <v/>
      </c>
      <c r="E4276" s="37" t="n"/>
      <c r="F4276" s="39" t="str">
        <f>IF(C4276="","",IFERROR(INDEX(art_unit,MATCH(C4276,art_ref,0))&amp;"",""))</f>
        <v/>
      </c>
      <c r="G4276" s="37" t="n"/>
      <c r="H4276" s="37" t="n"/>
      <c r="I4276" s="37" t="n"/>
      <c r="J4276" s="40" t="str">
        <f>IF(OR(C4276="",NOT(ISNUMBER(E4276))),"",IFERROR(E4276*N(INDEX(art_price,MATCH(C4276,art_ref,0))),""))</f>
        <v/>
      </c>
      <c r="K4276" s="39" t="str">
        <f>IF(OR(C4276="",NOT(ISNUMBER(E4276))),"",IFERROR(ROUND(N(INDEX(art_init,MATCH(C4276,art_ref,0)))+SUMIFS($E$5:E4276,$C$5:C4276,C4276,$B$5:B4276,"Entrée")-SUMIFS($E$5:E4276,$C$5:C4276,C4276,$B$5:B4276,"Sortie"),6),""))</f>
        <v/>
      </c>
      <c r="L4276" s="39" t="str">
        <f>IF(COUNTA(A4276:C4276,E4276)=0,"",IF(COUNTA(A4276:C4276,E4276)&lt;4,"Ligne incomplète",IF(NOT(ISNUMBER(A4276)),"Date invalide",IF(AND(B4276&lt;&gt;"Entrée",B4276&lt;&gt;"Sortie"),"Type inconnu",IF(ISNA(MATCH(C4276,art_ref,0)),"Référence inconnue",IF(OR(NOT(ISNUMBER(E4276)),N(E4276)&lt;=0),"Quantité invalide",IF(K4276&lt;0,"Stock négatif",IF(AND(ISNUMBER(A4275),A4276&lt;A4275),"Date hors ordre","OK"))))))))</f>
        <v/>
      </c>
      <c r="M4276" s="39" t="str">
        <f>IF(C4276="","",C4276&amp;"#"&amp;COUNTIF($C$5:C4276,C4276))</f>
        <v/>
      </c>
    </row>
    <row r="4277">
      <c r="A4277" s="41" t="n"/>
      <c r="B4277" s="37" t="n"/>
      <c r="C4277" s="37" t="n"/>
      <c r="D4277" s="39" t="str">
        <f>IF(C4277="","",IFERROR(INDEX(art_des,MATCH(C4277,art_ref,0))&amp;"","Référence inconnue"))</f>
        <v/>
      </c>
      <c r="E4277" s="37" t="n"/>
      <c r="F4277" s="39" t="str">
        <f>IF(C4277="","",IFERROR(INDEX(art_unit,MATCH(C4277,art_ref,0))&amp;"",""))</f>
        <v/>
      </c>
      <c r="G4277" s="37" t="n"/>
      <c r="H4277" s="37" t="n"/>
      <c r="I4277" s="37" t="n"/>
      <c r="J4277" s="40" t="str">
        <f>IF(OR(C4277="",NOT(ISNUMBER(E4277))),"",IFERROR(E4277*N(INDEX(art_price,MATCH(C4277,art_ref,0))),""))</f>
        <v/>
      </c>
      <c r="K4277" s="39" t="str">
        <f>IF(OR(C4277="",NOT(ISNUMBER(E4277))),"",IFERROR(ROUND(N(INDEX(art_init,MATCH(C4277,art_ref,0)))+SUMIFS($E$5:E4277,$C$5:C4277,C4277,$B$5:B4277,"Entrée")-SUMIFS($E$5:E4277,$C$5:C4277,C4277,$B$5:B4277,"Sortie"),6),""))</f>
        <v/>
      </c>
      <c r="L4277" s="39" t="str">
        <f>IF(COUNTA(A4277:C4277,E4277)=0,"",IF(COUNTA(A4277:C4277,E4277)&lt;4,"Ligne incomplète",IF(NOT(ISNUMBER(A4277)),"Date invalide",IF(AND(B4277&lt;&gt;"Entrée",B4277&lt;&gt;"Sortie"),"Type inconnu",IF(ISNA(MATCH(C4277,art_ref,0)),"Référence inconnue",IF(OR(NOT(ISNUMBER(E4277)),N(E4277)&lt;=0),"Quantité invalide",IF(K4277&lt;0,"Stock négatif",IF(AND(ISNUMBER(A4276),A4277&lt;A4276),"Date hors ordre","OK"))))))))</f>
        <v/>
      </c>
      <c r="M4277" s="39" t="str">
        <f>IF(C4277="","",C4277&amp;"#"&amp;COUNTIF($C$5:C4277,C4277))</f>
        <v/>
      </c>
    </row>
    <row r="4278">
      <c r="A4278" s="41" t="n"/>
      <c r="B4278" s="37" t="n"/>
      <c r="C4278" s="37" t="n"/>
      <c r="D4278" s="39" t="str">
        <f>IF(C4278="","",IFERROR(INDEX(art_des,MATCH(C4278,art_ref,0))&amp;"","Référence inconnue"))</f>
        <v/>
      </c>
      <c r="E4278" s="37" t="n"/>
      <c r="F4278" s="39" t="str">
        <f>IF(C4278="","",IFERROR(INDEX(art_unit,MATCH(C4278,art_ref,0))&amp;"",""))</f>
        <v/>
      </c>
      <c r="G4278" s="37" t="n"/>
      <c r="H4278" s="37" t="n"/>
      <c r="I4278" s="37" t="n"/>
      <c r="J4278" s="40" t="str">
        <f>IF(OR(C4278="",NOT(ISNUMBER(E4278))),"",IFERROR(E4278*N(INDEX(art_price,MATCH(C4278,art_ref,0))),""))</f>
        <v/>
      </c>
      <c r="K4278" s="39" t="str">
        <f>IF(OR(C4278="",NOT(ISNUMBER(E4278))),"",IFERROR(ROUND(N(INDEX(art_init,MATCH(C4278,art_ref,0)))+SUMIFS($E$5:E4278,$C$5:C4278,C4278,$B$5:B4278,"Entrée")-SUMIFS($E$5:E4278,$C$5:C4278,C4278,$B$5:B4278,"Sortie"),6),""))</f>
        <v/>
      </c>
      <c r="L4278" s="39" t="str">
        <f>IF(COUNTA(A4278:C4278,E4278)=0,"",IF(COUNTA(A4278:C4278,E4278)&lt;4,"Ligne incomplète",IF(NOT(ISNUMBER(A4278)),"Date invalide",IF(AND(B4278&lt;&gt;"Entrée",B4278&lt;&gt;"Sortie"),"Type inconnu",IF(ISNA(MATCH(C4278,art_ref,0)),"Référence inconnue",IF(OR(NOT(ISNUMBER(E4278)),N(E4278)&lt;=0),"Quantité invalide",IF(K4278&lt;0,"Stock négatif",IF(AND(ISNUMBER(A4277),A4278&lt;A4277),"Date hors ordre","OK"))))))))</f>
        <v/>
      </c>
      <c r="M4278" s="39" t="str">
        <f>IF(C4278="","",C4278&amp;"#"&amp;COUNTIF($C$5:C4278,C4278))</f>
        <v/>
      </c>
    </row>
    <row r="4279">
      <c r="A4279" s="41" t="n"/>
      <c r="B4279" s="37" t="n"/>
      <c r="C4279" s="37" t="n"/>
      <c r="D4279" s="39" t="str">
        <f>IF(C4279="","",IFERROR(INDEX(art_des,MATCH(C4279,art_ref,0))&amp;"","Référence inconnue"))</f>
        <v/>
      </c>
      <c r="E4279" s="37" t="n"/>
      <c r="F4279" s="39" t="str">
        <f>IF(C4279="","",IFERROR(INDEX(art_unit,MATCH(C4279,art_ref,0))&amp;"",""))</f>
        <v/>
      </c>
      <c r="G4279" s="37" t="n"/>
      <c r="H4279" s="37" t="n"/>
      <c r="I4279" s="37" t="n"/>
      <c r="J4279" s="40" t="str">
        <f>IF(OR(C4279="",NOT(ISNUMBER(E4279))),"",IFERROR(E4279*N(INDEX(art_price,MATCH(C4279,art_ref,0))),""))</f>
        <v/>
      </c>
      <c r="K4279" s="39" t="str">
        <f>IF(OR(C4279="",NOT(ISNUMBER(E4279))),"",IFERROR(ROUND(N(INDEX(art_init,MATCH(C4279,art_ref,0)))+SUMIFS($E$5:E4279,$C$5:C4279,C4279,$B$5:B4279,"Entrée")-SUMIFS($E$5:E4279,$C$5:C4279,C4279,$B$5:B4279,"Sortie"),6),""))</f>
        <v/>
      </c>
      <c r="L4279" s="39" t="str">
        <f>IF(COUNTA(A4279:C4279,E4279)=0,"",IF(COUNTA(A4279:C4279,E4279)&lt;4,"Ligne incomplète",IF(NOT(ISNUMBER(A4279)),"Date invalide",IF(AND(B4279&lt;&gt;"Entrée",B4279&lt;&gt;"Sortie"),"Type inconnu",IF(ISNA(MATCH(C4279,art_ref,0)),"Référence inconnue",IF(OR(NOT(ISNUMBER(E4279)),N(E4279)&lt;=0),"Quantité invalide",IF(K4279&lt;0,"Stock négatif",IF(AND(ISNUMBER(A4278),A4279&lt;A4278),"Date hors ordre","OK"))))))))</f>
        <v/>
      </c>
      <c r="M4279" s="39" t="str">
        <f>IF(C4279="","",C4279&amp;"#"&amp;COUNTIF($C$5:C4279,C4279))</f>
        <v/>
      </c>
    </row>
    <row r="4280">
      <c r="A4280" s="41" t="n"/>
      <c r="B4280" s="37" t="n"/>
      <c r="C4280" s="37" t="n"/>
      <c r="D4280" s="39" t="str">
        <f>IF(C4280="","",IFERROR(INDEX(art_des,MATCH(C4280,art_ref,0))&amp;"","Référence inconnue"))</f>
        <v/>
      </c>
      <c r="E4280" s="37" t="n"/>
      <c r="F4280" s="39" t="str">
        <f>IF(C4280="","",IFERROR(INDEX(art_unit,MATCH(C4280,art_ref,0))&amp;"",""))</f>
        <v/>
      </c>
      <c r="G4280" s="37" t="n"/>
      <c r="H4280" s="37" t="n"/>
      <c r="I4280" s="37" t="n"/>
      <c r="J4280" s="40" t="str">
        <f>IF(OR(C4280="",NOT(ISNUMBER(E4280))),"",IFERROR(E4280*N(INDEX(art_price,MATCH(C4280,art_ref,0))),""))</f>
        <v/>
      </c>
      <c r="K4280" s="39" t="str">
        <f>IF(OR(C4280="",NOT(ISNUMBER(E4280))),"",IFERROR(ROUND(N(INDEX(art_init,MATCH(C4280,art_ref,0)))+SUMIFS($E$5:E4280,$C$5:C4280,C4280,$B$5:B4280,"Entrée")-SUMIFS($E$5:E4280,$C$5:C4280,C4280,$B$5:B4280,"Sortie"),6),""))</f>
        <v/>
      </c>
      <c r="L4280" s="39" t="str">
        <f>IF(COUNTA(A4280:C4280,E4280)=0,"",IF(COUNTA(A4280:C4280,E4280)&lt;4,"Ligne incomplète",IF(NOT(ISNUMBER(A4280)),"Date invalide",IF(AND(B4280&lt;&gt;"Entrée",B4280&lt;&gt;"Sortie"),"Type inconnu",IF(ISNA(MATCH(C4280,art_ref,0)),"Référence inconnue",IF(OR(NOT(ISNUMBER(E4280)),N(E4280)&lt;=0),"Quantité invalide",IF(K4280&lt;0,"Stock négatif",IF(AND(ISNUMBER(A4279),A4280&lt;A4279),"Date hors ordre","OK"))))))))</f>
        <v/>
      </c>
      <c r="M4280" s="39" t="str">
        <f>IF(C4280="","",C4280&amp;"#"&amp;COUNTIF($C$5:C4280,C4280))</f>
        <v/>
      </c>
    </row>
    <row r="4281">
      <c r="A4281" s="41" t="n"/>
      <c r="B4281" s="37" t="n"/>
      <c r="C4281" s="37" t="n"/>
      <c r="D4281" s="39" t="str">
        <f>IF(C4281="","",IFERROR(INDEX(art_des,MATCH(C4281,art_ref,0))&amp;"","Référence inconnue"))</f>
        <v/>
      </c>
      <c r="E4281" s="37" t="n"/>
      <c r="F4281" s="39" t="str">
        <f>IF(C4281="","",IFERROR(INDEX(art_unit,MATCH(C4281,art_ref,0))&amp;"",""))</f>
        <v/>
      </c>
      <c r="G4281" s="37" t="n"/>
      <c r="H4281" s="37" t="n"/>
      <c r="I4281" s="37" t="n"/>
      <c r="J4281" s="40" t="str">
        <f>IF(OR(C4281="",NOT(ISNUMBER(E4281))),"",IFERROR(E4281*N(INDEX(art_price,MATCH(C4281,art_ref,0))),""))</f>
        <v/>
      </c>
      <c r="K4281" s="39" t="str">
        <f>IF(OR(C4281="",NOT(ISNUMBER(E4281))),"",IFERROR(ROUND(N(INDEX(art_init,MATCH(C4281,art_ref,0)))+SUMIFS($E$5:E4281,$C$5:C4281,C4281,$B$5:B4281,"Entrée")-SUMIFS($E$5:E4281,$C$5:C4281,C4281,$B$5:B4281,"Sortie"),6),""))</f>
        <v/>
      </c>
      <c r="L4281" s="39" t="str">
        <f>IF(COUNTA(A4281:C4281,E4281)=0,"",IF(COUNTA(A4281:C4281,E4281)&lt;4,"Ligne incomplète",IF(NOT(ISNUMBER(A4281)),"Date invalide",IF(AND(B4281&lt;&gt;"Entrée",B4281&lt;&gt;"Sortie"),"Type inconnu",IF(ISNA(MATCH(C4281,art_ref,0)),"Référence inconnue",IF(OR(NOT(ISNUMBER(E4281)),N(E4281)&lt;=0),"Quantité invalide",IF(K4281&lt;0,"Stock négatif",IF(AND(ISNUMBER(A4280),A4281&lt;A4280),"Date hors ordre","OK"))))))))</f>
        <v/>
      </c>
      <c r="M4281" s="39" t="str">
        <f>IF(C4281="","",C4281&amp;"#"&amp;COUNTIF($C$5:C4281,C4281))</f>
        <v/>
      </c>
    </row>
    <row r="4282">
      <c r="A4282" s="41" t="n"/>
      <c r="B4282" s="37" t="n"/>
      <c r="C4282" s="37" t="n"/>
      <c r="D4282" s="39" t="str">
        <f>IF(C4282="","",IFERROR(INDEX(art_des,MATCH(C4282,art_ref,0))&amp;"","Référence inconnue"))</f>
        <v/>
      </c>
      <c r="E4282" s="37" t="n"/>
      <c r="F4282" s="39" t="str">
        <f>IF(C4282="","",IFERROR(INDEX(art_unit,MATCH(C4282,art_ref,0))&amp;"",""))</f>
        <v/>
      </c>
      <c r="G4282" s="37" t="n"/>
      <c r="H4282" s="37" t="n"/>
      <c r="I4282" s="37" t="n"/>
      <c r="J4282" s="40" t="str">
        <f>IF(OR(C4282="",NOT(ISNUMBER(E4282))),"",IFERROR(E4282*N(INDEX(art_price,MATCH(C4282,art_ref,0))),""))</f>
        <v/>
      </c>
      <c r="K4282" s="39" t="str">
        <f>IF(OR(C4282="",NOT(ISNUMBER(E4282))),"",IFERROR(ROUND(N(INDEX(art_init,MATCH(C4282,art_ref,0)))+SUMIFS($E$5:E4282,$C$5:C4282,C4282,$B$5:B4282,"Entrée")-SUMIFS($E$5:E4282,$C$5:C4282,C4282,$B$5:B4282,"Sortie"),6),""))</f>
        <v/>
      </c>
      <c r="L4282" s="39" t="str">
        <f>IF(COUNTA(A4282:C4282,E4282)=0,"",IF(COUNTA(A4282:C4282,E4282)&lt;4,"Ligne incomplète",IF(NOT(ISNUMBER(A4282)),"Date invalide",IF(AND(B4282&lt;&gt;"Entrée",B4282&lt;&gt;"Sortie"),"Type inconnu",IF(ISNA(MATCH(C4282,art_ref,0)),"Référence inconnue",IF(OR(NOT(ISNUMBER(E4282)),N(E4282)&lt;=0),"Quantité invalide",IF(K4282&lt;0,"Stock négatif",IF(AND(ISNUMBER(A4281),A4282&lt;A4281),"Date hors ordre","OK"))))))))</f>
        <v/>
      </c>
      <c r="M4282" s="39" t="str">
        <f>IF(C4282="","",C4282&amp;"#"&amp;COUNTIF($C$5:C4282,C4282))</f>
        <v/>
      </c>
    </row>
    <row r="4283">
      <c r="A4283" s="41" t="n"/>
      <c r="B4283" s="37" t="n"/>
      <c r="C4283" s="37" t="n"/>
      <c r="D4283" s="39" t="str">
        <f>IF(C4283="","",IFERROR(INDEX(art_des,MATCH(C4283,art_ref,0))&amp;"","Référence inconnue"))</f>
        <v/>
      </c>
      <c r="E4283" s="37" t="n"/>
      <c r="F4283" s="39" t="str">
        <f>IF(C4283="","",IFERROR(INDEX(art_unit,MATCH(C4283,art_ref,0))&amp;"",""))</f>
        <v/>
      </c>
      <c r="G4283" s="37" t="n"/>
      <c r="H4283" s="37" t="n"/>
      <c r="I4283" s="37" t="n"/>
      <c r="J4283" s="40" t="str">
        <f>IF(OR(C4283="",NOT(ISNUMBER(E4283))),"",IFERROR(E4283*N(INDEX(art_price,MATCH(C4283,art_ref,0))),""))</f>
        <v/>
      </c>
      <c r="K4283" s="39" t="str">
        <f>IF(OR(C4283="",NOT(ISNUMBER(E4283))),"",IFERROR(ROUND(N(INDEX(art_init,MATCH(C4283,art_ref,0)))+SUMIFS($E$5:E4283,$C$5:C4283,C4283,$B$5:B4283,"Entrée")-SUMIFS($E$5:E4283,$C$5:C4283,C4283,$B$5:B4283,"Sortie"),6),""))</f>
        <v/>
      </c>
      <c r="L4283" s="39" t="str">
        <f>IF(COUNTA(A4283:C4283,E4283)=0,"",IF(COUNTA(A4283:C4283,E4283)&lt;4,"Ligne incomplète",IF(NOT(ISNUMBER(A4283)),"Date invalide",IF(AND(B4283&lt;&gt;"Entrée",B4283&lt;&gt;"Sortie"),"Type inconnu",IF(ISNA(MATCH(C4283,art_ref,0)),"Référence inconnue",IF(OR(NOT(ISNUMBER(E4283)),N(E4283)&lt;=0),"Quantité invalide",IF(K4283&lt;0,"Stock négatif",IF(AND(ISNUMBER(A4282),A4283&lt;A4282),"Date hors ordre","OK"))))))))</f>
        <v/>
      </c>
      <c r="M4283" s="39" t="str">
        <f>IF(C4283="","",C4283&amp;"#"&amp;COUNTIF($C$5:C4283,C4283))</f>
        <v/>
      </c>
    </row>
    <row r="4284">
      <c r="A4284" s="41" t="n"/>
      <c r="B4284" s="37" t="n"/>
      <c r="C4284" s="37" t="n"/>
      <c r="D4284" s="39" t="str">
        <f>IF(C4284="","",IFERROR(INDEX(art_des,MATCH(C4284,art_ref,0))&amp;"","Référence inconnue"))</f>
        <v/>
      </c>
      <c r="E4284" s="37" t="n"/>
      <c r="F4284" s="39" t="str">
        <f>IF(C4284="","",IFERROR(INDEX(art_unit,MATCH(C4284,art_ref,0))&amp;"",""))</f>
        <v/>
      </c>
      <c r="G4284" s="37" t="n"/>
      <c r="H4284" s="37" t="n"/>
      <c r="I4284" s="37" t="n"/>
      <c r="J4284" s="40" t="str">
        <f>IF(OR(C4284="",NOT(ISNUMBER(E4284))),"",IFERROR(E4284*N(INDEX(art_price,MATCH(C4284,art_ref,0))),""))</f>
        <v/>
      </c>
      <c r="K4284" s="39" t="str">
        <f>IF(OR(C4284="",NOT(ISNUMBER(E4284))),"",IFERROR(ROUND(N(INDEX(art_init,MATCH(C4284,art_ref,0)))+SUMIFS($E$5:E4284,$C$5:C4284,C4284,$B$5:B4284,"Entrée")-SUMIFS($E$5:E4284,$C$5:C4284,C4284,$B$5:B4284,"Sortie"),6),""))</f>
        <v/>
      </c>
      <c r="L4284" s="39" t="str">
        <f>IF(COUNTA(A4284:C4284,E4284)=0,"",IF(COUNTA(A4284:C4284,E4284)&lt;4,"Ligne incomplète",IF(NOT(ISNUMBER(A4284)),"Date invalide",IF(AND(B4284&lt;&gt;"Entrée",B4284&lt;&gt;"Sortie"),"Type inconnu",IF(ISNA(MATCH(C4284,art_ref,0)),"Référence inconnue",IF(OR(NOT(ISNUMBER(E4284)),N(E4284)&lt;=0),"Quantité invalide",IF(K4284&lt;0,"Stock négatif",IF(AND(ISNUMBER(A4283),A4284&lt;A4283),"Date hors ordre","OK"))))))))</f>
        <v/>
      </c>
      <c r="M4284" s="39" t="str">
        <f>IF(C4284="","",C4284&amp;"#"&amp;COUNTIF($C$5:C4284,C4284))</f>
        <v/>
      </c>
    </row>
    <row r="4285">
      <c r="A4285" s="41" t="n"/>
      <c r="B4285" s="37" t="n"/>
      <c r="C4285" s="37" t="n"/>
      <c r="D4285" s="39" t="str">
        <f>IF(C4285="","",IFERROR(INDEX(art_des,MATCH(C4285,art_ref,0))&amp;"","Référence inconnue"))</f>
        <v/>
      </c>
      <c r="E4285" s="37" t="n"/>
      <c r="F4285" s="39" t="str">
        <f>IF(C4285="","",IFERROR(INDEX(art_unit,MATCH(C4285,art_ref,0))&amp;"",""))</f>
        <v/>
      </c>
      <c r="G4285" s="37" t="n"/>
      <c r="H4285" s="37" t="n"/>
      <c r="I4285" s="37" t="n"/>
      <c r="J4285" s="40" t="str">
        <f>IF(OR(C4285="",NOT(ISNUMBER(E4285))),"",IFERROR(E4285*N(INDEX(art_price,MATCH(C4285,art_ref,0))),""))</f>
        <v/>
      </c>
      <c r="K4285" s="39" t="str">
        <f>IF(OR(C4285="",NOT(ISNUMBER(E4285))),"",IFERROR(ROUND(N(INDEX(art_init,MATCH(C4285,art_ref,0)))+SUMIFS($E$5:E4285,$C$5:C4285,C4285,$B$5:B4285,"Entrée")-SUMIFS($E$5:E4285,$C$5:C4285,C4285,$B$5:B4285,"Sortie"),6),""))</f>
        <v/>
      </c>
      <c r="L4285" s="39" t="str">
        <f>IF(COUNTA(A4285:C4285,E4285)=0,"",IF(COUNTA(A4285:C4285,E4285)&lt;4,"Ligne incomplète",IF(NOT(ISNUMBER(A4285)),"Date invalide",IF(AND(B4285&lt;&gt;"Entrée",B4285&lt;&gt;"Sortie"),"Type inconnu",IF(ISNA(MATCH(C4285,art_ref,0)),"Référence inconnue",IF(OR(NOT(ISNUMBER(E4285)),N(E4285)&lt;=0),"Quantité invalide",IF(K4285&lt;0,"Stock négatif",IF(AND(ISNUMBER(A4284),A4285&lt;A4284),"Date hors ordre","OK"))))))))</f>
        <v/>
      </c>
      <c r="M4285" s="39" t="str">
        <f>IF(C4285="","",C4285&amp;"#"&amp;COUNTIF($C$5:C4285,C4285))</f>
        <v/>
      </c>
    </row>
    <row r="4286">
      <c r="A4286" s="41" t="n"/>
      <c r="B4286" s="37" t="n"/>
      <c r="C4286" s="37" t="n"/>
      <c r="D4286" s="39" t="str">
        <f>IF(C4286="","",IFERROR(INDEX(art_des,MATCH(C4286,art_ref,0))&amp;"","Référence inconnue"))</f>
        <v/>
      </c>
      <c r="E4286" s="37" t="n"/>
      <c r="F4286" s="39" t="str">
        <f>IF(C4286="","",IFERROR(INDEX(art_unit,MATCH(C4286,art_ref,0))&amp;"",""))</f>
        <v/>
      </c>
      <c r="G4286" s="37" t="n"/>
      <c r="H4286" s="37" t="n"/>
      <c r="I4286" s="37" t="n"/>
      <c r="J4286" s="40" t="str">
        <f>IF(OR(C4286="",NOT(ISNUMBER(E4286))),"",IFERROR(E4286*N(INDEX(art_price,MATCH(C4286,art_ref,0))),""))</f>
        <v/>
      </c>
      <c r="K4286" s="39" t="str">
        <f>IF(OR(C4286="",NOT(ISNUMBER(E4286))),"",IFERROR(ROUND(N(INDEX(art_init,MATCH(C4286,art_ref,0)))+SUMIFS($E$5:E4286,$C$5:C4286,C4286,$B$5:B4286,"Entrée")-SUMIFS($E$5:E4286,$C$5:C4286,C4286,$B$5:B4286,"Sortie"),6),""))</f>
        <v/>
      </c>
      <c r="L4286" s="39" t="str">
        <f>IF(COUNTA(A4286:C4286,E4286)=0,"",IF(COUNTA(A4286:C4286,E4286)&lt;4,"Ligne incomplète",IF(NOT(ISNUMBER(A4286)),"Date invalide",IF(AND(B4286&lt;&gt;"Entrée",B4286&lt;&gt;"Sortie"),"Type inconnu",IF(ISNA(MATCH(C4286,art_ref,0)),"Référence inconnue",IF(OR(NOT(ISNUMBER(E4286)),N(E4286)&lt;=0),"Quantité invalide",IF(K4286&lt;0,"Stock négatif",IF(AND(ISNUMBER(A4285),A4286&lt;A4285),"Date hors ordre","OK"))))))))</f>
        <v/>
      </c>
      <c r="M4286" s="39" t="str">
        <f>IF(C4286="","",C4286&amp;"#"&amp;COUNTIF($C$5:C4286,C4286))</f>
        <v/>
      </c>
    </row>
    <row r="4287">
      <c r="A4287" s="41" t="n"/>
      <c r="B4287" s="37" t="n"/>
      <c r="C4287" s="37" t="n"/>
      <c r="D4287" s="39" t="str">
        <f>IF(C4287="","",IFERROR(INDEX(art_des,MATCH(C4287,art_ref,0))&amp;"","Référence inconnue"))</f>
        <v/>
      </c>
      <c r="E4287" s="37" t="n"/>
      <c r="F4287" s="39" t="str">
        <f>IF(C4287="","",IFERROR(INDEX(art_unit,MATCH(C4287,art_ref,0))&amp;"",""))</f>
        <v/>
      </c>
      <c r="G4287" s="37" t="n"/>
      <c r="H4287" s="37" t="n"/>
      <c r="I4287" s="37" t="n"/>
      <c r="J4287" s="40" t="str">
        <f>IF(OR(C4287="",NOT(ISNUMBER(E4287))),"",IFERROR(E4287*N(INDEX(art_price,MATCH(C4287,art_ref,0))),""))</f>
        <v/>
      </c>
      <c r="K4287" s="39" t="str">
        <f>IF(OR(C4287="",NOT(ISNUMBER(E4287))),"",IFERROR(ROUND(N(INDEX(art_init,MATCH(C4287,art_ref,0)))+SUMIFS($E$5:E4287,$C$5:C4287,C4287,$B$5:B4287,"Entrée")-SUMIFS($E$5:E4287,$C$5:C4287,C4287,$B$5:B4287,"Sortie"),6),""))</f>
        <v/>
      </c>
      <c r="L4287" s="39" t="str">
        <f>IF(COUNTA(A4287:C4287,E4287)=0,"",IF(COUNTA(A4287:C4287,E4287)&lt;4,"Ligne incomplète",IF(NOT(ISNUMBER(A4287)),"Date invalide",IF(AND(B4287&lt;&gt;"Entrée",B4287&lt;&gt;"Sortie"),"Type inconnu",IF(ISNA(MATCH(C4287,art_ref,0)),"Référence inconnue",IF(OR(NOT(ISNUMBER(E4287)),N(E4287)&lt;=0),"Quantité invalide",IF(K4287&lt;0,"Stock négatif",IF(AND(ISNUMBER(A4286),A4287&lt;A4286),"Date hors ordre","OK"))))))))</f>
        <v/>
      </c>
      <c r="M4287" s="39" t="str">
        <f>IF(C4287="","",C4287&amp;"#"&amp;COUNTIF($C$5:C4287,C4287))</f>
        <v/>
      </c>
    </row>
    <row r="4288">
      <c r="A4288" s="41" t="n"/>
      <c r="B4288" s="37" t="n"/>
      <c r="C4288" s="37" t="n"/>
      <c r="D4288" s="39" t="str">
        <f>IF(C4288="","",IFERROR(INDEX(art_des,MATCH(C4288,art_ref,0))&amp;"","Référence inconnue"))</f>
        <v/>
      </c>
      <c r="E4288" s="37" t="n"/>
      <c r="F4288" s="39" t="str">
        <f>IF(C4288="","",IFERROR(INDEX(art_unit,MATCH(C4288,art_ref,0))&amp;"",""))</f>
        <v/>
      </c>
      <c r="G4288" s="37" t="n"/>
      <c r="H4288" s="37" t="n"/>
      <c r="I4288" s="37" t="n"/>
      <c r="J4288" s="40" t="str">
        <f>IF(OR(C4288="",NOT(ISNUMBER(E4288))),"",IFERROR(E4288*N(INDEX(art_price,MATCH(C4288,art_ref,0))),""))</f>
        <v/>
      </c>
      <c r="K4288" s="39" t="str">
        <f>IF(OR(C4288="",NOT(ISNUMBER(E4288))),"",IFERROR(ROUND(N(INDEX(art_init,MATCH(C4288,art_ref,0)))+SUMIFS($E$5:E4288,$C$5:C4288,C4288,$B$5:B4288,"Entrée")-SUMIFS($E$5:E4288,$C$5:C4288,C4288,$B$5:B4288,"Sortie"),6),""))</f>
        <v/>
      </c>
      <c r="L4288" s="39" t="str">
        <f>IF(COUNTA(A4288:C4288,E4288)=0,"",IF(COUNTA(A4288:C4288,E4288)&lt;4,"Ligne incomplète",IF(NOT(ISNUMBER(A4288)),"Date invalide",IF(AND(B4288&lt;&gt;"Entrée",B4288&lt;&gt;"Sortie"),"Type inconnu",IF(ISNA(MATCH(C4288,art_ref,0)),"Référence inconnue",IF(OR(NOT(ISNUMBER(E4288)),N(E4288)&lt;=0),"Quantité invalide",IF(K4288&lt;0,"Stock négatif",IF(AND(ISNUMBER(A4287),A4288&lt;A4287),"Date hors ordre","OK"))))))))</f>
        <v/>
      </c>
      <c r="M4288" s="39" t="str">
        <f>IF(C4288="","",C4288&amp;"#"&amp;COUNTIF($C$5:C4288,C4288))</f>
        <v/>
      </c>
    </row>
    <row r="4289">
      <c r="A4289" s="41" t="n"/>
      <c r="B4289" s="37" t="n"/>
      <c r="C4289" s="37" t="n"/>
      <c r="D4289" s="39" t="str">
        <f>IF(C4289="","",IFERROR(INDEX(art_des,MATCH(C4289,art_ref,0))&amp;"","Référence inconnue"))</f>
        <v/>
      </c>
      <c r="E4289" s="37" t="n"/>
      <c r="F4289" s="39" t="str">
        <f>IF(C4289="","",IFERROR(INDEX(art_unit,MATCH(C4289,art_ref,0))&amp;"",""))</f>
        <v/>
      </c>
      <c r="G4289" s="37" t="n"/>
      <c r="H4289" s="37" t="n"/>
      <c r="I4289" s="37" t="n"/>
      <c r="J4289" s="40" t="str">
        <f>IF(OR(C4289="",NOT(ISNUMBER(E4289))),"",IFERROR(E4289*N(INDEX(art_price,MATCH(C4289,art_ref,0))),""))</f>
        <v/>
      </c>
      <c r="K4289" s="39" t="str">
        <f>IF(OR(C4289="",NOT(ISNUMBER(E4289))),"",IFERROR(ROUND(N(INDEX(art_init,MATCH(C4289,art_ref,0)))+SUMIFS($E$5:E4289,$C$5:C4289,C4289,$B$5:B4289,"Entrée")-SUMIFS($E$5:E4289,$C$5:C4289,C4289,$B$5:B4289,"Sortie"),6),""))</f>
        <v/>
      </c>
      <c r="L4289" s="39" t="str">
        <f>IF(COUNTA(A4289:C4289,E4289)=0,"",IF(COUNTA(A4289:C4289,E4289)&lt;4,"Ligne incomplète",IF(NOT(ISNUMBER(A4289)),"Date invalide",IF(AND(B4289&lt;&gt;"Entrée",B4289&lt;&gt;"Sortie"),"Type inconnu",IF(ISNA(MATCH(C4289,art_ref,0)),"Référence inconnue",IF(OR(NOT(ISNUMBER(E4289)),N(E4289)&lt;=0),"Quantité invalide",IF(K4289&lt;0,"Stock négatif",IF(AND(ISNUMBER(A4288),A4289&lt;A4288),"Date hors ordre","OK"))))))))</f>
        <v/>
      </c>
      <c r="M4289" s="39" t="str">
        <f>IF(C4289="","",C4289&amp;"#"&amp;COUNTIF($C$5:C4289,C4289))</f>
        <v/>
      </c>
    </row>
    <row r="4290">
      <c r="A4290" s="41" t="n"/>
      <c r="B4290" s="37" t="n"/>
      <c r="C4290" s="37" t="n"/>
      <c r="D4290" s="39" t="str">
        <f>IF(C4290="","",IFERROR(INDEX(art_des,MATCH(C4290,art_ref,0))&amp;"","Référence inconnue"))</f>
        <v/>
      </c>
      <c r="E4290" s="37" t="n"/>
      <c r="F4290" s="39" t="str">
        <f>IF(C4290="","",IFERROR(INDEX(art_unit,MATCH(C4290,art_ref,0))&amp;"",""))</f>
        <v/>
      </c>
      <c r="G4290" s="37" t="n"/>
      <c r="H4290" s="37" t="n"/>
      <c r="I4290" s="37" t="n"/>
      <c r="J4290" s="40" t="str">
        <f>IF(OR(C4290="",NOT(ISNUMBER(E4290))),"",IFERROR(E4290*N(INDEX(art_price,MATCH(C4290,art_ref,0))),""))</f>
        <v/>
      </c>
      <c r="K4290" s="39" t="str">
        <f>IF(OR(C4290="",NOT(ISNUMBER(E4290))),"",IFERROR(ROUND(N(INDEX(art_init,MATCH(C4290,art_ref,0)))+SUMIFS($E$5:E4290,$C$5:C4290,C4290,$B$5:B4290,"Entrée")-SUMIFS($E$5:E4290,$C$5:C4290,C4290,$B$5:B4290,"Sortie"),6),""))</f>
        <v/>
      </c>
      <c r="L4290" s="39" t="str">
        <f>IF(COUNTA(A4290:C4290,E4290)=0,"",IF(COUNTA(A4290:C4290,E4290)&lt;4,"Ligne incomplète",IF(NOT(ISNUMBER(A4290)),"Date invalide",IF(AND(B4290&lt;&gt;"Entrée",B4290&lt;&gt;"Sortie"),"Type inconnu",IF(ISNA(MATCH(C4290,art_ref,0)),"Référence inconnue",IF(OR(NOT(ISNUMBER(E4290)),N(E4290)&lt;=0),"Quantité invalide",IF(K4290&lt;0,"Stock négatif",IF(AND(ISNUMBER(A4289),A4290&lt;A4289),"Date hors ordre","OK"))))))))</f>
        <v/>
      </c>
      <c r="M4290" s="39" t="str">
        <f>IF(C4290="","",C4290&amp;"#"&amp;COUNTIF($C$5:C4290,C4290))</f>
        <v/>
      </c>
    </row>
    <row r="4291">
      <c r="A4291" s="41" t="n"/>
      <c r="B4291" s="37" t="n"/>
      <c r="C4291" s="37" t="n"/>
      <c r="D4291" s="39" t="str">
        <f>IF(C4291="","",IFERROR(INDEX(art_des,MATCH(C4291,art_ref,0))&amp;"","Référence inconnue"))</f>
        <v/>
      </c>
      <c r="E4291" s="37" t="n"/>
      <c r="F4291" s="39" t="str">
        <f>IF(C4291="","",IFERROR(INDEX(art_unit,MATCH(C4291,art_ref,0))&amp;"",""))</f>
        <v/>
      </c>
      <c r="G4291" s="37" t="n"/>
      <c r="H4291" s="37" t="n"/>
      <c r="I4291" s="37" t="n"/>
      <c r="J4291" s="40" t="str">
        <f>IF(OR(C4291="",NOT(ISNUMBER(E4291))),"",IFERROR(E4291*N(INDEX(art_price,MATCH(C4291,art_ref,0))),""))</f>
        <v/>
      </c>
      <c r="K4291" s="39" t="str">
        <f>IF(OR(C4291="",NOT(ISNUMBER(E4291))),"",IFERROR(ROUND(N(INDEX(art_init,MATCH(C4291,art_ref,0)))+SUMIFS($E$5:E4291,$C$5:C4291,C4291,$B$5:B4291,"Entrée")-SUMIFS($E$5:E4291,$C$5:C4291,C4291,$B$5:B4291,"Sortie"),6),""))</f>
        <v/>
      </c>
      <c r="L4291" s="39" t="str">
        <f>IF(COUNTA(A4291:C4291,E4291)=0,"",IF(COUNTA(A4291:C4291,E4291)&lt;4,"Ligne incomplète",IF(NOT(ISNUMBER(A4291)),"Date invalide",IF(AND(B4291&lt;&gt;"Entrée",B4291&lt;&gt;"Sortie"),"Type inconnu",IF(ISNA(MATCH(C4291,art_ref,0)),"Référence inconnue",IF(OR(NOT(ISNUMBER(E4291)),N(E4291)&lt;=0),"Quantité invalide",IF(K4291&lt;0,"Stock négatif",IF(AND(ISNUMBER(A4290),A4291&lt;A4290),"Date hors ordre","OK"))))))))</f>
        <v/>
      </c>
      <c r="M4291" s="39" t="str">
        <f>IF(C4291="","",C4291&amp;"#"&amp;COUNTIF($C$5:C4291,C4291))</f>
        <v/>
      </c>
    </row>
    <row r="4292">
      <c r="A4292" s="41" t="n"/>
      <c r="B4292" s="37" t="n"/>
      <c r="C4292" s="37" t="n"/>
      <c r="D4292" s="39" t="str">
        <f>IF(C4292="","",IFERROR(INDEX(art_des,MATCH(C4292,art_ref,0))&amp;"","Référence inconnue"))</f>
        <v/>
      </c>
      <c r="E4292" s="37" t="n"/>
      <c r="F4292" s="39" t="str">
        <f>IF(C4292="","",IFERROR(INDEX(art_unit,MATCH(C4292,art_ref,0))&amp;"",""))</f>
        <v/>
      </c>
      <c r="G4292" s="37" t="n"/>
      <c r="H4292" s="37" t="n"/>
      <c r="I4292" s="37" t="n"/>
      <c r="J4292" s="40" t="str">
        <f>IF(OR(C4292="",NOT(ISNUMBER(E4292))),"",IFERROR(E4292*N(INDEX(art_price,MATCH(C4292,art_ref,0))),""))</f>
        <v/>
      </c>
      <c r="K4292" s="39" t="str">
        <f>IF(OR(C4292="",NOT(ISNUMBER(E4292))),"",IFERROR(ROUND(N(INDEX(art_init,MATCH(C4292,art_ref,0)))+SUMIFS($E$5:E4292,$C$5:C4292,C4292,$B$5:B4292,"Entrée")-SUMIFS($E$5:E4292,$C$5:C4292,C4292,$B$5:B4292,"Sortie"),6),""))</f>
        <v/>
      </c>
      <c r="L4292" s="39" t="str">
        <f>IF(COUNTA(A4292:C4292,E4292)=0,"",IF(COUNTA(A4292:C4292,E4292)&lt;4,"Ligne incomplète",IF(NOT(ISNUMBER(A4292)),"Date invalide",IF(AND(B4292&lt;&gt;"Entrée",B4292&lt;&gt;"Sortie"),"Type inconnu",IF(ISNA(MATCH(C4292,art_ref,0)),"Référence inconnue",IF(OR(NOT(ISNUMBER(E4292)),N(E4292)&lt;=0),"Quantité invalide",IF(K4292&lt;0,"Stock négatif",IF(AND(ISNUMBER(A4291),A4292&lt;A4291),"Date hors ordre","OK"))))))))</f>
        <v/>
      </c>
      <c r="M4292" s="39" t="str">
        <f>IF(C4292="","",C4292&amp;"#"&amp;COUNTIF($C$5:C4292,C4292))</f>
        <v/>
      </c>
    </row>
    <row r="4293">
      <c r="A4293" s="41" t="n"/>
      <c r="B4293" s="37" t="n"/>
      <c r="C4293" s="37" t="n"/>
      <c r="D4293" s="39" t="str">
        <f>IF(C4293="","",IFERROR(INDEX(art_des,MATCH(C4293,art_ref,0))&amp;"","Référence inconnue"))</f>
        <v/>
      </c>
      <c r="E4293" s="37" t="n"/>
      <c r="F4293" s="39" t="str">
        <f>IF(C4293="","",IFERROR(INDEX(art_unit,MATCH(C4293,art_ref,0))&amp;"",""))</f>
        <v/>
      </c>
      <c r="G4293" s="37" t="n"/>
      <c r="H4293" s="37" t="n"/>
      <c r="I4293" s="37" t="n"/>
      <c r="J4293" s="40" t="str">
        <f>IF(OR(C4293="",NOT(ISNUMBER(E4293))),"",IFERROR(E4293*N(INDEX(art_price,MATCH(C4293,art_ref,0))),""))</f>
        <v/>
      </c>
      <c r="K4293" s="39" t="str">
        <f>IF(OR(C4293="",NOT(ISNUMBER(E4293))),"",IFERROR(ROUND(N(INDEX(art_init,MATCH(C4293,art_ref,0)))+SUMIFS($E$5:E4293,$C$5:C4293,C4293,$B$5:B4293,"Entrée")-SUMIFS($E$5:E4293,$C$5:C4293,C4293,$B$5:B4293,"Sortie"),6),""))</f>
        <v/>
      </c>
      <c r="L4293" s="39" t="str">
        <f>IF(COUNTA(A4293:C4293,E4293)=0,"",IF(COUNTA(A4293:C4293,E4293)&lt;4,"Ligne incomplète",IF(NOT(ISNUMBER(A4293)),"Date invalide",IF(AND(B4293&lt;&gt;"Entrée",B4293&lt;&gt;"Sortie"),"Type inconnu",IF(ISNA(MATCH(C4293,art_ref,0)),"Référence inconnue",IF(OR(NOT(ISNUMBER(E4293)),N(E4293)&lt;=0),"Quantité invalide",IF(K4293&lt;0,"Stock négatif",IF(AND(ISNUMBER(A4292),A4293&lt;A4292),"Date hors ordre","OK"))))))))</f>
        <v/>
      </c>
      <c r="M4293" s="39" t="str">
        <f>IF(C4293="","",C4293&amp;"#"&amp;COUNTIF($C$5:C4293,C4293))</f>
        <v/>
      </c>
    </row>
    <row r="4294">
      <c r="A4294" s="41" t="n"/>
      <c r="B4294" s="37" t="n"/>
      <c r="C4294" s="37" t="n"/>
      <c r="D4294" s="39" t="str">
        <f>IF(C4294="","",IFERROR(INDEX(art_des,MATCH(C4294,art_ref,0))&amp;"","Référence inconnue"))</f>
        <v/>
      </c>
      <c r="E4294" s="37" t="n"/>
      <c r="F4294" s="39" t="str">
        <f>IF(C4294="","",IFERROR(INDEX(art_unit,MATCH(C4294,art_ref,0))&amp;"",""))</f>
        <v/>
      </c>
      <c r="G4294" s="37" t="n"/>
      <c r="H4294" s="37" t="n"/>
      <c r="I4294" s="37" t="n"/>
      <c r="J4294" s="40" t="str">
        <f>IF(OR(C4294="",NOT(ISNUMBER(E4294))),"",IFERROR(E4294*N(INDEX(art_price,MATCH(C4294,art_ref,0))),""))</f>
        <v/>
      </c>
      <c r="K4294" s="39" t="str">
        <f>IF(OR(C4294="",NOT(ISNUMBER(E4294))),"",IFERROR(ROUND(N(INDEX(art_init,MATCH(C4294,art_ref,0)))+SUMIFS($E$5:E4294,$C$5:C4294,C4294,$B$5:B4294,"Entrée")-SUMIFS($E$5:E4294,$C$5:C4294,C4294,$B$5:B4294,"Sortie"),6),""))</f>
        <v/>
      </c>
      <c r="L4294" s="39" t="str">
        <f>IF(COUNTA(A4294:C4294,E4294)=0,"",IF(COUNTA(A4294:C4294,E4294)&lt;4,"Ligne incomplète",IF(NOT(ISNUMBER(A4294)),"Date invalide",IF(AND(B4294&lt;&gt;"Entrée",B4294&lt;&gt;"Sortie"),"Type inconnu",IF(ISNA(MATCH(C4294,art_ref,0)),"Référence inconnue",IF(OR(NOT(ISNUMBER(E4294)),N(E4294)&lt;=0),"Quantité invalide",IF(K4294&lt;0,"Stock négatif",IF(AND(ISNUMBER(A4293),A4294&lt;A4293),"Date hors ordre","OK"))))))))</f>
        <v/>
      </c>
      <c r="M4294" s="39" t="str">
        <f>IF(C4294="","",C4294&amp;"#"&amp;COUNTIF($C$5:C4294,C4294))</f>
        <v/>
      </c>
    </row>
    <row r="4295">
      <c r="A4295" s="41" t="n"/>
      <c r="B4295" s="37" t="n"/>
      <c r="C4295" s="37" t="n"/>
      <c r="D4295" s="39" t="str">
        <f>IF(C4295="","",IFERROR(INDEX(art_des,MATCH(C4295,art_ref,0))&amp;"","Référence inconnue"))</f>
        <v/>
      </c>
      <c r="E4295" s="37" t="n"/>
      <c r="F4295" s="39" t="str">
        <f>IF(C4295="","",IFERROR(INDEX(art_unit,MATCH(C4295,art_ref,0))&amp;"",""))</f>
        <v/>
      </c>
      <c r="G4295" s="37" t="n"/>
      <c r="H4295" s="37" t="n"/>
      <c r="I4295" s="37" t="n"/>
      <c r="J4295" s="40" t="str">
        <f>IF(OR(C4295="",NOT(ISNUMBER(E4295))),"",IFERROR(E4295*N(INDEX(art_price,MATCH(C4295,art_ref,0))),""))</f>
        <v/>
      </c>
      <c r="K4295" s="39" t="str">
        <f>IF(OR(C4295="",NOT(ISNUMBER(E4295))),"",IFERROR(ROUND(N(INDEX(art_init,MATCH(C4295,art_ref,0)))+SUMIFS($E$5:E4295,$C$5:C4295,C4295,$B$5:B4295,"Entrée")-SUMIFS($E$5:E4295,$C$5:C4295,C4295,$B$5:B4295,"Sortie"),6),""))</f>
        <v/>
      </c>
      <c r="L4295" s="39" t="str">
        <f>IF(COUNTA(A4295:C4295,E4295)=0,"",IF(COUNTA(A4295:C4295,E4295)&lt;4,"Ligne incomplète",IF(NOT(ISNUMBER(A4295)),"Date invalide",IF(AND(B4295&lt;&gt;"Entrée",B4295&lt;&gt;"Sortie"),"Type inconnu",IF(ISNA(MATCH(C4295,art_ref,0)),"Référence inconnue",IF(OR(NOT(ISNUMBER(E4295)),N(E4295)&lt;=0),"Quantité invalide",IF(K4295&lt;0,"Stock négatif",IF(AND(ISNUMBER(A4294),A4295&lt;A4294),"Date hors ordre","OK"))))))))</f>
        <v/>
      </c>
      <c r="M4295" s="39" t="str">
        <f>IF(C4295="","",C4295&amp;"#"&amp;COUNTIF($C$5:C4295,C4295))</f>
        <v/>
      </c>
    </row>
    <row r="4296">
      <c r="A4296" s="41" t="n"/>
      <c r="B4296" s="37" t="n"/>
      <c r="C4296" s="37" t="n"/>
      <c r="D4296" s="39" t="str">
        <f>IF(C4296="","",IFERROR(INDEX(art_des,MATCH(C4296,art_ref,0))&amp;"","Référence inconnue"))</f>
        <v/>
      </c>
      <c r="E4296" s="37" t="n"/>
      <c r="F4296" s="39" t="str">
        <f>IF(C4296="","",IFERROR(INDEX(art_unit,MATCH(C4296,art_ref,0))&amp;"",""))</f>
        <v/>
      </c>
      <c r="G4296" s="37" t="n"/>
      <c r="H4296" s="37" t="n"/>
      <c r="I4296" s="37" t="n"/>
      <c r="J4296" s="40" t="str">
        <f>IF(OR(C4296="",NOT(ISNUMBER(E4296))),"",IFERROR(E4296*N(INDEX(art_price,MATCH(C4296,art_ref,0))),""))</f>
        <v/>
      </c>
      <c r="K4296" s="39" t="str">
        <f>IF(OR(C4296="",NOT(ISNUMBER(E4296))),"",IFERROR(ROUND(N(INDEX(art_init,MATCH(C4296,art_ref,0)))+SUMIFS($E$5:E4296,$C$5:C4296,C4296,$B$5:B4296,"Entrée")-SUMIFS($E$5:E4296,$C$5:C4296,C4296,$B$5:B4296,"Sortie"),6),""))</f>
        <v/>
      </c>
      <c r="L4296" s="39" t="str">
        <f>IF(COUNTA(A4296:C4296,E4296)=0,"",IF(COUNTA(A4296:C4296,E4296)&lt;4,"Ligne incomplète",IF(NOT(ISNUMBER(A4296)),"Date invalide",IF(AND(B4296&lt;&gt;"Entrée",B4296&lt;&gt;"Sortie"),"Type inconnu",IF(ISNA(MATCH(C4296,art_ref,0)),"Référence inconnue",IF(OR(NOT(ISNUMBER(E4296)),N(E4296)&lt;=0),"Quantité invalide",IF(K4296&lt;0,"Stock négatif",IF(AND(ISNUMBER(A4295),A4296&lt;A4295),"Date hors ordre","OK"))))))))</f>
        <v/>
      </c>
      <c r="M4296" s="39" t="str">
        <f>IF(C4296="","",C4296&amp;"#"&amp;COUNTIF($C$5:C4296,C4296))</f>
        <v/>
      </c>
    </row>
    <row r="4297">
      <c r="A4297" s="41" t="n"/>
      <c r="B4297" s="37" t="n"/>
      <c r="C4297" s="37" t="n"/>
      <c r="D4297" s="39" t="str">
        <f>IF(C4297="","",IFERROR(INDEX(art_des,MATCH(C4297,art_ref,0))&amp;"","Référence inconnue"))</f>
        <v/>
      </c>
      <c r="E4297" s="37" t="n"/>
      <c r="F4297" s="39" t="str">
        <f>IF(C4297="","",IFERROR(INDEX(art_unit,MATCH(C4297,art_ref,0))&amp;"",""))</f>
        <v/>
      </c>
      <c r="G4297" s="37" t="n"/>
      <c r="H4297" s="37" t="n"/>
      <c r="I4297" s="37" t="n"/>
      <c r="J4297" s="40" t="str">
        <f>IF(OR(C4297="",NOT(ISNUMBER(E4297))),"",IFERROR(E4297*N(INDEX(art_price,MATCH(C4297,art_ref,0))),""))</f>
        <v/>
      </c>
      <c r="K4297" s="39" t="str">
        <f>IF(OR(C4297="",NOT(ISNUMBER(E4297))),"",IFERROR(ROUND(N(INDEX(art_init,MATCH(C4297,art_ref,0)))+SUMIFS($E$5:E4297,$C$5:C4297,C4297,$B$5:B4297,"Entrée")-SUMIFS($E$5:E4297,$C$5:C4297,C4297,$B$5:B4297,"Sortie"),6),""))</f>
        <v/>
      </c>
      <c r="L4297" s="39" t="str">
        <f>IF(COUNTA(A4297:C4297,E4297)=0,"",IF(COUNTA(A4297:C4297,E4297)&lt;4,"Ligne incomplète",IF(NOT(ISNUMBER(A4297)),"Date invalide",IF(AND(B4297&lt;&gt;"Entrée",B4297&lt;&gt;"Sortie"),"Type inconnu",IF(ISNA(MATCH(C4297,art_ref,0)),"Référence inconnue",IF(OR(NOT(ISNUMBER(E4297)),N(E4297)&lt;=0),"Quantité invalide",IF(K4297&lt;0,"Stock négatif",IF(AND(ISNUMBER(A4296),A4297&lt;A4296),"Date hors ordre","OK"))))))))</f>
        <v/>
      </c>
      <c r="M4297" s="39" t="str">
        <f>IF(C4297="","",C4297&amp;"#"&amp;COUNTIF($C$5:C4297,C4297))</f>
        <v/>
      </c>
    </row>
    <row r="4298">
      <c r="A4298" s="41" t="n"/>
      <c r="B4298" s="37" t="n"/>
      <c r="C4298" s="37" t="n"/>
      <c r="D4298" s="39" t="str">
        <f>IF(C4298="","",IFERROR(INDEX(art_des,MATCH(C4298,art_ref,0))&amp;"","Référence inconnue"))</f>
        <v/>
      </c>
      <c r="E4298" s="37" t="n"/>
      <c r="F4298" s="39" t="str">
        <f>IF(C4298="","",IFERROR(INDEX(art_unit,MATCH(C4298,art_ref,0))&amp;"",""))</f>
        <v/>
      </c>
      <c r="G4298" s="37" t="n"/>
      <c r="H4298" s="37" t="n"/>
      <c r="I4298" s="37" t="n"/>
      <c r="J4298" s="40" t="str">
        <f>IF(OR(C4298="",NOT(ISNUMBER(E4298))),"",IFERROR(E4298*N(INDEX(art_price,MATCH(C4298,art_ref,0))),""))</f>
        <v/>
      </c>
      <c r="K4298" s="39" t="str">
        <f>IF(OR(C4298="",NOT(ISNUMBER(E4298))),"",IFERROR(ROUND(N(INDEX(art_init,MATCH(C4298,art_ref,0)))+SUMIFS($E$5:E4298,$C$5:C4298,C4298,$B$5:B4298,"Entrée")-SUMIFS($E$5:E4298,$C$5:C4298,C4298,$B$5:B4298,"Sortie"),6),""))</f>
        <v/>
      </c>
      <c r="L4298" s="39" t="str">
        <f>IF(COUNTA(A4298:C4298,E4298)=0,"",IF(COUNTA(A4298:C4298,E4298)&lt;4,"Ligne incomplète",IF(NOT(ISNUMBER(A4298)),"Date invalide",IF(AND(B4298&lt;&gt;"Entrée",B4298&lt;&gt;"Sortie"),"Type inconnu",IF(ISNA(MATCH(C4298,art_ref,0)),"Référence inconnue",IF(OR(NOT(ISNUMBER(E4298)),N(E4298)&lt;=0),"Quantité invalide",IF(K4298&lt;0,"Stock négatif",IF(AND(ISNUMBER(A4297),A4298&lt;A4297),"Date hors ordre","OK"))))))))</f>
        <v/>
      </c>
      <c r="M4298" s="39" t="str">
        <f>IF(C4298="","",C4298&amp;"#"&amp;COUNTIF($C$5:C4298,C4298))</f>
        <v/>
      </c>
    </row>
    <row r="4299">
      <c r="A4299" s="41" t="n"/>
      <c r="B4299" s="37" t="n"/>
      <c r="C4299" s="37" t="n"/>
      <c r="D4299" s="39" t="str">
        <f>IF(C4299="","",IFERROR(INDEX(art_des,MATCH(C4299,art_ref,0))&amp;"","Référence inconnue"))</f>
        <v/>
      </c>
      <c r="E4299" s="37" t="n"/>
      <c r="F4299" s="39" t="str">
        <f>IF(C4299="","",IFERROR(INDEX(art_unit,MATCH(C4299,art_ref,0))&amp;"",""))</f>
        <v/>
      </c>
      <c r="G4299" s="37" t="n"/>
      <c r="H4299" s="37" t="n"/>
      <c r="I4299" s="37" t="n"/>
      <c r="J4299" s="40" t="str">
        <f>IF(OR(C4299="",NOT(ISNUMBER(E4299))),"",IFERROR(E4299*N(INDEX(art_price,MATCH(C4299,art_ref,0))),""))</f>
        <v/>
      </c>
      <c r="K4299" s="39" t="str">
        <f>IF(OR(C4299="",NOT(ISNUMBER(E4299))),"",IFERROR(ROUND(N(INDEX(art_init,MATCH(C4299,art_ref,0)))+SUMIFS($E$5:E4299,$C$5:C4299,C4299,$B$5:B4299,"Entrée")-SUMIFS($E$5:E4299,$C$5:C4299,C4299,$B$5:B4299,"Sortie"),6),""))</f>
        <v/>
      </c>
      <c r="L4299" s="39" t="str">
        <f>IF(COUNTA(A4299:C4299,E4299)=0,"",IF(COUNTA(A4299:C4299,E4299)&lt;4,"Ligne incomplète",IF(NOT(ISNUMBER(A4299)),"Date invalide",IF(AND(B4299&lt;&gt;"Entrée",B4299&lt;&gt;"Sortie"),"Type inconnu",IF(ISNA(MATCH(C4299,art_ref,0)),"Référence inconnue",IF(OR(NOT(ISNUMBER(E4299)),N(E4299)&lt;=0),"Quantité invalide",IF(K4299&lt;0,"Stock négatif",IF(AND(ISNUMBER(A4298),A4299&lt;A4298),"Date hors ordre","OK"))))))))</f>
        <v/>
      </c>
      <c r="M4299" s="39" t="str">
        <f>IF(C4299="","",C4299&amp;"#"&amp;COUNTIF($C$5:C4299,C4299))</f>
        <v/>
      </c>
    </row>
    <row r="4300">
      <c r="A4300" s="41" t="n"/>
      <c r="B4300" s="37" t="n"/>
      <c r="C4300" s="37" t="n"/>
      <c r="D4300" s="39" t="str">
        <f>IF(C4300="","",IFERROR(INDEX(art_des,MATCH(C4300,art_ref,0))&amp;"","Référence inconnue"))</f>
        <v/>
      </c>
      <c r="E4300" s="37" t="n"/>
      <c r="F4300" s="39" t="str">
        <f>IF(C4300="","",IFERROR(INDEX(art_unit,MATCH(C4300,art_ref,0))&amp;"",""))</f>
        <v/>
      </c>
      <c r="G4300" s="37" t="n"/>
      <c r="H4300" s="37" t="n"/>
      <c r="I4300" s="37" t="n"/>
      <c r="J4300" s="40" t="str">
        <f>IF(OR(C4300="",NOT(ISNUMBER(E4300))),"",IFERROR(E4300*N(INDEX(art_price,MATCH(C4300,art_ref,0))),""))</f>
        <v/>
      </c>
      <c r="K4300" s="39" t="str">
        <f>IF(OR(C4300="",NOT(ISNUMBER(E4300))),"",IFERROR(ROUND(N(INDEX(art_init,MATCH(C4300,art_ref,0)))+SUMIFS($E$5:E4300,$C$5:C4300,C4300,$B$5:B4300,"Entrée")-SUMIFS($E$5:E4300,$C$5:C4300,C4300,$B$5:B4300,"Sortie"),6),""))</f>
        <v/>
      </c>
      <c r="L4300" s="39" t="str">
        <f>IF(COUNTA(A4300:C4300,E4300)=0,"",IF(COUNTA(A4300:C4300,E4300)&lt;4,"Ligne incomplète",IF(NOT(ISNUMBER(A4300)),"Date invalide",IF(AND(B4300&lt;&gt;"Entrée",B4300&lt;&gt;"Sortie"),"Type inconnu",IF(ISNA(MATCH(C4300,art_ref,0)),"Référence inconnue",IF(OR(NOT(ISNUMBER(E4300)),N(E4300)&lt;=0),"Quantité invalide",IF(K4300&lt;0,"Stock négatif",IF(AND(ISNUMBER(A4299),A4300&lt;A4299),"Date hors ordre","OK"))))))))</f>
        <v/>
      </c>
      <c r="M4300" s="39" t="str">
        <f>IF(C4300="","",C4300&amp;"#"&amp;COUNTIF($C$5:C4300,C4300))</f>
        <v/>
      </c>
    </row>
    <row r="4301">
      <c r="A4301" s="41" t="n"/>
      <c r="B4301" s="37" t="n"/>
      <c r="C4301" s="37" t="n"/>
      <c r="D4301" s="39" t="str">
        <f>IF(C4301="","",IFERROR(INDEX(art_des,MATCH(C4301,art_ref,0))&amp;"","Référence inconnue"))</f>
        <v/>
      </c>
      <c r="E4301" s="37" t="n"/>
      <c r="F4301" s="39" t="str">
        <f>IF(C4301="","",IFERROR(INDEX(art_unit,MATCH(C4301,art_ref,0))&amp;"",""))</f>
        <v/>
      </c>
      <c r="G4301" s="37" t="n"/>
      <c r="H4301" s="37" t="n"/>
      <c r="I4301" s="37" t="n"/>
      <c r="J4301" s="40" t="str">
        <f>IF(OR(C4301="",NOT(ISNUMBER(E4301))),"",IFERROR(E4301*N(INDEX(art_price,MATCH(C4301,art_ref,0))),""))</f>
        <v/>
      </c>
      <c r="K4301" s="39" t="str">
        <f>IF(OR(C4301="",NOT(ISNUMBER(E4301))),"",IFERROR(ROUND(N(INDEX(art_init,MATCH(C4301,art_ref,0)))+SUMIFS($E$5:E4301,$C$5:C4301,C4301,$B$5:B4301,"Entrée")-SUMIFS($E$5:E4301,$C$5:C4301,C4301,$B$5:B4301,"Sortie"),6),""))</f>
        <v/>
      </c>
      <c r="L4301" s="39" t="str">
        <f>IF(COUNTA(A4301:C4301,E4301)=0,"",IF(COUNTA(A4301:C4301,E4301)&lt;4,"Ligne incomplète",IF(NOT(ISNUMBER(A4301)),"Date invalide",IF(AND(B4301&lt;&gt;"Entrée",B4301&lt;&gt;"Sortie"),"Type inconnu",IF(ISNA(MATCH(C4301,art_ref,0)),"Référence inconnue",IF(OR(NOT(ISNUMBER(E4301)),N(E4301)&lt;=0),"Quantité invalide",IF(K4301&lt;0,"Stock négatif",IF(AND(ISNUMBER(A4300),A4301&lt;A4300),"Date hors ordre","OK"))))))))</f>
        <v/>
      </c>
      <c r="M4301" s="39" t="str">
        <f>IF(C4301="","",C4301&amp;"#"&amp;COUNTIF($C$5:C4301,C4301))</f>
        <v/>
      </c>
    </row>
    <row r="4302">
      <c r="A4302" s="41" t="n"/>
      <c r="B4302" s="37" t="n"/>
      <c r="C4302" s="37" t="n"/>
      <c r="D4302" s="39" t="str">
        <f>IF(C4302="","",IFERROR(INDEX(art_des,MATCH(C4302,art_ref,0))&amp;"","Référence inconnue"))</f>
        <v/>
      </c>
      <c r="E4302" s="37" t="n"/>
      <c r="F4302" s="39" t="str">
        <f>IF(C4302="","",IFERROR(INDEX(art_unit,MATCH(C4302,art_ref,0))&amp;"",""))</f>
        <v/>
      </c>
      <c r="G4302" s="37" t="n"/>
      <c r="H4302" s="37" t="n"/>
      <c r="I4302" s="37" t="n"/>
      <c r="J4302" s="40" t="str">
        <f>IF(OR(C4302="",NOT(ISNUMBER(E4302))),"",IFERROR(E4302*N(INDEX(art_price,MATCH(C4302,art_ref,0))),""))</f>
        <v/>
      </c>
      <c r="K4302" s="39" t="str">
        <f>IF(OR(C4302="",NOT(ISNUMBER(E4302))),"",IFERROR(ROUND(N(INDEX(art_init,MATCH(C4302,art_ref,0)))+SUMIFS($E$5:E4302,$C$5:C4302,C4302,$B$5:B4302,"Entrée")-SUMIFS($E$5:E4302,$C$5:C4302,C4302,$B$5:B4302,"Sortie"),6),""))</f>
        <v/>
      </c>
      <c r="L4302" s="39" t="str">
        <f>IF(COUNTA(A4302:C4302,E4302)=0,"",IF(COUNTA(A4302:C4302,E4302)&lt;4,"Ligne incomplète",IF(NOT(ISNUMBER(A4302)),"Date invalide",IF(AND(B4302&lt;&gt;"Entrée",B4302&lt;&gt;"Sortie"),"Type inconnu",IF(ISNA(MATCH(C4302,art_ref,0)),"Référence inconnue",IF(OR(NOT(ISNUMBER(E4302)),N(E4302)&lt;=0),"Quantité invalide",IF(K4302&lt;0,"Stock négatif",IF(AND(ISNUMBER(A4301),A4302&lt;A4301),"Date hors ordre","OK"))))))))</f>
        <v/>
      </c>
      <c r="M4302" s="39" t="str">
        <f>IF(C4302="","",C4302&amp;"#"&amp;COUNTIF($C$5:C4302,C4302))</f>
        <v/>
      </c>
    </row>
    <row r="4303">
      <c r="A4303" s="41" t="n"/>
      <c r="B4303" s="37" t="n"/>
      <c r="C4303" s="37" t="n"/>
      <c r="D4303" s="39" t="str">
        <f>IF(C4303="","",IFERROR(INDEX(art_des,MATCH(C4303,art_ref,0))&amp;"","Référence inconnue"))</f>
        <v/>
      </c>
      <c r="E4303" s="37" t="n"/>
      <c r="F4303" s="39" t="str">
        <f>IF(C4303="","",IFERROR(INDEX(art_unit,MATCH(C4303,art_ref,0))&amp;"",""))</f>
        <v/>
      </c>
      <c r="G4303" s="37" t="n"/>
      <c r="H4303" s="37" t="n"/>
      <c r="I4303" s="37" t="n"/>
      <c r="J4303" s="40" t="str">
        <f>IF(OR(C4303="",NOT(ISNUMBER(E4303))),"",IFERROR(E4303*N(INDEX(art_price,MATCH(C4303,art_ref,0))),""))</f>
        <v/>
      </c>
      <c r="K4303" s="39" t="str">
        <f>IF(OR(C4303="",NOT(ISNUMBER(E4303))),"",IFERROR(ROUND(N(INDEX(art_init,MATCH(C4303,art_ref,0)))+SUMIFS($E$5:E4303,$C$5:C4303,C4303,$B$5:B4303,"Entrée")-SUMIFS($E$5:E4303,$C$5:C4303,C4303,$B$5:B4303,"Sortie"),6),""))</f>
        <v/>
      </c>
      <c r="L4303" s="39" t="str">
        <f>IF(COUNTA(A4303:C4303,E4303)=0,"",IF(COUNTA(A4303:C4303,E4303)&lt;4,"Ligne incomplète",IF(NOT(ISNUMBER(A4303)),"Date invalide",IF(AND(B4303&lt;&gt;"Entrée",B4303&lt;&gt;"Sortie"),"Type inconnu",IF(ISNA(MATCH(C4303,art_ref,0)),"Référence inconnue",IF(OR(NOT(ISNUMBER(E4303)),N(E4303)&lt;=0),"Quantité invalide",IF(K4303&lt;0,"Stock négatif",IF(AND(ISNUMBER(A4302),A4303&lt;A4302),"Date hors ordre","OK"))))))))</f>
        <v/>
      </c>
      <c r="M4303" s="39" t="str">
        <f>IF(C4303="","",C4303&amp;"#"&amp;COUNTIF($C$5:C4303,C4303))</f>
        <v/>
      </c>
    </row>
    <row r="4304">
      <c r="A4304" s="41" t="n"/>
      <c r="B4304" s="37" t="n"/>
      <c r="C4304" s="37" t="n"/>
      <c r="D4304" s="39" t="str">
        <f>IF(C4304="","",IFERROR(INDEX(art_des,MATCH(C4304,art_ref,0))&amp;"","Référence inconnue"))</f>
        <v/>
      </c>
      <c r="E4304" s="37" t="n"/>
      <c r="F4304" s="39" t="str">
        <f>IF(C4304="","",IFERROR(INDEX(art_unit,MATCH(C4304,art_ref,0))&amp;"",""))</f>
        <v/>
      </c>
      <c r="G4304" s="37" t="n"/>
      <c r="H4304" s="37" t="n"/>
      <c r="I4304" s="37" t="n"/>
      <c r="J4304" s="40" t="str">
        <f>IF(OR(C4304="",NOT(ISNUMBER(E4304))),"",IFERROR(E4304*N(INDEX(art_price,MATCH(C4304,art_ref,0))),""))</f>
        <v/>
      </c>
      <c r="K4304" s="39" t="str">
        <f>IF(OR(C4304="",NOT(ISNUMBER(E4304))),"",IFERROR(ROUND(N(INDEX(art_init,MATCH(C4304,art_ref,0)))+SUMIFS($E$5:E4304,$C$5:C4304,C4304,$B$5:B4304,"Entrée")-SUMIFS($E$5:E4304,$C$5:C4304,C4304,$B$5:B4304,"Sortie"),6),""))</f>
        <v/>
      </c>
      <c r="L4304" s="39" t="str">
        <f>IF(COUNTA(A4304:C4304,E4304)=0,"",IF(COUNTA(A4304:C4304,E4304)&lt;4,"Ligne incomplète",IF(NOT(ISNUMBER(A4304)),"Date invalide",IF(AND(B4304&lt;&gt;"Entrée",B4304&lt;&gt;"Sortie"),"Type inconnu",IF(ISNA(MATCH(C4304,art_ref,0)),"Référence inconnue",IF(OR(NOT(ISNUMBER(E4304)),N(E4304)&lt;=0),"Quantité invalide",IF(K4304&lt;0,"Stock négatif",IF(AND(ISNUMBER(A4303),A4304&lt;A4303),"Date hors ordre","OK"))))))))</f>
        <v/>
      </c>
      <c r="M4304" s="39" t="str">
        <f>IF(C4304="","",C4304&amp;"#"&amp;COUNTIF($C$5:C4304,C4304))</f>
        <v/>
      </c>
    </row>
    <row r="4305">
      <c r="A4305" s="41" t="n"/>
      <c r="B4305" s="37" t="n"/>
      <c r="C4305" s="37" t="n"/>
      <c r="D4305" s="39" t="str">
        <f>IF(C4305="","",IFERROR(INDEX(art_des,MATCH(C4305,art_ref,0))&amp;"","Référence inconnue"))</f>
        <v/>
      </c>
      <c r="E4305" s="37" t="n"/>
      <c r="F4305" s="39" t="str">
        <f>IF(C4305="","",IFERROR(INDEX(art_unit,MATCH(C4305,art_ref,0))&amp;"",""))</f>
        <v/>
      </c>
      <c r="G4305" s="37" t="n"/>
      <c r="H4305" s="37" t="n"/>
      <c r="I4305" s="37" t="n"/>
      <c r="J4305" s="40" t="str">
        <f>IF(OR(C4305="",NOT(ISNUMBER(E4305))),"",IFERROR(E4305*N(INDEX(art_price,MATCH(C4305,art_ref,0))),""))</f>
        <v/>
      </c>
      <c r="K4305" s="39" t="str">
        <f>IF(OR(C4305="",NOT(ISNUMBER(E4305))),"",IFERROR(ROUND(N(INDEX(art_init,MATCH(C4305,art_ref,0)))+SUMIFS($E$5:E4305,$C$5:C4305,C4305,$B$5:B4305,"Entrée")-SUMIFS($E$5:E4305,$C$5:C4305,C4305,$B$5:B4305,"Sortie"),6),""))</f>
        <v/>
      </c>
      <c r="L4305" s="39" t="str">
        <f>IF(COUNTA(A4305:C4305,E4305)=0,"",IF(COUNTA(A4305:C4305,E4305)&lt;4,"Ligne incomplète",IF(NOT(ISNUMBER(A4305)),"Date invalide",IF(AND(B4305&lt;&gt;"Entrée",B4305&lt;&gt;"Sortie"),"Type inconnu",IF(ISNA(MATCH(C4305,art_ref,0)),"Référence inconnue",IF(OR(NOT(ISNUMBER(E4305)),N(E4305)&lt;=0),"Quantité invalide",IF(K4305&lt;0,"Stock négatif",IF(AND(ISNUMBER(A4304),A4305&lt;A4304),"Date hors ordre","OK"))))))))</f>
        <v/>
      </c>
      <c r="M4305" s="39" t="str">
        <f>IF(C4305="","",C4305&amp;"#"&amp;COUNTIF($C$5:C4305,C4305))</f>
        <v/>
      </c>
    </row>
    <row r="4306">
      <c r="A4306" s="41" t="n"/>
      <c r="B4306" s="37" t="n"/>
      <c r="C4306" s="37" t="n"/>
      <c r="D4306" s="39" t="str">
        <f>IF(C4306="","",IFERROR(INDEX(art_des,MATCH(C4306,art_ref,0))&amp;"","Référence inconnue"))</f>
        <v/>
      </c>
      <c r="E4306" s="37" t="n"/>
      <c r="F4306" s="39" t="str">
        <f>IF(C4306="","",IFERROR(INDEX(art_unit,MATCH(C4306,art_ref,0))&amp;"",""))</f>
        <v/>
      </c>
      <c r="G4306" s="37" t="n"/>
      <c r="H4306" s="37" t="n"/>
      <c r="I4306" s="37" t="n"/>
      <c r="J4306" s="40" t="str">
        <f>IF(OR(C4306="",NOT(ISNUMBER(E4306))),"",IFERROR(E4306*N(INDEX(art_price,MATCH(C4306,art_ref,0))),""))</f>
        <v/>
      </c>
      <c r="K4306" s="39" t="str">
        <f>IF(OR(C4306="",NOT(ISNUMBER(E4306))),"",IFERROR(ROUND(N(INDEX(art_init,MATCH(C4306,art_ref,0)))+SUMIFS($E$5:E4306,$C$5:C4306,C4306,$B$5:B4306,"Entrée")-SUMIFS($E$5:E4306,$C$5:C4306,C4306,$B$5:B4306,"Sortie"),6),""))</f>
        <v/>
      </c>
      <c r="L4306" s="39" t="str">
        <f>IF(COUNTA(A4306:C4306,E4306)=0,"",IF(COUNTA(A4306:C4306,E4306)&lt;4,"Ligne incomplète",IF(NOT(ISNUMBER(A4306)),"Date invalide",IF(AND(B4306&lt;&gt;"Entrée",B4306&lt;&gt;"Sortie"),"Type inconnu",IF(ISNA(MATCH(C4306,art_ref,0)),"Référence inconnue",IF(OR(NOT(ISNUMBER(E4306)),N(E4306)&lt;=0),"Quantité invalide",IF(K4306&lt;0,"Stock négatif",IF(AND(ISNUMBER(A4305),A4306&lt;A4305),"Date hors ordre","OK"))))))))</f>
        <v/>
      </c>
      <c r="M4306" s="39" t="str">
        <f>IF(C4306="","",C4306&amp;"#"&amp;COUNTIF($C$5:C4306,C4306))</f>
        <v/>
      </c>
    </row>
    <row r="4307">
      <c r="A4307" s="41" t="n"/>
      <c r="B4307" s="37" t="n"/>
      <c r="C4307" s="37" t="n"/>
      <c r="D4307" s="39" t="str">
        <f>IF(C4307="","",IFERROR(INDEX(art_des,MATCH(C4307,art_ref,0))&amp;"","Référence inconnue"))</f>
        <v/>
      </c>
      <c r="E4307" s="37" t="n"/>
      <c r="F4307" s="39" t="str">
        <f>IF(C4307="","",IFERROR(INDEX(art_unit,MATCH(C4307,art_ref,0))&amp;"",""))</f>
        <v/>
      </c>
      <c r="G4307" s="37" t="n"/>
      <c r="H4307" s="37" t="n"/>
      <c r="I4307" s="37" t="n"/>
      <c r="J4307" s="40" t="str">
        <f>IF(OR(C4307="",NOT(ISNUMBER(E4307))),"",IFERROR(E4307*N(INDEX(art_price,MATCH(C4307,art_ref,0))),""))</f>
        <v/>
      </c>
      <c r="K4307" s="39" t="str">
        <f>IF(OR(C4307="",NOT(ISNUMBER(E4307))),"",IFERROR(ROUND(N(INDEX(art_init,MATCH(C4307,art_ref,0)))+SUMIFS($E$5:E4307,$C$5:C4307,C4307,$B$5:B4307,"Entrée")-SUMIFS($E$5:E4307,$C$5:C4307,C4307,$B$5:B4307,"Sortie"),6),""))</f>
        <v/>
      </c>
      <c r="L4307" s="39" t="str">
        <f>IF(COUNTA(A4307:C4307,E4307)=0,"",IF(COUNTA(A4307:C4307,E4307)&lt;4,"Ligne incomplète",IF(NOT(ISNUMBER(A4307)),"Date invalide",IF(AND(B4307&lt;&gt;"Entrée",B4307&lt;&gt;"Sortie"),"Type inconnu",IF(ISNA(MATCH(C4307,art_ref,0)),"Référence inconnue",IF(OR(NOT(ISNUMBER(E4307)),N(E4307)&lt;=0),"Quantité invalide",IF(K4307&lt;0,"Stock négatif",IF(AND(ISNUMBER(A4306),A4307&lt;A4306),"Date hors ordre","OK"))))))))</f>
        <v/>
      </c>
      <c r="M4307" s="39" t="str">
        <f>IF(C4307="","",C4307&amp;"#"&amp;COUNTIF($C$5:C4307,C4307))</f>
        <v/>
      </c>
    </row>
    <row r="4308">
      <c r="A4308" s="41" t="n"/>
      <c r="B4308" s="37" t="n"/>
      <c r="C4308" s="37" t="n"/>
      <c r="D4308" s="39" t="str">
        <f>IF(C4308="","",IFERROR(INDEX(art_des,MATCH(C4308,art_ref,0))&amp;"","Référence inconnue"))</f>
        <v/>
      </c>
      <c r="E4308" s="37" t="n"/>
      <c r="F4308" s="39" t="str">
        <f>IF(C4308="","",IFERROR(INDEX(art_unit,MATCH(C4308,art_ref,0))&amp;"",""))</f>
        <v/>
      </c>
      <c r="G4308" s="37" t="n"/>
      <c r="H4308" s="37" t="n"/>
      <c r="I4308" s="37" t="n"/>
      <c r="J4308" s="40" t="str">
        <f>IF(OR(C4308="",NOT(ISNUMBER(E4308))),"",IFERROR(E4308*N(INDEX(art_price,MATCH(C4308,art_ref,0))),""))</f>
        <v/>
      </c>
      <c r="K4308" s="39" t="str">
        <f>IF(OR(C4308="",NOT(ISNUMBER(E4308))),"",IFERROR(ROUND(N(INDEX(art_init,MATCH(C4308,art_ref,0)))+SUMIFS($E$5:E4308,$C$5:C4308,C4308,$B$5:B4308,"Entrée")-SUMIFS($E$5:E4308,$C$5:C4308,C4308,$B$5:B4308,"Sortie"),6),""))</f>
        <v/>
      </c>
      <c r="L4308" s="39" t="str">
        <f>IF(COUNTA(A4308:C4308,E4308)=0,"",IF(COUNTA(A4308:C4308,E4308)&lt;4,"Ligne incomplète",IF(NOT(ISNUMBER(A4308)),"Date invalide",IF(AND(B4308&lt;&gt;"Entrée",B4308&lt;&gt;"Sortie"),"Type inconnu",IF(ISNA(MATCH(C4308,art_ref,0)),"Référence inconnue",IF(OR(NOT(ISNUMBER(E4308)),N(E4308)&lt;=0),"Quantité invalide",IF(K4308&lt;0,"Stock négatif",IF(AND(ISNUMBER(A4307),A4308&lt;A4307),"Date hors ordre","OK"))))))))</f>
        <v/>
      </c>
      <c r="M4308" s="39" t="str">
        <f>IF(C4308="","",C4308&amp;"#"&amp;COUNTIF($C$5:C4308,C4308))</f>
        <v/>
      </c>
    </row>
    <row r="4309">
      <c r="A4309" s="41" t="n"/>
      <c r="B4309" s="37" t="n"/>
      <c r="C4309" s="37" t="n"/>
      <c r="D4309" s="39" t="str">
        <f>IF(C4309="","",IFERROR(INDEX(art_des,MATCH(C4309,art_ref,0))&amp;"","Référence inconnue"))</f>
        <v/>
      </c>
      <c r="E4309" s="37" t="n"/>
      <c r="F4309" s="39" t="str">
        <f>IF(C4309="","",IFERROR(INDEX(art_unit,MATCH(C4309,art_ref,0))&amp;"",""))</f>
        <v/>
      </c>
      <c r="G4309" s="37" t="n"/>
      <c r="H4309" s="37" t="n"/>
      <c r="I4309" s="37" t="n"/>
      <c r="J4309" s="40" t="str">
        <f>IF(OR(C4309="",NOT(ISNUMBER(E4309))),"",IFERROR(E4309*N(INDEX(art_price,MATCH(C4309,art_ref,0))),""))</f>
        <v/>
      </c>
      <c r="K4309" s="39" t="str">
        <f>IF(OR(C4309="",NOT(ISNUMBER(E4309))),"",IFERROR(ROUND(N(INDEX(art_init,MATCH(C4309,art_ref,0)))+SUMIFS($E$5:E4309,$C$5:C4309,C4309,$B$5:B4309,"Entrée")-SUMIFS($E$5:E4309,$C$5:C4309,C4309,$B$5:B4309,"Sortie"),6),""))</f>
        <v/>
      </c>
      <c r="L4309" s="39" t="str">
        <f>IF(COUNTA(A4309:C4309,E4309)=0,"",IF(COUNTA(A4309:C4309,E4309)&lt;4,"Ligne incomplète",IF(NOT(ISNUMBER(A4309)),"Date invalide",IF(AND(B4309&lt;&gt;"Entrée",B4309&lt;&gt;"Sortie"),"Type inconnu",IF(ISNA(MATCH(C4309,art_ref,0)),"Référence inconnue",IF(OR(NOT(ISNUMBER(E4309)),N(E4309)&lt;=0),"Quantité invalide",IF(K4309&lt;0,"Stock négatif",IF(AND(ISNUMBER(A4308),A4309&lt;A4308),"Date hors ordre","OK"))))))))</f>
        <v/>
      </c>
      <c r="M4309" s="39" t="str">
        <f>IF(C4309="","",C4309&amp;"#"&amp;COUNTIF($C$5:C4309,C4309))</f>
        <v/>
      </c>
    </row>
    <row r="4310">
      <c r="A4310" s="41" t="n"/>
      <c r="B4310" s="37" t="n"/>
      <c r="C4310" s="37" t="n"/>
      <c r="D4310" s="39" t="str">
        <f>IF(C4310="","",IFERROR(INDEX(art_des,MATCH(C4310,art_ref,0))&amp;"","Référence inconnue"))</f>
        <v/>
      </c>
      <c r="E4310" s="37" t="n"/>
      <c r="F4310" s="39" t="str">
        <f>IF(C4310="","",IFERROR(INDEX(art_unit,MATCH(C4310,art_ref,0))&amp;"",""))</f>
        <v/>
      </c>
      <c r="G4310" s="37" t="n"/>
      <c r="H4310" s="37" t="n"/>
      <c r="I4310" s="37" t="n"/>
      <c r="J4310" s="40" t="str">
        <f>IF(OR(C4310="",NOT(ISNUMBER(E4310))),"",IFERROR(E4310*N(INDEX(art_price,MATCH(C4310,art_ref,0))),""))</f>
        <v/>
      </c>
      <c r="K4310" s="39" t="str">
        <f>IF(OR(C4310="",NOT(ISNUMBER(E4310))),"",IFERROR(ROUND(N(INDEX(art_init,MATCH(C4310,art_ref,0)))+SUMIFS($E$5:E4310,$C$5:C4310,C4310,$B$5:B4310,"Entrée")-SUMIFS($E$5:E4310,$C$5:C4310,C4310,$B$5:B4310,"Sortie"),6),""))</f>
        <v/>
      </c>
      <c r="L4310" s="39" t="str">
        <f>IF(COUNTA(A4310:C4310,E4310)=0,"",IF(COUNTA(A4310:C4310,E4310)&lt;4,"Ligne incomplète",IF(NOT(ISNUMBER(A4310)),"Date invalide",IF(AND(B4310&lt;&gt;"Entrée",B4310&lt;&gt;"Sortie"),"Type inconnu",IF(ISNA(MATCH(C4310,art_ref,0)),"Référence inconnue",IF(OR(NOT(ISNUMBER(E4310)),N(E4310)&lt;=0),"Quantité invalide",IF(K4310&lt;0,"Stock négatif",IF(AND(ISNUMBER(A4309),A4310&lt;A4309),"Date hors ordre","OK"))))))))</f>
        <v/>
      </c>
      <c r="M4310" s="39" t="str">
        <f>IF(C4310="","",C4310&amp;"#"&amp;COUNTIF($C$5:C4310,C4310))</f>
        <v/>
      </c>
    </row>
    <row r="4311">
      <c r="A4311" s="41" t="n"/>
      <c r="B4311" s="37" t="n"/>
      <c r="C4311" s="37" t="n"/>
      <c r="D4311" s="39" t="str">
        <f>IF(C4311="","",IFERROR(INDEX(art_des,MATCH(C4311,art_ref,0))&amp;"","Référence inconnue"))</f>
        <v/>
      </c>
      <c r="E4311" s="37" t="n"/>
      <c r="F4311" s="39" t="str">
        <f>IF(C4311="","",IFERROR(INDEX(art_unit,MATCH(C4311,art_ref,0))&amp;"",""))</f>
        <v/>
      </c>
      <c r="G4311" s="37" t="n"/>
      <c r="H4311" s="37" t="n"/>
      <c r="I4311" s="37" t="n"/>
      <c r="J4311" s="40" t="str">
        <f>IF(OR(C4311="",NOT(ISNUMBER(E4311))),"",IFERROR(E4311*N(INDEX(art_price,MATCH(C4311,art_ref,0))),""))</f>
        <v/>
      </c>
      <c r="K4311" s="39" t="str">
        <f>IF(OR(C4311="",NOT(ISNUMBER(E4311))),"",IFERROR(ROUND(N(INDEX(art_init,MATCH(C4311,art_ref,0)))+SUMIFS($E$5:E4311,$C$5:C4311,C4311,$B$5:B4311,"Entrée")-SUMIFS($E$5:E4311,$C$5:C4311,C4311,$B$5:B4311,"Sortie"),6),""))</f>
        <v/>
      </c>
      <c r="L4311" s="39" t="str">
        <f>IF(COUNTA(A4311:C4311,E4311)=0,"",IF(COUNTA(A4311:C4311,E4311)&lt;4,"Ligne incomplète",IF(NOT(ISNUMBER(A4311)),"Date invalide",IF(AND(B4311&lt;&gt;"Entrée",B4311&lt;&gt;"Sortie"),"Type inconnu",IF(ISNA(MATCH(C4311,art_ref,0)),"Référence inconnue",IF(OR(NOT(ISNUMBER(E4311)),N(E4311)&lt;=0),"Quantité invalide",IF(K4311&lt;0,"Stock négatif",IF(AND(ISNUMBER(A4310),A4311&lt;A4310),"Date hors ordre","OK"))))))))</f>
        <v/>
      </c>
      <c r="M4311" s="39" t="str">
        <f>IF(C4311="","",C4311&amp;"#"&amp;COUNTIF($C$5:C4311,C4311))</f>
        <v/>
      </c>
    </row>
    <row r="4312">
      <c r="A4312" s="41" t="n"/>
      <c r="B4312" s="37" t="n"/>
      <c r="C4312" s="37" t="n"/>
      <c r="D4312" s="39" t="str">
        <f>IF(C4312="","",IFERROR(INDEX(art_des,MATCH(C4312,art_ref,0))&amp;"","Référence inconnue"))</f>
        <v/>
      </c>
      <c r="E4312" s="37" t="n"/>
      <c r="F4312" s="39" t="str">
        <f>IF(C4312="","",IFERROR(INDEX(art_unit,MATCH(C4312,art_ref,0))&amp;"",""))</f>
        <v/>
      </c>
      <c r="G4312" s="37" t="n"/>
      <c r="H4312" s="37" t="n"/>
      <c r="I4312" s="37" t="n"/>
      <c r="J4312" s="40" t="str">
        <f>IF(OR(C4312="",NOT(ISNUMBER(E4312))),"",IFERROR(E4312*N(INDEX(art_price,MATCH(C4312,art_ref,0))),""))</f>
        <v/>
      </c>
      <c r="K4312" s="39" t="str">
        <f>IF(OR(C4312="",NOT(ISNUMBER(E4312))),"",IFERROR(ROUND(N(INDEX(art_init,MATCH(C4312,art_ref,0)))+SUMIFS($E$5:E4312,$C$5:C4312,C4312,$B$5:B4312,"Entrée")-SUMIFS($E$5:E4312,$C$5:C4312,C4312,$B$5:B4312,"Sortie"),6),""))</f>
        <v/>
      </c>
      <c r="L4312" s="39" t="str">
        <f>IF(COUNTA(A4312:C4312,E4312)=0,"",IF(COUNTA(A4312:C4312,E4312)&lt;4,"Ligne incomplète",IF(NOT(ISNUMBER(A4312)),"Date invalide",IF(AND(B4312&lt;&gt;"Entrée",B4312&lt;&gt;"Sortie"),"Type inconnu",IF(ISNA(MATCH(C4312,art_ref,0)),"Référence inconnue",IF(OR(NOT(ISNUMBER(E4312)),N(E4312)&lt;=0),"Quantité invalide",IF(K4312&lt;0,"Stock négatif",IF(AND(ISNUMBER(A4311),A4312&lt;A4311),"Date hors ordre","OK"))))))))</f>
        <v/>
      </c>
      <c r="M4312" s="39" t="str">
        <f>IF(C4312="","",C4312&amp;"#"&amp;COUNTIF($C$5:C4312,C4312))</f>
        <v/>
      </c>
    </row>
    <row r="4313">
      <c r="A4313" s="41" t="n"/>
      <c r="B4313" s="37" t="n"/>
      <c r="C4313" s="37" t="n"/>
      <c r="D4313" s="39" t="str">
        <f>IF(C4313="","",IFERROR(INDEX(art_des,MATCH(C4313,art_ref,0))&amp;"","Référence inconnue"))</f>
        <v/>
      </c>
      <c r="E4313" s="37" t="n"/>
      <c r="F4313" s="39" t="str">
        <f>IF(C4313="","",IFERROR(INDEX(art_unit,MATCH(C4313,art_ref,0))&amp;"",""))</f>
        <v/>
      </c>
      <c r="G4313" s="37" t="n"/>
      <c r="H4313" s="37" t="n"/>
      <c r="I4313" s="37" t="n"/>
      <c r="J4313" s="40" t="str">
        <f>IF(OR(C4313="",NOT(ISNUMBER(E4313))),"",IFERROR(E4313*N(INDEX(art_price,MATCH(C4313,art_ref,0))),""))</f>
        <v/>
      </c>
      <c r="K4313" s="39" t="str">
        <f>IF(OR(C4313="",NOT(ISNUMBER(E4313))),"",IFERROR(ROUND(N(INDEX(art_init,MATCH(C4313,art_ref,0)))+SUMIFS($E$5:E4313,$C$5:C4313,C4313,$B$5:B4313,"Entrée")-SUMIFS($E$5:E4313,$C$5:C4313,C4313,$B$5:B4313,"Sortie"),6),""))</f>
        <v/>
      </c>
      <c r="L4313" s="39" t="str">
        <f>IF(COUNTA(A4313:C4313,E4313)=0,"",IF(COUNTA(A4313:C4313,E4313)&lt;4,"Ligne incomplète",IF(NOT(ISNUMBER(A4313)),"Date invalide",IF(AND(B4313&lt;&gt;"Entrée",B4313&lt;&gt;"Sortie"),"Type inconnu",IF(ISNA(MATCH(C4313,art_ref,0)),"Référence inconnue",IF(OR(NOT(ISNUMBER(E4313)),N(E4313)&lt;=0),"Quantité invalide",IF(K4313&lt;0,"Stock négatif",IF(AND(ISNUMBER(A4312),A4313&lt;A4312),"Date hors ordre","OK"))))))))</f>
        <v/>
      </c>
      <c r="M4313" s="39" t="str">
        <f>IF(C4313="","",C4313&amp;"#"&amp;COUNTIF($C$5:C4313,C4313))</f>
        <v/>
      </c>
    </row>
    <row r="4314">
      <c r="A4314" s="41" t="n"/>
      <c r="B4314" s="37" t="n"/>
      <c r="C4314" s="37" t="n"/>
      <c r="D4314" s="39" t="str">
        <f>IF(C4314="","",IFERROR(INDEX(art_des,MATCH(C4314,art_ref,0))&amp;"","Référence inconnue"))</f>
        <v/>
      </c>
      <c r="E4314" s="37" t="n"/>
      <c r="F4314" s="39" t="str">
        <f>IF(C4314="","",IFERROR(INDEX(art_unit,MATCH(C4314,art_ref,0))&amp;"",""))</f>
        <v/>
      </c>
      <c r="G4314" s="37" t="n"/>
      <c r="H4314" s="37" t="n"/>
      <c r="I4314" s="37" t="n"/>
      <c r="J4314" s="40" t="str">
        <f>IF(OR(C4314="",NOT(ISNUMBER(E4314))),"",IFERROR(E4314*N(INDEX(art_price,MATCH(C4314,art_ref,0))),""))</f>
        <v/>
      </c>
      <c r="K4314" s="39" t="str">
        <f>IF(OR(C4314="",NOT(ISNUMBER(E4314))),"",IFERROR(ROUND(N(INDEX(art_init,MATCH(C4314,art_ref,0)))+SUMIFS($E$5:E4314,$C$5:C4314,C4314,$B$5:B4314,"Entrée")-SUMIFS($E$5:E4314,$C$5:C4314,C4314,$B$5:B4314,"Sortie"),6),""))</f>
        <v/>
      </c>
      <c r="L4314" s="39" t="str">
        <f>IF(COUNTA(A4314:C4314,E4314)=0,"",IF(COUNTA(A4314:C4314,E4314)&lt;4,"Ligne incomplète",IF(NOT(ISNUMBER(A4314)),"Date invalide",IF(AND(B4314&lt;&gt;"Entrée",B4314&lt;&gt;"Sortie"),"Type inconnu",IF(ISNA(MATCH(C4314,art_ref,0)),"Référence inconnue",IF(OR(NOT(ISNUMBER(E4314)),N(E4314)&lt;=0),"Quantité invalide",IF(K4314&lt;0,"Stock négatif",IF(AND(ISNUMBER(A4313),A4314&lt;A4313),"Date hors ordre","OK"))))))))</f>
        <v/>
      </c>
      <c r="M4314" s="39" t="str">
        <f>IF(C4314="","",C4314&amp;"#"&amp;COUNTIF($C$5:C4314,C4314))</f>
        <v/>
      </c>
    </row>
    <row r="4315">
      <c r="A4315" s="41" t="n"/>
      <c r="B4315" s="37" t="n"/>
      <c r="C4315" s="37" t="n"/>
      <c r="D4315" s="39" t="str">
        <f>IF(C4315="","",IFERROR(INDEX(art_des,MATCH(C4315,art_ref,0))&amp;"","Référence inconnue"))</f>
        <v/>
      </c>
      <c r="E4315" s="37" t="n"/>
      <c r="F4315" s="39" t="str">
        <f>IF(C4315="","",IFERROR(INDEX(art_unit,MATCH(C4315,art_ref,0))&amp;"",""))</f>
        <v/>
      </c>
      <c r="G4315" s="37" t="n"/>
      <c r="H4315" s="37" t="n"/>
      <c r="I4315" s="37" t="n"/>
      <c r="J4315" s="40" t="str">
        <f>IF(OR(C4315="",NOT(ISNUMBER(E4315))),"",IFERROR(E4315*N(INDEX(art_price,MATCH(C4315,art_ref,0))),""))</f>
        <v/>
      </c>
      <c r="K4315" s="39" t="str">
        <f>IF(OR(C4315="",NOT(ISNUMBER(E4315))),"",IFERROR(ROUND(N(INDEX(art_init,MATCH(C4315,art_ref,0)))+SUMIFS($E$5:E4315,$C$5:C4315,C4315,$B$5:B4315,"Entrée")-SUMIFS($E$5:E4315,$C$5:C4315,C4315,$B$5:B4315,"Sortie"),6),""))</f>
        <v/>
      </c>
      <c r="L4315" s="39" t="str">
        <f>IF(COUNTA(A4315:C4315,E4315)=0,"",IF(COUNTA(A4315:C4315,E4315)&lt;4,"Ligne incomplète",IF(NOT(ISNUMBER(A4315)),"Date invalide",IF(AND(B4315&lt;&gt;"Entrée",B4315&lt;&gt;"Sortie"),"Type inconnu",IF(ISNA(MATCH(C4315,art_ref,0)),"Référence inconnue",IF(OR(NOT(ISNUMBER(E4315)),N(E4315)&lt;=0),"Quantité invalide",IF(K4315&lt;0,"Stock négatif",IF(AND(ISNUMBER(A4314),A4315&lt;A4314),"Date hors ordre","OK"))))))))</f>
        <v/>
      </c>
      <c r="M4315" s="39" t="str">
        <f>IF(C4315="","",C4315&amp;"#"&amp;COUNTIF($C$5:C4315,C4315))</f>
        <v/>
      </c>
    </row>
    <row r="4316">
      <c r="A4316" s="41" t="n"/>
      <c r="B4316" s="37" t="n"/>
      <c r="C4316" s="37" t="n"/>
      <c r="D4316" s="39" t="str">
        <f>IF(C4316="","",IFERROR(INDEX(art_des,MATCH(C4316,art_ref,0))&amp;"","Référence inconnue"))</f>
        <v/>
      </c>
      <c r="E4316" s="37" t="n"/>
      <c r="F4316" s="39" t="str">
        <f>IF(C4316="","",IFERROR(INDEX(art_unit,MATCH(C4316,art_ref,0))&amp;"",""))</f>
        <v/>
      </c>
      <c r="G4316" s="37" t="n"/>
      <c r="H4316" s="37" t="n"/>
      <c r="I4316" s="37" t="n"/>
      <c r="J4316" s="40" t="str">
        <f>IF(OR(C4316="",NOT(ISNUMBER(E4316))),"",IFERROR(E4316*N(INDEX(art_price,MATCH(C4316,art_ref,0))),""))</f>
        <v/>
      </c>
      <c r="K4316" s="39" t="str">
        <f>IF(OR(C4316="",NOT(ISNUMBER(E4316))),"",IFERROR(ROUND(N(INDEX(art_init,MATCH(C4316,art_ref,0)))+SUMIFS($E$5:E4316,$C$5:C4316,C4316,$B$5:B4316,"Entrée")-SUMIFS($E$5:E4316,$C$5:C4316,C4316,$B$5:B4316,"Sortie"),6),""))</f>
        <v/>
      </c>
      <c r="L4316" s="39" t="str">
        <f>IF(COUNTA(A4316:C4316,E4316)=0,"",IF(COUNTA(A4316:C4316,E4316)&lt;4,"Ligne incomplète",IF(NOT(ISNUMBER(A4316)),"Date invalide",IF(AND(B4316&lt;&gt;"Entrée",B4316&lt;&gt;"Sortie"),"Type inconnu",IF(ISNA(MATCH(C4316,art_ref,0)),"Référence inconnue",IF(OR(NOT(ISNUMBER(E4316)),N(E4316)&lt;=0),"Quantité invalide",IF(K4316&lt;0,"Stock négatif",IF(AND(ISNUMBER(A4315),A4316&lt;A4315),"Date hors ordre","OK"))))))))</f>
        <v/>
      </c>
      <c r="M4316" s="39" t="str">
        <f>IF(C4316="","",C4316&amp;"#"&amp;COUNTIF($C$5:C4316,C4316))</f>
        <v/>
      </c>
    </row>
    <row r="4317">
      <c r="A4317" s="41" t="n"/>
      <c r="B4317" s="37" t="n"/>
      <c r="C4317" s="37" t="n"/>
      <c r="D4317" s="39" t="str">
        <f>IF(C4317="","",IFERROR(INDEX(art_des,MATCH(C4317,art_ref,0))&amp;"","Référence inconnue"))</f>
        <v/>
      </c>
      <c r="E4317" s="37" t="n"/>
      <c r="F4317" s="39" t="str">
        <f>IF(C4317="","",IFERROR(INDEX(art_unit,MATCH(C4317,art_ref,0))&amp;"",""))</f>
        <v/>
      </c>
      <c r="G4317" s="37" t="n"/>
      <c r="H4317" s="37" t="n"/>
      <c r="I4317" s="37" t="n"/>
      <c r="J4317" s="40" t="str">
        <f>IF(OR(C4317="",NOT(ISNUMBER(E4317))),"",IFERROR(E4317*N(INDEX(art_price,MATCH(C4317,art_ref,0))),""))</f>
        <v/>
      </c>
      <c r="K4317" s="39" t="str">
        <f>IF(OR(C4317="",NOT(ISNUMBER(E4317))),"",IFERROR(ROUND(N(INDEX(art_init,MATCH(C4317,art_ref,0)))+SUMIFS($E$5:E4317,$C$5:C4317,C4317,$B$5:B4317,"Entrée")-SUMIFS($E$5:E4317,$C$5:C4317,C4317,$B$5:B4317,"Sortie"),6),""))</f>
        <v/>
      </c>
      <c r="L4317" s="39" t="str">
        <f>IF(COUNTA(A4317:C4317,E4317)=0,"",IF(COUNTA(A4317:C4317,E4317)&lt;4,"Ligne incomplète",IF(NOT(ISNUMBER(A4317)),"Date invalide",IF(AND(B4317&lt;&gt;"Entrée",B4317&lt;&gt;"Sortie"),"Type inconnu",IF(ISNA(MATCH(C4317,art_ref,0)),"Référence inconnue",IF(OR(NOT(ISNUMBER(E4317)),N(E4317)&lt;=0),"Quantité invalide",IF(K4317&lt;0,"Stock négatif",IF(AND(ISNUMBER(A4316),A4317&lt;A4316),"Date hors ordre","OK"))))))))</f>
        <v/>
      </c>
      <c r="M4317" s="39" t="str">
        <f>IF(C4317="","",C4317&amp;"#"&amp;COUNTIF($C$5:C4317,C4317))</f>
        <v/>
      </c>
    </row>
    <row r="4318">
      <c r="A4318" s="41" t="n"/>
      <c r="B4318" s="37" t="n"/>
      <c r="C4318" s="37" t="n"/>
      <c r="D4318" s="39" t="str">
        <f>IF(C4318="","",IFERROR(INDEX(art_des,MATCH(C4318,art_ref,0))&amp;"","Référence inconnue"))</f>
        <v/>
      </c>
      <c r="E4318" s="37" t="n"/>
      <c r="F4318" s="39" t="str">
        <f>IF(C4318="","",IFERROR(INDEX(art_unit,MATCH(C4318,art_ref,0))&amp;"",""))</f>
        <v/>
      </c>
      <c r="G4318" s="37" t="n"/>
      <c r="H4318" s="37" t="n"/>
      <c r="I4318" s="37" t="n"/>
      <c r="J4318" s="40" t="str">
        <f>IF(OR(C4318="",NOT(ISNUMBER(E4318))),"",IFERROR(E4318*N(INDEX(art_price,MATCH(C4318,art_ref,0))),""))</f>
        <v/>
      </c>
      <c r="K4318" s="39" t="str">
        <f>IF(OR(C4318="",NOT(ISNUMBER(E4318))),"",IFERROR(ROUND(N(INDEX(art_init,MATCH(C4318,art_ref,0)))+SUMIFS($E$5:E4318,$C$5:C4318,C4318,$B$5:B4318,"Entrée")-SUMIFS($E$5:E4318,$C$5:C4318,C4318,$B$5:B4318,"Sortie"),6),""))</f>
        <v/>
      </c>
      <c r="L4318" s="39" t="str">
        <f>IF(COUNTA(A4318:C4318,E4318)=0,"",IF(COUNTA(A4318:C4318,E4318)&lt;4,"Ligne incomplète",IF(NOT(ISNUMBER(A4318)),"Date invalide",IF(AND(B4318&lt;&gt;"Entrée",B4318&lt;&gt;"Sortie"),"Type inconnu",IF(ISNA(MATCH(C4318,art_ref,0)),"Référence inconnue",IF(OR(NOT(ISNUMBER(E4318)),N(E4318)&lt;=0),"Quantité invalide",IF(K4318&lt;0,"Stock négatif",IF(AND(ISNUMBER(A4317),A4318&lt;A4317),"Date hors ordre","OK"))))))))</f>
        <v/>
      </c>
      <c r="M4318" s="39" t="str">
        <f>IF(C4318="","",C4318&amp;"#"&amp;COUNTIF($C$5:C4318,C4318))</f>
        <v/>
      </c>
    </row>
    <row r="4319">
      <c r="A4319" s="41" t="n"/>
      <c r="B4319" s="37" t="n"/>
      <c r="C4319" s="37" t="n"/>
      <c r="D4319" s="39" t="str">
        <f>IF(C4319="","",IFERROR(INDEX(art_des,MATCH(C4319,art_ref,0))&amp;"","Référence inconnue"))</f>
        <v/>
      </c>
      <c r="E4319" s="37" t="n"/>
      <c r="F4319" s="39" t="str">
        <f>IF(C4319="","",IFERROR(INDEX(art_unit,MATCH(C4319,art_ref,0))&amp;"",""))</f>
        <v/>
      </c>
      <c r="G4319" s="37" t="n"/>
      <c r="H4319" s="37" t="n"/>
      <c r="I4319" s="37" t="n"/>
      <c r="J4319" s="40" t="str">
        <f>IF(OR(C4319="",NOT(ISNUMBER(E4319))),"",IFERROR(E4319*N(INDEX(art_price,MATCH(C4319,art_ref,0))),""))</f>
        <v/>
      </c>
      <c r="K4319" s="39" t="str">
        <f>IF(OR(C4319="",NOT(ISNUMBER(E4319))),"",IFERROR(ROUND(N(INDEX(art_init,MATCH(C4319,art_ref,0)))+SUMIFS($E$5:E4319,$C$5:C4319,C4319,$B$5:B4319,"Entrée")-SUMIFS($E$5:E4319,$C$5:C4319,C4319,$B$5:B4319,"Sortie"),6),""))</f>
        <v/>
      </c>
      <c r="L4319" s="39" t="str">
        <f>IF(COUNTA(A4319:C4319,E4319)=0,"",IF(COUNTA(A4319:C4319,E4319)&lt;4,"Ligne incomplète",IF(NOT(ISNUMBER(A4319)),"Date invalide",IF(AND(B4319&lt;&gt;"Entrée",B4319&lt;&gt;"Sortie"),"Type inconnu",IF(ISNA(MATCH(C4319,art_ref,0)),"Référence inconnue",IF(OR(NOT(ISNUMBER(E4319)),N(E4319)&lt;=0),"Quantité invalide",IF(K4319&lt;0,"Stock négatif",IF(AND(ISNUMBER(A4318),A4319&lt;A4318),"Date hors ordre","OK"))))))))</f>
        <v/>
      </c>
      <c r="M4319" s="39" t="str">
        <f>IF(C4319="","",C4319&amp;"#"&amp;COUNTIF($C$5:C4319,C4319))</f>
        <v/>
      </c>
    </row>
    <row r="4320">
      <c r="A4320" s="41" t="n"/>
      <c r="B4320" s="37" t="n"/>
      <c r="C4320" s="37" t="n"/>
      <c r="D4320" s="39" t="str">
        <f>IF(C4320="","",IFERROR(INDEX(art_des,MATCH(C4320,art_ref,0))&amp;"","Référence inconnue"))</f>
        <v/>
      </c>
      <c r="E4320" s="37" t="n"/>
      <c r="F4320" s="39" t="str">
        <f>IF(C4320="","",IFERROR(INDEX(art_unit,MATCH(C4320,art_ref,0))&amp;"",""))</f>
        <v/>
      </c>
      <c r="G4320" s="37" t="n"/>
      <c r="H4320" s="37" t="n"/>
      <c r="I4320" s="37" t="n"/>
      <c r="J4320" s="40" t="str">
        <f>IF(OR(C4320="",NOT(ISNUMBER(E4320))),"",IFERROR(E4320*N(INDEX(art_price,MATCH(C4320,art_ref,0))),""))</f>
        <v/>
      </c>
      <c r="K4320" s="39" t="str">
        <f>IF(OR(C4320="",NOT(ISNUMBER(E4320))),"",IFERROR(ROUND(N(INDEX(art_init,MATCH(C4320,art_ref,0)))+SUMIFS($E$5:E4320,$C$5:C4320,C4320,$B$5:B4320,"Entrée")-SUMIFS($E$5:E4320,$C$5:C4320,C4320,$B$5:B4320,"Sortie"),6),""))</f>
        <v/>
      </c>
      <c r="L4320" s="39" t="str">
        <f>IF(COUNTA(A4320:C4320,E4320)=0,"",IF(COUNTA(A4320:C4320,E4320)&lt;4,"Ligne incomplète",IF(NOT(ISNUMBER(A4320)),"Date invalide",IF(AND(B4320&lt;&gt;"Entrée",B4320&lt;&gt;"Sortie"),"Type inconnu",IF(ISNA(MATCH(C4320,art_ref,0)),"Référence inconnue",IF(OR(NOT(ISNUMBER(E4320)),N(E4320)&lt;=0),"Quantité invalide",IF(K4320&lt;0,"Stock négatif",IF(AND(ISNUMBER(A4319),A4320&lt;A4319),"Date hors ordre","OK"))))))))</f>
        <v/>
      </c>
      <c r="M4320" s="39" t="str">
        <f>IF(C4320="","",C4320&amp;"#"&amp;COUNTIF($C$5:C4320,C4320))</f>
        <v/>
      </c>
    </row>
    <row r="4321">
      <c r="A4321" s="41" t="n"/>
      <c r="B4321" s="37" t="n"/>
      <c r="C4321" s="37" t="n"/>
      <c r="D4321" s="39" t="str">
        <f>IF(C4321="","",IFERROR(INDEX(art_des,MATCH(C4321,art_ref,0))&amp;"","Référence inconnue"))</f>
        <v/>
      </c>
      <c r="E4321" s="37" t="n"/>
      <c r="F4321" s="39" t="str">
        <f>IF(C4321="","",IFERROR(INDEX(art_unit,MATCH(C4321,art_ref,0))&amp;"",""))</f>
        <v/>
      </c>
      <c r="G4321" s="37" t="n"/>
      <c r="H4321" s="37" t="n"/>
      <c r="I4321" s="37" t="n"/>
      <c r="J4321" s="40" t="str">
        <f>IF(OR(C4321="",NOT(ISNUMBER(E4321))),"",IFERROR(E4321*N(INDEX(art_price,MATCH(C4321,art_ref,0))),""))</f>
        <v/>
      </c>
      <c r="K4321" s="39" t="str">
        <f>IF(OR(C4321="",NOT(ISNUMBER(E4321))),"",IFERROR(ROUND(N(INDEX(art_init,MATCH(C4321,art_ref,0)))+SUMIFS($E$5:E4321,$C$5:C4321,C4321,$B$5:B4321,"Entrée")-SUMIFS($E$5:E4321,$C$5:C4321,C4321,$B$5:B4321,"Sortie"),6),""))</f>
        <v/>
      </c>
      <c r="L4321" s="39" t="str">
        <f>IF(COUNTA(A4321:C4321,E4321)=0,"",IF(COUNTA(A4321:C4321,E4321)&lt;4,"Ligne incomplète",IF(NOT(ISNUMBER(A4321)),"Date invalide",IF(AND(B4321&lt;&gt;"Entrée",B4321&lt;&gt;"Sortie"),"Type inconnu",IF(ISNA(MATCH(C4321,art_ref,0)),"Référence inconnue",IF(OR(NOT(ISNUMBER(E4321)),N(E4321)&lt;=0),"Quantité invalide",IF(K4321&lt;0,"Stock négatif",IF(AND(ISNUMBER(A4320),A4321&lt;A4320),"Date hors ordre","OK"))))))))</f>
        <v/>
      </c>
      <c r="M4321" s="39" t="str">
        <f>IF(C4321="","",C4321&amp;"#"&amp;COUNTIF($C$5:C4321,C4321))</f>
        <v/>
      </c>
    </row>
    <row r="4322">
      <c r="A4322" s="41" t="n"/>
      <c r="B4322" s="37" t="n"/>
      <c r="C4322" s="37" t="n"/>
      <c r="D4322" s="39" t="str">
        <f>IF(C4322="","",IFERROR(INDEX(art_des,MATCH(C4322,art_ref,0))&amp;"","Référence inconnue"))</f>
        <v/>
      </c>
      <c r="E4322" s="37" t="n"/>
      <c r="F4322" s="39" t="str">
        <f>IF(C4322="","",IFERROR(INDEX(art_unit,MATCH(C4322,art_ref,0))&amp;"",""))</f>
        <v/>
      </c>
      <c r="G4322" s="37" t="n"/>
      <c r="H4322" s="37" t="n"/>
      <c r="I4322" s="37" t="n"/>
      <c r="J4322" s="40" t="str">
        <f>IF(OR(C4322="",NOT(ISNUMBER(E4322))),"",IFERROR(E4322*N(INDEX(art_price,MATCH(C4322,art_ref,0))),""))</f>
        <v/>
      </c>
      <c r="K4322" s="39" t="str">
        <f>IF(OR(C4322="",NOT(ISNUMBER(E4322))),"",IFERROR(ROUND(N(INDEX(art_init,MATCH(C4322,art_ref,0)))+SUMIFS($E$5:E4322,$C$5:C4322,C4322,$B$5:B4322,"Entrée")-SUMIFS($E$5:E4322,$C$5:C4322,C4322,$B$5:B4322,"Sortie"),6),""))</f>
        <v/>
      </c>
      <c r="L4322" s="39" t="str">
        <f>IF(COUNTA(A4322:C4322,E4322)=0,"",IF(COUNTA(A4322:C4322,E4322)&lt;4,"Ligne incomplète",IF(NOT(ISNUMBER(A4322)),"Date invalide",IF(AND(B4322&lt;&gt;"Entrée",B4322&lt;&gt;"Sortie"),"Type inconnu",IF(ISNA(MATCH(C4322,art_ref,0)),"Référence inconnue",IF(OR(NOT(ISNUMBER(E4322)),N(E4322)&lt;=0),"Quantité invalide",IF(K4322&lt;0,"Stock négatif",IF(AND(ISNUMBER(A4321),A4322&lt;A4321),"Date hors ordre","OK"))))))))</f>
        <v/>
      </c>
      <c r="M4322" s="39" t="str">
        <f>IF(C4322="","",C4322&amp;"#"&amp;COUNTIF($C$5:C4322,C4322))</f>
        <v/>
      </c>
    </row>
    <row r="4323">
      <c r="A4323" s="41" t="n"/>
      <c r="B4323" s="37" t="n"/>
      <c r="C4323" s="37" t="n"/>
      <c r="D4323" s="39" t="str">
        <f>IF(C4323="","",IFERROR(INDEX(art_des,MATCH(C4323,art_ref,0))&amp;"","Référence inconnue"))</f>
        <v/>
      </c>
      <c r="E4323" s="37" t="n"/>
      <c r="F4323" s="39" t="str">
        <f>IF(C4323="","",IFERROR(INDEX(art_unit,MATCH(C4323,art_ref,0))&amp;"",""))</f>
        <v/>
      </c>
      <c r="G4323" s="37" t="n"/>
      <c r="H4323" s="37" t="n"/>
      <c r="I4323" s="37" t="n"/>
      <c r="J4323" s="40" t="str">
        <f>IF(OR(C4323="",NOT(ISNUMBER(E4323))),"",IFERROR(E4323*N(INDEX(art_price,MATCH(C4323,art_ref,0))),""))</f>
        <v/>
      </c>
      <c r="K4323" s="39" t="str">
        <f>IF(OR(C4323="",NOT(ISNUMBER(E4323))),"",IFERROR(ROUND(N(INDEX(art_init,MATCH(C4323,art_ref,0)))+SUMIFS($E$5:E4323,$C$5:C4323,C4323,$B$5:B4323,"Entrée")-SUMIFS($E$5:E4323,$C$5:C4323,C4323,$B$5:B4323,"Sortie"),6),""))</f>
        <v/>
      </c>
      <c r="L4323" s="39" t="str">
        <f>IF(COUNTA(A4323:C4323,E4323)=0,"",IF(COUNTA(A4323:C4323,E4323)&lt;4,"Ligne incomplète",IF(NOT(ISNUMBER(A4323)),"Date invalide",IF(AND(B4323&lt;&gt;"Entrée",B4323&lt;&gt;"Sortie"),"Type inconnu",IF(ISNA(MATCH(C4323,art_ref,0)),"Référence inconnue",IF(OR(NOT(ISNUMBER(E4323)),N(E4323)&lt;=0),"Quantité invalide",IF(K4323&lt;0,"Stock négatif",IF(AND(ISNUMBER(A4322),A4323&lt;A4322),"Date hors ordre","OK"))))))))</f>
        <v/>
      </c>
      <c r="M4323" s="39" t="str">
        <f>IF(C4323="","",C4323&amp;"#"&amp;COUNTIF($C$5:C4323,C4323))</f>
        <v/>
      </c>
    </row>
    <row r="4324">
      <c r="A4324" s="41" t="n"/>
      <c r="B4324" s="37" t="n"/>
      <c r="C4324" s="37" t="n"/>
      <c r="D4324" s="39" t="str">
        <f>IF(C4324="","",IFERROR(INDEX(art_des,MATCH(C4324,art_ref,0))&amp;"","Référence inconnue"))</f>
        <v/>
      </c>
      <c r="E4324" s="37" t="n"/>
      <c r="F4324" s="39" t="str">
        <f>IF(C4324="","",IFERROR(INDEX(art_unit,MATCH(C4324,art_ref,0))&amp;"",""))</f>
        <v/>
      </c>
      <c r="G4324" s="37" t="n"/>
      <c r="H4324" s="37" t="n"/>
      <c r="I4324" s="37" t="n"/>
      <c r="J4324" s="40" t="str">
        <f>IF(OR(C4324="",NOT(ISNUMBER(E4324))),"",IFERROR(E4324*N(INDEX(art_price,MATCH(C4324,art_ref,0))),""))</f>
        <v/>
      </c>
      <c r="K4324" s="39" t="str">
        <f>IF(OR(C4324="",NOT(ISNUMBER(E4324))),"",IFERROR(ROUND(N(INDEX(art_init,MATCH(C4324,art_ref,0)))+SUMIFS($E$5:E4324,$C$5:C4324,C4324,$B$5:B4324,"Entrée")-SUMIFS($E$5:E4324,$C$5:C4324,C4324,$B$5:B4324,"Sortie"),6),""))</f>
        <v/>
      </c>
      <c r="L4324" s="39" t="str">
        <f>IF(COUNTA(A4324:C4324,E4324)=0,"",IF(COUNTA(A4324:C4324,E4324)&lt;4,"Ligne incomplète",IF(NOT(ISNUMBER(A4324)),"Date invalide",IF(AND(B4324&lt;&gt;"Entrée",B4324&lt;&gt;"Sortie"),"Type inconnu",IF(ISNA(MATCH(C4324,art_ref,0)),"Référence inconnue",IF(OR(NOT(ISNUMBER(E4324)),N(E4324)&lt;=0),"Quantité invalide",IF(K4324&lt;0,"Stock négatif",IF(AND(ISNUMBER(A4323),A4324&lt;A4323),"Date hors ordre","OK"))))))))</f>
        <v/>
      </c>
      <c r="M4324" s="39" t="str">
        <f>IF(C4324="","",C4324&amp;"#"&amp;COUNTIF($C$5:C4324,C4324))</f>
        <v/>
      </c>
    </row>
    <row r="4325">
      <c r="A4325" s="41" t="n"/>
      <c r="B4325" s="37" t="n"/>
      <c r="C4325" s="37" t="n"/>
      <c r="D4325" s="39" t="str">
        <f>IF(C4325="","",IFERROR(INDEX(art_des,MATCH(C4325,art_ref,0))&amp;"","Référence inconnue"))</f>
        <v/>
      </c>
      <c r="E4325" s="37" t="n"/>
      <c r="F4325" s="39" t="str">
        <f>IF(C4325="","",IFERROR(INDEX(art_unit,MATCH(C4325,art_ref,0))&amp;"",""))</f>
        <v/>
      </c>
      <c r="G4325" s="37" t="n"/>
      <c r="H4325" s="37" t="n"/>
      <c r="I4325" s="37" t="n"/>
      <c r="J4325" s="40" t="str">
        <f>IF(OR(C4325="",NOT(ISNUMBER(E4325))),"",IFERROR(E4325*N(INDEX(art_price,MATCH(C4325,art_ref,0))),""))</f>
        <v/>
      </c>
      <c r="K4325" s="39" t="str">
        <f>IF(OR(C4325="",NOT(ISNUMBER(E4325))),"",IFERROR(ROUND(N(INDEX(art_init,MATCH(C4325,art_ref,0)))+SUMIFS($E$5:E4325,$C$5:C4325,C4325,$B$5:B4325,"Entrée")-SUMIFS($E$5:E4325,$C$5:C4325,C4325,$B$5:B4325,"Sortie"),6),""))</f>
        <v/>
      </c>
      <c r="L4325" s="39" t="str">
        <f>IF(COUNTA(A4325:C4325,E4325)=0,"",IF(COUNTA(A4325:C4325,E4325)&lt;4,"Ligne incomplète",IF(NOT(ISNUMBER(A4325)),"Date invalide",IF(AND(B4325&lt;&gt;"Entrée",B4325&lt;&gt;"Sortie"),"Type inconnu",IF(ISNA(MATCH(C4325,art_ref,0)),"Référence inconnue",IF(OR(NOT(ISNUMBER(E4325)),N(E4325)&lt;=0),"Quantité invalide",IF(K4325&lt;0,"Stock négatif",IF(AND(ISNUMBER(A4324),A4325&lt;A4324),"Date hors ordre","OK"))))))))</f>
        <v/>
      </c>
      <c r="M4325" s="39" t="str">
        <f>IF(C4325="","",C4325&amp;"#"&amp;COUNTIF($C$5:C4325,C4325))</f>
        <v/>
      </c>
    </row>
    <row r="4326">
      <c r="A4326" s="41" t="n"/>
      <c r="B4326" s="37" t="n"/>
      <c r="C4326" s="37" t="n"/>
      <c r="D4326" s="39" t="str">
        <f>IF(C4326="","",IFERROR(INDEX(art_des,MATCH(C4326,art_ref,0))&amp;"","Référence inconnue"))</f>
        <v/>
      </c>
      <c r="E4326" s="37" t="n"/>
      <c r="F4326" s="39" t="str">
        <f>IF(C4326="","",IFERROR(INDEX(art_unit,MATCH(C4326,art_ref,0))&amp;"",""))</f>
        <v/>
      </c>
      <c r="G4326" s="37" t="n"/>
      <c r="H4326" s="37" t="n"/>
      <c r="I4326" s="37" t="n"/>
      <c r="J4326" s="40" t="str">
        <f>IF(OR(C4326="",NOT(ISNUMBER(E4326))),"",IFERROR(E4326*N(INDEX(art_price,MATCH(C4326,art_ref,0))),""))</f>
        <v/>
      </c>
      <c r="K4326" s="39" t="str">
        <f>IF(OR(C4326="",NOT(ISNUMBER(E4326))),"",IFERROR(ROUND(N(INDEX(art_init,MATCH(C4326,art_ref,0)))+SUMIFS($E$5:E4326,$C$5:C4326,C4326,$B$5:B4326,"Entrée")-SUMIFS($E$5:E4326,$C$5:C4326,C4326,$B$5:B4326,"Sortie"),6),""))</f>
        <v/>
      </c>
      <c r="L4326" s="39" t="str">
        <f>IF(COUNTA(A4326:C4326,E4326)=0,"",IF(COUNTA(A4326:C4326,E4326)&lt;4,"Ligne incomplète",IF(NOT(ISNUMBER(A4326)),"Date invalide",IF(AND(B4326&lt;&gt;"Entrée",B4326&lt;&gt;"Sortie"),"Type inconnu",IF(ISNA(MATCH(C4326,art_ref,0)),"Référence inconnue",IF(OR(NOT(ISNUMBER(E4326)),N(E4326)&lt;=0),"Quantité invalide",IF(K4326&lt;0,"Stock négatif",IF(AND(ISNUMBER(A4325),A4326&lt;A4325),"Date hors ordre","OK"))))))))</f>
        <v/>
      </c>
      <c r="M4326" s="39" t="str">
        <f>IF(C4326="","",C4326&amp;"#"&amp;COUNTIF($C$5:C4326,C4326))</f>
        <v/>
      </c>
    </row>
    <row r="4327">
      <c r="A4327" s="41" t="n"/>
      <c r="B4327" s="37" t="n"/>
      <c r="C4327" s="37" t="n"/>
      <c r="D4327" s="39" t="str">
        <f>IF(C4327="","",IFERROR(INDEX(art_des,MATCH(C4327,art_ref,0))&amp;"","Référence inconnue"))</f>
        <v/>
      </c>
      <c r="E4327" s="37" t="n"/>
      <c r="F4327" s="39" t="str">
        <f>IF(C4327="","",IFERROR(INDEX(art_unit,MATCH(C4327,art_ref,0))&amp;"",""))</f>
        <v/>
      </c>
      <c r="G4327" s="37" t="n"/>
      <c r="H4327" s="37" t="n"/>
      <c r="I4327" s="37" t="n"/>
      <c r="J4327" s="40" t="str">
        <f>IF(OR(C4327="",NOT(ISNUMBER(E4327))),"",IFERROR(E4327*N(INDEX(art_price,MATCH(C4327,art_ref,0))),""))</f>
        <v/>
      </c>
      <c r="K4327" s="39" t="str">
        <f>IF(OR(C4327="",NOT(ISNUMBER(E4327))),"",IFERROR(ROUND(N(INDEX(art_init,MATCH(C4327,art_ref,0)))+SUMIFS($E$5:E4327,$C$5:C4327,C4327,$B$5:B4327,"Entrée")-SUMIFS($E$5:E4327,$C$5:C4327,C4327,$B$5:B4327,"Sortie"),6),""))</f>
        <v/>
      </c>
      <c r="L4327" s="39" t="str">
        <f>IF(COUNTA(A4327:C4327,E4327)=0,"",IF(COUNTA(A4327:C4327,E4327)&lt;4,"Ligne incomplète",IF(NOT(ISNUMBER(A4327)),"Date invalide",IF(AND(B4327&lt;&gt;"Entrée",B4327&lt;&gt;"Sortie"),"Type inconnu",IF(ISNA(MATCH(C4327,art_ref,0)),"Référence inconnue",IF(OR(NOT(ISNUMBER(E4327)),N(E4327)&lt;=0),"Quantité invalide",IF(K4327&lt;0,"Stock négatif",IF(AND(ISNUMBER(A4326),A4327&lt;A4326),"Date hors ordre","OK"))))))))</f>
        <v/>
      </c>
      <c r="M4327" s="39" t="str">
        <f>IF(C4327="","",C4327&amp;"#"&amp;COUNTIF($C$5:C4327,C4327))</f>
        <v/>
      </c>
    </row>
    <row r="4328">
      <c r="A4328" s="41" t="n"/>
      <c r="B4328" s="37" t="n"/>
      <c r="C4328" s="37" t="n"/>
      <c r="D4328" s="39" t="str">
        <f>IF(C4328="","",IFERROR(INDEX(art_des,MATCH(C4328,art_ref,0))&amp;"","Référence inconnue"))</f>
        <v/>
      </c>
      <c r="E4328" s="37" t="n"/>
      <c r="F4328" s="39" t="str">
        <f>IF(C4328="","",IFERROR(INDEX(art_unit,MATCH(C4328,art_ref,0))&amp;"",""))</f>
        <v/>
      </c>
      <c r="G4328" s="37" t="n"/>
      <c r="H4328" s="37" t="n"/>
      <c r="I4328" s="37" t="n"/>
      <c r="J4328" s="40" t="str">
        <f>IF(OR(C4328="",NOT(ISNUMBER(E4328))),"",IFERROR(E4328*N(INDEX(art_price,MATCH(C4328,art_ref,0))),""))</f>
        <v/>
      </c>
      <c r="K4328" s="39" t="str">
        <f>IF(OR(C4328="",NOT(ISNUMBER(E4328))),"",IFERROR(ROUND(N(INDEX(art_init,MATCH(C4328,art_ref,0)))+SUMIFS($E$5:E4328,$C$5:C4328,C4328,$B$5:B4328,"Entrée")-SUMIFS($E$5:E4328,$C$5:C4328,C4328,$B$5:B4328,"Sortie"),6),""))</f>
        <v/>
      </c>
      <c r="L4328" s="39" t="str">
        <f>IF(COUNTA(A4328:C4328,E4328)=0,"",IF(COUNTA(A4328:C4328,E4328)&lt;4,"Ligne incomplète",IF(NOT(ISNUMBER(A4328)),"Date invalide",IF(AND(B4328&lt;&gt;"Entrée",B4328&lt;&gt;"Sortie"),"Type inconnu",IF(ISNA(MATCH(C4328,art_ref,0)),"Référence inconnue",IF(OR(NOT(ISNUMBER(E4328)),N(E4328)&lt;=0),"Quantité invalide",IF(K4328&lt;0,"Stock négatif",IF(AND(ISNUMBER(A4327),A4328&lt;A4327),"Date hors ordre","OK"))))))))</f>
        <v/>
      </c>
      <c r="M4328" s="39" t="str">
        <f>IF(C4328="","",C4328&amp;"#"&amp;COUNTIF($C$5:C4328,C4328))</f>
        <v/>
      </c>
    </row>
    <row r="4329">
      <c r="A4329" s="41" t="n"/>
      <c r="B4329" s="37" t="n"/>
      <c r="C4329" s="37" t="n"/>
      <c r="D4329" s="39" t="str">
        <f>IF(C4329="","",IFERROR(INDEX(art_des,MATCH(C4329,art_ref,0))&amp;"","Référence inconnue"))</f>
        <v/>
      </c>
      <c r="E4329" s="37" t="n"/>
      <c r="F4329" s="39" t="str">
        <f>IF(C4329="","",IFERROR(INDEX(art_unit,MATCH(C4329,art_ref,0))&amp;"",""))</f>
        <v/>
      </c>
      <c r="G4329" s="37" t="n"/>
      <c r="H4329" s="37" t="n"/>
      <c r="I4329" s="37" t="n"/>
      <c r="J4329" s="40" t="str">
        <f>IF(OR(C4329="",NOT(ISNUMBER(E4329))),"",IFERROR(E4329*N(INDEX(art_price,MATCH(C4329,art_ref,0))),""))</f>
        <v/>
      </c>
      <c r="K4329" s="39" t="str">
        <f>IF(OR(C4329="",NOT(ISNUMBER(E4329))),"",IFERROR(ROUND(N(INDEX(art_init,MATCH(C4329,art_ref,0)))+SUMIFS($E$5:E4329,$C$5:C4329,C4329,$B$5:B4329,"Entrée")-SUMIFS($E$5:E4329,$C$5:C4329,C4329,$B$5:B4329,"Sortie"),6),""))</f>
        <v/>
      </c>
      <c r="L4329" s="39" t="str">
        <f>IF(COUNTA(A4329:C4329,E4329)=0,"",IF(COUNTA(A4329:C4329,E4329)&lt;4,"Ligne incomplète",IF(NOT(ISNUMBER(A4329)),"Date invalide",IF(AND(B4329&lt;&gt;"Entrée",B4329&lt;&gt;"Sortie"),"Type inconnu",IF(ISNA(MATCH(C4329,art_ref,0)),"Référence inconnue",IF(OR(NOT(ISNUMBER(E4329)),N(E4329)&lt;=0),"Quantité invalide",IF(K4329&lt;0,"Stock négatif",IF(AND(ISNUMBER(A4328),A4329&lt;A4328),"Date hors ordre","OK"))))))))</f>
        <v/>
      </c>
      <c r="M4329" s="39" t="str">
        <f>IF(C4329="","",C4329&amp;"#"&amp;COUNTIF($C$5:C4329,C4329))</f>
        <v/>
      </c>
    </row>
    <row r="4330">
      <c r="A4330" s="41" t="n"/>
      <c r="B4330" s="37" t="n"/>
      <c r="C4330" s="37" t="n"/>
      <c r="D4330" s="39" t="str">
        <f>IF(C4330="","",IFERROR(INDEX(art_des,MATCH(C4330,art_ref,0))&amp;"","Référence inconnue"))</f>
        <v/>
      </c>
      <c r="E4330" s="37" t="n"/>
      <c r="F4330" s="39" t="str">
        <f>IF(C4330="","",IFERROR(INDEX(art_unit,MATCH(C4330,art_ref,0))&amp;"",""))</f>
        <v/>
      </c>
      <c r="G4330" s="37" t="n"/>
      <c r="H4330" s="37" t="n"/>
      <c r="I4330" s="37" t="n"/>
      <c r="J4330" s="40" t="str">
        <f>IF(OR(C4330="",NOT(ISNUMBER(E4330))),"",IFERROR(E4330*N(INDEX(art_price,MATCH(C4330,art_ref,0))),""))</f>
        <v/>
      </c>
      <c r="K4330" s="39" t="str">
        <f>IF(OR(C4330="",NOT(ISNUMBER(E4330))),"",IFERROR(ROUND(N(INDEX(art_init,MATCH(C4330,art_ref,0)))+SUMIFS($E$5:E4330,$C$5:C4330,C4330,$B$5:B4330,"Entrée")-SUMIFS($E$5:E4330,$C$5:C4330,C4330,$B$5:B4330,"Sortie"),6),""))</f>
        <v/>
      </c>
      <c r="L4330" s="39" t="str">
        <f>IF(COUNTA(A4330:C4330,E4330)=0,"",IF(COUNTA(A4330:C4330,E4330)&lt;4,"Ligne incomplète",IF(NOT(ISNUMBER(A4330)),"Date invalide",IF(AND(B4330&lt;&gt;"Entrée",B4330&lt;&gt;"Sortie"),"Type inconnu",IF(ISNA(MATCH(C4330,art_ref,0)),"Référence inconnue",IF(OR(NOT(ISNUMBER(E4330)),N(E4330)&lt;=0),"Quantité invalide",IF(K4330&lt;0,"Stock négatif",IF(AND(ISNUMBER(A4329),A4330&lt;A4329),"Date hors ordre","OK"))))))))</f>
        <v/>
      </c>
      <c r="M4330" s="39" t="str">
        <f>IF(C4330="","",C4330&amp;"#"&amp;COUNTIF($C$5:C4330,C4330))</f>
        <v/>
      </c>
    </row>
    <row r="4331">
      <c r="A4331" s="41" t="n"/>
      <c r="B4331" s="37" t="n"/>
      <c r="C4331" s="37" t="n"/>
      <c r="D4331" s="39" t="str">
        <f>IF(C4331="","",IFERROR(INDEX(art_des,MATCH(C4331,art_ref,0))&amp;"","Référence inconnue"))</f>
        <v/>
      </c>
      <c r="E4331" s="37" t="n"/>
      <c r="F4331" s="39" t="str">
        <f>IF(C4331="","",IFERROR(INDEX(art_unit,MATCH(C4331,art_ref,0))&amp;"",""))</f>
        <v/>
      </c>
      <c r="G4331" s="37" t="n"/>
      <c r="H4331" s="37" t="n"/>
      <c r="I4331" s="37" t="n"/>
      <c r="J4331" s="40" t="str">
        <f>IF(OR(C4331="",NOT(ISNUMBER(E4331))),"",IFERROR(E4331*N(INDEX(art_price,MATCH(C4331,art_ref,0))),""))</f>
        <v/>
      </c>
      <c r="K4331" s="39" t="str">
        <f>IF(OR(C4331="",NOT(ISNUMBER(E4331))),"",IFERROR(ROUND(N(INDEX(art_init,MATCH(C4331,art_ref,0)))+SUMIFS($E$5:E4331,$C$5:C4331,C4331,$B$5:B4331,"Entrée")-SUMIFS($E$5:E4331,$C$5:C4331,C4331,$B$5:B4331,"Sortie"),6),""))</f>
        <v/>
      </c>
      <c r="L4331" s="39" t="str">
        <f>IF(COUNTA(A4331:C4331,E4331)=0,"",IF(COUNTA(A4331:C4331,E4331)&lt;4,"Ligne incomplète",IF(NOT(ISNUMBER(A4331)),"Date invalide",IF(AND(B4331&lt;&gt;"Entrée",B4331&lt;&gt;"Sortie"),"Type inconnu",IF(ISNA(MATCH(C4331,art_ref,0)),"Référence inconnue",IF(OR(NOT(ISNUMBER(E4331)),N(E4331)&lt;=0),"Quantité invalide",IF(K4331&lt;0,"Stock négatif",IF(AND(ISNUMBER(A4330),A4331&lt;A4330),"Date hors ordre","OK"))))))))</f>
        <v/>
      </c>
      <c r="M4331" s="39" t="str">
        <f>IF(C4331="","",C4331&amp;"#"&amp;COUNTIF($C$5:C4331,C4331))</f>
        <v/>
      </c>
    </row>
    <row r="4332">
      <c r="A4332" s="41" t="n"/>
      <c r="B4332" s="37" t="n"/>
      <c r="C4332" s="37" t="n"/>
      <c r="D4332" s="39" t="str">
        <f>IF(C4332="","",IFERROR(INDEX(art_des,MATCH(C4332,art_ref,0))&amp;"","Référence inconnue"))</f>
        <v/>
      </c>
      <c r="E4332" s="37" t="n"/>
      <c r="F4332" s="39" t="str">
        <f>IF(C4332="","",IFERROR(INDEX(art_unit,MATCH(C4332,art_ref,0))&amp;"",""))</f>
        <v/>
      </c>
      <c r="G4332" s="37" t="n"/>
      <c r="H4332" s="37" t="n"/>
      <c r="I4332" s="37" t="n"/>
      <c r="J4332" s="40" t="str">
        <f>IF(OR(C4332="",NOT(ISNUMBER(E4332))),"",IFERROR(E4332*N(INDEX(art_price,MATCH(C4332,art_ref,0))),""))</f>
        <v/>
      </c>
      <c r="K4332" s="39" t="str">
        <f>IF(OR(C4332="",NOT(ISNUMBER(E4332))),"",IFERROR(ROUND(N(INDEX(art_init,MATCH(C4332,art_ref,0)))+SUMIFS($E$5:E4332,$C$5:C4332,C4332,$B$5:B4332,"Entrée")-SUMIFS($E$5:E4332,$C$5:C4332,C4332,$B$5:B4332,"Sortie"),6),""))</f>
        <v/>
      </c>
      <c r="L4332" s="39" t="str">
        <f>IF(COUNTA(A4332:C4332,E4332)=0,"",IF(COUNTA(A4332:C4332,E4332)&lt;4,"Ligne incomplète",IF(NOT(ISNUMBER(A4332)),"Date invalide",IF(AND(B4332&lt;&gt;"Entrée",B4332&lt;&gt;"Sortie"),"Type inconnu",IF(ISNA(MATCH(C4332,art_ref,0)),"Référence inconnue",IF(OR(NOT(ISNUMBER(E4332)),N(E4332)&lt;=0),"Quantité invalide",IF(K4332&lt;0,"Stock négatif",IF(AND(ISNUMBER(A4331),A4332&lt;A4331),"Date hors ordre","OK"))))))))</f>
        <v/>
      </c>
      <c r="M4332" s="39" t="str">
        <f>IF(C4332="","",C4332&amp;"#"&amp;COUNTIF($C$5:C4332,C4332))</f>
        <v/>
      </c>
    </row>
    <row r="4333">
      <c r="A4333" s="41" t="n"/>
      <c r="B4333" s="37" t="n"/>
      <c r="C4333" s="37" t="n"/>
      <c r="D4333" s="39" t="str">
        <f>IF(C4333="","",IFERROR(INDEX(art_des,MATCH(C4333,art_ref,0))&amp;"","Référence inconnue"))</f>
        <v/>
      </c>
      <c r="E4333" s="37" t="n"/>
      <c r="F4333" s="39" t="str">
        <f>IF(C4333="","",IFERROR(INDEX(art_unit,MATCH(C4333,art_ref,0))&amp;"",""))</f>
        <v/>
      </c>
      <c r="G4333" s="37" t="n"/>
      <c r="H4333" s="37" t="n"/>
      <c r="I4333" s="37" t="n"/>
      <c r="J4333" s="40" t="str">
        <f>IF(OR(C4333="",NOT(ISNUMBER(E4333))),"",IFERROR(E4333*N(INDEX(art_price,MATCH(C4333,art_ref,0))),""))</f>
        <v/>
      </c>
      <c r="K4333" s="39" t="str">
        <f>IF(OR(C4333="",NOT(ISNUMBER(E4333))),"",IFERROR(ROUND(N(INDEX(art_init,MATCH(C4333,art_ref,0)))+SUMIFS($E$5:E4333,$C$5:C4333,C4333,$B$5:B4333,"Entrée")-SUMIFS($E$5:E4333,$C$5:C4333,C4333,$B$5:B4333,"Sortie"),6),""))</f>
        <v/>
      </c>
      <c r="L4333" s="39" t="str">
        <f>IF(COUNTA(A4333:C4333,E4333)=0,"",IF(COUNTA(A4333:C4333,E4333)&lt;4,"Ligne incomplète",IF(NOT(ISNUMBER(A4333)),"Date invalide",IF(AND(B4333&lt;&gt;"Entrée",B4333&lt;&gt;"Sortie"),"Type inconnu",IF(ISNA(MATCH(C4333,art_ref,0)),"Référence inconnue",IF(OR(NOT(ISNUMBER(E4333)),N(E4333)&lt;=0),"Quantité invalide",IF(K4333&lt;0,"Stock négatif",IF(AND(ISNUMBER(A4332),A4333&lt;A4332),"Date hors ordre","OK"))))))))</f>
        <v/>
      </c>
      <c r="M4333" s="39" t="str">
        <f>IF(C4333="","",C4333&amp;"#"&amp;COUNTIF($C$5:C4333,C4333))</f>
        <v/>
      </c>
    </row>
    <row r="4334">
      <c r="A4334" s="41" t="n"/>
      <c r="B4334" s="37" t="n"/>
      <c r="C4334" s="37" t="n"/>
      <c r="D4334" s="39" t="str">
        <f>IF(C4334="","",IFERROR(INDEX(art_des,MATCH(C4334,art_ref,0))&amp;"","Référence inconnue"))</f>
        <v/>
      </c>
      <c r="E4334" s="37" t="n"/>
      <c r="F4334" s="39" t="str">
        <f>IF(C4334="","",IFERROR(INDEX(art_unit,MATCH(C4334,art_ref,0))&amp;"",""))</f>
        <v/>
      </c>
      <c r="G4334" s="37" t="n"/>
      <c r="H4334" s="37" t="n"/>
      <c r="I4334" s="37" t="n"/>
      <c r="J4334" s="40" t="str">
        <f>IF(OR(C4334="",NOT(ISNUMBER(E4334))),"",IFERROR(E4334*N(INDEX(art_price,MATCH(C4334,art_ref,0))),""))</f>
        <v/>
      </c>
      <c r="K4334" s="39" t="str">
        <f>IF(OR(C4334="",NOT(ISNUMBER(E4334))),"",IFERROR(ROUND(N(INDEX(art_init,MATCH(C4334,art_ref,0)))+SUMIFS($E$5:E4334,$C$5:C4334,C4334,$B$5:B4334,"Entrée")-SUMIFS($E$5:E4334,$C$5:C4334,C4334,$B$5:B4334,"Sortie"),6),""))</f>
        <v/>
      </c>
      <c r="L4334" s="39" t="str">
        <f>IF(COUNTA(A4334:C4334,E4334)=0,"",IF(COUNTA(A4334:C4334,E4334)&lt;4,"Ligne incomplète",IF(NOT(ISNUMBER(A4334)),"Date invalide",IF(AND(B4334&lt;&gt;"Entrée",B4334&lt;&gt;"Sortie"),"Type inconnu",IF(ISNA(MATCH(C4334,art_ref,0)),"Référence inconnue",IF(OR(NOT(ISNUMBER(E4334)),N(E4334)&lt;=0),"Quantité invalide",IF(K4334&lt;0,"Stock négatif",IF(AND(ISNUMBER(A4333),A4334&lt;A4333),"Date hors ordre","OK"))))))))</f>
        <v/>
      </c>
      <c r="M4334" s="39" t="str">
        <f>IF(C4334="","",C4334&amp;"#"&amp;COUNTIF($C$5:C4334,C4334))</f>
        <v/>
      </c>
    </row>
    <row r="4335">
      <c r="A4335" s="41" t="n"/>
      <c r="B4335" s="37" t="n"/>
      <c r="C4335" s="37" t="n"/>
      <c r="D4335" s="39" t="str">
        <f>IF(C4335="","",IFERROR(INDEX(art_des,MATCH(C4335,art_ref,0))&amp;"","Référence inconnue"))</f>
        <v/>
      </c>
      <c r="E4335" s="37" t="n"/>
      <c r="F4335" s="39" t="str">
        <f>IF(C4335="","",IFERROR(INDEX(art_unit,MATCH(C4335,art_ref,0))&amp;"",""))</f>
        <v/>
      </c>
      <c r="G4335" s="37" t="n"/>
      <c r="H4335" s="37" t="n"/>
      <c r="I4335" s="37" t="n"/>
      <c r="J4335" s="40" t="str">
        <f>IF(OR(C4335="",NOT(ISNUMBER(E4335))),"",IFERROR(E4335*N(INDEX(art_price,MATCH(C4335,art_ref,0))),""))</f>
        <v/>
      </c>
      <c r="K4335" s="39" t="str">
        <f>IF(OR(C4335="",NOT(ISNUMBER(E4335))),"",IFERROR(ROUND(N(INDEX(art_init,MATCH(C4335,art_ref,0)))+SUMIFS($E$5:E4335,$C$5:C4335,C4335,$B$5:B4335,"Entrée")-SUMIFS($E$5:E4335,$C$5:C4335,C4335,$B$5:B4335,"Sortie"),6),""))</f>
        <v/>
      </c>
      <c r="L4335" s="39" t="str">
        <f>IF(COUNTA(A4335:C4335,E4335)=0,"",IF(COUNTA(A4335:C4335,E4335)&lt;4,"Ligne incomplète",IF(NOT(ISNUMBER(A4335)),"Date invalide",IF(AND(B4335&lt;&gt;"Entrée",B4335&lt;&gt;"Sortie"),"Type inconnu",IF(ISNA(MATCH(C4335,art_ref,0)),"Référence inconnue",IF(OR(NOT(ISNUMBER(E4335)),N(E4335)&lt;=0),"Quantité invalide",IF(K4335&lt;0,"Stock négatif",IF(AND(ISNUMBER(A4334),A4335&lt;A4334),"Date hors ordre","OK"))))))))</f>
        <v/>
      </c>
      <c r="M4335" s="39" t="str">
        <f>IF(C4335="","",C4335&amp;"#"&amp;COUNTIF($C$5:C4335,C4335))</f>
        <v/>
      </c>
    </row>
    <row r="4336">
      <c r="A4336" s="41" t="n"/>
      <c r="B4336" s="37" t="n"/>
      <c r="C4336" s="37" t="n"/>
      <c r="D4336" s="39" t="str">
        <f>IF(C4336="","",IFERROR(INDEX(art_des,MATCH(C4336,art_ref,0))&amp;"","Référence inconnue"))</f>
        <v/>
      </c>
      <c r="E4336" s="37" t="n"/>
      <c r="F4336" s="39" t="str">
        <f>IF(C4336="","",IFERROR(INDEX(art_unit,MATCH(C4336,art_ref,0))&amp;"",""))</f>
        <v/>
      </c>
      <c r="G4336" s="37" t="n"/>
      <c r="H4336" s="37" t="n"/>
      <c r="I4336" s="37" t="n"/>
      <c r="J4336" s="40" t="str">
        <f>IF(OR(C4336="",NOT(ISNUMBER(E4336))),"",IFERROR(E4336*N(INDEX(art_price,MATCH(C4336,art_ref,0))),""))</f>
        <v/>
      </c>
      <c r="K4336" s="39" t="str">
        <f>IF(OR(C4336="",NOT(ISNUMBER(E4336))),"",IFERROR(ROUND(N(INDEX(art_init,MATCH(C4336,art_ref,0)))+SUMIFS($E$5:E4336,$C$5:C4336,C4336,$B$5:B4336,"Entrée")-SUMIFS($E$5:E4336,$C$5:C4336,C4336,$B$5:B4336,"Sortie"),6),""))</f>
        <v/>
      </c>
      <c r="L4336" s="39" t="str">
        <f>IF(COUNTA(A4336:C4336,E4336)=0,"",IF(COUNTA(A4336:C4336,E4336)&lt;4,"Ligne incomplète",IF(NOT(ISNUMBER(A4336)),"Date invalide",IF(AND(B4336&lt;&gt;"Entrée",B4336&lt;&gt;"Sortie"),"Type inconnu",IF(ISNA(MATCH(C4336,art_ref,0)),"Référence inconnue",IF(OR(NOT(ISNUMBER(E4336)),N(E4336)&lt;=0),"Quantité invalide",IF(K4336&lt;0,"Stock négatif",IF(AND(ISNUMBER(A4335),A4336&lt;A4335),"Date hors ordre","OK"))))))))</f>
        <v/>
      </c>
      <c r="M4336" s="39" t="str">
        <f>IF(C4336="","",C4336&amp;"#"&amp;COUNTIF($C$5:C4336,C4336))</f>
        <v/>
      </c>
    </row>
    <row r="4337">
      <c r="A4337" s="41" t="n"/>
      <c r="B4337" s="37" t="n"/>
      <c r="C4337" s="37" t="n"/>
      <c r="D4337" s="39" t="str">
        <f>IF(C4337="","",IFERROR(INDEX(art_des,MATCH(C4337,art_ref,0))&amp;"","Référence inconnue"))</f>
        <v/>
      </c>
      <c r="E4337" s="37" t="n"/>
      <c r="F4337" s="39" t="str">
        <f>IF(C4337="","",IFERROR(INDEX(art_unit,MATCH(C4337,art_ref,0))&amp;"",""))</f>
        <v/>
      </c>
      <c r="G4337" s="37" t="n"/>
      <c r="H4337" s="37" t="n"/>
      <c r="I4337" s="37" t="n"/>
      <c r="J4337" s="40" t="str">
        <f>IF(OR(C4337="",NOT(ISNUMBER(E4337))),"",IFERROR(E4337*N(INDEX(art_price,MATCH(C4337,art_ref,0))),""))</f>
        <v/>
      </c>
      <c r="K4337" s="39" t="str">
        <f>IF(OR(C4337="",NOT(ISNUMBER(E4337))),"",IFERROR(ROUND(N(INDEX(art_init,MATCH(C4337,art_ref,0)))+SUMIFS($E$5:E4337,$C$5:C4337,C4337,$B$5:B4337,"Entrée")-SUMIFS($E$5:E4337,$C$5:C4337,C4337,$B$5:B4337,"Sortie"),6),""))</f>
        <v/>
      </c>
      <c r="L4337" s="39" t="str">
        <f>IF(COUNTA(A4337:C4337,E4337)=0,"",IF(COUNTA(A4337:C4337,E4337)&lt;4,"Ligne incomplète",IF(NOT(ISNUMBER(A4337)),"Date invalide",IF(AND(B4337&lt;&gt;"Entrée",B4337&lt;&gt;"Sortie"),"Type inconnu",IF(ISNA(MATCH(C4337,art_ref,0)),"Référence inconnue",IF(OR(NOT(ISNUMBER(E4337)),N(E4337)&lt;=0),"Quantité invalide",IF(K4337&lt;0,"Stock négatif",IF(AND(ISNUMBER(A4336),A4337&lt;A4336),"Date hors ordre","OK"))))))))</f>
        <v/>
      </c>
      <c r="M4337" s="39" t="str">
        <f>IF(C4337="","",C4337&amp;"#"&amp;COUNTIF($C$5:C4337,C4337))</f>
        <v/>
      </c>
    </row>
    <row r="4338">
      <c r="A4338" s="41" t="n"/>
      <c r="B4338" s="37" t="n"/>
      <c r="C4338" s="37" t="n"/>
      <c r="D4338" s="39" t="str">
        <f>IF(C4338="","",IFERROR(INDEX(art_des,MATCH(C4338,art_ref,0))&amp;"","Référence inconnue"))</f>
        <v/>
      </c>
      <c r="E4338" s="37" t="n"/>
      <c r="F4338" s="39" t="str">
        <f>IF(C4338="","",IFERROR(INDEX(art_unit,MATCH(C4338,art_ref,0))&amp;"",""))</f>
        <v/>
      </c>
      <c r="G4338" s="37" t="n"/>
      <c r="H4338" s="37" t="n"/>
      <c r="I4338" s="37" t="n"/>
      <c r="J4338" s="40" t="str">
        <f>IF(OR(C4338="",NOT(ISNUMBER(E4338))),"",IFERROR(E4338*N(INDEX(art_price,MATCH(C4338,art_ref,0))),""))</f>
        <v/>
      </c>
      <c r="K4338" s="39" t="str">
        <f>IF(OR(C4338="",NOT(ISNUMBER(E4338))),"",IFERROR(ROUND(N(INDEX(art_init,MATCH(C4338,art_ref,0)))+SUMIFS($E$5:E4338,$C$5:C4338,C4338,$B$5:B4338,"Entrée")-SUMIFS($E$5:E4338,$C$5:C4338,C4338,$B$5:B4338,"Sortie"),6),""))</f>
        <v/>
      </c>
      <c r="L4338" s="39" t="str">
        <f>IF(COUNTA(A4338:C4338,E4338)=0,"",IF(COUNTA(A4338:C4338,E4338)&lt;4,"Ligne incomplète",IF(NOT(ISNUMBER(A4338)),"Date invalide",IF(AND(B4338&lt;&gt;"Entrée",B4338&lt;&gt;"Sortie"),"Type inconnu",IF(ISNA(MATCH(C4338,art_ref,0)),"Référence inconnue",IF(OR(NOT(ISNUMBER(E4338)),N(E4338)&lt;=0),"Quantité invalide",IF(K4338&lt;0,"Stock négatif",IF(AND(ISNUMBER(A4337),A4338&lt;A4337),"Date hors ordre","OK"))))))))</f>
        <v/>
      </c>
      <c r="M4338" s="39" t="str">
        <f>IF(C4338="","",C4338&amp;"#"&amp;COUNTIF($C$5:C4338,C4338))</f>
        <v/>
      </c>
    </row>
    <row r="4339">
      <c r="A4339" s="41" t="n"/>
      <c r="B4339" s="37" t="n"/>
      <c r="C4339" s="37" t="n"/>
      <c r="D4339" s="39" t="str">
        <f>IF(C4339="","",IFERROR(INDEX(art_des,MATCH(C4339,art_ref,0))&amp;"","Référence inconnue"))</f>
        <v/>
      </c>
      <c r="E4339" s="37" t="n"/>
      <c r="F4339" s="39" t="str">
        <f>IF(C4339="","",IFERROR(INDEX(art_unit,MATCH(C4339,art_ref,0))&amp;"",""))</f>
        <v/>
      </c>
      <c r="G4339" s="37" t="n"/>
      <c r="H4339" s="37" t="n"/>
      <c r="I4339" s="37" t="n"/>
      <c r="J4339" s="40" t="str">
        <f>IF(OR(C4339="",NOT(ISNUMBER(E4339))),"",IFERROR(E4339*N(INDEX(art_price,MATCH(C4339,art_ref,0))),""))</f>
        <v/>
      </c>
      <c r="K4339" s="39" t="str">
        <f>IF(OR(C4339="",NOT(ISNUMBER(E4339))),"",IFERROR(ROUND(N(INDEX(art_init,MATCH(C4339,art_ref,0)))+SUMIFS($E$5:E4339,$C$5:C4339,C4339,$B$5:B4339,"Entrée")-SUMIFS($E$5:E4339,$C$5:C4339,C4339,$B$5:B4339,"Sortie"),6),""))</f>
        <v/>
      </c>
      <c r="L4339" s="39" t="str">
        <f>IF(COUNTA(A4339:C4339,E4339)=0,"",IF(COUNTA(A4339:C4339,E4339)&lt;4,"Ligne incomplète",IF(NOT(ISNUMBER(A4339)),"Date invalide",IF(AND(B4339&lt;&gt;"Entrée",B4339&lt;&gt;"Sortie"),"Type inconnu",IF(ISNA(MATCH(C4339,art_ref,0)),"Référence inconnue",IF(OR(NOT(ISNUMBER(E4339)),N(E4339)&lt;=0),"Quantité invalide",IF(K4339&lt;0,"Stock négatif",IF(AND(ISNUMBER(A4338),A4339&lt;A4338),"Date hors ordre","OK"))))))))</f>
        <v/>
      </c>
      <c r="M4339" s="39" t="str">
        <f>IF(C4339="","",C4339&amp;"#"&amp;COUNTIF($C$5:C4339,C4339))</f>
        <v/>
      </c>
    </row>
    <row r="4340">
      <c r="A4340" s="41" t="n"/>
      <c r="B4340" s="37" t="n"/>
      <c r="C4340" s="37" t="n"/>
      <c r="D4340" s="39" t="str">
        <f>IF(C4340="","",IFERROR(INDEX(art_des,MATCH(C4340,art_ref,0))&amp;"","Référence inconnue"))</f>
        <v/>
      </c>
      <c r="E4340" s="37" t="n"/>
      <c r="F4340" s="39" t="str">
        <f>IF(C4340="","",IFERROR(INDEX(art_unit,MATCH(C4340,art_ref,0))&amp;"",""))</f>
        <v/>
      </c>
      <c r="G4340" s="37" t="n"/>
      <c r="H4340" s="37" t="n"/>
      <c r="I4340" s="37" t="n"/>
      <c r="J4340" s="40" t="str">
        <f>IF(OR(C4340="",NOT(ISNUMBER(E4340))),"",IFERROR(E4340*N(INDEX(art_price,MATCH(C4340,art_ref,0))),""))</f>
        <v/>
      </c>
      <c r="K4340" s="39" t="str">
        <f>IF(OR(C4340="",NOT(ISNUMBER(E4340))),"",IFERROR(ROUND(N(INDEX(art_init,MATCH(C4340,art_ref,0)))+SUMIFS($E$5:E4340,$C$5:C4340,C4340,$B$5:B4340,"Entrée")-SUMIFS($E$5:E4340,$C$5:C4340,C4340,$B$5:B4340,"Sortie"),6),""))</f>
        <v/>
      </c>
      <c r="L4340" s="39" t="str">
        <f>IF(COUNTA(A4340:C4340,E4340)=0,"",IF(COUNTA(A4340:C4340,E4340)&lt;4,"Ligne incomplète",IF(NOT(ISNUMBER(A4340)),"Date invalide",IF(AND(B4340&lt;&gt;"Entrée",B4340&lt;&gt;"Sortie"),"Type inconnu",IF(ISNA(MATCH(C4340,art_ref,0)),"Référence inconnue",IF(OR(NOT(ISNUMBER(E4340)),N(E4340)&lt;=0),"Quantité invalide",IF(K4340&lt;0,"Stock négatif",IF(AND(ISNUMBER(A4339),A4340&lt;A4339),"Date hors ordre","OK"))))))))</f>
        <v/>
      </c>
      <c r="M4340" s="39" t="str">
        <f>IF(C4340="","",C4340&amp;"#"&amp;COUNTIF($C$5:C4340,C4340))</f>
        <v/>
      </c>
    </row>
    <row r="4341">
      <c r="A4341" s="41" t="n"/>
      <c r="B4341" s="37" t="n"/>
      <c r="C4341" s="37" t="n"/>
      <c r="D4341" s="39" t="str">
        <f>IF(C4341="","",IFERROR(INDEX(art_des,MATCH(C4341,art_ref,0))&amp;"","Référence inconnue"))</f>
        <v/>
      </c>
      <c r="E4341" s="37" t="n"/>
      <c r="F4341" s="39" t="str">
        <f>IF(C4341="","",IFERROR(INDEX(art_unit,MATCH(C4341,art_ref,0))&amp;"",""))</f>
        <v/>
      </c>
      <c r="G4341" s="37" t="n"/>
      <c r="H4341" s="37" t="n"/>
      <c r="I4341" s="37" t="n"/>
      <c r="J4341" s="40" t="str">
        <f>IF(OR(C4341="",NOT(ISNUMBER(E4341))),"",IFERROR(E4341*N(INDEX(art_price,MATCH(C4341,art_ref,0))),""))</f>
        <v/>
      </c>
      <c r="K4341" s="39" t="str">
        <f>IF(OR(C4341="",NOT(ISNUMBER(E4341))),"",IFERROR(ROUND(N(INDEX(art_init,MATCH(C4341,art_ref,0)))+SUMIFS($E$5:E4341,$C$5:C4341,C4341,$B$5:B4341,"Entrée")-SUMIFS($E$5:E4341,$C$5:C4341,C4341,$B$5:B4341,"Sortie"),6),""))</f>
        <v/>
      </c>
      <c r="L4341" s="39" t="str">
        <f>IF(COUNTA(A4341:C4341,E4341)=0,"",IF(COUNTA(A4341:C4341,E4341)&lt;4,"Ligne incomplète",IF(NOT(ISNUMBER(A4341)),"Date invalide",IF(AND(B4341&lt;&gt;"Entrée",B4341&lt;&gt;"Sortie"),"Type inconnu",IF(ISNA(MATCH(C4341,art_ref,0)),"Référence inconnue",IF(OR(NOT(ISNUMBER(E4341)),N(E4341)&lt;=0),"Quantité invalide",IF(K4341&lt;0,"Stock négatif",IF(AND(ISNUMBER(A4340),A4341&lt;A4340),"Date hors ordre","OK"))))))))</f>
        <v/>
      </c>
      <c r="M4341" s="39" t="str">
        <f>IF(C4341="","",C4341&amp;"#"&amp;COUNTIF($C$5:C4341,C4341))</f>
        <v/>
      </c>
    </row>
    <row r="4342">
      <c r="A4342" s="41" t="n"/>
      <c r="B4342" s="37" t="n"/>
      <c r="C4342" s="37" t="n"/>
      <c r="D4342" s="39" t="str">
        <f>IF(C4342="","",IFERROR(INDEX(art_des,MATCH(C4342,art_ref,0))&amp;"","Référence inconnue"))</f>
        <v/>
      </c>
      <c r="E4342" s="37" t="n"/>
      <c r="F4342" s="39" t="str">
        <f>IF(C4342="","",IFERROR(INDEX(art_unit,MATCH(C4342,art_ref,0))&amp;"",""))</f>
        <v/>
      </c>
      <c r="G4342" s="37" t="n"/>
      <c r="H4342" s="37" t="n"/>
      <c r="I4342" s="37" t="n"/>
      <c r="J4342" s="40" t="str">
        <f>IF(OR(C4342="",NOT(ISNUMBER(E4342))),"",IFERROR(E4342*N(INDEX(art_price,MATCH(C4342,art_ref,0))),""))</f>
        <v/>
      </c>
      <c r="K4342" s="39" t="str">
        <f>IF(OR(C4342="",NOT(ISNUMBER(E4342))),"",IFERROR(ROUND(N(INDEX(art_init,MATCH(C4342,art_ref,0)))+SUMIFS($E$5:E4342,$C$5:C4342,C4342,$B$5:B4342,"Entrée")-SUMIFS($E$5:E4342,$C$5:C4342,C4342,$B$5:B4342,"Sortie"),6),""))</f>
        <v/>
      </c>
      <c r="L4342" s="39" t="str">
        <f>IF(COUNTA(A4342:C4342,E4342)=0,"",IF(COUNTA(A4342:C4342,E4342)&lt;4,"Ligne incomplète",IF(NOT(ISNUMBER(A4342)),"Date invalide",IF(AND(B4342&lt;&gt;"Entrée",B4342&lt;&gt;"Sortie"),"Type inconnu",IF(ISNA(MATCH(C4342,art_ref,0)),"Référence inconnue",IF(OR(NOT(ISNUMBER(E4342)),N(E4342)&lt;=0),"Quantité invalide",IF(K4342&lt;0,"Stock négatif",IF(AND(ISNUMBER(A4341),A4342&lt;A4341),"Date hors ordre","OK"))))))))</f>
        <v/>
      </c>
      <c r="M4342" s="39" t="str">
        <f>IF(C4342="","",C4342&amp;"#"&amp;COUNTIF($C$5:C4342,C4342))</f>
        <v/>
      </c>
    </row>
    <row r="4343">
      <c r="A4343" s="41" t="n"/>
      <c r="B4343" s="37" t="n"/>
      <c r="C4343" s="37" t="n"/>
      <c r="D4343" s="39" t="str">
        <f>IF(C4343="","",IFERROR(INDEX(art_des,MATCH(C4343,art_ref,0))&amp;"","Référence inconnue"))</f>
        <v/>
      </c>
      <c r="E4343" s="37" t="n"/>
      <c r="F4343" s="39" t="str">
        <f>IF(C4343="","",IFERROR(INDEX(art_unit,MATCH(C4343,art_ref,0))&amp;"",""))</f>
        <v/>
      </c>
      <c r="G4343" s="37" t="n"/>
      <c r="H4343" s="37" t="n"/>
      <c r="I4343" s="37" t="n"/>
      <c r="J4343" s="40" t="str">
        <f>IF(OR(C4343="",NOT(ISNUMBER(E4343))),"",IFERROR(E4343*N(INDEX(art_price,MATCH(C4343,art_ref,0))),""))</f>
        <v/>
      </c>
      <c r="K4343" s="39" t="str">
        <f>IF(OR(C4343="",NOT(ISNUMBER(E4343))),"",IFERROR(ROUND(N(INDEX(art_init,MATCH(C4343,art_ref,0)))+SUMIFS($E$5:E4343,$C$5:C4343,C4343,$B$5:B4343,"Entrée")-SUMIFS($E$5:E4343,$C$5:C4343,C4343,$B$5:B4343,"Sortie"),6),""))</f>
        <v/>
      </c>
      <c r="L4343" s="39" t="str">
        <f>IF(COUNTA(A4343:C4343,E4343)=0,"",IF(COUNTA(A4343:C4343,E4343)&lt;4,"Ligne incomplète",IF(NOT(ISNUMBER(A4343)),"Date invalide",IF(AND(B4343&lt;&gt;"Entrée",B4343&lt;&gt;"Sortie"),"Type inconnu",IF(ISNA(MATCH(C4343,art_ref,0)),"Référence inconnue",IF(OR(NOT(ISNUMBER(E4343)),N(E4343)&lt;=0),"Quantité invalide",IF(K4343&lt;0,"Stock négatif",IF(AND(ISNUMBER(A4342),A4343&lt;A4342),"Date hors ordre","OK"))))))))</f>
        <v/>
      </c>
      <c r="M4343" s="39" t="str">
        <f>IF(C4343="","",C4343&amp;"#"&amp;COUNTIF($C$5:C4343,C4343))</f>
        <v/>
      </c>
    </row>
    <row r="4344">
      <c r="A4344" s="41" t="n"/>
      <c r="B4344" s="37" t="n"/>
      <c r="C4344" s="37" t="n"/>
      <c r="D4344" s="39" t="str">
        <f>IF(C4344="","",IFERROR(INDEX(art_des,MATCH(C4344,art_ref,0))&amp;"","Référence inconnue"))</f>
        <v/>
      </c>
      <c r="E4344" s="37" t="n"/>
      <c r="F4344" s="39" t="str">
        <f>IF(C4344="","",IFERROR(INDEX(art_unit,MATCH(C4344,art_ref,0))&amp;"",""))</f>
        <v/>
      </c>
      <c r="G4344" s="37" t="n"/>
      <c r="H4344" s="37" t="n"/>
      <c r="I4344" s="37" t="n"/>
      <c r="J4344" s="40" t="str">
        <f>IF(OR(C4344="",NOT(ISNUMBER(E4344))),"",IFERROR(E4344*N(INDEX(art_price,MATCH(C4344,art_ref,0))),""))</f>
        <v/>
      </c>
      <c r="K4344" s="39" t="str">
        <f>IF(OR(C4344="",NOT(ISNUMBER(E4344))),"",IFERROR(ROUND(N(INDEX(art_init,MATCH(C4344,art_ref,0)))+SUMIFS($E$5:E4344,$C$5:C4344,C4344,$B$5:B4344,"Entrée")-SUMIFS($E$5:E4344,$C$5:C4344,C4344,$B$5:B4344,"Sortie"),6),""))</f>
        <v/>
      </c>
      <c r="L4344" s="39" t="str">
        <f>IF(COUNTA(A4344:C4344,E4344)=0,"",IF(COUNTA(A4344:C4344,E4344)&lt;4,"Ligne incomplète",IF(NOT(ISNUMBER(A4344)),"Date invalide",IF(AND(B4344&lt;&gt;"Entrée",B4344&lt;&gt;"Sortie"),"Type inconnu",IF(ISNA(MATCH(C4344,art_ref,0)),"Référence inconnue",IF(OR(NOT(ISNUMBER(E4344)),N(E4344)&lt;=0),"Quantité invalide",IF(K4344&lt;0,"Stock négatif",IF(AND(ISNUMBER(A4343),A4344&lt;A4343),"Date hors ordre","OK"))))))))</f>
        <v/>
      </c>
      <c r="M4344" s="39" t="str">
        <f>IF(C4344="","",C4344&amp;"#"&amp;COUNTIF($C$5:C4344,C4344))</f>
        <v/>
      </c>
    </row>
    <row r="4345">
      <c r="A4345" s="41" t="n"/>
      <c r="B4345" s="37" t="n"/>
      <c r="C4345" s="37" t="n"/>
      <c r="D4345" s="39" t="str">
        <f>IF(C4345="","",IFERROR(INDEX(art_des,MATCH(C4345,art_ref,0))&amp;"","Référence inconnue"))</f>
        <v/>
      </c>
      <c r="E4345" s="37" t="n"/>
      <c r="F4345" s="39" t="str">
        <f>IF(C4345="","",IFERROR(INDEX(art_unit,MATCH(C4345,art_ref,0))&amp;"",""))</f>
        <v/>
      </c>
      <c r="G4345" s="37" t="n"/>
      <c r="H4345" s="37" t="n"/>
      <c r="I4345" s="37" t="n"/>
      <c r="J4345" s="40" t="str">
        <f>IF(OR(C4345="",NOT(ISNUMBER(E4345))),"",IFERROR(E4345*N(INDEX(art_price,MATCH(C4345,art_ref,0))),""))</f>
        <v/>
      </c>
      <c r="K4345" s="39" t="str">
        <f>IF(OR(C4345="",NOT(ISNUMBER(E4345))),"",IFERROR(ROUND(N(INDEX(art_init,MATCH(C4345,art_ref,0)))+SUMIFS($E$5:E4345,$C$5:C4345,C4345,$B$5:B4345,"Entrée")-SUMIFS($E$5:E4345,$C$5:C4345,C4345,$B$5:B4345,"Sortie"),6),""))</f>
        <v/>
      </c>
      <c r="L4345" s="39" t="str">
        <f>IF(COUNTA(A4345:C4345,E4345)=0,"",IF(COUNTA(A4345:C4345,E4345)&lt;4,"Ligne incomplète",IF(NOT(ISNUMBER(A4345)),"Date invalide",IF(AND(B4345&lt;&gt;"Entrée",B4345&lt;&gt;"Sortie"),"Type inconnu",IF(ISNA(MATCH(C4345,art_ref,0)),"Référence inconnue",IF(OR(NOT(ISNUMBER(E4345)),N(E4345)&lt;=0),"Quantité invalide",IF(K4345&lt;0,"Stock négatif",IF(AND(ISNUMBER(A4344),A4345&lt;A4344),"Date hors ordre","OK"))))))))</f>
        <v/>
      </c>
      <c r="M4345" s="39" t="str">
        <f>IF(C4345="","",C4345&amp;"#"&amp;COUNTIF($C$5:C4345,C4345))</f>
        <v/>
      </c>
    </row>
    <row r="4346">
      <c r="A4346" s="41" t="n"/>
      <c r="B4346" s="37" t="n"/>
      <c r="C4346" s="37" t="n"/>
      <c r="D4346" s="39" t="str">
        <f>IF(C4346="","",IFERROR(INDEX(art_des,MATCH(C4346,art_ref,0))&amp;"","Référence inconnue"))</f>
        <v/>
      </c>
      <c r="E4346" s="37" t="n"/>
      <c r="F4346" s="39" t="str">
        <f>IF(C4346="","",IFERROR(INDEX(art_unit,MATCH(C4346,art_ref,0))&amp;"",""))</f>
        <v/>
      </c>
      <c r="G4346" s="37" t="n"/>
      <c r="H4346" s="37" t="n"/>
      <c r="I4346" s="37" t="n"/>
      <c r="J4346" s="40" t="str">
        <f>IF(OR(C4346="",NOT(ISNUMBER(E4346))),"",IFERROR(E4346*N(INDEX(art_price,MATCH(C4346,art_ref,0))),""))</f>
        <v/>
      </c>
      <c r="K4346" s="39" t="str">
        <f>IF(OR(C4346="",NOT(ISNUMBER(E4346))),"",IFERROR(ROUND(N(INDEX(art_init,MATCH(C4346,art_ref,0)))+SUMIFS($E$5:E4346,$C$5:C4346,C4346,$B$5:B4346,"Entrée")-SUMIFS($E$5:E4346,$C$5:C4346,C4346,$B$5:B4346,"Sortie"),6),""))</f>
        <v/>
      </c>
      <c r="L4346" s="39" t="str">
        <f>IF(COUNTA(A4346:C4346,E4346)=0,"",IF(COUNTA(A4346:C4346,E4346)&lt;4,"Ligne incomplète",IF(NOT(ISNUMBER(A4346)),"Date invalide",IF(AND(B4346&lt;&gt;"Entrée",B4346&lt;&gt;"Sortie"),"Type inconnu",IF(ISNA(MATCH(C4346,art_ref,0)),"Référence inconnue",IF(OR(NOT(ISNUMBER(E4346)),N(E4346)&lt;=0),"Quantité invalide",IF(K4346&lt;0,"Stock négatif",IF(AND(ISNUMBER(A4345),A4346&lt;A4345),"Date hors ordre","OK"))))))))</f>
        <v/>
      </c>
      <c r="M4346" s="39" t="str">
        <f>IF(C4346="","",C4346&amp;"#"&amp;COUNTIF($C$5:C4346,C4346))</f>
        <v/>
      </c>
    </row>
    <row r="4347">
      <c r="A4347" s="41" t="n"/>
      <c r="B4347" s="37" t="n"/>
      <c r="C4347" s="37" t="n"/>
      <c r="D4347" s="39" t="str">
        <f>IF(C4347="","",IFERROR(INDEX(art_des,MATCH(C4347,art_ref,0))&amp;"","Référence inconnue"))</f>
        <v/>
      </c>
      <c r="E4347" s="37" t="n"/>
      <c r="F4347" s="39" t="str">
        <f>IF(C4347="","",IFERROR(INDEX(art_unit,MATCH(C4347,art_ref,0))&amp;"",""))</f>
        <v/>
      </c>
      <c r="G4347" s="37" t="n"/>
      <c r="H4347" s="37" t="n"/>
      <c r="I4347" s="37" t="n"/>
      <c r="J4347" s="40" t="str">
        <f>IF(OR(C4347="",NOT(ISNUMBER(E4347))),"",IFERROR(E4347*N(INDEX(art_price,MATCH(C4347,art_ref,0))),""))</f>
        <v/>
      </c>
      <c r="K4347" s="39" t="str">
        <f>IF(OR(C4347="",NOT(ISNUMBER(E4347))),"",IFERROR(ROUND(N(INDEX(art_init,MATCH(C4347,art_ref,0)))+SUMIFS($E$5:E4347,$C$5:C4347,C4347,$B$5:B4347,"Entrée")-SUMIFS($E$5:E4347,$C$5:C4347,C4347,$B$5:B4347,"Sortie"),6),""))</f>
        <v/>
      </c>
      <c r="L4347" s="39" t="str">
        <f>IF(COUNTA(A4347:C4347,E4347)=0,"",IF(COUNTA(A4347:C4347,E4347)&lt;4,"Ligne incomplète",IF(NOT(ISNUMBER(A4347)),"Date invalide",IF(AND(B4347&lt;&gt;"Entrée",B4347&lt;&gt;"Sortie"),"Type inconnu",IF(ISNA(MATCH(C4347,art_ref,0)),"Référence inconnue",IF(OR(NOT(ISNUMBER(E4347)),N(E4347)&lt;=0),"Quantité invalide",IF(K4347&lt;0,"Stock négatif",IF(AND(ISNUMBER(A4346),A4347&lt;A4346),"Date hors ordre","OK"))))))))</f>
        <v/>
      </c>
      <c r="M4347" s="39" t="str">
        <f>IF(C4347="","",C4347&amp;"#"&amp;COUNTIF($C$5:C4347,C4347))</f>
        <v/>
      </c>
    </row>
    <row r="4348">
      <c r="A4348" s="41" t="n"/>
      <c r="B4348" s="37" t="n"/>
      <c r="C4348" s="37" t="n"/>
      <c r="D4348" s="39" t="str">
        <f>IF(C4348="","",IFERROR(INDEX(art_des,MATCH(C4348,art_ref,0))&amp;"","Référence inconnue"))</f>
        <v/>
      </c>
      <c r="E4348" s="37" t="n"/>
      <c r="F4348" s="39" t="str">
        <f>IF(C4348="","",IFERROR(INDEX(art_unit,MATCH(C4348,art_ref,0))&amp;"",""))</f>
        <v/>
      </c>
      <c r="G4348" s="37" t="n"/>
      <c r="H4348" s="37" t="n"/>
      <c r="I4348" s="37" t="n"/>
      <c r="J4348" s="40" t="str">
        <f>IF(OR(C4348="",NOT(ISNUMBER(E4348))),"",IFERROR(E4348*N(INDEX(art_price,MATCH(C4348,art_ref,0))),""))</f>
        <v/>
      </c>
      <c r="K4348" s="39" t="str">
        <f>IF(OR(C4348="",NOT(ISNUMBER(E4348))),"",IFERROR(ROUND(N(INDEX(art_init,MATCH(C4348,art_ref,0)))+SUMIFS($E$5:E4348,$C$5:C4348,C4348,$B$5:B4348,"Entrée")-SUMIFS($E$5:E4348,$C$5:C4348,C4348,$B$5:B4348,"Sortie"),6),""))</f>
        <v/>
      </c>
      <c r="L4348" s="39" t="str">
        <f>IF(COUNTA(A4348:C4348,E4348)=0,"",IF(COUNTA(A4348:C4348,E4348)&lt;4,"Ligne incomplète",IF(NOT(ISNUMBER(A4348)),"Date invalide",IF(AND(B4348&lt;&gt;"Entrée",B4348&lt;&gt;"Sortie"),"Type inconnu",IF(ISNA(MATCH(C4348,art_ref,0)),"Référence inconnue",IF(OR(NOT(ISNUMBER(E4348)),N(E4348)&lt;=0),"Quantité invalide",IF(K4348&lt;0,"Stock négatif",IF(AND(ISNUMBER(A4347),A4348&lt;A4347),"Date hors ordre","OK"))))))))</f>
        <v/>
      </c>
      <c r="M4348" s="39" t="str">
        <f>IF(C4348="","",C4348&amp;"#"&amp;COUNTIF($C$5:C4348,C4348))</f>
        <v/>
      </c>
    </row>
    <row r="4349">
      <c r="A4349" s="41" t="n"/>
      <c r="B4349" s="37" t="n"/>
      <c r="C4349" s="37" t="n"/>
      <c r="D4349" s="39" t="str">
        <f>IF(C4349="","",IFERROR(INDEX(art_des,MATCH(C4349,art_ref,0))&amp;"","Référence inconnue"))</f>
        <v/>
      </c>
      <c r="E4349" s="37" t="n"/>
      <c r="F4349" s="39" t="str">
        <f>IF(C4349="","",IFERROR(INDEX(art_unit,MATCH(C4349,art_ref,0))&amp;"",""))</f>
        <v/>
      </c>
      <c r="G4349" s="37" t="n"/>
      <c r="H4349" s="37" t="n"/>
      <c r="I4349" s="37" t="n"/>
      <c r="J4349" s="40" t="str">
        <f>IF(OR(C4349="",NOT(ISNUMBER(E4349))),"",IFERROR(E4349*N(INDEX(art_price,MATCH(C4349,art_ref,0))),""))</f>
        <v/>
      </c>
      <c r="K4349" s="39" t="str">
        <f>IF(OR(C4349="",NOT(ISNUMBER(E4349))),"",IFERROR(ROUND(N(INDEX(art_init,MATCH(C4349,art_ref,0)))+SUMIFS($E$5:E4349,$C$5:C4349,C4349,$B$5:B4349,"Entrée")-SUMIFS($E$5:E4349,$C$5:C4349,C4349,$B$5:B4349,"Sortie"),6),""))</f>
        <v/>
      </c>
      <c r="L4349" s="39" t="str">
        <f>IF(COUNTA(A4349:C4349,E4349)=0,"",IF(COUNTA(A4349:C4349,E4349)&lt;4,"Ligne incomplète",IF(NOT(ISNUMBER(A4349)),"Date invalide",IF(AND(B4349&lt;&gt;"Entrée",B4349&lt;&gt;"Sortie"),"Type inconnu",IF(ISNA(MATCH(C4349,art_ref,0)),"Référence inconnue",IF(OR(NOT(ISNUMBER(E4349)),N(E4349)&lt;=0),"Quantité invalide",IF(K4349&lt;0,"Stock négatif",IF(AND(ISNUMBER(A4348),A4349&lt;A4348),"Date hors ordre","OK"))))))))</f>
        <v/>
      </c>
      <c r="M4349" s="39" t="str">
        <f>IF(C4349="","",C4349&amp;"#"&amp;COUNTIF($C$5:C4349,C4349))</f>
        <v/>
      </c>
    </row>
    <row r="4350">
      <c r="A4350" s="41" t="n"/>
      <c r="B4350" s="37" t="n"/>
      <c r="C4350" s="37" t="n"/>
      <c r="D4350" s="39" t="str">
        <f>IF(C4350="","",IFERROR(INDEX(art_des,MATCH(C4350,art_ref,0))&amp;"","Référence inconnue"))</f>
        <v/>
      </c>
      <c r="E4350" s="37" t="n"/>
      <c r="F4350" s="39" t="str">
        <f>IF(C4350="","",IFERROR(INDEX(art_unit,MATCH(C4350,art_ref,0))&amp;"",""))</f>
        <v/>
      </c>
      <c r="G4350" s="37" t="n"/>
      <c r="H4350" s="37" t="n"/>
      <c r="I4350" s="37" t="n"/>
      <c r="J4350" s="40" t="str">
        <f>IF(OR(C4350="",NOT(ISNUMBER(E4350))),"",IFERROR(E4350*N(INDEX(art_price,MATCH(C4350,art_ref,0))),""))</f>
        <v/>
      </c>
      <c r="K4350" s="39" t="str">
        <f>IF(OR(C4350="",NOT(ISNUMBER(E4350))),"",IFERROR(ROUND(N(INDEX(art_init,MATCH(C4350,art_ref,0)))+SUMIFS($E$5:E4350,$C$5:C4350,C4350,$B$5:B4350,"Entrée")-SUMIFS($E$5:E4350,$C$5:C4350,C4350,$B$5:B4350,"Sortie"),6),""))</f>
        <v/>
      </c>
      <c r="L4350" s="39" t="str">
        <f>IF(COUNTA(A4350:C4350,E4350)=0,"",IF(COUNTA(A4350:C4350,E4350)&lt;4,"Ligne incomplète",IF(NOT(ISNUMBER(A4350)),"Date invalide",IF(AND(B4350&lt;&gt;"Entrée",B4350&lt;&gt;"Sortie"),"Type inconnu",IF(ISNA(MATCH(C4350,art_ref,0)),"Référence inconnue",IF(OR(NOT(ISNUMBER(E4350)),N(E4350)&lt;=0),"Quantité invalide",IF(K4350&lt;0,"Stock négatif",IF(AND(ISNUMBER(A4349),A4350&lt;A4349),"Date hors ordre","OK"))))))))</f>
        <v/>
      </c>
      <c r="M4350" s="39" t="str">
        <f>IF(C4350="","",C4350&amp;"#"&amp;COUNTIF($C$5:C4350,C4350))</f>
        <v/>
      </c>
    </row>
    <row r="4351">
      <c r="A4351" s="41" t="n"/>
      <c r="B4351" s="37" t="n"/>
      <c r="C4351" s="37" t="n"/>
      <c r="D4351" s="39" t="str">
        <f>IF(C4351="","",IFERROR(INDEX(art_des,MATCH(C4351,art_ref,0))&amp;"","Référence inconnue"))</f>
        <v/>
      </c>
      <c r="E4351" s="37" t="n"/>
      <c r="F4351" s="39" t="str">
        <f>IF(C4351="","",IFERROR(INDEX(art_unit,MATCH(C4351,art_ref,0))&amp;"",""))</f>
        <v/>
      </c>
      <c r="G4351" s="37" t="n"/>
      <c r="H4351" s="37" t="n"/>
      <c r="I4351" s="37" t="n"/>
      <c r="J4351" s="40" t="str">
        <f>IF(OR(C4351="",NOT(ISNUMBER(E4351))),"",IFERROR(E4351*N(INDEX(art_price,MATCH(C4351,art_ref,0))),""))</f>
        <v/>
      </c>
      <c r="K4351" s="39" t="str">
        <f>IF(OR(C4351="",NOT(ISNUMBER(E4351))),"",IFERROR(ROUND(N(INDEX(art_init,MATCH(C4351,art_ref,0)))+SUMIFS($E$5:E4351,$C$5:C4351,C4351,$B$5:B4351,"Entrée")-SUMIFS($E$5:E4351,$C$5:C4351,C4351,$B$5:B4351,"Sortie"),6),""))</f>
        <v/>
      </c>
      <c r="L4351" s="39" t="str">
        <f>IF(COUNTA(A4351:C4351,E4351)=0,"",IF(COUNTA(A4351:C4351,E4351)&lt;4,"Ligne incomplète",IF(NOT(ISNUMBER(A4351)),"Date invalide",IF(AND(B4351&lt;&gt;"Entrée",B4351&lt;&gt;"Sortie"),"Type inconnu",IF(ISNA(MATCH(C4351,art_ref,0)),"Référence inconnue",IF(OR(NOT(ISNUMBER(E4351)),N(E4351)&lt;=0),"Quantité invalide",IF(K4351&lt;0,"Stock négatif",IF(AND(ISNUMBER(A4350),A4351&lt;A4350),"Date hors ordre","OK"))))))))</f>
        <v/>
      </c>
      <c r="M4351" s="39" t="str">
        <f>IF(C4351="","",C4351&amp;"#"&amp;COUNTIF($C$5:C4351,C4351))</f>
        <v/>
      </c>
    </row>
    <row r="4352">
      <c r="A4352" s="41" t="n"/>
      <c r="B4352" s="37" t="n"/>
      <c r="C4352" s="37" t="n"/>
      <c r="D4352" s="39" t="str">
        <f>IF(C4352="","",IFERROR(INDEX(art_des,MATCH(C4352,art_ref,0))&amp;"","Référence inconnue"))</f>
        <v/>
      </c>
      <c r="E4352" s="37" t="n"/>
      <c r="F4352" s="39" t="str">
        <f>IF(C4352="","",IFERROR(INDEX(art_unit,MATCH(C4352,art_ref,0))&amp;"",""))</f>
        <v/>
      </c>
      <c r="G4352" s="37" t="n"/>
      <c r="H4352" s="37" t="n"/>
      <c r="I4352" s="37" t="n"/>
      <c r="J4352" s="40" t="str">
        <f>IF(OR(C4352="",NOT(ISNUMBER(E4352))),"",IFERROR(E4352*N(INDEX(art_price,MATCH(C4352,art_ref,0))),""))</f>
        <v/>
      </c>
      <c r="K4352" s="39" t="str">
        <f>IF(OR(C4352="",NOT(ISNUMBER(E4352))),"",IFERROR(ROUND(N(INDEX(art_init,MATCH(C4352,art_ref,0)))+SUMIFS($E$5:E4352,$C$5:C4352,C4352,$B$5:B4352,"Entrée")-SUMIFS($E$5:E4352,$C$5:C4352,C4352,$B$5:B4352,"Sortie"),6),""))</f>
        <v/>
      </c>
      <c r="L4352" s="39" t="str">
        <f>IF(COUNTA(A4352:C4352,E4352)=0,"",IF(COUNTA(A4352:C4352,E4352)&lt;4,"Ligne incomplète",IF(NOT(ISNUMBER(A4352)),"Date invalide",IF(AND(B4352&lt;&gt;"Entrée",B4352&lt;&gt;"Sortie"),"Type inconnu",IF(ISNA(MATCH(C4352,art_ref,0)),"Référence inconnue",IF(OR(NOT(ISNUMBER(E4352)),N(E4352)&lt;=0),"Quantité invalide",IF(K4352&lt;0,"Stock négatif",IF(AND(ISNUMBER(A4351),A4352&lt;A4351),"Date hors ordre","OK"))))))))</f>
        <v/>
      </c>
      <c r="M4352" s="39" t="str">
        <f>IF(C4352="","",C4352&amp;"#"&amp;COUNTIF($C$5:C4352,C4352))</f>
        <v/>
      </c>
    </row>
    <row r="4353">
      <c r="A4353" s="41" t="n"/>
      <c r="B4353" s="37" t="n"/>
      <c r="C4353" s="37" t="n"/>
      <c r="D4353" s="39" t="str">
        <f>IF(C4353="","",IFERROR(INDEX(art_des,MATCH(C4353,art_ref,0))&amp;"","Référence inconnue"))</f>
        <v/>
      </c>
      <c r="E4353" s="37" t="n"/>
      <c r="F4353" s="39" t="str">
        <f>IF(C4353="","",IFERROR(INDEX(art_unit,MATCH(C4353,art_ref,0))&amp;"",""))</f>
        <v/>
      </c>
      <c r="G4353" s="37" t="n"/>
      <c r="H4353" s="37" t="n"/>
      <c r="I4353" s="37" t="n"/>
      <c r="J4353" s="40" t="str">
        <f>IF(OR(C4353="",NOT(ISNUMBER(E4353))),"",IFERROR(E4353*N(INDEX(art_price,MATCH(C4353,art_ref,0))),""))</f>
        <v/>
      </c>
      <c r="K4353" s="39" t="str">
        <f>IF(OR(C4353="",NOT(ISNUMBER(E4353))),"",IFERROR(ROUND(N(INDEX(art_init,MATCH(C4353,art_ref,0)))+SUMIFS($E$5:E4353,$C$5:C4353,C4353,$B$5:B4353,"Entrée")-SUMIFS($E$5:E4353,$C$5:C4353,C4353,$B$5:B4353,"Sortie"),6),""))</f>
        <v/>
      </c>
      <c r="L4353" s="39" t="str">
        <f>IF(COUNTA(A4353:C4353,E4353)=0,"",IF(COUNTA(A4353:C4353,E4353)&lt;4,"Ligne incomplète",IF(NOT(ISNUMBER(A4353)),"Date invalide",IF(AND(B4353&lt;&gt;"Entrée",B4353&lt;&gt;"Sortie"),"Type inconnu",IF(ISNA(MATCH(C4353,art_ref,0)),"Référence inconnue",IF(OR(NOT(ISNUMBER(E4353)),N(E4353)&lt;=0),"Quantité invalide",IF(K4353&lt;0,"Stock négatif",IF(AND(ISNUMBER(A4352),A4353&lt;A4352),"Date hors ordre","OK"))))))))</f>
        <v/>
      </c>
      <c r="M4353" s="39" t="str">
        <f>IF(C4353="","",C4353&amp;"#"&amp;COUNTIF($C$5:C4353,C4353))</f>
        <v/>
      </c>
    </row>
    <row r="4354">
      <c r="A4354" s="41" t="n"/>
      <c r="B4354" s="37" t="n"/>
      <c r="C4354" s="37" t="n"/>
      <c r="D4354" s="39" t="str">
        <f>IF(C4354="","",IFERROR(INDEX(art_des,MATCH(C4354,art_ref,0))&amp;"","Référence inconnue"))</f>
        <v/>
      </c>
      <c r="E4354" s="37" t="n"/>
      <c r="F4354" s="39" t="str">
        <f>IF(C4354="","",IFERROR(INDEX(art_unit,MATCH(C4354,art_ref,0))&amp;"",""))</f>
        <v/>
      </c>
      <c r="G4354" s="37" t="n"/>
      <c r="H4354" s="37" t="n"/>
      <c r="I4354" s="37" t="n"/>
      <c r="J4354" s="40" t="str">
        <f>IF(OR(C4354="",NOT(ISNUMBER(E4354))),"",IFERROR(E4354*N(INDEX(art_price,MATCH(C4354,art_ref,0))),""))</f>
        <v/>
      </c>
      <c r="K4354" s="39" t="str">
        <f>IF(OR(C4354="",NOT(ISNUMBER(E4354))),"",IFERROR(ROUND(N(INDEX(art_init,MATCH(C4354,art_ref,0)))+SUMIFS($E$5:E4354,$C$5:C4354,C4354,$B$5:B4354,"Entrée")-SUMIFS($E$5:E4354,$C$5:C4354,C4354,$B$5:B4354,"Sortie"),6),""))</f>
        <v/>
      </c>
      <c r="L4354" s="39" t="str">
        <f>IF(COUNTA(A4354:C4354,E4354)=0,"",IF(COUNTA(A4354:C4354,E4354)&lt;4,"Ligne incomplète",IF(NOT(ISNUMBER(A4354)),"Date invalide",IF(AND(B4354&lt;&gt;"Entrée",B4354&lt;&gt;"Sortie"),"Type inconnu",IF(ISNA(MATCH(C4354,art_ref,0)),"Référence inconnue",IF(OR(NOT(ISNUMBER(E4354)),N(E4354)&lt;=0),"Quantité invalide",IF(K4354&lt;0,"Stock négatif",IF(AND(ISNUMBER(A4353),A4354&lt;A4353),"Date hors ordre","OK"))))))))</f>
        <v/>
      </c>
      <c r="M4354" s="39" t="str">
        <f>IF(C4354="","",C4354&amp;"#"&amp;COUNTIF($C$5:C4354,C4354))</f>
        <v/>
      </c>
    </row>
    <row r="4355">
      <c r="A4355" s="41" t="n"/>
      <c r="B4355" s="37" t="n"/>
      <c r="C4355" s="37" t="n"/>
      <c r="D4355" s="39" t="str">
        <f>IF(C4355="","",IFERROR(INDEX(art_des,MATCH(C4355,art_ref,0))&amp;"","Référence inconnue"))</f>
        <v/>
      </c>
      <c r="E4355" s="37" t="n"/>
      <c r="F4355" s="39" t="str">
        <f>IF(C4355="","",IFERROR(INDEX(art_unit,MATCH(C4355,art_ref,0))&amp;"",""))</f>
        <v/>
      </c>
      <c r="G4355" s="37" t="n"/>
      <c r="H4355" s="37" t="n"/>
      <c r="I4355" s="37" t="n"/>
      <c r="J4355" s="40" t="str">
        <f>IF(OR(C4355="",NOT(ISNUMBER(E4355))),"",IFERROR(E4355*N(INDEX(art_price,MATCH(C4355,art_ref,0))),""))</f>
        <v/>
      </c>
      <c r="K4355" s="39" t="str">
        <f>IF(OR(C4355="",NOT(ISNUMBER(E4355))),"",IFERROR(ROUND(N(INDEX(art_init,MATCH(C4355,art_ref,0)))+SUMIFS($E$5:E4355,$C$5:C4355,C4355,$B$5:B4355,"Entrée")-SUMIFS($E$5:E4355,$C$5:C4355,C4355,$B$5:B4355,"Sortie"),6),""))</f>
        <v/>
      </c>
      <c r="L4355" s="39" t="str">
        <f>IF(COUNTA(A4355:C4355,E4355)=0,"",IF(COUNTA(A4355:C4355,E4355)&lt;4,"Ligne incomplète",IF(NOT(ISNUMBER(A4355)),"Date invalide",IF(AND(B4355&lt;&gt;"Entrée",B4355&lt;&gt;"Sortie"),"Type inconnu",IF(ISNA(MATCH(C4355,art_ref,0)),"Référence inconnue",IF(OR(NOT(ISNUMBER(E4355)),N(E4355)&lt;=0),"Quantité invalide",IF(K4355&lt;0,"Stock négatif",IF(AND(ISNUMBER(A4354),A4355&lt;A4354),"Date hors ordre","OK"))))))))</f>
        <v/>
      </c>
      <c r="M4355" s="39" t="str">
        <f>IF(C4355="","",C4355&amp;"#"&amp;COUNTIF($C$5:C4355,C4355))</f>
        <v/>
      </c>
    </row>
    <row r="4356">
      <c r="A4356" s="41" t="n"/>
      <c r="B4356" s="37" t="n"/>
      <c r="C4356" s="37" t="n"/>
      <c r="D4356" s="39" t="str">
        <f>IF(C4356="","",IFERROR(INDEX(art_des,MATCH(C4356,art_ref,0))&amp;"","Référence inconnue"))</f>
        <v/>
      </c>
      <c r="E4356" s="37" t="n"/>
      <c r="F4356" s="39" t="str">
        <f>IF(C4356="","",IFERROR(INDEX(art_unit,MATCH(C4356,art_ref,0))&amp;"",""))</f>
        <v/>
      </c>
      <c r="G4356" s="37" t="n"/>
      <c r="H4356" s="37" t="n"/>
      <c r="I4356" s="37" t="n"/>
      <c r="J4356" s="40" t="str">
        <f>IF(OR(C4356="",NOT(ISNUMBER(E4356))),"",IFERROR(E4356*N(INDEX(art_price,MATCH(C4356,art_ref,0))),""))</f>
        <v/>
      </c>
      <c r="K4356" s="39" t="str">
        <f>IF(OR(C4356="",NOT(ISNUMBER(E4356))),"",IFERROR(ROUND(N(INDEX(art_init,MATCH(C4356,art_ref,0)))+SUMIFS($E$5:E4356,$C$5:C4356,C4356,$B$5:B4356,"Entrée")-SUMIFS($E$5:E4356,$C$5:C4356,C4356,$B$5:B4356,"Sortie"),6),""))</f>
        <v/>
      </c>
      <c r="L4356" s="39" t="str">
        <f>IF(COUNTA(A4356:C4356,E4356)=0,"",IF(COUNTA(A4356:C4356,E4356)&lt;4,"Ligne incomplète",IF(NOT(ISNUMBER(A4356)),"Date invalide",IF(AND(B4356&lt;&gt;"Entrée",B4356&lt;&gt;"Sortie"),"Type inconnu",IF(ISNA(MATCH(C4356,art_ref,0)),"Référence inconnue",IF(OR(NOT(ISNUMBER(E4356)),N(E4356)&lt;=0),"Quantité invalide",IF(K4356&lt;0,"Stock négatif",IF(AND(ISNUMBER(A4355),A4356&lt;A4355),"Date hors ordre","OK"))))))))</f>
        <v/>
      </c>
      <c r="M4356" s="39" t="str">
        <f>IF(C4356="","",C4356&amp;"#"&amp;COUNTIF($C$5:C4356,C4356))</f>
        <v/>
      </c>
    </row>
    <row r="4357">
      <c r="A4357" s="41" t="n"/>
      <c r="B4357" s="37" t="n"/>
      <c r="C4357" s="37" t="n"/>
      <c r="D4357" s="39" t="str">
        <f>IF(C4357="","",IFERROR(INDEX(art_des,MATCH(C4357,art_ref,0))&amp;"","Référence inconnue"))</f>
        <v/>
      </c>
      <c r="E4357" s="37" t="n"/>
      <c r="F4357" s="39" t="str">
        <f>IF(C4357="","",IFERROR(INDEX(art_unit,MATCH(C4357,art_ref,0))&amp;"",""))</f>
        <v/>
      </c>
      <c r="G4357" s="37" t="n"/>
      <c r="H4357" s="37" t="n"/>
      <c r="I4357" s="37" t="n"/>
      <c r="J4357" s="40" t="str">
        <f>IF(OR(C4357="",NOT(ISNUMBER(E4357))),"",IFERROR(E4357*N(INDEX(art_price,MATCH(C4357,art_ref,0))),""))</f>
        <v/>
      </c>
      <c r="K4357" s="39" t="str">
        <f>IF(OR(C4357="",NOT(ISNUMBER(E4357))),"",IFERROR(ROUND(N(INDEX(art_init,MATCH(C4357,art_ref,0)))+SUMIFS($E$5:E4357,$C$5:C4357,C4357,$B$5:B4357,"Entrée")-SUMIFS($E$5:E4357,$C$5:C4357,C4357,$B$5:B4357,"Sortie"),6),""))</f>
        <v/>
      </c>
      <c r="L4357" s="39" t="str">
        <f>IF(COUNTA(A4357:C4357,E4357)=0,"",IF(COUNTA(A4357:C4357,E4357)&lt;4,"Ligne incomplète",IF(NOT(ISNUMBER(A4357)),"Date invalide",IF(AND(B4357&lt;&gt;"Entrée",B4357&lt;&gt;"Sortie"),"Type inconnu",IF(ISNA(MATCH(C4357,art_ref,0)),"Référence inconnue",IF(OR(NOT(ISNUMBER(E4357)),N(E4357)&lt;=0),"Quantité invalide",IF(K4357&lt;0,"Stock négatif",IF(AND(ISNUMBER(A4356),A4357&lt;A4356),"Date hors ordre","OK"))))))))</f>
        <v/>
      </c>
      <c r="M4357" s="39" t="str">
        <f>IF(C4357="","",C4357&amp;"#"&amp;COUNTIF($C$5:C4357,C4357))</f>
        <v/>
      </c>
    </row>
    <row r="4358">
      <c r="A4358" s="41" t="n"/>
      <c r="B4358" s="37" t="n"/>
      <c r="C4358" s="37" t="n"/>
      <c r="D4358" s="39" t="str">
        <f>IF(C4358="","",IFERROR(INDEX(art_des,MATCH(C4358,art_ref,0))&amp;"","Référence inconnue"))</f>
        <v/>
      </c>
      <c r="E4358" s="37" t="n"/>
      <c r="F4358" s="39" t="str">
        <f>IF(C4358="","",IFERROR(INDEX(art_unit,MATCH(C4358,art_ref,0))&amp;"",""))</f>
        <v/>
      </c>
      <c r="G4358" s="37" t="n"/>
      <c r="H4358" s="37" t="n"/>
      <c r="I4358" s="37" t="n"/>
      <c r="J4358" s="40" t="str">
        <f>IF(OR(C4358="",NOT(ISNUMBER(E4358))),"",IFERROR(E4358*N(INDEX(art_price,MATCH(C4358,art_ref,0))),""))</f>
        <v/>
      </c>
      <c r="K4358" s="39" t="str">
        <f>IF(OR(C4358="",NOT(ISNUMBER(E4358))),"",IFERROR(ROUND(N(INDEX(art_init,MATCH(C4358,art_ref,0)))+SUMIFS($E$5:E4358,$C$5:C4358,C4358,$B$5:B4358,"Entrée")-SUMIFS($E$5:E4358,$C$5:C4358,C4358,$B$5:B4358,"Sortie"),6),""))</f>
        <v/>
      </c>
      <c r="L4358" s="39" t="str">
        <f>IF(COUNTA(A4358:C4358,E4358)=0,"",IF(COUNTA(A4358:C4358,E4358)&lt;4,"Ligne incomplète",IF(NOT(ISNUMBER(A4358)),"Date invalide",IF(AND(B4358&lt;&gt;"Entrée",B4358&lt;&gt;"Sortie"),"Type inconnu",IF(ISNA(MATCH(C4358,art_ref,0)),"Référence inconnue",IF(OR(NOT(ISNUMBER(E4358)),N(E4358)&lt;=0),"Quantité invalide",IF(K4358&lt;0,"Stock négatif",IF(AND(ISNUMBER(A4357),A4358&lt;A4357),"Date hors ordre","OK"))))))))</f>
        <v/>
      </c>
      <c r="M4358" s="39" t="str">
        <f>IF(C4358="","",C4358&amp;"#"&amp;COUNTIF($C$5:C4358,C4358))</f>
        <v/>
      </c>
    </row>
    <row r="4359">
      <c r="A4359" s="41" t="n"/>
      <c r="B4359" s="37" t="n"/>
      <c r="C4359" s="37" t="n"/>
      <c r="D4359" s="39" t="str">
        <f>IF(C4359="","",IFERROR(INDEX(art_des,MATCH(C4359,art_ref,0))&amp;"","Référence inconnue"))</f>
        <v/>
      </c>
      <c r="E4359" s="37" t="n"/>
      <c r="F4359" s="39" t="str">
        <f>IF(C4359="","",IFERROR(INDEX(art_unit,MATCH(C4359,art_ref,0))&amp;"",""))</f>
        <v/>
      </c>
      <c r="G4359" s="37" t="n"/>
      <c r="H4359" s="37" t="n"/>
      <c r="I4359" s="37" t="n"/>
      <c r="J4359" s="40" t="str">
        <f>IF(OR(C4359="",NOT(ISNUMBER(E4359))),"",IFERROR(E4359*N(INDEX(art_price,MATCH(C4359,art_ref,0))),""))</f>
        <v/>
      </c>
      <c r="K4359" s="39" t="str">
        <f>IF(OR(C4359="",NOT(ISNUMBER(E4359))),"",IFERROR(ROUND(N(INDEX(art_init,MATCH(C4359,art_ref,0)))+SUMIFS($E$5:E4359,$C$5:C4359,C4359,$B$5:B4359,"Entrée")-SUMIFS($E$5:E4359,$C$5:C4359,C4359,$B$5:B4359,"Sortie"),6),""))</f>
        <v/>
      </c>
      <c r="L4359" s="39" t="str">
        <f>IF(COUNTA(A4359:C4359,E4359)=0,"",IF(COUNTA(A4359:C4359,E4359)&lt;4,"Ligne incomplète",IF(NOT(ISNUMBER(A4359)),"Date invalide",IF(AND(B4359&lt;&gt;"Entrée",B4359&lt;&gt;"Sortie"),"Type inconnu",IF(ISNA(MATCH(C4359,art_ref,0)),"Référence inconnue",IF(OR(NOT(ISNUMBER(E4359)),N(E4359)&lt;=0),"Quantité invalide",IF(K4359&lt;0,"Stock négatif",IF(AND(ISNUMBER(A4358),A4359&lt;A4358),"Date hors ordre","OK"))))))))</f>
        <v/>
      </c>
      <c r="M4359" s="39" t="str">
        <f>IF(C4359="","",C4359&amp;"#"&amp;COUNTIF($C$5:C4359,C4359))</f>
        <v/>
      </c>
    </row>
    <row r="4360">
      <c r="A4360" s="41" t="n"/>
      <c r="B4360" s="37" t="n"/>
      <c r="C4360" s="37" t="n"/>
      <c r="D4360" s="39" t="str">
        <f>IF(C4360="","",IFERROR(INDEX(art_des,MATCH(C4360,art_ref,0))&amp;"","Référence inconnue"))</f>
        <v/>
      </c>
      <c r="E4360" s="37" t="n"/>
      <c r="F4360" s="39" t="str">
        <f>IF(C4360="","",IFERROR(INDEX(art_unit,MATCH(C4360,art_ref,0))&amp;"",""))</f>
        <v/>
      </c>
      <c r="G4360" s="37" t="n"/>
      <c r="H4360" s="37" t="n"/>
      <c r="I4360" s="37" t="n"/>
      <c r="J4360" s="40" t="str">
        <f>IF(OR(C4360="",NOT(ISNUMBER(E4360))),"",IFERROR(E4360*N(INDEX(art_price,MATCH(C4360,art_ref,0))),""))</f>
        <v/>
      </c>
      <c r="K4360" s="39" t="str">
        <f>IF(OR(C4360="",NOT(ISNUMBER(E4360))),"",IFERROR(ROUND(N(INDEX(art_init,MATCH(C4360,art_ref,0)))+SUMIFS($E$5:E4360,$C$5:C4360,C4360,$B$5:B4360,"Entrée")-SUMIFS($E$5:E4360,$C$5:C4360,C4360,$B$5:B4360,"Sortie"),6),""))</f>
        <v/>
      </c>
      <c r="L4360" s="39" t="str">
        <f>IF(COUNTA(A4360:C4360,E4360)=0,"",IF(COUNTA(A4360:C4360,E4360)&lt;4,"Ligne incomplète",IF(NOT(ISNUMBER(A4360)),"Date invalide",IF(AND(B4360&lt;&gt;"Entrée",B4360&lt;&gt;"Sortie"),"Type inconnu",IF(ISNA(MATCH(C4360,art_ref,0)),"Référence inconnue",IF(OR(NOT(ISNUMBER(E4360)),N(E4360)&lt;=0),"Quantité invalide",IF(K4360&lt;0,"Stock négatif",IF(AND(ISNUMBER(A4359),A4360&lt;A4359),"Date hors ordre","OK"))))))))</f>
        <v/>
      </c>
      <c r="M4360" s="39" t="str">
        <f>IF(C4360="","",C4360&amp;"#"&amp;COUNTIF($C$5:C4360,C4360))</f>
        <v/>
      </c>
    </row>
    <row r="4361">
      <c r="A4361" s="41" t="n"/>
      <c r="B4361" s="37" t="n"/>
      <c r="C4361" s="37" t="n"/>
      <c r="D4361" s="39" t="str">
        <f>IF(C4361="","",IFERROR(INDEX(art_des,MATCH(C4361,art_ref,0))&amp;"","Référence inconnue"))</f>
        <v/>
      </c>
      <c r="E4361" s="37" t="n"/>
      <c r="F4361" s="39" t="str">
        <f>IF(C4361="","",IFERROR(INDEX(art_unit,MATCH(C4361,art_ref,0))&amp;"",""))</f>
        <v/>
      </c>
      <c r="G4361" s="37" t="n"/>
      <c r="H4361" s="37" t="n"/>
      <c r="I4361" s="37" t="n"/>
      <c r="J4361" s="40" t="str">
        <f>IF(OR(C4361="",NOT(ISNUMBER(E4361))),"",IFERROR(E4361*N(INDEX(art_price,MATCH(C4361,art_ref,0))),""))</f>
        <v/>
      </c>
      <c r="K4361" s="39" t="str">
        <f>IF(OR(C4361="",NOT(ISNUMBER(E4361))),"",IFERROR(ROUND(N(INDEX(art_init,MATCH(C4361,art_ref,0)))+SUMIFS($E$5:E4361,$C$5:C4361,C4361,$B$5:B4361,"Entrée")-SUMIFS($E$5:E4361,$C$5:C4361,C4361,$B$5:B4361,"Sortie"),6),""))</f>
        <v/>
      </c>
      <c r="L4361" s="39" t="str">
        <f>IF(COUNTA(A4361:C4361,E4361)=0,"",IF(COUNTA(A4361:C4361,E4361)&lt;4,"Ligne incomplète",IF(NOT(ISNUMBER(A4361)),"Date invalide",IF(AND(B4361&lt;&gt;"Entrée",B4361&lt;&gt;"Sortie"),"Type inconnu",IF(ISNA(MATCH(C4361,art_ref,0)),"Référence inconnue",IF(OR(NOT(ISNUMBER(E4361)),N(E4361)&lt;=0),"Quantité invalide",IF(K4361&lt;0,"Stock négatif",IF(AND(ISNUMBER(A4360),A4361&lt;A4360),"Date hors ordre","OK"))))))))</f>
        <v/>
      </c>
      <c r="M4361" s="39" t="str">
        <f>IF(C4361="","",C4361&amp;"#"&amp;COUNTIF($C$5:C4361,C4361))</f>
        <v/>
      </c>
    </row>
    <row r="4362">
      <c r="A4362" s="41" t="n"/>
      <c r="B4362" s="37" t="n"/>
      <c r="C4362" s="37" t="n"/>
      <c r="D4362" s="39" t="str">
        <f>IF(C4362="","",IFERROR(INDEX(art_des,MATCH(C4362,art_ref,0))&amp;"","Référence inconnue"))</f>
        <v/>
      </c>
      <c r="E4362" s="37" t="n"/>
      <c r="F4362" s="39" t="str">
        <f>IF(C4362="","",IFERROR(INDEX(art_unit,MATCH(C4362,art_ref,0))&amp;"",""))</f>
        <v/>
      </c>
      <c r="G4362" s="37" t="n"/>
      <c r="H4362" s="37" t="n"/>
      <c r="I4362" s="37" t="n"/>
      <c r="J4362" s="40" t="str">
        <f>IF(OR(C4362="",NOT(ISNUMBER(E4362))),"",IFERROR(E4362*N(INDEX(art_price,MATCH(C4362,art_ref,0))),""))</f>
        <v/>
      </c>
      <c r="K4362" s="39" t="str">
        <f>IF(OR(C4362="",NOT(ISNUMBER(E4362))),"",IFERROR(ROUND(N(INDEX(art_init,MATCH(C4362,art_ref,0)))+SUMIFS($E$5:E4362,$C$5:C4362,C4362,$B$5:B4362,"Entrée")-SUMIFS($E$5:E4362,$C$5:C4362,C4362,$B$5:B4362,"Sortie"),6),""))</f>
        <v/>
      </c>
      <c r="L4362" s="39" t="str">
        <f>IF(COUNTA(A4362:C4362,E4362)=0,"",IF(COUNTA(A4362:C4362,E4362)&lt;4,"Ligne incomplète",IF(NOT(ISNUMBER(A4362)),"Date invalide",IF(AND(B4362&lt;&gt;"Entrée",B4362&lt;&gt;"Sortie"),"Type inconnu",IF(ISNA(MATCH(C4362,art_ref,0)),"Référence inconnue",IF(OR(NOT(ISNUMBER(E4362)),N(E4362)&lt;=0),"Quantité invalide",IF(K4362&lt;0,"Stock négatif",IF(AND(ISNUMBER(A4361),A4362&lt;A4361),"Date hors ordre","OK"))))))))</f>
        <v/>
      </c>
      <c r="M4362" s="39" t="str">
        <f>IF(C4362="","",C4362&amp;"#"&amp;COUNTIF($C$5:C4362,C4362))</f>
        <v/>
      </c>
    </row>
    <row r="4363">
      <c r="A4363" s="41" t="n"/>
      <c r="B4363" s="37" t="n"/>
      <c r="C4363" s="37" t="n"/>
      <c r="D4363" s="39" t="str">
        <f>IF(C4363="","",IFERROR(INDEX(art_des,MATCH(C4363,art_ref,0))&amp;"","Référence inconnue"))</f>
        <v/>
      </c>
      <c r="E4363" s="37" t="n"/>
      <c r="F4363" s="39" t="str">
        <f>IF(C4363="","",IFERROR(INDEX(art_unit,MATCH(C4363,art_ref,0))&amp;"",""))</f>
        <v/>
      </c>
      <c r="G4363" s="37" t="n"/>
      <c r="H4363" s="37" t="n"/>
      <c r="I4363" s="37" t="n"/>
      <c r="J4363" s="40" t="str">
        <f>IF(OR(C4363="",NOT(ISNUMBER(E4363))),"",IFERROR(E4363*N(INDEX(art_price,MATCH(C4363,art_ref,0))),""))</f>
        <v/>
      </c>
      <c r="K4363" s="39" t="str">
        <f>IF(OR(C4363="",NOT(ISNUMBER(E4363))),"",IFERROR(ROUND(N(INDEX(art_init,MATCH(C4363,art_ref,0)))+SUMIFS($E$5:E4363,$C$5:C4363,C4363,$B$5:B4363,"Entrée")-SUMIFS($E$5:E4363,$C$5:C4363,C4363,$B$5:B4363,"Sortie"),6),""))</f>
        <v/>
      </c>
      <c r="L4363" s="39" t="str">
        <f>IF(COUNTA(A4363:C4363,E4363)=0,"",IF(COUNTA(A4363:C4363,E4363)&lt;4,"Ligne incomplète",IF(NOT(ISNUMBER(A4363)),"Date invalide",IF(AND(B4363&lt;&gt;"Entrée",B4363&lt;&gt;"Sortie"),"Type inconnu",IF(ISNA(MATCH(C4363,art_ref,0)),"Référence inconnue",IF(OR(NOT(ISNUMBER(E4363)),N(E4363)&lt;=0),"Quantité invalide",IF(K4363&lt;0,"Stock négatif",IF(AND(ISNUMBER(A4362),A4363&lt;A4362),"Date hors ordre","OK"))))))))</f>
        <v/>
      </c>
      <c r="M4363" s="39" t="str">
        <f>IF(C4363="","",C4363&amp;"#"&amp;COUNTIF($C$5:C4363,C4363))</f>
        <v/>
      </c>
    </row>
    <row r="4364">
      <c r="A4364" s="41" t="n"/>
      <c r="B4364" s="37" t="n"/>
      <c r="C4364" s="37" t="n"/>
      <c r="D4364" s="39" t="str">
        <f>IF(C4364="","",IFERROR(INDEX(art_des,MATCH(C4364,art_ref,0))&amp;"","Référence inconnue"))</f>
        <v/>
      </c>
      <c r="E4364" s="37" t="n"/>
      <c r="F4364" s="39" t="str">
        <f>IF(C4364="","",IFERROR(INDEX(art_unit,MATCH(C4364,art_ref,0))&amp;"",""))</f>
        <v/>
      </c>
      <c r="G4364" s="37" t="n"/>
      <c r="H4364" s="37" t="n"/>
      <c r="I4364" s="37" t="n"/>
      <c r="J4364" s="40" t="str">
        <f>IF(OR(C4364="",NOT(ISNUMBER(E4364))),"",IFERROR(E4364*N(INDEX(art_price,MATCH(C4364,art_ref,0))),""))</f>
        <v/>
      </c>
      <c r="K4364" s="39" t="str">
        <f>IF(OR(C4364="",NOT(ISNUMBER(E4364))),"",IFERROR(ROUND(N(INDEX(art_init,MATCH(C4364,art_ref,0)))+SUMIFS($E$5:E4364,$C$5:C4364,C4364,$B$5:B4364,"Entrée")-SUMIFS($E$5:E4364,$C$5:C4364,C4364,$B$5:B4364,"Sortie"),6),""))</f>
        <v/>
      </c>
      <c r="L4364" s="39" t="str">
        <f>IF(COUNTA(A4364:C4364,E4364)=0,"",IF(COUNTA(A4364:C4364,E4364)&lt;4,"Ligne incomplète",IF(NOT(ISNUMBER(A4364)),"Date invalide",IF(AND(B4364&lt;&gt;"Entrée",B4364&lt;&gt;"Sortie"),"Type inconnu",IF(ISNA(MATCH(C4364,art_ref,0)),"Référence inconnue",IF(OR(NOT(ISNUMBER(E4364)),N(E4364)&lt;=0),"Quantité invalide",IF(K4364&lt;0,"Stock négatif",IF(AND(ISNUMBER(A4363),A4364&lt;A4363),"Date hors ordre","OK"))))))))</f>
        <v/>
      </c>
      <c r="M4364" s="39" t="str">
        <f>IF(C4364="","",C4364&amp;"#"&amp;COUNTIF($C$5:C4364,C4364))</f>
        <v/>
      </c>
    </row>
    <row r="4365">
      <c r="A4365" s="41" t="n"/>
      <c r="B4365" s="37" t="n"/>
      <c r="C4365" s="37" t="n"/>
      <c r="D4365" s="39" t="str">
        <f>IF(C4365="","",IFERROR(INDEX(art_des,MATCH(C4365,art_ref,0))&amp;"","Référence inconnue"))</f>
        <v/>
      </c>
      <c r="E4365" s="37" t="n"/>
      <c r="F4365" s="39" t="str">
        <f>IF(C4365="","",IFERROR(INDEX(art_unit,MATCH(C4365,art_ref,0))&amp;"",""))</f>
        <v/>
      </c>
      <c r="G4365" s="37" t="n"/>
      <c r="H4365" s="37" t="n"/>
      <c r="I4365" s="37" t="n"/>
      <c r="J4365" s="40" t="str">
        <f>IF(OR(C4365="",NOT(ISNUMBER(E4365))),"",IFERROR(E4365*N(INDEX(art_price,MATCH(C4365,art_ref,0))),""))</f>
        <v/>
      </c>
      <c r="K4365" s="39" t="str">
        <f>IF(OR(C4365="",NOT(ISNUMBER(E4365))),"",IFERROR(ROUND(N(INDEX(art_init,MATCH(C4365,art_ref,0)))+SUMIFS($E$5:E4365,$C$5:C4365,C4365,$B$5:B4365,"Entrée")-SUMIFS($E$5:E4365,$C$5:C4365,C4365,$B$5:B4365,"Sortie"),6),""))</f>
        <v/>
      </c>
      <c r="L4365" s="39" t="str">
        <f>IF(COUNTA(A4365:C4365,E4365)=0,"",IF(COUNTA(A4365:C4365,E4365)&lt;4,"Ligne incomplète",IF(NOT(ISNUMBER(A4365)),"Date invalide",IF(AND(B4365&lt;&gt;"Entrée",B4365&lt;&gt;"Sortie"),"Type inconnu",IF(ISNA(MATCH(C4365,art_ref,0)),"Référence inconnue",IF(OR(NOT(ISNUMBER(E4365)),N(E4365)&lt;=0),"Quantité invalide",IF(K4365&lt;0,"Stock négatif",IF(AND(ISNUMBER(A4364),A4365&lt;A4364),"Date hors ordre","OK"))))))))</f>
        <v/>
      </c>
      <c r="M4365" s="39" t="str">
        <f>IF(C4365="","",C4365&amp;"#"&amp;COUNTIF($C$5:C4365,C4365))</f>
        <v/>
      </c>
    </row>
    <row r="4366">
      <c r="A4366" s="41" t="n"/>
      <c r="B4366" s="37" t="n"/>
      <c r="C4366" s="37" t="n"/>
      <c r="D4366" s="39" t="str">
        <f>IF(C4366="","",IFERROR(INDEX(art_des,MATCH(C4366,art_ref,0))&amp;"","Référence inconnue"))</f>
        <v/>
      </c>
      <c r="E4366" s="37" t="n"/>
      <c r="F4366" s="39" t="str">
        <f>IF(C4366="","",IFERROR(INDEX(art_unit,MATCH(C4366,art_ref,0))&amp;"",""))</f>
        <v/>
      </c>
      <c r="G4366" s="37" t="n"/>
      <c r="H4366" s="37" t="n"/>
      <c r="I4366" s="37" t="n"/>
      <c r="J4366" s="40" t="str">
        <f>IF(OR(C4366="",NOT(ISNUMBER(E4366))),"",IFERROR(E4366*N(INDEX(art_price,MATCH(C4366,art_ref,0))),""))</f>
        <v/>
      </c>
      <c r="K4366" s="39" t="str">
        <f>IF(OR(C4366="",NOT(ISNUMBER(E4366))),"",IFERROR(ROUND(N(INDEX(art_init,MATCH(C4366,art_ref,0)))+SUMIFS($E$5:E4366,$C$5:C4366,C4366,$B$5:B4366,"Entrée")-SUMIFS($E$5:E4366,$C$5:C4366,C4366,$B$5:B4366,"Sortie"),6),""))</f>
        <v/>
      </c>
      <c r="L4366" s="39" t="str">
        <f>IF(COUNTA(A4366:C4366,E4366)=0,"",IF(COUNTA(A4366:C4366,E4366)&lt;4,"Ligne incomplète",IF(NOT(ISNUMBER(A4366)),"Date invalide",IF(AND(B4366&lt;&gt;"Entrée",B4366&lt;&gt;"Sortie"),"Type inconnu",IF(ISNA(MATCH(C4366,art_ref,0)),"Référence inconnue",IF(OR(NOT(ISNUMBER(E4366)),N(E4366)&lt;=0),"Quantité invalide",IF(K4366&lt;0,"Stock négatif",IF(AND(ISNUMBER(A4365),A4366&lt;A4365),"Date hors ordre","OK"))))))))</f>
        <v/>
      </c>
      <c r="M4366" s="39" t="str">
        <f>IF(C4366="","",C4366&amp;"#"&amp;COUNTIF($C$5:C4366,C4366))</f>
        <v/>
      </c>
    </row>
    <row r="4367">
      <c r="A4367" s="41" t="n"/>
      <c r="B4367" s="37" t="n"/>
      <c r="C4367" s="37" t="n"/>
      <c r="D4367" s="39" t="str">
        <f>IF(C4367="","",IFERROR(INDEX(art_des,MATCH(C4367,art_ref,0))&amp;"","Référence inconnue"))</f>
        <v/>
      </c>
      <c r="E4367" s="37" t="n"/>
      <c r="F4367" s="39" t="str">
        <f>IF(C4367="","",IFERROR(INDEX(art_unit,MATCH(C4367,art_ref,0))&amp;"",""))</f>
        <v/>
      </c>
      <c r="G4367" s="37" t="n"/>
      <c r="H4367" s="37" t="n"/>
      <c r="I4367" s="37" t="n"/>
      <c r="J4367" s="40" t="str">
        <f>IF(OR(C4367="",NOT(ISNUMBER(E4367))),"",IFERROR(E4367*N(INDEX(art_price,MATCH(C4367,art_ref,0))),""))</f>
        <v/>
      </c>
      <c r="K4367" s="39" t="str">
        <f>IF(OR(C4367="",NOT(ISNUMBER(E4367))),"",IFERROR(ROUND(N(INDEX(art_init,MATCH(C4367,art_ref,0)))+SUMIFS($E$5:E4367,$C$5:C4367,C4367,$B$5:B4367,"Entrée")-SUMIFS($E$5:E4367,$C$5:C4367,C4367,$B$5:B4367,"Sortie"),6),""))</f>
        <v/>
      </c>
      <c r="L4367" s="39" t="str">
        <f>IF(COUNTA(A4367:C4367,E4367)=0,"",IF(COUNTA(A4367:C4367,E4367)&lt;4,"Ligne incomplète",IF(NOT(ISNUMBER(A4367)),"Date invalide",IF(AND(B4367&lt;&gt;"Entrée",B4367&lt;&gt;"Sortie"),"Type inconnu",IF(ISNA(MATCH(C4367,art_ref,0)),"Référence inconnue",IF(OR(NOT(ISNUMBER(E4367)),N(E4367)&lt;=0),"Quantité invalide",IF(K4367&lt;0,"Stock négatif",IF(AND(ISNUMBER(A4366),A4367&lt;A4366),"Date hors ordre","OK"))))))))</f>
        <v/>
      </c>
      <c r="M4367" s="39" t="str">
        <f>IF(C4367="","",C4367&amp;"#"&amp;COUNTIF($C$5:C4367,C4367))</f>
        <v/>
      </c>
    </row>
    <row r="4368">
      <c r="A4368" s="41" t="n"/>
      <c r="B4368" s="37" t="n"/>
      <c r="C4368" s="37" t="n"/>
      <c r="D4368" s="39" t="str">
        <f>IF(C4368="","",IFERROR(INDEX(art_des,MATCH(C4368,art_ref,0))&amp;"","Référence inconnue"))</f>
        <v/>
      </c>
      <c r="E4368" s="37" t="n"/>
      <c r="F4368" s="39" t="str">
        <f>IF(C4368="","",IFERROR(INDEX(art_unit,MATCH(C4368,art_ref,0))&amp;"",""))</f>
        <v/>
      </c>
      <c r="G4368" s="37" t="n"/>
      <c r="H4368" s="37" t="n"/>
      <c r="I4368" s="37" t="n"/>
      <c r="J4368" s="40" t="str">
        <f>IF(OR(C4368="",NOT(ISNUMBER(E4368))),"",IFERROR(E4368*N(INDEX(art_price,MATCH(C4368,art_ref,0))),""))</f>
        <v/>
      </c>
      <c r="K4368" s="39" t="str">
        <f>IF(OR(C4368="",NOT(ISNUMBER(E4368))),"",IFERROR(ROUND(N(INDEX(art_init,MATCH(C4368,art_ref,0)))+SUMIFS($E$5:E4368,$C$5:C4368,C4368,$B$5:B4368,"Entrée")-SUMIFS($E$5:E4368,$C$5:C4368,C4368,$B$5:B4368,"Sortie"),6),""))</f>
        <v/>
      </c>
      <c r="L4368" s="39" t="str">
        <f>IF(COUNTA(A4368:C4368,E4368)=0,"",IF(COUNTA(A4368:C4368,E4368)&lt;4,"Ligne incomplète",IF(NOT(ISNUMBER(A4368)),"Date invalide",IF(AND(B4368&lt;&gt;"Entrée",B4368&lt;&gt;"Sortie"),"Type inconnu",IF(ISNA(MATCH(C4368,art_ref,0)),"Référence inconnue",IF(OR(NOT(ISNUMBER(E4368)),N(E4368)&lt;=0),"Quantité invalide",IF(K4368&lt;0,"Stock négatif",IF(AND(ISNUMBER(A4367),A4368&lt;A4367),"Date hors ordre","OK"))))))))</f>
        <v/>
      </c>
      <c r="M4368" s="39" t="str">
        <f>IF(C4368="","",C4368&amp;"#"&amp;COUNTIF($C$5:C4368,C4368))</f>
        <v/>
      </c>
    </row>
    <row r="4369">
      <c r="A4369" s="41" t="n"/>
      <c r="B4369" s="37" t="n"/>
      <c r="C4369" s="37" t="n"/>
      <c r="D4369" s="39" t="str">
        <f>IF(C4369="","",IFERROR(INDEX(art_des,MATCH(C4369,art_ref,0))&amp;"","Référence inconnue"))</f>
        <v/>
      </c>
      <c r="E4369" s="37" t="n"/>
      <c r="F4369" s="39" t="str">
        <f>IF(C4369="","",IFERROR(INDEX(art_unit,MATCH(C4369,art_ref,0))&amp;"",""))</f>
        <v/>
      </c>
      <c r="G4369" s="37" t="n"/>
      <c r="H4369" s="37" t="n"/>
      <c r="I4369" s="37" t="n"/>
      <c r="J4369" s="40" t="str">
        <f>IF(OR(C4369="",NOT(ISNUMBER(E4369))),"",IFERROR(E4369*N(INDEX(art_price,MATCH(C4369,art_ref,0))),""))</f>
        <v/>
      </c>
      <c r="K4369" s="39" t="str">
        <f>IF(OR(C4369="",NOT(ISNUMBER(E4369))),"",IFERROR(ROUND(N(INDEX(art_init,MATCH(C4369,art_ref,0)))+SUMIFS($E$5:E4369,$C$5:C4369,C4369,$B$5:B4369,"Entrée")-SUMIFS($E$5:E4369,$C$5:C4369,C4369,$B$5:B4369,"Sortie"),6),""))</f>
        <v/>
      </c>
      <c r="L4369" s="39" t="str">
        <f>IF(COUNTA(A4369:C4369,E4369)=0,"",IF(COUNTA(A4369:C4369,E4369)&lt;4,"Ligne incomplète",IF(NOT(ISNUMBER(A4369)),"Date invalide",IF(AND(B4369&lt;&gt;"Entrée",B4369&lt;&gt;"Sortie"),"Type inconnu",IF(ISNA(MATCH(C4369,art_ref,0)),"Référence inconnue",IF(OR(NOT(ISNUMBER(E4369)),N(E4369)&lt;=0),"Quantité invalide",IF(K4369&lt;0,"Stock négatif",IF(AND(ISNUMBER(A4368),A4369&lt;A4368),"Date hors ordre","OK"))))))))</f>
        <v/>
      </c>
      <c r="M4369" s="39" t="str">
        <f>IF(C4369="","",C4369&amp;"#"&amp;COUNTIF($C$5:C4369,C4369))</f>
        <v/>
      </c>
    </row>
    <row r="4370">
      <c r="A4370" s="41" t="n"/>
      <c r="B4370" s="37" t="n"/>
      <c r="C4370" s="37" t="n"/>
      <c r="D4370" s="39" t="str">
        <f>IF(C4370="","",IFERROR(INDEX(art_des,MATCH(C4370,art_ref,0))&amp;"","Référence inconnue"))</f>
        <v/>
      </c>
      <c r="E4370" s="37" t="n"/>
      <c r="F4370" s="39" t="str">
        <f>IF(C4370="","",IFERROR(INDEX(art_unit,MATCH(C4370,art_ref,0))&amp;"",""))</f>
        <v/>
      </c>
      <c r="G4370" s="37" t="n"/>
      <c r="H4370" s="37" t="n"/>
      <c r="I4370" s="37" t="n"/>
      <c r="J4370" s="40" t="str">
        <f>IF(OR(C4370="",NOT(ISNUMBER(E4370))),"",IFERROR(E4370*N(INDEX(art_price,MATCH(C4370,art_ref,0))),""))</f>
        <v/>
      </c>
      <c r="K4370" s="39" t="str">
        <f>IF(OR(C4370="",NOT(ISNUMBER(E4370))),"",IFERROR(ROUND(N(INDEX(art_init,MATCH(C4370,art_ref,0)))+SUMIFS($E$5:E4370,$C$5:C4370,C4370,$B$5:B4370,"Entrée")-SUMIFS($E$5:E4370,$C$5:C4370,C4370,$B$5:B4370,"Sortie"),6),""))</f>
        <v/>
      </c>
      <c r="L4370" s="39" t="str">
        <f>IF(COUNTA(A4370:C4370,E4370)=0,"",IF(COUNTA(A4370:C4370,E4370)&lt;4,"Ligne incomplète",IF(NOT(ISNUMBER(A4370)),"Date invalide",IF(AND(B4370&lt;&gt;"Entrée",B4370&lt;&gt;"Sortie"),"Type inconnu",IF(ISNA(MATCH(C4370,art_ref,0)),"Référence inconnue",IF(OR(NOT(ISNUMBER(E4370)),N(E4370)&lt;=0),"Quantité invalide",IF(K4370&lt;0,"Stock négatif",IF(AND(ISNUMBER(A4369),A4370&lt;A4369),"Date hors ordre","OK"))))))))</f>
        <v/>
      </c>
      <c r="M4370" s="39" t="str">
        <f>IF(C4370="","",C4370&amp;"#"&amp;COUNTIF($C$5:C4370,C4370))</f>
        <v/>
      </c>
    </row>
    <row r="4371">
      <c r="A4371" s="41" t="n"/>
      <c r="B4371" s="37" t="n"/>
      <c r="C4371" s="37" t="n"/>
      <c r="D4371" s="39" t="str">
        <f>IF(C4371="","",IFERROR(INDEX(art_des,MATCH(C4371,art_ref,0))&amp;"","Référence inconnue"))</f>
        <v/>
      </c>
      <c r="E4371" s="37" t="n"/>
      <c r="F4371" s="39" t="str">
        <f>IF(C4371="","",IFERROR(INDEX(art_unit,MATCH(C4371,art_ref,0))&amp;"",""))</f>
        <v/>
      </c>
      <c r="G4371" s="37" t="n"/>
      <c r="H4371" s="37" t="n"/>
      <c r="I4371" s="37" t="n"/>
      <c r="J4371" s="40" t="str">
        <f>IF(OR(C4371="",NOT(ISNUMBER(E4371))),"",IFERROR(E4371*N(INDEX(art_price,MATCH(C4371,art_ref,0))),""))</f>
        <v/>
      </c>
      <c r="K4371" s="39" t="str">
        <f>IF(OR(C4371="",NOT(ISNUMBER(E4371))),"",IFERROR(ROUND(N(INDEX(art_init,MATCH(C4371,art_ref,0)))+SUMIFS($E$5:E4371,$C$5:C4371,C4371,$B$5:B4371,"Entrée")-SUMIFS($E$5:E4371,$C$5:C4371,C4371,$B$5:B4371,"Sortie"),6),""))</f>
        <v/>
      </c>
      <c r="L4371" s="39" t="str">
        <f>IF(COUNTA(A4371:C4371,E4371)=0,"",IF(COUNTA(A4371:C4371,E4371)&lt;4,"Ligne incomplète",IF(NOT(ISNUMBER(A4371)),"Date invalide",IF(AND(B4371&lt;&gt;"Entrée",B4371&lt;&gt;"Sortie"),"Type inconnu",IF(ISNA(MATCH(C4371,art_ref,0)),"Référence inconnue",IF(OR(NOT(ISNUMBER(E4371)),N(E4371)&lt;=0),"Quantité invalide",IF(K4371&lt;0,"Stock négatif",IF(AND(ISNUMBER(A4370),A4371&lt;A4370),"Date hors ordre","OK"))))))))</f>
        <v/>
      </c>
      <c r="M4371" s="39" t="str">
        <f>IF(C4371="","",C4371&amp;"#"&amp;COUNTIF($C$5:C4371,C4371))</f>
        <v/>
      </c>
    </row>
    <row r="4372">
      <c r="A4372" s="41" t="n"/>
      <c r="B4372" s="37" t="n"/>
      <c r="C4372" s="37" t="n"/>
      <c r="D4372" s="39" t="str">
        <f>IF(C4372="","",IFERROR(INDEX(art_des,MATCH(C4372,art_ref,0))&amp;"","Référence inconnue"))</f>
        <v/>
      </c>
      <c r="E4372" s="37" t="n"/>
      <c r="F4372" s="39" t="str">
        <f>IF(C4372="","",IFERROR(INDEX(art_unit,MATCH(C4372,art_ref,0))&amp;"",""))</f>
        <v/>
      </c>
      <c r="G4372" s="37" t="n"/>
      <c r="H4372" s="37" t="n"/>
      <c r="I4372" s="37" t="n"/>
      <c r="J4372" s="40" t="str">
        <f>IF(OR(C4372="",NOT(ISNUMBER(E4372))),"",IFERROR(E4372*N(INDEX(art_price,MATCH(C4372,art_ref,0))),""))</f>
        <v/>
      </c>
      <c r="K4372" s="39" t="str">
        <f>IF(OR(C4372="",NOT(ISNUMBER(E4372))),"",IFERROR(ROUND(N(INDEX(art_init,MATCH(C4372,art_ref,0)))+SUMIFS($E$5:E4372,$C$5:C4372,C4372,$B$5:B4372,"Entrée")-SUMIFS($E$5:E4372,$C$5:C4372,C4372,$B$5:B4372,"Sortie"),6),""))</f>
        <v/>
      </c>
      <c r="L4372" s="39" t="str">
        <f>IF(COUNTA(A4372:C4372,E4372)=0,"",IF(COUNTA(A4372:C4372,E4372)&lt;4,"Ligne incomplète",IF(NOT(ISNUMBER(A4372)),"Date invalide",IF(AND(B4372&lt;&gt;"Entrée",B4372&lt;&gt;"Sortie"),"Type inconnu",IF(ISNA(MATCH(C4372,art_ref,0)),"Référence inconnue",IF(OR(NOT(ISNUMBER(E4372)),N(E4372)&lt;=0),"Quantité invalide",IF(K4372&lt;0,"Stock négatif",IF(AND(ISNUMBER(A4371),A4372&lt;A4371),"Date hors ordre","OK"))))))))</f>
        <v/>
      </c>
      <c r="M4372" s="39" t="str">
        <f>IF(C4372="","",C4372&amp;"#"&amp;COUNTIF($C$5:C4372,C4372))</f>
        <v/>
      </c>
    </row>
    <row r="4373">
      <c r="A4373" s="41" t="n"/>
      <c r="B4373" s="37" t="n"/>
      <c r="C4373" s="37" t="n"/>
      <c r="D4373" s="39" t="str">
        <f>IF(C4373="","",IFERROR(INDEX(art_des,MATCH(C4373,art_ref,0))&amp;"","Référence inconnue"))</f>
        <v/>
      </c>
      <c r="E4373" s="37" t="n"/>
      <c r="F4373" s="39" t="str">
        <f>IF(C4373="","",IFERROR(INDEX(art_unit,MATCH(C4373,art_ref,0))&amp;"",""))</f>
        <v/>
      </c>
      <c r="G4373" s="37" t="n"/>
      <c r="H4373" s="37" t="n"/>
      <c r="I4373" s="37" t="n"/>
      <c r="J4373" s="40" t="str">
        <f>IF(OR(C4373="",NOT(ISNUMBER(E4373))),"",IFERROR(E4373*N(INDEX(art_price,MATCH(C4373,art_ref,0))),""))</f>
        <v/>
      </c>
      <c r="K4373" s="39" t="str">
        <f>IF(OR(C4373="",NOT(ISNUMBER(E4373))),"",IFERROR(ROUND(N(INDEX(art_init,MATCH(C4373,art_ref,0)))+SUMIFS($E$5:E4373,$C$5:C4373,C4373,$B$5:B4373,"Entrée")-SUMIFS($E$5:E4373,$C$5:C4373,C4373,$B$5:B4373,"Sortie"),6),""))</f>
        <v/>
      </c>
      <c r="L4373" s="39" t="str">
        <f>IF(COUNTA(A4373:C4373,E4373)=0,"",IF(COUNTA(A4373:C4373,E4373)&lt;4,"Ligne incomplète",IF(NOT(ISNUMBER(A4373)),"Date invalide",IF(AND(B4373&lt;&gt;"Entrée",B4373&lt;&gt;"Sortie"),"Type inconnu",IF(ISNA(MATCH(C4373,art_ref,0)),"Référence inconnue",IF(OR(NOT(ISNUMBER(E4373)),N(E4373)&lt;=0),"Quantité invalide",IF(K4373&lt;0,"Stock négatif",IF(AND(ISNUMBER(A4372),A4373&lt;A4372),"Date hors ordre","OK"))))))))</f>
        <v/>
      </c>
      <c r="M4373" s="39" t="str">
        <f>IF(C4373="","",C4373&amp;"#"&amp;COUNTIF($C$5:C4373,C4373))</f>
        <v/>
      </c>
    </row>
    <row r="4374">
      <c r="A4374" s="41" t="n"/>
      <c r="B4374" s="37" t="n"/>
      <c r="C4374" s="37" t="n"/>
      <c r="D4374" s="39" t="str">
        <f>IF(C4374="","",IFERROR(INDEX(art_des,MATCH(C4374,art_ref,0))&amp;"","Référence inconnue"))</f>
        <v/>
      </c>
      <c r="E4374" s="37" t="n"/>
      <c r="F4374" s="39" t="str">
        <f>IF(C4374="","",IFERROR(INDEX(art_unit,MATCH(C4374,art_ref,0))&amp;"",""))</f>
        <v/>
      </c>
      <c r="G4374" s="37" t="n"/>
      <c r="H4374" s="37" t="n"/>
      <c r="I4374" s="37" t="n"/>
      <c r="J4374" s="40" t="str">
        <f>IF(OR(C4374="",NOT(ISNUMBER(E4374))),"",IFERROR(E4374*N(INDEX(art_price,MATCH(C4374,art_ref,0))),""))</f>
        <v/>
      </c>
      <c r="K4374" s="39" t="str">
        <f>IF(OR(C4374="",NOT(ISNUMBER(E4374))),"",IFERROR(ROUND(N(INDEX(art_init,MATCH(C4374,art_ref,0)))+SUMIFS($E$5:E4374,$C$5:C4374,C4374,$B$5:B4374,"Entrée")-SUMIFS($E$5:E4374,$C$5:C4374,C4374,$B$5:B4374,"Sortie"),6),""))</f>
        <v/>
      </c>
      <c r="L4374" s="39" t="str">
        <f>IF(COUNTA(A4374:C4374,E4374)=0,"",IF(COUNTA(A4374:C4374,E4374)&lt;4,"Ligne incomplète",IF(NOT(ISNUMBER(A4374)),"Date invalide",IF(AND(B4374&lt;&gt;"Entrée",B4374&lt;&gt;"Sortie"),"Type inconnu",IF(ISNA(MATCH(C4374,art_ref,0)),"Référence inconnue",IF(OR(NOT(ISNUMBER(E4374)),N(E4374)&lt;=0),"Quantité invalide",IF(K4374&lt;0,"Stock négatif",IF(AND(ISNUMBER(A4373),A4374&lt;A4373),"Date hors ordre","OK"))))))))</f>
        <v/>
      </c>
      <c r="M4374" s="39" t="str">
        <f>IF(C4374="","",C4374&amp;"#"&amp;COUNTIF($C$5:C4374,C4374))</f>
        <v/>
      </c>
    </row>
    <row r="4375">
      <c r="A4375" s="41" t="n"/>
      <c r="B4375" s="37" t="n"/>
      <c r="C4375" s="37" t="n"/>
      <c r="D4375" s="39" t="str">
        <f>IF(C4375="","",IFERROR(INDEX(art_des,MATCH(C4375,art_ref,0))&amp;"","Référence inconnue"))</f>
        <v/>
      </c>
      <c r="E4375" s="37" t="n"/>
      <c r="F4375" s="39" t="str">
        <f>IF(C4375="","",IFERROR(INDEX(art_unit,MATCH(C4375,art_ref,0))&amp;"",""))</f>
        <v/>
      </c>
      <c r="G4375" s="37" t="n"/>
      <c r="H4375" s="37" t="n"/>
      <c r="I4375" s="37" t="n"/>
      <c r="J4375" s="40" t="str">
        <f>IF(OR(C4375="",NOT(ISNUMBER(E4375))),"",IFERROR(E4375*N(INDEX(art_price,MATCH(C4375,art_ref,0))),""))</f>
        <v/>
      </c>
      <c r="K4375" s="39" t="str">
        <f>IF(OR(C4375="",NOT(ISNUMBER(E4375))),"",IFERROR(ROUND(N(INDEX(art_init,MATCH(C4375,art_ref,0)))+SUMIFS($E$5:E4375,$C$5:C4375,C4375,$B$5:B4375,"Entrée")-SUMIFS($E$5:E4375,$C$5:C4375,C4375,$B$5:B4375,"Sortie"),6),""))</f>
        <v/>
      </c>
      <c r="L4375" s="39" t="str">
        <f>IF(COUNTA(A4375:C4375,E4375)=0,"",IF(COUNTA(A4375:C4375,E4375)&lt;4,"Ligne incomplète",IF(NOT(ISNUMBER(A4375)),"Date invalide",IF(AND(B4375&lt;&gt;"Entrée",B4375&lt;&gt;"Sortie"),"Type inconnu",IF(ISNA(MATCH(C4375,art_ref,0)),"Référence inconnue",IF(OR(NOT(ISNUMBER(E4375)),N(E4375)&lt;=0),"Quantité invalide",IF(K4375&lt;0,"Stock négatif",IF(AND(ISNUMBER(A4374),A4375&lt;A4374),"Date hors ordre","OK"))))))))</f>
        <v/>
      </c>
      <c r="M4375" s="39" t="str">
        <f>IF(C4375="","",C4375&amp;"#"&amp;COUNTIF($C$5:C4375,C4375))</f>
        <v/>
      </c>
    </row>
    <row r="4376">
      <c r="A4376" s="41" t="n"/>
      <c r="B4376" s="37" t="n"/>
      <c r="C4376" s="37" t="n"/>
      <c r="D4376" s="39" t="str">
        <f>IF(C4376="","",IFERROR(INDEX(art_des,MATCH(C4376,art_ref,0))&amp;"","Référence inconnue"))</f>
        <v/>
      </c>
      <c r="E4376" s="37" t="n"/>
      <c r="F4376" s="39" t="str">
        <f>IF(C4376="","",IFERROR(INDEX(art_unit,MATCH(C4376,art_ref,0))&amp;"",""))</f>
        <v/>
      </c>
      <c r="G4376" s="37" t="n"/>
      <c r="H4376" s="37" t="n"/>
      <c r="I4376" s="37" t="n"/>
      <c r="J4376" s="40" t="str">
        <f>IF(OR(C4376="",NOT(ISNUMBER(E4376))),"",IFERROR(E4376*N(INDEX(art_price,MATCH(C4376,art_ref,0))),""))</f>
        <v/>
      </c>
      <c r="K4376" s="39" t="str">
        <f>IF(OR(C4376="",NOT(ISNUMBER(E4376))),"",IFERROR(ROUND(N(INDEX(art_init,MATCH(C4376,art_ref,0)))+SUMIFS($E$5:E4376,$C$5:C4376,C4376,$B$5:B4376,"Entrée")-SUMIFS($E$5:E4376,$C$5:C4376,C4376,$B$5:B4376,"Sortie"),6),""))</f>
        <v/>
      </c>
      <c r="L4376" s="39" t="str">
        <f>IF(COUNTA(A4376:C4376,E4376)=0,"",IF(COUNTA(A4376:C4376,E4376)&lt;4,"Ligne incomplète",IF(NOT(ISNUMBER(A4376)),"Date invalide",IF(AND(B4376&lt;&gt;"Entrée",B4376&lt;&gt;"Sortie"),"Type inconnu",IF(ISNA(MATCH(C4376,art_ref,0)),"Référence inconnue",IF(OR(NOT(ISNUMBER(E4376)),N(E4376)&lt;=0),"Quantité invalide",IF(K4376&lt;0,"Stock négatif",IF(AND(ISNUMBER(A4375),A4376&lt;A4375),"Date hors ordre","OK"))))))))</f>
        <v/>
      </c>
      <c r="M4376" s="39" t="str">
        <f>IF(C4376="","",C4376&amp;"#"&amp;COUNTIF($C$5:C4376,C4376))</f>
        <v/>
      </c>
    </row>
    <row r="4377">
      <c r="A4377" s="41" t="n"/>
      <c r="B4377" s="37" t="n"/>
      <c r="C4377" s="37" t="n"/>
      <c r="D4377" s="39" t="str">
        <f>IF(C4377="","",IFERROR(INDEX(art_des,MATCH(C4377,art_ref,0))&amp;"","Référence inconnue"))</f>
        <v/>
      </c>
      <c r="E4377" s="37" t="n"/>
      <c r="F4377" s="39" t="str">
        <f>IF(C4377="","",IFERROR(INDEX(art_unit,MATCH(C4377,art_ref,0))&amp;"",""))</f>
        <v/>
      </c>
      <c r="G4377" s="37" t="n"/>
      <c r="H4377" s="37" t="n"/>
      <c r="I4377" s="37" t="n"/>
      <c r="J4377" s="40" t="str">
        <f>IF(OR(C4377="",NOT(ISNUMBER(E4377))),"",IFERROR(E4377*N(INDEX(art_price,MATCH(C4377,art_ref,0))),""))</f>
        <v/>
      </c>
      <c r="K4377" s="39" t="str">
        <f>IF(OR(C4377="",NOT(ISNUMBER(E4377))),"",IFERROR(ROUND(N(INDEX(art_init,MATCH(C4377,art_ref,0)))+SUMIFS($E$5:E4377,$C$5:C4377,C4377,$B$5:B4377,"Entrée")-SUMIFS($E$5:E4377,$C$5:C4377,C4377,$B$5:B4377,"Sortie"),6),""))</f>
        <v/>
      </c>
      <c r="L4377" s="39" t="str">
        <f>IF(COUNTA(A4377:C4377,E4377)=0,"",IF(COUNTA(A4377:C4377,E4377)&lt;4,"Ligne incomplète",IF(NOT(ISNUMBER(A4377)),"Date invalide",IF(AND(B4377&lt;&gt;"Entrée",B4377&lt;&gt;"Sortie"),"Type inconnu",IF(ISNA(MATCH(C4377,art_ref,0)),"Référence inconnue",IF(OR(NOT(ISNUMBER(E4377)),N(E4377)&lt;=0),"Quantité invalide",IF(K4377&lt;0,"Stock négatif",IF(AND(ISNUMBER(A4376),A4377&lt;A4376),"Date hors ordre","OK"))))))))</f>
        <v/>
      </c>
      <c r="M4377" s="39" t="str">
        <f>IF(C4377="","",C4377&amp;"#"&amp;COUNTIF($C$5:C4377,C4377))</f>
        <v/>
      </c>
    </row>
    <row r="4378">
      <c r="A4378" s="41" t="n"/>
      <c r="B4378" s="37" t="n"/>
      <c r="C4378" s="37" t="n"/>
      <c r="D4378" s="39" t="str">
        <f>IF(C4378="","",IFERROR(INDEX(art_des,MATCH(C4378,art_ref,0))&amp;"","Référence inconnue"))</f>
        <v/>
      </c>
      <c r="E4378" s="37" t="n"/>
      <c r="F4378" s="39" t="str">
        <f>IF(C4378="","",IFERROR(INDEX(art_unit,MATCH(C4378,art_ref,0))&amp;"",""))</f>
        <v/>
      </c>
      <c r="G4378" s="37" t="n"/>
      <c r="H4378" s="37" t="n"/>
      <c r="I4378" s="37" t="n"/>
      <c r="J4378" s="40" t="str">
        <f>IF(OR(C4378="",NOT(ISNUMBER(E4378))),"",IFERROR(E4378*N(INDEX(art_price,MATCH(C4378,art_ref,0))),""))</f>
        <v/>
      </c>
      <c r="K4378" s="39" t="str">
        <f>IF(OR(C4378="",NOT(ISNUMBER(E4378))),"",IFERROR(ROUND(N(INDEX(art_init,MATCH(C4378,art_ref,0)))+SUMIFS($E$5:E4378,$C$5:C4378,C4378,$B$5:B4378,"Entrée")-SUMIFS($E$5:E4378,$C$5:C4378,C4378,$B$5:B4378,"Sortie"),6),""))</f>
        <v/>
      </c>
      <c r="L4378" s="39" t="str">
        <f>IF(COUNTA(A4378:C4378,E4378)=0,"",IF(COUNTA(A4378:C4378,E4378)&lt;4,"Ligne incomplète",IF(NOT(ISNUMBER(A4378)),"Date invalide",IF(AND(B4378&lt;&gt;"Entrée",B4378&lt;&gt;"Sortie"),"Type inconnu",IF(ISNA(MATCH(C4378,art_ref,0)),"Référence inconnue",IF(OR(NOT(ISNUMBER(E4378)),N(E4378)&lt;=0),"Quantité invalide",IF(K4378&lt;0,"Stock négatif",IF(AND(ISNUMBER(A4377),A4378&lt;A4377),"Date hors ordre","OK"))))))))</f>
        <v/>
      </c>
      <c r="M4378" s="39" t="str">
        <f>IF(C4378="","",C4378&amp;"#"&amp;COUNTIF($C$5:C4378,C4378))</f>
        <v/>
      </c>
    </row>
    <row r="4379">
      <c r="A4379" s="41" t="n"/>
      <c r="B4379" s="37" t="n"/>
      <c r="C4379" s="37" t="n"/>
      <c r="D4379" s="39" t="str">
        <f>IF(C4379="","",IFERROR(INDEX(art_des,MATCH(C4379,art_ref,0))&amp;"","Référence inconnue"))</f>
        <v/>
      </c>
      <c r="E4379" s="37" t="n"/>
      <c r="F4379" s="39" t="str">
        <f>IF(C4379="","",IFERROR(INDEX(art_unit,MATCH(C4379,art_ref,0))&amp;"",""))</f>
        <v/>
      </c>
      <c r="G4379" s="37" t="n"/>
      <c r="H4379" s="37" t="n"/>
      <c r="I4379" s="37" t="n"/>
      <c r="J4379" s="40" t="str">
        <f>IF(OR(C4379="",NOT(ISNUMBER(E4379))),"",IFERROR(E4379*N(INDEX(art_price,MATCH(C4379,art_ref,0))),""))</f>
        <v/>
      </c>
      <c r="K4379" s="39" t="str">
        <f>IF(OR(C4379="",NOT(ISNUMBER(E4379))),"",IFERROR(ROUND(N(INDEX(art_init,MATCH(C4379,art_ref,0)))+SUMIFS($E$5:E4379,$C$5:C4379,C4379,$B$5:B4379,"Entrée")-SUMIFS($E$5:E4379,$C$5:C4379,C4379,$B$5:B4379,"Sortie"),6),""))</f>
        <v/>
      </c>
      <c r="L4379" s="39" t="str">
        <f>IF(COUNTA(A4379:C4379,E4379)=0,"",IF(COUNTA(A4379:C4379,E4379)&lt;4,"Ligne incomplète",IF(NOT(ISNUMBER(A4379)),"Date invalide",IF(AND(B4379&lt;&gt;"Entrée",B4379&lt;&gt;"Sortie"),"Type inconnu",IF(ISNA(MATCH(C4379,art_ref,0)),"Référence inconnue",IF(OR(NOT(ISNUMBER(E4379)),N(E4379)&lt;=0),"Quantité invalide",IF(K4379&lt;0,"Stock négatif",IF(AND(ISNUMBER(A4378),A4379&lt;A4378),"Date hors ordre","OK"))))))))</f>
        <v/>
      </c>
      <c r="M4379" s="39" t="str">
        <f>IF(C4379="","",C4379&amp;"#"&amp;COUNTIF($C$5:C4379,C4379))</f>
        <v/>
      </c>
    </row>
    <row r="4380">
      <c r="A4380" s="41" t="n"/>
      <c r="B4380" s="37" t="n"/>
      <c r="C4380" s="37" t="n"/>
      <c r="D4380" s="39" t="str">
        <f>IF(C4380="","",IFERROR(INDEX(art_des,MATCH(C4380,art_ref,0))&amp;"","Référence inconnue"))</f>
        <v/>
      </c>
      <c r="E4380" s="37" t="n"/>
      <c r="F4380" s="39" t="str">
        <f>IF(C4380="","",IFERROR(INDEX(art_unit,MATCH(C4380,art_ref,0))&amp;"",""))</f>
        <v/>
      </c>
      <c r="G4380" s="37" t="n"/>
      <c r="H4380" s="37" t="n"/>
      <c r="I4380" s="37" t="n"/>
      <c r="J4380" s="40" t="str">
        <f>IF(OR(C4380="",NOT(ISNUMBER(E4380))),"",IFERROR(E4380*N(INDEX(art_price,MATCH(C4380,art_ref,0))),""))</f>
        <v/>
      </c>
      <c r="K4380" s="39" t="str">
        <f>IF(OR(C4380="",NOT(ISNUMBER(E4380))),"",IFERROR(ROUND(N(INDEX(art_init,MATCH(C4380,art_ref,0)))+SUMIFS($E$5:E4380,$C$5:C4380,C4380,$B$5:B4380,"Entrée")-SUMIFS($E$5:E4380,$C$5:C4380,C4380,$B$5:B4380,"Sortie"),6),""))</f>
        <v/>
      </c>
      <c r="L4380" s="39" t="str">
        <f>IF(COUNTA(A4380:C4380,E4380)=0,"",IF(COUNTA(A4380:C4380,E4380)&lt;4,"Ligne incomplète",IF(NOT(ISNUMBER(A4380)),"Date invalide",IF(AND(B4380&lt;&gt;"Entrée",B4380&lt;&gt;"Sortie"),"Type inconnu",IF(ISNA(MATCH(C4380,art_ref,0)),"Référence inconnue",IF(OR(NOT(ISNUMBER(E4380)),N(E4380)&lt;=0),"Quantité invalide",IF(K4380&lt;0,"Stock négatif",IF(AND(ISNUMBER(A4379),A4380&lt;A4379),"Date hors ordre","OK"))))))))</f>
        <v/>
      </c>
      <c r="M4380" s="39" t="str">
        <f>IF(C4380="","",C4380&amp;"#"&amp;COUNTIF($C$5:C4380,C4380))</f>
        <v/>
      </c>
    </row>
    <row r="4381">
      <c r="A4381" s="41" t="n"/>
      <c r="B4381" s="37" t="n"/>
      <c r="C4381" s="37" t="n"/>
      <c r="D4381" s="39" t="str">
        <f>IF(C4381="","",IFERROR(INDEX(art_des,MATCH(C4381,art_ref,0))&amp;"","Référence inconnue"))</f>
        <v/>
      </c>
      <c r="E4381" s="37" t="n"/>
      <c r="F4381" s="39" t="str">
        <f>IF(C4381="","",IFERROR(INDEX(art_unit,MATCH(C4381,art_ref,0))&amp;"",""))</f>
        <v/>
      </c>
      <c r="G4381" s="37" t="n"/>
      <c r="H4381" s="37" t="n"/>
      <c r="I4381" s="37" t="n"/>
      <c r="J4381" s="40" t="str">
        <f>IF(OR(C4381="",NOT(ISNUMBER(E4381))),"",IFERROR(E4381*N(INDEX(art_price,MATCH(C4381,art_ref,0))),""))</f>
        <v/>
      </c>
      <c r="K4381" s="39" t="str">
        <f>IF(OR(C4381="",NOT(ISNUMBER(E4381))),"",IFERROR(ROUND(N(INDEX(art_init,MATCH(C4381,art_ref,0)))+SUMIFS($E$5:E4381,$C$5:C4381,C4381,$B$5:B4381,"Entrée")-SUMIFS($E$5:E4381,$C$5:C4381,C4381,$B$5:B4381,"Sortie"),6),""))</f>
        <v/>
      </c>
      <c r="L4381" s="39" t="str">
        <f>IF(COUNTA(A4381:C4381,E4381)=0,"",IF(COUNTA(A4381:C4381,E4381)&lt;4,"Ligne incomplète",IF(NOT(ISNUMBER(A4381)),"Date invalide",IF(AND(B4381&lt;&gt;"Entrée",B4381&lt;&gt;"Sortie"),"Type inconnu",IF(ISNA(MATCH(C4381,art_ref,0)),"Référence inconnue",IF(OR(NOT(ISNUMBER(E4381)),N(E4381)&lt;=0),"Quantité invalide",IF(K4381&lt;0,"Stock négatif",IF(AND(ISNUMBER(A4380),A4381&lt;A4380),"Date hors ordre","OK"))))))))</f>
        <v/>
      </c>
      <c r="M4381" s="39" t="str">
        <f>IF(C4381="","",C4381&amp;"#"&amp;COUNTIF($C$5:C4381,C4381))</f>
        <v/>
      </c>
    </row>
    <row r="4382">
      <c r="A4382" s="41" t="n"/>
      <c r="B4382" s="37" t="n"/>
      <c r="C4382" s="37" t="n"/>
      <c r="D4382" s="39" t="str">
        <f>IF(C4382="","",IFERROR(INDEX(art_des,MATCH(C4382,art_ref,0))&amp;"","Référence inconnue"))</f>
        <v/>
      </c>
      <c r="E4382" s="37" t="n"/>
      <c r="F4382" s="39" t="str">
        <f>IF(C4382="","",IFERROR(INDEX(art_unit,MATCH(C4382,art_ref,0))&amp;"",""))</f>
        <v/>
      </c>
      <c r="G4382" s="37" t="n"/>
      <c r="H4382" s="37" t="n"/>
      <c r="I4382" s="37" t="n"/>
      <c r="J4382" s="40" t="str">
        <f>IF(OR(C4382="",NOT(ISNUMBER(E4382))),"",IFERROR(E4382*N(INDEX(art_price,MATCH(C4382,art_ref,0))),""))</f>
        <v/>
      </c>
      <c r="K4382" s="39" t="str">
        <f>IF(OR(C4382="",NOT(ISNUMBER(E4382))),"",IFERROR(ROUND(N(INDEX(art_init,MATCH(C4382,art_ref,0)))+SUMIFS($E$5:E4382,$C$5:C4382,C4382,$B$5:B4382,"Entrée")-SUMIFS($E$5:E4382,$C$5:C4382,C4382,$B$5:B4382,"Sortie"),6),""))</f>
        <v/>
      </c>
      <c r="L4382" s="39" t="str">
        <f>IF(COUNTA(A4382:C4382,E4382)=0,"",IF(COUNTA(A4382:C4382,E4382)&lt;4,"Ligne incomplète",IF(NOT(ISNUMBER(A4382)),"Date invalide",IF(AND(B4382&lt;&gt;"Entrée",B4382&lt;&gt;"Sortie"),"Type inconnu",IF(ISNA(MATCH(C4382,art_ref,0)),"Référence inconnue",IF(OR(NOT(ISNUMBER(E4382)),N(E4382)&lt;=0),"Quantité invalide",IF(K4382&lt;0,"Stock négatif",IF(AND(ISNUMBER(A4381),A4382&lt;A4381),"Date hors ordre","OK"))))))))</f>
        <v/>
      </c>
      <c r="M4382" s="39" t="str">
        <f>IF(C4382="","",C4382&amp;"#"&amp;COUNTIF($C$5:C4382,C4382))</f>
        <v/>
      </c>
    </row>
    <row r="4383">
      <c r="A4383" s="41" t="n"/>
      <c r="B4383" s="37" t="n"/>
      <c r="C4383" s="37" t="n"/>
      <c r="D4383" s="39" t="str">
        <f>IF(C4383="","",IFERROR(INDEX(art_des,MATCH(C4383,art_ref,0))&amp;"","Référence inconnue"))</f>
        <v/>
      </c>
      <c r="E4383" s="37" t="n"/>
      <c r="F4383" s="39" t="str">
        <f>IF(C4383="","",IFERROR(INDEX(art_unit,MATCH(C4383,art_ref,0))&amp;"",""))</f>
        <v/>
      </c>
      <c r="G4383" s="37" t="n"/>
      <c r="H4383" s="37" t="n"/>
      <c r="I4383" s="37" t="n"/>
      <c r="J4383" s="40" t="str">
        <f>IF(OR(C4383="",NOT(ISNUMBER(E4383))),"",IFERROR(E4383*N(INDEX(art_price,MATCH(C4383,art_ref,0))),""))</f>
        <v/>
      </c>
      <c r="K4383" s="39" t="str">
        <f>IF(OR(C4383="",NOT(ISNUMBER(E4383))),"",IFERROR(ROUND(N(INDEX(art_init,MATCH(C4383,art_ref,0)))+SUMIFS($E$5:E4383,$C$5:C4383,C4383,$B$5:B4383,"Entrée")-SUMIFS($E$5:E4383,$C$5:C4383,C4383,$B$5:B4383,"Sortie"),6),""))</f>
        <v/>
      </c>
      <c r="L4383" s="39" t="str">
        <f>IF(COUNTA(A4383:C4383,E4383)=0,"",IF(COUNTA(A4383:C4383,E4383)&lt;4,"Ligne incomplète",IF(NOT(ISNUMBER(A4383)),"Date invalide",IF(AND(B4383&lt;&gt;"Entrée",B4383&lt;&gt;"Sortie"),"Type inconnu",IF(ISNA(MATCH(C4383,art_ref,0)),"Référence inconnue",IF(OR(NOT(ISNUMBER(E4383)),N(E4383)&lt;=0),"Quantité invalide",IF(K4383&lt;0,"Stock négatif",IF(AND(ISNUMBER(A4382),A4383&lt;A4382),"Date hors ordre","OK"))))))))</f>
        <v/>
      </c>
      <c r="M4383" s="39" t="str">
        <f>IF(C4383="","",C4383&amp;"#"&amp;COUNTIF($C$5:C4383,C4383))</f>
        <v/>
      </c>
    </row>
    <row r="4384">
      <c r="A4384" s="41" t="n"/>
      <c r="B4384" s="37" t="n"/>
      <c r="C4384" s="37" t="n"/>
      <c r="D4384" s="39" t="str">
        <f>IF(C4384="","",IFERROR(INDEX(art_des,MATCH(C4384,art_ref,0))&amp;"","Référence inconnue"))</f>
        <v/>
      </c>
      <c r="E4384" s="37" t="n"/>
      <c r="F4384" s="39" t="str">
        <f>IF(C4384="","",IFERROR(INDEX(art_unit,MATCH(C4384,art_ref,0))&amp;"",""))</f>
        <v/>
      </c>
      <c r="G4384" s="37" t="n"/>
      <c r="H4384" s="37" t="n"/>
      <c r="I4384" s="37" t="n"/>
      <c r="J4384" s="40" t="str">
        <f>IF(OR(C4384="",NOT(ISNUMBER(E4384))),"",IFERROR(E4384*N(INDEX(art_price,MATCH(C4384,art_ref,0))),""))</f>
        <v/>
      </c>
      <c r="K4384" s="39" t="str">
        <f>IF(OR(C4384="",NOT(ISNUMBER(E4384))),"",IFERROR(ROUND(N(INDEX(art_init,MATCH(C4384,art_ref,0)))+SUMIFS($E$5:E4384,$C$5:C4384,C4384,$B$5:B4384,"Entrée")-SUMIFS($E$5:E4384,$C$5:C4384,C4384,$B$5:B4384,"Sortie"),6),""))</f>
        <v/>
      </c>
      <c r="L4384" s="39" t="str">
        <f>IF(COUNTA(A4384:C4384,E4384)=0,"",IF(COUNTA(A4384:C4384,E4384)&lt;4,"Ligne incomplète",IF(NOT(ISNUMBER(A4384)),"Date invalide",IF(AND(B4384&lt;&gt;"Entrée",B4384&lt;&gt;"Sortie"),"Type inconnu",IF(ISNA(MATCH(C4384,art_ref,0)),"Référence inconnue",IF(OR(NOT(ISNUMBER(E4384)),N(E4384)&lt;=0),"Quantité invalide",IF(K4384&lt;0,"Stock négatif",IF(AND(ISNUMBER(A4383),A4384&lt;A4383),"Date hors ordre","OK"))))))))</f>
        <v/>
      </c>
      <c r="M4384" s="39" t="str">
        <f>IF(C4384="","",C4384&amp;"#"&amp;COUNTIF($C$5:C4384,C4384))</f>
        <v/>
      </c>
    </row>
    <row r="4385">
      <c r="A4385" s="41" t="n"/>
      <c r="B4385" s="37" t="n"/>
      <c r="C4385" s="37" t="n"/>
      <c r="D4385" s="39" t="str">
        <f>IF(C4385="","",IFERROR(INDEX(art_des,MATCH(C4385,art_ref,0))&amp;"","Référence inconnue"))</f>
        <v/>
      </c>
      <c r="E4385" s="37" t="n"/>
      <c r="F4385" s="39" t="str">
        <f>IF(C4385="","",IFERROR(INDEX(art_unit,MATCH(C4385,art_ref,0))&amp;"",""))</f>
        <v/>
      </c>
      <c r="G4385" s="37" t="n"/>
      <c r="H4385" s="37" t="n"/>
      <c r="I4385" s="37" t="n"/>
      <c r="J4385" s="40" t="str">
        <f>IF(OR(C4385="",NOT(ISNUMBER(E4385))),"",IFERROR(E4385*N(INDEX(art_price,MATCH(C4385,art_ref,0))),""))</f>
        <v/>
      </c>
      <c r="K4385" s="39" t="str">
        <f>IF(OR(C4385="",NOT(ISNUMBER(E4385))),"",IFERROR(ROUND(N(INDEX(art_init,MATCH(C4385,art_ref,0)))+SUMIFS($E$5:E4385,$C$5:C4385,C4385,$B$5:B4385,"Entrée")-SUMIFS($E$5:E4385,$C$5:C4385,C4385,$B$5:B4385,"Sortie"),6),""))</f>
        <v/>
      </c>
      <c r="L4385" s="39" t="str">
        <f>IF(COUNTA(A4385:C4385,E4385)=0,"",IF(COUNTA(A4385:C4385,E4385)&lt;4,"Ligne incomplète",IF(NOT(ISNUMBER(A4385)),"Date invalide",IF(AND(B4385&lt;&gt;"Entrée",B4385&lt;&gt;"Sortie"),"Type inconnu",IF(ISNA(MATCH(C4385,art_ref,0)),"Référence inconnue",IF(OR(NOT(ISNUMBER(E4385)),N(E4385)&lt;=0),"Quantité invalide",IF(K4385&lt;0,"Stock négatif",IF(AND(ISNUMBER(A4384),A4385&lt;A4384),"Date hors ordre","OK"))))))))</f>
        <v/>
      </c>
      <c r="M4385" s="39" t="str">
        <f>IF(C4385="","",C4385&amp;"#"&amp;COUNTIF($C$5:C4385,C4385))</f>
        <v/>
      </c>
    </row>
    <row r="4386">
      <c r="A4386" s="41" t="n"/>
      <c r="B4386" s="37" t="n"/>
      <c r="C4386" s="37" t="n"/>
      <c r="D4386" s="39" t="str">
        <f>IF(C4386="","",IFERROR(INDEX(art_des,MATCH(C4386,art_ref,0))&amp;"","Référence inconnue"))</f>
        <v/>
      </c>
      <c r="E4386" s="37" t="n"/>
      <c r="F4386" s="39" t="str">
        <f>IF(C4386="","",IFERROR(INDEX(art_unit,MATCH(C4386,art_ref,0))&amp;"",""))</f>
        <v/>
      </c>
      <c r="G4386" s="37" t="n"/>
      <c r="H4386" s="37" t="n"/>
      <c r="I4386" s="37" t="n"/>
      <c r="J4386" s="40" t="str">
        <f>IF(OR(C4386="",NOT(ISNUMBER(E4386))),"",IFERROR(E4386*N(INDEX(art_price,MATCH(C4386,art_ref,0))),""))</f>
        <v/>
      </c>
      <c r="K4386" s="39" t="str">
        <f>IF(OR(C4386="",NOT(ISNUMBER(E4386))),"",IFERROR(ROUND(N(INDEX(art_init,MATCH(C4386,art_ref,0)))+SUMIFS($E$5:E4386,$C$5:C4386,C4386,$B$5:B4386,"Entrée")-SUMIFS($E$5:E4386,$C$5:C4386,C4386,$B$5:B4386,"Sortie"),6),""))</f>
        <v/>
      </c>
      <c r="L4386" s="39" t="str">
        <f>IF(COUNTA(A4386:C4386,E4386)=0,"",IF(COUNTA(A4386:C4386,E4386)&lt;4,"Ligne incomplète",IF(NOT(ISNUMBER(A4386)),"Date invalide",IF(AND(B4386&lt;&gt;"Entrée",B4386&lt;&gt;"Sortie"),"Type inconnu",IF(ISNA(MATCH(C4386,art_ref,0)),"Référence inconnue",IF(OR(NOT(ISNUMBER(E4386)),N(E4386)&lt;=0),"Quantité invalide",IF(K4386&lt;0,"Stock négatif",IF(AND(ISNUMBER(A4385),A4386&lt;A4385),"Date hors ordre","OK"))))))))</f>
        <v/>
      </c>
      <c r="M4386" s="39" t="str">
        <f>IF(C4386="","",C4386&amp;"#"&amp;COUNTIF($C$5:C4386,C4386))</f>
        <v/>
      </c>
    </row>
    <row r="4387">
      <c r="A4387" s="41" t="n"/>
      <c r="B4387" s="37" t="n"/>
      <c r="C4387" s="37" t="n"/>
      <c r="D4387" s="39" t="str">
        <f>IF(C4387="","",IFERROR(INDEX(art_des,MATCH(C4387,art_ref,0))&amp;"","Référence inconnue"))</f>
        <v/>
      </c>
      <c r="E4387" s="37" t="n"/>
      <c r="F4387" s="39" t="str">
        <f>IF(C4387="","",IFERROR(INDEX(art_unit,MATCH(C4387,art_ref,0))&amp;"",""))</f>
        <v/>
      </c>
      <c r="G4387" s="37" t="n"/>
      <c r="H4387" s="37" t="n"/>
      <c r="I4387" s="37" t="n"/>
      <c r="J4387" s="40" t="str">
        <f>IF(OR(C4387="",NOT(ISNUMBER(E4387))),"",IFERROR(E4387*N(INDEX(art_price,MATCH(C4387,art_ref,0))),""))</f>
        <v/>
      </c>
      <c r="K4387" s="39" t="str">
        <f>IF(OR(C4387="",NOT(ISNUMBER(E4387))),"",IFERROR(ROUND(N(INDEX(art_init,MATCH(C4387,art_ref,0)))+SUMIFS($E$5:E4387,$C$5:C4387,C4387,$B$5:B4387,"Entrée")-SUMIFS($E$5:E4387,$C$5:C4387,C4387,$B$5:B4387,"Sortie"),6),""))</f>
        <v/>
      </c>
      <c r="L4387" s="39" t="str">
        <f>IF(COUNTA(A4387:C4387,E4387)=0,"",IF(COUNTA(A4387:C4387,E4387)&lt;4,"Ligne incomplète",IF(NOT(ISNUMBER(A4387)),"Date invalide",IF(AND(B4387&lt;&gt;"Entrée",B4387&lt;&gt;"Sortie"),"Type inconnu",IF(ISNA(MATCH(C4387,art_ref,0)),"Référence inconnue",IF(OR(NOT(ISNUMBER(E4387)),N(E4387)&lt;=0),"Quantité invalide",IF(K4387&lt;0,"Stock négatif",IF(AND(ISNUMBER(A4386),A4387&lt;A4386),"Date hors ordre","OK"))))))))</f>
        <v/>
      </c>
      <c r="M4387" s="39" t="str">
        <f>IF(C4387="","",C4387&amp;"#"&amp;COUNTIF($C$5:C4387,C4387))</f>
        <v/>
      </c>
    </row>
    <row r="4388">
      <c r="A4388" s="41" t="n"/>
      <c r="B4388" s="37" t="n"/>
      <c r="C4388" s="37" t="n"/>
      <c r="D4388" s="39" t="str">
        <f>IF(C4388="","",IFERROR(INDEX(art_des,MATCH(C4388,art_ref,0))&amp;"","Référence inconnue"))</f>
        <v/>
      </c>
      <c r="E4388" s="37" t="n"/>
      <c r="F4388" s="39" t="str">
        <f>IF(C4388="","",IFERROR(INDEX(art_unit,MATCH(C4388,art_ref,0))&amp;"",""))</f>
        <v/>
      </c>
      <c r="G4388" s="37" t="n"/>
      <c r="H4388" s="37" t="n"/>
      <c r="I4388" s="37" t="n"/>
      <c r="J4388" s="40" t="str">
        <f>IF(OR(C4388="",NOT(ISNUMBER(E4388))),"",IFERROR(E4388*N(INDEX(art_price,MATCH(C4388,art_ref,0))),""))</f>
        <v/>
      </c>
      <c r="K4388" s="39" t="str">
        <f>IF(OR(C4388="",NOT(ISNUMBER(E4388))),"",IFERROR(ROUND(N(INDEX(art_init,MATCH(C4388,art_ref,0)))+SUMIFS($E$5:E4388,$C$5:C4388,C4388,$B$5:B4388,"Entrée")-SUMIFS($E$5:E4388,$C$5:C4388,C4388,$B$5:B4388,"Sortie"),6),""))</f>
        <v/>
      </c>
      <c r="L4388" s="39" t="str">
        <f>IF(COUNTA(A4388:C4388,E4388)=0,"",IF(COUNTA(A4388:C4388,E4388)&lt;4,"Ligne incomplète",IF(NOT(ISNUMBER(A4388)),"Date invalide",IF(AND(B4388&lt;&gt;"Entrée",B4388&lt;&gt;"Sortie"),"Type inconnu",IF(ISNA(MATCH(C4388,art_ref,0)),"Référence inconnue",IF(OR(NOT(ISNUMBER(E4388)),N(E4388)&lt;=0),"Quantité invalide",IF(K4388&lt;0,"Stock négatif",IF(AND(ISNUMBER(A4387),A4388&lt;A4387),"Date hors ordre","OK"))))))))</f>
        <v/>
      </c>
      <c r="M4388" s="39" t="str">
        <f>IF(C4388="","",C4388&amp;"#"&amp;COUNTIF($C$5:C4388,C4388))</f>
        <v/>
      </c>
    </row>
    <row r="4389">
      <c r="A4389" s="41" t="n"/>
      <c r="B4389" s="37" t="n"/>
      <c r="C4389" s="37" t="n"/>
      <c r="D4389" s="39" t="str">
        <f>IF(C4389="","",IFERROR(INDEX(art_des,MATCH(C4389,art_ref,0))&amp;"","Référence inconnue"))</f>
        <v/>
      </c>
      <c r="E4389" s="37" t="n"/>
      <c r="F4389" s="39" t="str">
        <f>IF(C4389="","",IFERROR(INDEX(art_unit,MATCH(C4389,art_ref,0))&amp;"",""))</f>
        <v/>
      </c>
      <c r="G4389" s="37" t="n"/>
      <c r="H4389" s="37" t="n"/>
      <c r="I4389" s="37" t="n"/>
      <c r="J4389" s="40" t="str">
        <f>IF(OR(C4389="",NOT(ISNUMBER(E4389))),"",IFERROR(E4389*N(INDEX(art_price,MATCH(C4389,art_ref,0))),""))</f>
        <v/>
      </c>
      <c r="K4389" s="39" t="str">
        <f>IF(OR(C4389="",NOT(ISNUMBER(E4389))),"",IFERROR(ROUND(N(INDEX(art_init,MATCH(C4389,art_ref,0)))+SUMIFS($E$5:E4389,$C$5:C4389,C4389,$B$5:B4389,"Entrée")-SUMIFS($E$5:E4389,$C$5:C4389,C4389,$B$5:B4389,"Sortie"),6),""))</f>
        <v/>
      </c>
      <c r="L4389" s="39" t="str">
        <f>IF(COUNTA(A4389:C4389,E4389)=0,"",IF(COUNTA(A4389:C4389,E4389)&lt;4,"Ligne incomplète",IF(NOT(ISNUMBER(A4389)),"Date invalide",IF(AND(B4389&lt;&gt;"Entrée",B4389&lt;&gt;"Sortie"),"Type inconnu",IF(ISNA(MATCH(C4389,art_ref,0)),"Référence inconnue",IF(OR(NOT(ISNUMBER(E4389)),N(E4389)&lt;=0),"Quantité invalide",IF(K4389&lt;0,"Stock négatif",IF(AND(ISNUMBER(A4388),A4389&lt;A4388),"Date hors ordre","OK"))))))))</f>
        <v/>
      </c>
      <c r="M4389" s="39" t="str">
        <f>IF(C4389="","",C4389&amp;"#"&amp;COUNTIF($C$5:C4389,C4389))</f>
        <v/>
      </c>
    </row>
    <row r="4390">
      <c r="A4390" s="41" t="n"/>
      <c r="B4390" s="37" t="n"/>
      <c r="C4390" s="37" t="n"/>
      <c r="D4390" s="39" t="str">
        <f>IF(C4390="","",IFERROR(INDEX(art_des,MATCH(C4390,art_ref,0))&amp;"","Référence inconnue"))</f>
        <v/>
      </c>
      <c r="E4390" s="37" t="n"/>
      <c r="F4390" s="39" t="str">
        <f>IF(C4390="","",IFERROR(INDEX(art_unit,MATCH(C4390,art_ref,0))&amp;"",""))</f>
        <v/>
      </c>
      <c r="G4390" s="37" t="n"/>
      <c r="H4390" s="37" t="n"/>
      <c r="I4390" s="37" t="n"/>
      <c r="J4390" s="40" t="str">
        <f>IF(OR(C4390="",NOT(ISNUMBER(E4390))),"",IFERROR(E4390*N(INDEX(art_price,MATCH(C4390,art_ref,0))),""))</f>
        <v/>
      </c>
      <c r="K4390" s="39" t="str">
        <f>IF(OR(C4390="",NOT(ISNUMBER(E4390))),"",IFERROR(ROUND(N(INDEX(art_init,MATCH(C4390,art_ref,0)))+SUMIFS($E$5:E4390,$C$5:C4390,C4390,$B$5:B4390,"Entrée")-SUMIFS($E$5:E4390,$C$5:C4390,C4390,$B$5:B4390,"Sortie"),6),""))</f>
        <v/>
      </c>
      <c r="L4390" s="39" t="str">
        <f>IF(COUNTA(A4390:C4390,E4390)=0,"",IF(COUNTA(A4390:C4390,E4390)&lt;4,"Ligne incomplète",IF(NOT(ISNUMBER(A4390)),"Date invalide",IF(AND(B4390&lt;&gt;"Entrée",B4390&lt;&gt;"Sortie"),"Type inconnu",IF(ISNA(MATCH(C4390,art_ref,0)),"Référence inconnue",IF(OR(NOT(ISNUMBER(E4390)),N(E4390)&lt;=0),"Quantité invalide",IF(K4390&lt;0,"Stock négatif",IF(AND(ISNUMBER(A4389),A4390&lt;A4389),"Date hors ordre","OK"))))))))</f>
        <v/>
      </c>
      <c r="M4390" s="39" t="str">
        <f>IF(C4390="","",C4390&amp;"#"&amp;COUNTIF($C$5:C4390,C4390))</f>
        <v/>
      </c>
    </row>
    <row r="4391">
      <c r="A4391" s="41" t="n"/>
      <c r="B4391" s="37" t="n"/>
      <c r="C4391" s="37" t="n"/>
      <c r="D4391" s="39" t="str">
        <f>IF(C4391="","",IFERROR(INDEX(art_des,MATCH(C4391,art_ref,0))&amp;"","Référence inconnue"))</f>
        <v/>
      </c>
      <c r="E4391" s="37" t="n"/>
      <c r="F4391" s="39" t="str">
        <f>IF(C4391="","",IFERROR(INDEX(art_unit,MATCH(C4391,art_ref,0))&amp;"",""))</f>
        <v/>
      </c>
      <c r="G4391" s="37" t="n"/>
      <c r="H4391" s="37" t="n"/>
      <c r="I4391" s="37" t="n"/>
      <c r="J4391" s="40" t="str">
        <f>IF(OR(C4391="",NOT(ISNUMBER(E4391))),"",IFERROR(E4391*N(INDEX(art_price,MATCH(C4391,art_ref,0))),""))</f>
        <v/>
      </c>
      <c r="K4391" s="39" t="str">
        <f>IF(OR(C4391="",NOT(ISNUMBER(E4391))),"",IFERROR(ROUND(N(INDEX(art_init,MATCH(C4391,art_ref,0)))+SUMIFS($E$5:E4391,$C$5:C4391,C4391,$B$5:B4391,"Entrée")-SUMIFS($E$5:E4391,$C$5:C4391,C4391,$B$5:B4391,"Sortie"),6),""))</f>
        <v/>
      </c>
      <c r="L4391" s="39" t="str">
        <f>IF(COUNTA(A4391:C4391,E4391)=0,"",IF(COUNTA(A4391:C4391,E4391)&lt;4,"Ligne incomplète",IF(NOT(ISNUMBER(A4391)),"Date invalide",IF(AND(B4391&lt;&gt;"Entrée",B4391&lt;&gt;"Sortie"),"Type inconnu",IF(ISNA(MATCH(C4391,art_ref,0)),"Référence inconnue",IF(OR(NOT(ISNUMBER(E4391)),N(E4391)&lt;=0),"Quantité invalide",IF(K4391&lt;0,"Stock négatif",IF(AND(ISNUMBER(A4390),A4391&lt;A4390),"Date hors ordre","OK"))))))))</f>
        <v/>
      </c>
      <c r="M4391" s="39" t="str">
        <f>IF(C4391="","",C4391&amp;"#"&amp;COUNTIF($C$5:C4391,C4391))</f>
        <v/>
      </c>
    </row>
    <row r="4392">
      <c r="A4392" s="41" t="n"/>
      <c r="B4392" s="37" t="n"/>
      <c r="C4392" s="37" t="n"/>
      <c r="D4392" s="39" t="str">
        <f>IF(C4392="","",IFERROR(INDEX(art_des,MATCH(C4392,art_ref,0))&amp;"","Référence inconnue"))</f>
        <v/>
      </c>
      <c r="E4392" s="37" t="n"/>
      <c r="F4392" s="39" t="str">
        <f>IF(C4392="","",IFERROR(INDEX(art_unit,MATCH(C4392,art_ref,0))&amp;"",""))</f>
        <v/>
      </c>
      <c r="G4392" s="37" t="n"/>
      <c r="H4392" s="37" t="n"/>
      <c r="I4392" s="37" t="n"/>
      <c r="J4392" s="40" t="str">
        <f>IF(OR(C4392="",NOT(ISNUMBER(E4392))),"",IFERROR(E4392*N(INDEX(art_price,MATCH(C4392,art_ref,0))),""))</f>
        <v/>
      </c>
      <c r="K4392" s="39" t="str">
        <f>IF(OR(C4392="",NOT(ISNUMBER(E4392))),"",IFERROR(ROUND(N(INDEX(art_init,MATCH(C4392,art_ref,0)))+SUMIFS($E$5:E4392,$C$5:C4392,C4392,$B$5:B4392,"Entrée")-SUMIFS($E$5:E4392,$C$5:C4392,C4392,$B$5:B4392,"Sortie"),6),""))</f>
        <v/>
      </c>
      <c r="L4392" s="39" t="str">
        <f>IF(COUNTA(A4392:C4392,E4392)=0,"",IF(COUNTA(A4392:C4392,E4392)&lt;4,"Ligne incomplète",IF(NOT(ISNUMBER(A4392)),"Date invalide",IF(AND(B4392&lt;&gt;"Entrée",B4392&lt;&gt;"Sortie"),"Type inconnu",IF(ISNA(MATCH(C4392,art_ref,0)),"Référence inconnue",IF(OR(NOT(ISNUMBER(E4392)),N(E4392)&lt;=0),"Quantité invalide",IF(K4392&lt;0,"Stock négatif",IF(AND(ISNUMBER(A4391),A4392&lt;A4391),"Date hors ordre","OK"))))))))</f>
        <v/>
      </c>
      <c r="M4392" s="39" t="str">
        <f>IF(C4392="","",C4392&amp;"#"&amp;COUNTIF($C$5:C4392,C4392))</f>
        <v/>
      </c>
    </row>
    <row r="4393">
      <c r="A4393" s="41" t="n"/>
      <c r="B4393" s="37" t="n"/>
      <c r="C4393" s="37" t="n"/>
      <c r="D4393" s="39" t="str">
        <f>IF(C4393="","",IFERROR(INDEX(art_des,MATCH(C4393,art_ref,0))&amp;"","Référence inconnue"))</f>
        <v/>
      </c>
      <c r="E4393" s="37" t="n"/>
      <c r="F4393" s="39" t="str">
        <f>IF(C4393="","",IFERROR(INDEX(art_unit,MATCH(C4393,art_ref,0))&amp;"",""))</f>
        <v/>
      </c>
      <c r="G4393" s="37" t="n"/>
      <c r="H4393" s="37" t="n"/>
      <c r="I4393" s="37" t="n"/>
      <c r="J4393" s="40" t="str">
        <f>IF(OR(C4393="",NOT(ISNUMBER(E4393))),"",IFERROR(E4393*N(INDEX(art_price,MATCH(C4393,art_ref,0))),""))</f>
        <v/>
      </c>
      <c r="K4393" s="39" t="str">
        <f>IF(OR(C4393="",NOT(ISNUMBER(E4393))),"",IFERROR(ROUND(N(INDEX(art_init,MATCH(C4393,art_ref,0)))+SUMIFS($E$5:E4393,$C$5:C4393,C4393,$B$5:B4393,"Entrée")-SUMIFS($E$5:E4393,$C$5:C4393,C4393,$B$5:B4393,"Sortie"),6),""))</f>
        <v/>
      </c>
      <c r="L4393" s="39" t="str">
        <f>IF(COUNTA(A4393:C4393,E4393)=0,"",IF(COUNTA(A4393:C4393,E4393)&lt;4,"Ligne incomplète",IF(NOT(ISNUMBER(A4393)),"Date invalide",IF(AND(B4393&lt;&gt;"Entrée",B4393&lt;&gt;"Sortie"),"Type inconnu",IF(ISNA(MATCH(C4393,art_ref,0)),"Référence inconnue",IF(OR(NOT(ISNUMBER(E4393)),N(E4393)&lt;=0),"Quantité invalide",IF(K4393&lt;0,"Stock négatif",IF(AND(ISNUMBER(A4392),A4393&lt;A4392),"Date hors ordre","OK"))))))))</f>
        <v/>
      </c>
      <c r="M4393" s="39" t="str">
        <f>IF(C4393="","",C4393&amp;"#"&amp;COUNTIF($C$5:C4393,C4393))</f>
        <v/>
      </c>
    </row>
    <row r="4394">
      <c r="A4394" s="41" t="n"/>
      <c r="B4394" s="37" t="n"/>
      <c r="C4394" s="37" t="n"/>
      <c r="D4394" s="39" t="str">
        <f>IF(C4394="","",IFERROR(INDEX(art_des,MATCH(C4394,art_ref,0))&amp;"","Référence inconnue"))</f>
        <v/>
      </c>
      <c r="E4394" s="37" t="n"/>
      <c r="F4394" s="39" t="str">
        <f>IF(C4394="","",IFERROR(INDEX(art_unit,MATCH(C4394,art_ref,0))&amp;"",""))</f>
        <v/>
      </c>
      <c r="G4394" s="37" t="n"/>
      <c r="H4394" s="37" t="n"/>
      <c r="I4394" s="37" t="n"/>
      <c r="J4394" s="40" t="str">
        <f>IF(OR(C4394="",NOT(ISNUMBER(E4394))),"",IFERROR(E4394*N(INDEX(art_price,MATCH(C4394,art_ref,0))),""))</f>
        <v/>
      </c>
      <c r="K4394" s="39" t="str">
        <f>IF(OR(C4394="",NOT(ISNUMBER(E4394))),"",IFERROR(ROUND(N(INDEX(art_init,MATCH(C4394,art_ref,0)))+SUMIFS($E$5:E4394,$C$5:C4394,C4394,$B$5:B4394,"Entrée")-SUMIFS($E$5:E4394,$C$5:C4394,C4394,$B$5:B4394,"Sortie"),6),""))</f>
        <v/>
      </c>
      <c r="L4394" s="39" t="str">
        <f>IF(COUNTA(A4394:C4394,E4394)=0,"",IF(COUNTA(A4394:C4394,E4394)&lt;4,"Ligne incomplète",IF(NOT(ISNUMBER(A4394)),"Date invalide",IF(AND(B4394&lt;&gt;"Entrée",B4394&lt;&gt;"Sortie"),"Type inconnu",IF(ISNA(MATCH(C4394,art_ref,0)),"Référence inconnue",IF(OR(NOT(ISNUMBER(E4394)),N(E4394)&lt;=0),"Quantité invalide",IF(K4394&lt;0,"Stock négatif",IF(AND(ISNUMBER(A4393),A4394&lt;A4393),"Date hors ordre","OK"))))))))</f>
        <v/>
      </c>
      <c r="M4394" s="39" t="str">
        <f>IF(C4394="","",C4394&amp;"#"&amp;COUNTIF($C$5:C4394,C4394))</f>
        <v/>
      </c>
    </row>
    <row r="4395">
      <c r="A4395" s="41" t="n"/>
      <c r="B4395" s="37" t="n"/>
      <c r="C4395" s="37" t="n"/>
      <c r="D4395" s="39" t="str">
        <f>IF(C4395="","",IFERROR(INDEX(art_des,MATCH(C4395,art_ref,0))&amp;"","Référence inconnue"))</f>
        <v/>
      </c>
      <c r="E4395" s="37" t="n"/>
      <c r="F4395" s="39" t="str">
        <f>IF(C4395="","",IFERROR(INDEX(art_unit,MATCH(C4395,art_ref,0))&amp;"",""))</f>
        <v/>
      </c>
      <c r="G4395" s="37" t="n"/>
      <c r="H4395" s="37" t="n"/>
      <c r="I4395" s="37" t="n"/>
      <c r="J4395" s="40" t="str">
        <f>IF(OR(C4395="",NOT(ISNUMBER(E4395))),"",IFERROR(E4395*N(INDEX(art_price,MATCH(C4395,art_ref,0))),""))</f>
        <v/>
      </c>
      <c r="K4395" s="39" t="str">
        <f>IF(OR(C4395="",NOT(ISNUMBER(E4395))),"",IFERROR(ROUND(N(INDEX(art_init,MATCH(C4395,art_ref,0)))+SUMIFS($E$5:E4395,$C$5:C4395,C4395,$B$5:B4395,"Entrée")-SUMIFS($E$5:E4395,$C$5:C4395,C4395,$B$5:B4395,"Sortie"),6),""))</f>
        <v/>
      </c>
      <c r="L4395" s="39" t="str">
        <f>IF(COUNTA(A4395:C4395,E4395)=0,"",IF(COUNTA(A4395:C4395,E4395)&lt;4,"Ligne incomplète",IF(NOT(ISNUMBER(A4395)),"Date invalide",IF(AND(B4395&lt;&gt;"Entrée",B4395&lt;&gt;"Sortie"),"Type inconnu",IF(ISNA(MATCH(C4395,art_ref,0)),"Référence inconnue",IF(OR(NOT(ISNUMBER(E4395)),N(E4395)&lt;=0),"Quantité invalide",IF(K4395&lt;0,"Stock négatif",IF(AND(ISNUMBER(A4394),A4395&lt;A4394),"Date hors ordre","OK"))))))))</f>
        <v/>
      </c>
      <c r="M4395" s="39" t="str">
        <f>IF(C4395="","",C4395&amp;"#"&amp;COUNTIF($C$5:C4395,C4395))</f>
        <v/>
      </c>
    </row>
    <row r="4396">
      <c r="A4396" s="41" t="n"/>
      <c r="B4396" s="37" t="n"/>
      <c r="C4396" s="37" t="n"/>
      <c r="D4396" s="39" t="str">
        <f>IF(C4396="","",IFERROR(INDEX(art_des,MATCH(C4396,art_ref,0))&amp;"","Référence inconnue"))</f>
        <v/>
      </c>
      <c r="E4396" s="37" t="n"/>
      <c r="F4396" s="39" t="str">
        <f>IF(C4396="","",IFERROR(INDEX(art_unit,MATCH(C4396,art_ref,0))&amp;"",""))</f>
        <v/>
      </c>
      <c r="G4396" s="37" t="n"/>
      <c r="H4396" s="37" t="n"/>
      <c r="I4396" s="37" t="n"/>
      <c r="J4396" s="40" t="str">
        <f>IF(OR(C4396="",NOT(ISNUMBER(E4396))),"",IFERROR(E4396*N(INDEX(art_price,MATCH(C4396,art_ref,0))),""))</f>
        <v/>
      </c>
      <c r="K4396" s="39" t="str">
        <f>IF(OR(C4396="",NOT(ISNUMBER(E4396))),"",IFERROR(ROUND(N(INDEX(art_init,MATCH(C4396,art_ref,0)))+SUMIFS($E$5:E4396,$C$5:C4396,C4396,$B$5:B4396,"Entrée")-SUMIFS($E$5:E4396,$C$5:C4396,C4396,$B$5:B4396,"Sortie"),6),""))</f>
        <v/>
      </c>
      <c r="L4396" s="39" t="str">
        <f>IF(COUNTA(A4396:C4396,E4396)=0,"",IF(COUNTA(A4396:C4396,E4396)&lt;4,"Ligne incomplète",IF(NOT(ISNUMBER(A4396)),"Date invalide",IF(AND(B4396&lt;&gt;"Entrée",B4396&lt;&gt;"Sortie"),"Type inconnu",IF(ISNA(MATCH(C4396,art_ref,0)),"Référence inconnue",IF(OR(NOT(ISNUMBER(E4396)),N(E4396)&lt;=0),"Quantité invalide",IF(K4396&lt;0,"Stock négatif",IF(AND(ISNUMBER(A4395),A4396&lt;A4395),"Date hors ordre","OK"))))))))</f>
        <v/>
      </c>
      <c r="M4396" s="39" t="str">
        <f>IF(C4396="","",C4396&amp;"#"&amp;COUNTIF($C$5:C4396,C4396))</f>
        <v/>
      </c>
    </row>
    <row r="4397">
      <c r="A4397" s="41" t="n"/>
      <c r="B4397" s="37" t="n"/>
      <c r="C4397" s="37" t="n"/>
      <c r="D4397" s="39" t="str">
        <f>IF(C4397="","",IFERROR(INDEX(art_des,MATCH(C4397,art_ref,0))&amp;"","Référence inconnue"))</f>
        <v/>
      </c>
      <c r="E4397" s="37" t="n"/>
      <c r="F4397" s="39" t="str">
        <f>IF(C4397="","",IFERROR(INDEX(art_unit,MATCH(C4397,art_ref,0))&amp;"",""))</f>
        <v/>
      </c>
      <c r="G4397" s="37" t="n"/>
      <c r="H4397" s="37" t="n"/>
      <c r="I4397" s="37" t="n"/>
      <c r="J4397" s="40" t="str">
        <f>IF(OR(C4397="",NOT(ISNUMBER(E4397))),"",IFERROR(E4397*N(INDEX(art_price,MATCH(C4397,art_ref,0))),""))</f>
        <v/>
      </c>
      <c r="K4397" s="39" t="str">
        <f>IF(OR(C4397="",NOT(ISNUMBER(E4397))),"",IFERROR(ROUND(N(INDEX(art_init,MATCH(C4397,art_ref,0)))+SUMIFS($E$5:E4397,$C$5:C4397,C4397,$B$5:B4397,"Entrée")-SUMIFS($E$5:E4397,$C$5:C4397,C4397,$B$5:B4397,"Sortie"),6),""))</f>
        <v/>
      </c>
      <c r="L4397" s="39" t="str">
        <f>IF(COUNTA(A4397:C4397,E4397)=0,"",IF(COUNTA(A4397:C4397,E4397)&lt;4,"Ligne incomplète",IF(NOT(ISNUMBER(A4397)),"Date invalide",IF(AND(B4397&lt;&gt;"Entrée",B4397&lt;&gt;"Sortie"),"Type inconnu",IF(ISNA(MATCH(C4397,art_ref,0)),"Référence inconnue",IF(OR(NOT(ISNUMBER(E4397)),N(E4397)&lt;=0),"Quantité invalide",IF(K4397&lt;0,"Stock négatif",IF(AND(ISNUMBER(A4396),A4397&lt;A4396),"Date hors ordre","OK"))))))))</f>
        <v/>
      </c>
      <c r="M4397" s="39" t="str">
        <f>IF(C4397="","",C4397&amp;"#"&amp;COUNTIF($C$5:C4397,C4397))</f>
        <v/>
      </c>
    </row>
    <row r="4398">
      <c r="A4398" s="41" t="n"/>
      <c r="B4398" s="37" t="n"/>
      <c r="C4398" s="37" t="n"/>
      <c r="D4398" s="39" t="str">
        <f>IF(C4398="","",IFERROR(INDEX(art_des,MATCH(C4398,art_ref,0))&amp;"","Référence inconnue"))</f>
        <v/>
      </c>
      <c r="E4398" s="37" t="n"/>
      <c r="F4398" s="39" t="str">
        <f>IF(C4398="","",IFERROR(INDEX(art_unit,MATCH(C4398,art_ref,0))&amp;"",""))</f>
        <v/>
      </c>
      <c r="G4398" s="37" t="n"/>
      <c r="H4398" s="37" t="n"/>
      <c r="I4398" s="37" t="n"/>
      <c r="J4398" s="40" t="str">
        <f>IF(OR(C4398="",NOT(ISNUMBER(E4398))),"",IFERROR(E4398*N(INDEX(art_price,MATCH(C4398,art_ref,0))),""))</f>
        <v/>
      </c>
      <c r="K4398" s="39" t="str">
        <f>IF(OR(C4398="",NOT(ISNUMBER(E4398))),"",IFERROR(ROUND(N(INDEX(art_init,MATCH(C4398,art_ref,0)))+SUMIFS($E$5:E4398,$C$5:C4398,C4398,$B$5:B4398,"Entrée")-SUMIFS($E$5:E4398,$C$5:C4398,C4398,$B$5:B4398,"Sortie"),6),""))</f>
        <v/>
      </c>
      <c r="L4398" s="39" t="str">
        <f>IF(COUNTA(A4398:C4398,E4398)=0,"",IF(COUNTA(A4398:C4398,E4398)&lt;4,"Ligne incomplète",IF(NOT(ISNUMBER(A4398)),"Date invalide",IF(AND(B4398&lt;&gt;"Entrée",B4398&lt;&gt;"Sortie"),"Type inconnu",IF(ISNA(MATCH(C4398,art_ref,0)),"Référence inconnue",IF(OR(NOT(ISNUMBER(E4398)),N(E4398)&lt;=0),"Quantité invalide",IF(K4398&lt;0,"Stock négatif",IF(AND(ISNUMBER(A4397),A4398&lt;A4397),"Date hors ordre","OK"))))))))</f>
        <v/>
      </c>
      <c r="M4398" s="39" t="str">
        <f>IF(C4398="","",C4398&amp;"#"&amp;COUNTIF($C$5:C4398,C4398))</f>
        <v/>
      </c>
    </row>
    <row r="4399">
      <c r="A4399" s="41" t="n"/>
      <c r="B4399" s="37" t="n"/>
      <c r="C4399" s="37" t="n"/>
      <c r="D4399" s="39" t="str">
        <f>IF(C4399="","",IFERROR(INDEX(art_des,MATCH(C4399,art_ref,0))&amp;"","Référence inconnue"))</f>
        <v/>
      </c>
      <c r="E4399" s="37" t="n"/>
      <c r="F4399" s="39" t="str">
        <f>IF(C4399="","",IFERROR(INDEX(art_unit,MATCH(C4399,art_ref,0))&amp;"",""))</f>
        <v/>
      </c>
      <c r="G4399" s="37" t="n"/>
      <c r="H4399" s="37" t="n"/>
      <c r="I4399" s="37" t="n"/>
      <c r="J4399" s="40" t="str">
        <f>IF(OR(C4399="",NOT(ISNUMBER(E4399))),"",IFERROR(E4399*N(INDEX(art_price,MATCH(C4399,art_ref,0))),""))</f>
        <v/>
      </c>
      <c r="K4399" s="39" t="str">
        <f>IF(OR(C4399="",NOT(ISNUMBER(E4399))),"",IFERROR(ROUND(N(INDEX(art_init,MATCH(C4399,art_ref,0)))+SUMIFS($E$5:E4399,$C$5:C4399,C4399,$B$5:B4399,"Entrée")-SUMIFS($E$5:E4399,$C$5:C4399,C4399,$B$5:B4399,"Sortie"),6),""))</f>
        <v/>
      </c>
      <c r="L4399" s="39" t="str">
        <f>IF(COUNTA(A4399:C4399,E4399)=0,"",IF(COUNTA(A4399:C4399,E4399)&lt;4,"Ligne incomplète",IF(NOT(ISNUMBER(A4399)),"Date invalide",IF(AND(B4399&lt;&gt;"Entrée",B4399&lt;&gt;"Sortie"),"Type inconnu",IF(ISNA(MATCH(C4399,art_ref,0)),"Référence inconnue",IF(OR(NOT(ISNUMBER(E4399)),N(E4399)&lt;=0),"Quantité invalide",IF(K4399&lt;0,"Stock négatif",IF(AND(ISNUMBER(A4398),A4399&lt;A4398),"Date hors ordre","OK"))))))))</f>
        <v/>
      </c>
      <c r="M4399" s="39" t="str">
        <f>IF(C4399="","",C4399&amp;"#"&amp;COUNTIF($C$5:C4399,C4399))</f>
        <v/>
      </c>
    </row>
    <row r="4400">
      <c r="A4400" s="41" t="n"/>
      <c r="B4400" s="37" t="n"/>
      <c r="C4400" s="37" t="n"/>
      <c r="D4400" s="39" t="str">
        <f>IF(C4400="","",IFERROR(INDEX(art_des,MATCH(C4400,art_ref,0))&amp;"","Référence inconnue"))</f>
        <v/>
      </c>
      <c r="E4400" s="37" t="n"/>
      <c r="F4400" s="39" t="str">
        <f>IF(C4400="","",IFERROR(INDEX(art_unit,MATCH(C4400,art_ref,0))&amp;"",""))</f>
        <v/>
      </c>
      <c r="G4400" s="37" t="n"/>
      <c r="H4400" s="37" t="n"/>
      <c r="I4400" s="37" t="n"/>
      <c r="J4400" s="40" t="str">
        <f>IF(OR(C4400="",NOT(ISNUMBER(E4400))),"",IFERROR(E4400*N(INDEX(art_price,MATCH(C4400,art_ref,0))),""))</f>
        <v/>
      </c>
      <c r="K4400" s="39" t="str">
        <f>IF(OR(C4400="",NOT(ISNUMBER(E4400))),"",IFERROR(ROUND(N(INDEX(art_init,MATCH(C4400,art_ref,0)))+SUMIFS($E$5:E4400,$C$5:C4400,C4400,$B$5:B4400,"Entrée")-SUMIFS($E$5:E4400,$C$5:C4400,C4400,$B$5:B4400,"Sortie"),6),""))</f>
        <v/>
      </c>
      <c r="L4400" s="39" t="str">
        <f>IF(COUNTA(A4400:C4400,E4400)=0,"",IF(COUNTA(A4400:C4400,E4400)&lt;4,"Ligne incomplète",IF(NOT(ISNUMBER(A4400)),"Date invalide",IF(AND(B4400&lt;&gt;"Entrée",B4400&lt;&gt;"Sortie"),"Type inconnu",IF(ISNA(MATCH(C4400,art_ref,0)),"Référence inconnue",IF(OR(NOT(ISNUMBER(E4400)),N(E4400)&lt;=0),"Quantité invalide",IF(K4400&lt;0,"Stock négatif",IF(AND(ISNUMBER(A4399),A4400&lt;A4399),"Date hors ordre","OK"))))))))</f>
        <v/>
      </c>
      <c r="M4400" s="39" t="str">
        <f>IF(C4400="","",C4400&amp;"#"&amp;COUNTIF($C$5:C4400,C4400))</f>
        <v/>
      </c>
    </row>
    <row r="4401">
      <c r="A4401" s="41" t="n"/>
      <c r="B4401" s="37" t="n"/>
      <c r="C4401" s="37" t="n"/>
      <c r="D4401" s="39" t="str">
        <f>IF(C4401="","",IFERROR(INDEX(art_des,MATCH(C4401,art_ref,0))&amp;"","Référence inconnue"))</f>
        <v/>
      </c>
      <c r="E4401" s="37" t="n"/>
      <c r="F4401" s="39" t="str">
        <f>IF(C4401="","",IFERROR(INDEX(art_unit,MATCH(C4401,art_ref,0))&amp;"",""))</f>
        <v/>
      </c>
      <c r="G4401" s="37" t="n"/>
      <c r="H4401" s="37" t="n"/>
      <c r="I4401" s="37" t="n"/>
      <c r="J4401" s="40" t="str">
        <f>IF(OR(C4401="",NOT(ISNUMBER(E4401))),"",IFERROR(E4401*N(INDEX(art_price,MATCH(C4401,art_ref,0))),""))</f>
        <v/>
      </c>
      <c r="K4401" s="39" t="str">
        <f>IF(OR(C4401="",NOT(ISNUMBER(E4401))),"",IFERROR(ROUND(N(INDEX(art_init,MATCH(C4401,art_ref,0)))+SUMIFS($E$5:E4401,$C$5:C4401,C4401,$B$5:B4401,"Entrée")-SUMIFS($E$5:E4401,$C$5:C4401,C4401,$B$5:B4401,"Sortie"),6),""))</f>
        <v/>
      </c>
      <c r="L4401" s="39" t="str">
        <f>IF(COUNTA(A4401:C4401,E4401)=0,"",IF(COUNTA(A4401:C4401,E4401)&lt;4,"Ligne incomplète",IF(NOT(ISNUMBER(A4401)),"Date invalide",IF(AND(B4401&lt;&gt;"Entrée",B4401&lt;&gt;"Sortie"),"Type inconnu",IF(ISNA(MATCH(C4401,art_ref,0)),"Référence inconnue",IF(OR(NOT(ISNUMBER(E4401)),N(E4401)&lt;=0),"Quantité invalide",IF(K4401&lt;0,"Stock négatif",IF(AND(ISNUMBER(A4400),A4401&lt;A4400),"Date hors ordre","OK"))))))))</f>
        <v/>
      </c>
      <c r="M4401" s="39" t="str">
        <f>IF(C4401="","",C4401&amp;"#"&amp;COUNTIF($C$5:C4401,C4401))</f>
        <v/>
      </c>
    </row>
    <row r="4402">
      <c r="A4402" s="41" t="n"/>
      <c r="B4402" s="37" t="n"/>
      <c r="C4402" s="37" t="n"/>
      <c r="D4402" s="39" t="str">
        <f>IF(C4402="","",IFERROR(INDEX(art_des,MATCH(C4402,art_ref,0))&amp;"","Référence inconnue"))</f>
        <v/>
      </c>
      <c r="E4402" s="37" t="n"/>
      <c r="F4402" s="39" t="str">
        <f>IF(C4402="","",IFERROR(INDEX(art_unit,MATCH(C4402,art_ref,0))&amp;"",""))</f>
        <v/>
      </c>
      <c r="G4402" s="37" t="n"/>
      <c r="H4402" s="37" t="n"/>
      <c r="I4402" s="37" t="n"/>
      <c r="J4402" s="40" t="str">
        <f>IF(OR(C4402="",NOT(ISNUMBER(E4402))),"",IFERROR(E4402*N(INDEX(art_price,MATCH(C4402,art_ref,0))),""))</f>
        <v/>
      </c>
      <c r="K4402" s="39" t="str">
        <f>IF(OR(C4402="",NOT(ISNUMBER(E4402))),"",IFERROR(ROUND(N(INDEX(art_init,MATCH(C4402,art_ref,0)))+SUMIFS($E$5:E4402,$C$5:C4402,C4402,$B$5:B4402,"Entrée")-SUMIFS($E$5:E4402,$C$5:C4402,C4402,$B$5:B4402,"Sortie"),6),""))</f>
        <v/>
      </c>
      <c r="L4402" s="39" t="str">
        <f>IF(COUNTA(A4402:C4402,E4402)=0,"",IF(COUNTA(A4402:C4402,E4402)&lt;4,"Ligne incomplète",IF(NOT(ISNUMBER(A4402)),"Date invalide",IF(AND(B4402&lt;&gt;"Entrée",B4402&lt;&gt;"Sortie"),"Type inconnu",IF(ISNA(MATCH(C4402,art_ref,0)),"Référence inconnue",IF(OR(NOT(ISNUMBER(E4402)),N(E4402)&lt;=0),"Quantité invalide",IF(K4402&lt;0,"Stock négatif",IF(AND(ISNUMBER(A4401),A4402&lt;A4401),"Date hors ordre","OK"))))))))</f>
        <v/>
      </c>
      <c r="M4402" s="39" t="str">
        <f>IF(C4402="","",C4402&amp;"#"&amp;COUNTIF($C$5:C4402,C4402))</f>
        <v/>
      </c>
    </row>
    <row r="4403">
      <c r="A4403" s="41" t="n"/>
      <c r="B4403" s="37" t="n"/>
      <c r="C4403" s="37" t="n"/>
      <c r="D4403" s="39" t="str">
        <f>IF(C4403="","",IFERROR(INDEX(art_des,MATCH(C4403,art_ref,0))&amp;"","Référence inconnue"))</f>
        <v/>
      </c>
      <c r="E4403" s="37" t="n"/>
      <c r="F4403" s="39" t="str">
        <f>IF(C4403="","",IFERROR(INDEX(art_unit,MATCH(C4403,art_ref,0))&amp;"",""))</f>
        <v/>
      </c>
      <c r="G4403" s="37" t="n"/>
      <c r="H4403" s="37" t="n"/>
      <c r="I4403" s="37" t="n"/>
      <c r="J4403" s="40" t="str">
        <f>IF(OR(C4403="",NOT(ISNUMBER(E4403))),"",IFERROR(E4403*N(INDEX(art_price,MATCH(C4403,art_ref,0))),""))</f>
        <v/>
      </c>
      <c r="K4403" s="39" t="str">
        <f>IF(OR(C4403="",NOT(ISNUMBER(E4403))),"",IFERROR(ROUND(N(INDEX(art_init,MATCH(C4403,art_ref,0)))+SUMIFS($E$5:E4403,$C$5:C4403,C4403,$B$5:B4403,"Entrée")-SUMIFS($E$5:E4403,$C$5:C4403,C4403,$B$5:B4403,"Sortie"),6),""))</f>
        <v/>
      </c>
      <c r="L4403" s="39" t="str">
        <f>IF(COUNTA(A4403:C4403,E4403)=0,"",IF(COUNTA(A4403:C4403,E4403)&lt;4,"Ligne incomplète",IF(NOT(ISNUMBER(A4403)),"Date invalide",IF(AND(B4403&lt;&gt;"Entrée",B4403&lt;&gt;"Sortie"),"Type inconnu",IF(ISNA(MATCH(C4403,art_ref,0)),"Référence inconnue",IF(OR(NOT(ISNUMBER(E4403)),N(E4403)&lt;=0),"Quantité invalide",IF(K4403&lt;0,"Stock négatif",IF(AND(ISNUMBER(A4402),A4403&lt;A4402),"Date hors ordre","OK"))))))))</f>
        <v/>
      </c>
      <c r="M4403" s="39" t="str">
        <f>IF(C4403="","",C4403&amp;"#"&amp;COUNTIF($C$5:C4403,C4403))</f>
        <v/>
      </c>
    </row>
    <row r="4404">
      <c r="A4404" s="41" t="n"/>
      <c r="B4404" s="37" t="n"/>
      <c r="C4404" s="37" t="n"/>
      <c r="D4404" s="39" t="str">
        <f>IF(C4404="","",IFERROR(INDEX(art_des,MATCH(C4404,art_ref,0))&amp;"","Référence inconnue"))</f>
        <v/>
      </c>
      <c r="E4404" s="37" t="n"/>
      <c r="F4404" s="39" t="str">
        <f>IF(C4404="","",IFERROR(INDEX(art_unit,MATCH(C4404,art_ref,0))&amp;"",""))</f>
        <v/>
      </c>
      <c r="G4404" s="37" t="n"/>
      <c r="H4404" s="37" t="n"/>
      <c r="I4404" s="37" t="n"/>
      <c r="J4404" s="40" t="str">
        <f>IF(OR(C4404="",NOT(ISNUMBER(E4404))),"",IFERROR(E4404*N(INDEX(art_price,MATCH(C4404,art_ref,0))),""))</f>
        <v/>
      </c>
      <c r="K4404" s="39" t="str">
        <f>IF(OR(C4404="",NOT(ISNUMBER(E4404))),"",IFERROR(ROUND(N(INDEX(art_init,MATCH(C4404,art_ref,0)))+SUMIFS($E$5:E4404,$C$5:C4404,C4404,$B$5:B4404,"Entrée")-SUMIFS($E$5:E4404,$C$5:C4404,C4404,$B$5:B4404,"Sortie"),6),""))</f>
        <v/>
      </c>
      <c r="L4404" s="39" t="str">
        <f>IF(COUNTA(A4404:C4404,E4404)=0,"",IF(COUNTA(A4404:C4404,E4404)&lt;4,"Ligne incomplète",IF(NOT(ISNUMBER(A4404)),"Date invalide",IF(AND(B4404&lt;&gt;"Entrée",B4404&lt;&gt;"Sortie"),"Type inconnu",IF(ISNA(MATCH(C4404,art_ref,0)),"Référence inconnue",IF(OR(NOT(ISNUMBER(E4404)),N(E4404)&lt;=0),"Quantité invalide",IF(K4404&lt;0,"Stock négatif",IF(AND(ISNUMBER(A4403),A4404&lt;A4403),"Date hors ordre","OK"))))))))</f>
        <v/>
      </c>
      <c r="M4404" s="39" t="str">
        <f>IF(C4404="","",C4404&amp;"#"&amp;COUNTIF($C$5:C4404,C4404))</f>
        <v/>
      </c>
    </row>
    <row r="4405">
      <c r="A4405" s="41" t="n"/>
      <c r="B4405" s="37" t="n"/>
      <c r="C4405" s="37" t="n"/>
      <c r="D4405" s="39" t="str">
        <f>IF(C4405="","",IFERROR(INDEX(art_des,MATCH(C4405,art_ref,0))&amp;"","Référence inconnue"))</f>
        <v/>
      </c>
      <c r="E4405" s="37" t="n"/>
      <c r="F4405" s="39" t="str">
        <f>IF(C4405="","",IFERROR(INDEX(art_unit,MATCH(C4405,art_ref,0))&amp;"",""))</f>
        <v/>
      </c>
      <c r="G4405" s="37" t="n"/>
      <c r="H4405" s="37" t="n"/>
      <c r="I4405" s="37" t="n"/>
      <c r="J4405" s="40" t="str">
        <f>IF(OR(C4405="",NOT(ISNUMBER(E4405))),"",IFERROR(E4405*N(INDEX(art_price,MATCH(C4405,art_ref,0))),""))</f>
        <v/>
      </c>
      <c r="K4405" s="39" t="str">
        <f>IF(OR(C4405="",NOT(ISNUMBER(E4405))),"",IFERROR(ROUND(N(INDEX(art_init,MATCH(C4405,art_ref,0)))+SUMIFS($E$5:E4405,$C$5:C4405,C4405,$B$5:B4405,"Entrée")-SUMIFS($E$5:E4405,$C$5:C4405,C4405,$B$5:B4405,"Sortie"),6),""))</f>
        <v/>
      </c>
      <c r="L4405" s="39" t="str">
        <f>IF(COUNTA(A4405:C4405,E4405)=0,"",IF(COUNTA(A4405:C4405,E4405)&lt;4,"Ligne incomplète",IF(NOT(ISNUMBER(A4405)),"Date invalide",IF(AND(B4405&lt;&gt;"Entrée",B4405&lt;&gt;"Sortie"),"Type inconnu",IF(ISNA(MATCH(C4405,art_ref,0)),"Référence inconnue",IF(OR(NOT(ISNUMBER(E4405)),N(E4405)&lt;=0),"Quantité invalide",IF(K4405&lt;0,"Stock négatif",IF(AND(ISNUMBER(A4404),A4405&lt;A4404),"Date hors ordre","OK"))))))))</f>
        <v/>
      </c>
      <c r="M4405" s="39" t="str">
        <f>IF(C4405="","",C4405&amp;"#"&amp;COUNTIF($C$5:C4405,C4405))</f>
        <v/>
      </c>
    </row>
    <row r="4406">
      <c r="A4406" s="41" t="n"/>
      <c r="B4406" s="37" t="n"/>
      <c r="C4406" s="37" t="n"/>
      <c r="D4406" s="39" t="str">
        <f>IF(C4406="","",IFERROR(INDEX(art_des,MATCH(C4406,art_ref,0))&amp;"","Référence inconnue"))</f>
        <v/>
      </c>
      <c r="E4406" s="37" t="n"/>
      <c r="F4406" s="39" t="str">
        <f>IF(C4406="","",IFERROR(INDEX(art_unit,MATCH(C4406,art_ref,0))&amp;"",""))</f>
        <v/>
      </c>
      <c r="G4406" s="37" t="n"/>
      <c r="H4406" s="37" t="n"/>
      <c r="I4406" s="37" t="n"/>
      <c r="J4406" s="40" t="str">
        <f>IF(OR(C4406="",NOT(ISNUMBER(E4406))),"",IFERROR(E4406*N(INDEX(art_price,MATCH(C4406,art_ref,0))),""))</f>
        <v/>
      </c>
      <c r="K4406" s="39" t="str">
        <f>IF(OR(C4406="",NOT(ISNUMBER(E4406))),"",IFERROR(ROUND(N(INDEX(art_init,MATCH(C4406,art_ref,0)))+SUMIFS($E$5:E4406,$C$5:C4406,C4406,$B$5:B4406,"Entrée")-SUMIFS($E$5:E4406,$C$5:C4406,C4406,$B$5:B4406,"Sortie"),6),""))</f>
        <v/>
      </c>
      <c r="L4406" s="39" t="str">
        <f>IF(COUNTA(A4406:C4406,E4406)=0,"",IF(COUNTA(A4406:C4406,E4406)&lt;4,"Ligne incomplète",IF(NOT(ISNUMBER(A4406)),"Date invalide",IF(AND(B4406&lt;&gt;"Entrée",B4406&lt;&gt;"Sortie"),"Type inconnu",IF(ISNA(MATCH(C4406,art_ref,0)),"Référence inconnue",IF(OR(NOT(ISNUMBER(E4406)),N(E4406)&lt;=0),"Quantité invalide",IF(K4406&lt;0,"Stock négatif",IF(AND(ISNUMBER(A4405),A4406&lt;A4405),"Date hors ordre","OK"))))))))</f>
        <v/>
      </c>
      <c r="M4406" s="39" t="str">
        <f>IF(C4406="","",C4406&amp;"#"&amp;COUNTIF($C$5:C4406,C4406))</f>
        <v/>
      </c>
    </row>
    <row r="4407">
      <c r="A4407" s="41" t="n"/>
      <c r="B4407" s="37" t="n"/>
      <c r="C4407" s="37" t="n"/>
      <c r="D4407" s="39" t="str">
        <f>IF(C4407="","",IFERROR(INDEX(art_des,MATCH(C4407,art_ref,0))&amp;"","Référence inconnue"))</f>
        <v/>
      </c>
      <c r="E4407" s="37" t="n"/>
      <c r="F4407" s="39" t="str">
        <f>IF(C4407="","",IFERROR(INDEX(art_unit,MATCH(C4407,art_ref,0))&amp;"",""))</f>
        <v/>
      </c>
      <c r="G4407" s="37" t="n"/>
      <c r="H4407" s="37" t="n"/>
      <c r="I4407" s="37" t="n"/>
      <c r="J4407" s="40" t="str">
        <f>IF(OR(C4407="",NOT(ISNUMBER(E4407))),"",IFERROR(E4407*N(INDEX(art_price,MATCH(C4407,art_ref,0))),""))</f>
        <v/>
      </c>
      <c r="K4407" s="39" t="str">
        <f>IF(OR(C4407="",NOT(ISNUMBER(E4407))),"",IFERROR(ROUND(N(INDEX(art_init,MATCH(C4407,art_ref,0)))+SUMIFS($E$5:E4407,$C$5:C4407,C4407,$B$5:B4407,"Entrée")-SUMIFS($E$5:E4407,$C$5:C4407,C4407,$B$5:B4407,"Sortie"),6),""))</f>
        <v/>
      </c>
      <c r="L4407" s="39" t="str">
        <f>IF(COUNTA(A4407:C4407,E4407)=0,"",IF(COUNTA(A4407:C4407,E4407)&lt;4,"Ligne incomplète",IF(NOT(ISNUMBER(A4407)),"Date invalide",IF(AND(B4407&lt;&gt;"Entrée",B4407&lt;&gt;"Sortie"),"Type inconnu",IF(ISNA(MATCH(C4407,art_ref,0)),"Référence inconnue",IF(OR(NOT(ISNUMBER(E4407)),N(E4407)&lt;=0),"Quantité invalide",IF(K4407&lt;0,"Stock négatif",IF(AND(ISNUMBER(A4406),A4407&lt;A4406),"Date hors ordre","OK"))))))))</f>
        <v/>
      </c>
      <c r="M4407" s="39" t="str">
        <f>IF(C4407="","",C4407&amp;"#"&amp;COUNTIF($C$5:C4407,C4407))</f>
        <v/>
      </c>
    </row>
    <row r="4408">
      <c r="A4408" s="41" t="n"/>
      <c r="B4408" s="37" t="n"/>
      <c r="C4408" s="37" t="n"/>
      <c r="D4408" s="39" t="str">
        <f>IF(C4408="","",IFERROR(INDEX(art_des,MATCH(C4408,art_ref,0))&amp;"","Référence inconnue"))</f>
        <v/>
      </c>
      <c r="E4408" s="37" t="n"/>
      <c r="F4408" s="39" t="str">
        <f>IF(C4408="","",IFERROR(INDEX(art_unit,MATCH(C4408,art_ref,0))&amp;"",""))</f>
        <v/>
      </c>
      <c r="G4408" s="37" t="n"/>
      <c r="H4408" s="37" t="n"/>
      <c r="I4408" s="37" t="n"/>
      <c r="J4408" s="40" t="str">
        <f>IF(OR(C4408="",NOT(ISNUMBER(E4408))),"",IFERROR(E4408*N(INDEX(art_price,MATCH(C4408,art_ref,0))),""))</f>
        <v/>
      </c>
      <c r="K4408" s="39" t="str">
        <f>IF(OR(C4408="",NOT(ISNUMBER(E4408))),"",IFERROR(ROUND(N(INDEX(art_init,MATCH(C4408,art_ref,0)))+SUMIFS($E$5:E4408,$C$5:C4408,C4408,$B$5:B4408,"Entrée")-SUMIFS($E$5:E4408,$C$5:C4408,C4408,$B$5:B4408,"Sortie"),6),""))</f>
        <v/>
      </c>
      <c r="L4408" s="39" t="str">
        <f>IF(COUNTA(A4408:C4408,E4408)=0,"",IF(COUNTA(A4408:C4408,E4408)&lt;4,"Ligne incomplète",IF(NOT(ISNUMBER(A4408)),"Date invalide",IF(AND(B4408&lt;&gt;"Entrée",B4408&lt;&gt;"Sortie"),"Type inconnu",IF(ISNA(MATCH(C4408,art_ref,0)),"Référence inconnue",IF(OR(NOT(ISNUMBER(E4408)),N(E4408)&lt;=0),"Quantité invalide",IF(K4408&lt;0,"Stock négatif",IF(AND(ISNUMBER(A4407),A4408&lt;A4407),"Date hors ordre","OK"))))))))</f>
        <v/>
      </c>
      <c r="M4408" s="39" t="str">
        <f>IF(C4408="","",C4408&amp;"#"&amp;COUNTIF($C$5:C4408,C4408))</f>
        <v/>
      </c>
    </row>
    <row r="4409">
      <c r="A4409" s="41" t="n"/>
      <c r="B4409" s="37" t="n"/>
      <c r="C4409" s="37" t="n"/>
      <c r="D4409" s="39" t="str">
        <f>IF(C4409="","",IFERROR(INDEX(art_des,MATCH(C4409,art_ref,0))&amp;"","Référence inconnue"))</f>
        <v/>
      </c>
      <c r="E4409" s="37" t="n"/>
      <c r="F4409" s="39" t="str">
        <f>IF(C4409="","",IFERROR(INDEX(art_unit,MATCH(C4409,art_ref,0))&amp;"",""))</f>
        <v/>
      </c>
      <c r="G4409" s="37" t="n"/>
      <c r="H4409" s="37" t="n"/>
      <c r="I4409" s="37" t="n"/>
      <c r="J4409" s="40" t="str">
        <f>IF(OR(C4409="",NOT(ISNUMBER(E4409))),"",IFERROR(E4409*N(INDEX(art_price,MATCH(C4409,art_ref,0))),""))</f>
        <v/>
      </c>
      <c r="K4409" s="39" t="str">
        <f>IF(OR(C4409="",NOT(ISNUMBER(E4409))),"",IFERROR(ROUND(N(INDEX(art_init,MATCH(C4409,art_ref,0)))+SUMIFS($E$5:E4409,$C$5:C4409,C4409,$B$5:B4409,"Entrée")-SUMIFS($E$5:E4409,$C$5:C4409,C4409,$B$5:B4409,"Sortie"),6),""))</f>
        <v/>
      </c>
      <c r="L4409" s="39" t="str">
        <f>IF(COUNTA(A4409:C4409,E4409)=0,"",IF(COUNTA(A4409:C4409,E4409)&lt;4,"Ligne incomplète",IF(NOT(ISNUMBER(A4409)),"Date invalide",IF(AND(B4409&lt;&gt;"Entrée",B4409&lt;&gt;"Sortie"),"Type inconnu",IF(ISNA(MATCH(C4409,art_ref,0)),"Référence inconnue",IF(OR(NOT(ISNUMBER(E4409)),N(E4409)&lt;=0),"Quantité invalide",IF(K4409&lt;0,"Stock négatif",IF(AND(ISNUMBER(A4408),A4409&lt;A4408),"Date hors ordre","OK"))))))))</f>
        <v/>
      </c>
      <c r="M4409" s="39" t="str">
        <f>IF(C4409="","",C4409&amp;"#"&amp;COUNTIF($C$5:C4409,C4409))</f>
        <v/>
      </c>
    </row>
    <row r="4410">
      <c r="A4410" s="41" t="n"/>
      <c r="B4410" s="37" t="n"/>
      <c r="C4410" s="37" t="n"/>
      <c r="D4410" s="39" t="str">
        <f>IF(C4410="","",IFERROR(INDEX(art_des,MATCH(C4410,art_ref,0))&amp;"","Référence inconnue"))</f>
        <v/>
      </c>
      <c r="E4410" s="37" t="n"/>
      <c r="F4410" s="39" t="str">
        <f>IF(C4410="","",IFERROR(INDEX(art_unit,MATCH(C4410,art_ref,0))&amp;"",""))</f>
        <v/>
      </c>
      <c r="G4410" s="37" t="n"/>
      <c r="H4410" s="37" t="n"/>
      <c r="I4410" s="37" t="n"/>
      <c r="J4410" s="40" t="str">
        <f>IF(OR(C4410="",NOT(ISNUMBER(E4410))),"",IFERROR(E4410*N(INDEX(art_price,MATCH(C4410,art_ref,0))),""))</f>
        <v/>
      </c>
      <c r="K4410" s="39" t="str">
        <f>IF(OR(C4410="",NOT(ISNUMBER(E4410))),"",IFERROR(ROUND(N(INDEX(art_init,MATCH(C4410,art_ref,0)))+SUMIFS($E$5:E4410,$C$5:C4410,C4410,$B$5:B4410,"Entrée")-SUMIFS($E$5:E4410,$C$5:C4410,C4410,$B$5:B4410,"Sortie"),6),""))</f>
        <v/>
      </c>
      <c r="L4410" s="39" t="str">
        <f>IF(COUNTA(A4410:C4410,E4410)=0,"",IF(COUNTA(A4410:C4410,E4410)&lt;4,"Ligne incomplète",IF(NOT(ISNUMBER(A4410)),"Date invalide",IF(AND(B4410&lt;&gt;"Entrée",B4410&lt;&gt;"Sortie"),"Type inconnu",IF(ISNA(MATCH(C4410,art_ref,0)),"Référence inconnue",IF(OR(NOT(ISNUMBER(E4410)),N(E4410)&lt;=0),"Quantité invalide",IF(K4410&lt;0,"Stock négatif",IF(AND(ISNUMBER(A4409),A4410&lt;A4409),"Date hors ordre","OK"))))))))</f>
        <v/>
      </c>
      <c r="M4410" s="39" t="str">
        <f>IF(C4410="","",C4410&amp;"#"&amp;COUNTIF($C$5:C4410,C4410))</f>
        <v/>
      </c>
    </row>
    <row r="4411">
      <c r="A4411" s="41" t="n"/>
      <c r="B4411" s="37" t="n"/>
      <c r="C4411" s="37" t="n"/>
      <c r="D4411" s="39" t="str">
        <f>IF(C4411="","",IFERROR(INDEX(art_des,MATCH(C4411,art_ref,0))&amp;"","Référence inconnue"))</f>
        <v/>
      </c>
      <c r="E4411" s="37" t="n"/>
      <c r="F4411" s="39" t="str">
        <f>IF(C4411="","",IFERROR(INDEX(art_unit,MATCH(C4411,art_ref,0))&amp;"",""))</f>
        <v/>
      </c>
      <c r="G4411" s="37" t="n"/>
      <c r="H4411" s="37" t="n"/>
      <c r="I4411" s="37" t="n"/>
      <c r="J4411" s="40" t="str">
        <f>IF(OR(C4411="",NOT(ISNUMBER(E4411))),"",IFERROR(E4411*N(INDEX(art_price,MATCH(C4411,art_ref,0))),""))</f>
        <v/>
      </c>
      <c r="K4411" s="39" t="str">
        <f>IF(OR(C4411="",NOT(ISNUMBER(E4411))),"",IFERROR(ROUND(N(INDEX(art_init,MATCH(C4411,art_ref,0)))+SUMIFS($E$5:E4411,$C$5:C4411,C4411,$B$5:B4411,"Entrée")-SUMIFS($E$5:E4411,$C$5:C4411,C4411,$B$5:B4411,"Sortie"),6),""))</f>
        <v/>
      </c>
      <c r="L4411" s="39" t="str">
        <f>IF(COUNTA(A4411:C4411,E4411)=0,"",IF(COUNTA(A4411:C4411,E4411)&lt;4,"Ligne incomplète",IF(NOT(ISNUMBER(A4411)),"Date invalide",IF(AND(B4411&lt;&gt;"Entrée",B4411&lt;&gt;"Sortie"),"Type inconnu",IF(ISNA(MATCH(C4411,art_ref,0)),"Référence inconnue",IF(OR(NOT(ISNUMBER(E4411)),N(E4411)&lt;=0),"Quantité invalide",IF(K4411&lt;0,"Stock négatif",IF(AND(ISNUMBER(A4410),A4411&lt;A4410),"Date hors ordre","OK"))))))))</f>
        <v/>
      </c>
      <c r="M4411" s="39" t="str">
        <f>IF(C4411="","",C4411&amp;"#"&amp;COUNTIF($C$5:C4411,C4411))</f>
        <v/>
      </c>
    </row>
    <row r="4412">
      <c r="A4412" s="41" t="n"/>
      <c r="B4412" s="37" t="n"/>
      <c r="C4412" s="37" t="n"/>
      <c r="D4412" s="39" t="str">
        <f>IF(C4412="","",IFERROR(INDEX(art_des,MATCH(C4412,art_ref,0))&amp;"","Référence inconnue"))</f>
        <v/>
      </c>
      <c r="E4412" s="37" t="n"/>
      <c r="F4412" s="39" t="str">
        <f>IF(C4412="","",IFERROR(INDEX(art_unit,MATCH(C4412,art_ref,0))&amp;"",""))</f>
        <v/>
      </c>
      <c r="G4412" s="37" t="n"/>
      <c r="H4412" s="37" t="n"/>
      <c r="I4412" s="37" t="n"/>
      <c r="J4412" s="40" t="str">
        <f>IF(OR(C4412="",NOT(ISNUMBER(E4412))),"",IFERROR(E4412*N(INDEX(art_price,MATCH(C4412,art_ref,0))),""))</f>
        <v/>
      </c>
      <c r="K4412" s="39" t="str">
        <f>IF(OR(C4412="",NOT(ISNUMBER(E4412))),"",IFERROR(ROUND(N(INDEX(art_init,MATCH(C4412,art_ref,0)))+SUMIFS($E$5:E4412,$C$5:C4412,C4412,$B$5:B4412,"Entrée")-SUMIFS($E$5:E4412,$C$5:C4412,C4412,$B$5:B4412,"Sortie"),6),""))</f>
        <v/>
      </c>
      <c r="L4412" s="39" t="str">
        <f>IF(COUNTA(A4412:C4412,E4412)=0,"",IF(COUNTA(A4412:C4412,E4412)&lt;4,"Ligne incomplète",IF(NOT(ISNUMBER(A4412)),"Date invalide",IF(AND(B4412&lt;&gt;"Entrée",B4412&lt;&gt;"Sortie"),"Type inconnu",IF(ISNA(MATCH(C4412,art_ref,0)),"Référence inconnue",IF(OR(NOT(ISNUMBER(E4412)),N(E4412)&lt;=0),"Quantité invalide",IF(K4412&lt;0,"Stock négatif",IF(AND(ISNUMBER(A4411),A4412&lt;A4411),"Date hors ordre","OK"))))))))</f>
        <v/>
      </c>
      <c r="M4412" s="39" t="str">
        <f>IF(C4412="","",C4412&amp;"#"&amp;COUNTIF($C$5:C4412,C4412))</f>
        <v/>
      </c>
    </row>
    <row r="4413">
      <c r="A4413" s="41" t="n"/>
      <c r="B4413" s="37" t="n"/>
      <c r="C4413" s="37" t="n"/>
      <c r="D4413" s="39" t="str">
        <f>IF(C4413="","",IFERROR(INDEX(art_des,MATCH(C4413,art_ref,0))&amp;"","Référence inconnue"))</f>
        <v/>
      </c>
      <c r="E4413" s="37" t="n"/>
      <c r="F4413" s="39" t="str">
        <f>IF(C4413="","",IFERROR(INDEX(art_unit,MATCH(C4413,art_ref,0))&amp;"",""))</f>
        <v/>
      </c>
      <c r="G4413" s="37" t="n"/>
      <c r="H4413" s="37" t="n"/>
      <c r="I4413" s="37" t="n"/>
      <c r="J4413" s="40" t="str">
        <f>IF(OR(C4413="",NOT(ISNUMBER(E4413))),"",IFERROR(E4413*N(INDEX(art_price,MATCH(C4413,art_ref,0))),""))</f>
        <v/>
      </c>
      <c r="K4413" s="39" t="str">
        <f>IF(OR(C4413="",NOT(ISNUMBER(E4413))),"",IFERROR(ROUND(N(INDEX(art_init,MATCH(C4413,art_ref,0)))+SUMIFS($E$5:E4413,$C$5:C4413,C4413,$B$5:B4413,"Entrée")-SUMIFS($E$5:E4413,$C$5:C4413,C4413,$B$5:B4413,"Sortie"),6),""))</f>
        <v/>
      </c>
      <c r="L4413" s="39" t="str">
        <f>IF(COUNTA(A4413:C4413,E4413)=0,"",IF(COUNTA(A4413:C4413,E4413)&lt;4,"Ligne incomplète",IF(NOT(ISNUMBER(A4413)),"Date invalide",IF(AND(B4413&lt;&gt;"Entrée",B4413&lt;&gt;"Sortie"),"Type inconnu",IF(ISNA(MATCH(C4413,art_ref,0)),"Référence inconnue",IF(OR(NOT(ISNUMBER(E4413)),N(E4413)&lt;=0),"Quantité invalide",IF(K4413&lt;0,"Stock négatif",IF(AND(ISNUMBER(A4412),A4413&lt;A4412),"Date hors ordre","OK"))))))))</f>
        <v/>
      </c>
      <c r="M4413" s="39" t="str">
        <f>IF(C4413="","",C4413&amp;"#"&amp;COUNTIF($C$5:C4413,C4413))</f>
        <v/>
      </c>
    </row>
    <row r="4414">
      <c r="A4414" s="41" t="n"/>
      <c r="B4414" s="37" t="n"/>
      <c r="C4414" s="37" t="n"/>
      <c r="D4414" s="39" t="str">
        <f>IF(C4414="","",IFERROR(INDEX(art_des,MATCH(C4414,art_ref,0))&amp;"","Référence inconnue"))</f>
        <v/>
      </c>
      <c r="E4414" s="37" t="n"/>
      <c r="F4414" s="39" t="str">
        <f>IF(C4414="","",IFERROR(INDEX(art_unit,MATCH(C4414,art_ref,0))&amp;"",""))</f>
        <v/>
      </c>
      <c r="G4414" s="37" t="n"/>
      <c r="H4414" s="37" t="n"/>
      <c r="I4414" s="37" t="n"/>
      <c r="J4414" s="40" t="str">
        <f>IF(OR(C4414="",NOT(ISNUMBER(E4414))),"",IFERROR(E4414*N(INDEX(art_price,MATCH(C4414,art_ref,0))),""))</f>
        <v/>
      </c>
      <c r="K4414" s="39" t="str">
        <f>IF(OR(C4414="",NOT(ISNUMBER(E4414))),"",IFERROR(ROUND(N(INDEX(art_init,MATCH(C4414,art_ref,0)))+SUMIFS($E$5:E4414,$C$5:C4414,C4414,$B$5:B4414,"Entrée")-SUMIFS($E$5:E4414,$C$5:C4414,C4414,$B$5:B4414,"Sortie"),6),""))</f>
        <v/>
      </c>
      <c r="L4414" s="39" t="str">
        <f>IF(COUNTA(A4414:C4414,E4414)=0,"",IF(COUNTA(A4414:C4414,E4414)&lt;4,"Ligne incomplète",IF(NOT(ISNUMBER(A4414)),"Date invalide",IF(AND(B4414&lt;&gt;"Entrée",B4414&lt;&gt;"Sortie"),"Type inconnu",IF(ISNA(MATCH(C4414,art_ref,0)),"Référence inconnue",IF(OR(NOT(ISNUMBER(E4414)),N(E4414)&lt;=0),"Quantité invalide",IF(K4414&lt;0,"Stock négatif",IF(AND(ISNUMBER(A4413),A4414&lt;A4413),"Date hors ordre","OK"))))))))</f>
        <v/>
      </c>
      <c r="M4414" s="39" t="str">
        <f>IF(C4414="","",C4414&amp;"#"&amp;COUNTIF($C$5:C4414,C4414))</f>
        <v/>
      </c>
    </row>
    <row r="4415">
      <c r="A4415" s="41" t="n"/>
      <c r="B4415" s="37" t="n"/>
      <c r="C4415" s="37" t="n"/>
      <c r="D4415" s="39" t="str">
        <f>IF(C4415="","",IFERROR(INDEX(art_des,MATCH(C4415,art_ref,0))&amp;"","Référence inconnue"))</f>
        <v/>
      </c>
      <c r="E4415" s="37" t="n"/>
      <c r="F4415" s="39" t="str">
        <f>IF(C4415="","",IFERROR(INDEX(art_unit,MATCH(C4415,art_ref,0))&amp;"",""))</f>
        <v/>
      </c>
      <c r="G4415" s="37" t="n"/>
      <c r="H4415" s="37" t="n"/>
      <c r="I4415" s="37" t="n"/>
      <c r="J4415" s="40" t="str">
        <f>IF(OR(C4415="",NOT(ISNUMBER(E4415))),"",IFERROR(E4415*N(INDEX(art_price,MATCH(C4415,art_ref,0))),""))</f>
        <v/>
      </c>
      <c r="K4415" s="39" t="str">
        <f>IF(OR(C4415="",NOT(ISNUMBER(E4415))),"",IFERROR(ROUND(N(INDEX(art_init,MATCH(C4415,art_ref,0)))+SUMIFS($E$5:E4415,$C$5:C4415,C4415,$B$5:B4415,"Entrée")-SUMIFS($E$5:E4415,$C$5:C4415,C4415,$B$5:B4415,"Sortie"),6),""))</f>
        <v/>
      </c>
      <c r="L4415" s="39" t="str">
        <f>IF(COUNTA(A4415:C4415,E4415)=0,"",IF(COUNTA(A4415:C4415,E4415)&lt;4,"Ligne incomplète",IF(NOT(ISNUMBER(A4415)),"Date invalide",IF(AND(B4415&lt;&gt;"Entrée",B4415&lt;&gt;"Sortie"),"Type inconnu",IF(ISNA(MATCH(C4415,art_ref,0)),"Référence inconnue",IF(OR(NOT(ISNUMBER(E4415)),N(E4415)&lt;=0),"Quantité invalide",IF(K4415&lt;0,"Stock négatif",IF(AND(ISNUMBER(A4414),A4415&lt;A4414),"Date hors ordre","OK"))))))))</f>
        <v/>
      </c>
      <c r="M4415" s="39" t="str">
        <f>IF(C4415="","",C4415&amp;"#"&amp;COUNTIF($C$5:C4415,C4415))</f>
        <v/>
      </c>
    </row>
    <row r="4416">
      <c r="A4416" s="41" t="n"/>
      <c r="B4416" s="37" t="n"/>
      <c r="C4416" s="37" t="n"/>
      <c r="D4416" s="39" t="str">
        <f>IF(C4416="","",IFERROR(INDEX(art_des,MATCH(C4416,art_ref,0))&amp;"","Référence inconnue"))</f>
        <v/>
      </c>
      <c r="E4416" s="37" t="n"/>
      <c r="F4416" s="39" t="str">
        <f>IF(C4416="","",IFERROR(INDEX(art_unit,MATCH(C4416,art_ref,0))&amp;"",""))</f>
        <v/>
      </c>
      <c r="G4416" s="37" t="n"/>
      <c r="H4416" s="37" t="n"/>
      <c r="I4416" s="37" t="n"/>
      <c r="J4416" s="40" t="str">
        <f>IF(OR(C4416="",NOT(ISNUMBER(E4416))),"",IFERROR(E4416*N(INDEX(art_price,MATCH(C4416,art_ref,0))),""))</f>
        <v/>
      </c>
      <c r="K4416" s="39" t="str">
        <f>IF(OR(C4416="",NOT(ISNUMBER(E4416))),"",IFERROR(ROUND(N(INDEX(art_init,MATCH(C4416,art_ref,0)))+SUMIFS($E$5:E4416,$C$5:C4416,C4416,$B$5:B4416,"Entrée")-SUMIFS($E$5:E4416,$C$5:C4416,C4416,$B$5:B4416,"Sortie"),6),""))</f>
        <v/>
      </c>
      <c r="L4416" s="39" t="str">
        <f>IF(COUNTA(A4416:C4416,E4416)=0,"",IF(COUNTA(A4416:C4416,E4416)&lt;4,"Ligne incomplète",IF(NOT(ISNUMBER(A4416)),"Date invalide",IF(AND(B4416&lt;&gt;"Entrée",B4416&lt;&gt;"Sortie"),"Type inconnu",IF(ISNA(MATCH(C4416,art_ref,0)),"Référence inconnue",IF(OR(NOT(ISNUMBER(E4416)),N(E4416)&lt;=0),"Quantité invalide",IF(K4416&lt;0,"Stock négatif",IF(AND(ISNUMBER(A4415),A4416&lt;A4415),"Date hors ordre","OK"))))))))</f>
        <v/>
      </c>
      <c r="M4416" s="39" t="str">
        <f>IF(C4416="","",C4416&amp;"#"&amp;COUNTIF($C$5:C4416,C4416))</f>
        <v/>
      </c>
    </row>
    <row r="4417">
      <c r="A4417" s="41" t="n"/>
      <c r="B4417" s="37" t="n"/>
      <c r="C4417" s="37" t="n"/>
      <c r="D4417" s="39" t="str">
        <f>IF(C4417="","",IFERROR(INDEX(art_des,MATCH(C4417,art_ref,0))&amp;"","Référence inconnue"))</f>
        <v/>
      </c>
      <c r="E4417" s="37" t="n"/>
      <c r="F4417" s="39" t="str">
        <f>IF(C4417="","",IFERROR(INDEX(art_unit,MATCH(C4417,art_ref,0))&amp;"",""))</f>
        <v/>
      </c>
      <c r="G4417" s="37" t="n"/>
      <c r="H4417" s="37" t="n"/>
      <c r="I4417" s="37" t="n"/>
      <c r="J4417" s="40" t="str">
        <f>IF(OR(C4417="",NOT(ISNUMBER(E4417))),"",IFERROR(E4417*N(INDEX(art_price,MATCH(C4417,art_ref,0))),""))</f>
        <v/>
      </c>
      <c r="K4417" s="39" t="str">
        <f>IF(OR(C4417="",NOT(ISNUMBER(E4417))),"",IFERROR(ROUND(N(INDEX(art_init,MATCH(C4417,art_ref,0)))+SUMIFS($E$5:E4417,$C$5:C4417,C4417,$B$5:B4417,"Entrée")-SUMIFS($E$5:E4417,$C$5:C4417,C4417,$B$5:B4417,"Sortie"),6),""))</f>
        <v/>
      </c>
      <c r="L4417" s="39" t="str">
        <f>IF(COUNTA(A4417:C4417,E4417)=0,"",IF(COUNTA(A4417:C4417,E4417)&lt;4,"Ligne incomplète",IF(NOT(ISNUMBER(A4417)),"Date invalide",IF(AND(B4417&lt;&gt;"Entrée",B4417&lt;&gt;"Sortie"),"Type inconnu",IF(ISNA(MATCH(C4417,art_ref,0)),"Référence inconnue",IF(OR(NOT(ISNUMBER(E4417)),N(E4417)&lt;=0),"Quantité invalide",IF(K4417&lt;0,"Stock négatif",IF(AND(ISNUMBER(A4416),A4417&lt;A4416),"Date hors ordre","OK"))))))))</f>
        <v/>
      </c>
      <c r="M4417" s="39" t="str">
        <f>IF(C4417="","",C4417&amp;"#"&amp;COUNTIF($C$5:C4417,C4417))</f>
        <v/>
      </c>
    </row>
    <row r="4418">
      <c r="A4418" s="41" t="n"/>
      <c r="B4418" s="37" t="n"/>
      <c r="C4418" s="37" t="n"/>
      <c r="D4418" s="39" t="str">
        <f>IF(C4418="","",IFERROR(INDEX(art_des,MATCH(C4418,art_ref,0))&amp;"","Référence inconnue"))</f>
        <v/>
      </c>
      <c r="E4418" s="37" t="n"/>
      <c r="F4418" s="39" t="str">
        <f>IF(C4418="","",IFERROR(INDEX(art_unit,MATCH(C4418,art_ref,0))&amp;"",""))</f>
        <v/>
      </c>
      <c r="G4418" s="37" t="n"/>
      <c r="H4418" s="37" t="n"/>
      <c r="I4418" s="37" t="n"/>
      <c r="J4418" s="40" t="str">
        <f>IF(OR(C4418="",NOT(ISNUMBER(E4418))),"",IFERROR(E4418*N(INDEX(art_price,MATCH(C4418,art_ref,0))),""))</f>
        <v/>
      </c>
      <c r="K4418" s="39" t="str">
        <f>IF(OR(C4418="",NOT(ISNUMBER(E4418))),"",IFERROR(ROUND(N(INDEX(art_init,MATCH(C4418,art_ref,0)))+SUMIFS($E$5:E4418,$C$5:C4418,C4418,$B$5:B4418,"Entrée")-SUMIFS($E$5:E4418,$C$5:C4418,C4418,$B$5:B4418,"Sortie"),6),""))</f>
        <v/>
      </c>
      <c r="L4418" s="39" t="str">
        <f>IF(COUNTA(A4418:C4418,E4418)=0,"",IF(COUNTA(A4418:C4418,E4418)&lt;4,"Ligne incomplète",IF(NOT(ISNUMBER(A4418)),"Date invalide",IF(AND(B4418&lt;&gt;"Entrée",B4418&lt;&gt;"Sortie"),"Type inconnu",IF(ISNA(MATCH(C4418,art_ref,0)),"Référence inconnue",IF(OR(NOT(ISNUMBER(E4418)),N(E4418)&lt;=0),"Quantité invalide",IF(K4418&lt;0,"Stock négatif",IF(AND(ISNUMBER(A4417),A4418&lt;A4417),"Date hors ordre","OK"))))))))</f>
        <v/>
      </c>
      <c r="M4418" s="39" t="str">
        <f>IF(C4418="","",C4418&amp;"#"&amp;COUNTIF($C$5:C4418,C4418))</f>
        <v/>
      </c>
    </row>
    <row r="4419">
      <c r="A4419" s="41" t="n"/>
      <c r="B4419" s="37" t="n"/>
      <c r="C4419" s="37" t="n"/>
      <c r="D4419" s="39" t="str">
        <f>IF(C4419="","",IFERROR(INDEX(art_des,MATCH(C4419,art_ref,0))&amp;"","Référence inconnue"))</f>
        <v/>
      </c>
      <c r="E4419" s="37" t="n"/>
      <c r="F4419" s="39" t="str">
        <f>IF(C4419="","",IFERROR(INDEX(art_unit,MATCH(C4419,art_ref,0))&amp;"",""))</f>
        <v/>
      </c>
      <c r="G4419" s="37" t="n"/>
      <c r="H4419" s="37" t="n"/>
      <c r="I4419" s="37" t="n"/>
      <c r="J4419" s="40" t="str">
        <f>IF(OR(C4419="",NOT(ISNUMBER(E4419))),"",IFERROR(E4419*N(INDEX(art_price,MATCH(C4419,art_ref,0))),""))</f>
        <v/>
      </c>
      <c r="K4419" s="39" t="str">
        <f>IF(OR(C4419="",NOT(ISNUMBER(E4419))),"",IFERROR(ROUND(N(INDEX(art_init,MATCH(C4419,art_ref,0)))+SUMIFS($E$5:E4419,$C$5:C4419,C4419,$B$5:B4419,"Entrée")-SUMIFS($E$5:E4419,$C$5:C4419,C4419,$B$5:B4419,"Sortie"),6),""))</f>
        <v/>
      </c>
      <c r="L4419" s="39" t="str">
        <f>IF(COUNTA(A4419:C4419,E4419)=0,"",IF(COUNTA(A4419:C4419,E4419)&lt;4,"Ligne incomplète",IF(NOT(ISNUMBER(A4419)),"Date invalide",IF(AND(B4419&lt;&gt;"Entrée",B4419&lt;&gt;"Sortie"),"Type inconnu",IF(ISNA(MATCH(C4419,art_ref,0)),"Référence inconnue",IF(OR(NOT(ISNUMBER(E4419)),N(E4419)&lt;=0),"Quantité invalide",IF(K4419&lt;0,"Stock négatif",IF(AND(ISNUMBER(A4418),A4419&lt;A4418),"Date hors ordre","OK"))))))))</f>
        <v/>
      </c>
      <c r="M4419" s="39" t="str">
        <f>IF(C4419="","",C4419&amp;"#"&amp;COUNTIF($C$5:C4419,C4419))</f>
        <v/>
      </c>
    </row>
    <row r="4420">
      <c r="A4420" s="41" t="n"/>
      <c r="B4420" s="37" t="n"/>
      <c r="C4420" s="37" t="n"/>
      <c r="D4420" s="39" t="str">
        <f>IF(C4420="","",IFERROR(INDEX(art_des,MATCH(C4420,art_ref,0))&amp;"","Référence inconnue"))</f>
        <v/>
      </c>
      <c r="E4420" s="37" t="n"/>
      <c r="F4420" s="39" t="str">
        <f>IF(C4420="","",IFERROR(INDEX(art_unit,MATCH(C4420,art_ref,0))&amp;"",""))</f>
        <v/>
      </c>
      <c r="G4420" s="37" t="n"/>
      <c r="H4420" s="37" t="n"/>
      <c r="I4420" s="37" t="n"/>
      <c r="J4420" s="40" t="str">
        <f>IF(OR(C4420="",NOT(ISNUMBER(E4420))),"",IFERROR(E4420*N(INDEX(art_price,MATCH(C4420,art_ref,0))),""))</f>
        <v/>
      </c>
      <c r="K4420" s="39" t="str">
        <f>IF(OR(C4420="",NOT(ISNUMBER(E4420))),"",IFERROR(ROUND(N(INDEX(art_init,MATCH(C4420,art_ref,0)))+SUMIFS($E$5:E4420,$C$5:C4420,C4420,$B$5:B4420,"Entrée")-SUMIFS($E$5:E4420,$C$5:C4420,C4420,$B$5:B4420,"Sortie"),6),""))</f>
        <v/>
      </c>
      <c r="L4420" s="39" t="str">
        <f>IF(COUNTA(A4420:C4420,E4420)=0,"",IF(COUNTA(A4420:C4420,E4420)&lt;4,"Ligne incomplète",IF(NOT(ISNUMBER(A4420)),"Date invalide",IF(AND(B4420&lt;&gt;"Entrée",B4420&lt;&gt;"Sortie"),"Type inconnu",IF(ISNA(MATCH(C4420,art_ref,0)),"Référence inconnue",IF(OR(NOT(ISNUMBER(E4420)),N(E4420)&lt;=0),"Quantité invalide",IF(K4420&lt;0,"Stock négatif",IF(AND(ISNUMBER(A4419),A4420&lt;A4419),"Date hors ordre","OK"))))))))</f>
        <v/>
      </c>
      <c r="M4420" s="39" t="str">
        <f>IF(C4420="","",C4420&amp;"#"&amp;COUNTIF($C$5:C4420,C4420))</f>
        <v/>
      </c>
    </row>
    <row r="4421">
      <c r="A4421" s="41" t="n"/>
      <c r="B4421" s="37" t="n"/>
      <c r="C4421" s="37" t="n"/>
      <c r="D4421" s="39" t="str">
        <f>IF(C4421="","",IFERROR(INDEX(art_des,MATCH(C4421,art_ref,0))&amp;"","Référence inconnue"))</f>
        <v/>
      </c>
      <c r="E4421" s="37" t="n"/>
      <c r="F4421" s="39" t="str">
        <f>IF(C4421="","",IFERROR(INDEX(art_unit,MATCH(C4421,art_ref,0))&amp;"",""))</f>
        <v/>
      </c>
      <c r="G4421" s="37" t="n"/>
      <c r="H4421" s="37" t="n"/>
      <c r="I4421" s="37" t="n"/>
      <c r="J4421" s="40" t="str">
        <f>IF(OR(C4421="",NOT(ISNUMBER(E4421))),"",IFERROR(E4421*N(INDEX(art_price,MATCH(C4421,art_ref,0))),""))</f>
        <v/>
      </c>
      <c r="K4421" s="39" t="str">
        <f>IF(OR(C4421="",NOT(ISNUMBER(E4421))),"",IFERROR(ROUND(N(INDEX(art_init,MATCH(C4421,art_ref,0)))+SUMIFS($E$5:E4421,$C$5:C4421,C4421,$B$5:B4421,"Entrée")-SUMIFS($E$5:E4421,$C$5:C4421,C4421,$B$5:B4421,"Sortie"),6),""))</f>
        <v/>
      </c>
      <c r="L4421" s="39" t="str">
        <f>IF(COUNTA(A4421:C4421,E4421)=0,"",IF(COUNTA(A4421:C4421,E4421)&lt;4,"Ligne incomplète",IF(NOT(ISNUMBER(A4421)),"Date invalide",IF(AND(B4421&lt;&gt;"Entrée",B4421&lt;&gt;"Sortie"),"Type inconnu",IF(ISNA(MATCH(C4421,art_ref,0)),"Référence inconnue",IF(OR(NOT(ISNUMBER(E4421)),N(E4421)&lt;=0),"Quantité invalide",IF(K4421&lt;0,"Stock négatif",IF(AND(ISNUMBER(A4420),A4421&lt;A4420),"Date hors ordre","OK"))))))))</f>
        <v/>
      </c>
      <c r="M4421" s="39" t="str">
        <f>IF(C4421="","",C4421&amp;"#"&amp;COUNTIF($C$5:C4421,C4421))</f>
        <v/>
      </c>
    </row>
    <row r="4422">
      <c r="A4422" s="41" t="n"/>
      <c r="B4422" s="37" t="n"/>
      <c r="C4422" s="37" t="n"/>
      <c r="D4422" s="39" t="str">
        <f>IF(C4422="","",IFERROR(INDEX(art_des,MATCH(C4422,art_ref,0))&amp;"","Référence inconnue"))</f>
        <v/>
      </c>
      <c r="E4422" s="37" t="n"/>
      <c r="F4422" s="39" t="str">
        <f>IF(C4422="","",IFERROR(INDEX(art_unit,MATCH(C4422,art_ref,0))&amp;"",""))</f>
        <v/>
      </c>
      <c r="G4422" s="37" t="n"/>
      <c r="H4422" s="37" t="n"/>
      <c r="I4422" s="37" t="n"/>
      <c r="J4422" s="40" t="str">
        <f>IF(OR(C4422="",NOT(ISNUMBER(E4422))),"",IFERROR(E4422*N(INDEX(art_price,MATCH(C4422,art_ref,0))),""))</f>
        <v/>
      </c>
      <c r="K4422" s="39" t="str">
        <f>IF(OR(C4422="",NOT(ISNUMBER(E4422))),"",IFERROR(ROUND(N(INDEX(art_init,MATCH(C4422,art_ref,0)))+SUMIFS($E$5:E4422,$C$5:C4422,C4422,$B$5:B4422,"Entrée")-SUMIFS($E$5:E4422,$C$5:C4422,C4422,$B$5:B4422,"Sortie"),6),""))</f>
        <v/>
      </c>
      <c r="L4422" s="39" t="str">
        <f>IF(COUNTA(A4422:C4422,E4422)=0,"",IF(COUNTA(A4422:C4422,E4422)&lt;4,"Ligne incomplète",IF(NOT(ISNUMBER(A4422)),"Date invalide",IF(AND(B4422&lt;&gt;"Entrée",B4422&lt;&gt;"Sortie"),"Type inconnu",IF(ISNA(MATCH(C4422,art_ref,0)),"Référence inconnue",IF(OR(NOT(ISNUMBER(E4422)),N(E4422)&lt;=0),"Quantité invalide",IF(K4422&lt;0,"Stock négatif",IF(AND(ISNUMBER(A4421),A4422&lt;A4421),"Date hors ordre","OK"))))))))</f>
        <v/>
      </c>
      <c r="M4422" s="39" t="str">
        <f>IF(C4422="","",C4422&amp;"#"&amp;COUNTIF($C$5:C4422,C4422))</f>
        <v/>
      </c>
    </row>
    <row r="4423">
      <c r="A4423" s="41" t="n"/>
      <c r="B4423" s="37" t="n"/>
      <c r="C4423" s="37" t="n"/>
      <c r="D4423" s="39" t="str">
        <f>IF(C4423="","",IFERROR(INDEX(art_des,MATCH(C4423,art_ref,0))&amp;"","Référence inconnue"))</f>
        <v/>
      </c>
      <c r="E4423" s="37" t="n"/>
      <c r="F4423" s="39" t="str">
        <f>IF(C4423="","",IFERROR(INDEX(art_unit,MATCH(C4423,art_ref,0))&amp;"",""))</f>
        <v/>
      </c>
      <c r="G4423" s="37" t="n"/>
      <c r="H4423" s="37" t="n"/>
      <c r="I4423" s="37" t="n"/>
      <c r="J4423" s="40" t="str">
        <f>IF(OR(C4423="",NOT(ISNUMBER(E4423))),"",IFERROR(E4423*N(INDEX(art_price,MATCH(C4423,art_ref,0))),""))</f>
        <v/>
      </c>
      <c r="K4423" s="39" t="str">
        <f>IF(OR(C4423="",NOT(ISNUMBER(E4423))),"",IFERROR(ROUND(N(INDEX(art_init,MATCH(C4423,art_ref,0)))+SUMIFS($E$5:E4423,$C$5:C4423,C4423,$B$5:B4423,"Entrée")-SUMIFS($E$5:E4423,$C$5:C4423,C4423,$B$5:B4423,"Sortie"),6),""))</f>
        <v/>
      </c>
      <c r="L4423" s="39" t="str">
        <f>IF(COUNTA(A4423:C4423,E4423)=0,"",IF(COUNTA(A4423:C4423,E4423)&lt;4,"Ligne incomplète",IF(NOT(ISNUMBER(A4423)),"Date invalide",IF(AND(B4423&lt;&gt;"Entrée",B4423&lt;&gt;"Sortie"),"Type inconnu",IF(ISNA(MATCH(C4423,art_ref,0)),"Référence inconnue",IF(OR(NOT(ISNUMBER(E4423)),N(E4423)&lt;=0),"Quantité invalide",IF(K4423&lt;0,"Stock négatif",IF(AND(ISNUMBER(A4422),A4423&lt;A4422),"Date hors ordre","OK"))))))))</f>
        <v/>
      </c>
      <c r="M4423" s="39" t="str">
        <f>IF(C4423="","",C4423&amp;"#"&amp;COUNTIF($C$5:C4423,C4423))</f>
        <v/>
      </c>
    </row>
    <row r="4424">
      <c r="A4424" s="41" t="n"/>
      <c r="B4424" s="37" t="n"/>
      <c r="C4424" s="37" t="n"/>
      <c r="D4424" s="39" t="str">
        <f>IF(C4424="","",IFERROR(INDEX(art_des,MATCH(C4424,art_ref,0))&amp;"","Référence inconnue"))</f>
        <v/>
      </c>
      <c r="E4424" s="37" t="n"/>
      <c r="F4424" s="39" t="str">
        <f>IF(C4424="","",IFERROR(INDEX(art_unit,MATCH(C4424,art_ref,0))&amp;"",""))</f>
        <v/>
      </c>
      <c r="G4424" s="37" t="n"/>
      <c r="H4424" s="37" t="n"/>
      <c r="I4424" s="37" t="n"/>
      <c r="J4424" s="40" t="str">
        <f>IF(OR(C4424="",NOT(ISNUMBER(E4424))),"",IFERROR(E4424*N(INDEX(art_price,MATCH(C4424,art_ref,0))),""))</f>
        <v/>
      </c>
      <c r="K4424" s="39" t="str">
        <f>IF(OR(C4424="",NOT(ISNUMBER(E4424))),"",IFERROR(ROUND(N(INDEX(art_init,MATCH(C4424,art_ref,0)))+SUMIFS($E$5:E4424,$C$5:C4424,C4424,$B$5:B4424,"Entrée")-SUMIFS($E$5:E4424,$C$5:C4424,C4424,$B$5:B4424,"Sortie"),6),""))</f>
        <v/>
      </c>
      <c r="L4424" s="39" t="str">
        <f>IF(COUNTA(A4424:C4424,E4424)=0,"",IF(COUNTA(A4424:C4424,E4424)&lt;4,"Ligne incomplète",IF(NOT(ISNUMBER(A4424)),"Date invalide",IF(AND(B4424&lt;&gt;"Entrée",B4424&lt;&gt;"Sortie"),"Type inconnu",IF(ISNA(MATCH(C4424,art_ref,0)),"Référence inconnue",IF(OR(NOT(ISNUMBER(E4424)),N(E4424)&lt;=0),"Quantité invalide",IF(K4424&lt;0,"Stock négatif",IF(AND(ISNUMBER(A4423),A4424&lt;A4423),"Date hors ordre","OK"))))))))</f>
        <v/>
      </c>
      <c r="M4424" s="39" t="str">
        <f>IF(C4424="","",C4424&amp;"#"&amp;COUNTIF($C$5:C4424,C4424))</f>
        <v/>
      </c>
    </row>
    <row r="4425">
      <c r="A4425" s="41" t="n"/>
      <c r="B4425" s="37" t="n"/>
      <c r="C4425" s="37" t="n"/>
      <c r="D4425" s="39" t="str">
        <f>IF(C4425="","",IFERROR(INDEX(art_des,MATCH(C4425,art_ref,0))&amp;"","Référence inconnue"))</f>
        <v/>
      </c>
      <c r="E4425" s="37" t="n"/>
      <c r="F4425" s="39" t="str">
        <f>IF(C4425="","",IFERROR(INDEX(art_unit,MATCH(C4425,art_ref,0))&amp;"",""))</f>
        <v/>
      </c>
      <c r="G4425" s="37" t="n"/>
      <c r="H4425" s="37" t="n"/>
      <c r="I4425" s="37" t="n"/>
      <c r="J4425" s="40" t="str">
        <f>IF(OR(C4425="",NOT(ISNUMBER(E4425))),"",IFERROR(E4425*N(INDEX(art_price,MATCH(C4425,art_ref,0))),""))</f>
        <v/>
      </c>
      <c r="K4425" s="39" t="str">
        <f>IF(OR(C4425="",NOT(ISNUMBER(E4425))),"",IFERROR(ROUND(N(INDEX(art_init,MATCH(C4425,art_ref,0)))+SUMIFS($E$5:E4425,$C$5:C4425,C4425,$B$5:B4425,"Entrée")-SUMIFS($E$5:E4425,$C$5:C4425,C4425,$B$5:B4425,"Sortie"),6),""))</f>
        <v/>
      </c>
      <c r="L4425" s="39" t="str">
        <f>IF(COUNTA(A4425:C4425,E4425)=0,"",IF(COUNTA(A4425:C4425,E4425)&lt;4,"Ligne incomplète",IF(NOT(ISNUMBER(A4425)),"Date invalide",IF(AND(B4425&lt;&gt;"Entrée",B4425&lt;&gt;"Sortie"),"Type inconnu",IF(ISNA(MATCH(C4425,art_ref,0)),"Référence inconnue",IF(OR(NOT(ISNUMBER(E4425)),N(E4425)&lt;=0),"Quantité invalide",IF(K4425&lt;0,"Stock négatif",IF(AND(ISNUMBER(A4424),A4425&lt;A4424),"Date hors ordre","OK"))))))))</f>
        <v/>
      </c>
      <c r="M4425" s="39" t="str">
        <f>IF(C4425="","",C4425&amp;"#"&amp;COUNTIF($C$5:C4425,C4425))</f>
        <v/>
      </c>
    </row>
    <row r="4426">
      <c r="A4426" s="41" t="n"/>
      <c r="B4426" s="37" t="n"/>
      <c r="C4426" s="37" t="n"/>
      <c r="D4426" s="39" t="str">
        <f>IF(C4426="","",IFERROR(INDEX(art_des,MATCH(C4426,art_ref,0))&amp;"","Référence inconnue"))</f>
        <v/>
      </c>
      <c r="E4426" s="37" t="n"/>
      <c r="F4426" s="39" t="str">
        <f>IF(C4426="","",IFERROR(INDEX(art_unit,MATCH(C4426,art_ref,0))&amp;"",""))</f>
        <v/>
      </c>
      <c r="G4426" s="37" t="n"/>
      <c r="H4426" s="37" t="n"/>
      <c r="I4426" s="37" t="n"/>
      <c r="J4426" s="40" t="str">
        <f>IF(OR(C4426="",NOT(ISNUMBER(E4426))),"",IFERROR(E4426*N(INDEX(art_price,MATCH(C4426,art_ref,0))),""))</f>
        <v/>
      </c>
      <c r="K4426" s="39" t="str">
        <f>IF(OR(C4426="",NOT(ISNUMBER(E4426))),"",IFERROR(ROUND(N(INDEX(art_init,MATCH(C4426,art_ref,0)))+SUMIFS($E$5:E4426,$C$5:C4426,C4426,$B$5:B4426,"Entrée")-SUMIFS($E$5:E4426,$C$5:C4426,C4426,$B$5:B4426,"Sortie"),6),""))</f>
        <v/>
      </c>
      <c r="L4426" s="39" t="str">
        <f>IF(COUNTA(A4426:C4426,E4426)=0,"",IF(COUNTA(A4426:C4426,E4426)&lt;4,"Ligne incomplète",IF(NOT(ISNUMBER(A4426)),"Date invalide",IF(AND(B4426&lt;&gt;"Entrée",B4426&lt;&gt;"Sortie"),"Type inconnu",IF(ISNA(MATCH(C4426,art_ref,0)),"Référence inconnue",IF(OR(NOT(ISNUMBER(E4426)),N(E4426)&lt;=0),"Quantité invalide",IF(K4426&lt;0,"Stock négatif",IF(AND(ISNUMBER(A4425),A4426&lt;A4425),"Date hors ordre","OK"))))))))</f>
        <v/>
      </c>
      <c r="M4426" s="39" t="str">
        <f>IF(C4426="","",C4426&amp;"#"&amp;COUNTIF($C$5:C4426,C4426))</f>
        <v/>
      </c>
    </row>
    <row r="4427">
      <c r="A4427" s="41" t="n"/>
      <c r="B4427" s="37" t="n"/>
      <c r="C4427" s="37" t="n"/>
      <c r="D4427" s="39" t="str">
        <f>IF(C4427="","",IFERROR(INDEX(art_des,MATCH(C4427,art_ref,0))&amp;"","Référence inconnue"))</f>
        <v/>
      </c>
      <c r="E4427" s="37" t="n"/>
      <c r="F4427" s="39" t="str">
        <f>IF(C4427="","",IFERROR(INDEX(art_unit,MATCH(C4427,art_ref,0))&amp;"",""))</f>
        <v/>
      </c>
      <c r="G4427" s="37" t="n"/>
      <c r="H4427" s="37" t="n"/>
      <c r="I4427" s="37" t="n"/>
      <c r="J4427" s="40" t="str">
        <f>IF(OR(C4427="",NOT(ISNUMBER(E4427))),"",IFERROR(E4427*N(INDEX(art_price,MATCH(C4427,art_ref,0))),""))</f>
        <v/>
      </c>
      <c r="K4427" s="39" t="str">
        <f>IF(OR(C4427="",NOT(ISNUMBER(E4427))),"",IFERROR(ROUND(N(INDEX(art_init,MATCH(C4427,art_ref,0)))+SUMIFS($E$5:E4427,$C$5:C4427,C4427,$B$5:B4427,"Entrée")-SUMIFS($E$5:E4427,$C$5:C4427,C4427,$B$5:B4427,"Sortie"),6),""))</f>
        <v/>
      </c>
      <c r="L4427" s="39" t="str">
        <f>IF(COUNTA(A4427:C4427,E4427)=0,"",IF(COUNTA(A4427:C4427,E4427)&lt;4,"Ligne incomplète",IF(NOT(ISNUMBER(A4427)),"Date invalide",IF(AND(B4427&lt;&gt;"Entrée",B4427&lt;&gt;"Sortie"),"Type inconnu",IF(ISNA(MATCH(C4427,art_ref,0)),"Référence inconnue",IF(OR(NOT(ISNUMBER(E4427)),N(E4427)&lt;=0),"Quantité invalide",IF(K4427&lt;0,"Stock négatif",IF(AND(ISNUMBER(A4426),A4427&lt;A4426),"Date hors ordre","OK"))))))))</f>
        <v/>
      </c>
      <c r="M4427" s="39" t="str">
        <f>IF(C4427="","",C4427&amp;"#"&amp;COUNTIF($C$5:C4427,C4427))</f>
        <v/>
      </c>
    </row>
    <row r="4428">
      <c r="A4428" s="41" t="n"/>
      <c r="B4428" s="37" t="n"/>
      <c r="C4428" s="37" t="n"/>
      <c r="D4428" s="39" t="str">
        <f>IF(C4428="","",IFERROR(INDEX(art_des,MATCH(C4428,art_ref,0))&amp;"","Référence inconnue"))</f>
        <v/>
      </c>
      <c r="E4428" s="37" t="n"/>
      <c r="F4428" s="39" t="str">
        <f>IF(C4428="","",IFERROR(INDEX(art_unit,MATCH(C4428,art_ref,0))&amp;"",""))</f>
        <v/>
      </c>
      <c r="G4428" s="37" t="n"/>
      <c r="H4428" s="37" t="n"/>
      <c r="I4428" s="37" t="n"/>
      <c r="J4428" s="40" t="str">
        <f>IF(OR(C4428="",NOT(ISNUMBER(E4428))),"",IFERROR(E4428*N(INDEX(art_price,MATCH(C4428,art_ref,0))),""))</f>
        <v/>
      </c>
      <c r="K4428" s="39" t="str">
        <f>IF(OR(C4428="",NOT(ISNUMBER(E4428))),"",IFERROR(ROUND(N(INDEX(art_init,MATCH(C4428,art_ref,0)))+SUMIFS($E$5:E4428,$C$5:C4428,C4428,$B$5:B4428,"Entrée")-SUMIFS($E$5:E4428,$C$5:C4428,C4428,$B$5:B4428,"Sortie"),6),""))</f>
        <v/>
      </c>
      <c r="L4428" s="39" t="str">
        <f>IF(COUNTA(A4428:C4428,E4428)=0,"",IF(COUNTA(A4428:C4428,E4428)&lt;4,"Ligne incomplète",IF(NOT(ISNUMBER(A4428)),"Date invalide",IF(AND(B4428&lt;&gt;"Entrée",B4428&lt;&gt;"Sortie"),"Type inconnu",IF(ISNA(MATCH(C4428,art_ref,0)),"Référence inconnue",IF(OR(NOT(ISNUMBER(E4428)),N(E4428)&lt;=0),"Quantité invalide",IF(K4428&lt;0,"Stock négatif",IF(AND(ISNUMBER(A4427),A4428&lt;A4427),"Date hors ordre","OK"))))))))</f>
        <v/>
      </c>
      <c r="M4428" s="39" t="str">
        <f>IF(C4428="","",C4428&amp;"#"&amp;COUNTIF($C$5:C4428,C4428))</f>
        <v/>
      </c>
    </row>
    <row r="4429">
      <c r="A4429" s="41" t="n"/>
      <c r="B4429" s="37" t="n"/>
      <c r="C4429" s="37" t="n"/>
      <c r="D4429" s="39" t="str">
        <f>IF(C4429="","",IFERROR(INDEX(art_des,MATCH(C4429,art_ref,0))&amp;"","Référence inconnue"))</f>
        <v/>
      </c>
      <c r="E4429" s="37" t="n"/>
      <c r="F4429" s="39" t="str">
        <f>IF(C4429="","",IFERROR(INDEX(art_unit,MATCH(C4429,art_ref,0))&amp;"",""))</f>
        <v/>
      </c>
      <c r="G4429" s="37" t="n"/>
      <c r="H4429" s="37" t="n"/>
      <c r="I4429" s="37" t="n"/>
      <c r="J4429" s="40" t="str">
        <f>IF(OR(C4429="",NOT(ISNUMBER(E4429))),"",IFERROR(E4429*N(INDEX(art_price,MATCH(C4429,art_ref,0))),""))</f>
        <v/>
      </c>
      <c r="K4429" s="39" t="str">
        <f>IF(OR(C4429="",NOT(ISNUMBER(E4429))),"",IFERROR(ROUND(N(INDEX(art_init,MATCH(C4429,art_ref,0)))+SUMIFS($E$5:E4429,$C$5:C4429,C4429,$B$5:B4429,"Entrée")-SUMIFS($E$5:E4429,$C$5:C4429,C4429,$B$5:B4429,"Sortie"),6),""))</f>
        <v/>
      </c>
      <c r="L4429" s="39" t="str">
        <f>IF(COUNTA(A4429:C4429,E4429)=0,"",IF(COUNTA(A4429:C4429,E4429)&lt;4,"Ligne incomplète",IF(NOT(ISNUMBER(A4429)),"Date invalide",IF(AND(B4429&lt;&gt;"Entrée",B4429&lt;&gt;"Sortie"),"Type inconnu",IF(ISNA(MATCH(C4429,art_ref,0)),"Référence inconnue",IF(OR(NOT(ISNUMBER(E4429)),N(E4429)&lt;=0),"Quantité invalide",IF(K4429&lt;0,"Stock négatif",IF(AND(ISNUMBER(A4428),A4429&lt;A4428),"Date hors ordre","OK"))))))))</f>
        <v/>
      </c>
      <c r="M4429" s="39" t="str">
        <f>IF(C4429="","",C4429&amp;"#"&amp;COUNTIF($C$5:C4429,C4429))</f>
        <v/>
      </c>
    </row>
    <row r="4430">
      <c r="A4430" s="41" t="n"/>
      <c r="B4430" s="37" t="n"/>
      <c r="C4430" s="37" t="n"/>
      <c r="D4430" s="39" t="str">
        <f>IF(C4430="","",IFERROR(INDEX(art_des,MATCH(C4430,art_ref,0))&amp;"","Référence inconnue"))</f>
        <v/>
      </c>
      <c r="E4430" s="37" t="n"/>
      <c r="F4430" s="39" t="str">
        <f>IF(C4430="","",IFERROR(INDEX(art_unit,MATCH(C4430,art_ref,0))&amp;"",""))</f>
        <v/>
      </c>
      <c r="G4430" s="37" t="n"/>
      <c r="H4430" s="37" t="n"/>
      <c r="I4430" s="37" t="n"/>
      <c r="J4430" s="40" t="str">
        <f>IF(OR(C4430="",NOT(ISNUMBER(E4430))),"",IFERROR(E4430*N(INDEX(art_price,MATCH(C4430,art_ref,0))),""))</f>
        <v/>
      </c>
      <c r="K4430" s="39" t="str">
        <f>IF(OR(C4430="",NOT(ISNUMBER(E4430))),"",IFERROR(ROUND(N(INDEX(art_init,MATCH(C4430,art_ref,0)))+SUMIFS($E$5:E4430,$C$5:C4430,C4430,$B$5:B4430,"Entrée")-SUMIFS($E$5:E4430,$C$5:C4430,C4430,$B$5:B4430,"Sortie"),6),""))</f>
        <v/>
      </c>
      <c r="L4430" s="39" t="str">
        <f>IF(COUNTA(A4430:C4430,E4430)=0,"",IF(COUNTA(A4430:C4430,E4430)&lt;4,"Ligne incomplète",IF(NOT(ISNUMBER(A4430)),"Date invalide",IF(AND(B4430&lt;&gt;"Entrée",B4430&lt;&gt;"Sortie"),"Type inconnu",IF(ISNA(MATCH(C4430,art_ref,0)),"Référence inconnue",IF(OR(NOT(ISNUMBER(E4430)),N(E4430)&lt;=0),"Quantité invalide",IF(K4430&lt;0,"Stock négatif",IF(AND(ISNUMBER(A4429),A4430&lt;A4429),"Date hors ordre","OK"))))))))</f>
        <v/>
      </c>
      <c r="M4430" s="39" t="str">
        <f>IF(C4430="","",C4430&amp;"#"&amp;COUNTIF($C$5:C4430,C4430))</f>
        <v/>
      </c>
    </row>
    <row r="4431">
      <c r="A4431" s="41" t="n"/>
      <c r="B4431" s="37" t="n"/>
      <c r="C4431" s="37" t="n"/>
      <c r="D4431" s="39" t="str">
        <f>IF(C4431="","",IFERROR(INDEX(art_des,MATCH(C4431,art_ref,0))&amp;"","Référence inconnue"))</f>
        <v/>
      </c>
      <c r="E4431" s="37" t="n"/>
      <c r="F4431" s="39" t="str">
        <f>IF(C4431="","",IFERROR(INDEX(art_unit,MATCH(C4431,art_ref,0))&amp;"",""))</f>
        <v/>
      </c>
      <c r="G4431" s="37" t="n"/>
      <c r="H4431" s="37" t="n"/>
      <c r="I4431" s="37" t="n"/>
      <c r="J4431" s="40" t="str">
        <f>IF(OR(C4431="",NOT(ISNUMBER(E4431))),"",IFERROR(E4431*N(INDEX(art_price,MATCH(C4431,art_ref,0))),""))</f>
        <v/>
      </c>
      <c r="K4431" s="39" t="str">
        <f>IF(OR(C4431="",NOT(ISNUMBER(E4431))),"",IFERROR(ROUND(N(INDEX(art_init,MATCH(C4431,art_ref,0)))+SUMIFS($E$5:E4431,$C$5:C4431,C4431,$B$5:B4431,"Entrée")-SUMIFS($E$5:E4431,$C$5:C4431,C4431,$B$5:B4431,"Sortie"),6),""))</f>
        <v/>
      </c>
      <c r="L4431" s="39" t="str">
        <f>IF(COUNTA(A4431:C4431,E4431)=0,"",IF(COUNTA(A4431:C4431,E4431)&lt;4,"Ligne incomplète",IF(NOT(ISNUMBER(A4431)),"Date invalide",IF(AND(B4431&lt;&gt;"Entrée",B4431&lt;&gt;"Sortie"),"Type inconnu",IF(ISNA(MATCH(C4431,art_ref,0)),"Référence inconnue",IF(OR(NOT(ISNUMBER(E4431)),N(E4431)&lt;=0),"Quantité invalide",IF(K4431&lt;0,"Stock négatif",IF(AND(ISNUMBER(A4430),A4431&lt;A4430),"Date hors ordre","OK"))))))))</f>
        <v/>
      </c>
      <c r="M4431" s="39" t="str">
        <f>IF(C4431="","",C4431&amp;"#"&amp;COUNTIF($C$5:C4431,C4431))</f>
        <v/>
      </c>
    </row>
    <row r="4432">
      <c r="A4432" s="41" t="n"/>
      <c r="B4432" s="37" t="n"/>
      <c r="C4432" s="37" t="n"/>
      <c r="D4432" s="39" t="str">
        <f>IF(C4432="","",IFERROR(INDEX(art_des,MATCH(C4432,art_ref,0))&amp;"","Référence inconnue"))</f>
        <v/>
      </c>
      <c r="E4432" s="37" t="n"/>
      <c r="F4432" s="39" t="str">
        <f>IF(C4432="","",IFERROR(INDEX(art_unit,MATCH(C4432,art_ref,0))&amp;"",""))</f>
        <v/>
      </c>
      <c r="G4432" s="37" t="n"/>
      <c r="H4432" s="37" t="n"/>
      <c r="I4432" s="37" t="n"/>
      <c r="J4432" s="40" t="str">
        <f>IF(OR(C4432="",NOT(ISNUMBER(E4432))),"",IFERROR(E4432*N(INDEX(art_price,MATCH(C4432,art_ref,0))),""))</f>
        <v/>
      </c>
      <c r="K4432" s="39" t="str">
        <f>IF(OR(C4432="",NOT(ISNUMBER(E4432))),"",IFERROR(ROUND(N(INDEX(art_init,MATCH(C4432,art_ref,0)))+SUMIFS($E$5:E4432,$C$5:C4432,C4432,$B$5:B4432,"Entrée")-SUMIFS($E$5:E4432,$C$5:C4432,C4432,$B$5:B4432,"Sortie"),6),""))</f>
        <v/>
      </c>
      <c r="L4432" s="39" t="str">
        <f>IF(COUNTA(A4432:C4432,E4432)=0,"",IF(COUNTA(A4432:C4432,E4432)&lt;4,"Ligne incomplète",IF(NOT(ISNUMBER(A4432)),"Date invalide",IF(AND(B4432&lt;&gt;"Entrée",B4432&lt;&gt;"Sortie"),"Type inconnu",IF(ISNA(MATCH(C4432,art_ref,0)),"Référence inconnue",IF(OR(NOT(ISNUMBER(E4432)),N(E4432)&lt;=0),"Quantité invalide",IF(K4432&lt;0,"Stock négatif",IF(AND(ISNUMBER(A4431),A4432&lt;A4431),"Date hors ordre","OK"))))))))</f>
        <v/>
      </c>
      <c r="M4432" s="39" t="str">
        <f>IF(C4432="","",C4432&amp;"#"&amp;COUNTIF($C$5:C4432,C4432))</f>
        <v/>
      </c>
    </row>
    <row r="4433">
      <c r="A4433" s="41" t="n"/>
      <c r="B4433" s="37" t="n"/>
      <c r="C4433" s="37" t="n"/>
      <c r="D4433" s="39" t="str">
        <f>IF(C4433="","",IFERROR(INDEX(art_des,MATCH(C4433,art_ref,0))&amp;"","Référence inconnue"))</f>
        <v/>
      </c>
      <c r="E4433" s="37" t="n"/>
      <c r="F4433" s="39" t="str">
        <f>IF(C4433="","",IFERROR(INDEX(art_unit,MATCH(C4433,art_ref,0))&amp;"",""))</f>
        <v/>
      </c>
      <c r="G4433" s="37" t="n"/>
      <c r="H4433" s="37" t="n"/>
      <c r="I4433" s="37" t="n"/>
      <c r="J4433" s="40" t="str">
        <f>IF(OR(C4433="",NOT(ISNUMBER(E4433))),"",IFERROR(E4433*N(INDEX(art_price,MATCH(C4433,art_ref,0))),""))</f>
        <v/>
      </c>
      <c r="K4433" s="39" t="str">
        <f>IF(OR(C4433="",NOT(ISNUMBER(E4433))),"",IFERROR(ROUND(N(INDEX(art_init,MATCH(C4433,art_ref,0)))+SUMIFS($E$5:E4433,$C$5:C4433,C4433,$B$5:B4433,"Entrée")-SUMIFS($E$5:E4433,$C$5:C4433,C4433,$B$5:B4433,"Sortie"),6),""))</f>
        <v/>
      </c>
      <c r="L4433" s="39" t="str">
        <f>IF(COUNTA(A4433:C4433,E4433)=0,"",IF(COUNTA(A4433:C4433,E4433)&lt;4,"Ligne incomplète",IF(NOT(ISNUMBER(A4433)),"Date invalide",IF(AND(B4433&lt;&gt;"Entrée",B4433&lt;&gt;"Sortie"),"Type inconnu",IF(ISNA(MATCH(C4433,art_ref,0)),"Référence inconnue",IF(OR(NOT(ISNUMBER(E4433)),N(E4433)&lt;=0),"Quantité invalide",IF(K4433&lt;0,"Stock négatif",IF(AND(ISNUMBER(A4432),A4433&lt;A4432),"Date hors ordre","OK"))))))))</f>
        <v/>
      </c>
      <c r="M4433" s="39" t="str">
        <f>IF(C4433="","",C4433&amp;"#"&amp;COUNTIF($C$5:C4433,C4433))</f>
        <v/>
      </c>
    </row>
    <row r="4434">
      <c r="A4434" s="41" t="n"/>
      <c r="B4434" s="37" t="n"/>
      <c r="C4434" s="37" t="n"/>
      <c r="D4434" s="39" t="str">
        <f>IF(C4434="","",IFERROR(INDEX(art_des,MATCH(C4434,art_ref,0))&amp;"","Référence inconnue"))</f>
        <v/>
      </c>
      <c r="E4434" s="37" t="n"/>
      <c r="F4434" s="39" t="str">
        <f>IF(C4434="","",IFERROR(INDEX(art_unit,MATCH(C4434,art_ref,0))&amp;"",""))</f>
        <v/>
      </c>
      <c r="G4434" s="37" t="n"/>
      <c r="H4434" s="37" t="n"/>
      <c r="I4434" s="37" t="n"/>
      <c r="J4434" s="40" t="str">
        <f>IF(OR(C4434="",NOT(ISNUMBER(E4434))),"",IFERROR(E4434*N(INDEX(art_price,MATCH(C4434,art_ref,0))),""))</f>
        <v/>
      </c>
      <c r="K4434" s="39" t="str">
        <f>IF(OR(C4434="",NOT(ISNUMBER(E4434))),"",IFERROR(ROUND(N(INDEX(art_init,MATCH(C4434,art_ref,0)))+SUMIFS($E$5:E4434,$C$5:C4434,C4434,$B$5:B4434,"Entrée")-SUMIFS($E$5:E4434,$C$5:C4434,C4434,$B$5:B4434,"Sortie"),6),""))</f>
        <v/>
      </c>
      <c r="L4434" s="39" t="str">
        <f>IF(COUNTA(A4434:C4434,E4434)=0,"",IF(COUNTA(A4434:C4434,E4434)&lt;4,"Ligne incomplète",IF(NOT(ISNUMBER(A4434)),"Date invalide",IF(AND(B4434&lt;&gt;"Entrée",B4434&lt;&gt;"Sortie"),"Type inconnu",IF(ISNA(MATCH(C4434,art_ref,0)),"Référence inconnue",IF(OR(NOT(ISNUMBER(E4434)),N(E4434)&lt;=0),"Quantité invalide",IF(K4434&lt;0,"Stock négatif",IF(AND(ISNUMBER(A4433),A4434&lt;A4433),"Date hors ordre","OK"))))))))</f>
        <v/>
      </c>
      <c r="M4434" s="39" t="str">
        <f>IF(C4434="","",C4434&amp;"#"&amp;COUNTIF($C$5:C4434,C4434))</f>
        <v/>
      </c>
    </row>
    <row r="4435">
      <c r="A4435" s="41" t="n"/>
      <c r="B4435" s="37" t="n"/>
      <c r="C4435" s="37" t="n"/>
      <c r="D4435" s="39" t="str">
        <f>IF(C4435="","",IFERROR(INDEX(art_des,MATCH(C4435,art_ref,0))&amp;"","Référence inconnue"))</f>
        <v/>
      </c>
      <c r="E4435" s="37" t="n"/>
      <c r="F4435" s="39" t="str">
        <f>IF(C4435="","",IFERROR(INDEX(art_unit,MATCH(C4435,art_ref,0))&amp;"",""))</f>
        <v/>
      </c>
      <c r="G4435" s="37" t="n"/>
      <c r="H4435" s="37" t="n"/>
      <c r="I4435" s="37" t="n"/>
      <c r="J4435" s="40" t="str">
        <f>IF(OR(C4435="",NOT(ISNUMBER(E4435))),"",IFERROR(E4435*N(INDEX(art_price,MATCH(C4435,art_ref,0))),""))</f>
        <v/>
      </c>
      <c r="K4435" s="39" t="str">
        <f>IF(OR(C4435="",NOT(ISNUMBER(E4435))),"",IFERROR(ROUND(N(INDEX(art_init,MATCH(C4435,art_ref,0)))+SUMIFS($E$5:E4435,$C$5:C4435,C4435,$B$5:B4435,"Entrée")-SUMIFS($E$5:E4435,$C$5:C4435,C4435,$B$5:B4435,"Sortie"),6),""))</f>
        <v/>
      </c>
      <c r="L4435" s="39" t="str">
        <f>IF(COUNTA(A4435:C4435,E4435)=0,"",IF(COUNTA(A4435:C4435,E4435)&lt;4,"Ligne incomplète",IF(NOT(ISNUMBER(A4435)),"Date invalide",IF(AND(B4435&lt;&gt;"Entrée",B4435&lt;&gt;"Sortie"),"Type inconnu",IF(ISNA(MATCH(C4435,art_ref,0)),"Référence inconnue",IF(OR(NOT(ISNUMBER(E4435)),N(E4435)&lt;=0),"Quantité invalide",IF(K4435&lt;0,"Stock négatif",IF(AND(ISNUMBER(A4434),A4435&lt;A4434),"Date hors ordre","OK"))))))))</f>
        <v/>
      </c>
      <c r="M4435" s="39" t="str">
        <f>IF(C4435="","",C4435&amp;"#"&amp;COUNTIF($C$5:C4435,C4435))</f>
        <v/>
      </c>
    </row>
    <row r="4436">
      <c r="A4436" s="41" t="n"/>
      <c r="B4436" s="37" t="n"/>
      <c r="C4436" s="37" t="n"/>
      <c r="D4436" s="39" t="str">
        <f>IF(C4436="","",IFERROR(INDEX(art_des,MATCH(C4436,art_ref,0))&amp;"","Référence inconnue"))</f>
        <v/>
      </c>
      <c r="E4436" s="37" t="n"/>
      <c r="F4436" s="39" t="str">
        <f>IF(C4436="","",IFERROR(INDEX(art_unit,MATCH(C4436,art_ref,0))&amp;"",""))</f>
        <v/>
      </c>
      <c r="G4436" s="37" t="n"/>
      <c r="H4436" s="37" t="n"/>
      <c r="I4436" s="37" t="n"/>
      <c r="J4436" s="40" t="str">
        <f>IF(OR(C4436="",NOT(ISNUMBER(E4436))),"",IFERROR(E4436*N(INDEX(art_price,MATCH(C4436,art_ref,0))),""))</f>
        <v/>
      </c>
      <c r="K4436" s="39" t="str">
        <f>IF(OR(C4436="",NOT(ISNUMBER(E4436))),"",IFERROR(ROUND(N(INDEX(art_init,MATCH(C4436,art_ref,0)))+SUMIFS($E$5:E4436,$C$5:C4436,C4436,$B$5:B4436,"Entrée")-SUMIFS($E$5:E4436,$C$5:C4436,C4436,$B$5:B4436,"Sortie"),6),""))</f>
        <v/>
      </c>
      <c r="L4436" s="39" t="str">
        <f>IF(COUNTA(A4436:C4436,E4436)=0,"",IF(COUNTA(A4436:C4436,E4436)&lt;4,"Ligne incomplète",IF(NOT(ISNUMBER(A4436)),"Date invalide",IF(AND(B4436&lt;&gt;"Entrée",B4436&lt;&gt;"Sortie"),"Type inconnu",IF(ISNA(MATCH(C4436,art_ref,0)),"Référence inconnue",IF(OR(NOT(ISNUMBER(E4436)),N(E4436)&lt;=0),"Quantité invalide",IF(K4436&lt;0,"Stock négatif",IF(AND(ISNUMBER(A4435),A4436&lt;A4435),"Date hors ordre","OK"))))))))</f>
        <v/>
      </c>
      <c r="M4436" s="39" t="str">
        <f>IF(C4436="","",C4436&amp;"#"&amp;COUNTIF($C$5:C4436,C4436))</f>
        <v/>
      </c>
    </row>
    <row r="4437">
      <c r="A4437" s="41" t="n"/>
      <c r="B4437" s="37" t="n"/>
      <c r="C4437" s="37" t="n"/>
      <c r="D4437" s="39" t="str">
        <f>IF(C4437="","",IFERROR(INDEX(art_des,MATCH(C4437,art_ref,0))&amp;"","Référence inconnue"))</f>
        <v/>
      </c>
      <c r="E4437" s="37" t="n"/>
      <c r="F4437" s="39" t="str">
        <f>IF(C4437="","",IFERROR(INDEX(art_unit,MATCH(C4437,art_ref,0))&amp;"",""))</f>
        <v/>
      </c>
      <c r="G4437" s="37" t="n"/>
      <c r="H4437" s="37" t="n"/>
      <c r="I4437" s="37" t="n"/>
      <c r="J4437" s="40" t="str">
        <f>IF(OR(C4437="",NOT(ISNUMBER(E4437))),"",IFERROR(E4437*N(INDEX(art_price,MATCH(C4437,art_ref,0))),""))</f>
        <v/>
      </c>
      <c r="K4437" s="39" t="str">
        <f>IF(OR(C4437="",NOT(ISNUMBER(E4437))),"",IFERROR(ROUND(N(INDEX(art_init,MATCH(C4437,art_ref,0)))+SUMIFS($E$5:E4437,$C$5:C4437,C4437,$B$5:B4437,"Entrée")-SUMIFS($E$5:E4437,$C$5:C4437,C4437,$B$5:B4437,"Sortie"),6),""))</f>
        <v/>
      </c>
      <c r="L4437" s="39" t="str">
        <f>IF(COUNTA(A4437:C4437,E4437)=0,"",IF(COUNTA(A4437:C4437,E4437)&lt;4,"Ligne incomplète",IF(NOT(ISNUMBER(A4437)),"Date invalide",IF(AND(B4437&lt;&gt;"Entrée",B4437&lt;&gt;"Sortie"),"Type inconnu",IF(ISNA(MATCH(C4437,art_ref,0)),"Référence inconnue",IF(OR(NOT(ISNUMBER(E4437)),N(E4437)&lt;=0),"Quantité invalide",IF(K4437&lt;0,"Stock négatif",IF(AND(ISNUMBER(A4436),A4437&lt;A4436),"Date hors ordre","OK"))))))))</f>
        <v/>
      </c>
      <c r="M4437" s="39" t="str">
        <f>IF(C4437="","",C4437&amp;"#"&amp;COUNTIF($C$5:C4437,C4437))</f>
        <v/>
      </c>
    </row>
    <row r="4438">
      <c r="A4438" s="41" t="n"/>
      <c r="B4438" s="37" t="n"/>
      <c r="C4438" s="37" t="n"/>
      <c r="D4438" s="39" t="str">
        <f>IF(C4438="","",IFERROR(INDEX(art_des,MATCH(C4438,art_ref,0))&amp;"","Référence inconnue"))</f>
        <v/>
      </c>
      <c r="E4438" s="37" t="n"/>
      <c r="F4438" s="39" t="str">
        <f>IF(C4438="","",IFERROR(INDEX(art_unit,MATCH(C4438,art_ref,0))&amp;"",""))</f>
        <v/>
      </c>
      <c r="G4438" s="37" t="n"/>
      <c r="H4438" s="37" t="n"/>
      <c r="I4438" s="37" t="n"/>
      <c r="J4438" s="40" t="str">
        <f>IF(OR(C4438="",NOT(ISNUMBER(E4438))),"",IFERROR(E4438*N(INDEX(art_price,MATCH(C4438,art_ref,0))),""))</f>
        <v/>
      </c>
      <c r="K4438" s="39" t="str">
        <f>IF(OR(C4438="",NOT(ISNUMBER(E4438))),"",IFERROR(ROUND(N(INDEX(art_init,MATCH(C4438,art_ref,0)))+SUMIFS($E$5:E4438,$C$5:C4438,C4438,$B$5:B4438,"Entrée")-SUMIFS($E$5:E4438,$C$5:C4438,C4438,$B$5:B4438,"Sortie"),6),""))</f>
        <v/>
      </c>
      <c r="L4438" s="39" t="str">
        <f>IF(COUNTA(A4438:C4438,E4438)=0,"",IF(COUNTA(A4438:C4438,E4438)&lt;4,"Ligne incomplète",IF(NOT(ISNUMBER(A4438)),"Date invalide",IF(AND(B4438&lt;&gt;"Entrée",B4438&lt;&gt;"Sortie"),"Type inconnu",IF(ISNA(MATCH(C4438,art_ref,0)),"Référence inconnue",IF(OR(NOT(ISNUMBER(E4438)),N(E4438)&lt;=0),"Quantité invalide",IF(K4438&lt;0,"Stock négatif",IF(AND(ISNUMBER(A4437),A4438&lt;A4437),"Date hors ordre","OK"))))))))</f>
        <v/>
      </c>
      <c r="M4438" s="39" t="str">
        <f>IF(C4438="","",C4438&amp;"#"&amp;COUNTIF($C$5:C4438,C4438))</f>
        <v/>
      </c>
    </row>
    <row r="4439">
      <c r="A4439" s="41" t="n"/>
      <c r="B4439" s="37" t="n"/>
      <c r="C4439" s="37" t="n"/>
      <c r="D4439" s="39" t="str">
        <f>IF(C4439="","",IFERROR(INDEX(art_des,MATCH(C4439,art_ref,0))&amp;"","Référence inconnue"))</f>
        <v/>
      </c>
      <c r="E4439" s="37" t="n"/>
      <c r="F4439" s="39" t="str">
        <f>IF(C4439="","",IFERROR(INDEX(art_unit,MATCH(C4439,art_ref,0))&amp;"",""))</f>
        <v/>
      </c>
      <c r="G4439" s="37" t="n"/>
      <c r="H4439" s="37" t="n"/>
      <c r="I4439" s="37" t="n"/>
      <c r="J4439" s="40" t="str">
        <f>IF(OR(C4439="",NOT(ISNUMBER(E4439))),"",IFERROR(E4439*N(INDEX(art_price,MATCH(C4439,art_ref,0))),""))</f>
        <v/>
      </c>
      <c r="K4439" s="39" t="str">
        <f>IF(OR(C4439="",NOT(ISNUMBER(E4439))),"",IFERROR(ROUND(N(INDEX(art_init,MATCH(C4439,art_ref,0)))+SUMIFS($E$5:E4439,$C$5:C4439,C4439,$B$5:B4439,"Entrée")-SUMIFS($E$5:E4439,$C$5:C4439,C4439,$B$5:B4439,"Sortie"),6),""))</f>
        <v/>
      </c>
      <c r="L4439" s="39" t="str">
        <f>IF(COUNTA(A4439:C4439,E4439)=0,"",IF(COUNTA(A4439:C4439,E4439)&lt;4,"Ligne incomplète",IF(NOT(ISNUMBER(A4439)),"Date invalide",IF(AND(B4439&lt;&gt;"Entrée",B4439&lt;&gt;"Sortie"),"Type inconnu",IF(ISNA(MATCH(C4439,art_ref,0)),"Référence inconnue",IF(OR(NOT(ISNUMBER(E4439)),N(E4439)&lt;=0),"Quantité invalide",IF(K4439&lt;0,"Stock négatif",IF(AND(ISNUMBER(A4438),A4439&lt;A4438),"Date hors ordre","OK"))))))))</f>
        <v/>
      </c>
      <c r="M4439" s="39" t="str">
        <f>IF(C4439="","",C4439&amp;"#"&amp;COUNTIF($C$5:C4439,C4439))</f>
        <v/>
      </c>
    </row>
    <row r="4440">
      <c r="A4440" s="41" t="n"/>
      <c r="B4440" s="37" t="n"/>
      <c r="C4440" s="37" t="n"/>
      <c r="D4440" s="39" t="str">
        <f>IF(C4440="","",IFERROR(INDEX(art_des,MATCH(C4440,art_ref,0))&amp;"","Référence inconnue"))</f>
        <v/>
      </c>
      <c r="E4440" s="37" t="n"/>
      <c r="F4440" s="39" t="str">
        <f>IF(C4440="","",IFERROR(INDEX(art_unit,MATCH(C4440,art_ref,0))&amp;"",""))</f>
        <v/>
      </c>
      <c r="G4440" s="37" t="n"/>
      <c r="H4440" s="37" t="n"/>
      <c r="I4440" s="37" t="n"/>
      <c r="J4440" s="40" t="str">
        <f>IF(OR(C4440="",NOT(ISNUMBER(E4440))),"",IFERROR(E4440*N(INDEX(art_price,MATCH(C4440,art_ref,0))),""))</f>
        <v/>
      </c>
      <c r="K4440" s="39" t="str">
        <f>IF(OR(C4440="",NOT(ISNUMBER(E4440))),"",IFERROR(ROUND(N(INDEX(art_init,MATCH(C4440,art_ref,0)))+SUMIFS($E$5:E4440,$C$5:C4440,C4440,$B$5:B4440,"Entrée")-SUMIFS($E$5:E4440,$C$5:C4440,C4440,$B$5:B4440,"Sortie"),6),""))</f>
        <v/>
      </c>
      <c r="L4440" s="39" t="str">
        <f>IF(COUNTA(A4440:C4440,E4440)=0,"",IF(COUNTA(A4440:C4440,E4440)&lt;4,"Ligne incomplète",IF(NOT(ISNUMBER(A4440)),"Date invalide",IF(AND(B4440&lt;&gt;"Entrée",B4440&lt;&gt;"Sortie"),"Type inconnu",IF(ISNA(MATCH(C4440,art_ref,0)),"Référence inconnue",IF(OR(NOT(ISNUMBER(E4440)),N(E4440)&lt;=0),"Quantité invalide",IF(K4440&lt;0,"Stock négatif",IF(AND(ISNUMBER(A4439),A4440&lt;A4439),"Date hors ordre","OK"))))))))</f>
        <v/>
      </c>
      <c r="M4440" s="39" t="str">
        <f>IF(C4440="","",C4440&amp;"#"&amp;COUNTIF($C$5:C4440,C4440))</f>
        <v/>
      </c>
    </row>
    <row r="4441">
      <c r="A4441" s="41" t="n"/>
      <c r="B4441" s="37" t="n"/>
      <c r="C4441" s="37" t="n"/>
      <c r="D4441" s="39" t="str">
        <f>IF(C4441="","",IFERROR(INDEX(art_des,MATCH(C4441,art_ref,0))&amp;"","Référence inconnue"))</f>
        <v/>
      </c>
      <c r="E4441" s="37" t="n"/>
      <c r="F4441" s="39" t="str">
        <f>IF(C4441="","",IFERROR(INDEX(art_unit,MATCH(C4441,art_ref,0))&amp;"",""))</f>
        <v/>
      </c>
      <c r="G4441" s="37" t="n"/>
      <c r="H4441" s="37" t="n"/>
      <c r="I4441" s="37" t="n"/>
      <c r="J4441" s="40" t="str">
        <f>IF(OR(C4441="",NOT(ISNUMBER(E4441))),"",IFERROR(E4441*N(INDEX(art_price,MATCH(C4441,art_ref,0))),""))</f>
        <v/>
      </c>
      <c r="K4441" s="39" t="str">
        <f>IF(OR(C4441="",NOT(ISNUMBER(E4441))),"",IFERROR(ROUND(N(INDEX(art_init,MATCH(C4441,art_ref,0)))+SUMIFS($E$5:E4441,$C$5:C4441,C4441,$B$5:B4441,"Entrée")-SUMIFS($E$5:E4441,$C$5:C4441,C4441,$B$5:B4441,"Sortie"),6),""))</f>
        <v/>
      </c>
      <c r="L4441" s="39" t="str">
        <f>IF(COUNTA(A4441:C4441,E4441)=0,"",IF(COUNTA(A4441:C4441,E4441)&lt;4,"Ligne incomplète",IF(NOT(ISNUMBER(A4441)),"Date invalide",IF(AND(B4441&lt;&gt;"Entrée",B4441&lt;&gt;"Sortie"),"Type inconnu",IF(ISNA(MATCH(C4441,art_ref,0)),"Référence inconnue",IF(OR(NOT(ISNUMBER(E4441)),N(E4441)&lt;=0),"Quantité invalide",IF(K4441&lt;0,"Stock négatif",IF(AND(ISNUMBER(A4440),A4441&lt;A4440),"Date hors ordre","OK"))))))))</f>
        <v/>
      </c>
      <c r="M4441" s="39" t="str">
        <f>IF(C4441="","",C4441&amp;"#"&amp;COUNTIF($C$5:C4441,C4441))</f>
        <v/>
      </c>
    </row>
    <row r="4442">
      <c r="A4442" s="41" t="n"/>
      <c r="B4442" s="37" t="n"/>
      <c r="C4442" s="37" t="n"/>
      <c r="D4442" s="39" t="str">
        <f>IF(C4442="","",IFERROR(INDEX(art_des,MATCH(C4442,art_ref,0))&amp;"","Référence inconnue"))</f>
        <v/>
      </c>
      <c r="E4442" s="37" t="n"/>
      <c r="F4442" s="39" t="str">
        <f>IF(C4442="","",IFERROR(INDEX(art_unit,MATCH(C4442,art_ref,0))&amp;"",""))</f>
        <v/>
      </c>
      <c r="G4442" s="37" t="n"/>
      <c r="H4442" s="37" t="n"/>
      <c r="I4442" s="37" t="n"/>
      <c r="J4442" s="40" t="str">
        <f>IF(OR(C4442="",NOT(ISNUMBER(E4442))),"",IFERROR(E4442*N(INDEX(art_price,MATCH(C4442,art_ref,0))),""))</f>
        <v/>
      </c>
      <c r="K4442" s="39" t="str">
        <f>IF(OR(C4442="",NOT(ISNUMBER(E4442))),"",IFERROR(ROUND(N(INDEX(art_init,MATCH(C4442,art_ref,0)))+SUMIFS($E$5:E4442,$C$5:C4442,C4442,$B$5:B4442,"Entrée")-SUMIFS($E$5:E4442,$C$5:C4442,C4442,$B$5:B4442,"Sortie"),6),""))</f>
        <v/>
      </c>
      <c r="L4442" s="39" t="str">
        <f>IF(COUNTA(A4442:C4442,E4442)=0,"",IF(COUNTA(A4442:C4442,E4442)&lt;4,"Ligne incomplète",IF(NOT(ISNUMBER(A4442)),"Date invalide",IF(AND(B4442&lt;&gt;"Entrée",B4442&lt;&gt;"Sortie"),"Type inconnu",IF(ISNA(MATCH(C4442,art_ref,0)),"Référence inconnue",IF(OR(NOT(ISNUMBER(E4442)),N(E4442)&lt;=0),"Quantité invalide",IF(K4442&lt;0,"Stock négatif",IF(AND(ISNUMBER(A4441),A4442&lt;A4441),"Date hors ordre","OK"))))))))</f>
        <v/>
      </c>
      <c r="M4442" s="39" t="str">
        <f>IF(C4442="","",C4442&amp;"#"&amp;COUNTIF($C$5:C4442,C4442))</f>
        <v/>
      </c>
    </row>
    <row r="4443">
      <c r="A4443" s="41" t="n"/>
      <c r="B4443" s="37" t="n"/>
      <c r="C4443" s="37" t="n"/>
      <c r="D4443" s="39" t="str">
        <f>IF(C4443="","",IFERROR(INDEX(art_des,MATCH(C4443,art_ref,0))&amp;"","Référence inconnue"))</f>
        <v/>
      </c>
      <c r="E4443" s="37" t="n"/>
      <c r="F4443" s="39" t="str">
        <f>IF(C4443="","",IFERROR(INDEX(art_unit,MATCH(C4443,art_ref,0))&amp;"",""))</f>
        <v/>
      </c>
      <c r="G4443" s="37" t="n"/>
      <c r="H4443" s="37" t="n"/>
      <c r="I4443" s="37" t="n"/>
      <c r="J4443" s="40" t="str">
        <f>IF(OR(C4443="",NOT(ISNUMBER(E4443))),"",IFERROR(E4443*N(INDEX(art_price,MATCH(C4443,art_ref,0))),""))</f>
        <v/>
      </c>
      <c r="K4443" s="39" t="str">
        <f>IF(OR(C4443="",NOT(ISNUMBER(E4443))),"",IFERROR(ROUND(N(INDEX(art_init,MATCH(C4443,art_ref,0)))+SUMIFS($E$5:E4443,$C$5:C4443,C4443,$B$5:B4443,"Entrée")-SUMIFS($E$5:E4443,$C$5:C4443,C4443,$B$5:B4443,"Sortie"),6),""))</f>
        <v/>
      </c>
      <c r="L4443" s="39" t="str">
        <f>IF(COUNTA(A4443:C4443,E4443)=0,"",IF(COUNTA(A4443:C4443,E4443)&lt;4,"Ligne incomplète",IF(NOT(ISNUMBER(A4443)),"Date invalide",IF(AND(B4443&lt;&gt;"Entrée",B4443&lt;&gt;"Sortie"),"Type inconnu",IF(ISNA(MATCH(C4443,art_ref,0)),"Référence inconnue",IF(OR(NOT(ISNUMBER(E4443)),N(E4443)&lt;=0),"Quantité invalide",IF(K4443&lt;0,"Stock négatif",IF(AND(ISNUMBER(A4442),A4443&lt;A4442),"Date hors ordre","OK"))))))))</f>
        <v/>
      </c>
      <c r="M4443" s="39" t="str">
        <f>IF(C4443="","",C4443&amp;"#"&amp;COUNTIF($C$5:C4443,C4443))</f>
        <v/>
      </c>
    </row>
    <row r="4444">
      <c r="A4444" s="41" t="n"/>
      <c r="B4444" s="37" t="n"/>
      <c r="C4444" s="37" t="n"/>
      <c r="D4444" s="39" t="str">
        <f>IF(C4444="","",IFERROR(INDEX(art_des,MATCH(C4444,art_ref,0))&amp;"","Référence inconnue"))</f>
        <v/>
      </c>
      <c r="E4444" s="37" t="n"/>
      <c r="F4444" s="39" t="str">
        <f>IF(C4444="","",IFERROR(INDEX(art_unit,MATCH(C4444,art_ref,0))&amp;"",""))</f>
        <v/>
      </c>
      <c r="G4444" s="37" t="n"/>
      <c r="H4444" s="37" t="n"/>
      <c r="I4444" s="37" t="n"/>
      <c r="J4444" s="40" t="str">
        <f>IF(OR(C4444="",NOT(ISNUMBER(E4444))),"",IFERROR(E4444*N(INDEX(art_price,MATCH(C4444,art_ref,0))),""))</f>
        <v/>
      </c>
      <c r="K4444" s="39" t="str">
        <f>IF(OR(C4444="",NOT(ISNUMBER(E4444))),"",IFERROR(ROUND(N(INDEX(art_init,MATCH(C4444,art_ref,0)))+SUMIFS($E$5:E4444,$C$5:C4444,C4444,$B$5:B4444,"Entrée")-SUMIFS($E$5:E4444,$C$5:C4444,C4444,$B$5:B4444,"Sortie"),6),""))</f>
        <v/>
      </c>
      <c r="L4444" s="39" t="str">
        <f>IF(COUNTA(A4444:C4444,E4444)=0,"",IF(COUNTA(A4444:C4444,E4444)&lt;4,"Ligne incomplète",IF(NOT(ISNUMBER(A4444)),"Date invalide",IF(AND(B4444&lt;&gt;"Entrée",B4444&lt;&gt;"Sortie"),"Type inconnu",IF(ISNA(MATCH(C4444,art_ref,0)),"Référence inconnue",IF(OR(NOT(ISNUMBER(E4444)),N(E4444)&lt;=0),"Quantité invalide",IF(K4444&lt;0,"Stock négatif",IF(AND(ISNUMBER(A4443),A4444&lt;A4443),"Date hors ordre","OK"))))))))</f>
        <v/>
      </c>
      <c r="M4444" s="39" t="str">
        <f>IF(C4444="","",C4444&amp;"#"&amp;COUNTIF($C$5:C4444,C4444))</f>
        <v/>
      </c>
    </row>
    <row r="4445">
      <c r="A4445" s="41" t="n"/>
      <c r="B4445" s="37" t="n"/>
      <c r="C4445" s="37" t="n"/>
      <c r="D4445" s="39" t="str">
        <f>IF(C4445="","",IFERROR(INDEX(art_des,MATCH(C4445,art_ref,0))&amp;"","Référence inconnue"))</f>
        <v/>
      </c>
      <c r="E4445" s="37" t="n"/>
      <c r="F4445" s="39" t="str">
        <f>IF(C4445="","",IFERROR(INDEX(art_unit,MATCH(C4445,art_ref,0))&amp;"",""))</f>
        <v/>
      </c>
      <c r="G4445" s="37" t="n"/>
      <c r="H4445" s="37" t="n"/>
      <c r="I4445" s="37" t="n"/>
      <c r="J4445" s="40" t="str">
        <f>IF(OR(C4445="",NOT(ISNUMBER(E4445))),"",IFERROR(E4445*N(INDEX(art_price,MATCH(C4445,art_ref,0))),""))</f>
        <v/>
      </c>
      <c r="K4445" s="39" t="str">
        <f>IF(OR(C4445="",NOT(ISNUMBER(E4445))),"",IFERROR(ROUND(N(INDEX(art_init,MATCH(C4445,art_ref,0)))+SUMIFS($E$5:E4445,$C$5:C4445,C4445,$B$5:B4445,"Entrée")-SUMIFS($E$5:E4445,$C$5:C4445,C4445,$B$5:B4445,"Sortie"),6),""))</f>
        <v/>
      </c>
      <c r="L4445" s="39" t="str">
        <f>IF(COUNTA(A4445:C4445,E4445)=0,"",IF(COUNTA(A4445:C4445,E4445)&lt;4,"Ligne incomplète",IF(NOT(ISNUMBER(A4445)),"Date invalide",IF(AND(B4445&lt;&gt;"Entrée",B4445&lt;&gt;"Sortie"),"Type inconnu",IF(ISNA(MATCH(C4445,art_ref,0)),"Référence inconnue",IF(OR(NOT(ISNUMBER(E4445)),N(E4445)&lt;=0),"Quantité invalide",IF(K4445&lt;0,"Stock négatif",IF(AND(ISNUMBER(A4444),A4445&lt;A4444),"Date hors ordre","OK"))))))))</f>
        <v/>
      </c>
      <c r="M4445" s="39" t="str">
        <f>IF(C4445="","",C4445&amp;"#"&amp;COUNTIF($C$5:C4445,C4445))</f>
        <v/>
      </c>
    </row>
    <row r="4446">
      <c r="A4446" s="41" t="n"/>
      <c r="B4446" s="37" t="n"/>
      <c r="C4446" s="37" t="n"/>
      <c r="D4446" s="39" t="str">
        <f>IF(C4446="","",IFERROR(INDEX(art_des,MATCH(C4446,art_ref,0))&amp;"","Référence inconnue"))</f>
        <v/>
      </c>
      <c r="E4446" s="37" t="n"/>
      <c r="F4446" s="39" t="str">
        <f>IF(C4446="","",IFERROR(INDEX(art_unit,MATCH(C4446,art_ref,0))&amp;"",""))</f>
        <v/>
      </c>
      <c r="G4446" s="37" t="n"/>
      <c r="H4446" s="37" t="n"/>
      <c r="I4446" s="37" t="n"/>
      <c r="J4446" s="40" t="str">
        <f>IF(OR(C4446="",NOT(ISNUMBER(E4446))),"",IFERROR(E4446*N(INDEX(art_price,MATCH(C4446,art_ref,0))),""))</f>
        <v/>
      </c>
      <c r="K4446" s="39" t="str">
        <f>IF(OR(C4446="",NOT(ISNUMBER(E4446))),"",IFERROR(ROUND(N(INDEX(art_init,MATCH(C4446,art_ref,0)))+SUMIFS($E$5:E4446,$C$5:C4446,C4446,$B$5:B4446,"Entrée")-SUMIFS($E$5:E4446,$C$5:C4446,C4446,$B$5:B4446,"Sortie"),6),""))</f>
        <v/>
      </c>
      <c r="L4446" s="39" t="str">
        <f>IF(COUNTA(A4446:C4446,E4446)=0,"",IF(COUNTA(A4446:C4446,E4446)&lt;4,"Ligne incomplète",IF(NOT(ISNUMBER(A4446)),"Date invalide",IF(AND(B4446&lt;&gt;"Entrée",B4446&lt;&gt;"Sortie"),"Type inconnu",IF(ISNA(MATCH(C4446,art_ref,0)),"Référence inconnue",IF(OR(NOT(ISNUMBER(E4446)),N(E4446)&lt;=0),"Quantité invalide",IF(K4446&lt;0,"Stock négatif",IF(AND(ISNUMBER(A4445),A4446&lt;A4445),"Date hors ordre","OK"))))))))</f>
        <v/>
      </c>
      <c r="M4446" s="39" t="str">
        <f>IF(C4446="","",C4446&amp;"#"&amp;COUNTIF($C$5:C4446,C4446))</f>
        <v/>
      </c>
    </row>
    <row r="4447">
      <c r="A4447" s="41" t="n"/>
      <c r="B4447" s="37" t="n"/>
      <c r="C4447" s="37" t="n"/>
      <c r="D4447" s="39" t="str">
        <f>IF(C4447="","",IFERROR(INDEX(art_des,MATCH(C4447,art_ref,0))&amp;"","Référence inconnue"))</f>
        <v/>
      </c>
      <c r="E4447" s="37" t="n"/>
      <c r="F4447" s="39" t="str">
        <f>IF(C4447="","",IFERROR(INDEX(art_unit,MATCH(C4447,art_ref,0))&amp;"",""))</f>
        <v/>
      </c>
      <c r="G4447" s="37" t="n"/>
      <c r="H4447" s="37" t="n"/>
      <c r="I4447" s="37" t="n"/>
      <c r="J4447" s="40" t="str">
        <f>IF(OR(C4447="",NOT(ISNUMBER(E4447))),"",IFERROR(E4447*N(INDEX(art_price,MATCH(C4447,art_ref,0))),""))</f>
        <v/>
      </c>
      <c r="K4447" s="39" t="str">
        <f>IF(OR(C4447="",NOT(ISNUMBER(E4447))),"",IFERROR(ROUND(N(INDEX(art_init,MATCH(C4447,art_ref,0)))+SUMIFS($E$5:E4447,$C$5:C4447,C4447,$B$5:B4447,"Entrée")-SUMIFS($E$5:E4447,$C$5:C4447,C4447,$B$5:B4447,"Sortie"),6),""))</f>
        <v/>
      </c>
      <c r="L4447" s="39" t="str">
        <f>IF(COUNTA(A4447:C4447,E4447)=0,"",IF(COUNTA(A4447:C4447,E4447)&lt;4,"Ligne incomplète",IF(NOT(ISNUMBER(A4447)),"Date invalide",IF(AND(B4447&lt;&gt;"Entrée",B4447&lt;&gt;"Sortie"),"Type inconnu",IF(ISNA(MATCH(C4447,art_ref,0)),"Référence inconnue",IF(OR(NOT(ISNUMBER(E4447)),N(E4447)&lt;=0),"Quantité invalide",IF(K4447&lt;0,"Stock négatif",IF(AND(ISNUMBER(A4446),A4447&lt;A4446),"Date hors ordre","OK"))))))))</f>
        <v/>
      </c>
      <c r="M4447" s="39" t="str">
        <f>IF(C4447="","",C4447&amp;"#"&amp;COUNTIF($C$5:C4447,C4447))</f>
        <v/>
      </c>
    </row>
    <row r="4448">
      <c r="A4448" s="41" t="n"/>
      <c r="B4448" s="37" t="n"/>
      <c r="C4448" s="37" t="n"/>
      <c r="D4448" s="39" t="str">
        <f>IF(C4448="","",IFERROR(INDEX(art_des,MATCH(C4448,art_ref,0))&amp;"","Référence inconnue"))</f>
        <v/>
      </c>
      <c r="E4448" s="37" t="n"/>
      <c r="F4448" s="39" t="str">
        <f>IF(C4448="","",IFERROR(INDEX(art_unit,MATCH(C4448,art_ref,0))&amp;"",""))</f>
        <v/>
      </c>
      <c r="G4448" s="37" t="n"/>
      <c r="H4448" s="37" t="n"/>
      <c r="I4448" s="37" t="n"/>
      <c r="J4448" s="40" t="str">
        <f>IF(OR(C4448="",NOT(ISNUMBER(E4448))),"",IFERROR(E4448*N(INDEX(art_price,MATCH(C4448,art_ref,0))),""))</f>
        <v/>
      </c>
      <c r="K4448" s="39" t="str">
        <f>IF(OR(C4448="",NOT(ISNUMBER(E4448))),"",IFERROR(ROUND(N(INDEX(art_init,MATCH(C4448,art_ref,0)))+SUMIFS($E$5:E4448,$C$5:C4448,C4448,$B$5:B4448,"Entrée")-SUMIFS($E$5:E4448,$C$5:C4448,C4448,$B$5:B4448,"Sortie"),6),""))</f>
        <v/>
      </c>
      <c r="L4448" s="39" t="str">
        <f>IF(COUNTA(A4448:C4448,E4448)=0,"",IF(COUNTA(A4448:C4448,E4448)&lt;4,"Ligne incomplète",IF(NOT(ISNUMBER(A4448)),"Date invalide",IF(AND(B4448&lt;&gt;"Entrée",B4448&lt;&gt;"Sortie"),"Type inconnu",IF(ISNA(MATCH(C4448,art_ref,0)),"Référence inconnue",IF(OR(NOT(ISNUMBER(E4448)),N(E4448)&lt;=0),"Quantité invalide",IF(K4448&lt;0,"Stock négatif",IF(AND(ISNUMBER(A4447),A4448&lt;A4447),"Date hors ordre","OK"))))))))</f>
        <v/>
      </c>
      <c r="M4448" s="39" t="str">
        <f>IF(C4448="","",C4448&amp;"#"&amp;COUNTIF($C$5:C4448,C4448))</f>
        <v/>
      </c>
    </row>
    <row r="4449">
      <c r="A4449" s="41" t="n"/>
      <c r="B4449" s="37" t="n"/>
      <c r="C4449" s="37" t="n"/>
      <c r="D4449" s="39" t="str">
        <f>IF(C4449="","",IFERROR(INDEX(art_des,MATCH(C4449,art_ref,0))&amp;"","Référence inconnue"))</f>
        <v/>
      </c>
      <c r="E4449" s="37" t="n"/>
      <c r="F4449" s="39" t="str">
        <f>IF(C4449="","",IFERROR(INDEX(art_unit,MATCH(C4449,art_ref,0))&amp;"",""))</f>
        <v/>
      </c>
      <c r="G4449" s="37" t="n"/>
      <c r="H4449" s="37" t="n"/>
      <c r="I4449" s="37" t="n"/>
      <c r="J4449" s="40" t="str">
        <f>IF(OR(C4449="",NOT(ISNUMBER(E4449))),"",IFERROR(E4449*N(INDEX(art_price,MATCH(C4449,art_ref,0))),""))</f>
        <v/>
      </c>
      <c r="K4449" s="39" t="str">
        <f>IF(OR(C4449="",NOT(ISNUMBER(E4449))),"",IFERROR(ROUND(N(INDEX(art_init,MATCH(C4449,art_ref,0)))+SUMIFS($E$5:E4449,$C$5:C4449,C4449,$B$5:B4449,"Entrée")-SUMIFS($E$5:E4449,$C$5:C4449,C4449,$B$5:B4449,"Sortie"),6),""))</f>
        <v/>
      </c>
      <c r="L4449" s="39" t="str">
        <f>IF(COUNTA(A4449:C4449,E4449)=0,"",IF(COUNTA(A4449:C4449,E4449)&lt;4,"Ligne incomplète",IF(NOT(ISNUMBER(A4449)),"Date invalide",IF(AND(B4449&lt;&gt;"Entrée",B4449&lt;&gt;"Sortie"),"Type inconnu",IF(ISNA(MATCH(C4449,art_ref,0)),"Référence inconnue",IF(OR(NOT(ISNUMBER(E4449)),N(E4449)&lt;=0),"Quantité invalide",IF(K4449&lt;0,"Stock négatif",IF(AND(ISNUMBER(A4448),A4449&lt;A4448),"Date hors ordre","OK"))))))))</f>
        <v/>
      </c>
      <c r="M4449" s="39" t="str">
        <f>IF(C4449="","",C4449&amp;"#"&amp;COUNTIF($C$5:C4449,C4449))</f>
        <v/>
      </c>
    </row>
    <row r="4450">
      <c r="A4450" s="41" t="n"/>
      <c r="B4450" s="37" t="n"/>
      <c r="C4450" s="37" t="n"/>
      <c r="D4450" s="39" t="str">
        <f>IF(C4450="","",IFERROR(INDEX(art_des,MATCH(C4450,art_ref,0))&amp;"","Référence inconnue"))</f>
        <v/>
      </c>
      <c r="E4450" s="37" t="n"/>
      <c r="F4450" s="39" t="str">
        <f>IF(C4450="","",IFERROR(INDEX(art_unit,MATCH(C4450,art_ref,0))&amp;"",""))</f>
        <v/>
      </c>
      <c r="G4450" s="37" t="n"/>
      <c r="H4450" s="37" t="n"/>
      <c r="I4450" s="37" t="n"/>
      <c r="J4450" s="40" t="str">
        <f>IF(OR(C4450="",NOT(ISNUMBER(E4450))),"",IFERROR(E4450*N(INDEX(art_price,MATCH(C4450,art_ref,0))),""))</f>
        <v/>
      </c>
      <c r="K4450" s="39" t="str">
        <f>IF(OR(C4450="",NOT(ISNUMBER(E4450))),"",IFERROR(ROUND(N(INDEX(art_init,MATCH(C4450,art_ref,0)))+SUMIFS($E$5:E4450,$C$5:C4450,C4450,$B$5:B4450,"Entrée")-SUMIFS($E$5:E4450,$C$5:C4450,C4450,$B$5:B4450,"Sortie"),6),""))</f>
        <v/>
      </c>
      <c r="L4450" s="39" t="str">
        <f>IF(COUNTA(A4450:C4450,E4450)=0,"",IF(COUNTA(A4450:C4450,E4450)&lt;4,"Ligne incomplète",IF(NOT(ISNUMBER(A4450)),"Date invalide",IF(AND(B4450&lt;&gt;"Entrée",B4450&lt;&gt;"Sortie"),"Type inconnu",IF(ISNA(MATCH(C4450,art_ref,0)),"Référence inconnue",IF(OR(NOT(ISNUMBER(E4450)),N(E4450)&lt;=0),"Quantité invalide",IF(K4450&lt;0,"Stock négatif",IF(AND(ISNUMBER(A4449),A4450&lt;A4449),"Date hors ordre","OK"))))))))</f>
        <v/>
      </c>
      <c r="M4450" s="39" t="str">
        <f>IF(C4450="","",C4450&amp;"#"&amp;COUNTIF($C$5:C4450,C4450))</f>
        <v/>
      </c>
    </row>
    <row r="4451">
      <c r="A4451" s="41" t="n"/>
      <c r="B4451" s="37" t="n"/>
      <c r="C4451" s="37" t="n"/>
      <c r="D4451" s="39" t="str">
        <f>IF(C4451="","",IFERROR(INDEX(art_des,MATCH(C4451,art_ref,0))&amp;"","Référence inconnue"))</f>
        <v/>
      </c>
      <c r="E4451" s="37" t="n"/>
      <c r="F4451" s="39" t="str">
        <f>IF(C4451="","",IFERROR(INDEX(art_unit,MATCH(C4451,art_ref,0))&amp;"",""))</f>
        <v/>
      </c>
      <c r="G4451" s="37" t="n"/>
      <c r="H4451" s="37" t="n"/>
      <c r="I4451" s="37" t="n"/>
      <c r="J4451" s="40" t="str">
        <f>IF(OR(C4451="",NOT(ISNUMBER(E4451))),"",IFERROR(E4451*N(INDEX(art_price,MATCH(C4451,art_ref,0))),""))</f>
        <v/>
      </c>
      <c r="K4451" s="39" t="str">
        <f>IF(OR(C4451="",NOT(ISNUMBER(E4451))),"",IFERROR(ROUND(N(INDEX(art_init,MATCH(C4451,art_ref,0)))+SUMIFS($E$5:E4451,$C$5:C4451,C4451,$B$5:B4451,"Entrée")-SUMIFS($E$5:E4451,$C$5:C4451,C4451,$B$5:B4451,"Sortie"),6),""))</f>
        <v/>
      </c>
      <c r="L4451" s="39" t="str">
        <f>IF(COUNTA(A4451:C4451,E4451)=0,"",IF(COUNTA(A4451:C4451,E4451)&lt;4,"Ligne incomplète",IF(NOT(ISNUMBER(A4451)),"Date invalide",IF(AND(B4451&lt;&gt;"Entrée",B4451&lt;&gt;"Sortie"),"Type inconnu",IF(ISNA(MATCH(C4451,art_ref,0)),"Référence inconnue",IF(OR(NOT(ISNUMBER(E4451)),N(E4451)&lt;=0),"Quantité invalide",IF(K4451&lt;0,"Stock négatif",IF(AND(ISNUMBER(A4450),A4451&lt;A4450),"Date hors ordre","OK"))))))))</f>
        <v/>
      </c>
      <c r="M4451" s="39" t="str">
        <f>IF(C4451="","",C4451&amp;"#"&amp;COUNTIF($C$5:C4451,C4451))</f>
        <v/>
      </c>
    </row>
    <row r="4452">
      <c r="A4452" s="41" t="n"/>
      <c r="B4452" s="37" t="n"/>
      <c r="C4452" s="37" t="n"/>
      <c r="D4452" s="39" t="str">
        <f>IF(C4452="","",IFERROR(INDEX(art_des,MATCH(C4452,art_ref,0))&amp;"","Référence inconnue"))</f>
        <v/>
      </c>
      <c r="E4452" s="37" t="n"/>
      <c r="F4452" s="39" t="str">
        <f>IF(C4452="","",IFERROR(INDEX(art_unit,MATCH(C4452,art_ref,0))&amp;"",""))</f>
        <v/>
      </c>
      <c r="G4452" s="37" t="n"/>
      <c r="H4452" s="37" t="n"/>
      <c r="I4452" s="37" t="n"/>
      <c r="J4452" s="40" t="str">
        <f>IF(OR(C4452="",NOT(ISNUMBER(E4452))),"",IFERROR(E4452*N(INDEX(art_price,MATCH(C4452,art_ref,0))),""))</f>
        <v/>
      </c>
      <c r="K4452" s="39" t="str">
        <f>IF(OR(C4452="",NOT(ISNUMBER(E4452))),"",IFERROR(ROUND(N(INDEX(art_init,MATCH(C4452,art_ref,0)))+SUMIFS($E$5:E4452,$C$5:C4452,C4452,$B$5:B4452,"Entrée")-SUMIFS($E$5:E4452,$C$5:C4452,C4452,$B$5:B4452,"Sortie"),6),""))</f>
        <v/>
      </c>
      <c r="L4452" s="39" t="str">
        <f>IF(COUNTA(A4452:C4452,E4452)=0,"",IF(COUNTA(A4452:C4452,E4452)&lt;4,"Ligne incomplète",IF(NOT(ISNUMBER(A4452)),"Date invalide",IF(AND(B4452&lt;&gt;"Entrée",B4452&lt;&gt;"Sortie"),"Type inconnu",IF(ISNA(MATCH(C4452,art_ref,0)),"Référence inconnue",IF(OR(NOT(ISNUMBER(E4452)),N(E4452)&lt;=0),"Quantité invalide",IF(K4452&lt;0,"Stock négatif",IF(AND(ISNUMBER(A4451),A4452&lt;A4451),"Date hors ordre","OK"))))))))</f>
        <v/>
      </c>
      <c r="M4452" s="39" t="str">
        <f>IF(C4452="","",C4452&amp;"#"&amp;COUNTIF($C$5:C4452,C4452))</f>
        <v/>
      </c>
    </row>
    <row r="4453">
      <c r="A4453" s="41" t="n"/>
      <c r="B4453" s="37" t="n"/>
      <c r="C4453" s="37" t="n"/>
      <c r="D4453" s="39" t="str">
        <f>IF(C4453="","",IFERROR(INDEX(art_des,MATCH(C4453,art_ref,0))&amp;"","Référence inconnue"))</f>
        <v/>
      </c>
      <c r="E4453" s="37" t="n"/>
      <c r="F4453" s="39" t="str">
        <f>IF(C4453="","",IFERROR(INDEX(art_unit,MATCH(C4453,art_ref,0))&amp;"",""))</f>
        <v/>
      </c>
      <c r="G4453" s="37" t="n"/>
      <c r="H4453" s="37" t="n"/>
      <c r="I4453" s="37" t="n"/>
      <c r="J4453" s="40" t="str">
        <f>IF(OR(C4453="",NOT(ISNUMBER(E4453))),"",IFERROR(E4453*N(INDEX(art_price,MATCH(C4453,art_ref,0))),""))</f>
        <v/>
      </c>
      <c r="K4453" s="39" t="str">
        <f>IF(OR(C4453="",NOT(ISNUMBER(E4453))),"",IFERROR(ROUND(N(INDEX(art_init,MATCH(C4453,art_ref,0)))+SUMIFS($E$5:E4453,$C$5:C4453,C4453,$B$5:B4453,"Entrée")-SUMIFS($E$5:E4453,$C$5:C4453,C4453,$B$5:B4453,"Sortie"),6),""))</f>
        <v/>
      </c>
      <c r="L4453" s="39" t="str">
        <f>IF(COUNTA(A4453:C4453,E4453)=0,"",IF(COUNTA(A4453:C4453,E4453)&lt;4,"Ligne incomplète",IF(NOT(ISNUMBER(A4453)),"Date invalide",IF(AND(B4453&lt;&gt;"Entrée",B4453&lt;&gt;"Sortie"),"Type inconnu",IF(ISNA(MATCH(C4453,art_ref,0)),"Référence inconnue",IF(OR(NOT(ISNUMBER(E4453)),N(E4453)&lt;=0),"Quantité invalide",IF(K4453&lt;0,"Stock négatif",IF(AND(ISNUMBER(A4452),A4453&lt;A4452),"Date hors ordre","OK"))))))))</f>
        <v/>
      </c>
      <c r="M4453" s="39" t="str">
        <f>IF(C4453="","",C4453&amp;"#"&amp;COUNTIF($C$5:C4453,C4453))</f>
        <v/>
      </c>
    </row>
    <row r="4454">
      <c r="A4454" s="41" t="n"/>
      <c r="B4454" s="37" t="n"/>
      <c r="C4454" s="37" t="n"/>
      <c r="D4454" s="39" t="str">
        <f>IF(C4454="","",IFERROR(INDEX(art_des,MATCH(C4454,art_ref,0))&amp;"","Référence inconnue"))</f>
        <v/>
      </c>
      <c r="E4454" s="37" t="n"/>
      <c r="F4454" s="39" t="str">
        <f>IF(C4454="","",IFERROR(INDEX(art_unit,MATCH(C4454,art_ref,0))&amp;"",""))</f>
        <v/>
      </c>
      <c r="G4454" s="37" t="n"/>
      <c r="H4454" s="37" t="n"/>
      <c r="I4454" s="37" t="n"/>
      <c r="J4454" s="40" t="str">
        <f>IF(OR(C4454="",NOT(ISNUMBER(E4454))),"",IFERROR(E4454*N(INDEX(art_price,MATCH(C4454,art_ref,0))),""))</f>
        <v/>
      </c>
      <c r="K4454" s="39" t="str">
        <f>IF(OR(C4454="",NOT(ISNUMBER(E4454))),"",IFERROR(ROUND(N(INDEX(art_init,MATCH(C4454,art_ref,0)))+SUMIFS($E$5:E4454,$C$5:C4454,C4454,$B$5:B4454,"Entrée")-SUMIFS($E$5:E4454,$C$5:C4454,C4454,$B$5:B4454,"Sortie"),6),""))</f>
        <v/>
      </c>
      <c r="L4454" s="39" t="str">
        <f>IF(COUNTA(A4454:C4454,E4454)=0,"",IF(COUNTA(A4454:C4454,E4454)&lt;4,"Ligne incomplète",IF(NOT(ISNUMBER(A4454)),"Date invalide",IF(AND(B4454&lt;&gt;"Entrée",B4454&lt;&gt;"Sortie"),"Type inconnu",IF(ISNA(MATCH(C4454,art_ref,0)),"Référence inconnue",IF(OR(NOT(ISNUMBER(E4454)),N(E4454)&lt;=0),"Quantité invalide",IF(K4454&lt;0,"Stock négatif",IF(AND(ISNUMBER(A4453),A4454&lt;A4453),"Date hors ordre","OK"))))))))</f>
        <v/>
      </c>
      <c r="M4454" s="39" t="str">
        <f>IF(C4454="","",C4454&amp;"#"&amp;COUNTIF($C$5:C4454,C4454))</f>
        <v/>
      </c>
    </row>
    <row r="4455">
      <c r="A4455" s="41" t="n"/>
      <c r="B4455" s="37" t="n"/>
      <c r="C4455" s="37" t="n"/>
      <c r="D4455" s="39" t="str">
        <f>IF(C4455="","",IFERROR(INDEX(art_des,MATCH(C4455,art_ref,0))&amp;"","Référence inconnue"))</f>
        <v/>
      </c>
      <c r="E4455" s="37" t="n"/>
      <c r="F4455" s="39" t="str">
        <f>IF(C4455="","",IFERROR(INDEX(art_unit,MATCH(C4455,art_ref,0))&amp;"",""))</f>
        <v/>
      </c>
      <c r="G4455" s="37" t="n"/>
      <c r="H4455" s="37" t="n"/>
      <c r="I4455" s="37" t="n"/>
      <c r="J4455" s="40" t="str">
        <f>IF(OR(C4455="",NOT(ISNUMBER(E4455))),"",IFERROR(E4455*N(INDEX(art_price,MATCH(C4455,art_ref,0))),""))</f>
        <v/>
      </c>
      <c r="K4455" s="39" t="str">
        <f>IF(OR(C4455="",NOT(ISNUMBER(E4455))),"",IFERROR(ROUND(N(INDEX(art_init,MATCH(C4455,art_ref,0)))+SUMIFS($E$5:E4455,$C$5:C4455,C4455,$B$5:B4455,"Entrée")-SUMIFS($E$5:E4455,$C$5:C4455,C4455,$B$5:B4455,"Sortie"),6),""))</f>
        <v/>
      </c>
      <c r="L4455" s="39" t="str">
        <f>IF(COUNTA(A4455:C4455,E4455)=0,"",IF(COUNTA(A4455:C4455,E4455)&lt;4,"Ligne incomplète",IF(NOT(ISNUMBER(A4455)),"Date invalide",IF(AND(B4455&lt;&gt;"Entrée",B4455&lt;&gt;"Sortie"),"Type inconnu",IF(ISNA(MATCH(C4455,art_ref,0)),"Référence inconnue",IF(OR(NOT(ISNUMBER(E4455)),N(E4455)&lt;=0),"Quantité invalide",IF(K4455&lt;0,"Stock négatif",IF(AND(ISNUMBER(A4454),A4455&lt;A4454),"Date hors ordre","OK"))))))))</f>
        <v/>
      </c>
      <c r="M4455" s="39" t="str">
        <f>IF(C4455="","",C4455&amp;"#"&amp;COUNTIF($C$5:C4455,C4455))</f>
        <v/>
      </c>
    </row>
    <row r="4456">
      <c r="A4456" s="41" t="n"/>
      <c r="B4456" s="37" t="n"/>
      <c r="C4456" s="37" t="n"/>
      <c r="D4456" s="39" t="str">
        <f>IF(C4456="","",IFERROR(INDEX(art_des,MATCH(C4456,art_ref,0))&amp;"","Référence inconnue"))</f>
        <v/>
      </c>
      <c r="E4456" s="37" t="n"/>
      <c r="F4456" s="39" t="str">
        <f>IF(C4456="","",IFERROR(INDEX(art_unit,MATCH(C4456,art_ref,0))&amp;"",""))</f>
        <v/>
      </c>
      <c r="G4456" s="37" t="n"/>
      <c r="H4456" s="37" t="n"/>
      <c r="I4456" s="37" t="n"/>
      <c r="J4456" s="40" t="str">
        <f>IF(OR(C4456="",NOT(ISNUMBER(E4456))),"",IFERROR(E4456*N(INDEX(art_price,MATCH(C4456,art_ref,0))),""))</f>
        <v/>
      </c>
      <c r="K4456" s="39" t="str">
        <f>IF(OR(C4456="",NOT(ISNUMBER(E4456))),"",IFERROR(ROUND(N(INDEX(art_init,MATCH(C4456,art_ref,0)))+SUMIFS($E$5:E4456,$C$5:C4456,C4456,$B$5:B4456,"Entrée")-SUMIFS($E$5:E4456,$C$5:C4456,C4456,$B$5:B4456,"Sortie"),6),""))</f>
        <v/>
      </c>
      <c r="L4456" s="39" t="str">
        <f>IF(COUNTA(A4456:C4456,E4456)=0,"",IF(COUNTA(A4456:C4456,E4456)&lt;4,"Ligne incomplète",IF(NOT(ISNUMBER(A4456)),"Date invalide",IF(AND(B4456&lt;&gt;"Entrée",B4456&lt;&gt;"Sortie"),"Type inconnu",IF(ISNA(MATCH(C4456,art_ref,0)),"Référence inconnue",IF(OR(NOT(ISNUMBER(E4456)),N(E4456)&lt;=0),"Quantité invalide",IF(K4456&lt;0,"Stock négatif",IF(AND(ISNUMBER(A4455),A4456&lt;A4455),"Date hors ordre","OK"))))))))</f>
        <v/>
      </c>
      <c r="M4456" s="39" t="str">
        <f>IF(C4456="","",C4456&amp;"#"&amp;COUNTIF($C$5:C4456,C4456))</f>
        <v/>
      </c>
    </row>
    <row r="4457">
      <c r="A4457" s="41" t="n"/>
      <c r="B4457" s="37" t="n"/>
      <c r="C4457" s="37" t="n"/>
      <c r="D4457" s="39" t="str">
        <f>IF(C4457="","",IFERROR(INDEX(art_des,MATCH(C4457,art_ref,0))&amp;"","Référence inconnue"))</f>
        <v/>
      </c>
      <c r="E4457" s="37" t="n"/>
      <c r="F4457" s="39" t="str">
        <f>IF(C4457="","",IFERROR(INDEX(art_unit,MATCH(C4457,art_ref,0))&amp;"",""))</f>
        <v/>
      </c>
      <c r="G4457" s="37" t="n"/>
      <c r="H4457" s="37" t="n"/>
      <c r="I4457" s="37" t="n"/>
      <c r="J4457" s="40" t="str">
        <f>IF(OR(C4457="",NOT(ISNUMBER(E4457))),"",IFERROR(E4457*N(INDEX(art_price,MATCH(C4457,art_ref,0))),""))</f>
        <v/>
      </c>
      <c r="K4457" s="39" t="str">
        <f>IF(OR(C4457="",NOT(ISNUMBER(E4457))),"",IFERROR(ROUND(N(INDEX(art_init,MATCH(C4457,art_ref,0)))+SUMIFS($E$5:E4457,$C$5:C4457,C4457,$B$5:B4457,"Entrée")-SUMIFS($E$5:E4457,$C$5:C4457,C4457,$B$5:B4457,"Sortie"),6),""))</f>
        <v/>
      </c>
      <c r="L4457" s="39" t="str">
        <f>IF(COUNTA(A4457:C4457,E4457)=0,"",IF(COUNTA(A4457:C4457,E4457)&lt;4,"Ligne incomplète",IF(NOT(ISNUMBER(A4457)),"Date invalide",IF(AND(B4457&lt;&gt;"Entrée",B4457&lt;&gt;"Sortie"),"Type inconnu",IF(ISNA(MATCH(C4457,art_ref,0)),"Référence inconnue",IF(OR(NOT(ISNUMBER(E4457)),N(E4457)&lt;=0),"Quantité invalide",IF(K4457&lt;0,"Stock négatif",IF(AND(ISNUMBER(A4456),A4457&lt;A4456),"Date hors ordre","OK"))))))))</f>
        <v/>
      </c>
      <c r="M4457" s="39" t="str">
        <f>IF(C4457="","",C4457&amp;"#"&amp;COUNTIF($C$5:C4457,C4457))</f>
        <v/>
      </c>
    </row>
    <row r="4458">
      <c r="A4458" s="41" t="n"/>
      <c r="B4458" s="37" t="n"/>
      <c r="C4458" s="37" t="n"/>
      <c r="D4458" s="39" t="str">
        <f>IF(C4458="","",IFERROR(INDEX(art_des,MATCH(C4458,art_ref,0))&amp;"","Référence inconnue"))</f>
        <v/>
      </c>
      <c r="E4458" s="37" t="n"/>
      <c r="F4458" s="39" t="str">
        <f>IF(C4458="","",IFERROR(INDEX(art_unit,MATCH(C4458,art_ref,0))&amp;"",""))</f>
        <v/>
      </c>
      <c r="G4458" s="37" t="n"/>
      <c r="H4458" s="37" t="n"/>
      <c r="I4458" s="37" t="n"/>
      <c r="J4458" s="40" t="str">
        <f>IF(OR(C4458="",NOT(ISNUMBER(E4458))),"",IFERROR(E4458*N(INDEX(art_price,MATCH(C4458,art_ref,0))),""))</f>
        <v/>
      </c>
      <c r="K4458" s="39" t="str">
        <f>IF(OR(C4458="",NOT(ISNUMBER(E4458))),"",IFERROR(ROUND(N(INDEX(art_init,MATCH(C4458,art_ref,0)))+SUMIFS($E$5:E4458,$C$5:C4458,C4458,$B$5:B4458,"Entrée")-SUMIFS($E$5:E4458,$C$5:C4458,C4458,$B$5:B4458,"Sortie"),6),""))</f>
        <v/>
      </c>
      <c r="L4458" s="39" t="str">
        <f>IF(COUNTA(A4458:C4458,E4458)=0,"",IF(COUNTA(A4458:C4458,E4458)&lt;4,"Ligne incomplète",IF(NOT(ISNUMBER(A4458)),"Date invalide",IF(AND(B4458&lt;&gt;"Entrée",B4458&lt;&gt;"Sortie"),"Type inconnu",IF(ISNA(MATCH(C4458,art_ref,0)),"Référence inconnue",IF(OR(NOT(ISNUMBER(E4458)),N(E4458)&lt;=0),"Quantité invalide",IF(K4458&lt;0,"Stock négatif",IF(AND(ISNUMBER(A4457),A4458&lt;A4457),"Date hors ordre","OK"))))))))</f>
        <v/>
      </c>
      <c r="M4458" s="39" t="str">
        <f>IF(C4458="","",C4458&amp;"#"&amp;COUNTIF($C$5:C4458,C4458))</f>
        <v/>
      </c>
    </row>
    <row r="4459">
      <c r="A4459" s="41" t="n"/>
      <c r="B4459" s="37" t="n"/>
      <c r="C4459" s="37" t="n"/>
      <c r="D4459" s="39" t="str">
        <f>IF(C4459="","",IFERROR(INDEX(art_des,MATCH(C4459,art_ref,0))&amp;"","Référence inconnue"))</f>
        <v/>
      </c>
      <c r="E4459" s="37" t="n"/>
      <c r="F4459" s="39" t="str">
        <f>IF(C4459="","",IFERROR(INDEX(art_unit,MATCH(C4459,art_ref,0))&amp;"",""))</f>
        <v/>
      </c>
      <c r="G4459" s="37" t="n"/>
      <c r="H4459" s="37" t="n"/>
      <c r="I4459" s="37" t="n"/>
      <c r="J4459" s="40" t="str">
        <f>IF(OR(C4459="",NOT(ISNUMBER(E4459))),"",IFERROR(E4459*N(INDEX(art_price,MATCH(C4459,art_ref,0))),""))</f>
        <v/>
      </c>
      <c r="K4459" s="39" t="str">
        <f>IF(OR(C4459="",NOT(ISNUMBER(E4459))),"",IFERROR(ROUND(N(INDEX(art_init,MATCH(C4459,art_ref,0)))+SUMIFS($E$5:E4459,$C$5:C4459,C4459,$B$5:B4459,"Entrée")-SUMIFS($E$5:E4459,$C$5:C4459,C4459,$B$5:B4459,"Sortie"),6),""))</f>
        <v/>
      </c>
      <c r="L4459" s="39" t="str">
        <f>IF(COUNTA(A4459:C4459,E4459)=0,"",IF(COUNTA(A4459:C4459,E4459)&lt;4,"Ligne incomplète",IF(NOT(ISNUMBER(A4459)),"Date invalide",IF(AND(B4459&lt;&gt;"Entrée",B4459&lt;&gt;"Sortie"),"Type inconnu",IF(ISNA(MATCH(C4459,art_ref,0)),"Référence inconnue",IF(OR(NOT(ISNUMBER(E4459)),N(E4459)&lt;=0),"Quantité invalide",IF(K4459&lt;0,"Stock négatif",IF(AND(ISNUMBER(A4458),A4459&lt;A4458),"Date hors ordre","OK"))))))))</f>
        <v/>
      </c>
      <c r="M4459" s="39" t="str">
        <f>IF(C4459="","",C4459&amp;"#"&amp;COUNTIF($C$5:C4459,C4459))</f>
        <v/>
      </c>
    </row>
    <row r="4460">
      <c r="A4460" s="41" t="n"/>
      <c r="B4460" s="37" t="n"/>
      <c r="C4460" s="37" t="n"/>
      <c r="D4460" s="39" t="str">
        <f>IF(C4460="","",IFERROR(INDEX(art_des,MATCH(C4460,art_ref,0))&amp;"","Référence inconnue"))</f>
        <v/>
      </c>
      <c r="E4460" s="37" t="n"/>
      <c r="F4460" s="39" t="str">
        <f>IF(C4460="","",IFERROR(INDEX(art_unit,MATCH(C4460,art_ref,0))&amp;"",""))</f>
        <v/>
      </c>
      <c r="G4460" s="37" t="n"/>
      <c r="H4460" s="37" t="n"/>
      <c r="I4460" s="37" t="n"/>
      <c r="J4460" s="40" t="str">
        <f>IF(OR(C4460="",NOT(ISNUMBER(E4460))),"",IFERROR(E4460*N(INDEX(art_price,MATCH(C4460,art_ref,0))),""))</f>
        <v/>
      </c>
      <c r="K4460" s="39" t="str">
        <f>IF(OR(C4460="",NOT(ISNUMBER(E4460))),"",IFERROR(ROUND(N(INDEX(art_init,MATCH(C4460,art_ref,0)))+SUMIFS($E$5:E4460,$C$5:C4460,C4460,$B$5:B4460,"Entrée")-SUMIFS($E$5:E4460,$C$5:C4460,C4460,$B$5:B4460,"Sortie"),6),""))</f>
        <v/>
      </c>
      <c r="L4460" s="39" t="str">
        <f>IF(COUNTA(A4460:C4460,E4460)=0,"",IF(COUNTA(A4460:C4460,E4460)&lt;4,"Ligne incomplète",IF(NOT(ISNUMBER(A4460)),"Date invalide",IF(AND(B4460&lt;&gt;"Entrée",B4460&lt;&gt;"Sortie"),"Type inconnu",IF(ISNA(MATCH(C4460,art_ref,0)),"Référence inconnue",IF(OR(NOT(ISNUMBER(E4460)),N(E4460)&lt;=0),"Quantité invalide",IF(K4460&lt;0,"Stock négatif",IF(AND(ISNUMBER(A4459),A4460&lt;A4459),"Date hors ordre","OK"))))))))</f>
        <v/>
      </c>
      <c r="M4460" s="39" t="str">
        <f>IF(C4460="","",C4460&amp;"#"&amp;COUNTIF($C$5:C4460,C4460))</f>
        <v/>
      </c>
    </row>
    <row r="4461">
      <c r="A4461" s="41" t="n"/>
      <c r="B4461" s="37" t="n"/>
      <c r="C4461" s="37" t="n"/>
      <c r="D4461" s="39" t="str">
        <f>IF(C4461="","",IFERROR(INDEX(art_des,MATCH(C4461,art_ref,0))&amp;"","Référence inconnue"))</f>
        <v/>
      </c>
      <c r="E4461" s="37" t="n"/>
      <c r="F4461" s="39" t="str">
        <f>IF(C4461="","",IFERROR(INDEX(art_unit,MATCH(C4461,art_ref,0))&amp;"",""))</f>
        <v/>
      </c>
      <c r="G4461" s="37" t="n"/>
      <c r="H4461" s="37" t="n"/>
      <c r="I4461" s="37" t="n"/>
      <c r="J4461" s="40" t="str">
        <f>IF(OR(C4461="",NOT(ISNUMBER(E4461))),"",IFERROR(E4461*N(INDEX(art_price,MATCH(C4461,art_ref,0))),""))</f>
        <v/>
      </c>
      <c r="K4461" s="39" t="str">
        <f>IF(OR(C4461="",NOT(ISNUMBER(E4461))),"",IFERROR(ROUND(N(INDEX(art_init,MATCH(C4461,art_ref,0)))+SUMIFS($E$5:E4461,$C$5:C4461,C4461,$B$5:B4461,"Entrée")-SUMIFS($E$5:E4461,$C$5:C4461,C4461,$B$5:B4461,"Sortie"),6),""))</f>
        <v/>
      </c>
      <c r="L4461" s="39" t="str">
        <f>IF(COUNTA(A4461:C4461,E4461)=0,"",IF(COUNTA(A4461:C4461,E4461)&lt;4,"Ligne incomplète",IF(NOT(ISNUMBER(A4461)),"Date invalide",IF(AND(B4461&lt;&gt;"Entrée",B4461&lt;&gt;"Sortie"),"Type inconnu",IF(ISNA(MATCH(C4461,art_ref,0)),"Référence inconnue",IF(OR(NOT(ISNUMBER(E4461)),N(E4461)&lt;=0),"Quantité invalide",IF(K4461&lt;0,"Stock négatif",IF(AND(ISNUMBER(A4460),A4461&lt;A4460),"Date hors ordre","OK"))))))))</f>
        <v/>
      </c>
      <c r="M4461" s="39" t="str">
        <f>IF(C4461="","",C4461&amp;"#"&amp;COUNTIF($C$5:C4461,C4461))</f>
        <v/>
      </c>
    </row>
    <row r="4462">
      <c r="A4462" s="41" t="n"/>
      <c r="B4462" s="37" t="n"/>
      <c r="C4462" s="37" t="n"/>
      <c r="D4462" s="39" t="str">
        <f>IF(C4462="","",IFERROR(INDEX(art_des,MATCH(C4462,art_ref,0))&amp;"","Référence inconnue"))</f>
        <v/>
      </c>
      <c r="E4462" s="37" t="n"/>
      <c r="F4462" s="39" t="str">
        <f>IF(C4462="","",IFERROR(INDEX(art_unit,MATCH(C4462,art_ref,0))&amp;"",""))</f>
        <v/>
      </c>
      <c r="G4462" s="37" t="n"/>
      <c r="H4462" s="37" t="n"/>
      <c r="I4462" s="37" t="n"/>
      <c r="J4462" s="40" t="str">
        <f>IF(OR(C4462="",NOT(ISNUMBER(E4462))),"",IFERROR(E4462*N(INDEX(art_price,MATCH(C4462,art_ref,0))),""))</f>
        <v/>
      </c>
      <c r="K4462" s="39" t="str">
        <f>IF(OR(C4462="",NOT(ISNUMBER(E4462))),"",IFERROR(ROUND(N(INDEX(art_init,MATCH(C4462,art_ref,0)))+SUMIFS($E$5:E4462,$C$5:C4462,C4462,$B$5:B4462,"Entrée")-SUMIFS($E$5:E4462,$C$5:C4462,C4462,$B$5:B4462,"Sortie"),6),""))</f>
        <v/>
      </c>
      <c r="L4462" s="39" t="str">
        <f>IF(COUNTA(A4462:C4462,E4462)=0,"",IF(COUNTA(A4462:C4462,E4462)&lt;4,"Ligne incomplète",IF(NOT(ISNUMBER(A4462)),"Date invalide",IF(AND(B4462&lt;&gt;"Entrée",B4462&lt;&gt;"Sortie"),"Type inconnu",IF(ISNA(MATCH(C4462,art_ref,0)),"Référence inconnue",IF(OR(NOT(ISNUMBER(E4462)),N(E4462)&lt;=0),"Quantité invalide",IF(K4462&lt;0,"Stock négatif",IF(AND(ISNUMBER(A4461),A4462&lt;A4461),"Date hors ordre","OK"))))))))</f>
        <v/>
      </c>
      <c r="M4462" s="39" t="str">
        <f>IF(C4462="","",C4462&amp;"#"&amp;COUNTIF($C$5:C4462,C4462))</f>
        <v/>
      </c>
    </row>
    <row r="4463">
      <c r="A4463" s="41" t="n"/>
      <c r="B4463" s="37" t="n"/>
      <c r="C4463" s="37" t="n"/>
      <c r="D4463" s="39" t="str">
        <f>IF(C4463="","",IFERROR(INDEX(art_des,MATCH(C4463,art_ref,0))&amp;"","Référence inconnue"))</f>
        <v/>
      </c>
      <c r="E4463" s="37" t="n"/>
      <c r="F4463" s="39" t="str">
        <f>IF(C4463="","",IFERROR(INDEX(art_unit,MATCH(C4463,art_ref,0))&amp;"",""))</f>
        <v/>
      </c>
      <c r="G4463" s="37" t="n"/>
      <c r="H4463" s="37" t="n"/>
      <c r="I4463" s="37" t="n"/>
      <c r="J4463" s="40" t="str">
        <f>IF(OR(C4463="",NOT(ISNUMBER(E4463))),"",IFERROR(E4463*N(INDEX(art_price,MATCH(C4463,art_ref,0))),""))</f>
        <v/>
      </c>
      <c r="K4463" s="39" t="str">
        <f>IF(OR(C4463="",NOT(ISNUMBER(E4463))),"",IFERROR(ROUND(N(INDEX(art_init,MATCH(C4463,art_ref,0)))+SUMIFS($E$5:E4463,$C$5:C4463,C4463,$B$5:B4463,"Entrée")-SUMIFS($E$5:E4463,$C$5:C4463,C4463,$B$5:B4463,"Sortie"),6),""))</f>
        <v/>
      </c>
      <c r="L4463" s="39" t="str">
        <f>IF(COUNTA(A4463:C4463,E4463)=0,"",IF(COUNTA(A4463:C4463,E4463)&lt;4,"Ligne incomplète",IF(NOT(ISNUMBER(A4463)),"Date invalide",IF(AND(B4463&lt;&gt;"Entrée",B4463&lt;&gt;"Sortie"),"Type inconnu",IF(ISNA(MATCH(C4463,art_ref,0)),"Référence inconnue",IF(OR(NOT(ISNUMBER(E4463)),N(E4463)&lt;=0),"Quantité invalide",IF(K4463&lt;0,"Stock négatif",IF(AND(ISNUMBER(A4462),A4463&lt;A4462),"Date hors ordre","OK"))))))))</f>
        <v/>
      </c>
      <c r="M4463" s="39" t="str">
        <f>IF(C4463="","",C4463&amp;"#"&amp;COUNTIF($C$5:C4463,C4463))</f>
        <v/>
      </c>
    </row>
    <row r="4464">
      <c r="A4464" s="41" t="n"/>
      <c r="B4464" s="37" t="n"/>
      <c r="C4464" s="37" t="n"/>
      <c r="D4464" s="39" t="str">
        <f>IF(C4464="","",IFERROR(INDEX(art_des,MATCH(C4464,art_ref,0))&amp;"","Référence inconnue"))</f>
        <v/>
      </c>
      <c r="E4464" s="37" t="n"/>
      <c r="F4464" s="39" t="str">
        <f>IF(C4464="","",IFERROR(INDEX(art_unit,MATCH(C4464,art_ref,0))&amp;"",""))</f>
        <v/>
      </c>
      <c r="G4464" s="37" t="n"/>
      <c r="H4464" s="37" t="n"/>
      <c r="I4464" s="37" t="n"/>
      <c r="J4464" s="40" t="str">
        <f>IF(OR(C4464="",NOT(ISNUMBER(E4464))),"",IFERROR(E4464*N(INDEX(art_price,MATCH(C4464,art_ref,0))),""))</f>
        <v/>
      </c>
      <c r="K4464" s="39" t="str">
        <f>IF(OR(C4464="",NOT(ISNUMBER(E4464))),"",IFERROR(ROUND(N(INDEX(art_init,MATCH(C4464,art_ref,0)))+SUMIFS($E$5:E4464,$C$5:C4464,C4464,$B$5:B4464,"Entrée")-SUMIFS($E$5:E4464,$C$5:C4464,C4464,$B$5:B4464,"Sortie"),6),""))</f>
        <v/>
      </c>
      <c r="L4464" s="39" t="str">
        <f>IF(COUNTA(A4464:C4464,E4464)=0,"",IF(COUNTA(A4464:C4464,E4464)&lt;4,"Ligne incomplète",IF(NOT(ISNUMBER(A4464)),"Date invalide",IF(AND(B4464&lt;&gt;"Entrée",B4464&lt;&gt;"Sortie"),"Type inconnu",IF(ISNA(MATCH(C4464,art_ref,0)),"Référence inconnue",IF(OR(NOT(ISNUMBER(E4464)),N(E4464)&lt;=0),"Quantité invalide",IF(K4464&lt;0,"Stock négatif",IF(AND(ISNUMBER(A4463),A4464&lt;A4463),"Date hors ordre","OK"))))))))</f>
        <v/>
      </c>
      <c r="M4464" s="39" t="str">
        <f>IF(C4464="","",C4464&amp;"#"&amp;COUNTIF($C$5:C4464,C4464))</f>
        <v/>
      </c>
    </row>
    <row r="4465">
      <c r="A4465" s="41" t="n"/>
      <c r="B4465" s="37" t="n"/>
      <c r="C4465" s="37" t="n"/>
      <c r="D4465" s="39" t="str">
        <f>IF(C4465="","",IFERROR(INDEX(art_des,MATCH(C4465,art_ref,0))&amp;"","Référence inconnue"))</f>
        <v/>
      </c>
      <c r="E4465" s="37" t="n"/>
      <c r="F4465" s="39" t="str">
        <f>IF(C4465="","",IFERROR(INDEX(art_unit,MATCH(C4465,art_ref,0))&amp;"",""))</f>
        <v/>
      </c>
      <c r="G4465" s="37" t="n"/>
      <c r="H4465" s="37" t="n"/>
      <c r="I4465" s="37" t="n"/>
      <c r="J4465" s="40" t="str">
        <f>IF(OR(C4465="",NOT(ISNUMBER(E4465))),"",IFERROR(E4465*N(INDEX(art_price,MATCH(C4465,art_ref,0))),""))</f>
        <v/>
      </c>
      <c r="K4465" s="39" t="str">
        <f>IF(OR(C4465="",NOT(ISNUMBER(E4465))),"",IFERROR(ROUND(N(INDEX(art_init,MATCH(C4465,art_ref,0)))+SUMIFS($E$5:E4465,$C$5:C4465,C4465,$B$5:B4465,"Entrée")-SUMIFS($E$5:E4465,$C$5:C4465,C4465,$B$5:B4465,"Sortie"),6),""))</f>
        <v/>
      </c>
      <c r="L4465" s="39" t="str">
        <f>IF(COUNTA(A4465:C4465,E4465)=0,"",IF(COUNTA(A4465:C4465,E4465)&lt;4,"Ligne incomplète",IF(NOT(ISNUMBER(A4465)),"Date invalide",IF(AND(B4465&lt;&gt;"Entrée",B4465&lt;&gt;"Sortie"),"Type inconnu",IF(ISNA(MATCH(C4465,art_ref,0)),"Référence inconnue",IF(OR(NOT(ISNUMBER(E4465)),N(E4465)&lt;=0),"Quantité invalide",IF(K4465&lt;0,"Stock négatif",IF(AND(ISNUMBER(A4464),A4465&lt;A4464),"Date hors ordre","OK"))))))))</f>
        <v/>
      </c>
      <c r="M4465" s="39" t="str">
        <f>IF(C4465="","",C4465&amp;"#"&amp;COUNTIF($C$5:C4465,C4465))</f>
        <v/>
      </c>
    </row>
    <row r="4466">
      <c r="A4466" s="41" t="n"/>
      <c r="B4466" s="37" t="n"/>
      <c r="C4466" s="37" t="n"/>
      <c r="D4466" s="39" t="str">
        <f>IF(C4466="","",IFERROR(INDEX(art_des,MATCH(C4466,art_ref,0))&amp;"","Référence inconnue"))</f>
        <v/>
      </c>
      <c r="E4466" s="37" t="n"/>
      <c r="F4466" s="39" t="str">
        <f>IF(C4466="","",IFERROR(INDEX(art_unit,MATCH(C4466,art_ref,0))&amp;"",""))</f>
        <v/>
      </c>
      <c r="G4466" s="37" t="n"/>
      <c r="H4466" s="37" t="n"/>
      <c r="I4466" s="37" t="n"/>
      <c r="J4466" s="40" t="str">
        <f>IF(OR(C4466="",NOT(ISNUMBER(E4466))),"",IFERROR(E4466*N(INDEX(art_price,MATCH(C4466,art_ref,0))),""))</f>
        <v/>
      </c>
      <c r="K4466" s="39" t="str">
        <f>IF(OR(C4466="",NOT(ISNUMBER(E4466))),"",IFERROR(ROUND(N(INDEX(art_init,MATCH(C4466,art_ref,0)))+SUMIFS($E$5:E4466,$C$5:C4466,C4466,$B$5:B4466,"Entrée")-SUMIFS($E$5:E4466,$C$5:C4466,C4466,$B$5:B4466,"Sortie"),6),""))</f>
        <v/>
      </c>
      <c r="L4466" s="39" t="str">
        <f>IF(COUNTA(A4466:C4466,E4466)=0,"",IF(COUNTA(A4466:C4466,E4466)&lt;4,"Ligne incomplète",IF(NOT(ISNUMBER(A4466)),"Date invalide",IF(AND(B4466&lt;&gt;"Entrée",B4466&lt;&gt;"Sortie"),"Type inconnu",IF(ISNA(MATCH(C4466,art_ref,0)),"Référence inconnue",IF(OR(NOT(ISNUMBER(E4466)),N(E4466)&lt;=0),"Quantité invalide",IF(K4466&lt;0,"Stock négatif",IF(AND(ISNUMBER(A4465),A4466&lt;A4465),"Date hors ordre","OK"))))))))</f>
        <v/>
      </c>
      <c r="M4466" s="39" t="str">
        <f>IF(C4466="","",C4466&amp;"#"&amp;COUNTIF($C$5:C4466,C4466))</f>
        <v/>
      </c>
    </row>
    <row r="4467">
      <c r="A4467" s="41" t="n"/>
      <c r="B4467" s="37" t="n"/>
      <c r="C4467" s="37" t="n"/>
      <c r="D4467" s="39" t="str">
        <f>IF(C4467="","",IFERROR(INDEX(art_des,MATCH(C4467,art_ref,0))&amp;"","Référence inconnue"))</f>
        <v/>
      </c>
      <c r="E4467" s="37" t="n"/>
      <c r="F4467" s="39" t="str">
        <f>IF(C4467="","",IFERROR(INDEX(art_unit,MATCH(C4467,art_ref,0))&amp;"",""))</f>
        <v/>
      </c>
      <c r="G4467" s="37" t="n"/>
      <c r="H4467" s="37" t="n"/>
      <c r="I4467" s="37" t="n"/>
      <c r="J4467" s="40" t="str">
        <f>IF(OR(C4467="",NOT(ISNUMBER(E4467))),"",IFERROR(E4467*N(INDEX(art_price,MATCH(C4467,art_ref,0))),""))</f>
        <v/>
      </c>
      <c r="K4467" s="39" t="str">
        <f>IF(OR(C4467="",NOT(ISNUMBER(E4467))),"",IFERROR(ROUND(N(INDEX(art_init,MATCH(C4467,art_ref,0)))+SUMIFS($E$5:E4467,$C$5:C4467,C4467,$B$5:B4467,"Entrée")-SUMIFS($E$5:E4467,$C$5:C4467,C4467,$B$5:B4467,"Sortie"),6),""))</f>
        <v/>
      </c>
      <c r="L4467" s="39" t="str">
        <f>IF(COUNTA(A4467:C4467,E4467)=0,"",IF(COUNTA(A4467:C4467,E4467)&lt;4,"Ligne incomplète",IF(NOT(ISNUMBER(A4467)),"Date invalide",IF(AND(B4467&lt;&gt;"Entrée",B4467&lt;&gt;"Sortie"),"Type inconnu",IF(ISNA(MATCH(C4467,art_ref,0)),"Référence inconnue",IF(OR(NOT(ISNUMBER(E4467)),N(E4467)&lt;=0),"Quantité invalide",IF(K4467&lt;0,"Stock négatif",IF(AND(ISNUMBER(A4466),A4467&lt;A4466),"Date hors ordre","OK"))))))))</f>
        <v/>
      </c>
      <c r="M4467" s="39" t="str">
        <f>IF(C4467="","",C4467&amp;"#"&amp;COUNTIF($C$5:C4467,C4467))</f>
        <v/>
      </c>
    </row>
    <row r="4468">
      <c r="A4468" s="41" t="n"/>
      <c r="B4468" s="37" t="n"/>
      <c r="C4468" s="37" t="n"/>
      <c r="D4468" s="39" t="str">
        <f>IF(C4468="","",IFERROR(INDEX(art_des,MATCH(C4468,art_ref,0))&amp;"","Référence inconnue"))</f>
        <v/>
      </c>
      <c r="E4468" s="37" t="n"/>
      <c r="F4468" s="39" t="str">
        <f>IF(C4468="","",IFERROR(INDEX(art_unit,MATCH(C4468,art_ref,0))&amp;"",""))</f>
        <v/>
      </c>
      <c r="G4468" s="37" t="n"/>
      <c r="H4468" s="37" t="n"/>
      <c r="I4468" s="37" t="n"/>
      <c r="J4468" s="40" t="str">
        <f>IF(OR(C4468="",NOT(ISNUMBER(E4468))),"",IFERROR(E4468*N(INDEX(art_price,MATCH(C4468,art_ref,0))),""))</f>
        <v/>
      </c>
      <c r="K4468" s="39" t="str">
        <f>IF(OR(C4468="",NOT(ISNUMBER(E4468))),"",IFERROR(ROUND(N(INDEX(art_init,MATCH(C4468,art_ref,0)))+SUMIFS($E$5:E4468,$C$5:C4468,C4468,$B$5:B4468,"Entrée")-SUMIFS($E$5:E4468,$C$5:C4468,C4468,$B$5:B4468,"Sortie"),6),""))</f>
        <v/>
      </c>
      <c r="L4468" s="39" t="str">
        <f>IF(COUNTA(A4468:C4468,E4468)=0,"",IF(COUNTA(A4468:C4468,E4468)&lt;4,"Ligne incomplète",IF(NOT(ISNUMBER(A4468)),"Date invalide",IF(AND(B4468&lt;&gt;"Entrée",B4468&lt;&gt;"Sortie"),"Type inconnu",IF(ISNA(MATCH(C4468,art_ref,0)),"Référence inconnue",IF(OR(NOT(ISNUMBER(E4468)),N(E4468)&lt;=0),"Quantité invalide",IF(K4468&lt;0,"Stock négatif",IF(AND(ISNUMBER(A4467),A4468&lt;A4467),"Date hors ordre","OK"))))))))</f>
        <v/>
      </c>
      <c r="M4468" s="39" t="str">
        <f>IF(C4468="","",C4468&amp;"#"&amp;COUNTIF($C$5:C4468,C4468))</f>
        <v/>
      </c>
    </row>
    <row r="4469">
      <c r="A4469" s="41" t="n"/>
      <c r="B4469" s="37" t="n"/>
      <c r="C4469" s="37" t="n"/>
      <c r="D4469" s="39" t="str">
        <f>IF(C4469="","",IFERROR(INDEX(art_des,MATCH(C4469,art_ref,0))&amp;"","Référence inconnue"))</f>
        <v/>
      </c>
      <c r="E4469" s="37" t="n"/>
      <c r="F4469" s="39" t="str">
        <f>IF(C4469="","",IFERROR(INDEX(art_unit,MATCH(C4469,art_ref,0))&amp;"",""))</f>
        <v/>
      </c>
      <c r="G4469" s="37" t="n"/>
      <c r="H4469" s="37" t="n"/>
      <c r="I4469" s="37" t="n"/>
      <c r="J4469" s="40" t="str">
        <f>IF(OR(C4469="",NOT(ISNUMBER(E4469))),"",IFERROR(E4469*N(INDEX(art_price,MATCH(C4469,art_ref,0))),""))</f>
        <v/>
      </c>
      <c r="K4469" s="39" t="str">
        <f>IF(OR(C4469="",NOT(ISNUMBER(E4469))),"",IFERROR(ROUND(N(INDEX(art_init,MATCH(C4469,art_ref,0)))+SUMIFS($E$5:E4469,$C$5:C4469,C4469,$B$5:B4469,"Entrée")-SUMIFS($E$5:E4469,$C$5:C4469,C4469,$B$5:B4469,"Sortie"),6),""))</f>
        <v/>
      </c>
      <c r="L4469" s="39" t="str">
        <f>IF(COUNTA(A4469:C4469,E4469)=0,"",IF(COUNTA(A4469:C4469,E4469)&lt;4,"Ligne incomplète",IF(NOT(ISNUMBER(A4469)),"Date invalide",IF(AND(B4469&lt;&gt;"Entrée",B4469&lt;&gt;"Sortie"),"Type inconnu",IF(ISNA(MATCH(C4469,art_ref,0)),"Référence inconnue",IF(OR(NOT(ISNUMBER(E4469)),N(E4469)&lt;=0),"Quantité invalide",IF(K4469&lt;0,"Stock négatif",IF(AND(ISNUMBER(A4468),A4469&lt;A4468),"Date hors ordre","OK"))))))))</f>
        <v/>
      </c>
      <c r="M4469" s="39" t="str">
        <f>IF(C4469="","",C4469&amp;"#"&amp;COUNTIF($C$5:C4469,C4469))</f>
        <v/>
      </c>
    </row>
    <row r="4470">
      <c r="A4470" s="41" t="n"/>
      <c r="B4470" s="37" t="n"/>
      <c r="C4470" s="37" t="n"/>
      <c r="D4470" s="39" t="str">
        <f>IF(C4470="","",IFERROR(INDEX(art_des,MATCH(C4470,art_ref,0))&amp;"","Référence inconnue"))</f>
        <v/>
      </c>
      <c r="E4470" s="37" t="n"/>
      <c r="F4470" s="39" t="str">
        <f>IF(C4470="","",IFERROR(INDEX(art_unit,MATCH(C4470,art_ref,0))&amp;"",""))</f>
        <v/>
      </c>
      <c r="G4470" s="37" t="n"/>
      <c r="H4470" s="37" t="n"/>
      <c r="I4470" s="37" t="n"/>
      <c r="J4470" s="40" t="str">
        <f>IF(OR(C4470="",NOT(ISNUMBER(E4470))),"",IFERROR(E4470*N(INDEX(art_price,MATCH(C4470,art_ref,0))),""))</f>
        <v/>
      </c>
      <c r="K4470" s="39" t="str">
        <f>IF(OR(C4470="",NOT(ISNUMBER(E4470))),"",IFERROR(ROUND(N(INDEX(art_init,MATCH(C4470,art_ref,0)))+SUMIFS($E$5:E4470,$C$5:C4470,C4470,$B$5:B4470,"Entrée")-SUMIFS($E$5:E4470,$C$5:C4470,C4470,$B$5:B4470,"Sortie"),6),""))</f>
        <v/>
      </c>
      <c r="L4470" s="39" t="str">
        <f>IF(COUNTA(A4470:C4470,E4470)=0,"",IF(COUNTA(A4470:C4470,E4470)&lt;4,"Ligne incomplète",IF(NOT(ISNUMBER(A4470)),"Date invalide",IF(AND(B4470&lt;&gt;"Entrée",B4470&lt;&gt;"Sortie"),"Type inconnu",IF(ISNA(MATCH(C4470,art_ref,0)),"Référence inconnue",IF(OR(NOT(ISNUMBER(E4470)),N(E4470)&lt;=0),"Quantité invalide",IF(K4470&lt;0,"Stock négatif",IF(AND(ISNUMBER(A4469),A4470&lt;A4469),"Date hors ordre","OK"))))))))</f>
        <v/>
      </c>
      <c r="M4470" s="39" t="str">
        <f>IF(C4470="","",C4470&amp;"#"&amp;COUNTIF($C$5:C4470,C4470))</f>
        <v/>
      </c>
    </row>
    <row r="4471">
      <c r="A4471" s="41" t="n"/>
      <c r="B4471" s="37" t="n"/>
      <c r="C4471" s="37" t="n"/>
      <c r="D4471" s="39" t="str">
        <f>IF(C4471="","",IFERROR(INDEX(art_des,MATCH(C4471,art_ref,0))&amp;"","Référence inconnue"))</f>
        <v/>
      </c>
      <c r="E4471" s="37" t="n"/>
      <c r="F4471" s="39" t="str">
        <f>IF(C4471="","",IFERROR(INDEX(art_unit,MATCH(C4471,art_ref,0))&amp;"",""))</f>
        <v/>
      </c>
      <c r="G4471" s="37" t="n"/>
      <c r="H4471" s="37" t="n"/>
      <c r="I4471" s="37" t="n"/>
      <c r="J4471" s="40" t="str">
        <f>IF(OR(C4471="",NOT(ISNUMBER(E4471))),"",IFERROR(E4471*N(INDEX(art_price,MATCH(C4471,art_ref,0))),""))</f>
        <v/>
      </c>
      <c r="K4471" s="39" t="str">
        <f>IF(OR(C4471="",NOT(ISNUMBER(E4471))),"",IFERROR(ROUND(N(INDEX(art_init,MATCH(C4471,art_ref,0)))+SUMIFS($E$5:E4471,$C$5:C4471,C4471,$B$5:B4471,"Entrée")-SUMIFS($E$5:E4471,$C$5:C4471,C4471,$B$5:B4471,"Sortie"),6),""))</f>
        <v/>
      </c>
      <c r="L4471" s="39" t="str">
        <f>IF(COUNTA(A4471:C4471,E4471)=0,"",IF(COUNTA(A4471:C4471,E4471)&lt;4,"Ligne incomplète",IF(NOT(ISNUMBER(A4471)),"Date invalide",IF(AND(B4471&lt;&gt;"Entrée",B4471&lt;&gt;"Sortie"),"Type inconnu",IF(ISNA(MATCH(C4471,art_ref,0)),"Référence inconnue",IF(OR(NOT(ISNUMBER(E4471)),N(E4471)&lt;=0),"Quantité invalide",IF(K4471&lt;0,"Stock négatif",IF(AND(ISNUMBER(A4470),A4471&lt;A4470),"Date hors ordre","OK"))))))))</f>
        <v/>
      </c>
      <c r="M4471" s="39" t="str">
        <f>IF(C4471="","",C4471&amp;"#"&amp;COUNTIF($C$5:C4471,C4471))</f>
        <v/>
      </c>
    </row>
    <row r="4472">
      <c r="A4472" s="41" t="n"/>
      <c r="B4472" s="37" t="n"/>
      <c r="C4472" s="37" t="n"/>
      <c r="D4472" s="39" t="str">
        <f>IF(C4472="","",IFERROR(INDEX(art_des,MATCH(C4472,art_ref,0))&amp;"","Référence inconnue"))</f>
        <v/>
      </c>
      <c r="E4472" s="37" t="n"/>
      <c r="F4472" s="39" t="str">
        <f>IF(C4472="","",IFERROR(INDEX(art_unit,MATCH(C4472,art_ref,0))&amp;"",""))</f>
        <v/>
      </c>
      <c r="G4472" s="37" t="n"/>
      <c r="H4472" s="37" t="n"/>
      <c r="I4472" s="37" t="n"/>
      <c r="J4472" s="40" t="str">
        <f>IF(OR(C4472="",NOT(ISNUMBER(E4472))),"",IFERROR(E4472*N(INDEX(art_price,MATCH(C4472,art_ref,0))),""))</f>
        <v/>
      </c>
      <c r="K4472" s="39" t="str">
        <f>IF(OR(C4472="",NOT(ISNUMBER(E4472))),"",IFERROR(ROUND(N(INDEX(art_init,MATCH(C4472,art_ref,0)))+SUMIFS($E$5:E4472,$C$5:C4472,C4472,$B$5:B4472,"Entrée")-SUMIFS($E$5:E4472,$C$5:C4472,C4472,$B$5:B4472,"Sortie"),6),""))</f>
        <v/>
      </c>
      <c r="L4472" s="39" t="str">
        <f>IF(COUNTA(A4472:C4472,E4472)=0,"",IF(COUNTA(A4472:C4472,E4472)&lt;4,"Ligne incomplète",IF(NOT(ISNUMBER(A4472)),"Date invalide",IF(AND(B4472&lt;&gt;"Entrée",B4472&lt;&gt;"Sortie"),"Type inconnu",IF(ISNA(MATCH(C4472,art_ref,0)),"Référence inconnue",IF(OR(NOT(ISNUMBER(E4472)),N(E4472)&lt;=0),"Quantité invalide",IF(K4472&lt;0,"Stock négatif",IF(AND(ISNUMBER(A4471),A4472&lt;A4471),"Date hors ordre","OK"))))))))</f>
        <v/>
      </c>
      <c r="M4472" s="39" t="str">
        <f>IF(C4472="","",C4472&amp;"#"&amp;COUNTIF($C$5:C4472,C4472))</f>
        <v/>
      </c>
    </row>
    <row r="4473">
      <c r="A4473" s="41" t="n"/>
      <c r="B4473" s="37" t="n"/>
      <c r="C4473" s="37" t="n"/>
      <c r="D4473" s="39" t="str">
        <f>IF(C4473="","",IFERROR(INDEX(art_des,MATCH(C4473,art_ref,0))&amp;"","Référence inconnue"))</f>
        <v/>
      </c>
      <c r="E4473" s="37" t="n"/>
      <c r="F4473" s="39" t="str">
        <f>IF(C4473="","",IFERROR(INDEX(art_unit,MATCH(C4473,art_ref,0))&amp;"",""))</f>
        <v/>
      </c>
      <c r="G4473" s="37" t="n"/>
      <c r="H4473" s="37" t="n"/>
      <c r="I4473" s="37" t="n"/>
      <c r="J4473" s="40" t="str">
        <f>IF(OR(C4473="",NOT(ISNUMBER(E4473))),"",IFERROR(E4473*N(INDEX(art_price,MATCH(C4473,art_ref,0))),""))</f>
        <v/>
      </c>
      <c r="K4473" s="39" t="str">
        <f>IF(OR(C4473="",NOT(ISNUMBER(E4473))),"",IFERROR(ROUND(N(INDEX(art_init,MATCH(C4473,art_ref,0)))+SUMIFS($E$5:E4473,$C$5:C4473,C4473,$B$5:B4473,"Entrée")-SUMIFS($E$5:E4473,$C$5:C4473,C4473,$B$5:B4473,"Sortie"),6),""))</f>
        <v/>
      </c>
      <c r="L4473" s="39" t="str">
        <f>IF(COUNTA(A4473:C4473,E4473)=0,"",IF(COUNTA(A4473:C4473,E4473)&lt;4,"Ligne incomplète",IF(NOT(ISNUMBER(A4473)),"Date invalide",IF(AND(B4473&lt;&gt;"Entrée",B4473&lt;&gt;"Sortie"),"Type inconnu",IF(ISNA(MATCH(C4473,art_ref,0)),"Référence inconnue",IF(OR(NOT(ISNUMBER(E4473)),N(E4473)&lt;=0),"Quantité invalide",IF(K4473&lt;0,"Stock négatif",IF(AND(ISNUMBER(A4472),A4473&lt;A4472),"Date hors ordre","OK"))))))))</f>
        <v/>
      </c>
      <c r="M4473" s="39" t="str">
        <f>IF(C4473="","",C4473&amp;"#"&amp;COUNTIF($C$5:C4473,C4473))</f>
        <v/>
      </c>
    </row>
    <row r="4474">
      <c r="A4474" s="41" t="n"/>
      <c r="B4474" s="37" t="n"/>
      <c r="C4474" s="37" t="n"/>
      <c r="D4474" s="39" t="str">
        <f>IF(C4474="","",IFERROR(INDEX(art_des,MATCH(C4474,art_ref,0))&amp;"","Référence inconnue"))</f>
        <v/>
      </c>
      <c r="E4474" s="37" t="n"/>
      <c r="F4474" s="39" t="str">
        <f>IF(C4474="","",IFERROR(INDEX(art_unit,MATCH(C4474,art_ref,0))&amp;"",""))</f>
        <v/>
      </c>
      <c r="G4474" s="37" t="n"/>
      <c r="H4474" s="37" t="n"/>
      <c r="I4474" s="37" t="n"/>
      <c r="J4474" s="40" t="str">
        <f>IF(OR(C4474="",NOT(ISNUMBER(E4474))),"",IFERROR(E4474*N(INDEX(art_price,MATCH(C4474,art_ref,0))),""))</f>
        <v/>
      </c>
      <c r="K4474" s="39" t="str">
        <f>IF(OR(C4474="",NOT(ISNUMBER(E4474))),"",IFERROR(ROUND(N(INDEX(art_init,MATCH(C4474,art_ref,0)))+SUMIFS($E$5:E4474,$C$5:C4474,C4474,$B$5:B4474,"Entrée")-SUMIFS($E$5:E4474,$C$5:C4474,C4474,$B$5:B4474,"Sortie"),6),""))</f>
        <v/>
      </c>
      <c r="L4474" s="39" t="str">
        <f>IF(COUNTA(A4474:C4474,E4474)=0,"",IF(COUNTA(A4474:C4474,E4474)&lt;4,"Ligne incomplète",IF(NOT(ISNUMBER(A4474)),"Date invalide",IF(AND(B4474&lt;&gt;"Entrée",B4474&lt;&gt;"Sortie"),"Type inconnu",IF(ISNA(MATCH(C4474,art_ref,0)),"Référence inconnue",IF(OR(NOT(ISNUMBER(E4474)),N(E4474)&lt;=0),"Quantité invalide",IF(K4474&lt;0,"Stock négatif",IF(AND(ISNUMBER(A4473),A4474&lt;A4473),"Date hors ordre","OK"))))))))</f>
        <v/>
      </c>
      <c r="M4474" s="39" t="str">
        <f>IF(C4474="","",C4474&amp;"#"&amp;COUNTIF($C$5:C4474,C4474))</f>
        <v/>
      </c>
    </row>
    <row r="4475">
      <c r="A4475" s="41" t="n"/>
      <c r="B4475" s="37" t="n"/>
      <c r="C4475" s="37" t="n"/>
      <c r="D4475" s="39" t="str">
        <f>IF(C4475="","",IFERROR(INDEX(art_des,MATCH(C4475,art_ref,0))&amp;"","Référence inconnue"))</f>
        <v/>
      </c>
      <c r="E4475" s="37" t="n"/>
      <c r="F4475" s="39" t="str">
        <f>IF(C4475="","",IFERROR(INDEX(art_unit,MATCH(C4475,art_ref,0))&amp;"",""))</f>
        <v/>
      </c>
      <c r="G4475" s="37" t="n"/>
      <c r="H4475" s="37" t="n"/>
      <c r="I4475" s="37" t="n"/>
      <c r="J4475" s="40" t="str">
        <f>IF(OR(C4475="",NOT(ISNUMBER(E4475))),"",IFERROR(E4475*N(INDEX(art_price,MATCH(C4475,art_ref,0))),""))</f>
        <v/>
      </c>
      <c r="K4475" s="39" t="str">
        <f>IF(OR(C4475="",NOT(ISNUMBER(E4475))),"",IFERROR(ROUND(N(INDEX(art_init,MATCH(C4475,art_ref,0)))+SUMIFS($E$5:E4475,$C$5:C4475,C4475,$B$5:B4475,"Entrée")-SUMIFS($E$5:E4475,$C$5:C4475,C4475,$B$5:B4475,"Sortie"),6),""))</f>
        <v/>
      </c>
      <c r="L4475" s="39" t="str">
        <f>IF(COUNTA(A4475:C4475,E4475)=0,"",IF(COUNTA(A4475:C4475,E4475)&lt;4,"Ligne incomplète",IF(NOT(ISNUMBER(A4475)),"Date invalide",IF(AND(B4475&lt;&gt;"Entrée",B4475&lt;&gt;"Sortie"),"Type inconnu",IF(ISNA(MATCH(C4475,art_ref,0)),"Référence inconnue",IF(OR(NOT(ISNUMBER(E4475)),N(E4475)&lt;=0),"Quantité invalide",IF(K4475&lt;0,"Stock négatif",IF(AND(ISNUMBER(A4474),A4475&lt;A4474),"Date hors ordre","OK"))))))))</f>
        <v/>
      </c>
      <c r="M4475" s="39" t="str">
        <f>IF(C4475="","",C4475&amp;"#"&amp;COUNTIF($C$5:C4475,C4475))</f>
        <v/>
      </c>
    </row>
    <row r="4476">
      <c r="A4476" s="41" t="n"/>
      <c r="B4476" s="37" t="n"/>
      <c r="C4476" s="37" t="n"/>
      <c r="D4476" s="39" t="str">
        <f>IF(C4476="","",IFERROR(INDEX(art_des,MATCH(C4476,art_ref,0))&amp;"","Référence inconnue"))</f>
        <v/>
      </c>
      <c r="E4476" s="37" t="n"/>
      <c r="F4476" s="39" t="str">
        <f>IF(C4476="","",IFERROR(INDEX(art_unit,MATCH(C4476,art_ref,0))&amp;"",""))</f>
        <v/>
      </c>
      <c r="G4476" s="37" t="n"/>
      <c r="H4476" s="37" t="n"/>
      <c r="I4476" s="37" t="n"/>
      <c r="J4476" s="40" t="str">
        <f>IF(OR(C4476="",NOT(ISNUMBER(E4476))),"",IFERROR(E4476*N(INDEX(art_price,MATCH(C4476,art_ref,0))),""))</f>
        <v/>
      </c>
      <c r="K4476" s="39" t="str">
        <f>IF(OR(C4476="",NOT(ISNUMBER(E4476))),"",IFERROR(ROUND(N(INDEX(art_init,MATCH(C4476,art_ref,0)))+SUMIFS($E$5:E4476,$C$5:C4476,C4476,$B$5:B4476,"Entrée")-SUMIFS($E$5:E4476,$C$5:C4476,C4476,$B$5:B4476,"Sortie"),6),""))</f>
        <v/>
      </c>
      <c r="L4476" s="39" t="str">
        <f>IF(COUNTA(A4476:C4476,E4476)=0,"",IF(COUNTA(A4476:C4476,E4476)&lt;4,"Ligne incomplète",IF(NOT(ISNUMBER(A4476)),"Date invalide",IF(AND(B4476&lt;&gt;"Entrée",B4476&lt;&gt;"Sortie"),"Type inconnu",IF(ISNA(MATCH(C4476,art_ref,0)),"Référence inconnue",IF(OR(NOT(ISNUMBER(E4476)),N(E4476)&lt;=0),"Quantité invalide",IF(K4476&lt;0,"Stock négatif",IF(AND(ISNUMBER(A4475),A4476&lt;A4475),"Date hors ordre","OK"))))))))</f>
        <v/>
      </c>
      <c r="M4476" s="39" t="str">
        <f>IF(C4476="","",C4476&amp;"#"&amp;COUNTIF($C$5:C4476,C4476))</f>
        <v/>
      </c>
    </row>
    <row r="4477">
      <c r="A4477" s="41" t="n"/>
      <c r="B4477" s="37" t="n"/>
      <c r="C4477" s="37" t="n"/>
      <c r="D4477" s="39" t="str">
        <f>IF(C4477="","",IFERROR(INDEX(art_des,MATCH(C4477,art_ref,0))&amp;"","Référence inconnue"))</f>
        <v/>
      </c>
      <c r="E4477" s="37" t="n"/>
      <c r="F4477" s="39" t="str">
        <f>IF(C4477="","",IFERROR(INDEX(art_unit,MATCH(C4477,art_ref,0))&amp;"",""))</f>
        <v/>
      </c>
      <c r="G4477" s="37" t="n"/>
      <c r="H4477" s="37" t="n"/>
      <c r="I4477" s="37" t="n"/>
      <c r="J4477" s="40" t="str">
        <f>IF(OR(C4477="",NOT(ISNUMBER(E4477))),"",IFERROR(E4477*N(INDEX(art_price,MATCH(C4477,art_ref,0))),""))</f>
        <v/>
      </c>
      <c r="K4477" s="39" t="str">
        <f>IF(OR(C4477="",NOT(ISNUMBER(E4477))),"",IFERROR(ROUND(N(INDEX(art_init,MATCH(C4477,art_ref,0)))+SUMIFS($E$5:E4477,$C$5:C4477,C4477,$B$5:B4477,"Entrée")-SUMIFS($E$5:E4477,$C$5:C4477,C4477,$B$5:B4477,"Sortie"),6),""))</f>
        <v/>
      </c>
      <c r="L4477" s="39" t="str">
        <f>IF(COUNTA(A4477:C4477,E4477)=0,"",IF(COUNTA(A4477:C4477,E4477)&lt;4,"Ligne incomplète",IF(NOT(ISNUMBER(A4477)),"Date invalide",IF(AND(B4477&lt;&gt;"Entrée",B4477&lt;&gt;"Sortie"),"Type inconnu",IF(ISNA(MATCH(C4477,art_ref,0)),"Référence inconnue",IF(OR(NOT(ISNUMBER(E4477)),N(E4477)&lt;=0),"Quantité invalide",IF(K4477&lt;0,"Stock négatif",IF(AND(ISNUMBER(A4476),A4477&lt;A4476),"Date hors ordre","OK"))))))))</f>
        <v/>
      </c>
      <c r="M4477" s="39" t="str">
        <f>IF(C4477="","",C4477&amp;"#"&amp;COUNTIF($C$5:C4477,C4477))</f>
        <v/>
      </c>
    </row>
    <row r="4478">
      <c r="A4478" s="41" t="n"/>
      <c r="B4478" s="37" t="n"/>
      <c r="C4478" s="37" t="n"/>
      <c r="D4478" s="39" t="str">
        <f>IF(C4478="","",IFERROR(INDEX(art_des,MATCH(C4478,art_ref,0))&amp;"","Référence inconnue"))</f>
        <v/>
      </c>
      <c r="E4478" s="37" t="n"/>
      <c r="F4478" s="39" t="str">
        <f>IF(C4478="","",IFERROR(INDEX(art_unit,MATCH(C4478,art_ref,0))&amp;"",""))</f>
        <v/>
      </c>
      <c r="G4478" s="37" t="n"/>
      <c r="H4478" s="37" t="n"/>
      <c r="I4478" s="37" t="n"/>
      <c r="J4478" s="40" t="str">
        <f>IF(OR(C4478="",NOT(ISNUMBER(E4478))),"",IFERROR(E4478*N(INDEX(art_price,MATCH(C4478,art_ref,0))),""))</f>
        <v/>
      </c>
      <c r="K4478" s="39" t="str">
        <f>IF(OR(C4478="",NOT(ISNUMBER(E4478))),"",IFERROR(ROUND(N(INDEX(art_init,MATCH(C4478,art_ref,0)))+SUMIFS($E$5:E4478,$C$5:C4478,C4478,$B$5:B4478,"Entrée")-SUMIFS($E$5:E4478,$C$5:C4478,C4478,$B$5:B4478,"Sortie"),6),""))</f>
        <v/>
      </c>
      <c r="L4478" s="39" t="str">
        <f>IF(COUNTA(A4478:C4478,E4478)=0,"",IF(COUNTA(A4478:C4478,E4478)&lt;4,"Ligne incomplète",IF(NOT(ISNUMBER(A4478)),"Date invalide",IF(AND(B4478&lt;&gt;"Entrée",B4478&lt;&gt;"Sortie"),"Type inconnu",IF(ISNA(MATCH(C4478,art_ref,0)),"Référence inconnue",IF(OR(NOT(ISNUMBER(E4478)),N(E4478)&lt;=0),"Quantité invalide",IF(K4478&lt;0,"Stock négatif",IF(AND(ISNUMBER(A4477),A4478&lt;A4477),"Date hors ordre","OK"))))))))</f>
        <v/>
      </c>
      <c r="M4478" s="39" t="str">
        <f>IF(C4478="","",C4478&amp;"#"&amp;COUNTIF($C$5:C4478,C4478))</f>
        <v/>
      </c>
    </row>
    <row r="4479">
      <c r="A4479" s="41" t="n"/>
      <c r="B4479" s="37" t="n"/>
      <c r="C4479" s="37" t="n"/>
      <c r="D4479" s="39" t="str">
        <f>IF(C4479="","",IFERROR(INDEX(art_des,MATCH(C4479,art_ref,0))&amp;"","Référence inconnue"))</f>
        <v/>
      </c>
      <c r="E4479" s="37" t="n"/>
      <c r="F4479" s="39" t="str">
        <f>IF(C4479="","",IFERROR(INDEX(art_unit,MATCH(C4479,art_ref,0))&amp;"",""))</f>
        <v/>
      </c>
      <c r="G4479" s="37" t="n"/>
      <c r="H4479" s="37" t="n"/>
      <c r="I4479" s="37" t="n"/>
      <c r="J4479" s="40" t="str">
        <f>IF(OR(C4479="",NOT(ISNUMBER(E4479))),"",IFERROR(E4479*N(INDEX(art_price,MATCH(C4479,art_ref,0))),""))</f>
        <v/>
      </c>
      <c r="K4479" s="39" t="str">
        <f>IF(OR(C4479="",NOT(ISNUMBER(E4479))),"",IFERROR(ROUND(N(INDEX(art_init,MATCH(C4479,art_ref,0)))+SUMIFS($E$5:E4479,$C$5:C4479,C4479,$B$5:B4479,"Entrée")-SUMIFS($E$5:E4479,$C$5:C4479,C4479,$B$5:B4479,"Sortie"),6),""))</f>
        <v/>
      </c>
      <c r="L4479" s="39" t="str">
        <f>IF(COUNTA(A4479:C4479,E4479)=0,"",IF(COUNTA(A4479:C4479,E4479)&lt;4,"Ligne incomplète",IF(NOT(ISNUMBER(A4479)),"Date invalide",IF(AND(B4479&lt;&gt;"Entrée",B4479&lt;&gt;"Sortie"),"Type inconnu",IF(ISNA(MATCH(C4479,art_ref,0)),"Référence inconnue",IF(OR(NOT(ISNUMBER(E4479)),N(E4479)&lt;=0),"Quantité invalide",IF(K4479&lt;0,"Stock négatif",IF(AND(ISNUMBER(A4478),A4479&lt;A4478),"Date hors ordre","OK"))))))))</f>
        <v/>
      </c>
      <c r="M4479" s="39" t="str">
        <f>IF(C4479="","",C4479&amp;"#"&amp;COUNTIF($C$5:C4479,C4479))</f>
        <v/>
      </c>
    </row>
    <row r="4480">
      <c r="A4480" s="41" t="n"/>
      <c r="B4480" s="37" t="n"/>
      <c r="C4480" s="37" t="n"/>
      <c r="D4480" s="39" t="str">
        <f>IF(C4480="","",IFERROR(INDEX(art_des,MATCH(C4480,art_ref,0))&amp;"","Référence inconnue"))</f>
        <v/>
      </c>
      <c r="E4480" s="37" t="n"/>
      <c r="F4480" s="39" t="str">
        <f>IF(C4480="","",IFERROR(INDEX(art_unit,MATCH(C4480,art_ref,0))&amp;"",""))</f>
        <v/>
      </c>
      <c r="G4480" s="37" t="n"/>
      <c r="H4480" s="37" t="n"/>
      <c r="I4480" s="37" t="n"/>
      <c r="J4480" s="40" t="str">
        <f>IF(OR(C4480="",NOT(ISNUMBER(E4480))),"",IFERROR(E4480*N(INDEX(art_price,MATCH(C4480,art_ref,0))),""))</f>
        <v/>
      </c>
      <c r="K4480" s="39" t="str">
        <f>IF(OR(C4480="",NOT(ISNUMBER(E4480))),"",IFERROR(ROUND(N(INDEX(art_init,MATCH(C4480,art_ref,0)))+SUMIFS($E$5:E4480,$C$5:C4480,C4480,$B$5:B4480,"Entrée")-SUMIFS($E$5:E4480,$C$5:C4480,C4480,$B$5:B4480,"Sortie"),6),""))</f>
        <v/>
      </c>
      <c r="L4480" s="39" t="str">
        <f>IF(COUNTA(A4480:C4480,E4480)=0,"",IF(COUNTA(A4480:C4480,E4480)&lt;4,"Ligne incomplète",IF(NOT(ISNUMBER(A4480)),"Date invalide",IF(AND(B4480&lt;&gt;"Entrée",B4480&lt;&gt;"Sortie"),"Type inconnu",IF(ISNA(MATCH(C4480,art_ref,0)),"Référence inconnue",IF(OR(NOT(ISNUMBER(E4480)),N(E4480)&lt;=0),"Quantité invalide",IF(K4480&lt;0,"Stock négatif",IF(AND(ISNUMBER(A4479),A4480&lt;A4479),"Date hors ordre","OK"))))))))</f>
        <v/>
      </c>
      <c r="M4480" s="39" t="str">
        <f>IF(C4480="","",C4480&amp;"#"&amp;COUNTIF($C$5:C4480,C4480))</f>
        <v/>
      </c>
    </row>
    <row r="4481">
      <c r="A4481" s="41" t="n"/>
      <c r="B4481" s="37" t="n"/>
      <c r="C4481" s="37" t="n"/>
      <c r="D4481" s="39" t="str">
        <f>IF(C4481="","",IFERROR(INDEX(art_des,MATCH(C4481,art_ref,0))&amp;"","Référence inconnue"))</f>
        <v/>
      </c>
      <c r="E4481" s="37" t="n"/>
      <c r="F4481" s="39" t="str">
        <f>IF(C4481="","",IFERROR(INDEX(art_unit,MATCH(C4481,art_ref,0))&amp;"",""))</f>
        <v/>
      </c>
      <c r="G4481" s="37" t="n"/>
      <c r="H4481" s="37" t="n"/>
      <c r="I4481" s="37" t="n"/>
      <c r="J4481" s="40" t="str">
        <f>IF(OR(C4481="",NOT(ISNUMBER(E4481))),"",IFERROR(E4481*N(INDEX(art_price,MATCH(C4481,art_ref,0))),""))</f>
        <v/>
      </c>
      <c r="K4481" s="39" t="str">
        <f>IF(OR(C4481="",NOT(ISNUMBER(E4481))),"",IFERROR(ROUND(N(INDEX(art_init,MATCH(C4481,art_ref,0)))+SUMIFS($E$5:E4481,$C$5:C4481,C4481,$B$5:B4481,"Entrée")-SUMIFS($E$5:E4481,$C$5:C4481,C4481,$B$5:B4481,"Sortie"),6),""))</f>
        <v/>
      </c>
      <c r="L4481" s="39" t="str">
        <f>IF(COUNTA(A4481:C4481,E4481)=0,"",IF(COUNTA(A4481:C4481,E4481)&lt;4,"Ligne incomplète",IF(NOT(ISNUMBER(A4481)),"Date invalide",IF(AND(B4481&lt;&gt;"Entrée",B4481&lt;&gt;"Sortie"),"Type inconnu",IF(ISNA(MATCH(C4481,art_ref,0)),"Référence inconnue",IF(OR(NOT(ISNUMBER(E4481)),N(E4481)&lt;=0),"Quantité invalide",IF(K4481&lt;0,"Stock négatif",IF(AND(ISNUMBER(A4480),A4481&lt;A4480),"Date hors ordre","OK"))))))))</f>
        <v/>
      </c>
      <c r="M4481" s="39" t="str">
        <f>IF(C4481="","",C4481&amp;"#"&amp;COUNTIF($C$5:C4481,C4481))</f>
        <v/>
      </c>
    </row>
    <row r="4482">
      <c r="A4482" s="41" t="n"/>
      <c r="B4482" s="37" t="n"/>
      <c r="C4482" s="37" t="n"/>
      <c r="D4482" s="39" t="str">
        <f>IF(C4482="","",IFERROR(INDEX(art_des,MATCH(C4482,art_ref,0))&amp;"","Référence inconnue"))</f>
        <v/>
      </c>
      <c r="E4482" s="37" t="n"/>
      <c r="F4482" s="39" t="str">
        <f>IF(C4482="","",IFERROR(INDEX(art_unit,MATCH(C4482,art_ref,0))&amp;"",""))</f>
        <v/>
      </c>
      <c r="G4482" s="37" t="n"/>
      <c r="H4482" s="37" t="n"/>
      <c r="I4482" s="37" t="n"/>
      <c r="J4482" s="40" t="str">
        <f>IF(OR(C4482="",NOT(ISNUMBER(E4482))),"",IFERROR(E4482*N(INDEX(art_price,MATCH(C4482,art_ref,0))),""))</f>
        <v/>
      </c>
      <c r="K4482" s="39" t="str">
        <f>IF(OR(C4482="",NOT(ISNUMBER(E4482))),"",IFERROR(ROUND(N(INDEX(art_init,MATCH(C4482,art_ref,0)))+SUMIFS($E$5:E4482,$C$5:C4482,C4482,$B$5:B4482,"Entrée")-SUMIFS($E$5:E4482,$C$5:C4482,C4482,$B$5:B4482,"Sortie"),6),""))</f>
        <v/>
      </c>
      <c r="L4482" s="39" t="str">
        <f>IF(COUNTA(A4482:C4482,E4482)=0,"",IF(COUNTA(A4482:C4482,E4482)&lt;4,"Ligne incomplète",IF(NOT(ISNUMBER(A4482)),"Date invalide",IF(AND(B4482&lt;&gt;"Entrée",B4482&lt;&gt;"Sortie"),"Type inconnu",IF(ISNA(MATCH(C4482,art_ref,0)),"Référence inconnue",IF(OR(NOT(ISNUMBER(E4482)),N(E4482)&lt;=0),"Quantité invalide",IF(K4482&lt;0,"Stock négatif",IF(AND(ISNUMBER(A4481),A4482&lt;A4481),"Date hors ordre","OK"))))))))</f>
        <v/>
      </c>
      <c r="M4482" s="39" t="str">
        <f>IF(C4482="","",C4482&amp;"#"&amp;COUNTIF($C$5:C4482,C4482))</f>
        <v/>
      </c>
    </row>
    <row r="4483">
      <c r="A4483" s="41" t="n"/>
      <c r="B4483" s="37" t="n"/>
      <c r="C4483" s="37" t="n"/>
      <c r="D4483" s="39" t="str">
        <f>IF(C4483="","",IFERROR(INDEX(art_des,MATCH(C4483,art_ref,0))&amp;"","Référence inconnue"))</f>
        <v/>
      </c>
      <c r="E4483" s="37" t="n"/>
      <c r="F4483" s="39" t="str">
        <f>IF(C4483="","",IFERROR(INDEX(art_unit,MATCH(C4483,art_ref,0))&amp;"",""))</f>
        <v/>
      </c>
      <c r="G4483" s="37" t="n"/>
      <c r="H4483" s="37" t="n"/>
      <c r="I4483" s="37" t="n"/>
      <c r="J4483" s="40" t="str">
        <f>IF(OR(C4483="",NOT(ISNUMBER(E4483))),"",IFERROR(E4483*N(INDEX(art_price,MATCH(C4483,art_ref,0))),""))</f>
        <v/>
      </c>
      <c r="K4483" s="39" t="str">
        <f>IF(OR(C4483="",NOT(ISNUMBER(E4483))),"",IFERROR(ROUND(N(INDEX(art_init,MATCH(C4483,art_ref,0)))+SUMIFS($E$5:E4483,$C$5:C4483,C4483,$B$5:B4483,"Entrée")-SUMIFS($E$5:E4483,$C$5:C4483,C4483,$B$5:B4483,"Sortie"),6),""))</f>
        <v/>
      </c>
      <c r="L4483" s="39" t="str">
        <f>IF(COUNTA(A4483:C4483,E4483)=0,"",IF(COUNTA(A4483:C4483,E4483)&lt;4,"Ligne incomplète",IF(NOT(ISNUMBER(A4483)),"Date invalide",IF(AND(B4483&lt;&gt;"Entrée",B4483&lt;&gt;"Sortie"),"Type inconnu",IF(ISNA(MATCH(C4483,art_ref,0)),"Référence inconnue",IF(OR(NOT(ISNUMBER(E4483)),N(E4483)&lt;=0),"Quantité invalide",IF(K4483&lt;0,"Stock négatif",IF(AND(ISNUMBER(A4482),A4483&lt;A4482),"Date hors ordre","OK"))))))))</f>
        <v/>
      </c>
      <c r="M4483" s="39" t="str">
        <f>IF(C4483="","",C4483&amp;"#"&amp;COUNTIF($C$5:C4483,C4483))</f>
        <v/>
      </c>
    </row>
    <row r="4484">
      <c r="A4484" s="41" t="n"/>
      <c r="B4484" s="37" t="n"/>
      <c r="C4484" s="37" t="n"/>
      <c r="D4484" s="39" t="str">
        <f>IF(C4484="","",IFERROR(INDEX(art_des,MATCH(C4484,art_ref,0))&amp;"","Référence inconnue"))</f>
        <v/>
      </c>
      <c r="E4484" s="37" t="n"/>
      <c r="F4484" s="39" t="str">
        <f>IF(C4484="","",IFERROR(INDEX(art_unit,MATCH(C4484,art_ref,0))&amp;"",""))</f>
        <v/>
      </c>
      <c r="G4484" s="37" t="n"/>
      <c r="H4484" s="37" t="n"/>
      <c r="I4484" s="37" t="n"/>
      <c r="J4484" s="40" t="str">
        <f>IF(OR(C4484="",NOT(ISNUMBER(E4484))),"",IFERROR(E4484*N(INDEX(art_price,MATCH(C4484,art_ref,0))),""))</f>
        <v/>
      </c>
      <c r="K4484" s="39" t="str">
        <f>IF(OR(C4484="",NOT(ISNUMBER(E4484))),"",IFERROR(ROUND(N(INDEX(art_init,MATCH(C4484,art_ref,0)))+SUMIFS($E$5:E4484,$C$5:C4484,C4484,$B$5:B4484,"Entrée")-SUMIFS($E$5:E4484,$C$5:C4484,C4484,$B$5:B4484,"Sortie"),6),""))</f>
        <v/>
      </c>
      <c r="L4484" s="39" t="str">
        <f>IF(COUNTA(A4484:C4484,E4484)=0,"",IF(COUNTA(A4484:C4484,E4484)&lt;4,"Ligne incomplète",IF(NOT(ISNUMBER(A4484)),"Date invalide",IF(AND(B4484&lt;&gt;"Entrée",B4484&lt;&gt;"Sortie"),"Type inconnu",IF(ISNA(MATCH(C4484,art_ref,0)),"Référence inconnue",IF(OR(NOT(ISNUMBER(E4484)),N(E4484)&lt;=0),"Quantité invalide",IF(K4484&lt;0,"Stock négatif",IF(AND(ISNUMBER(A4483),A4484&lt;A4483),"Date hors ordre","OK"))))))))</f>
        <v/>
      </c>
      <c r="M4484" s="39" t="str">
        <f>IF(C4484="","",C4484&amp;"#"&amp;COUNTIF($C$5:C4484,C4484))</f>
        <v/>
      </c>
    </row>
    <row r="4485">
      <c r="A4485" s="41" t="n"/>
      <c r="B4485" s="37" t="n"/>
      <c r="C4485" s="37" t="n"/>
      <c r="D4485" s="39" t="str">
        <f>IF(C4485="","",IFERROR(INDEX(art_des,MATCH(C4485,art_ref,0))&amp;"","Référence inconnue"))</f>
        <v/>
      </c>
      <c r="E4485" s="37" t="n"/>
      <c r="F4485" s="39" t="str">
        <f>IF(C4485="","",IFERROR(INDEX(art_unit,MATCH(C4485,art_ref,0))&amp;"",""))</f>
        <v/>
      </c>
      <c r="G4485" s="37" t="n"/>
      <c r="H4485" s="37" t="n"/>
      <c r="I4485" s="37" t="n"/>
      <c r="J4485" s="40" t="str">
        <f>IF(OR(C4485="",NOT(ISNUMBER(E4485))),"",IFERROR(E4485*N(INDEX(art_price,MATCH(C4485,art_ref,0))),""))</f>
        <v/>
      </c>
      <c r="K4485" s="39" t="str">
        <f>IF(OR(C4485="",NOT(ISNUMBER(E4485))),"",IFERROR(ROUND(N(INDEX(art_init,MATCH(C4485,art_ref,0)))+SUMIFS($E$5:E4485,$C$5:C4485,C4485,$B$5:B4485,"Entrée")-SUMIFS($E$5:E4485,$C$5:C4485,C4485,$B$5:B4485,"Sortie"),6),""))</f>
        <v/>
      </c>
      <c r="L4485" s="39" t="str">
        <f>IF(COUNTA(A4485:C4485,E4485)=0,"",IF(COUNTA(A4485:C4485,E4485)&lt;4,"Ligne incomplète",IF(NOT(ISNUMBER(A4485)),"Date invalide",IF(AND(B4485&lt;&gt;"Entrée",B4485&lt;&gt;"Sortie"),"Type inconnu",IF(ISNA(MATCH(C4485,art_ref,0)),"Référence inconnue",IF(OR(NOT(ISNUMBER(E4485)),N(E4485)&lt;=0),"Quantité invalide",IF(K4485&lt;0,"Stock négatif",IF(AND(ISNUMBER(A4484),A4485&lt;A4484),"Date hors ordre","OK"))))))))</f>
        <v/>
      </c>
      <c r="M4485" s="39" t="str">
        <f>IF(C4485="","",C4485&amp;"#"&amp;COUNTIF($C$5:C4485,C4485))</f>
        <v/>
      </c>
    </row>
    <row r="4486">
      <c r="A4486" s="41" t="n"/>
      <c r="B4486" s="37" t="n"/>
      <c r="C4486" s="37" t="n"/>
      <c r="D4486" s="39" t="str">
        <f>IF(C4486="","",IFERROR(INDEX(art_des,MATCH(C4486,art_ref,0))&amp;"","Référence inconnue"))</f>
        <v/>
      </c>
      <c r="E4486" s="37" t="n"/>
      <c r="F4486" s="39" t="str">
        <f>IF(C4486="","",IFERROR(INDEX(art_unit,MATCH(C4486,art_ref,0))&amp;"",""))</f>
        <v/>
      </c>
      <c r="G4486" s="37" t="n"/>
      <c r="H4486" s="37" t="n"/>
      <c r="I4486" s="37" t="n"/>
      <c r="J4486" s="40" t="str">
        <f>IF(OR(C4486="",NOT(ISNUMBER(E4486))),"",IFERROR(E4486*N(INDEX(art_price,MATCH(C4486,art_ref,0))),""))</f>
        <v/>
      </c>
      <c r="K4486" s="39" t="str">
        <f>IF(OR(C4486="",NOT(ISNUMBER(E4486))),"",IFERROR(ROUND(N(INDEX(art_init,MATCH(C4486,art_ref,0)))+SUMIFS($E$5:E4486,$C$5:C4486,C4486,$B$5:B4486,"Entrée")-SUMIFS($E$5:E4486,$C$5:C4486,C4486,$B$5:B4486,"Sortie"),6),""))</f>
        <v/>
      </c>
      <c r="L4486" s="39" t="str">
        <f>IF(COUNTA(A4486:C4486,E4486)=0,"",IF(COUNTA(A4486:C4486,E4486)&lt;4,"Ligne incomplète",IF(NOT(ISNUMBER(A4486)),"Date invalide",IF(AND(B4486&lt;&gt;"Entrée",B4486&lt;&gt;"Sortie"),"Type inconnu",IF(ISNA(MATCH(C4486,art_ref,0)),"Référence inconnue",IF(OR(NOT(ISNUMBER(E4486)),N(E4486)&lt;=0),"Quantité invalide",IF(K4486&lt;0,"Stock négatif",IF(AND(ISNUMBER(A4485),A4486&lt;A4485),"Date hors ordre","OK"))))))))</f>
        <v/>
      </c>
      <c r="M4486" s="39" t="str">
        <f>IF(C4486="","",C4486&amp;"#"&amp;COUNTIF($C$5:C4486,C4486))</f>
        <v/>
      </c>
    </row>
    <row r="4487">
      <c r="A4487" s="41" t="n"/>
      <c r="B4487" s="37" t="n"/>
      <c r="C4487" s="37" t="n"/>
      <c r="D4487" s="39" t="str">
        <f>IF(C4487="","",IFERROR(INDEX(art_des,MATCH(C4487,art_ref,0))&amp;"","Référence inconnue"))</f>
        <v/>
      </c>
      <c r="E4487" s="37" t="n"/>
      <c r="F4487" s="39" t="str">
        <f>IF(C4487="","",IFERROR(INDEX(art_unit,MATCH(C4487,art_ref,0))&amp;"",""))</f>
        <v/>
      </c>
      <c r="G4487" s="37" t="n"/>
      <c r="H4487" s="37" t="n"/>
      <c r="I4487" s="37" t="n"/>
      <c r="J4487" s="40" t="str">
        <f>IF(OR(C4487="",NOT(ISNUMBER(E4487))),"",IFERROR(E4487*N(INDEX(art_price,MATCH(C4487,art_ref,0))),""))</f>
        <v/>
      </c>
      <c r="K4487" s="39" t="str">
        <f>IF(OR(C4487="",NOT(ISNUMBER(E4487))),"",IFERROR(ROUND(N(INDEX(art_init,MATCH(C4487,art_ref,0)))+SUMIFS($E$5:E4487,$C$5:C4487,C4487,$B$5:B4487,"Entrée")-SUMIFS($E$5:E4487,$C$5:C4487,C4487,$B$5:B4487,"Sortie"),6),""))</f>
        <v/>
      </c>
      <c r="L4487" s="39" t="str">
        <f>IF(COUNTA(A4487:C4487,E4487)=0,"",IF(COUNTA(A4487:C4487,E4487)&lt;4,"Ligne incomplète",IF(NOT(ISNUMBER(A4487)),"Date invalide",IF(AND(B4487&lt;&gt;"Entrée",B4487&lt;&gt;"Sortie"),"Type inconnu",IF(ISNA(MATCH(C4487,art_ref,0)),"Référence inconnue",IF(OR(NOT(ISNUMBER(E4487)),N(E4487)&lt;=0),"Quantité invalide",IF(K4487&lt;0,"Stock négatif",IF(AND(ISNUMBER(A4486),A4487&lt;A4486),"Date hors ordre","OK"))))))))</f>
        <v/>
      </c>
      <c r="M4487" s="39" t="str">
        <f>IF(C4487="","",C4487&amp;"#"&amp;COUNTIF($C$5:C4487,C4487))</f>
        <v/>
      </c>
    </row>
    <row r="4488">
      <c r="A4488" s="41" t="n"/>
      <c r="B4488" s="37" t="n"/>
      <c r="C4488" s="37" t="n"/>
      <c r="D4488" s="39" t="str">
        <f>IF(C4488="","",IFERROR(INDEX(art_des,MATCH(C4488,art_ref,0))&amp;"","Référence inconnue"))</f>
        <v/>
      </c>
      <c r="E4488" s="37" t="n"/>
      <c r="F4488" s="39" t="str">
        <f>IF(C4488="","",IFERROR(INDEX(art_unit,MATCH(C4488,art_ref,0))&amp;"",""))</f>
        <v/>
      </c>
      <c r="G4488" s="37" t="n"/>
      <c r="H4488" s="37" t="n"/>
      <c r="I4488" s="37" t="n"/>
      <c r="J4488" s="40" t="str">
        <f>IF(OR(C4488="",NOT(ISNUMBER(E4488))),"",IFERROR(E4488*N(INDEX(art_price,MATCH(C4488,art_ref,0))),""))</f>
        <v/>
      </c>
      <c r="K4488" s="39" t="str">
        <f>IF(OR(C4488="",NOT(ISNUMBER(E4488))),"",IFERROR(ROUND(N(INDEX(art_init,MATCH(C4488,art_ref,0)))+SUMIFS($E$5:E4488,$C$5:C4488,C4488,$B$5:B4488,"Entrée")-SUMIFS($E$5:E4488,$C$5:C4488,C4488,$B$5:B4488,"Sortie"),6),""))</f>
        <v/>
      </c>
      <c r="L4488" s="39" t="str">
        <f>IF(COUNTA(A4488:C4488,E4488)=0,"",IF(COUNTA(A4488:C4488,E4488)&lt;4,"Ligne incomplète",IF(NOT(ISNUMBER(A4488)),"Date invalide",IF(AND(B4488&lt;&gt;"Entrée",B4488&lt;&gt;"Sortie"),"Type inconnu",IF(ISNA(MATCH(C4488,art_ref,0)),"Référence inconnue",IF(OR(NOT(ISNUMBER(E4488)),N(E4488)&lt;=0),"Quantité invalide",IF(K4488&lt;0,"Stock négatif",IF(AND(ISNUMBER(A4487),A4488&lt;A4487),"Date hors ordre","OK"))))))))</f>
        <v/>
      </c>
      <c r="M4488" s="39" t="str">
        <f>IF(C4488="","",C4488&amp;"#"&amp;COUNTIF($C$5:C4488,C4488))</f>
        <v/>
      </c>
    </row>
    <row r="4489">
      <c r="A4489" s="41" t="n"/>
      <c r="B4489" s="37" t="n"/>
      <c r="C4489" s="37" t="n"/>
      <c r="D4489" s="39" t="str">
        <f>IF(C4489="","",IFERROR(INDEX(art_des,MATCH(C4489,art_ref,0))&amp;"","Référence inconnue"))</f>
        <v/>
      </c>
      <c r="E4489" s="37" t="n"/>
      <c r="F4489" s="39" t="str">
        <f>IF(C4489="","",IFERROR(INDEX(art_unit,MATCH(C4489,art_ref,0))&amp;"",""))</f>
        <v/>
      </c>
      <c r="G4489" s="37" t="n"/>
      <c r="H4489" s="37" t="n"/>
      <c r="I4489" s="37" t="n"/>
      <c r="J4489" s="40" t="str">
        <f>IF(OR(C4489="",NOT(ISNUMBER(E4489))),"",IFERROR(E4489*N(INDEX(art_price,MATCH(C4489,art_ref,0))),""))</f>
        <v/>
      </c>
      <c r="K4489" s="39" t="str">
        <f>IF(OR(C4489="",NOT(ISNUMBER(E4489))),"",IFERROR(ROUND(N(INDEX(art_init,MATCH(C4489,art_ref,0)))+SUMIFS($E$5:E4489,$C$5:C4489,C4489,$B$5:B4489,"Entrée")-SUMIFS($E$5:E4489,$C$5:C4489,C4489,$B$5:B4489,"Sortie"),6),""))</f>
        <v/>
      </c>
      <c r="L4489" s="39" t="str">
        <f>IF(COUNTA(A4489:C4489,E4489)=0,"",IF(COUNTA(A4489:C4489,E4489)&lt;4,"Ligne incomplète",IF(NOT(ISNUMBER(A4489)),"Date invalide",IF(AND(B4489&lt;&gt;"Entrée",B4489&lt;&gt;"Sortie"),"Type inconnu",IF(ISNA(MATCH(C4489,art_ref,0)),"Référence inconnue",IF(OR(NOT(ISNUMBER(E4489)),N(E4489)&lt;=0),"Quantité invalide",IF(K4489&lt;0,"Stock négatif",IF(AND(ISNUMBER(A4488),A4489&lt;A4488),"Date hors ordre","OK"))))))))</f>
        <v/>
      </c>
      <c r="M4489" s="39" t="str">
        <f>IF(C4489="","",C4489&amp;"#"&amp;COUNTIF($C$5:C4489,C4489))</f>
        <v/>
      </c>
    </row>
    <row r="4490">
      <c r="A4490" s="41" t="n"/>
      <c r="B4490" s="37" t="n"/>
      <c r="C4490" s="37" t="n"/>
      <c r="D4490" s="39" t="str">
        <f>IF(C4490="","",IFERROR(INDEX(art_des,MATCH(C4490,art_ref,0))&amp;"","Référence inconnue"))</f>
        <v/>
      </c>
      <c r="E4490" s="37" t="n"/>
      <c r="F4490" s="39" t="str">
        <f>IF(C4490="","",IFERROR(INDEX(art_unit,MATCH(C4490,art_ref,0))&amp;"",""))</f>
        <v/>
      </c>
      <c r="G4490" s="37" t="n"/>
      <c r="H4490" s="37" t="n"/>
      <c r="I4490" s="37" t="n"/>
      <c r="J4490" s="40" t="str">
        <f>IF(OR(C4490="",NOT(ISNUMBER(E4490))),"",IFERROR(E4490*N(INDEX(art_price,MATCH(C4490,art_ref,0))),""))</f>
        <v/>
      </c>
      <c r="K4490" s="39" t="str">
        <f>IF(OR(C4490="",NOT(ISNUMBER(E4490))),"",IFERROR(ROUND(N(INDEX(art_init,MATCH(C4490,art_ref,0)))+SUMIFS($E$5:E4490,$C$5:C4490,C4490,$B$5:B4490,"Entrée")-SUMIFS($E$5:E4490,$C$5:C4490,C4490,$B$5:B4490,"Sortie"),6),""))</f>
        <v/>
      </c>
      <c r="L4490" s="39" t="str">
        <f>IF(COUNTA(A4490:C4490,E4490)=0,"",IF(COUNTA(A4490:C4490,E4490)&lt;4,"Ligne incomplète",IF(NOT(ISNUMBER(A4490)),"Date invalide",IF(AND(B4490&lt;&gt;"Entrée",B4490&lt;&gt;"Sortie"),"Type inconnu",IF(ISNA(MATCH(C4490,art_ref,0)),"Référence inconnue",IF(OR(NOT(ISNUMBER(E4490)),N(E4490)&lt;=0),"Quantité invalide",IF(K4490&lt;0,"Stock négatif",IF(AND(ISNUMBER(A4489),A4490&lt;A4489),"Date hors ordre","OK"))))))))</f>
        <v/>
      </c>
      <c r="M4490" s="39" t="str">
        <f>IF(C4490="","",C4490&amp;"#"&amp;COUNTIF($C$5:C4490,C4490))</f>
        <v/>
      </c>
    </row>
    <row r="4491">
      <c r="A4491" s="41" t="n"/>
      <c r="B4491" s="37" t="n"/>
      <c r="C4491" s="37" t="n"/>
      <c r="D4491" s="39" t="str">
        <f>IF(C4491="","",IFERROR(INDEX(art_des,MATCH(C4491,art_ref,0))&amp;"","Référence inconnue"))</f>
        <v/>
      </c>
      <c r="E4491" s="37" t="n"/>
      <c r="F4491" s="39" t="str">
        <f>IF(C4491="","",IFERROR(INDEX(art_unit,MATCH(C4491,art_ref,0))&amp;"",""))</f>
        <v/>
      </c>
      <c r="G4491" s="37" t="n"/>
      <c r="H4491" s="37" t="n"/>
      <c r="I4491" s="37" t="n"/>
      <c r="J4491" s="40" t="str">
        <f>IF(OR(C4491="",NOT(ISNUMBER(E4491))),"",IFERROR(E4491*N(INDEX(art_price,MATCH(C4491,art_ref,0))),""))</f>
        <v/>
      </c>
      <c r="K4491" s="39" t="str">
        <f>IF(OR(C4491="",NOT(ISNUMBER(E4491))),"",IFERROR(ROUND(N(INDEX(art_init,MATCH(C4491,art_ref,0)))+SUMIFS($E$5:E4491,$C$5:C4491,C4491,$B$5:B4491,"Entrée")-SUMIFS($E$5:E4491,$C$5:C4491,C4491,$B$5:B4491,"Sortie"),6),""))</f>
        <v/>
      </c>
      <c r="L4491" s="39" t="str">
        <f>IF(COUNTA(A4491:C4491,E4491)=0,"",IF(COUNTA(A4491:C4491,E4491)&lt;4,"Ligne incomplète",IF(NOT(ISNUMBER(A4491)),"Date invalide",IF(AND(B4491&lt;&gt;"Entrée",B4491&lt;&gt;"Sortie"),"Type inconnu",IF(ISNA(MATCH(C4491,art_ref,0)),"Référence inconnue",IF(OR(NOT(ISNUMBER(E4491)),N(E4491)&lt;=0),"Quantité invalide",IF(K4491&lt;0,"Stock négatif",IF(AND(ISNUMBER(A4490),A4491&lt;A4490),"Date hors ordre","OK"))))))))</f>
        <v/>
      </c>
      <c r="M4491" s="39" t="str">
        <f>IF(C4491="","",C4491&amp;"#"&amp;COUNTIF($C$5:C4491,C4491))</f>
        <v/>
      </c>
    </row>
    <row r="4492">
      <c r="A4492" s="41" t="n"/>
      <c r="B4492" s="37" t="n"/>
      <c r="C4492" s="37" t="n"/>
      <c r="D4492" s="39" t="str">
        <f>IF(C4492="","",IFERROR(INDEX(art_des,MATCH(C4492,art_ref,0))&amp;"","Référence inconnue"))</f>
        <v/>
      </c>
      <c r="E4492" s="37" t="n"/>
      <c r="F4492" s="39" t="str">
        <f>IF(C4492="","",IFERROR(INDEX(art_unit,MATCH(C4492,art_ref,0))&amp;"",""))</f>
        <v/>
      </c>
      <c r="G4492" s="37" t="n"/>
      <c r="H4492" s="37" t="n"/>
      <c r="I4492" s="37" t="n"/>
      <c r="J4492" s="40" t="str">
        <f>IF(OR(C4492="",NOT(ISNUMBER(E4492))),"",IFERROR(E4492*N(INDEX(art_price,MATCH(C4492,art_ref,0))),""))</f>
        <v/>
      </c>
      <c r="K4492" s="39" t="str">
        <f>IF(OR(C4492="",NOT(ISNUMBER(E4492))),"",IFERROR(ROUND(N(INDEX(art_init,MATCH(C4492,art_ref,0)))+SUMIFS($E$5:E4492,$C$5:C4492,C4492,$B$5:B4492,"Entrée")-SUMIFS($E$5:E4492,$C$5:C4492,C4492,$B$5:B4492,"Sortie"),6),""))</f>
        <v/>
      </c>
      <c r="L4492" s="39" t="str">
        <f>IF(COUNTA(A4492:C4492,E4492)=0,"",IF(COUNTA(A4492:C4492,E4492)&lt;4,"Ligne incomplète",IF(NOT(ISNUMBER(A4492)),"Date invalide",IF(AND(B4492&lt;&gt;"Entrée",B4492&lt;&gt;"Sortie"),"Type inconnu",IF(ISNA(MATCH(C4492,art_ref,0)),"Référence inconnue",IF(OR(NOT(ISNUMBER(E4492)),N(E4492)&lt;=0),"Quantité invalide",IF(K4492&lt;0,"Stock négatif",IF(AND(ISNUMBER(A4491),A4492&lt;A4491),"Date hors ordre","OK"))))))))</f>
        <v/>
      </c>
      <c r="M4492" s="39" t="str">
        <f>IF(C4492="","",C4492&amp;"#"&amp;COUNTIF($C$5:C4492,C4492))</f>
        <v/>
      </c>
    </row>
    <row r="4493">
      <c r="A4493" s="41" t="n"/>
      <c r="B4493" s="37" t="n"/>
      <c r="C4493" s="37" t="n"/>
      <c r="D4493" s="39" t="str">
        <f>IF(C4493="","",IFERROR(INDEX(art_des,MATCH(C4493,art_ref,0))&amp;"","Référence inconnue"))</f>
        <v/>
      </c>
      <c r="E4493" s="37" t="n"/>
      <c r="F4493" s="39" t="str">
        <f>IF(C4493="","",IFERROR(INDEX(art_unit,MATCH(C4493,art_ref,0))&amp;"",""))</f>
        <v/>
      </c>
      <c r="G4493" s="37" t="n"/>
      <c r="H4493" s="37" t="n"/>
      <c r="I4493" s="37" t="n"/>
      <c r="J4493" s="40" t="str">
        <f>IF(OR(C4493="",NOT(ISNUMBER(E4493))),"",IFERROR(E4493*N(INDEX(art_price,MATCH(C4493,art_ref,0))),""))</f>
        <v/>
      </c>
      <c r="K4493" s="39" t="str">
        <f>IF(OR(C4493="",NOT(ISNUMBER(E4493))),"",IFERROR(ROUND(N(INDEX(art_init,MATCH(C4493,art_ref,0)))+SUMIFS($E$5:E4493,$C$5:C4493,C4493,$B$5:B4493,"Entrée")-SUMIFS($E$5:E4493,$C$5:C4493,C4493,$B$5:B4493,"Sortie"),6),""))</f>
        <v/>
      </c>
      <c r="L4493" s="39" t="str">
        <f>IF(COUNTA(A4493:C4493,E4493)=0,"",IF(COUNTA(A4493:C4493,E4493)&lt;4,"Ligne incomplète",IF(NOT(ISNUMBER(A4493)),"Date invalide",IF(AND(B4493&lt;&gt;"Entrée",B4493&lt;&gt;"Sortie"),"Type inconnu",IF(ISNA(MATCH(C4493,art_ref,0)),"Référence inconnue",IF(OR(NOT(ISNUMBER(E4493)),N(E4493)&lt;=0),"Quantité invalide",IF(K4493&lt;0,"Stock négatif",IF(AND(ISNUMBER(A4492),A4493&lt;A4492),"Date hors ordre","OK"))))))))</f>
        <v/>
      </c>
      <c r="M4493" s="39" t="str">
        <f>IF(C4493="","",C4493&amp;"#"&amp;COUNTIF($C$5:C4493,C4493))</f>
        <v/>
      </c>
    </row>
    <row r="4494">
      <c r="A4494" s="41" t="n"/>
      <c r="B4494" s="37" t="n"/>
      <c r="C4494" s="37" t="n"/>
      <c r="D4494" s="39" t="str">
        <f>IF(C4494="","",IFERROR(INDEX(art_des,MATCH(C4494,art_ref,0))&amp;"","Référence inconnue"))</f>
        <v/>
      </c>
      <c r="E4494" s="37" t="n"/>
      <c r="F4494" s="39" t="str">
        <f>IF(C4494="","",IFERROR(INDEX(art_unit,MATCH(C4494,art_ref,0))&amp;"",""))</f>
        <v/>
      </c>
      <c r="G4494" s="37" t="n"/>
      <c r="H4494" s="37" t="n"/>
      <c r="I4494" s="37" t="n"/>
      <c r="J4494" s="40" t="str">
        <f>IF(OR(C4494="",NOT(ISNUMBER(E4494))),"",IFERROR(E4494*N(INDEX(art_price,MATCH(C4494,art_ref,0))),""))</f>
        <v/>
      </c>
      <c r="K4494" s="39" t="str">
        <f>IF(OR(C4494="",NOT(ISNUMBER(E4494))),"",IFERROR(ROUND(N(INDEX(art_init,MATCH(C4494,art_ref,0)))+SUMIFS($E$5:E4494,$C$5:C4494,C4494,$B$5:B4494,"Entrée")-SUMIFS($E$5:E4494,$C$5:C4494,C4494,$B$5:B4494,"Sortie"),6),""))</f>
        <v/>
      </c>
      <c r="L4494" s="39" t="str">
        <f>IF(COUNTA(A4494:C4494,E4494)=0,"",IF(COUNTA(A4494:C4494,E4494)&lt;4,"Ligne incomplète",IF(NOT(ISNUMBER(A4494)),"Date invalide",IF(AND(B4494&lt;&gt;"Entrée",B4494&lt;&gt;"Sortie"),"Type inconnu",IF(ISNA(MATCH(C4494,art_ref,0)),"Référence inconnue",IF(OR(NOT(ISNUMBER(E4494)),N(E4494)&lt;=0),"Quantité invalide",IF(K4494&lt;0,"Stock négatif",IF(AND(ISNUMBER(A4493),A4494&lt;A4493),"Date hors ordre","OK"))))))))</f>
        <v/>
      </c>
      <c r="M4494" s="39" t="str">
        <f>IF(C4494="","",C4494&amp;"#"&amp;COUNTIF($C$5:C4494,C4494))</f>
        <v/>
      </c>
    </row>
    <row r="4495">
      <c r="A4495" s="41" t="n"/>
      <c r="B4495" s="37" t="n"/>
      <c r="C4495" s="37" t="n"/>
      <c r="D4495" s="39" t="str">
        <f>IF(C4495="","",IFERROR(INDEX(art_des,MATCH(C4495,art_ref,0))&amp;"","Référence inconnue"))</f>
        <v/>
      </c>
      <c r="E4495" s="37" t="n"/>
      <c r="F4495" s="39" t="str">
        <f>IF(C4495="","",IFERROR(INDEX(art_unit,MATCH(C4495,art_ref,0))&amp;"",""))</f>
        <v/>
      </c>
      <c r="G4495" s="37" t="n"/>
      <c r="H4495" s="37" t="n"/>
      <c r="I4495" s="37" t="n"/>
      <c r="J4495" s="40" t="str">
        <f>IF(OR(C4495="",NOT(ISNUMBER(E4495))),"",IFERROR(E4495*N(INDEX(art_price,MATCH(C4495,art_ref,0))),""))</f>
        <v/>
      </c>
      <c r="K4495" s="39" t="str">
        <f>IF(OR(C4495="",NOT(ISNUMBER(E4495))),"",IFERROR(ROUND(N(INDEX(art_init,MATCH(C4495,art_ref,0)))+SUMIFS($E$5:E4495,$C$5:C4495,C4495,$B$5:B4495,"Entrée")-SUMIFS($E$5:E4495,$C$5:C4495,C4495,$B$5:B4495,"Sortie"),6),""))</f>
        <v/>
      </c>
      <c r="L4495" s="39" t="str">
        <f>IF(COUNTA(A4495:C4495,E4495)=0,"",IF(COUNTA(A4495:C4495,E4495)&lt;4,"Ligne incomplète",IF(NOT(ISNUMBER(A4495)),"Date invalide",IF(AND(B4495&lt;&gt;"Entrée",B4495&lt;&gt;"Sortie"),"Type inconnu",IF(ISNA(MATCH(C4495,art_ref,0)),"Référence inconnue",IF(OR(NOT(ISNUMBER(E4495)),N(E4495)&lt;=0),"Quantité invalide",IF(K4495&lt;0,"Stock négatif",IF(AND(ISNUMBER(A4494),A4495&lt;A4494),"Date hors ordre","OK"))))))))</f>
        <v/>
      </c>
      <c r="M4495" s="39" t="str">
        <f>IF(C4495="","",C4495&amp;"#"&amp;COUNTIF($C$5:C4495,C4495))</f>
        <v/>
      </c>
    </row>
    <row r="4496">
      <c r="A4496" s="41" t="n"/>
      <c r="B4496" s="37" t="n"/>
      <c r="C4496" s="37" t="n"/>
      <c r="D4496" s="39" t="str">
        <f>IF(C4496="","",IFERROR(INDEX(art_des,MATCH(C4496,art_ref,0))&amp;"","Référence inconnue"))</f>
        <v/>
      </c>
      <c r="E4496" s="37" t="n"/>
      <c r="F4496" s="39" t="str">
        <f>IF(C4496="","",IFERROR(INDEX(art_unit,MATCH(C4496,art_ref,0))&amp;"",""))</f>
        <v/>
      </c>
      <c r="G4496" s="37" t="n"/>
      <c r="H4496" s="37" t="n"/>
      <c r="I4496" s="37" t="n"/>
      <c r="J4496" s="40" t="str">
        <f>IF(OR(C4496="",NOT(ISNUMBER(E4496))),"",IFERROR(E4496*N(INDEX(art_price,MATCH(C4496,art_ref,0))),""))</f>
        <v/>
      </c>
      <c r="K4496" s="39" t="str">
        <f>IF(OR(C4496="",NOT(ISNUMBER(E4496))),"",IFERROR(ROUND(N(INDEX(art_init,MATCH(C4496,art_ref,0)))+SUMIFS($E$5:E4496,$C$5:C4496,C4496,$B$5:B4496,"Entrée")-SUMIFS($E$5:E4496,$C$5:C4496,C4496,$B$5:B4496,"Sortie"),6),""))</f>
        <v/>
      </c>
      <c r="L4496" s="39" t="str">
        <f>IF(COUNTA(A4496:C4496,E4496)=0,"",IF(COUNTA(A4496:C4496,E4496)&lt;4,"Ligne incomplète",IF(NOT(ISNUMBER(A4496)),"Date invalide",IF(AND(B4496&lt;&gt;"Entrée",B4496&lt;&gt;"Sortie"),"Type inconnu",IF(ISNA(MATCH(C4496,art_ref,0)),"Référence inconnue",IF(OR(NOT(ISNUMBER(E4496)),N(E4496)&lt;=0),"Quantité invalide",IF(K4496&lt;0,"Stock négatif",IF(AND(ISNUMBER(A4495),A4496&lt;A4495),"Date hors ordre","OK"))))))))</f>
        <v/>
      </c>
      <c r="M4496" s="39" t="str">
        <f>IF(C4496="","",C4496&amp;"#"&amp;COUNTIF($C$5:C4496,C4496))</f>
        <v/>
      </c>
    </row>
    <row r="4497">
      <c r="A4497" s="41" t="n"/>
      <c r="B4497" s="37" t="n"/>
      <c r="C4497" s="37" t="n"/>
      <c r="D4497" s="39" t="str">
        <f>IF(C4497="","",IFERROR(INDEX(art_des,MATCH(C4497,art_ref,0))&amp;"","Référence inconnue"))</f>
        <v/>
      </c>
      <c r="E4497" s="37" t="n"/>
      <c r="F4497" s="39" t="str">
        <f>IF(C4497="","",IFERROR(INDEX(art_unit,MATCH(C4497,art_ref,0))&amp;"",""))</f>
        <v/>
      </c>
      <c r="G4497" s="37" t="n"/>
      <c r="H4497" s="37" t="n"/>
      <c r="I4497" s="37" t="n"/>
      <c r="J4497" s="40" t="str">
        <f>IF(OR(C4497="",NOT(ISNUMBER(E4497))),"",IFERROR(E4497*N(INDEX(art_price,MATCH(C4497,art_ref,0))),""))</f>
        <v/>
      </c>
      <c r="K4497" s="39" t="str">
        <f>IF(OR(C4497="",NOT(ISNUMBER(E4497))),"",IFERROR(ROUND(N(INDEX(art_init,MATCH(C4497,art_ref,0)))+SUMIFS($E$5:E4497,$C$5:C4497,C4497,$B$5:B4497,"Entrée")-SUMIFS($E$5:E4497,$C$5:C4497,C4497,$B$5:B4497,"Sortie"),6),""))</f>
        <v/>
      </c>
      <c r="L4497" s="39" t="str">
        <f>IF(COUNTA(A4497:C4497,E4497)=0,"",IF(COUNTA(A4497:C4497,E4497)&lt;4,"Ligne incomplète",IF(NOT(ISNUMBER(A4497)),"Date invalide",IF(AND(B4497&lt;&gt;"Entrée",B4497&lt;&gt;"Sortie"),"Type inconnu",IF(ISNA(MATCH(C4497,art_ref,0)),"Référence inconnue",IF(OR(NOT(ISNUMBER(E4497)),N(E4497)&lt;=0),"Quantité invalide",IF(K4497&lt;0,"Stock négatif",IF(AND(ISNUMBER(A4496),A4497&lt;A4496),"Date hors ordre","OK"))))))))</f>
        <v/>
      </c>
      <c r="M4497" s="39" t="str">
        <f>IF(C4497="","",C4497&amp;"#"&amp;COUNTIF($C$5:C4497,C4497))</f>
        <v/>
      </c>
    </row>
    <row r="4498">
      <c r="A4498" s="41" t="n"/>
      <c r="B4498" s="37" t="n"/>
      <c r="C4498" s="37" t="n"/>
      <c r="D4498" s="39" t="str">
        <f>IF(C4498="","",IFERROR(INDEX(art_des,MATCH(C4498,art_ref,0))&amp;"","Référence inconnue"))</f>
        <v/>
      </c>
      <c r="E4498" s="37" t="n"/>
      <c r="F4498" s="39" t="str">
        <f>IF(C4498="","",IFERROR(INDEX(art_unit,MATCH(C4498,art_ref,0))&amp;"",""))</f>
        <v/>
      </c>
      <c r="G4498" s="37" t="n"/>
      <c r="H4498" s="37" t="n"/>
      <c r="I4498" s="37" t="n"/>
      <c r="J4498" s="40" t="str">
        <f>IF(OR(C4498="",NOT(ISNUMBER(E4498))),"",IFERROR(E4498*N(INDEX(art_price,MATCH(C4498,art_ref,0))),""))</f>
        <v/>
      </c>
      <c r="K4498" s="39" t="str">
        <f>IF(OR(C4498="",NOT(ISNUMBER(E4498))),"",IFERROR(ROUND(N(INDEX(art_init,MATCH(C4498,art_ref,0)))+SUMIFS($E$5:E4498,$C$5:C4498,C4498,$B$5:B4498,"Entrée")-SUMIFS($E$5:E4498,$C$5:C4498,C4498,$B$5:B4498,"Sortie"),6),""))</f>
        <v/>
      </c>
      <c r="L4498" s="39" t="str">
        <f>IF(COUNTA(A4498:C4498,E4498)=0,"",IF(COUNTA(A4498:C4498,E4498)&lt;4,"Ligne incomplète",IF(NOT(ISNUMBER(A4498)),"Date invalide",IF(AND(B4498&lt;&gt;"Entrée",B4498&lt;&gt;"Sortie"),"Type inconnu",IF(ISNA(MATCH(C4498,art_ref,0)),"Référence inconnue",IF(OR(NOT(ISNUMBER(E4498)),N(E4498)&lt;=0),"Quantité invalide",IF(K4498&lt;0,"Stock négatif",IF(AND(ISNUMBER(A4497),A4498&lt;A4497),"Date hors ordre","OK"))))))))</f>
        <v/>
      </c>
      <c r="M4498" s="39" t="str">
        <f>IF(C4498="","",C4498&amp;"#"&amp;COUNTIF($C$5:C4498,C4498))</f>
        <v/>
      </c>
    </row>
    <row r="4499">
      <c r="A4499" s="41" t="n"/>
      <c r="B4499" s="37" t="n"/>
      <c r="C4499" s="37" t="n"/>
      <c r="D4499" s="39" t="str">
        <f>IF(C4499="","",IFERROR(INDEX(art_des,MATCH(C4499,art_ref,0))&amp;"","Référence inconnue"))</f>
        <v/>
      </c>
      <c r="E4499" s="37" t="n"/>
      <c r="F4499" s="39" t="str">
        <f>IF(C4499="","",IFERROR(INDEX(art_unit,MATCH(C4499,art_ref,0))&amp;"",""))</f>
        <v/>
      </c>
      <c r="G4499" s="37" t="n"/>
      <c r="H4499" s="37" t="n"/>
      <c r="I4499" s="37" t="n"/>
      <c r="J4499" s="40" t="str">
        <f>IF(OR(C4499="",NOT(ISNUMBER(E4499))),"",IFERROR(E4499*N(INDEX(art_price,MATCH(C4499,art_ref,0))),""))</f>
        <v/>
      </c>
      <c r="K4499" s="39" t="str">
        <f>IF(OR(C4499="",NOT(ISNUMBER(E4499))),"",IFERROR(ROUND(N(INDEX(art_init,MATCH(C4499,art_ref,0)))+SUMIFS($E$5:E4499,$C$5:C4499,C4499,$B$5:B4499,"Entrée")-SUMIFS($E$5:E4499,$C$5:C4499,C4499,$B$5:B4499,"Sortie"),6),""))</f>
        <v/>
      </c>
      <c r="L4499" s="39" t="str">
        <f>IF(COUNTA(A4499:C4499,E4499)=0,"",IF(COUNTA(A4499:C4499,E4499)&lt;4,"Ligne incomplète",IF(NOT(ISNUMBER(A4499)),"Date invalide",IF(AND(B4499&lt;&gt;"Entrée",B4499&lt;&gt;"Sortie"),"Type inconnu",IF(ISNA(MATCH(C4499,art_ref,0)),"Référence inconnue",IF(OR(NOT(ISNUMBER(E4499)),N(E4499)&lt;=0),"Quantité invalide",IF(K4499&lt;0,"Stock négatif",IF(AND(ISNUMBER(A4498),A4499&lt;A4498),"Date hors ordre","OK"))))))))</f>
        <v/>
      </c>
      <c r="M4499" s="39" t="str">
        <f>IF(C4499="","",C4499&amp;"#"&amp;COUNTIF($C$5:C4499,C4499))</f>
        <v/>
      </c>
    </row>
    <row r="4500">
      <c r="A4500" s="41" t="n"/>
      <c r="B4500" s="37" t="n"/>
      <c r="C4500" s="37" t="n"/>
      <c r="D4500" s="39" t="str">
        <f>IF(C4500="","",IFERROR(INDEX(art_des,MATCH(C4500,art_ref,0))&amp;"","Référence inconnue"))</f>
        <v/>
      </c>
      <c r="E4500" s="37" t="n"/>
      <c r="F4500" s="39" t="str">
        <f>IF(C4500="","",IFERROR(INDEX(art_unit,MATCH(C4500,art_ref,0))&amp;"",""))</f>
        <v/>
      </c>
      <c r="G4500" s="37" t="n"/>
      <c r="H4500" s="37" t="n"/>
      <c r="I4500" s="37" t="n"/>
      <c r="J4500" s="40" t="str">
        <f>IF(OR(C4500="",NOT(ISNUMBER(E4500))),"",IFERROR(E4500*N(INDEX(art_price,MATCH(C4500,art_ref,0))),""))</f>
        <v/>
      </c>
      <c r="K4500" s="39" t="str">
        <f>IF(OR(C4500="",NOT(ISNUMBER(E4500))),"",IFERROR(ROUND(N(INDEX(art_init,MATCH(C4500,art_ref,0)))+SUMIFS($E$5:E4500,$C$5:C4500,C4500,$B$5:B4500,"Entrée")-SUMIFS($E$5:E4500,$C$5:C4500,C4500,$B$5:B4500,"Sortie"),6),""))</f>
        <v/>
      </c>
      <c r="L4500" s="39" t="str">
        <f>IF(COUNTA(A4500:C4500,E4500)=0,"",IF(COUNTA(A4500:C4500,E4500)&lt;4,"Ligne incomplète",IF(NOT(ISNUMBER(A4500)),"Date invalide",IF(AND(B4500&lt;&gt;"Entrée",B4500&lt;&gt;"Sortie"),"Type inconnu",IF(ISNA(MATCH(C4500,art_ref,0)),"Référence inconnue",IF(OR(NOT(ISNUMBER(E4500)),N(E4500)&lt;=0),"Quantité invalide",IF(K4500&lt;0,"Stock négatif",IF(AND(ISNUMBER(A4499),A4500&lt;A4499),"Date hors ordre","OK"))))))))</f>
        <v/>
      </c>
      <c r="M4500" s="39" t="str">
        <f>IF(C4500="","",C4500&amp;"#"&amp;COUNTIF($C$5:C4500,C4500))</f>
        <v/>
      </c>
    </row>
    <row r="4501">
      <c r="A4501" s="41" t="n"/>
      <c r="B4501" s="37" t="n"/>
      <c r="C4501" s="37" t="n"/>
      <c r="D4501" s="39" t="str">
        <f>IF(C4501="","",IFERROR(INDEX(art_des,MATCH(C4501,art_ref,0))&amp;"","Référence inconnue"))</f>
        <v/>
      </c>
      <c r="E4501" s="37" t="n"/>
      <c r="F4501" s="39" t="str">
        <f>IF(C4501="","",IFERROR(INDEX(art_unit,MATCH(C4501,art_ref,0))&amp;"",""))</f>
        <v/>
      </c>
      <c r="G4501" s="37" t="n"/>
      <c r="H4501" s="37" t="n"/>
      <c r="I4501" s="37" t="n"/>
      <c r="J4501" s="40" t="str">
        <f>IF(OR(C4501="",NOT(ISNUMBER(E4501))),"",IFERROR(E4501*N(INDEX(art_price,MATCH(C4501,art_ref,0))),""))</f>
        <v/>
      </c>
      <c r="K4501" s="39" t="str">
        <f>IF(OR(C4501="",NOT(ISNUMBER(E4501))),"",IFERROR(ROUND(N(INDEX(art_init,MATCH(C4501,art_ref,0)))+SUMIFS($E$5:E4501,$C$5:C4501,C4501,$B$5:B4501,"Entrée")-SUMIFS($E$5:E4501,$C$5:C4501,C4501,$B$5:B4501,"Sortie"),6),""))</f>
        <v/>
      </c>
      <c r="L4501" s="39" t="str">
        <f>IF(COUNTA(A4501:C4501,E4501)=0,"",IF(COUNTA(A4501:C4501,E4501)&lt;4,"Ligne incomplète",IF(NOT(ISNUMBER(A4501)),"Date invalide",IF(AND(B4501&lt;&gt;"Entrée",B4501&lt;&gt;"Sortie"),"Type inconnu",IF(ISNA(MATCH(C4501,art_ref,0)),"Référence inconnue",IF(OR(NOT(ISNUMBER(E4501)),N(E4501)&lt;=0),"Quantité invalide",IF(K4501&lt;0,"Stock négatif",IF(AND(ISNUMBER(A4500),A4501&lt;A4500),"Date hors ordre","OK"))))))))</f>
        <v/>
      </c>
      <c r="M4501" s="39" t="str">
        <f>IF(C4501="","",C4501&amp;"#"&amp;COUNTIF($C$5:C4501,C4501))</f>
        <v/>
      </c>
    </row>
    <row r="4502">
      <c r="A4502" s="41" t="n"/>
      <c r="B4502" s="37" t="n"/>
      <c r="C4502" s="37" t="n"/>
      <c r="D4502" s="39" t="str">
        <f>IF(C4502="","",IFERROR(INDEX(art_des,MATCH(C4502,art_ref,0))&amp;"","Référence inconnue"))</f>
        <v/>
      </c>
      <c r="E4502" s="37" t="n"/>
      <c r="F4502" s="39" t="str">
        <f>IF(C4502="","",IFERROR(INDEX(art_unit,MATCH(C4502,art_ref,0))&amp;"",""))</f>
        <v/>
      </c>
      <c r="G4502" s="37" t="n"/>
      <c r="H4502" s="37" t="n"/>
      <c r="I4502" s="37" t="n"/>
      <c r="J4502" s="40" t="str">
        <f>IF(OR(C4502="",NOT(ISNUMBER(E4502))),"",IFERROR(E4502*N(INDEX(art_price,MATCH(C4502,art_ref,0))),""))</f>
        <v/>
      </c>
      <c r="K4502" s="39" t="str">
        <f>IF(OR(C4502="",NOT(ISNUMBER(E4502))),"",IFERROR(ROUND(N(INDEX(art_init,MATCH(C4502,art_ref,0)))+SUMIFS($E$5:E4502,$C$5:C4502,C4502,$B$5:B4502,"Entrée")-SUMIFS($E$5:E4502,$C$5:C4502,C4502,$B$5:B4502,"Sortie"),6),""))</f>
        <v/>
      </c>
      <c r="L4502" s="39" t="str">
        <f>IF(COUNTA(A4502:C4502,E4502)=0,"",IF(COUNTA(A4502:C4502,E4502)&lt;4,"Ligne incomplète",IF(NOT(ISNUMBER(A4502)),"Date invalide",IF(AND(B4502&lt;&gt;"Entrée",B4502&lt;&gt;"Sortie"),"Type inconnu",IF(ISNA(MATCH(C4502,art_ref,0)),"Référence inconnue",IF(OR(NOT(ISNUMBER(E4502)),N(E4502)&lt;=0),"Quantité invalide",IF(K4502&lt;0,"Stock négatif",IF(AND(ISNUMBER(A4501),A4502&lt;A4501),"Date hors ordre","OK"))))))))</f>
        <v/>
      </c>
      <c r="M4502" s="39" t="str">
        <f>IF(C4502="","",C4502&amp;"#"&amp;COUNTIF($C$5:C4502,C4502))</f>
        <v/>
      </c>
    </row>
    <row r="4503">
      <c r="A4503" s="41" t="n"/>
      <c r="B4503" s="37" t="n"/>
      <c r="C4503" s="37" t="n"/>
      <c r="D4503" s="39" t="str">
        <f>IF(C4503="","",IFERROR(INDEX(art_des,MATCH(C4503,art_ref,0))&amp;"","Référence inconnue"))</f>
        <v/>
      </c>
      <c r="E4503" s="37" t="n"/>
      <c r="F4503" s="39" t="str">
        <f>IF(C4503="","",IFERROR(INDEX(art_unit,MATCH(C4503,art_ref,0))&amp;"",""))</f>
        <v/>
      </c>
      <c r="G4503" s="37" t="n"/>
      <c r="H4503" s="37" t="n"/>
      <c r="I4503" s="37" t="n"/>
      <c r="J4503" s="40" t="str">
        <f>IF(OR(C4503="",NOT(ISNUMBER(E4503))),"",IFERROR(E4503*N(INDEX(art_price,MATCH(C4503,art_ref,0))),""))</f>
        <v/>
      </c>
      <c r="K4503" s="39" t="str">
        <f>IF(OR(C4503="",NOT(ISNUMBER(E4503))),"",IFERROR(ROUND(N(INDEX(art_init,MATCH(C4503,art_ref,0)))+SUMIFS($E$5:E4503,$C$5:C4503,C4503,$B$5:B4503,"Entrée")-SUMIFS($E$5:E4503,$C$5:C4503,C4503,$B$5:B4503,"Sortie"),6),""))</f>
        <v/>
      </c>
      <c r="L4503" s="39" t="str">
        <f>IF(COUNTA(A4503:C4503,E4503)=0,"",IF(COUNTA(A4503:C4503,E4503)&lt;4,"Ligne incomplète",IF(NOT(ISNUMBER(A4503)),"Date invalide",IF(AND(B4503&lt;&gt;"Entrée",B4503&lt;&gt;"Sortie"),"Type inconnu",IF(ISNA(MATCH(C4503,art_ref,0)),"Référence inconnue",IF(OR(NOT(ISNUMBER(E4503)),N(E4503)&lt;=0),"Quantité invalide",IF(K4503&lt;0,"Stock négatif",IF(AND(ISNUMBER(A4502),A4503&lt;A4502),"Date hors ordre","OK"))))))))</f>
        <v/>
      </c>
      <c r="M4503" s="39" t="str">
        <f>IF(C4503="","",C4503&amp;"#"&amp;COUNTIF($C$5:C4503,C4503))</f>
        <v/>
      </c>
    </row>
    <row r="4504">
      <c r="A4504" s="41" t="n"/>
      <c r="B4504" s="37" t="n"/>
      <c r="C4504" s="37" t="n"/>
      <c r="D4504" s="39" t="str">
        <f>IF(C4504="","",IFERROR(INDEX(art_des,MATCH(C4504,art_ref,0))&amp;"","Référence inconnue"))</f>
        <v/>
      </c>
      <c r="E4504" s="37" t="n"/>
      <c r="F4504" s="39" t="str">
        <f>IF(C4504="","",IFERROR(INDEX(art_unit,MATCH(C4504,art_ref,0))&amp;"",""))</f>
        <v/>
      </c>
      <c r="G4504" s="37" t="n"/>
      <c r="H4504" s="37" t="n"/>
      <c r="I4504" s="37" t="n"/>
      <c r="J4504" s="40" t="str">
        <f>IF(OR(C4504="",NOT(ISNUMBER(E4504))),"",IFERROR(E4504*N(INDEX(art_price,MATCH(C4504,art_ref,0))),""))</f>
        <v/>
      </c>
      <c r="K4504" s="39" t="str">
        <f>IF(OR(C4504="",NOT(ISNUMBER(E4504))),"",IFERROR(ROUND(N(INDEX(art_init,MATCH(C4504,art_ref,0)))+SUMIFS($E$5:E4504,$C$5:C4504,C4504,$B$5:B4504,"Entrée")-SUMIFS($E$5:E4504,$C$5:C4504,C4504,$B$5:B4504,"Sortie"),6),""))</f>
        <v/>
      </c>
      <c r="L4504" s="39" t="str">
        <f>IF(COUNTA(A4504:C4504,E4504)=0,"",IF(COUNTA(A4504:C4504,E4504)&lt;4,"Ligne incomplète",IF(NOT(ISNUMBER(A4504)),"Date invalide",IF(AND(B4504&lt;&gt;"Entrée",B4504&lt;&gt;"Sortie"),"Type inconnu",IF(ISNA(MATCH(C4504,art_ref,0)),"Référence inconnue",IF(OR(NOT(ISNUMBER(E4504)),N(E4504)&lt;=0),"Quantité invalide",IF(K4504&lt;0,"Stock négatif",IF(AND(ISNUMBER(A4503),A4504&lt;A4503),"Date hors ordre","OK"))))))))</f>
        <v/>
      </c>
      <c r="M4504" s="39" t="str">
        <f>IF(C4504="","",C4504&amp;"#"&amp;COUNTIF($C$5:C4504,C4504))</f>
        <v/>
      </c>
    </row>
    <row r="4505">
      <c r="A4505" s="41" t="n"/>
      <c r="B4505" s="37" t="n"/>
      <c r="C4505" s="37" t="n"/>
      <c r="D4505" s="39" t="str">
        <f>IF(C4505="","",IFERROR(INDEX(art_des,MATCH(C4505,art_ref,0))&amp;"","Référence inconnue"))</f>
        <v/>
      </c>
      <c r="E4505" s="37" t="n"/>
      <c r="F4505" s="39" t="str">
        <f>IF(C4505="","",IFERROR(INDEX(art_unit,MATCH(C4505,art_ref,0))&amp;"",""))</f>
        <v/>
      </c>
      <c r="G4505" s="37" t="n"/>
      <c r="H4505" s="37" t="n"/>
      <c r="I4505" s="37" t="n"/>
      <c r="J4505" s="40" t="str">
        <f>IF(OR(C4505="",NOT(ISNUMBER(E4505))),"",IFERROR(E4505*N(INDEX(art_price,MATCH(C4505,art_ref,0))),""))</f>
        <v/>
      </c>
      <c r="K4505" s="39" t="str">
        <f>IF(OR(C4505="",NOT(ISNUMBER(E4505))),"",IFERROR(ROUND(N(INDEX(art_init,MATCH(C4505,art_ref,0)))+SUMIFS($E$5:E4505,$C$5:C4505,C4505,$B$5:B4505,"Entrée")-SUMIFS($E$5:E4505,$C$5:C4505,C4505,$B$5:B4505,"Sortie"),6),""))</f>
        <v/>
      </c>
      <c r="L4505" s="39" t="str">
        <f>IF(COUNTA(A4505:C4505,E4505)=0,"",IF(COUNTA(A4505:C4505,E4505)&lt;4,"Ligne incomplète",IF(NOT(ISNUMBER(A4505)),"Date invalide",IF(AND(B4505&lt;&gt;"Entrée",B4505&lt;&gt;"Sortie"),"Type inconnu",IF(ISNA(MATCH(C4505,art_ref,0)),"Référence inconnue",IF(OR(NOT(ISNUMBER(E4505)),N(E4505)&lt;=0),"Quantité invalide",IF(K4505&lt;0,"Stock négatif",IF(AND(ISNUMBER(A4504),A4505&lt;A4504),"Date hors ordre","OK"))))))))</f>
        <v/>
      </c>
      <c r="M4505" s="39" t="str">
        <f>IF(C4505="","",C4505&amp;"#"&amp;COUNTIF($C$5:C4505,C4505))</f>
        <v/>
      </c>
    </row>
    <row r="4506">
      <c r="A4506" s="41" t="n"/>
      <c r="B4506" s="37" t="n"/>
      <c r="C4506" s="37" t="n"/>
      <c r="D4506" s="39" t="str">
        <f>IF(C4506="","",IFERROR(INDEX(art_des,MATCH(C4506,art_ref,0))&amp;"","Référence inconnue"))</f>
        <v/>
      </c>
      <c r="E4506" s="37" t="n"/>
      <c r="F4506" s="39" t="str">
        <f>IF(C4506="","",IFERROR(INDEX(art_unit,MATCH(C4506,art_ref,0))&amp;"",""))</f>
        <v/>
      </c>
      <c r="G4506" s="37" t="n"/>
      <c r="H4506" s="37" t="n"/>
      <c r="I4506" s="37" t="n"/>
      <c r="J4506" s="40" t="str">
        <f>IF(OR(C4506="",NOT(ISNUMBER(E4506))),"",IFERROR(E4506*N(INDEX(art_price,MATCH(C4506,art_ref,0))),""))</f>
        <v/>
      </c>
      <c r="K4506" s="39" t="str">
        <f>IF(OR(C4506="",NOT(ISNUMBER(E4506))),"",IFERROR(ROUND(N(INDEX(art_init,MATCH(C4506,art_ref,0)))+SUMIFS($E$5:E4506,$C$5:C4506,C4506,$B$5:B4506,"Entrée")-SUMIFS($E$5:E4506,$C$5:C4506,C4506,$B$5:B4506,"Sortie"),6),""))</f>
        <v/>
      </c>
      <c r="L4506" s="39" t="str">
        <f>IF(COUNTA(A4506:C4506,E4506)=0,"",IF(COUNTA(A4506:C4506,E4506)&lt;4,"Ligne incomplète",IF(NOT(ISNUMBER(A4506)),"Date invalide",IF(AND(B4506&lt;&gt;"Entrée",B4506&lt;&gt;"Sortie"),"Type inconnu",IF(ISNA(MATCH(C4506,art_ref,0)),"Référence inconnue",IF(OR(NOT(ISNUMBER(E4506)),N(E4506)&lt;=0),"Quantité invalide",IF(K4506&lt;0,"Stock négatif",IF(AND(ISNUMBER(A4505),A4506&lt;A4505),"Date hors ordre","OK"))))))))</f>
        <v/>
      </c>
      <c r="M4506" s="39" t="str">
        <f>IF(C4506="","",C4506&amp;"#"&amp;COUNTIF($C$5:C4506,C4506))</f>
        <v/>
      </c>
    </row>
    <row r="4507">
      <c r="A4507" s="41" t="n"/>
      <c r="B4507" s="37" t="n"/>
      <c r="C4507" s="37" t="n"/>
      <c r="D4507" s="39" t="str">
        <f>IF(C4507="","",IFERROR(INDEX(art_des,MATCH(C4507,art_ref,0))&amp;"","Référence inconnue"))</f>
        <v/>
      </c>
      <c r="E4507" s="37" t="n"/>
      <c r="F4507" s="39" t="str">
        <f>IF(C4507="","",IFERROR(INDEX(art_unit,MATCH(C4507,art_ref,0))&amp;"",""))</f>
        <v/>
      </c>
      <c r="G4507" s="37" t="n"/>
      <c r="H4507" s="37" t="n"/>
      <c r="I4507" s="37" t="n"/>
      <c r="J4507" s="40" t="str">
        <f>IF(OR(C4507="",NOT(ISNUMBER(E4507))),"",IFERROR(E4507*N(INDEX(art_price,MATCH(C4507,art_ref,0))),""))</f>
        <v/>
      </c>
      <c r="K4507" s="39" t="str">
        <f>IF(OR(C4507="",NOT(ISNUMBER(E4507))),"",IFERROR(ROUND(N(INDEX(art_init,MATCH(C4507,art_ref,0)))+SUMIFS($E$5:E4507,$C$5:C4507,C4507,$B$5:B4507,"Entrée")-SUMIFS($E$5:E4507,$C$5:C4507,C4507,$B$5:B4507,"Sortie"),6),""))</f>
        <v/>
      </c>
      <c r="L4507" s="39" t="str">
        <f>IF(COUNTA(A4507:C4507,E4507)=0,"",IF(COUNTA(A4507:C4507,E4507)&lt;4,"Ligne incomplète",IF(NOT(ISNUMBER(A4507)),"Date invalide",IF(AND(B4507&lt;&gt;"Entrée",B4507&lt;&gt;"Sortie"),"Type inconnu",IF(ISNA(MATCH(C4507,art_ref,0)),"Référence inconnue",IF(OR(NOT(ISNUMBER(E4507)),N(E4507)&lt;=0),"Quantité invalide",IF(K4507&lt;0,"Stock négatif",IF(AND(ISNUMBER(A4506),A4507&lt;A4506),"Date hors ordre","OK"))))))))</f>
        <v/>
      </c>
      <c r="M4507" s="39" t="str">
        <f>IF(C4507="","",C4507&amp;"#"&amp;COUNTIF($C$5:C4507,C4507))</f>
        <v/>
      </c>
    </row>
    <row r="4508">
      <c r="A4508" s="41" t="n"/>
      <c r="B4508" s="37" t="n"/>
      <c r="C4508" s="37" t="n"/>
      <c r="D4508" s="39" t="str">
        <f>IF(C4508="","",IFERROR(INDEX(art_des,MATCH(C4508,art_ref,0))&amp;"","Référence inconnue"))</f>
        <v/>
      </c>
      <c r="E4508" s="37" t="n"/>
      <c r="F4508" s="39" t="str">
        <f>IF(C4508="","",IFERROR(INDEX(art_unit,MATCH(C4508,art_ref,0))&amp;"",""))</f>
        <v/>
      </c>
      <c r="G4508" s="37" t="n"/>
      <c r="H4508" s="37" t="n"/>
      <c r="I4508" s="37" t="n"/>
      <c r="J4508" s="40" t="str">
        <f>IF(OR(C4508="",NOT(ISNUMBER(E4508))),"",IFERROR(E4508*N(INDEX(art_price,MATCH(C4508,art_ref,0))),""))</f>
        <v/>
      </c>
      <c r="K4508" s="39" t="str">
        <f>IF(OR(C4508="",NOT(ISNUMBER(E4508))),"",IFERROR(ROUND(N(INDEX(art_init,MATCH(C4508,art_ref,0)))+SUMIFS($E$5:E4508,$C$5:C4508,C4508,$B$5:B4508,"Entrée")-SUMIFS($E$5:E4508,$C$5:C4508,C4508,$B$5:B4508,"Sortie"),6),""))</f>
        <v/>
      </c>
      <c r="L4508" s="39" t="str">
        <f>IF(COUNTA(A4508:C4508,E4508)=0,"",IF(COUNTA(A4508:C4508,E4508)&lt;4,"Ligne incomplète",IF(NOT(ISNUMBER(A4508)),"Date invalide",IF(AND(B4508&lt;&gt;"Entrée",B4508&lt;&gt;"Sortie"),"Type inconnu",IF(ISNA(MATCH(C4508,art_ref,0)),"Référence inconnue",IF(OR(NOT(ISNUMBER(E4508)),N(E4508)&lt;=0),"Quantité invalide",IF(K4508&lt;0,"Stock négatif",IF(AND(ISNUMBER(A4507),A4508&lt;A4507),"Date hors ordre","OK"))))))))</f>
        <v/>
      </c>
      <c r="M4508" s="39" t="str">
        <f>IF(C4508="","",C4508&amp;"#"&amp;COUNTIF($C$5:C4508,C4508))</f>
        <v/>
      </c>
    </row>
    <row r="4509">
      <c r="A4509" s="41" t="n"/>
      <c r="B4509" s="37" t="n"/>
      <c r="C4509" s="37" t="n"/>
      <c r="D4509" s="39" t="str">
        <f>IF(C4509="","",IFERROR(INDEX(art_des,MATCH(C4509,art_ref,0))&amp;"","Référence inconnue"))</f>
        <v/>
      </c>
      <c r="E4509" s="37" t="n"/>
      <c r="F4509" s="39" t="str">
        <f>IF(C4509="","",IFERROR(INDEX(art_unit,MATCH(C4509,art_ref,0))&amp;"",""))</f>
        <v/>
      </c>
      <c r="G4509" s="37" t="n"/>
      <c r="H4509" s="37" t="n"/>
      <c r="I4509" s="37" t="n"/>
      <c r="J4509" s="40" t="str">
        <f>IF(OR(C4509="",NOT(ISNUMBER(E4509))),"",IFERROR(E4509*N(INDEX(art_price,MATCH(C4509,art_ref,0))),""))</f>
        <v/>
      </c>
      <c r="K4509" s="39" t="str">
        <f>IF(OR(C4509="",NOT(ISNUMBER(E4509))),"",IFERROR(ROUND(N(INDEX(art_init,MATCH(C4509,art_ref,0)))+SUMIFS($E$5:E4509,$C$5:C4509,C4509,$B$5:B4509,"Entrée")-SUMIFS($E$5:E4509,$C$5:C4509,C4509,$B$5:B4509,"Sortie"),6),""))</f>
        <v/>
      </c>
      <c r="L4509" s="39" t="str">
        <f>IF(COUNTA(A4509:C4509,E4509)=0,"",IF(COUNTA(A4509:C4509,E4509)&lt;4,"Ligne incomplète",IF(NOT(ISNUMBER(A4509)),"Date invalide",IF(AND(B4509&lt;&gt;"Entrée",B4509&lt;&gt;"Sortie"),"Type inconnu",IF(ISNA(MATCH(C4509,art_ref,0)),"Référence inconnue",IF(OR(NOT(ISNUMBER(E4509)),N(E4509)&lt;=0),"Quantité invalide",IF(K4509&lt;0,"Stock négatif",IF(AND(ISNUMBER(A4508),A4509&lt;A4508),"Date hors ordre","OK"))))))))</f>
        <v/>
      </c>
      <c r="M4509" s="39" t="str">
        <f>IF(C4509="","",C4509&amp;"#"&amp;COUNTIF($C$5:C4509,C4509))</f>
        <v/>
      </c>
    </row>
    <row r="4510">
      <c r="A4510" s="41" t="n"/>
      <c r="B4510" s="37" t="n"/>
      <c r="C4510" s="37" t="n"/>
      <c r="D4510" s="39" t="str">
        <f>IF(C4510="","",IFERROR(INDEX(art_des,MATCH(C4510,art_ref,0))&amp;"","Référence inconnue"))</f>
        <v/>
      </c>
      <c r="E4510" s="37" t="n"/>
      <c r="F4510" s="39" t="str">
        <f>IF(C4510="","",IFERROR(INDEX(art_unit,MATCH(C4510,art_ref,0))&amp;"",""))</f>
        <v/>
      </c>
      <c r="G4510" s="37" t="n"/>
      <c r="H4510" s="37" t="n"/>
      <c r="I4510" s="37" t="n"/>
      <c r="J4510" s="40" t="str">
        <f>IF(OR(C4510="",NOT(ISNUMBER(E4510))),"",IFERROR(E4510*N(INDEX(art_price,MATCH(C4510,art_ref,0))),""))</f>
        <v/>
      </c>
      <c r="K4510" s="39" t="str">
        <f>IF(OR(C4510="",NOT(ISNUMBER(E4510))),"",IFERROR(ROUND(N(INDEX(art_init,MATCH(C4510,art_ref,0)))+SUMIFS($E$5:E4510,$C$5:C4510,C4510,$B$5:B4510,"Entrée")-SUMIFS($E$5:E4510,$C$5:C4510,C4510,$B$5:B4510,"Sortie"),6),""))</f>
        <v/>
      </c>
      <c r="L4510" s="39" t="str">
        <f>IF(COUNTA(A4510:C4510,E4510)=0,"",IF(COUNTA(A4510:C4510,E4510)&lt;4,"Ligne incomplète",IF(NOT(ISNUMBER(A4510)),"Date invalide",IF(AND(B4510&lt;&gt;"Entrée",B4510&lt;&gt;"Sortie"),"Type inconnu",IF(ISNA(MATCH(C4510,art_ref,0)),"Référence inconnue",IF(OR(NOT(ISNUMBER(E4510)),N(E4510)&lt;=0),"Quantité invalide",IF(K4510&lt;0,"Stock négatif",IF(AND(ISNUMBER(A4509),A4510&lt;A4509),"Date hors ordre","OK"))))))))</f>
        <v/>
      </c>
      <c r="M4510" s="39" t="str">
        <f>IF(C4510="","",C4510&amp;"#"&amp;COUNTIF($C$5:C4510,C4510))</f>
        <v/>
      </c>
    </row>
    <row r="4511">
      <c r="A4511" s="41" t="n"/>
      <c r="B4511" s="37" t="n"/>
      <c r="C4511" s="37" t="n"/>
      <c r="D4511" s="39" t="str">
        <f>IF(C4511="","",IFERROR(INDEX(art_des,MATCH(C4511,art_ref,0))&amp;"","Référence inconnue"))</f>
        <v/>
      </c>
      <c r="E4511" s="37" t="n"/>
      <c r="F4511" s="39" t="str">
        <f>IF(C4511="","",IFERROR(INDEX(art_unit,MATCH(C4511,art_ref,0))&amp;"",""))</f>
        <v/>
      </c>
      <c r="G4511" s="37" t="n"/>
      <c r="H4511" s="37" t="n"/>
      <c r="I4511" s="37" t="n"/>
      <c r="J4511" s="40" t="str">
        <f>IF(OR(C4511="",NOT(ISNUMBER(E4511))),"",IFERROR(E4511*N(INDEX(art_price,MATCH(C4511,art_ref,0))),""))</f>
        <v/>
      </c>
      <c r="K4511" s="39" t="str">
        <f>IF(OR(C4511="",NOT(ISNUMBER(E4511))),"",IFERROR(ROUND(N(INDEX(art_init,MATCH(C4511,art_ref,0)))+SUMIFS($E$5:E4511,$C$5:C4511,C4511,$B$5:B4511,"Entrée")-SUMIFS($E$5:E4511,$C$5:C4511,C4511,$B$5:B4511,"Sortie"),6),""))</f>
        <v/>
      </c>
      <c r="L4511" s="39" t="str">
        <f>IF(COUNTA(A4511:C4511,E4511)=0,"",IF(COUNTA(A4511:C4511,E4511)&lt;4,"Ligne incomplète",IF(NOT(ISNUMBER(A4511)),"Date invalide",IF(AND(B4511&lt;&gt;"Entrée",B4511&lt;&gt;"Sortie"),"Type inconnu",IF(ISNA(MATCH(C4511,art_ref,0)),"Référence inconnue",IF(OR(NOT(ISNUMBER(E4511)),N(E4511)&lt;=0),"Quantité invalide",IF(K4511&lt;0,"Stock négatif",IF(AND(ISNUMBER(A4510),A4511&lt;A4510),"Date hors ordre","OK"))))))))</f>
        <v/>
      </c>
      <c r="M4511" s="39" t="str">
        <f>IF(C4511="","",C4511&amp;"#"&amp;COUNTIF($C$5:C4511,C4511))</f>
        <v/>
      </c>
    </row>
    <row r="4512">
      <c r="A4512" s="41" t="n"/>
      <c r="B4512" s="37" t="n"/>
      <c r="C4512" s="37" t="n"/>
      <c r="D4512" s="39" t="str">
        <f>IF(C4512="","",IFERROR(INDEX(art_des,MATCH(C4512,art_ref,0))&amp;"","Référence inconnue"))</f>
        <v/>
      </c>
      <c r="E4512" s="37" t="n"/>
      <c r="F4512" s="39" t="str">
        <f>IF(C4512="","",IFERROR(INDEX(art_unit,MATCH(C4512,art_ref,0))&amp;"",""))</f>
        <v/>
      </c>
      <c r="G4512" s="37" t="n"/>
      <c r="H4512" s="37" t="n"/>
      <c r="I4512" s="37" t="n"/>
      <c r="J4512" s="40" t="str">
        <f>IF(OR(C4512="",NOT(ISNUMBER(E4512))),"",IFERROR(E4512*N(INDEX(art_price,MATCH(C4512,art_ref,0))),""))</f>
        <v/>
      </c>
      <c r="K4512" s="39" t="str">
        <f>IF(OR(C4512="",NOT(ISNUMBER(E4512))),"",IFERROR(ROUND(N(INDEX(art_init,MATCH(C4512,art_ref,0)))+SUMIFS($E$5:E4512,$C$5:C4512,C4512,$B$5:B4512,"Entrée")-SUMIFS($E$5:E4512,$C$5:C4512,C4512,$B$5:B4512,"Sortie"),6),""))</f>
        <v/>
      </c>
      <c r="L4512" s="39" t="str">
        <f>IF(COUNTA(A4512:C4512,E4512)=0,"",IF(COUNTA(A4512:C4512,E4512)&lt;4,"Ligne incomplète",IF(NOT(ISNUMBER(A4512)),"Date invalide",IF(AND(B4512&lt;&gt;"Entrée",B4512&lt;&gt;"Sortie"),"Type inconnu",IF(ISNA(MATCH(C4512,art_ref,0)),"Référence inconnue",IF(OR(NOT(ISNUMBER(E4512)),N(E4512)&lt;=0),"Quantité invalide",IF(K4512&lt;0,"Stock négatif",IF(AND(ISNUMBER(A4511),A4512&lt;A4511),"Date hors ordre","OK"))))))))</f>
        <v/>
      </c>
      <c r="M4512" s="39" t="str">
        <f>IF(C4512="","",C4512&amp;"#"&amp;COUNTIF($C$5:C4512,C4512))</f>
        <v/>
      </c>
    </row>
    <row r="4513">
      <c r="A4513" s="41" t="n"/>
      <c r="B4513" s="37" t="n"/>
      <c r="C4513" s="37" t="n"/>
      <c r="D4513" s="39" t="str">
        <f>IF(C4513="","",IFERROR(INDEX(art_des,MATCH(C4513,art_ref,0))&amp;"","Référence inconnue"))</f>
        <v/>
      </c>
      <c r="E4513" s="37" t="n"/>
      <c r="F4513" s="39" t="str">
        <f>IF(C4513="","",IFERROR(INDEX(art_unit,MATCH(C4513,art_ref,0))&amp;"",""))</f>
        <v/>
      </c>
      <c r="G4513" s="37" t="n"/>
      <c r="H4513" s="37" t="n"/>
      <c r="I4513" s="37" t="n"/>
      <c r="J4513" s="40" t="str">
        <f>IF(OR(C4513="",NOT(ISNUMBER(E4513))),"",IFERROR(E4513*N(INDEX(art_price,MATCH(C4513,art_ref,0))),""))</f>
        <v/>
      </c>
      <c r="K4513" s="39" t="str">
        <f>IF(OR(C4513="",NOT(ISNUMBER(E4513))),"",IFERROR(ROUND(N(INDEX(art_init,MATCH(C4513,art_ref,0)))+SUMIFS($E$5:E4513,$C$5:C4513,C4513,$B$5:B4513,"Entrée")-SUMIFS($E$5:E4513,$C$5:C4513,C4513,$B$5:B4513,"Sortie"),6),""))</f>
        <v/>
      </c>
      <c r="L4513" s="39" t="str">
        <f>IF(COUNTA(A4513:C4513,E4513)=0,"",IF(COUNTA(A4513:C4513,E4513)&lt;4,"Ligne incomplète",IF(NOT(ISNUMBER(A4513)),"Date invalide",IF(AND(B4513&lt;&gt;"Entrée",B4513&lt;&gt;"Sortie"),"Type inconnu",IF(ISNA(MATCH(C4513,art_ref,0)),"Référence inconnue",IF(OR(NOT(ISNUMBER(E4513)),N(E4513)&lt;=0),"Quantité invalide",IF(K4513&lt;0,"Stock négatif",IF(AND(ISNUMBER(A4512),A4513&lt;A4512),"Date hors ordre","OK"))))))))</f>
        <v/>
      </c>
      <c r="M4513" s="39" t="str">
        <f>IF(C4513="","",C4513&amp;"#"&amp;COUNTIF($C$5:C4513,C4513))</f>
        <v/>
      </c>
    </row>
    <row r="4514">
      <c r="A4514" s="41" t="n"/>
      <c r="B4514" s="37" t="n"/>
      <c r="C4514" s="37" t="n"/>
      <c r="D4514" s="39" t="str">
        <f>IF(C4514="","",IFERROR(INDEX(art_des,MATCH(C4514,art_ref,0))&amp;"","Référence inconnue"))</f>
        <v/>
      </c>
      <c r="E4514" s="37" t="n"/>
      <c r="F4514" s="39" t="str">
        <f>IF(C4514="","",IFERROR(INDEX(art_unit,MATCH(C4514,art_ref,0))&amp;"",""))</f>
        <v/>
      </c>
      <c r="G4514" s="37" t="n"/>
      <c r="H4514" s="37" t="n"/>
      <c r="I4514" s="37" t="n"/>
      <c r="J4514" s="40" t="str">
        <f>IF(OR(C4514="",NOT(ISNUMBER(E4514))),"",IFERROR(E4514*N(INDEX(art_price,MATCH(C4514,art_ref,0))),""))</f>
        <v/>
      </c>
      <c r="K4514" s="39" t="str">
        <f>IF(OR(C4514="",NOT(ISNUMBER(E4514))),"",IFERROR(ROUND(N(INDEX(art_init,MATCH(C4514,art_ref,0)))+SUMIFS($E$5:E4514,$C$5:C4514,C4514,$B$5:B4514,"Entrée")-SUMIFS($E$5:E4514,$C$5:C4514,C4514,$B$5:B4514,"Sortie"),6),""))</f>
        <v/>
      </c>
      <c r="L4514" s="39" t="str">
        <f>IF(COUNTA(A4514:C4514,E4514)=0,"",IF(COUNTA(A4514:C4514,E4514)&lt;4,"Ligne incomplète",IF(NOT(ISNUMBER(A4514)),"Date invalide",IF(AND(B4514&lt;&gt;"Entrée",B4514&lt;&gt;"Sortie"),"Type inconnu",IF(ISNA(MATCH(C4514,art_ref,0)),"Référence inconnue",IF(OR(NOT(ISNUMBER(E4514)),N(E4514)&lt;=0),"Quantité invalide",IF(K4514&lt;0,"Stock négatif",IF(AND(ISNUMBER(A4513),A4514&lt;A4513),"Date hors ordre","OK"))))))))</f>
        <v/>
      </c>
      <c r="M4514" s="39" t="str">
        <f>IF(C4514="","",C4514&amp;"#"&amp;COUNTIF($C$5:C4514,C4514))</f>
        <v/>
      </c>
    </row>
    <row r="4515">
      <c r="A4515" s="41" t="n"/>
      <c r="B4515" s="37" t="n"/>
      <c r="C4515" s="37" t="n"/>
      <c r="D4515" s="39" t="str">
        <f>IF(C4515="","",IFERROR(INDEX(art_des,MATCH(C4515,art_ref,0))&amp;"","Référence inconnue"))</f>
        <v/>
      </c>
      <c r="E4515" s="37" t="n"/>
      <c r="F4515" s="39" t="str">
        <f>IF(C4515="","",IFERROR(INDEX(art_unit,MATCH(C4515,art_ref,0))&amp;"",""))</f>
        <v/>
      </c>
      <c r="G4515" s="37" t="n"/>
      <c r="H4515" s="37" t="n"/>
      <c r="I4515" s="37" t="n"/>
      <c r="J4515" s="40" t="str">
        <f>IF(OR(C4515="",NOT(ISNUMBER(E4515))),"",IFERROR(E4515*N(INDEX(art_price,MATCH(C4515,art_ref,0))),""))</f>
        <v/>
      </c>
      <c r="K4515" s="39" t="str">
        <f>IF(OR(C4515="",NOT(ISNUMBER(E4515))),"",IFERROR(ROUND(N(INDEX(art_init,MATCH(C4515,art_ref,0)))+SUMIFS($E$5:E4515,$C$5:C4515,C4515,$B$5:B4515,"Entrée")-SUMIFS($E$5:E4515,$C$5:C4515,C4515,$B$5:B4515,"Sortie"),6),""))</f>
        <v/>
      </c>
      <c r="L4515" s="39" t="str">
        <f>IF(COUNTA(A4515:C4515,E4515)=0,"",IF(COUNTA(A4515:C4515,E4515)&lt;4,"Ligne incomplète",IF(NOT(ISNUMBER(A4515)),"Date invalide",IF(AND(B4515&lt;&gt;"Entrée",B4515&lt;&gt;"Sortie"),"Type inconnu",IF(ISNA(MATCH(C4515,art_ref,0)),"Référence inconnue",IF(OR(NOT(ISNUMBER(E4515)),N(E4515)&lt;=0),"Quantité invalide",IF(K4515&lt;0,"Stock négatif",IF(AND(ISNUMBER(A4514),A4515&lt;A4514),"Date hors ordre","OK"))))))))</f>
        <v/>
      </c>
      <c r="M4515" s="39" t="str">
        <f>IF(C4515="","",C4515&amp;"#"&amp;COUNTIF($C$5:C4515,C4515))</f>
        <v/>
      </c>
    </row>
    <row r="4516">
      <c r="A4516" s="41" t="n"/>
      <c r="B4516" s="37" t="n"/>
      <c r="C4516" s="37" t="n"/>
      <c r="D4516" s="39" t="str">
        <f>IF(C4516="","",IFERROR(INDEX(art_des,MATCH(C4516,art_ref,0))&amp;"","Référence inconnue"))</f>
        <v/>
      </c>
      <c r="E4516" s="37" t="n"/>
      <c r="F4516" s="39" t="str">
        <f>IF(C4516="","",IFERROR(INDEX(art_unit,MATCH(C4516,art_ref,0))&amp;"",""))</f>
        <v/>
      </c>
      <c r="G4516" s="37" t="n"/>
      <c r="H4516" s="37" t="n"/>
      <c r="I4516" s="37" t="n"/>
      <c r="J4516" s="40" t="str">
        <f>IF(OR(C4516="",NOT(ISNUMBER(E4516))),"",IFERROR(E4516*N(INDEX(art_price,MATCH(C4516,art_ref,0))),""))</f>
        <v/>
      </c>
      <c r="K4516" s="39" t="str">
        <f>IF(OR(C4516="",NOT(ISNUMBER(E4516))),"",IFERROR(ROUND(N(INDEX(art_init,MATCH(C4516,art_ref,0)))+SUMIFS($E$5:E4516,$C$5:C4516,C4516,$B$5:B4516,"Entrée")-SUMIFS($E$5:E4516,$C$5:C4516,C4516,$B$5:B4516,"Sortie"),6),""))</f>
        <v/>
      </c>
      <c r="L4516" s="39" t="str">
        <f>IF(COUNTA(A4516:C4516,E4516)=0,"",IF(COUNTA(A4516:C4516,E4516)&lt;4,"Ligne incomplète",IF(NOT(ISNUMBER(A4516)),"Date invalide",IF(AND(B4516&lt;&gt;"Entrée",B4516&lt;&gt;"Sortie"),"Type inconnu",IF(ISNA(MATCH(C4516,art_ref,0)),"Référence inconnue",IF(OR(NOT(ISNUMBER(E4516)),N(E4516)&lt;=0),"Quantité invalide",IF(K4516&lt;0,"Stock négatif",IF(AND(ISNUMBER(A4515),A4516&lt;A4515),"Date hors ordre","OK"))))))))</f>
        <v/>
      </c>
      <c r="M4516" s="39" t="str">
        <f>IF(C4516="","",C4516&amp;"#"&amp;COUNTIF($C$5:C4516,C4516))</f>
        <v/>
      </c>
    </row>
    <row r="4517">
      <c r="A4517" s="41" t="n"/>
      <c r="B4517" s="37" t="n"/>
      <c r="C4517" s="37" t="n"/>
      <c r="D4517" s="39" t="str">
        <f>IF(C4517="","",IFERROR(INDEX(art_des,MATCH(C4517,art_ref,0))&amp;"","Référence inconnue"))</f>
        <v/>
      </c>
      <c r="E4517" s="37" t="n"/>
      <c r="F4517" s="39" t="str">
        <f>IF(C4517="","",IFERROR(INDEX(art_unit,MATCH(C4517,art_ref,0))&amp;"",""))</f>
        <v/>
      </c>
      <c r="G4517" s="37" t="n"/>
      <c r="H4517" s="37" t="n"/>
      <c r="I4517" s="37" t="n"/>
      <c r="J4517" s="40" t="str">
        <f>IF(OR(C4517="",NOT(ISNUMBER(E4517))),"",IFERROR(E4517*N(INDEX(art_price,MATCH(C4517,art_ref,0))),""))</f>
        <v/>
      </c>
      <c r="K4517" s="39" t="str">
        <f>IF(OR(C4517="",NOT(ISNUMBER(E4517))),"",IFERROR(ROUND(N(INDEX(art_init,MATCH(C4517,art_ref,0)))+SUMIFS($E$5:E4517,$C$5:C4517,C4517,$B$5:B4517,"Entrée")-SUMIFS($E$5:E4517,$C$5:C4517,C4517,$B$5:B4517,"Sortie"),6),""))</f>
        <v/>
      </c>
      <c r="L4517" s="39" t="str">
        <f>IF(COUNTA(A4517:C4517,E4517)=0,"",IF(COUNTA(A4517:C4517,E4517)&lt;4,"Ligne incomplète",IF(NOT(ISNUMBER(A4517)),"Date invalide",IF(AND(B4517&lt;&gt;"Entrée",B4517&lt;&gt;"Sortie"),"Type inconnu",IF(ISNA(MATCH(C4517,art_ref,0)),"Référence inconnue",IF(OR(NOT(ISNUMBER(E4517)),N(E4517)&lt;=0),"Quantité invalide",IF(K4517&lt;0,"Stock négatif",IF(AND(ISNUMBER(A4516),A4517&lt;A4516),"Date hors ordre","OK"))))))))</f>
        <v/>
      </c>
      <c r="M4517" s="39" t="str">
        <f>IF(C4517="","",C4517&amp;"#"&amp;COUNTIF($C$5:C4517,C4517))</f>
        <v/>
      </c>
    </row>
    <row r="4518">
      <c r="A4518" s="41" t="n"/>
      <c r="B4518" s="37" t="n"/>
      <c r="C4518" s="37" t="n"/>
      <c r="D4518" s="39" t="str">
        <f>IF(C4518="","",IFERROR(INDEX(art_des,MATCH(C4518,art_ref,0))&amp;"","Référence inconnue"))</f>
        <v/>
      </c>
      <c r="E4518" s="37" t="n"/>
      <c r="F4518" s="39" t="str">
        <f>IF(C4518="","",IFERROR(INDEX(art_unit,MATCH(C4518,art_ref,0))&amp;"",""))</f>
        <v/>
      </c>
      <c r="G4518" s="37" t="n"/>
      <c r="H4518" s="37" t="n"/>
      <c r="I4518" s="37" t="n"/>
      <c r="J4518" s="40" t="str">
        <f>IF(OR(C4518="",NOT(ISNUMBER(E4518))),"",IFERROR(E4518*N(INDEX(art_price,MATCH(C4518,art_ref,0))),""))</f>
        <v/>
      </c>
      <c r="K4518" s="39" t="str">
        <f>IF(OR(C4518="",NOT(ISNUMBER(E4518))),"",IFERROR(ROUND(N(INDEX(art_init,MATCH(C4518,art_ref,0)))+SUMIFS($E$5:E4518,$C$5:C4518,C4518,$B$5:B4518,"Entrée")-SUMIFS($E$5:E4518,$C$5:C4518,C4518,$B$5:B4518,"Sortie"),6),""))</f>
        <v/>
      </c>
      <c r="L4518" s="39" t="str">
        <f>IF(COUNTA(A4518:C4518,E4518)=0,"",IF(COUNTA(A4518:C4518,E4518)&lt;4,"Ligne incomplète",IF(NOT(ISNUMBER(A4518)),"Date invalide",IF(AND(B4518&lt;&gt;"Entrée",B4518&lt;&gt;"Sortie"),"Type inconnu",IF(ISNA(MATCH(C4518,art_ref,0)),"Référence inconnue",IF(OR(NOT(ISNUMBER(E4518)),N(E4518)&lt;=0),"Quantité invalide",IF(K4518&lt;0,"Stock négatif",IF(AND(ISNUMBER(A4517),A4518&lt;A4517),"Date hors ordre","OK"))))))))</f>
        <v/>
      </c>
      <c r="M4518" s="39" t="str">
        <f>IF(C4518="","",C4518&amp;"#"&amp;COUNTIF($C$5:C4518,C4518))</f>
        <v/>
      </c>
    </row>
    <row r="4519">
      <c r="A4519" s="41" t="n"/>
      <c r="B4519" s="37" t="n"/>
      <c r="C4519" s="37" t="n"/>
      <c r="D4519" s="39" t="str">
        <f>IF(C4519="","",IFERROR(INDEX(art_des,MATCH(C4519,art_ref,0))&amp;"","Référence inconnue"))</f>
        <v/>
      </c>
      <c r="E4519" s="37" t="n"/>
      <c r="F4519" s="39" t="str">
        <f>IF(C4519="","",IFERROR(INDEX(art_unit,MATCH(C4519,art_ref,0))&amp;"",""))</f>
        <v/>
      </c>
      <c r="G4519" s="37" t="n"/>
      <c r="H4519" s="37" t="n"/>
      <c r="I4519" s="37" t="n"/>
      <c r="J4519" s="40" t="str">
        <f>IF(OR(C4519="",NOT(ISNUMBER(E4519))),"",IFERROR(E4519*N(INDEX(art_price,MATCH(C4519,art_ref,0))),""))</f>
        <v/>
      </c>
      <c r="K4519" s="39" t="str">
        <f>IF(OR(C4519="",NOT(ISNUMBER(E4519))),"",IFERROR(ROUND(N(INDEX(art_init,MATCH(C4519,art_ref,0)))+SUMIFS($E$5:E4519,$C$5:C4519,C4519,$B$5:B4519,"Entrée")-SUMIFS($E$5:E4519,$C$5:C4519,C4519,$B$5:B4519,"Sortie"),6),""))</f>
        <v/>
      </c>
      <c r="L4519" s="39" t="str">
        <f>IF(COUNTA(A4519:C4519,E4519)=0,"",IF(COUNTA(A4519:C4519,E4519)&lt;4,"Ligne incomplète",IF(NOT(ISNUMBER(A4519)),"Date invalide",IF(AND(B4519&lt;&gt;"Entrée",B4519&lt;&gt;"Sortie"),"Type inconnu",IF(ISNA(MATCH(C4519,art_ref,0)),"Référence inconnue",IF(OR(NOT(ISNUMBER(E4519)),N(E4519)&lt;=0),"Quantité invalide",IF(K4519&lt;0,"Stock négatif",IF(AND(ISNUMBER(A4518),A4519&lt;A4518),"Date hors ordre","OK"))))))))</f>
        <v/>
      </c>
      <c r="M4519" s="39" t="str">
        <f>IF(C4519="","",C4519&amp;"#"&amp;COUNTIF($C$5:C4519,C4519))</f>
        <v/>
      </c>
    </row>
    <row r="4520">
      <c r="A4520" s="41" t="n"/>
      <c r="B4520" s="37" t="n"/>
      <c r="C4520" s="37" t="n"/>
      <c r="D4520" s="39" t="str">
        <f>IF(C4520="","",IFERROR(INDEX(art_des,MATCH(C4520,art_ref,0))&amp;"","Référence inconnue"))</f>
        <v/>
      </c>
      <c r="E4520" s="37" t="n"/>
      <c r="F4520" s="39" t="str">
        <f>IF(C4520="","",IFERROR(INDEX(art_unit,MATCH(C4520,art_ref,0))&amp;"",""))</f>
        <v/>
      </c>
      <c r="G4520" s="37" t="n"/>
      <c r="H4520" s="37" t="n"/>
      <c r="I4520" s="37" t="n"/>
      <c r="J4520" s="40" t="str">
        <f>IF(OR(C4520="",NOT(ISNUMBER(E4520))),"",IFERROR(E4520*N(INDEX(art_price,MATCH(C4520,art_ref,0))),""))</f>
        <v/>
      </c>
      <c r="K4520" s="39" t="str">
        <f>IF(OR(C4520="",NOT(ISNUMBER(E4520))),"",IFERROR(ROUND(N(INDEX(art_init,MATCH(C4520,art_ref,0)))+SUMIFS($E$5:E4520,$C$5:C4520,C4520,$B$5:B4520,"Entrée")-SUMIFS($E$5:E4520,$C$5:C4520,C4520,$B$5:B4520,"Sortie"),6),""))</f>
        <v/>
      </c>
      <c r="L4520" s="39" t="str">
        <f>IF(COUNTA(A4520:C4520,E4520)=0,"",IF(COUNTA(A4520:C4520,E4520)&lt;4,"Ligne incomplète",IF(NOT(ISNUMBER(A4520)),"Date invalide",IF(AND(B4520&lt;&gt;"Entrée",B4520&lt;&gt;"Sortie"),"Type inconnu",IF(ISNA(MATCH(C4520,art_ref,0)),"Référence inconnue",IF(OR(NOT(ISNUMBER(E4520)),N(E4520)&lt;=0),"Quantité invalide",IF(K4520&lt;0,"Stock négatif",IF(AND(ISNUMBER(A4519),A4520&lt;A4519),"Date hors ordre","OK"))))))))</f>
        <v/>
      </c>
      <c r="M4520" s="39" t="str">
        <f>IF(C4520="","",C4520&amp;"#"&amp;COUNTIF($C$5:C4520,C4520))</f>
        <v/>
      </c>
    </row>
    <row r="4521">
      <c r="A4521" s="41" t="n"/>
      <c r="B4521" s="37" t="n"/>
      <c r="C4521" s="37" t="n"/>
      <c r="D4521" s="39" t="str">
        <f>IF(C4521="","",IFERROR(INDEX(art_des,MATCH(C4521,art_ref,0))&amp;"","Référence inconnue"))</f>
        <v/>
      </c>
      <c r="E4521" s="37" t="n"/>
      <c r="F4521" s="39" t="str">
        <f>IF(C4521="","",IFERROR(INDEX(art_unit,MATCH(C4521,art_ref,0))&amp;"",""))</f>
        <v/>
      </c>
      <c r="G4521" s="37" t="n"/>
      <c r="H4521" s="37" t="n"/>
      <c r="I4521" s="37" t="n"/>
      <c r="J4521" s="40" t="str">
        <f>IF(OR(C4521="",NOT(ISNUMBER(E4521))),"",IFERROR(E4521*N(INDEX(art_price,MATCH(C4521,art_ref,0))),""))</f>
        <v/>
      </c>
      <c r="K4521" s="39" t="str">
        <f>IF(OR(C4521="",NOT(ISNUMBER(E4521))),"",IFERROR(ROUND(N(INDEX(art_init,MATCH(C4521,art_ref,0)))+SUMIFS($E$5:E4521,$C$5:C4521,C4521,$B$5:B4521,"Entrée")-SUMIFS($E$5:E4521,$C$5:C4521,C4521,$B$5:B4521,"Sortie"),6),""))</f>
        <v/>
      </c>
      <c r="L4521" s="39" t="str">
        <f>IF(COUNTA(A4521:C4521,E4521)=0,"",IF(COUNTA(A4521:C4521,E4521)&lt;4,"Ligne incomplète",IF(NOT(ISNUMBER(A4521)),"Date invalide",IF(AND(B4521&lt;&gt;"Entrée",B4521&lt;&gt;"Sortie"),"Type inconnu",IF(ISNA(MATCH(C4521,art_ref,0)),"Référence inconnue",IF(OR(NOT(ISNUMBER(E4521)),N(E4521)&lt;=0),"Quantité invalide",IF(K4521&lt;0,"Stock négatif",IF(AND(ISNUMBER(A4520),A4521&lt;A4520),"Date hors ordre","OK"))))))))</f>
        <v/>
      </c>
      <c r="M4521" s="39" t="str">
        <f>IF(C4521="","",C4521&amp;"#"&amp;COUNTIF($C$5:C4521,C4521))</f>
        <v/>
      </c>
    </row>
    <row r="4522">
      <c r="A4522" s="41" t="n"/>
      <c r="B4522" s="37" t="n"/>
      <c r="C4522" s="37" t="n"/>
      <c r="D4522" s="39" t="str">
        <f>IF(C4522="","",IFERROR(INDEX(art_des,MATCH(C4522,art_ref,0))&amp;"","Référence inconnue"))</f>
        <v/>
      </c>
      <c r="E4522" s="37" t="n"/>
      <c r="F4522" s="39" t="str">
        <f>IF(C4522="","",IFERROR(INDEX(art_unit,MATCH(C4522,art_ref,0))&amp;"",""))</f>
        <v/>
      </c>
      <c r="G4522" s="37" t="n"/>
      <c r="H4522" s="37" t="n"/>
      <c r="I4522" s="37" t="n"/>
      <c r="J4522" s="40" t="str">
        <f>IF(OR(C4522="",NOT(ISNUMBER(E4522))),"",IFERROR(E4522*N(INDEX(art_price,MATCH(C4522,art_ref,0))),""))</f>
        <v/>
      </c>
      <c r="K4522" s="39" t="str">
        <f>IF(OR(C4522="",NOT(ISNUMBER(E4522))),"",IFERROR(ROUND(N(INDEX(art_init,MATCH(C4522,art_ref,0)))+SUMIFS($E$5:E4522,$C$5:C4522,C4522,$B$5:B4522,"Entrée")-SUMIFS($E$5:E4522,$C$5:C4522,C4522,$B$5:B4522,"Sortie"),6),""))</f>
        <v/>
      </c>
      <c r="L4522" s="39" t="str">
        <f>IF(COUNTA(A4522:C4522,E4522)=0,"",IF(COUNTA(A4522:C4522,E4522)&lt;4,"Ligne incomplète",IF(NOT(ISNUMBER(A4522)),"Date invalide",IF(AND(B4522&lt;&gt;"Entrée",B4522&lt;&gt;"Sortie"),"Type inconnu",IF(ISNA(MATCH(C4522,art_ref,0)),"Référence inconnue",IF(OR(NOT(ISNUMBER(E4522)),N(E4522)&lt;=0),"Quantité invalide",IF(K4522&lt;0,"Stock négatif",IF(AND(ISNUMBER(A4521),A4522&lt;A4521),"Date hors ordre","OK"))))))))</f>
        <v/>
      </c>
      <c r="M4522" s="39" t="str">
        <f>IF(C4522="","",C4522&amp;"#"&amp;COUNTIF($C$5:C4522,C4522))</f>
        <v/>
      </c>
    </row>
    <row r="4523">
      <c r="A4523" s="41" t="n"/>
      <c r="B4523" s="37" t="n"/>
      <c r="C4523" s="37" t="n"/>
      <c r="D4523" s="39" t="str">
        <f>IF(C4523="","",IFERROR(INDEX(art_des,MATCH(C4523,art_ref,0))&amp;"","Référence inconnue"))</f>
        <v/>
      </c>
      <c r="E4523" s="37" t="n"/>
      <c r="F4523" s="39" t="str">
        <f>IF(C4523="","",IFERROR(INDEX(art_unit,MATCH(C4523,art_ref,0))&amp;"",""))</f>
        <v/>
      </c>
      <c r="G4523" s="37" t="n"/>
      <c r="H4523" s="37" t="n"/>
      <c r="I4523" s="37" t="n"/>
      <c r="J4523" s="40" t="str">
        <f>IF(OR(C4523="",NOT(ISNUMBER(E4523))),"",IFERROR(E4523*N(INDEX(art_price,MATCH(C4523,art_ref,0))),""))</f>
        <v/>
      </c>
      <c r="K4523" s="39" t="str">
        <f>IF(OR(C4523="",NOT(ISNUMBER(E4523))),"",IFERROR(ROUND(N(INDEX(art_init,MATCH(C4523,art_ref,0)))+SUMIFS($E$5:E4523,$C$5:C4523,C4523,$B$5:B4523,"Entrée")-SUMIFS($E$5:E4523,$C$5:C4523,C4523,$B$5:B4523,"Sortie"),6),""))</f>
        <v/>
      </c>
      <c r="L4523" s="39" t="str">
        <f>IF(COUNTA(A4523:C4523,E4523)=0,"",IF(COUNTA(A4523:C4523,E4523)&lt;4,"Ligne incomplète",IF(NOT(ISNUMBER(A4523)),"Date invalide",IF(AND(B4523&lt;&gt;"Entrée",B4523&lt;&gt;"Sortie"),"Type inconnu",IF(ISNA(MATCH(C4523,art_ref,0)),"Référence inconnue",IF(OR(NOT(ISNUMBER(E4523)),N(E4523)&lt;=0),"Quantité invalide",IF(K4523&lt;0,"Stock négatif",IF(AND(ISNUMBER(A4522),A4523&lt;A4522),"Date hors ordre","OK"))))))))</f>
        <v/>
      </c>
      <c r="M4523" s="39" t="str">
        <f>IF(C4523="","",C4523&amp;"#"&amp;COUNTIF($C$5:C4523,C4523))</f>
        <v/>
      </c>
    </row>
    <row r="4524">
      <c r="A4524" s="41" t="n"/>
      <c r="B4524" s="37" t="n"/>
      <c r="C4524" s="37" t="n"/>
      <c r="D4524" s="39" t="str">
        <f>IF(C4524="","",IFERROR(INDEX(art_des,MATCH(C4524,art_ref,0))&amp;"","Référence inconnue"))</f>
        <v/>
      </c>
      <c r="E4524" s="37" t="n"/>
      <c r="F4524" s="39" t="str">
        <f>IF(C4524="","",IFERROR(INDEX(art_unit,MATCH(C4524,art_ref,0))&amp;"",""))</f>
        <v/>
      </c>
      <c r="G4524" s="37" t="n"/>
      <c r="H4524" s="37" t="n"/>
      <c r="I4524" s="37" t="n"/>
      <c r="J4524" s="40" t="str">
        <f>IF(OR(C4524="",NOT(ISNUMBER(E4524))),"",IFERROR(E4524*N(INDEX(art_price,MATCH(C4524,art_ref,0))),""))</f>
        <v/>
      </c>
      <c r="K4524" s="39" t="str">
        <f>IF(OR(C4524="",NOT(ISNUMBER(E4524))),"",IFERROR(ROUND(N(INDEX(art_init,MATCH(C4524,art_ref,0)))+SUMIFS($E$5:E4524,$C$5:C4524,C4524,$B$5:B4524,"Entrée")-SUMIFS($E$5:E4524,$C$5:C4524,C4524,$B$5:B4524,"Sortie"),6),""))</f>
        <v/>
      </c>
      <c r="L4524" s="39" t="str">
        <f>IF(COUNTA(A4524:C4524,E4524)=0,"",IF(COUNTA(A4524:C4524,E4524)&lt;4,"Ligne incomplète",IF(NOT(ISNUMBER(A4524)),"Date invalide",IF(AND(B4524&lt;&gt;"Entrée",B4524&lt;&gt;"Sortie"),"Type inconnu",IF(ISNA(MATCH(C4524,art_ref,0)),"Référence inconnue",IF(OR(NOT(ISNUMBER(E4524)),N(E4524)&lt;=0),"Quantité invalide",IF(K4524&lt;0,"Stock négatif",IF(AND(ISNUMBER(A4523),A4524&lt;A4523),"Date hors ordre","OK"))))))))</f>
        <v/>
      </c>
      <c r="M4524" s="39" t="str">
        <f>IF(C4524="","",C4524&amp;"#"&amp;COUNTIF($C$5:C4524,C4524))</f>
        <v/>
      </c>
    </row>
    <row r="4525">
      <c r="A4525" s="41" t="n"/>
      <c r="B4525" s="37" t="n"/>
      <c r="C4525" s="37" t="n"/>
      <c r="D4525" s="39" t="str">
        <f>IF(C4525="","",IFERROR(INDEX(art_des,MATCH(C4525,art_ref,0))&amp;"","Référence inconnue"))</f>
        <v/>
      </c>
      <c r="E4525" s="37" t="n"/>
      <c r="F4525" s="39" t="str">
        <f>IF(C4525="","",IFERROR(INDEX(art_unit,MATCH(C4525,art_ref,0))&amp;"",""))</f>
        <v/>
      </c>
      <c r="G4525" s="37" t="n"/>
      <c r="H4525" s="37" t="n"/>
      <c r="I4525" s="37" t="n"/>
      <c r="J4525" s="40" t="str">
        <f>IF(OR(C4525="",NOT(ISNUMBER(E4525))),"",IFERROR(E4525*N(INDEX(art_price,MATCH(C4525,art_ref,0))),""))</f>
        <v/>
      </c>
      <c r="K4525" s="39" t="str">
        <f>IF(OR(C4525="",NOT(ISNUMBER(E4525))),"",IFERROR(ROUND(N(INDEX(art_init,MATCH(C4525,art_ref,0)))+SUMIFS($E$5:E4525,$C$5:C4525,C4525,$B$5:B4525,"Entrée")-SUMIFS($E$5:E4525,$C$5:C4525,C4525,$B$5:B4525,"Sortie"),6),""))</f>
        <v/>
      </c>
      <c r="L4525" s="39" t="str">
        <f>IF(COUNTA(A4525:C4525,E4525)=0,"",IF(COUNTA(A4525:C4525,E4525)&lt;4,"Ligne incomplète",IF(NOT(ISNUMBER(A4525)),"Date invalide",IF(AND(B4525&lt;&gt;"Entrée",B4525&lt;&gt;"Sortie"),"Type inconnu",IF(ISNA(MATCH(C4525,art_ref,0)),"Référence inconnue",IF(OR(NOT(ISNUMBER(E4525)),N(E4525)&lt;=0),"Quantité invalide",IF(K4525&lt;0,"Stock négatif",IF(AND(ISNUMBER(A4524),A4525&lt;A4524),"Date hors ordre","OK"))))))))</f>
        <v/>
      </c>
      <c r="M4525" s="39" t="str">
        <f>IF(C4525="","",C4525&amp;"#"&amp;COUNTIF($C$5:C4525,C4525))</f>
        <v/>
      </c>
    </row>
    <row r="4526">
      <c r="A4526" s="41" t="n"/>
      <c r="B4526" s="37" t="n"/>
      <c r="C4526" s="37" t="n"/>
      <c r="D4526" s="39" t="str">
        <f>IF(C4526="","",IFERROR(INDEX(art_des,MATCH(C4526,art_ref,0))&amp;"","Référence inconnue"))</f>
        <v/>
      </c>
      <c r="E4526" s="37" t="n"/>
      <c r="F4526" s="39" t="str">
        <f>IF(C4526="","",IFERROR(INDEX(art_unit,MATCH(C4526,art_ref,0))&amp;"",""))</f>
        <v/>
      </c>
      <c r="G4526" s="37" t="n"/>
      <c r="H4526" s="37" t="n"/>
      <c r="I4526" s="37" t="n"/>
      <c r="J4526" s="40" t="str">
        <f>IF(OR(C4526="",NOT(ISNUMBER(E4526))),"",IFERROR(E4526*N(INDEX(art_price,MATCH(C4526,art_ref,0))),""))</f>
        <v/>
      </c>
      <c r="K4526" s="39" t="str">
        <f>IF(OR(C4526="",NOT(ISNUMBER(E4526))),"",IFERROR(ROUND(N(INDEX(art_init,MATCH(C4526,art_ref,0)))+SUMIFS($E$5:E4526,$C$5:C4526,C4526,$B$5:B4526,"Entrée")-SUMIFS($E$5:E4526,$C$5:C4526,C4526,$B$5:B4526,"Sortie"),6),""))</f>
        <v/>
      </c>
      <c r="L4526" s="39" t="str">
        <f>IF(COUNTA(A4526:C4526,E4526)=0,"",IF(COUNTA(A4526:C4526,E4526)&lt;4,"Ligne incomplète",IF(NOT(ISNUMBER(A4526)),"Date invalide",IF(AND(B4526&lt;&gt;"Entrée",B4526&lt;&gt;"Sortie"),"Type inconnu",IF(ISNA(MATCH(C4526,art_ref,0)),"Référence inconnue",IF(OR(NOT(ISNUMBER(E4526)),N(E4526)&lt;=0),"Quantité invalide",IF(K4526&lt;0,"Stock négatif",IF(AND(ISNUMBER(A4525),A4526&lt;A4525),"Date hors ordre","OK"))))))))</f>
        <v/>
      </c>
      <c r="M4526" s="39" t="str">
        <f>IF(C4526="","",C4526&amp;"#"&amp;COUNTIF($C$5:C4526,C4526))</f>
        <v/>
      </c>
    </row>
    <row r="4527">
      <c r="A4527" s="41" t="n"/>
      <c r="B4527" s="37" t="n"/>
      <c r="C4527" s="37" t="n"/>
      <c r="D4527" s="39" t="str">
        <f>IF(C4527="","",IFERROR(INDEX(art_des,MATCH(C4527,art_ref,0))&amp;"","Référence inconnue"))</f>
        <v/>
      </c>
      <c r="E4527" s="37" t="n"/>
      <c r="F4527" s="39" t="str">
        <f>IF(C4527="","",IFERROR(INDEX(art_unit,MATCH(C4527,art_ref,0))&amp;"",""))</f>
        <v/>
      </c>
      <c r="G4527" s="37" t="n"/>
      <c r="H4527" s="37" t="n"/>
      <c r="I4527" s="37" t="n"/>
      <c r="J4527" s="40" t="str">
        <f>IF(OR(C4527="",NOT(ISNUMBER(E4527))),"",IFERROR(E4527*N(INDEX(art_price,MATCH(C4527,art_ref,0))),""))</f>
        <v/>
      </c>
      <c r="K4527" s="39" t="str">
        <f>IF(OR(C4527="",NOT(ISNUMBER(E4527))),"",IFERROR(ROUND(N(INDEX(art_init,MATCH(C4527,art_ref,0)))+SUMIFS($E$5:E4527,$C$5:C4527,C4527,$B$5:B4527,"Entrée")-SUMIFS($E$5:E4527,$C$5:C4527,C4527,$B$5:B4527,"Sortie"),6),""))</f>
        <v/>
      </c>
      <c r="L4527" s="39" t="str">
        <f>IF(COUNTA(A4527:C4527,E4527)=0,"",IF(COUNTA(A4527:C4527,E4527)&lt;4,"Ligne incomplète",IF(NOT(ISNUMBER(A4527)),"Date invalide",IF(AND(B4527&lt;&gt;"Entrée",B4527&lt;&gt;"Sortie"),"Type inconnu",IF(ISNA(MATCH(C4527,art_ref,0)),"Référence inconnue",IF(OR(NOT(ISNUMBER(E4527)),N(E4527)&lt;=0),"Quantité invalide",IF(K4527&lt;0,"Stock négatif",IF(AND(ISNUMBER(A4526),A4527&lt;A4526),"Date hors ordre","OK"))))))))</f>
        <v/>
      </c>
      <c r="M4527" s="39" t="str">
        <f>IF(C4527="","",C4527&amp;"#"&amp;COUNTIF($C$5:C4527,C4527))</f>
        <v/>
      </c>
    </row>
    <row r="4528">
      <c r="A4528" s="41" t="n"/>
      <c r="B4528" s="37" t="n"/>
      <c r="C4528" s="37" t="n"/>
      <c r="D4528" s="39" t="str">
        <f>IF(C4528="","",IFERROR(INDEX(art_des,MATCH(C4528,art_ref,0))&amp;"","Référence inconnue"))</f>
        <v/>
      </c>
      <c r="E4528" s="37" t="n"/>
      <c r="F4528" s="39" t="str">
        <f>IF(C4528="","",IFERROR(INDEX(art_unit,MATCH(C4528,art_ref,0))&amp;"",""))</f>
        <v/>
      </c>
      <c r="G4528" s="37" t="n"/>
      <c r="H4528" s="37" t="n"/>
      <c r="I4528" s="37" t="n"/>
      <c r="J4528" s="40" t="str">
        <f>IF(OR(C4528="",NOT(ISNUMBER(E4528))),"",IFERROR(E4528*N(INDEX(art_price,MATCH(C4528,art_ref,0))),""))</f>
        <v/>
      </c>
      <c r="K4528" s="39" t="str">
        <f>IF(OR(C4528="",NOT(ISNUMBER(E4528))),"",IFERROR(ROUND(N(INDEX(art_init,MATCH(C4528,art_ref,0)))+SUMIFS($E$5:E4528,$C$5:C4528,C4528,$B$5:B4528,"Entrée")-SUMIFS($E$5:E4528,$C$5:C4528,C4528,$B$5:B4528,"Sortie"),6),""))</f>
        <v/>
      </c>
      <c r="L4528" s="39" t="str">
        <f>IF(COUNTA(A4528:C4528,E4528)=0,"",IF(COUNTA(A4528:C4528,E4528)&lt;4,"Ligne incomplète",IF(NOT(ISNUMBER(A4528)),"Date invalide",IF(AND(B4528&lt;&gt;"Entrée",B4528&lt;&gt;"Sortie"),"Type inconnu",IF(ISNA(MATCH(C4528,art_ref,0)),"Référence inconnue",IF(OR(NOT(ISNUMBER(E4528)),N(E4528)&lt;=0),"Quantité invalide",IF(K4528&lt;0,"Stock négatif",IF(AND(ISNUMBER(A4527),A4528&lt;A4527),"Date hors ordre","OK"))))))))</f>
        <v/>
      </c>
      <c r="M4528" s="39" t="str">
        <f>IF(C4528="","",C4528&amp;"#"&amp;COUNTIF($C$5:C4528,C4528))</f>
        <v/>
      </c>
    </row>
    <row r="4529">
      <c r="A4529" s="41" t="n"/>
      <c r="B4529" s="37" t="n"/>
      <c r="C4529" s="37" t="n"/>
      <c r="D4529" s="39" t="str">
        <f>IF(C4529="","",IFERROR(INDEX(art_des,MATCH(C4529,art_ref,0))&amp;"","Référence inconnue"))</f>
        <v/>
      </c>
      <c r="E4529" s="37" t="n"/>
      <c r="F4529" s="39" t="str">
        <f>IF(C4529="","",IFERROR(INDEX(art_unit,MATCH(C4529,art_ref,0))&amp;"",""))</f>
        <v/>
      </c>
      <c r="G4529" s="37" t="n"/>
      <c r="H4529" s="37" t="n"/>
      <c r="I4529" s="37" t="n"/>
      <c r="J4529" s="40" t="str">
        <f>IF(OR(C4529="",NOT(ISNUMBER(E4529))),"",IFERROR(E4529*N(INDEX(art_price,MATCH(C4529,art_ref,0))),""))</f>
        <v/>
      </c>
      <c r="K4529" s="39" t="str">
        <f>IF(OR(C4529="",NOT(ISNUMBER(E4529))),"",IFERROR(ROUND(N(INDEX(art_init,MATCH(C4529,art_ref,0)))+SUMIFS($E$5:E4529,$C$5:C4529,C4529,$B$5:B4529,"Entrée")-SUMIFS($E$5:E4529,$C$5:C4529,C4529,$B$5:B4529,"Sortie"),6),""))</f>
        <v/>
      </c>
      <c r="L4529" s="39" t="str">
        <f>IF(COUNTA(A4529:C4529,E4529)=0,"",IF(COUNTA(A4529:C4529,E4529)&lt;4,"Ligne incomplète",IF(NOT(ISNUMBER(A4529)),"Date invalide",IF(AND(B4529&lt;&gt;"Entrée",B4529&lt;&gt;"Sortie"),"Type inconnu",IF(ISNA(MATCH(C4529,art_ref,0)),"Référence inconnue",IF(OR(NOT(ISNUMBER(E4529)),N(E4529)&lt;=0),"Quantité invalide",IF(K4529&lt;0,"Stock négatif",IF(AND(ISNUMBER(A4528),A4529&lt;A4528),"Date hors ordre","OK"))))))))</f>
        <v/>
      </c>
      <c r="M4529" s="39" t="str">
        <f>IF(C4529="","",C4529&amp;"#"&amp;COUNTIF($C$5:C4529,C4529))</f>
        <v/>
      </c>
    </row>
    <row r="4530">
      <c r="A4530" s="41" t="n"/>
      <c r="B4530" s="37" t="n"/>
      <c r="C4530" s="37" t="n"/>
      <c r="D4530" s="39" t="str">
        <f>IF(C4530="","",IFERROR(INDEX(art_des,MATCH(C4530,art_ref,0))&amp;"","Référence inconnue"))</f>
        <v/>
      </c>
      <c r="E4530" s="37" t="n"/>
      <c r="F4530" s="39" t="str">
        <f>IF(C4530="","",IFERROR(INDEX(art_unit,MATCH(C4530,art_ref,0))&amp;"",""))</f>
        <v/>
      </c>
      <c r="G4530" s="37" t="n"/>
      <c r="H4530" s="37" t="n"/>
      <c r="I4530" s="37" t="n"/>
      <c r="J4530" s="40" t="str">
        <f>IF(OR(C4530="",NOT(ISNUMBER(E4530))),"",IFERROR(E4530*N(INDEX(art_price,MATCH(C4530,art_ref,0))),""))</f>
        <v/>
      </c>
      <c r="K4530" s="39" t="str">
        <f>IF(OR(C4530="",NOT(ISNUMBER(E4530))),"",IFERROR(ROUND(N(INDEX(art_init,MATCH(C4530,art_ref,0)))+SUMIFS($E$5:E4530,$C$5:C4530,C4530,$B$5:B4530,"Entrée")-SUMIFS($E$5:E4530,$C$5:C4530,C4530,$B$5:B4530,"Sortie"),6),""))</f>
        <v/>
      </c>
      <c r="L4530" s="39" t="str">
        <f>IF(COUNTA(A4530:C4530,E4530)=0,"",IF(COUNTA(A4530:C4530,E4530)&lt;4,"Ligne incomplète",IF(NOT(ISNUMBER(A4530)),"Date invalide",IF(AND(B4530&lt;&gt;"Entrée",B4530&lt;&gt;"Sortie"),"Type inconnu",IF(ISNA(MATCH(C4530,art_ref,0)),"Référence inconnue",IF(OR(NOT(ISNUMBER(E4530)),N(E4530)&lt;=0),"Quantité invalide",IF(K4530&lt;0,"Stock négatif",IF(AND(ISNUMBER(A4529),A4530&lt;A4529),"Date hors ordre","OK"))))))))</f>
        <v/>
      </c>
      <c r="M4530" s="39" t="str">
        <f>IF(C4530="","",C4530&amp;"#"&amp;COUNTIF($C$5:C4530,C4530))</f>
        <v/>
      </c>
    </row>
    <row r="4531">
      <c r="A4531" s="41" t="n"/>
      <c r="B4531" s="37" t="n"/>
      <c r="C4531" s="37" t="n"/>
      <c r="D4531" s="39" t="str">
        <f>IF(C4531="","",IFERROR(INDEX(art_des,MATCH(C4531,art_ref,0))&amp;"","Référence inconnue"))</f>
        <v/>
      </c>
      <c r="E4531" s="37" t="n"/>
      <c r="F4531" s="39" t="str">
        <f>IF(C4531="","",IFERROR(INDEX(art_unit,MATCH(C4531,art_ref,0))&amp;"",""))</f>
        <v/>
      </c>
      <c r="G4531" s="37" t="n"/>
      <c r="H4531" s="37" t="n"/>
      <c r="I4531" s="37" t="n"/>
      <c r="J4531" s="40" t="str">
        <f>IF(OR(C4531="",NOT(ISNUMBER(E4531))),"",IFERROR(E4531*N(INDEX(art_price,MATCH(C4531,art_ref,0))),""))</f>
        <v/>
      </c>
      <c r="K4531" s="39" t="str">
        <f>IF(OR(C4531="",NOT(ISNUMBER(E4531))),"",IFERROR(ROUND(N(INDEX(art_init,MATCH(C4531,art_ref,0)))+SUMIFS($E$5:E4531,$C$5:C4531,C4531,$B$5:B4531,"Entrée")-SUMIFS($E$5:E4531,$C$5:C4531,C4531,$B$5:B4531,"Sortie"),6),""))</f>
        <v/>
      </c>
      <c r="L4531" s="39" t="str">
        <f>IF(COUNTA(A4531:C4531,E4531)=0,"",IF(COUNTA(A4531:C4531,E4531)&lt;4,"Ligne incomplète",IF(NOT(ISNUMBER(A4531)),"Date invalide",IF(AND(B4531&lt;&gt;"Entrée",B4531&lt;&gt;"Sortie"),"Type inconnu",IF(ISNA(MATCH(C4531,art_ref,0)),"Référence inconnue",IF(OR(NOT(ISNUMBER(E4531)),N(E4531)&lt;=0),"Quantité invalide",IF(K4531&lt;0,"Stock négatif",IF(AND(ISNUMBER(A4530),A4531&lt;A4530),"Date hors ordre","OK"))))))))</f>
        <v/>
      </c>
      <c r="M4531" s="39" t="str">
        <f>IF(C4531="","",C4531&amp;"#"&amp;COUNTIF($C$5:C4531,C4531))</f>
        <v/>
      </c>
    </row>
    <row r="4532">
      <c r="A4532" s="41" t="n"/>
      <c r="B4532" s="37" t="n"/>
      <c r="C4532" s="37" t="n"/>
      <c r="D4532" s="39" t="str">
        <f>IF(C4532="","",IFERROR(INDEX(art_des,MATCH(C4532,art_ref,0))&amp;"","Référence inconnue"))</f>
        <v/>
      </c>
      <c r="E4532" s="37" t="n"/>
      <c r="F4532" s="39" t="str">
        <f>IF(C4532="","",IFERROR(INDEX(art_unit,MATCH(C4532,art_ref,0))&amp;"",""))</f>
        <v/>
      </c>
      <c r="G4532" s="37" t="n"/>
      <c r="H4532" s="37" t="n"/>
      <c r="I4532" s="37" t="n"/>
      <c r="J4532" s="40" t="str">
        <f>IF(OR(C4532="",NOT(ISNUMBER(E4532))),"",IFERROR(E4532*N(INDEX(art_price,MATCH(C4532,art_ref,0))),""))</f>
        <v/>
      </c>
      <c r="K4532" s="39" t="str">
        <f>IF(OR(C4532="",NOT(ISNUMBER(E4532))),"",IFERROR(ROUND(N(INDEX(art_init,MATCH(C4532,art_ref,0)))+SUMIFS($E$5:E4532,$C$5:C4532,C4532,$B$5:B4532,"Entrée")-SUMIFS($E$5:E4532,$C$5:C4532,C4532,$B$5:B4532,"Sortie"),6),""))</f>
        <v/>
      </c>
      <c r="L4532" s="39" t="str">
        <f>IF(COUNTA(A4532:C4532,E4532)=0,"",IF(COUNTA(A4532:C4532,E4532)&lt;4,"Ligne incomplète",IF(NOT(ISNUMBER(A4532)),"Date invalide",IF(AND(B4532&lt;&gt;"Entrée",B4532&lt;&gt;"Sortie"),"Type inconnu",IF(ISNA(MATCH(C4532,art_ref,0)),"Référence inconnue",IF(OR(NOT(ISNUMBER(E4532)),N(E4532)&lt;=0),"Quantité invalide",IF(K4532&lt;0,"Stock négatif",IF(AND(ISNUMBER(A4531),A4532&lt;A4531),"Date hors ordre","OK"))))))))</f>
        <v/>
      </c>
      <c r="M4532" s="39" t="str">
        <f>IF(C4532="","",C4532&amp;"#"&amp;COUNTIF($C$5:C4532,C4532))</f>
        <v/>
      </c>
    </row>
    <row r="4533">
      <c r="A4533" s="41" t="n"/>
      <c r="B4533" s="37" t="n"/>
      <c r="C4533" s="37" t="n"/>
      <c r="D4533" s="39" t="str">
        <f>IF(C4533="","",IFERROR(INDEX(art_des,MATCH(C4533,art_ref,0))&amp;"","Référence inconnue"))</f>
        <v/>
      </c>
      <c r="E4533" s="37" t="n"/>
      <c r="F4533" s="39" t="str">
        <f>IF(C4533="","",IFERROR(INDEX(art_unit,MATCH(C4533,art_ref,0))&amp;"",""))</f>
        <v/>
      </c>
      <c r="G4533" s="37" t="n"/>
      <c r="H4533" s="37" t="n"/>
      <c r="I4533" s="37" t="n"/>
      <c r="J4533" s="40" t="str">
        <f>IF(OR(C4533="",NOT(ISNUMBER(E4533))),"",IFERROR(E4533*N(INDEX(art_price,MATCH(C4533,art_ref,0))),""))</f>
        <v/>
      </c>
      <c r="K4533" s="39" t="str">
        <f>IF(OR(C4533="",NOT(ISNUMBER(E4533))),"",IFERROR(ROUND(N(INDEX(art_init,MATCH(C4533,art_ref,0)))+SUMIFS($E$5:E4533,$C$5:C4533,C4533,$B$5:B4533,"Entrée")-SUMIFS($E$5:E4533,$C$5:C4533,C4533,$B$5:B4533,"Sortie"),6),""))</f>
        <v/>
      </c>
      <c r="L4533" s="39" t="str">
        <f>IF(COUNTA(A4533:C4533,E4533)=0,"",IF(COUNTA(A4533:C4533,E4533)&lt;4,"Ligne incomplète",IF(NOT(ISNUMBER(A4533)),"Date invalide",IF(AND(B4533&lt;&gt;"Entrée",B4533&lt;&gt;"Sortie"),"Type inconnu",IF(ISNA(MATCH(C4533,art_ref,0)),"Référence inconnue",IF(OR(NOT(ISNUMBER(E4533)),N(E4533)&lt;=0),"Quantité invalide",IF(K4533&lt;0,"Stock négatif",IF(AND(ISNUMBER(A4532),A4533&lt;A4532),"Date hors ordre","OK"))))))))</f>
        <v/>
      </c>
      <c r="M4533" s="39" t="str">
        <f>IF(C4533="","",C4533&amp;"#"&amp;COUNTIF($C$5:C4533,C4533))</f>
        <v/>
      </c>
    </row>
    <row r="4534">
      <c r="A4534" s="41" t="n"/>
      <c r="B4534" s="37" t="n"/>
      <c r="C4534" s="37" t="n"/>
      <c r="D4534" s="39" t="str">
        <f>IF(C4534="","",IFERROR(INDEX(art_des,MATCH(C4534,art_ref,0))&amp;"","Référence inconnue"))</f>
        <v/>
      </c>
      <c r="E4534" s="37" t="n"/>
      <c r="F4534" s="39" t="str">
        <f>IF(C4534="","",IFERROR(INDEX(art_unit,MATCH(C4534,art_ref,0))&amp;"",""))</f>
        <v/>
      </c>
      <c r="G4534" s="37" t="n"/>
      <c r="H4534" s="37" t="n"/>
      <c r="I4534" s="37" t="n"/>
      <c r="J4534" s="40" t="str">
        <f>IF(OR(C4534="",NOT(ISNUMBER(E4534))),"",IFERROR(E4534*N(INDEX(art_price,MATCH(C4534,art_ref,0))),""))</f>
        <v/>
      </c>
      <c r="K4534" s="39" t="str">
        <f>IF(OR(C4534="",NOT(ISNUMBER(E4534))),"",IFERROR(ROUND(N(INDEX(art_init,MATCH(C4534,art_ref,0)))+SUMIFS($E$5:E4534,$C$5:C4534,C4534,$B$5:B4534,"Entrée")-SUMIFS($E$5:E4534,$C$5:C4534,C4534,$B$5:B4534,"Sortie"),6),""))</f>
        <v/>
      </c>
      <c r="L4534" s="39" t="str">
        <f>IF(COUNTA(A4534:C4534,E4534)=0,"",IF(COUNTA(A4534:C4534,E4534)&lt;4,"Ligne incomplète",IF(NOT(ISNUMBER(A4534)),"Date invalide",IF(AND(B4534&lt;&gt;"Entrée",B4534&lt;&gt;"Sortie"),"Type inconnu",IF(ISNA(MATCH(C4534,art_ref,0)),"Référence inconnue",IF(OR(NOT(ISNUMBER(E4534)),N(E4534)&lt;=0),"Quantité invalide",IF(K4534&lt;0,"Stock négatif",IF(AND(ISNUMBER(A4533),A4534&lt;A4533),"Date hors ordre","OK"))))))))</f>
        <v/>
      </c>
      <c r="M4534" s="39" t="str">
        <f>IF(C4534="","",C4534&amp;"#"&amp;COUNTIF($C$5:C4534,C4534))</f>
        <v/>
      </c>
    </row>
    <row r="4535">
      <c r="A4535" s="41" t="n"/>
      <c r="B4535" s="37" t="n"/>
      <c r="C4535" s="37" t="n"/>
      <c r="D4535" s="39" t="str">
        <f>IF(C4535="","",IFERROR(INDEX(art_des,MATCH(C4535,art_ref,0))&amp;"","Référence inconnue"))</f>
        <v/>
      </c>
      <c r="E4535" s="37" t="n"/>
      <c r="F4535" s="39" t="str">
        <f>IF(C4535="","",IFERROR(INDEX(art_unit,MATCH(C4535,art_ref,0))&amp;"",""))</f>
        <v/>
      </c>
      <c r="G4535" s="37" t="n"/>
      <c r="H4535" s="37" t="n"/>
      <c r="I4535" s="37" t="n"/>
      <c r="J4535" s="40" t="str">
        <f>IF(OR(C4535="",NOT(ISNUMBER(E4535))),"",IFERROR(E4535*N(INDEX(art_price,MATCH(C4535,art_ref,0))),""))</f>
        <v/>
      </c>
      <c r="K4535" s="39" t="str">
        <f>IF(OR(C4535="",NOT(ISNUMBER(E4535))),"",IFERROR(ROUND(N(INDEX(art_init,MATCH(C4535,art_ref,0)))+SUMIFS($E$5:E4535,$C$5:C4535,C4535,$B$5:B4535,"Entrée")-SUMIFS($E$5:E4535,$C$5:C4535,C4535,$B$5:B4535,"Sortie"),6),""))</f>
        <v/>
      </c>
      <c r="L4535" s="39" t="str">
        <f>IF(COUNTA(A4535:C4535,E4535)=0,"",IF(COUNTA(A4535:C4535,E4535)&lt;4,"Ligne incomplète",IF(NOT(ISNUMBER(A4535)),"Date invalide",IF(AND(B4535&lt;&gt;"Entrée",B4535&lt;&gt;"Sortie"),"Type inconnu",IF(ISNA(MATCH(C4535,art_ref,0)),"Référence inconnue",IF(OR(NOT(ISNUMBER(E4535)),N(E4535)&lt;=0),"Quantité invalide",IF(K4535&lt;0,"Stock négatif",IF(AND(ISNUMBER(A4534),A4535&lt;A4534),"Date hors ordre","OK"))))))))</f>
        <v/>
      </c>
      <c r="M4535" s="39" t="str">
        <f>IF(C4535="","",C4535&amp;"#"&amp;COUNTIF($C$5:C4535,C4535))</f>
        <v/>
      </c>
    </row>
    <row r="4536">
      <c r="A4536" s="41" t="n"/>
      <c r="B4536" s="37" t="n"/>
      <c r="C4536" s="37" t="n"/>
      <c r="D4536" s="39" t="str">
        <f>IF(C4536="","",IFERROR(INDEX(art_des,MATCH(C4536,art_ref,0))&amp;"","Référence inconnue"))</f>
        <v/>
      </c>
      <c r="E4536" s="37" t="n"/>
      <c r="F4536" s="39" t="str">
        <f>IF(C4536="","",IFERROR(INDEX(art_unit,MATCH(C4536,art_ref,0))&amp;"",""))</f>
        <v/>
      </c>
      <c r="G4536" s="37" t="n"/>
      <c r="H4536" s="37" t="n"/>
      <c r="I4536" s="37" t="n"/>
      <c r="J4536" s="40" t="str">
        <f>IF(OR(C4536="",NOT(ISNUMBER(E4536))),"",IFERROR(E4536*N(INDEX(art_price,MATCH(C4536,art_ref,0))),""))</f>
        <v/>
      </c>
      <c r="K4536" s="39" t="str">
        <f>IF(OR(C4536="",NOT(ISNUMBER(E4536))),"",IFERROR(ROUND(N(INDEX(art_init,MATCH(C4536,art_ref,0)))+SUMIFS($E$5:E4536,$C$5:C4536,C4536,$B$5:B4536,"Entrée")-SUMIFS($E$5:E4536,$C$5:C4536,C4536,$B$5:B4536,"Sortie"),6),""))</f>
        <v/>
      </c>
      <c r="L4536" s="39" t="str">
        <f>IF(COUNTA(A4536:C4536,E4536)=0,"",IF(COUNTA(A4536:C4536,E4536)&lt;4,"Ligne incomplète",IF(NOT(ISNUMBER(A4536)),"Date invalide",IF(AND(B4536&lt;&gt;"Entrée",B4536&lt;&gt;"Sortie"),"Type inconnu",IF(ISNA(MATCH(C4536,art_ref,0)),"Référence inconnue",IF(OR(NOT(ISNUMBER(E4536)),N(E4536)&lt;=0),"Quantité invalide",IF(K4536&lt;0,"Stock négatif",IF(AND(ISNUMBER(A4535),A4536&lt;A4535),"Date hors ordre","OK"))))))))</f>
        <v/>
      </c>
      <c r="M4536" s="39" t="str">
        <f>IF(C4536="","",C4536&amp;"#"&amp;COUNTIF($C$5:C4536,C4536))</f>
        <v/>
      </c>
    </row>
    <row r="4537">
      <c r="A4537" s="41" t="n"/>
      <c r="B4537" s="37" t="n"/>
      <c r="C4537" s="37" t="n"/>
      <c r="D4537" s="39" t="str">
        <f>IF(C4537="","",IFERROR(INDEX(art_des,MATCH(C4537,art_ref,0))&amp;"","Référence inconnue"))</f>
        <v/>
      </c>
      <c r="E4537" s="37" t="n"/>
      <c r="F4537" s="39" t="str">
        <f>IF(C4537="","",IFERROR(INDEX(art_unit,MATCH(C4537,art_ref,0))&amp;"",""))</f>
        <v/>
      </c>
      <c r="G4537" s="37" t="n"/>
      <c r="H4537" s="37" t="n"/>
      <c r="I4537" s="37" t="n"/>
      <c r="J4537" s="40" t="str">
        <f>IF(OR(C4537="",NOT(ISNUMBER(E4537))),"",IFERROR(E4537*N(INDEX(art_price,MATCH(C4537,art_ref,0))),""))</f>
        <v/>
      </c>
      <c r="K4537" s="39" t="str">
        <f>IF(OR(C4537="",NOT(ISNUMBER(E4537))),"",IFERROR(ROUND(N(INDEX(art_init,MATCH(C4537,art_ref,0)))+SUMIFS($E$5:E4537,$C$5:C4537,C4537,$B$5:B4537,"Entrée")-SUMIFS($E$5:E4537,$C$5:C4537,C4537,$B$5:B4537,"Sortie"),6),""))</f>
        <v/>
      </c>
      <c r="L4537" s="39" t="str">
        <f>IF(COUNTA(A4537:C4537,E4537)=0,"",IF(COUNTA(A4537:C4537,E4537)&lt;4,"Ligne incomplète",IF(NOT(ISNUMBER(A4537)),"Date invalide",IF(AND(B4537&lt;&gt;"Entrée",B4537&lt;&gt;"Sortie"),"Type inconnu",IF(ISNA(MATCH(C4537,art_ref,0)),"Référence inconnue",IF(OR(NOT(ISNUMBER(E4537)),N(E4537)&lt;=0),"Quantité invalide",IF(K4537&lt;0,"Stock négatif",IF(AND(ISNUMBER(A4536),A4537&lt;A4536),"Date hors ordre","OK"))))))))</f>
        <v/>
      </c>
      <c r="M4537" s="39" t="str">
        <f>IF(C4537="","",C4537&amp;"#"&amp;COUNTIF($C$5:C4537,C4537))</f>
        <v/>
      </c>
    </row>
    <row r="4538">
      <c r="A4538" s="41" t="n"/>
      <c r="B4538" s="37" t="n"/>
      <c r="C4538" s="37" t="n"/>
      <c r="D4538" s="39" t="str">
        <f>IF(C4538="","",IFERROR(INDEX(art_des,MATCH(C4538,art_ref,0))&amp;"","Référence inconnue"))</f>
        <v/>
      </c>
      <c r="E4538" s="37" t="n"/>
      <c r="F4538" s="39" t="str">
        <f>IF(C4538="","",IFERROR(INDEX(art_unit,MATCH(C4538,art_ref,0))&amp;"",""))</f>
        <v/>
      </c>
      <c r="G4538" s="37" t="n"/>
      <c r="H4538" s="37" t="n"/>
      <c r="I4538" s="37" t="n"/>
      <c r="J4538" s="40" t="str">
        <f>IF(OR(C4538="",NOT(ISNUMBER(E4538))),"",IFERROR(E4538*N(INDEX(art_price,MATCH(C4538,art_ref,0))),""))</f>
        <v/>
      </c>
      <c r="K4538" s="39" t="str">
        <f>IF(OR(C4538="",NOT(ISNUMBER(E4538))),"",IFERROR(ROUND(N(INDEX(art_init,MATCH(C4538,art_ref,0)))+SUMIFS($E$5:E4538,$C$5:C4538,C4538,$B$5:B4538,"Entrée")-SUMIFS($E$5:E4538,$C$5:C4538,C4538,$B$5:B4538,"Sortie"),6),""))</f>
        <v/>
      </c>
      <c r="L4538" s="39" t="str">
        <f>IF(COUNTA(A4538:C4538,E4538)=0,"",IF(COUNTA(A4538:C4538,E4538)&lt;4,"Ligne incomplète",IF(NOT(ISNUMBER(A4538)),"Date invalide",IF(AND(B4538&lt;&gt;"Entrée",B4538&lt;&gt;"Sortie"),"Type inconnu",IF(ISNA(MATCH(C4538,art_ref,0)),"Référence inconnue",IF(OR(NOT(ISNUMBER(E4538)),N(E4538)&lt;=0),"Quantité invalide",IF(K4538&lt;0,"Stock négatif",IF(AND(ISNUMBER(A4537),A4538&lt;A4537),"Date hors ordre","OK"))))))))</f>
        <v/>
      </c>
      <c r="M4538" s="39" t="str">
        <f>IF(C4538="","",C4538&amp;"#"&amp;COUNTIF($C$5:C4538,C4538))</f>
        <v/>
      </c>
    </row>
    <row r="4539">
      <c r="A4539" s="41" t="n"/>
      <c r="B4539" s="37" t="n"/>
      <c r="C4539" s="37" t="n"/>
      <c r="D4539" s="39" t="str">
        <f>IF(C4539="","",IFERROR(INDEX(art_des,MATCH(C4539,art_ref,0))&amp;"","Référence inconnue"))</f>
        <v/>
      </c>
      <c r="E4539" s="37" t="n"/>
      <c r="F4539" s="39" t="str">
        <f>IF(C4539="","",IFERROR(INDEX(art_unit,MATCH(C4539,art_ref,0))&amp;"",""))</f>
        <v/>
      </c>
      <c r="G4539" s="37" t="n"/>
      <c r="H4539" s="37" t="n"/>
      <c r="I4539" s="37" t="n"/>
      <c r="J4539" s="40" t="str">
        <f>IF(OR(C4539="",NOT(ISNUMBER(E4539))),"",IFERROR(E4539*N(INDEX(art_price,MATCH(C4539,art_ref,0))),""))</f>
        <v/>
      </c>
      <c r="K4539" s="39" t="str">
        <f>IF(OR(C4539="",NOT(ISNUMBER(E4539))),"",IFERROR(ROUND(N(INDEX(art_init,MATCH(C4539,art_ref,0)))+SUMIFS($E$5:E4539,$C$5:C4539,C4539,$B$5:B4539,"Entrée")-SUMIFS($E$5:E4539,$C$5:C4539,C4539,$B$5:B4539,"Sortie"),6),""))</f>
        <v/>
      </c>
      <c r="L4539" s="39" t="str">
        <f>IF(COUNTA(A4539:C4539,E4539)=0,"",IF(COUNTA(A4539:C4539,E4539)&lt;4,"Ligne incomplète",IF(NOT(ISNUMBER(A4539)),"Date invalide",IF(AND(B4539&lt;&gt;"Entrée",B4539&lt;&gt;"Sortie"),"Type inconnu",IF(ISNA(MATCH(C4539,art_ref,0)),"Référence inconnue",IF(OR(NOT(ISNUMBER(E4539)),N(E4539)&lt;=0),"Quantité invalide",IF(K4539&lt;0,"Stock négatif",IF(AND(ISNUMBER(A4538),A4539&lt;A4538),"Date hors ordre","OK"))))))))</f>
        <v/>
      </c>
      <c r="M4539" s="39" t="str">
        <f>IF(C4539="","",C4539&amp;"#"&amp;COUNTIF($C$5:C4539,C4539))</f>
        <v/>
      </c>
    </row>
    <row r="4540">
      <c r="A4540" s="41" t="n"/>
      <c r="B4540" s="37" t="n"/>
      <c r="C4540" s="37" t="n"/>
      <c r="D4540" s="39" t="str">
        <f>IF(C4540="","",IFERROR(INDEX(art_des,MATCH(C4540,art_ref,0))&amp;"","Référence inconnue"))</f>
        <v/>
      </c>
      <c r="E4540" s="37" t="n"/>
      <c r="F4540" s="39" t="str">
        <f>IF(C4540="","",IFERROR(INDEX(art_unit,MATCH(C4540,art_ref,0))&amp;"",""))</f>
        <v/>
      </c>
      <c r="G4540" s="37" t="n"/>
      <c r="H4540" s="37" t="n"/>
      <c r="I4540" s="37" t="n"/>
      <c r="J4540" s="40" t="str">
        <f>IF(OR(C4540="",NOT(ISNUMBER(E4540))),"",IFERROR(E4540*N(INDEX(art_price,MATCH(C4540,art_ref,0))),""))</f>
        <v/>
      </c>
      <c r="K4540" s="39" t="str">
        <f>IF(OR(C4540="",NOT(ISNUMBER(E4540))),"",IFERROR(ROUND(N(INDEX(art_init,MATCH(C4540,art_ref,0)))+SUMIFS($E$5:E4540,$C$5:C4540,C4540,$B$5:B4540,"Entrée")-SUMIFS($E$5:E4540,$C$5:C4540,C4540,$B$5:B4540,"Sortie"),6),""))</f>
        <v/>
      </c>
      <c r="L4540" s="39" t="str">
        <f>IF(COUNTA(A4540:C4540,E4540)=0,"",IF(COUNTA(A4540:C4540,E4540)&lt;4,"Ligne incomplète",IF(NOT(ISNUMBER(A4540)),"Date invalide",IF(AND(B4540&lt;&gt;"Entrée",B4540&lt;&gt;"Sortie"),"Type inconnu",IF(ISNA(MATCH(C4540,art_ref,0)),"Référence inconnue",IF(OR(NOT(ISNUMBER(E4540)),N(E4540)&lt;=0),"Quantité invalide",IF(K4540&lt;0,"Stock négatif",IF(AND(ISNUMBER(A4539),A4540&lt;A4539),"Date hors ordre","OK"))))))))</f>
        <v/>
      </c>
      <c r="M4540" s="39" t="str">
        <f>IF(C4540="","",C4540&amp;"#"&amp;COUNTIF($C$5:C4540,C4540))</f>
        <v/>
      </c>
    </row>
    <row r="4541">
      <c r="A4541" s="41" t="n"/>
      <c r="B4541" s="37" t="n"/>
      <c r="C4541" s="37" t="n"/>
      <c r="D4541" s="39" t="str">
        <f>IF(C4541="","",IFERROR(INDEX(art_des,MATCH(C4541,art_ref,0))&amp;"","Référence inconnue"))</f>
        <v/>
      </c>
      <c r="E4541" s="37" t="n"/>
      <c r="F4541" s="39" t="str">
        <f>IF(C4541="","",IFERROR(INDEX(art_unit,MATCH(C4541,art_ref,0))&amp;"",""))</f>
        <v/>
      </c>
      <c r="G4541" s="37" t="n"/>
      <c r="H4541" s="37" t="n"/>
      <c r="I4541" s="37" t="n"/>
      <c r="J4541" s="40" t="str">
        <f>IF(OR(C4541="",NOT(ISNUMBER(E4541))),"",IFERROR(E4541*N(INDEX(art_price,MATCH(C4541,art_ref,0))),""))</f>
        <v/>
      </c>
      <c r="K4541" s="39" t="str">
        <f>IF(OR(C4541="",NOT(ISNUMBER(E4541))),"",IFERROR(ROUND(N(INDEX(art_init,MATCH(C4541,art_ref,0)))+SUMIFS($E$5:E4541,$C$5:C4541,C4541,$B$5:B4541,"Entrée")-SUMIFS($E$5:E4541,$C$5:C4541,C4541,$B$5:B4541,"Sortie"),6),""))</f>
        <v/>
      </c>
      <c r="L4541" s="39" t="str">
        <f>IF(COUNTA(A4541:C4541,E4541)=0,"",IF(COUNTA(A4541:C4541,E4541)&lt;4,"Ligne incomplète",IF(NOT(ISNUMBER(A4541)),"Date invalide",IF(AND(B4541&lt;&gt;"Entrée",B4541&lt;&gt;"Sortie"),"Type inconnu",IF(ISNA(MATCH(C4541,art_ref,0)),"Référence inconnue",IF(OR(NOT(ISNUMBER(E4541)),N(E4541)&lt;=0),"Quantité invalide",IF(K4541&lt;0,"Stock négatif",IF(AND(ISNUMBER(A4540),A4541&lt;A4540),"Date hors ordre","OK"))))))))</f>
        <v/>
      </c>
      <c r="M4541" s="39" t="str">
        <f>IF(C4541="","",C4541&amp;"#"&amp;COUNTIF($C$5:C4541,C4541))</f>
        <v/>
      </c>
    </row>
    <row r="4542">
      <c r="A4542" s="41" t="n"/>
      <c r="B4542" s="37" t="n"/>
      <c r="C4542" s="37" t="n"/>
      <c r="D4542" s="39" t="str">
        <f>IF(C4542="","",IFERROR(INDEX(art_des,MATCH(C4542,art_ref,0))&amp;"","Référence inconnue"))</f>
        <v/>
      </c>
      <c r="E4542" s="37" t="n"/>
      <c r="F4542" s="39" t="str">
        <f>IF(C4542="","",IFERROR(INDEX(art_unit,MATCH(C4542,art_ref,0))&amp;"",""))</f>
        <v/>
      </c>
      <c r="G4542" s="37" t="n"/>
      <c r="H4542" s="37" t="n"/>
      <c r="I4542" s="37" t="n"/>
      <c r="J4542" s="40" t="str">
        <f>IF(OR(C4542="",NOT(ISNUMBER(E4542))),"",IFERROR(E4542*N(INDEX(art_price,MATCH(C4542,art_ref,0))),""))</f>
        <v/>
      </c>
      <c r="K4542" s="39" t="str">
        <f>IF(OR(C4542="",NOT(ISNUMBER(E4542))),"",IFERROR(ROUND(N(INDEX(art_init,MATCH(C4542,art_ref,0)))+SUMIFS($E$5:E4542,$C$5:C4542,C4542,$B$5:B4542,"Entrée")-SUMIFS($E$5:E4542,$C$5:C4542,C4542,$B$5:B4542,"Sortie"),6),""))</f>
        <v/>
      </c>
      <c r="L4542" s="39" t="str">
        <f>IF(COUNTA(A4542:C4542,E4542)=0,"",IF(COUNTA(A4542:C4542,E4542)&lt;4,"Ligne incomplète",IF(NOT(ISNUMBER(A4542)),"Date invalide",IF(AND(B4542&lt;&gt;"Entrée",B4542&lt;&gt;"Sortie"),"Type inconnu",IF(ISNA(MATCH(C4542,art_ref,0)),"Référence inconnue",IF(OR(NOT(ISNUMBER(E4542)),N(E4542)&lt;=0),"Quantité invalide",IF(K4542&lt;0,"Stock négatif",IF(AND(ISNUMBER(A4541),A4542&lt;A4541),"Date hors ordre","OK"))))))))</f>
        <v/>
      </c>
      <c r="M4542" s="39" t="str">
        <f>IF(C4542="","",C4542&amp;"#"&amp;COUNTIF($C$5:C4542,C4542))</f>
        <v/>
      </c>
    </row>
    <row r="4543">
      <c r="A4543" s="41" t="n"/>
      <c r="B4543" s="37" t="n"/>
      <c r="C4543" s="37" t="n"/>
      <c r="D4543" s="39" t="str">
        <f>IF(C4543="","",IFERROR(INDEX(art_des,MATCH(C4543,art_ref,0))&amp;"","Référence inconnue"))</f>
        <v/>
      </c>
      <c r="E4543" s="37" t="n"/>
      <c r="F4543" s="39" t="str">
        <f>IF(C4543="","",IFERROR(INDEX(art_unit,MATCH(C4543,art_ref,0))&amp;"",""))</f>
        <v/>
      </c>
      <c r="G4543" s="37" t="n"/>
      <c r="H4543" s="37" t="n"/>
      <c r="I4543" s="37" t="n"/>
      <c r="J4543" s="40" t="str">
        <f>IF(OR(C4543="",NOT(ISNUMBER(E4543))),"",IFERROR(E4543*N(INDEX(art_price,MATCH(C4543,art_ref,0))),""))</f>
        <v/>
      </c>
      <c r="K4543" s="39" t="str">
        <f>IF(OR(C4543="",NOT(ISNUMBER(E4543))),"",IFERROR(ROUND(N(INDEX(art_init,MATCH(C4543,art_ref,0)))+SUMIFS($E$5:E4543,$C$5:C4543,C4543,$B$5:B4543,"Entrée")-SUMIFS($E$5:E4543,$C$5:C4543,C4543,$B$5:B4543,"Sortie"),6),""))</f>
        <v/>
      </c>
      <c r="L4543" s="39" t="str">
        <f>IF(COUNTA(A4543:C4543,E4543)=0,"",IF(COUNTA(A4543:C4543,E4543)&lt;4,"Ligne incomplète",IF(NOT(ISNUMBER(A4543)),"Date invalide",IF(AND(B4543&lt;&gt;"Entrée",B4543&lt;&gt;"Sortie"),"Type inconnu",IF(ISNA(MATCH(C4543,art_ref,0)),"Référence inconnue",IF(OR(NOT(ISNUMBER(E4543)),N(E4543)&lt;=0),"Quantité invalide",IF(K4543&lt;0,"Stock négatif",IF(AND(ISNUMBER(A4542),A4543&lt;A4542),"Date hors ordre","OK"))))))))</f>
        <v/>
      </c>
      <c r="M4543" s="39" t="str">
        <f>IF(C4543="","",C4543&amp;"#"&amp;COUNTIF($C$5:C4543,C4543))</f>
        <v/>
      </c>
    </row>
    <row r="4544">
      <c r="A4544" s="41" t="n"/>
      <c r="B4544" s="37" t="n"/>
      <c r="C4544" s="37" t="n"/>
      <c r="D4544" s="39" t="str">
        <f>IF(C4544="","",IFERROR(INDEX(art_des,MATCH(C4544,art_ref,0))&amp;"","Référence inconnue"))</f>
        <v/>
      </c>
      <c r="E4544" s="37" t="n"/>
      <c r="F4544" s="39" t="str">
        <f>IF(C4544="","",IFERROR(INDEX(art_unit,MATCH(C4544,art_ref,0))&amp;"",""))</f>
        <v/>
      </c>
      <c r="G4544" s="37" t="n"/>
      <c r="H4544" s="37" t="n"/>
      <c r="I4544" s="37" t="n"/>
      <c r="J4544" s="40" t="str">
        <f>IF(OR(C4544="",NOT(ISNUMBER(E4544))),"",IFERROR(E4544*N(INDEX(art_price,MATCH(C4544,art_ref,0))),""))</f>
        <v/>
      </c>
      <c r="K4544" s="39" t="str">
        <f>IF(OR(C4544="",NOT(ISNUMBER(E4544))),"",IFERROR(ROUND(N(INDEX(art_init,MATCH(C4544,art_ref,0)))+SUMIFS($E$5:E4544,$C$5:C4544,C4544,$B$5:B4544,"Entrée")-SUMIFS($E$5:E4544,$C$5:C4544,C4544,$B$5:B4544,"Sortie"),6),""))</f>
        <v/>
      </c>
      <c r="L4544" s="39" t="str">
        <f>IF(COUNTA(A4544:C4544,E4544)=0,"",IF(COUNTA(A4544:C4544,E4544)&lt;4,"Ligne incomplète",IF(NOT(ISNUMBER(A4544)),"Date invalide",IF(AND(B4544&lt;&gt;"Entrée",B4544&lt;&gt;"Sortie"),"Type inconnu",IF(ISNA(MATCH(C4544,art_ref,0)),"Référence inconnue",IF(OR(NOT(ISNUMBER(E4544)),N(E4544)&lt;=0),"Quantité invalide",IF(K4544&lt;0,"Stock négatif",IF(AND(ISNUMBER(A4543),A4544&lt;A4543),"Date hors ordre","OK"))))))))</f>
        <v/>
      </c>
      <c r="M4544" s="39" t="str">
        <f>IF(C4544="","",C4544&amp;"#"&amp;COUNTIF($C$5:C4544,C4544))</f>
        <v/>
      </c>
    </row>
    <row r="4545">
      <c r="A4545" s="41" t="n"/>
      <c r="B4545" s="37" t="n"/>
      <c r="C4545" s="37" t="n"/>
      <c r="D4545" s="39" t="str">
        <f>IF(C4545="","",IFERROR(INDEX(art_des,MATCH(C4545,art_ref,0))&amp;"","Référence inconnue"))</f>
        <v/>
      </c>
      <c r="E4545" s="37" t="n"/>
      <c r="F4545" s="39" t="str">
        <f>IF(C4545="","",IFERROR(INDEX(art_unit,MATCH(C4545,art_ref,0))&amp;"",""))</f>
        <v/>
      </c>
      <c r="G4545" s="37" t="n"/>
      <c r="H4545" s="37" t="n"/>
      <c r="I4545" s="37" t="n"/>
      <c r="J4545" s="40" t="str">
        <f>IF(OR(C4545="",NOT(ISNUMBER(E4545))),"",IFERROR(E4545*N(INDEX(art_price,MATCH(C4545,art_ref,0))),""))</f>
        <v/>
      </c>
      <c r="K4545" s="39" t="str">
        <f>IF(OR(C4545="",NOT(ISNUMBER(E4545))),"",IFERROR(ROUND(N(INDEX(art_init,MATCH(C4545,art_ref,0)))+SUMIFS($E$5:E4545,$C$5:C4545,C4545,$B$5:B4545,"Entrée")-SUMIFS($E$5:E4545,$C$5:C4545,C4545,$B$5:B4545,"Sortie"),6),""))</f>
        <v/>
      </c>
      <c r="L4545" s="39" t="str">
        <f>IF(COUNTA(A4545:C4545,E4545)=0,"",IF(COUNTA(A4545:C4545,E4545)&lt;4,"Ligne incomplète",IF(NOT(ISNUMBER(A4545)),"Date invalide",IF(AND(B4545&lt;&gt;"Entrée",B4545&lt;&gt;"Sortie"),"Type inconnu",IF(ISNA(MATCH(C4545,art_ref,0)),"Référence inconnue",IF(OR(NOT(ISNUMBER(E4545)),N(E4545)&lt;=0),"Quantité invalide",IF(K4545&lt;0,"Stock négatif",IF(AND(ISNUMBER(A4544),A4545&lt;A4544),"Date hors ordre","OK"))))))))</f>
        <v/>
      </c>
      <c r="M4545" s="39" t="str">
        <f>IF(C4545="","",C4545&amp;"#"&amp;COUNTIF($C$5:C4545,C4545))</f>
        <v/>
      </c>
    </row>
    <row r="4546">
      <c r="A4546" s="41" t="n"/>
      <c r="B4546" s="37" t="n"/>
      <c r="C4546" s="37" t="n"/>
      <c r="D4546" s="39" t="str">
        <f>IF(C4546="","",IFERROR(INDEX(art_des,MATCH(C4546,art_ref,0))&amp;"","Référence inconnue"))</f>
        <v/>
      </c>
      <c r="E4546" s="37" t="n"/>
      <c r="F4546" s="39" t="str">
        <f>IF(C4546="","",IFERROR(INDEX(art_unit,MATCH(C4546,art_ref,0))&amp;"",""))</f>
        <v/>
      </c>
      <c r="G4546" s="37" t="n"/>
      <c r="H4546" s="37" t="n"/>
      <c r="I4546" s="37" t="n"/>
      <c r="J4546" s="40" t="str">
        <f>IF(OR(C4546="",NOT(ISNUMBER(E4546))),"",IFERROR(E4546*N(INDEX(art_price,MATCH(C4546,art_ref,0))),""))</f>
        <v/>
      </c>
      <c r="K4546" s="39" t="str">
        <f>IF(OR(C4546="",NOT(ISNUMBER(E4546))),"",IFERROR(ROUND(N(INDEX(art_init,MATCH(C4546,art_ref,0)))+SUMIFS($E$5:E4546,$C$5:C4546,C4546,$B$5:B4546,"Entrée")-SUMIFS($E$5:E4546,$C$5:C4546,C4546,$B$5:B4546,"Sortie"),6),""))</f>
        <v/>
      </c>
      <c r="L4546" s="39" t="str">
        <f>IF(COUNTA(A4546:C4546,E4546)=0,"",IF(COUNTA(A4546:C4546,E4546)&lt;4,"Ligne incomplète",IF(NOT(ISNUMBER(A4546)),"Date invalide",IF(AND(B4546&lt;&gt;"Entrée",B4546&lt;&gt;"Sortie"),"Type inconnu",IF(ISNA(MATCH(C4546,art_ref,0)),"Référence inconnue",IF(OR(NOT(ISNUMBER(E4546)),N(E4546)&lt;=0),"Quantité invalide",IF(K4546&lt;0,"Stock négatif",IF(AND(ISNUMBER(A4545),A4546&lt;A4545),"Date hors ordre","OK"))))))))</f>
        <v/>
      </c>
      <c r="M4546" s="39" t="str">
        <f>IF(C4546="","",C4546&amp;"#"&amp;COUNTIF($C$5:C4546,C4546))</f>
        <v/>
      </c>
    </row>
    <row r="4547">
      <c r="A4547" s="41" t="n"/>
      <c r="B4547" s="37" t="n"/>
      <c r="C4547" s="37" t="n"/>
      <c r="D4547" s="39" t="str">
        <f>IF(C4547="","",IFERROR(INDEX(art_des,MATCH(C4547,art_ref,0))&amp;"","Référence inconnue"))</f>
        <v/>
      </c>
      <c r="E4547" s="37" t="n"/>
      <c r="F4547" s="39" t="str">
        <f>IF(C4547="","",IFERROR(INDEX(art_unit,MATCH(C4547,art_ref,0))&amp;"",""))</f>
        <v/>
      </c>
      <c r="G4547" s="37" t="n"/>
      <c r="H4547" s="37" t="n"/>
      <c r="I4547" s="37" t="n"/>
      <c r="J4547" s="40" t="str">
        <f>IF(OR(C4547="",NOT(ISNUMBER(E4547))),"",IFERROR(E4547*N(INDEX(art_price,MATCH(C4547,art_ref,0))),""))</f>
        <v/>
      </c>
      <c r="K4547" s="39" t="str">
        <f>IF(OR(C4547="",NOT(ISNUMBER(E4547))),"",IFERROR(ROUND(N(INDEX(art_init,MATCH(C4547,art_ref,0)))+SUMIFS($E$5:E4547,$C$5:C4547,C4547,$B$5:B4547,"Entrée")-SUMIFS($E$5:E4547,$C$5:C4547,C4547,$B$5:B4547,"Sortie"),6),""))</f>
        <v/>
      </c>
      <c r="L4547" s="39" t="str">
        <f>IF(COUNTA(A4547:C4547,E4547)=0,"",IF(COUNTA(A4547:C4547,E4547)&lt;4,"Ligne incomplète",IF(NOT(ISNUMBER(A4547)),"Date invalide",IF(AND(B4547&lt;&gt;"Entrée",B4547&lt;&gt;"Sortie"),"Type inconnu",IF(ISNA(MATCH(C4547,art_ref,0)),"Référence inconnue",IF(OR(NOT(ISNUMBER(E4547)),N(E4547)&lt;=0),"Quantité invalide",IF(K4547&lt;0,"Stock négatif",IF(AND(ISNUMBER(A4546),A4547&lt;A4546),"Date hors ordre","OK"))))))))</f>
        <v/>
      </c>
      <c r="M4547" s="39" t="str">
        <f>IF(C4547="","",C4547&amp;"#"&amp;COUNTIF($C$5:C4547,C4547))</f>
        <v/>
      </c>
    </row>
    <row r="4548">
      <c r="A4548" s="41" t="n"/>
      <c r="B4548" s="37" t="n"/>
      <c r="C4548" s="37" t="n"/>
      <c r="D4548" s="39" t="str">
        <f>IF(C4548="","",IFERROR(INDEX(art_des,MATCH(C4548,art_ref,0))&amp;"","Référence inconnue"))</f>
        <v/>
      </c>
      <c r="E4548" s="37" t="n"/>
      <c r="F4548" s="39" t="str">
        <f>IF(C4548="","",IFERROR(INDEX(art_unit,MATCH(C4548,art_ref,0))&amp;"",""))</f>
        <v/>
      </c>
      <c r="G4548" s="37" t="n"/>
      <c r="H4548" s="37" t="n"/>
      <c r="I4548" s="37" t="n"/>
      <c r="J4548" s="40" t="str">
        <f>IF(OR(C4548="",NOT(ISNUMBER(E4548))),"",IFERROR(E4548*N(INDEX(art_price,MATCH(C4548,art_ref,0))),""))</f>
        <v/>
      </c>
      <c r="K4548" s="39" t="str">
        <f>IF(OR(C4548="",NOT(ISNUMBER(E4548))),"",IFERROR(ROUND(N(INDEX(art_init,MATCH(C4548,art_ref,0)))+SUMIFS($E$5:E4548,$C$5:C4548,C4548,$B$5:B4548,"Entrée")-SUMIFS($E$5:E4548,$C$5:C4548,C4548,$B$5:B4548,"Sortie"),6),""))</f>
        <v/>
      </c>
      <c r="L4548" s="39" t="str">
        <f>IF(COUNTA(A4548:C4548,E4548)=0,"",IF(COUNTA(A4548:C4548,E4548)&lt;4,"Ligne incomplète",IF(NOT(ISNUMBER(A4548)),"Date invalide",IF(AND(B4548&lt;&gt;"Entrée",B4548&lt;&gt;"Sortie"),"Type inconnu",IF(ISNA(MATCH(C4548,art_ref,0)),"Référence inconnue",IF(OR(NOT(ISNUMBER(E4548)),N(E4548)&lt;=0),"Quantité invalide",IF(K4548&lt;0,"Stock négatif",IF(AND(ISNUMBER(A4547),A4548&lt;A4547),"Date hors ordre","OK"))))))))</f>
        <v/>
      </c>
      <c r="M4548" s="39" t="str">
        <f>IF(C4548="","",C4548&amp;"#"&amp;COUNTIF($C$5:C4548,C4548))</f>
        <v/>
      </c>
    </row>
    <row r="4549">
      <c r="A4549" s="41" t="n"/>
      <c r="B4549" s="37" t="n"/>
      <c r="C4549" s="37" t="n"/>
      <c r="D4549" s="39" t="str">
        <f>IF(C4549="","",IFERROR(INDEX(art_des,MATCH(C4549,art_ref,0))&amp;"","Référence inconnue"))</f>
        <v/>
      </c>
      <c r="E4549" s="37" t="n"/>
      <c r="F4549" s="39" t="str">
        <f>IF(C4549="","",IFERROR(INDEX(art_unit,MATCH(C4549,art_ref,0))&amp;"",""))</f>
        <v/>
      </c>
      <c r="G4549" s="37" t="n"/>
      <c r="H4549" s="37" t="n"/>
      <c r="I4549" s="37" t="n"/>
      <c r="J4549" s="40" t="str">
        <f>IF(OR(C4549="",NOT(ISNUMBER(E4549))),"",IFERROR(E4549*N(INDEX(art_price,MATCH(C4549,art_ref,0))),""))</f>
        <v/>
      </c>
      <c r="K4549" s="39" t="str">
        <f>IF(OR(C4549="",NOT(ISNUMBER(E4549))),"",IFERROR(ROUND(N(INDEX(art_init,MATCH(C4549,art_ref,0)))+SUMIFS($E$5:E4549,$C$5:C4549,C4549,$B$5:B4549,"Entrée")-SUMIFS($E$5:E4549,$C$5:C4549,C4549,$B$5:B4549,"Sortie"),6),""))</f>
        <v/>
      </c>
      <c r="L4549" s="39" t="str">
        <f>IF(COUNTA(A4549:C4549,E4549)=0,"",IF(COUNTA(A4549:C4549,E4549)&lt;4,"Ligne incomplète",IF(NOT(ISNUMBER(A4549)),"Date invalide",IF(AND(B4549&lt;&gt;"Entrée",B4549&lt;&gt;"Sortie"),"Type inconnu",IF(ISNA(MATCH(C4549,art_ref,0)),"Référence inconnue",IF(OR(NOT(ISNUMBER(E4549)),N(E4549)&lt;=0),"Quantité invalide",IF(K4549&lt;0,"Stock négatif",IF(AND(ISNUMBER(A4548),A4549&lt;A4548),"Date hors ordre","OK"))))))))</f>
        <v/>
      </c>
      <c r="M4549" s="39" t="str">
        <f>IF(C4549="","",C4549&amp;"#"&amp;COUNTIF($C$5:C4549,C4549))</f>
        <v/>
      </c>
    </row>
    <row r="4550">
      <c r="A4550" s="41" t="n"/>
      <c r="B4550" s="37" t="n"/>
      <c r="C4550" s="37" t="n"/>
      <c r="D4550" s="39" t="str">
        <f>IF(C4550="","",IFERROR(INDEX(art_des,MATCH(C4550,art_ref,0))&amp;"","Référence inconnue"))</f>
        <v/>
      </c>
      <c r="E4550" s="37" t="n"/>
      <c r="F4550" s="39" t="str">
        <f>IF(C4550="","",IFERROR(INDEX(art_unit,MATCH(C4550,art_ref,0))&amp;"",""))</f>
        <v/>
      </c>
      <c r="G4550" s="37" t="n"/>
      <c r="H4550" s="37" t="n"/>
      <c r="I4550" s="37" t="n"/>
      <c r="J4550" s="40" t="str">
        <f>IF(OR(C4550="",NOT(ISNUMBER(E4550))),"",IFERROR(E4550*N(INDEX(art_price,MATCH(C4550,art_ref,0))),""))</f>
        <v/>
      </c>
      <c r="K4550" s="39" t="str">
        <f>IF(OR(C4550="",NOT(ISNUMBER(E4550))),"",IFERROR(ROUND(N(INDEX(art_init,MATCH(C4550,art_ref,0)))+SUMIFS($E$5:E4550,$C$5:C4550,C4550,$B$5:B4550,"Entrée")-SUMIFS($E$5:E4550,$C$5:C4550,C4550,$B$5:B4550,"Sortie"),6),""))</f>
        <v/>
      </c>
      <c r="L4550" s="39" t="str">
        <f>IF(COUNTA(A4550:C4550,E4550)=0,"",IF(COUNTA(A4550:C4550,E4550)&lt;4,"Ligne incomplète",IF(NOT(ISNUMBER(A4550)),"Date invalide",IF(AND(B4550&lt;&gt;"Entrée",B4550&lt;&gt;"Sortie"),"Type inconnu",IF(ISNA(MATCH(C4550,art_ref,0)),"Référence inconnue",IF(OR(NOT(ISNUMBER(E4550)),N(E4550)&lt;=0),"Quantité invalide",IF(K4550&lt;0,"Stock négatif",IF(AND(ISNUMBER(A4549),A4550&lt;A4549),"Date hors ordre","OK"))))))))</f>
        <v/>
      </c>
      <c r="M4550" s="39" t="str">
        <f>IF(C4550="","",C4550&amp;"#"&amp;COUNTIF($C$5:C4550,C4550))</f>
        <v/>
      </c>
    </row>
    <row r="4551">
      <c r="A4551" s="41" t="n"/>
      <c r="B4551" s="37" t="n"/>
      <c r="C4551" s="37" t="n"/>
      <c r="D4551" s="39" t="str">
        <f>IF(C4551="","",IFERROR(INDEX(art_des,MATCH(C4551,art_ref,0))&amp;"","Référence inconnue"))</f>
        <v/>
      </c>
      <c r="E4551" s="37" t="n"/>
      <c r="F4551" s="39" t="str">
        <f>IF(C4551="","",IFERROR(INDEX(art_unit,MATCH(C4551,art_ref,0))&amp;"",""))</f>
        <v/>
      </c>
      <c r="G4551" s="37" t="n"/>
      <c r="H4551" s="37" t="n"/>
      <c r="I4551" s="37" t="n"/>
      <c r="J4551" s="40" t="str">
        <f>IF(OR(C4551="",NOT(ISNUMBER(E4551))),"",IFERROR(E4551*N(INDEX(art_price,MATCH(C4551,art_ref,0))),""))</f>
        <v/>
      </c>
      <c r="K4551" s="39" t="str">
        <f>IF(OR(C4551="",NOT(ISNUMBER(E4551))),"",IFERROR(ROUND(N(INDEX(art_init,MATCH(C4551,art_ref,0)))+SUMIFS($E$5:E4551,$C$5:C4551,C4551,$B$5:B4551,"Entrée")-SUMIFS($E$5:E4551,$C$5:C4551,C4551,$B$5:B4551,"Sortie"),6),""))</f>
        <v/>
      </c>
      <c r="L4551" s="39" t="str">
        <f>IF(COUNTA(A4551:C4551,E4551)=0,"",IF(COUNTA(A4551:C4551,E4551)&lt;4,"Ligne incomplète",IF(NOT(ISNUMBER(A4551)),"Date invalide",IF(AND(B4551&lt;&gt;"Entrée",B4551&lt;&gt;"Sortie"),"Type inconnu",IF(ISNA(MATCH(C4551,art_ref,0)),"Référence inconnue",IF(OR(NOT(ISNUMBER(E4551)),N(E4551)&lt;=0),"Quantité invalide",IF(K4551&lt;0,"Stock négatif",IF(AND(ISNUMBER(A4550),A4551&lt;A4550),"Date hors ordre","OK"))))))))</f>
        <v/>
      </c>
      <c r="M4551" s="39" t="str">
        <f>IF(C4551="","",C4551&amp;"#"&amp;COUNTIF($C$5:C4551,C4551))</f>
        <v/>
      </c>
    </row>
    <row r="4552">
      <c r="A4552" s="41" t="n"/>
      <c r="B4552" s="37" t="n"/>
      <c r="C4552" s="37" t="n"/>
      <c r="D4552" s="39" t="str">
        <f>IF(C4552="","",IFERROR(INDEX(art_des,MATCH(C4552,art_ref,0))&amp;"","Référence inconnue"))</f>
        <v/>
      </c>
      <c r="E4552" s="37" t="n"/>
      <c r="F4552" s="39" t="str">
        <f>IF(C4552="","",IFERROR(INDEX(art_unit,MATCH(C4552,art_ref,0))&amp;"",""))</f>
        <v/>
      </c>
      <c r="G4552" s="37" t="n"/>
      <c r="H4552" s="37" t="n"/>
      <c r="I4552" s="37" t="n"/>
      <c r="J4552" s="40" t="str">
        <f>IF(OR(C4552="",NOT(ISNUMBER(E4552))),"",IFERROR(E4552*N(INDEX(art_price,MATCH(C4552,art_ref,0))),""))</f>
        <v/>
      </c>
      <c r="K4552" s="39" t="str">
        <f>IF(OR(C4552="",NOT(ISNUMBER(E4552))),"",IFERROR(ROUND(N(INDEX(art_init,MATCH(C4552,art_ref,0)))+SUMIFS($E$5:E4552,$C$5:C4552,C4552,$B$5:B4552,"Entrée")-SUMIFS($E$5:E4552,$C$5:C4552,C4552,$B$5:B4552,"Sortie"),6),""))</f>
        <v/>
      </c>
      <c r="L4552" s="39" t="str">
        <f>IF(COUNTA(A4552:C4552,E4552)=0,"",IF(COUNTA(A4552:C4552,E4552)&lt;4,"Ligne incomplète",IF(NOT(ISNUMBER(A4552)),"Date invalide",IF(AND(B4552&lt;&gt;"Entrée",B4552&lt;&gt;"Sortie"),"Type inconnu",IF(ISNA(MATCH(C4552,art_ref,0)),"Référence inconnue",IF(OR(NOT(ISNUMBER(E4552)),N(E4552)&lt;=0),"Quantité invalide",IF(K4552&lt;0,"Stock négatif",IF(AND(ISNUMBER(A4551),A4552&lt;A4551),"Date hors ordre","OK"))))))))</f>
        <v/>
      </c>
      <c r="M4552" s="39" t="str">
        <f>IF(C4552="","",C4552&amp;"#"&amp;COUNTIF($C$5:C4552,C4552))</f>
        <v/>
      </c>
    </row>
    <row r="4553">
      <c r="A4553" s="41" t="n"/>
      <c r="B4553" s="37" t="n"/>
      <c r="C4553" s="37" t="n"/>
      <c r="D4553" s="39" t="str">
        <f>IF(C4553="","",IFERROR(INDEX(art_des,MATCH(C4553,art_ref,0))&amp;"","Référence inconnue"))</f>
        <v/>
      </c>
      <c r="E4553" s="37" t="n"/>
      <c r="F4553" s="39" t="str">
        <f>IF(C4553="","",IFERROR(INDEX(art_unit,MATCH(C4553,art_ref,0))&amp;"",""))</f>
        <v/>
      </c>
      <c r="G4553" s="37" t="n"/>
      <c r="H4553" s="37" t="n"/>
      <c r="I4553" s="37" t="n"/>
      <c r="J4553" s="40" t="str">
        <f>IF(OR(C4553="",NOT(ISNUMBER(E4553))),"",IFERROR(E4553*N(INDEX(art_price,MATCH(C4553,art_ref,0))),""))</f>
        <v/>
      </c>
      <c r="K4553" s="39" t="str">
        <f>IF(OR(C4553="",NOT(ISNUMBER(E4553))),"",IFERROR(ROUND(N(INDEX(art_init,MATCH(C4553,art_ref,0)))+SUMIFS($E$5:E4553,$C$5:C4553,C4553,$B$5:B4553,"Entrée")-SUMIFS($E$5:E4553,$C$5:C4553,C4553,$B$5:B4553,"Sortie"),6),""))</f>
        <v/>
      </c>
      <c r="L4553" s="39" t="str">
        <f>IF(COUNTA(A4553:C4553,E4553)=0,"",IF(COUNTA(A4553:C4553,E4553)&lt;4,"Ligne incomplète",IF(NOT(ISNUMBER(A4553)),"Date invalide",IF(AND(B4553&lt;&gt;"Entrée",B4553&lt;&gt;"Sortie"),"Type inconnu",IF(ISNA(MATCH(C4553,art_ref,0)),"Référence inconnue",IF(OR(NOT(ISNUMBER(E4553)),N(E4553)&lt;=0),"Quantité invalide",IF(K4553&lt;0,"Stock négatif",IF(AND(ISNUMBER(A4552),A4553&lt;A4552),"Date hors ordre","OK"))))))))</f>
        <v/>
      </c>
      <c r="M4553" s="39" t="str">
        <f>IF(C4553="","",C4553&amp;"#"&amp;COUNTIF($C$5:C4553,C4553))</f>
        <v/>
      </c>
    </row>
    <row r="4554">
      <c r="A4554" s="41" t="n"/>
      <c r="B4554" s="37" t="n"/>
      <c r="C4554" s="37" t="n"/>
      <c r="D4554" s="39" t="str">
        <f>IF(C4554="","",IFERROR(INDEX(art_des,MATCH(C4554,art_ref,0))&amp;"","Référence inconnue"))</f>
        <v/>
      </c>
      <c r="E4554" s="37" t="n"/>
      <c r="F4554" s="39" t="str">
        <f>IF(C4554="","",IFERROR(INDEX(art_unit,MATCH(C4554,art_ref,0))&amp;"",""))</f>
        <v/>
      </c>
      <c r="G4554" s="37" t="n"/>
      <c r="H4554" s="37" t="n"/>
      <c r="I4554" s="37" t="n"/>
      <c r="J4554" s="40" t="str">
        <f>IF(OR(C4554="",NOT(ISNUMBER(E4554))),"",IFERROR(E4554*N(INDEX(art_price,MATCH(C4554,art_ref,0))),""))</f>
        <v/>
      </c>
      <c r="K4554" s="39" t="str">
        <f>IF(OR(C4554="",NOT(ISNUMBER(E4554))),"",IFERROR(ROUND(N(INDEX(art_init,MATCH(C4554,art_ref,0)))+SUMIFS($E$5:E4554,$C$5:C4554,C4554,$B$5:B4554,"Entrée")-SUMIFS($E$5:E4554,$C$5:C4554,C4554,$B$5:B4554,"Sortie"),6),""))</f>
        <v/>
      </c>
      <c r="L4554" s="39" t="str">
        <f>IF(COUNTA(A4554:C4554,E4554)=0,"",IF(COUNTA(A4554:C4554,E4554)&lt;4,"Ligne incomplète",IF(NOT(ISNUMBER(A4554)),"Date invalide",IF(AND(B4554&lt;&gt;"Entrée",B4554&lt;&gt;"Sortie"),"Type inconnu",IF(ISNA(MATCH(C4554,art_ref,0)),"Référence inconnue",IF(OR(NOT(ISNUMBER(E4554)),N(E4554)&lt;=0),"Quantité invalide",IF(K4554&lt;0,"Stock négatif",IF(AND(ISNUMBER(A4553),A4554&lt;A4553),"Date hors ordre","OK"))))))))</f>
        <v/>
      </c>
      <c r="M4554" s="39" t="str">
        <f>IF(C4554="","",C4554&amp;"#"&amp;COUNTIF($C$5:C4554,C4554))</f>
        <v/>
      </c>
    </row>
    <row r="4555">
      <c r="A4555" s="41" t="n"/>
      <c r="B4555" s="37" t="n"/>
      <c r="C4555" s="37" t="n"/>
      <c r="D4555" s="39" t="str">
        <f>IF(C4555="","",IFERROR(INDEX(art_des,MATCH(C4555,art_ref,0))&amp;"","Référence inconnue"))</f>
        <v/>
      </c>
      <c r="E4555" s="37" t="n"/>
      <c r="F4555" s="39" t="str">
        <f>IF(C4555="","",IFERROR(INDEX(art_unit,MATCH(C4555,art_ref,0))&amp;"",""))</f>
        <v/>
      </c>
      <c r="G4555" s="37" t="n"/>
      <c r="H4555" s="37" t="n"/>
      <c r="I4555" s="37" t="n"/>
      <c r="J4555" s="40" t="str">
        <f>IF(OR(C4555="",NOT(ISNUMBER(E4555))),"",IFERROR(E4555*N(INDEX(art_price,MATCH(C4555,art_ref,0))),""))</f>
        <v/>
      </c>
      <c r="K4555" s="39" t="str">
        <f>IF(OR(C4555="",NOT(ISNUMBER(E4555))),"",IFERROR(ROUND(N(INDEX(art_init,MATCH(C4555,art_ref,0)))+SUMIFS($E$5:E4555,$C$5:C4555,C4555,$B$5:B4555,"Entrée")-SUMIFS($E$5:E4555,$C$5:C4555,C4555,$B$5:B4555,"Sortie"),6),""))</f>
        <v/>
      </c>
      <c r="L4555" s="39" t="str">
        <f>IF(COUNTA(A4555:C4555,E4555)=0,"",IF(COUNTA(A4555:C4555,E4555)&lt;4,"Ligne incomplète",IF(NOT(ISNUMBER(A4555)),"Date invalide",IF(AND(B4555&lt;&gt;"Entrée",B4555&lt;&gt;"Sortie"),"Type inconnu",IF(ISNA(MATCH(C4555,art_ref,0)),"Référence inconnue",IF(OR(NOT(ISNUMBER(E4555)),N(E4555)&lt;=0),"Quantité invalide",IF(K4555&lt;0,"Stock négatif",IF(AND(ISNUMBER(A4554),A4555&lt;A4554),"Date hors ordre","OK"))))))))</f>
        <v/>
      </c>
      <c r="M4555" s="39" t="str">
        <f>IF(C4555="","",C4555&amp;"#"&amp;COUNTIF($C$5:C4555,C4555))</f>
        <v/>
      </c>
    </row>
    <row r="4556">
      <c r="A4556" s="41" t="n"/>
      <c r="B4556" s="37" t="n"/>
      <c r="C4556" s="37" t="n"/>
      <c r="D4556" s="39" t="str">
        <f>IF(C4556="","",IFERROR(INDEX(art_des,MATCH(C4556,art_ref,0))&amp;"","Référence inconnue"))</f>
        <v/>
      </c>
      <c r="E4556" s="37" t="n"/>
      <c r="F4556" s="39" t="str">
        <f>IF(C4556="","",IFERROR(INDEX(art_unit,MATCH(C4556,art_ref,0))&amp;"",""))</f>
        <v/>
      </c>
      <c r="G4556" s="37" t="n"/>
      <c r="H4556" s="37" t="n"/>
      <c r="I4556" s="37" t="n"/>
      <c r="J4556" s="40" t="str">
        <f>IF(OR(C4556="",NOT(ISNUMBER(E4556))),"",IFERROR(E4556*N(INDEX(art_price,MATCH(C4556,art_ref,0))),""))</f>
        <v/>
      </c>
      <c r="K4556" s="39" t="str">
        <f>IF(OR(C4556="",NOT(ISNUMBER(E4556))),"",IFERROR(ROUND(N(INDEX(art_init,MATCH(C4556,art_ref,0)))+SUMIFS($E$5:E4556,$C$5:C4556,C4556,$B$5:B4556,"Entrée")-SUMIFS($E$5:E4556,$C$5:C4556,C4556,$B$5:B4556,"Sortie"),6),""))</f>
        <v/>
      </c>
      <c r="L4556" s="39" t="str">
        <f>IF(COUNTA(A4556:C4556,E4556)=0,"",IF(COUNTA(A4556:C4556,E4556)&lt;4,"Ligne incomplète",IF(NOT(ISNUMBER(A4556)),"Date invalide",IF(AND(B4556&lt;&gt;"Entrée",B4556&lt;&gt;"Sortie"),"Type inconnu",IF(ISNA(MATCH(C4556,art_ref,0)),"Référence inconnue",IF(OR(NOT(ISNUMBER(E4556)),N(E4556)&lt;=0),"Quantité invalide",IF(K4556&lt;0,"Stock négatif",IF(AND(ISNUMBER(A4555),A4556&lt;A4555),"Date hors ordre","OK"))))))))</f>
        <v/>
      </c>
      <c r="M4556" s="39" t="str">
        <f>IF(C4556="","",C4556&amp;"#"&amp;COUNTIF($C$5:C4556,C4556))</f>
        <v/>
      </c>
    </row>
    <row r="4557">
      <c r="A4557" s="41" t="n"/>
      <c r="B4557" s="37" t="n"/>
      <c r="C4557" s="37" t="n"/>
      <c r="D4557" s="39" t="str">
        <f>IF(C4557="","",IFERROR(INDEX(art_des,MATCH(C4557,art_ref,0))&amp;"","Référence inconnue"))</f>
        <v/>
      </c>
      <c r="E4557" s="37" t="n"/>
      <c r="F4557" s="39" t="str">
        <f>IF(C4557="","",IFERROR(INDEX(art_unit,MATCH(C4557,art_ref,0))&amp;"",""))</f>
        <v/>
      </c>
      <c r="G4557" s="37" t="n"/>
      <c r="H4557" s="37" t="n"/>
      <c r="I4557" s="37" t="n"/>
      <c r="J4557" s="40" t="str">
        <f>IF(OR(C4557="",NOT(ISNUMBER(E4557))),"",IFERROR(E4557*N(INDEX(art_price,MATCH(C4557,art_ref,0))),""))</f>
        <v/>
      </c>
      <c r="K4557" s="39" t="str">
        <f>IF(OR(C4557="",NOT(ISNUMBER(E4557))),"",IFERROR(ROUND(N(INDEX(art_init,MATCH(C4557,art_ref,0)))+SUMIFS($E$5:E4557,$C$5:C4557,C4557,$B$5:B4557,"Entrée")-SUMIFS($E$5:E4557,$C$5:C4557,C4557,$B$5:B4557,"Sortie"),6),""))</f>
        <v/>
      </c>
      <c r="L4557" s="39" t="str">
        <f>IF(COUNTA(A4557:C4557,E4557)=0,"",IF(COUNTA(A4557:C4557,E4557)&lt;4,"Ligne incomplète",IF(NOT(ISNUMBER(A4557)),"Date invalide",IF(AND(B4557&lt;&gt;"Entrée",B4557&lt;&gt;"Sortie"),"Type inconnu",IF(ISNA(MATCH(C4557,art_ref,0)),"Référence inconnue",IF(OR(NOT(ISNUMBER(E4557)),N(E4557)&lt;=0),"Quantité invalide",IF(K4557&lt;0,"Stock négatif",IF(AND(ISNUMBER(A4556),A4557&lt;A4556),"Date hors ordre","OK"))))))))</f>
        <v/>
      </c>
      <c r="M4557" s="39" t="str">
        <f>IF(C4557="","",C4557&amp;"#"&amp;COUNTIF($C$5:C4557,C4557))</f>
        <v/>
      </c>
    </row>
    <row r="4558">
      <c r="A4558" s="41" t="n"/>
      <c r="B4558" s="37" t="n"/>
      <c r="C4558" s="37" t="n"/>
      <c r="D4558" s="39" t="str">
        <f>IF(C4558="","",IFERROR(INDEX(art_des,MATCH(C4558,art_ref,0))&amp;"","Référence inconnue"))</f>
        <v/>
      </c>
      <c r="E4558" s="37" t="n"/>
      <c r="F4558" s="39" t="str">
        <f>IF(C4558="","",IFERROR(INDEX(art_unit,MATCH(C4558,art_ref,0))&amp;"",""))</f>
        <v/>
      </c>
      <c r="G4558" s="37" t="n"/>
      <c r="H4558" s="37" t="n"/>
      <c r="I4558" s="37" t="n"/>
      <c r="J4558" s="40" t="str">
        <f>IF(OR(C4558="",NOT(ISNUMBER(E4558))),"",IFERROR(E4558*N(INDEX(art_price,MATCH(C4558,art_ref,0))),""))</f>
        <v/>
      </c>
      <c r="K4558" s="39" t="str">
        <f>IF(OR(C4558="",NOT(ISNUMBER(E4558))),"",IFERROR(ROUND(N(INDEX(art_init,MATCH(C4558,art_ref,0)))+SUMIFS($E$5:E4558,$C$5:C4558,C4558,$B$5:B4558,"Entrée")-SUMIFS($E$5:E4558,$C$5:C4558,C4558,$B$5:B4558,"Sortie"),6),""))</f>
        <v/>
      </c>
      <c r="L4558" s="39" t="str">
        <f>IF(COUNTA(A4558:C4558,E4558)=0,"",IF(COUNTA(A4558:C4558,E4558)&lt;4,"Ligne incomplète",IF(NOT(ISNUMBER(A4558)),"Date invalide",IF(AND(B4558&lt;&gt;"Entrée",B4558&lt;&gt;"Sortie"),"Type inconnu",IF(ISNA(MATCH(C4558,art_ref,0)),"Référence inconnue",IF(OR(NOT(ISNUMBER(E4558)),N(E4558)&lt;=0),"Quantité invalide",IF(K4558&lt;0,"Stock négatif",IF(AND(ISNUMBER(A4557),A4558&lt;A4557),"Date hors ordre","OK"))))))))</f>
        <v/>
      </c>
      <c r="M4558" s="39" t="str">
        <f>IF(C4558="","",C4558&amp;"#"&amp;COUNTIF($C$5:C4558,C4558))</f>
        <v/>
      </c>
    </row>
    <row r="4559">
      <c r="A4559" s="41" t="n"/>
      <c r="B4559" s="37" t="n"/>
      <c r="C4559" s="37" t="n"/>
      <c r="D4559" s="39" t="str">
        <f>IF(C4559="","",IFERROR(INDEX(art_des,MATCH(C4559,art_ref,0))&amp;"","Référence inconnue"))</f>
        <v/>
      </c>
      <c r="E4559" s="37" t="n"/>
      <c r="F4559" s="39" t="str">
        <f>IF(C4559="","",IFERROR(INDEX(art_unit,MATCH(C4559,art_ref,0))&amp;"",""))</f>
        <v/>
      </c>
      <c r="G4559" s="37" t="n"/>
      <c r="H4559" s="37" t="n"/>
      <c r="I4559" s="37" t="n"/>
      <c r="J4559" s="40" t="str">
        <f>IF(OR(C4559="",NOT(ISNUMBER(E4559))),"",IFERROR(E4559*N(INDEX(art_price,MATCH(C4559,art_ref,0))),""))</f>
        <v/>
      </c>
      <c r="K4559" s="39" t="str">
        <f>IF(OR(C4559="",NOT(ISNUMBER(E4559))),"",IFERROR(ROUND(N(INDEX(art_init,MATCH(C4559,art_ref,0)))+SUMIFS($E$5:E4559,$C$5:C4559,C4559,$B$5:B4559,"Entrée")-SUMIFS($E$5:E4559,$C$5:C4559,C4559,$B$5:B4559,"Sortie"),6),""))</f>
        <v/>
      </c>
      <c r="L4559" s="39" t="str">
        <f>IF(COUNTA(A4559:C4559,E4559)=0,"",IF(COUNTA(A4559:C4559,E4559)&lt;4,"Ligne incomplète",IF(NOT(ISNUMBER(A4559)),"Date invalide",IF(AND(B4559&lt;&gt;"Entrée",B4559&lt;&gt;"Sortie"),"Type inconnu",IF(ISNA(MATCH(C4559,art_ref,0)),"Référence inconnue",IF(OR(NOT(ISNUMBER(E4559)),N(E4559)&lt;=0),"Quantité invalide",IF(K4559&lt;0,"Stock négatif",IF(AND(ISNUMBER(A4558),A4559&lt;A4558),"Date hors ordre","OK"))))))))</f>
        <v/>
      </c>
      <c r="M4559" s="39" t="str">
        <f>IF(C4559="","",C4559&amp;"#"&amp;COUNTIF($C$5:C4559,C4559))</f>
        <v/>
      </c>
    </row>
    <row r="4560">
      <c r="A4560" s="41" t="n"/>
      <c r="B4560" s="37" t="n"/>
      <c r="C4560" s="37" t="n"/>
      <c r="D4560" s="39" t="str">
        <f>IF(C4560="","",IFERROR(INDEX(art_des,MATCH(C4560,art_ref,0))&amp;"","Référence inconnue"))</f>
        <v/>
      </c>
      <c r="E4560" s="37" t="n"/>
      <c r="F4560" s="39" t="str">
        <f>IF(C4560="","",IFERROR(INDEX(art_unit,MATCH(C4560,art_ref,0))&amp;"",""))</f>
        <v/>
      </c>
      <c r="G4560" s="37" t="n"/>
      <c r="H4560" s="37" t="n"/>
      <c r="I4560" s="37" t="n"/>
      <c r="J4560" s="40" t="str">
        <f>IF(OR(C4560="",NOT(ISNUMBER(E4560))),"",IFERROR(E4560*N(INDEX(art_price,MATCH(C4560,art_ref,0))),""))</f>
        <v/>
      </c>
      <c r="K4560" s="39" t="str">
        <f>IF(OR(C4560="",NOT(ISNUMBER(E4560))),"",IFERROR(ROUND(N(INDEX(art_init,MATCH(C4560,art_ref,0)))+SUMIFS($E$5:E4560,$C$5:C4560,C4560,$B$5:B4560,"Entrée")-SUMIFS($E$5:E4560,$C$5:C4560,C4560,$B$5:B4560,"Sortie"),6),""))</f>
        <v/>
      </c>
      <c r="L4560" s="39" t="str">
        <f>IF(COUNTA(A4560:C4560,E4560)=0,"",IF(COUNTA(A4560:C4560,E4560)&lt;4,"Ligne incomplète",IF(NOT(ISNUMBER(A4560)),"Date invalide",IF(AND(B4560&lt;&gt;"Entrée",B4560&lt;&gt;"Sortie"),"Type inconnu",IF(ISNA(MATCH(C4560,art_ref,0)),"Référence inconnue",IF(OR(NOT(ISNUMBER(E4560)),N(E4560)&lt;=0),"Quantité invalide",IF(K4560&lt;0,"Stock négatif",IF(AND(ISNUMBER(A4559),A4560&lt;A4559),"Date hors ordre","OK"))))))))</f>
        <v/>
      </c>
      <c r="M4560" s="39" t="str">
        <f>IF(C4560="","",C4560&amp;"#"&amp;COUNTIF($C$5:C4560,C4560))</f>
        <v/>
      </c>
    </row>
    <row r="4561">
      <c r="A4561" s="41" t="n"/>
      <c r="B4561" s="37" t="n"/>
      <c r="C4561" s="37" t="n"/>
      <c r="D4561" s="39" t="str">
        <f>IF(C4561="","",IFERROR(INDEX(art_des,MATCH(C4561,art_ref,0))&amp;"","Référence inconnue"))</f>
        <v/>
      </c>
      <c r="E4561" s="37" t="n"/>
      <c r="F4561" s="39" t="str">
        <f>IF(C4561="","",IFERROR(INDEX(art_unit,MATCH(C4561,art_ref,0))&amp;"",""))</f>
        <v/>
      </c>
      <c r="G4561" s="37" t="n"/>
      <c r="H4561" s="37" t="n"/>
      <c r="I4561" s="37" t="n"/>
      <c r="J4561" s="40" t="str">
        <f>IF(OR(C4561="",NOT(ISNUMBER(E4561))),"",IFERROR(E4561*N(INDEX(art_price,MATCH(C4561,art_ref,0))),""))</f>
        <v/>
      </c>
      <c r="K4561" s="39" t="str">
        <f>IF(OR(C4561="",NOT(ISNUMBER(E4561))),"",IFERROR(ROUND(N(INDEX(art_init,MATCH(C4561,art_ref,0)))+SUMIFS($E$5:E4561,$C$5:C4561,C4561,$B$5:B4561,"Entrée")-SUMIFS($E$5:E4561,$C$5:C4561,C4561,$B$5:B4561,"Sortie"),6),""))</f>
        <v/>
      </c>
      <c r="L4561" s="39" t="str">
        <f>IF(COUNTA(A4561:C4561,E4561)=0,"",IF(COUNTA(A4561:C4561,E4561)&lt;4,"Ligne incomplète",IF(NOT(ISNUMBER(A4561)),"Date invalide",IF(AND(B4561&lt;&gt;"Entrée",B4561&lt;&gt;"Sortie"),"Type inconnu",IF(ISNA(MATCH(C4561,art_ref,0)),"Référence inconnue",IF(OR(NOT(ISNUMBER(E4561)),N(E4561)&lt;=0),"Quantité invalide",IF(K4561&lt;0,"Stock négatif",IF(AND(ISNUMBER(A4560),A4561&lt;A4560),"Date hors ordre","OK"))))))))</f>
        <v/>
      </c>
      <c r="M4561" s="39" t="str">
        <f>IF(C4561="","",C4561&amp;"#"&amp;COUNTIF($C$5:C4561,C4561))</f>
        <v/>
      </c>
    </row>
    <row r="4562">
      <c r="A4562" s="41" t="n"/>
      <c r="B4562" s="37" t="n"/>
      <c r="C4562" s="37" t="n"/>
      <c r="D4562" s="39" t="str">
        <f>IF(C4562="","",IFERROR(INDEX(art_des,MATCH(C4562,art_ref,0))&amp;"","Référence inconnue"))</f>
        <v/>
      </c>
      <c r="E4562" s="37" t="n"/>
      <c r="F4562" s="39" t="str">
        <f>IF(C4562="","",IFERROR(INDEX(art_unit,MATCH(C4562,art_ref,0))&amp;"",""))</f>
        <v/>
      </c>
      <c r="G4562" s="37" t="n"/>
      <c r="H4562" s="37" t="n"/>
      <c r="I4562" s="37" t="n"/>
      <c r="J4562" s="40" t="str">
        <f>IF(OR(C4562="",NOT(ISNUMBER(E4562))),"",IFERROR(E4562*N(INDEX(art_price,MATCH(C4562,art_ref,0))),""))</f>
        <v/>
      </c>
      <c r="K4562" s="39" t="str">
        <f>IF(OR(C4562="",NOT(ISNUMBER(E4562))),"",IFERROR(ROUND(N(INDEX(art_init,MATCH(C4562,art_ref,0)))+SUMIFS($E$5:E4562,$C$5:C4562,C4562,$B$5:B4562,"Entrée")-SUMIFS($E$5:E4562,$C$5:C4562,C4562,$B$5:B4562,"Sortie"),6),""))</f>
        <v/>
      </c>
      <c r="L4562" s="39" t="str">
        <f>IF(COUNTA(A4562:C4562,E4562)=0,"",IF(COUNTA(A4562:C4562,E4562)&lt;4,"Ligne incomplète",IF(NOT(ISNUMBER(A4562)),"Date invalide",IF(AND(B4562&lt;&gt;"Entrée",B4562&lt;&gt;"Sortie"),"Type inconnu",IF(ISNA(MATCH(C4562,art_ref,0)),"Référence inconnue",IF(OR(NOT(ISNUMBER(E4562)),N(E4562)&lt;=0),"Quantité invalide",IF(K4562&lt;0,"Stock négatif",IF(AND(ISNUMBER(A4561),A4562&lt;A4561),"Date hors ordre","OK"))))))))</f>
        <v/>
      </c>
      <c r="M4562" s="39" t="str">
        <f>IF(C4562="","",C4562&amp;"#"&amp;COUNTIF($C$5:C4562,C4562))</f>
        <v/>
      </c>
    </row>
    <row r="4563">
      <c r="A4563" s="41" t="n"/>
      <c r="B4563" s="37" t="n"/>
      <c r="C4563" s="37" t="n"/>
      <c r="D4563" s="39" t="str">
        <f>IF(C4563="","",IFERROR(INDEX(art_des,MATCH(C4563,art_ref,0))&amp;"","Référence inconnue"))</f>
        <v/>
      </c>
      <c r="E4563" s="37" t="n"/>
      <c r="F4563" s="39" t="str">
        <f>IF(C4563="","",IFERROR(INDEX(art_unit,MATCH(C4563,art_ref,0))&amp;"",""))</f>
        <v/>
      </c>
      <c r="G4563" s="37" t="n"/>
      <c r="H4563" s="37" t="n"/>
      <c r="I4563" s="37" t="n"/>
      <c r="J4563" s="40" t="str">
        <f>IF(OR(C4563="",NOT(ISNUMBER(E4563))),"",IFERROR(E4563*N(INDEX(art_price,MATCH(C4563,art_ref,0))),""))</f>
        <v/>
      </c>
      <c r="K4563" s="39" t="str">
        <f>IF(OR(C4563="",NOT(ISNUMBER(E4563))),"",IFERROR(ROUND(N(INDEX(art_init,MATCH(C4563,art_ref,0)))+SUMIFS($E$5:E4563,$C$5:C4563,C4563,$B$5:B4563,"Entrée")-SUMIFS($E$5:E4563,$C$5:C4563,C4563,$B$5:B4563,"Sortie"),6),""))</f>
        <v/>
      </c>
      <c r="L4563" s="39" t="str">
        <f>IF(COUNTA(A4563:C4563,E4563)=0,"",IF(COUNTA(A4563:C4563,E4563)&lt;4,"Ligne incomplète",IF(NOT(ISNUMBER(A4563)),"Date invalide",IF(AND(B4563&lt;&gt;"Entrée",B4563&lt;&gt;"Sortie"),"Type inconnu",IF(ISNA(MATCH(C4563,art_ref,0)),"Référence inconnue",IF(OR(NOT(ISNUMBER(E4563)),N(E4563)&lt;=0),"Quantité invalide",IF(K4563&lt;0,"Stock négatif",IF(AND(ISNUMBER(A4562),A4563&lt;A4562),"Date hors ordre","OK"))))))))</f>
        <v/>
      </c>
      <c r="M4563" s="39" t="str">
        <f>IF(C4563="","",C4563&amp;"#"&amp;COUNTIF($C$5:C4563,C4563))</f>
        <v/>
      </c>
    </row>
    <row r="4564">
      <c r="A4564" s="41" t="n"/>
      <c r="B4564" s="37" t="n"/>
      <c r="C4564" s="37" t="n"/>
      <c r="D4564" s="39" t="str">
        <f>IF(C4564="","",IFERROR(INDEX(art_des,MATCH(C4564,art_ref,0))&amp;"","Référence inconnue"))</f>
        <v/>
      </c>
      <c r="E4564" s="37" t="n"/>
      <c r="F4564" s="39" t="str">
        <f>IF(C4564="","",IFERROR(INDEX(art_unit,MATCH(C4564,art_ref,0))&amp;"",""))</f>
        <v/>
      </c>
      <c r="G4564" s="37" t="n"/>
      <c r="H4564" s="37" t="n"/>
      <c r="I4564" s="37" t="n"/>
      <c r="J4564" s="40" t="str">
        <f>IF(OR(C4564="",NOT(ISNUMBER(E4564))),"",IFERROR(E4564*N(INDEX(art_price,MATCH(C4564,art_ref,0))),""))</f>
        <v/>
      </c>
      <c r="K4564" s="39" t="str">
        <f>IF(OR(C4564="",NOT(ISNUMBER(E4564))),"",IFERROR(ROUND(N(INDEX(art_init,MATCH(C4564,art_ref,0)))+SUMIFS($E$5:E4564,$C$5:C4564,C4564,$B$5:B4564,"Entrée")-SUMIFS($E$5:E4564,$C$5:C4564,C4564,$B$5:B4564,"Sortie"),6),""))</f>
        <v/>
      </c>
      <c r="L4564" s="39" t="str">
        <f>IF(COUNTA(A4564:C4564,E4564)=0,"",IF(COUNTA(A4564:C4564,E4564)&lt;4,"Ligne incomplète",IF(NOT(ISNUMBER(A4564)),"Date invalide",IF(AND(B4564&lt;&gt;"Entrée",B4564&lt;&gt;"Sortie"),"Type inconnu",IF(ISNA(MATCH(C4564,art_ref,0)),"Référence inconnue",IF(OR(NOT(ISNUMBER(E4564)),N(E4564)&lt;=0),"Quantité invalide",IF(K4564&lt;0,"Stock négatif",IF(AND(ISNUMBER(A4563),A4564&lt;A4563),"Date hors ordre","OK"))))))))</f>
        <v/>
      </c>
      <c r="M4564" s="39" t="str">
        <f>IF(C4564="","",C4564&amp;"#"&amp;COUNTIF($C$5:C4564,C4564))</f>
        <v/>
      </c>
    </row>
    <row r="4565">
      <c r="A4565" s="41" t="n"/>
      <c r="B4565" s="37" t="n"/>
      <c r="C4565" s="37" t="n"/>
      <c r="D4565" s="39" t="str">
        <f>IF(C4565="","",IFERROR(INDEX(art_des,MATCH(C4565,art_ref,0))&amp;"","Référence inconnue"))</f>
        <v/>
      </c>
      <c r="E4565" s="37" t="n"/>
      <c r="F4565" s="39" t="str">
        <f>IF(C4565="","",IFERROR(INDEX(art_unit,MATCH(C4565,art_ref,0))&amp;"",""))</f>
        <v/>
      </c>
      <c r="G4565" s="37" t="n"/>
      <c r="H4565" s="37" t="n"/>
      <c r="I4565" s="37" t="n"/>
      <c r="J4565" s="40" t="str">
        <f>IF(OR(C4565="",NOT(ISNUMBER(E4565))),"",IFERROR(E4565*N(INDEX(art_price,MATCH(C4565,art_ref,0))),""))</f>
        <v/>
      </c>
      <c r="K4565" s="39" t="str">
        <f>IF(OR(C4565="",NOT(ISNUMBER(E4565))),"",IFERROR(ROUND(N(INDEX(art_init,MATCH(C4565,art_ref,0)))+SUMIFS($E$5:E4565,$C$5:C4565,C4565,$B$5:B4565,"Entrée")-SUMIFS($E$5:E4565,$C$5:C4565,C4565,$B$5:B4565,"Sortie"),6),""))</f>
        <v/>
      </c>
      <c r="L4565" s="39" t="str">
        <f>IF(COUNTA(A4565:C4565,E4565)=0,"",IF(COUNTA(A4565:C4565,E4565)&lt;4,"Ligne incomplète",IF(NOT(ISNUMBER(A4565)),"Date invalide",IF(AND(B4565&lt;&gt;"Entrée",B4565&lt;&gt;"Sortie"),"Type inconnu",IF(ISNA(MATCH(C4565,art_ref,0)),"Référence inconnue",IF(OR(NOT(ISNUMBER(E4565)),N(E4565)&lt;=0),"Quantité invalide",IF(K4565&lt;0,"Stock négatif",IF(AND(ISNUMBER(A4564),A4565&lt;A4564),"Date hors ordre","OK"))))))))</f>
        <v/>
      </c>
      <c r="M4565" s="39" t="str">
        <f>IF(C4565="","",C4565&amp;"#"&amp;COUNTIF($C$5:C4565,C4565))</f>
        <v/>
      </c>
    </row>
    <row r="4566">
      <c r="A4566" s="41" t="n"/>
      <c r="B4566" s="37" t="n"/>
      <c r="C4566" s="37" t="n"/>
      <c r="D4566" s="39" t="str">
        <f>IF(C4566="","",IFERROR(INDEX(art_des,MATCH(C4566,art_ref,0))&amp;"","Référence inconnue"))</f>
        <v/>
      </c>
      <c r="E4566" s="37" t="n"/>
      <c r="F4566" s="39" t="str">
        <f>IF(C4566="","",IFERROR(INDEX(art_unit,MATCH(C4566,art_ref,0))&amp;"",""))</f>
        <v/>
      </c>
      <c r="G4566" s="37" t="n"/>
      <c r="H4566" s="37" t="n"/>
      <c r="I4566" s="37" t="n"/>
      <c r="J4566" s="40" t="str">
        <f>IF(OR(C4566="",NOT(ISNUMBER(E4566))),"",IFERROR(E4566*N(INDEX(art_price,MATCH(C4566,art_ref,0))),""))</f>
        <v/>
      </c>
      <c r="K4566" s="39" t="str">
        <f>IF(OR(C4566="",NOT(ISNUMBER(E4566))),"",IFERROR(ROUND(N(INDEX(art_init,MATCH(C4566,art_ref,0)))+SUMIFS($E$5:E4566,$C$5:C4566,C4566,$B$5:B4566,"Entrée")-SUMIFS($E$5:E4566,$C$5:C4566,C4566,$B$5:B4566,"Sortie"),6),""))</f>
        <v/>
      </c>
      <c r="L4566" s="39" t="str">
        <f>IF(COUNTA(A4566:C4566,E4566)=0,"",IF(COUNTA(A4566:C4566,E4566)&lt;4,"Ligne incomplète",IF(NOT(ISNUMBER(A4566)),"Date invalide",IF(AND(B4566&lt;&gt;"Entrée",B4566&lt;&gt;"Sortie"),"Type inconnu",IF(ISNA(MATCH(C4566,art_ref,0)),"Référence inconnue",IF(OR(NOT(ISNUMBER(E4566)),N(E4566)&lt;=0),"Quantité invalide",IF(K4566&lt;0,"Stock négatif",IF(AND(ISNUMBER(A4565),A4566&lt;A4565),"Date hors ordre","OK"))))))))</f>
        <v/>
      </c>
      <c r="M4566" s="39" t="str">
        <f>IF(C4566="","",C4566&amp;"#"&amp;COUNTIF($C$5:C4566,C4566))</f>
        <v/>
      </c>
    </row>
    <row r="4567">
      <c r="A4567" s="41" t="n"/>
      <c r="B4567" s="37" t="n"/>
      <c r="C4567" s="37" t="n"/>
      <c r="D4567" s="39" t="str">
        <f>IF(C4567="","",IFERROR(INDEX(art_des,MATCH(C4567,art_ref,0))&amp;"","Référence inconnue"))</f>
        <v/>
      </c>
      <c r="E4567" s="37" t="n"/>
      <c r="F4567" s="39" t="str">
        <f>IF(C4567="","",IFERROR(INDEX(art_unit,MATCH(C4567,art_ref,0))&amp;"",""))</f>
        <v/>
      </c>
      <c r="G4567" s="37" t="n"/>
      <c r="H4567" s="37" t="n"/>
      <c r="I4567" s="37" t="n"/>
      <c r="J4567" s="40" t="str">
        <f>IF(OR(C4567="",NOT(ISNUMBER(E4567))),"",IFERROR(E4567*N(INDEX(art_price,MATCH(C4567,art_ref,0))),""))</f>
        <v/>
      </c>
      <c r="K4567" s="39" t="str">
        <f>IF(OR(C4567="",NOT(ISNUMBER(E4567))),"",IFERROR(ROUND(N(INDEX(art_init,MATCH(C4567,art_ref,0)))+SUMIFS($E$5:E4567,$C$5:C4567,C4567,$B$5:B4567,"Entrée")-SUMIFS($E$5:E4567,$C$5:C4567,C4567,$B$5:B4567,"Sortie"),6),""))</f>
        <v/>
      </c>
      <c r="L4567" s="39" t="str">
        <f>IF(COUNTA(A4567:C4567,E4567)=0,"",IF(COUNTA(A4567:C4567,E4567)&lt;4,"Ligne incomplète",IF(NOT(ISNUMBER(A4567)),"Date invalide",IF(AND(B4567&lt;&gt;"Entrée",B4567&lt;&gt;"Sortie"),"Type inconnu",IF(ISNA(MATCH(C4567,art_ref,0)),"Référence inconnue",IF(OR(NOT(ISNUMBER(E4567)),N(E4567)&lt;=0),"Quantité invalide",IF(K4567&lt;0,"Stock négatif",IF(AND(ISNUMBER(A4566),A4567&lt;A4566),"Date hors ordre","OK"))))))))</f>
        <v/>
      </c>
      <c r="M4567" s="39" t="str">
        <f>IF(C4567="","",C4567&amp;"#"&amp;COUNTIF($C$5:C4567,C4567))</f>
        <v/>
      </c>
    </row>
    <row r="4568">
      <c r="A4568" s="41" t="n"/>
      <c r="B4568" s="37" t="n"/>
      <c r="C4568" s="37" t="n"/>
      <c r="D4568" s="39" t="str">
        <f>IF(C4568="","",IFERROR(INDEX(art_des,MATCH(C4568,art_ref,0))&amp;"","Référence inconnue"))</f>
        <v/>
      </c>
      <c r="E4568" s="37" t="n"/>
      <c r="F4568" s="39" t="str">
        <f>IF(C4568="","",IFERROR(INDEX(art_unit,MATCH(C4568,art_ref,0))&amp;"",""))</f>
        <v/>
      </c>
      <c r="G4568" s="37" t="n"/>
      <c r="H4568" s="37" t="n"/>
      <c r="I4568" s="37" t="n"/>
      <c r="J4568" s="40" t="str">
        <f>IF(OR(C4568="",NOT(ISNUMBER(E4568))),"",IFERROR(E4568*N(INDEX(art_price,MATCH(C4568,art_ref,0))),""))</f>
        <v/>
      </c>
      <c r="K4568" s="39" t="str">
        <f>IF(OR(C4568="",NOT(ISNUMBER(E4568))),"",IFERROR(ROUND(N(INDEX(art_init,MATCH(C4568,art_ref,0)))+SUMIFS($E$5:E4568,$C$5:C4568,C4568,$B$5:B4568,"Entrée")-SUMIFS($E$5:E4568,$C$5:C4568,C4568,$B$5:B4568,"Sortie"),6),""))</f>
        <v/>
      </c>
      <c r="L4568" s="39" t="str">
        <f>IF(COUNTA(A4568:C4568,E4568)=0,"",IF(COUNTA(A4568:C4568,E4568)&lt;4,"Ligne incomplète",IF(NOT(ISNUMBER(A4568)),"Date invalide",IF(AND(B4568&lt;&gt;"Entrée",B4568&lt;&gt;"Sortie"),"Type inconnu",IF(ISNA(MATCH(C4568,art_ref,0)),"Référence inconnue",IF(OR(NOT(ISNUMBER(E4568)),N(E4568)&lt;=0),"Quantité invalide",IF(K4568&lt;0,"Stock négatif",IF(AND(ISNUMBER(A4567),A4568&lt;A4567),"Date hors ordre","OK"))))))))</f>
        <v/>
      </c>
      <c r="M4568" s="39" t="str">
        <f>IF(C4568="","",C4568&amp;"#"&amp;COUNTIF($C$5:C4568,C4568))</f>
        <v/>
      </c>
    </row>
    <row r="4569">
      <c r="A4569" s="41" t="n"/>
      <c r="B4569" s="37" t="n"/>
      <c r="C4569" s="37" t="n"/>
      <c r="D4569" s="39" t="str">
        <f>IF(C4569="","",IFERROR(INDEX(art_des,MATCH(C4569,art_ref,0))&amp;"","Référence inconnue"))</f>
        <v/>
      </c>
      <c r="E4569" s="37" t="n"/>
      <c r="F4569" s="39" t="str">
        <f>IF(C4569="","",IFERROR(INDEX(art_unit,MATCH(C4569,art_ref,0))&amp;"",""))</f>
        <v/>
      </c>
      <c r="G4569" s="37" t="n"/>
      <c r="H4569" s="37" t="n"/>
      <c r="I4569" s="37" t="n"/>
      <c r="J4569" s="40" t="str">
        <f>IF(OR(C4569="",NOT(ISNUMBER(E4569))),"",IFERROR(E4569*N(INDEX(art_price,MATCH(C4569,art_ref,0))),""))</f>
        <v/>
      </c>
      <c r="K4569" s="39" t="str">
        <f>IF(OR(C4569="",NOT(ISNUMBER(E4569))),"",IFERROR(ROUND(N(INDEX(art_init,MATCH(C4569,art_ref,0)))+SUMIFS($E$5:E4569,$C$5:C4569,C4569,$B$5:B4569,"Entrée")-SUMIFS($E$5:E4569,$C$5:C4569,C4569,$B$5:B4569,"Sortie"),6),""))</f>
        <v/>
      </c>
      <c r="L4569" s="39" t="str">
        <f>IF(COUNTA(A4569:C4569,E4569)=0,"",IF(COUNTA(A4569:C4569,E4569)&lt;4,"Ligne incomplète",IF(NOT(ISNUMBER(A4569)),"Date invalide",IF(AND(B4569&lt;&gt;"Entrée",B4569&lt;&gt;"Sortie"),"Type inconnu",IF(ISNA(MATCH(C4569,art_ref,0)),"Référence inconnue",IF(OR(NOT(ISNUMBER(E4569)),N(E4569)&lt;=0),"Quantité invalide",IF(K4569&lt;0,"Stock négatif",IF(AND(ISNUMBER(A4568),A4569&lt;A4568),"Date hors ordre","OK"))))))))</f>
        <v/>
      </c>
      <c r="M4569" s="39" t="str">
        <f>IF(C4569="","",C4569&amp;"#"&amp;COUNTIF($C$5:C4569,C4569))</f>
        <v/>
      </c>
    </row>
    <row r="4570">
      <c r="A4570" s="41" t="n"/>
      <c r="B4570" s="37" t="n"/>
      <c r="C4570" s="37" t="n"/>
      <c r="D4570" s="39" t="str">
        <f>IF(C4570="","",IFERROR(INDEX(art_des,MATCH(C4570,art_ref,0))&amp;"","Référence inconnue"))</f>
        <v/>
      </c>
      <c r="E4570" s="37" t="n"/>
      <c r="F4570" s="39" t="str">
        <f>IF(C4570="","",IFERROR(INDEX(art_unit,MATCH(C4570,art_ref,0))&amp;"",""))</f>
        <v/>
      </c>
      <c r="G4570" s="37" t="n"/>
      <c r="H4570" s="37" t="n"/>
      <c r="I4570" s="37" t="n"/>
      <c r="J4570" s="40" t="str">
        <f>IF(OR(C4570="",NOT(ISNUMBER(E4570))),"",IFERROR(E4570*N(INDEX(art_price,MATCH(C4570,art_ref,0))),""))</f>
        <v/>
      </c>
      <c r="K4570" s="39" t="str">
        <f>IF(OR(C4570="",NOT(ISNUMBER(E4570))),"",IFERROR(ROUND(N(INDEX(art_init,MATCH(C4570,art_ref,0)))+SUMIFS($E$5:E4570,$C$5:C4570,C4570,$B$5:B4570,"Entrée")-SUMIFS($E$5:E4570,$C$5:C4570,C4570,$B$5:B4570,"Sortie"),6),""))</f>
        <v/>
      </c>
      <c r="L4570" s="39" t="str">
        <f>IF(COUNTA(A4570:C4570,E4570)=0,"",IF(COUNTA(A4570:C4570,E4570)&lt;4,"Ligne incomplète",IF(NOT(ISNUMBER(A4570)),"Date invalide",IF(AND(B4570&lt;&gt;"Entrée",B4570&lt;&gt;"Sortie"),"Type inconnu",IF(ISNA(MATCH(C4570,art_ref,0)),"Référence inconnue",IF(OR(NOT(ISNUMBER(E4570)),N(E4570)&lt;=0),"Quantité invalide",IF(K4570&lt;0,"Stock négatif",IF(AND(ISNUMBER(A4569),A4570&lt;A4569),"Date hors ordre","OK"))))))))</f>
        <v/>
      </c>
      <c r="M4570" s="39" t="str">
        <f>IF(C4570="","",C4570&amp;"#"&amp;COUNTIF($C$5:C4570,C4570))</f>
        <v/>
      </c>
    </row>
    <row r="4571">
      <c r="A4571" s="41" t="n"/>
      <c r="B4571" s="37" t="n"/>
      <c r="C4571" s="37" t="n"/>
      <c r="D4571" s="39" t="str">
        <f>IF(C4571="","",IFERROR(INDEX(art_des,MATCH(C4571,art_ref,0))&amp;"","Référence inconnue"))</f>
        <v/>
      </c>
      <c r="E4571" s="37" t="n"/>
      <c r="F4571" s="39" t="str">
        <f>IF(C4571="","",IFERROR(INDEX(art_unit,MATCH(C4571,art_ref,0))&amp;"",""))</f>
        <v/>
      </c>
      <c r="G4571" s="37" t="n"/>
      <c r="H4571" s="37" t="n"/>
      <c r="I4571" s="37" t="n"/>
      <c r="J4571" s="40" t="str">
        <f>IF(OR(C4571="",NOT(ISNUMBER(E4571))),"",IFERROR(E4571*N(INDEX(art_price,MATCH(C4571,art_ref,0))),""))</f>
        <v/>
      </c>
      <c r="K4571" s="39" t="str">
        <f>IF(OR(C4571="",NOT(ISNUMBER(E4571))),"",IFERROR(ROUND(N(INDEX(art_init,MATCH(C4571,art_ref,0)))+SUMIFS($E$5:E4571,$C$5:C4571,C4571,$B$5:B4571,"Entrée")-SUMIFS($E$5:E4571,$C$5:C4571,C4571,$B$5:B4571,"Sortie"),6),""))</f>
        <v/>
      </c>
      <c r="L4571" s="39" t="str">
        <f>IF(COUNTA(A4571:C4571,E4571)=0,"",IF(COUNTA(A4571:C4571,E4571)&lt;4,"Ligne incomplète",IF(NOT(ISNUMBER(A4571)),"Date invalide",IF(AND(B4571&lt;&gt;"Entrée",B4571&lt;&gt;"Sortie"),"Type inconnu",IF(ISNA(MATCH(C4571,art_ref,0)),"Référence inconnue",IF(OR(NOT(ISNUMBER(E4571)),N(E4571)&lt;=0),"Quantité invalide",IF(K4571&lt;0,"Stock négatif",IF(AND(ISNUMBER(A4570),A4571&lt;A4570),"Date hors ordre","OK"))))))))</f>
        <v/>
      </c>
      <c r="M4571" s="39" t="str">
        <f>IF(C4571="","",C4571&amp;"#"&amp;COUNTIF($C$5:C4571,C4571))</f>
        <v/>
      </c>
    </row>
    <row r="4572">
      <c r="A4572" s="41" t="n"/>
      <c r="B4572" s="37" t="n"/>
      <c r="C4572" s="37" t="n"/>
      <c r="D4572" s="39" t="str">
        <f>IF(C4572="","",IFERROR(INDEX(art_des,MATCH(C4572,art_ref,0))&amp;"","Référence inconnue"))</f>
        <v/>
      </c>
      <c r="E4572" s="37" t="n"/>
      <c r="F4572" s="39" t="str">
        <f>IF(C4572="","",IFERROR(INDEX(art_unit,MATCH(C4572,art_ref,0))&amp;"",""))</f>
        <v/>
      </c>
      <c r="G4572" s="37" t="n"/>
      <c r="H4572" s="37" t="n"/>
      <c r="I4572" s="37" t="n"/>
      <c r="J4572" s="40" t="str">
        <f>IF(OR(C4572="",NOT(ISNUMBER(E4572))),"",IFERROR(E4572*N(INDEX(art_price,MATCH(C4572,art_ref,0))),""))</f>
        <v/>
      </c>
      <c r="K4572" s="39" t="str">
        <f>IF(OR(C4572="",NOT(ISNUMBER(E4572))),"",IFERROR(ROUND(N(INDEX(art_init,MATCH(C4572,art_ref,0)))+SUMIFS($E$5:E4572,$C$5:C4572,C4572,$B$5:B4572,"Entrée")-SUMIFS($E$5:E4572,$C$5:C4572,C4572,$B$5:B4572,"Sortie"),6),""))</f>
        <v/>
      </c>
      <c r="L4572" s="39" t="str">
        <f>IF(COUNTA(A4572:C4572,E4572)=0,"",IF(COUNTA(A4572:C4572,E4572)&lt;4,"Ligne incomplète",IF(NOT(ISNUMBER(A4572)),"Date invalide",IF(AND(B4572&lt;&gt;"Entrée",B4572&lt;&gt;"Sortie"),"Type inconnu",IF(ISNA(MATCH(C4572,art_ref,0)),"Référence inconnue",IF(OR(NOT(ISNUMBER(E4572)),N(E4572)&lt;=0),"Quantité invalide",IF(K4572&lt;0,"Stock négatif",IF(AND(ISNUMBER(A4571),A4572&lt;A4571),"Date hors ordre","OK"))))))))</f>
        <v/>
      </c>
      <c r="M4572" s="39" t="str">
        <f>IF(C4572="","",C4572&amp;"#"&amp;COUNTIF($C$5:C4572,C4572))</f>
        <v/>
      </c>
    </row>
    <row r="4573">
      <c r="A4573" s="41" t="n"/>
      <c r="B4573" s="37" t="n"/>
      <c r="C4573" s="37" t="n"/>
      <c r="D4573" s="39" t="str">
        <f>IF(C4573="","",IFERROR(INDEX(art_des,MATCH(C4573,art_ref,0))&amp;"","Référence inconnue"))</f>
        <v/>
      </c>
      <c r="E4573" s="37" t="n"/>
      <c r="F4573" s="39" t="str">
        <f>IF(C4573="","",IFERROR(INDEX(art_unit,MATCH(C4573,art_ref,0))&amp;"",""))</f>
        <v/>
      </c>
      <c r="G4573" s="37" t="n"/>
      <c r="H4573" s="37" t="n"/>
      <c r="I4573" s="37" t="n"/>
      <c r="J4573" s="40" t="str">
        <f>IF(OR(C4573="",NOT(ISNUMBER(E4573))),"",IFERROR(E4573*N(INDEX(art_price,MATCH(C4573,art_ref,0))),""))</f>
        <v/>
      </c>
      <c r="K4573" s="39" t="str">
        <f>IF(OR(C4573="",NOT(ISNUMBER(E4573))),"",IFERROR(ROUND(N(INDEX(art_init,MATCH(C4573,art_ref,0)))+SUMIFS($E$5:E4573,$C$5:C4573,C4573,$B$5:B4573,"Entrée")-SUMIFS($E$5:E4573,$C$5:C4573,C4573,$B$5:B4573,"Sortie"),6),""))</f>
        <v/>
      </c>
      <c r="L4573" s="39" t="str">
        <f>IF(COUNTA(A4573:C4573,E4573)=0,"",IF(COUNTA(A4573:C4573,E4573)&lt;4,"Ligne incomplète",IF(NOT(ISNUMBER(A4573)),"Date invalide",IF(AND(B4573&lt;&gt;"Entrée",B4573&lt;&gt;"Sortie"),"Type inconnu",IF(ISNA(MATCH(C4573,art_ref,0)),"Référence inconnue",IF(OR(NOT(ISNUMBER(E4573)),N(E4573)&lt;=0),"Quantité invalide",IF(K4573&lt;0,"Stock négatif",IF(AND(ISNUMBER(A4572),A4573&lt;A4572),"Date hors ordre","OK"))))))))</f>
        <v/>
      </c>
      <c r="M4573" s="39" t="str">
        <f>IF(C4573="","",C4573&amp;"#"&amp;COUNTIF($C$5:C4573,C4573))</f>
        <v/>
      </c>
    </row>
    <row r="4574">
      <c r="A4574" s="41" t="n"/>
      <c r="B4574" s="37" t="n"/>
      <c r="C4574" s="37" t="n"/>
      <c r="D4574" s="39" t="str">
        <f>IF(C4574="","",IFERROR(INDEX(art_des,MATCH(C4574,art_ref,0))&amp;"","Référence inconnue"))</f>
        <v/>
      </c>
      <c r="E4574" s="37" t="n"/>
      <c r="F4574" s="39" t="str">
        <f>IF(C4574="","",IFERROR(INDEX(art_unit,MATCH(C4574,art_ref,0))&amp;"",""))</f>
        <v/>
      </c>
      <c r="G4574" s="37" t="n"/>
      <c r="H4574" s="37" t="n"/>
      <c r="I4574" s="37" t="n"/>
      <c r="J4574" s="40" t="str">
        <f>IF(OR(C4574="",NOT(ISNUMBER(E4574))),"",IFERROR(E4574*N(INDEX(art_price,MATCH(C4574,art_ref,0))),""))</f>
        <v/>
      </c>
      <c r="K4574" s="39" t="str">
        <f>IF(OR(C4574="",NOT(ISNUMBER(E4574))),"",IFERROR(ROUND(N(INDEX(art_init,MATCH(C4574,art_ref,0)))+SUMIFS($E$5:E4574,$C$5:C4574,C4574,$B$5:B4574,"Entrée")-SUMIFS($E$5:E4574,$C$5:C4574,C4574,$B$5:B4574,"Sortie"),6),""))</f>
        <v/>
      </c>
      <c r="L4574" s="39" t="str">
        <f>IF(COUNTA(A4574:C4574,E4574)=0,"",IF(COUNTA(A4574:C4574,E4574)&lt;4,"Ligne incomplète",IF(NOT(ISNUMBER(A4574)),"Date invalide",IF(AND(B4574&lt;&gt;"Entrée",B4574&lt;&gt;"Sortie"),"Type inconnu",IF(ISNA(MATCH(C4574,art_ref,0)),"Référence inconnue",IF(OR(NOT(ISNUMBER(E4574)),N(E4574)&lt;=0),"Quantité invalide",IF(K4574&lt;0,"Stock négatif",IF(AND(ISNUMBER(A4573),A4574&lt;A4573),"Date hors ordre","OK"))))))))</f>
        <v/>
      </c>
      <c r="M4574" s="39" t="str">
        <f>IF(C4574="","",C4574&amp;"#"&amp;COUNTIF($C$5:C4574,C4574))</f>
        <v/>
      </c>
    </row>
    <row r="4575">
      <c r="A4575" s="41" t="n"/>
      <c r="B4575" s="37" t="n"/>
      <c r="C4575" s="37" t="n"/>
      <c r="D4575" s="39" t="str">
        <f>IF(C4575="","",IFERROR(INDEX(art_des,MATCH(C4575,art_ref,0))&amp;"","Référence inconnue"))</f>
        <v/>
      </c>
      <c r="E4575" s="37" t="n"/>
      <c r="F4575" s="39" t="str">
        <f>IF(C4575="","",IFERROR(INDEX(art_unit,MATCH(C4575,art_ref,0))&amp;"",""))</f>
        <v/>
      </c>
      <c r="G4575" s="37" t="n"/>
      <c r="H4575" s="37" t="n"/>
      <c r="I4575" s="37" t="n"/>
      <c r="J4575" s="40" t="str">
        <f>IF(OR(C4575="",NOT(ISNUMBER(E4575))),"",IFERROR(E4575*N(INDEX(art_price,MATCH(C4575,art_ref,0))),""))</f>
        <v/>
      </c>
      <c r="K4575" s="39" t="str">
        <f>IF(OR(C4575="",NOT(ISNUMBER(E4575))),"",IFERROR(ROUND(N(INDEX(art_init,MATCH(C4575,art_ref,0)))+SUMIFS($E$5:E4575,$C$5:C4575,C4575,$B$5:B4575,"Entrée")-SUMIFS($E$5:E4575,$C$5:C4575,C4575,$B$5:B4575,"Sortie"),6),""))</f>
        <v/>
      </c>
      <c r="L4575" s="39" t="str">
        <f>IF(COUNTA(A4575:C4575,E4575)=0,"",IF(COUNTA(A4575:C4575,E4575)&lt;4,"Ligne incomplète",IF(NOT(ISNUMBER(A4575)),"Date invalide",IF(AND(B4575&lt;&gt;"Entrée",B4575&lt;&gt;"Sortie"),"Type inconnu",IF(ISNA(MATCH(C4575,art_ref,0)),"Référence inconnue",IF(OR(NOT(ISNUMBER(E4575)),N(E4575)&lt;=0),"Quantité invalide",IF(K4575&lt;0,"Stock négatif",IF(AND(ISNUMBER(A4574),A4575&lt;A4574),"Date hors ordre","OK"))))))))</f>
        <v/>
      </c>
      <c r="M4575" s="39" t="str">
        <f>IF(C4575="","",C4575&amp;"#"&amp;COUNTIF($C$5:C4575,C4575))</f>
        <v/>
      </c>
    </row>
    <row r="4576">
      <c r="A4576" s="41" t="n"/>
      <c r="B4576" s="37" t="n"/>
      <c r="C4576" s="37" t="n"/>
      <c r="D4576" s="39" t="str">
        <f>IF(C4576="","",IFERROR(INDEX(art_des,MATCH(C4576,art_ref,0))&amp;"","Référence inconnue"))</f>
        <v/>
      </c>
      <c r="E4576" s="37" t="n"/>
      <c r="F4576" s="39" t="str">
        <f>IF(C4576="","",IFERROR(INDEX(art_unit,MATCH(C4576,art_ref,0))&amp;"",""))</f>
        <v/>
      </c>
      <c r="G4576" s="37" t="n"/>
      <c r="H4576" s="37" t="n"/>
      <c r="I4576" s="37" t="n"/>
      <c r="J4576" s="40" t="str">
        <f>IF(OR(C4576="",NOT(ISNUMBER(E4576))),"",IFERROR(E4576*N(INDEX(art_price,MATCH(C4576,art_ref,0))),""))</f>
        <v/>
      </c>
      <c r="K4576" s="39" t="str">
        <f>IF(OR(C4576="",NOT(ISNUMBER(E4576))),"",IFERROR(ROUND(N(INDEX(art_init,MATCH(C4576,art_ref,0)))+SUMIFS($E$5:E4576,$C$5:C4576,C4576,$B$5:B4576,"Entrée")-SUMIFS($E$5:E4576,$C$5:C4576,C4576,$B$5:B4576,"Sortie"),6),""))</f>
        <v/>
      </c>
      <c r="L4576" s="39" t="str">
        <f>IF(COUNTA(A4576:C4576,E4576)=0,"",IF(COUNTA(A4576:C4576,E4576)&lt;4,"Ligne incomplète",IF(NOT(ISNUMBER(A4576)),"Date invalide",IF(AND(B4576&lt;&gt;"Entrée",B4576&lt;&gt;"Sortie"),"Type inconnu",IF(ISNA(MATCH(C4576,art_ref,0)),"Référence inconnue",IF(OR(NOT(ISNUMBER(E4576)),N(E4576)&lt;=0),"Quantité invalide",IF(K4576&lt;0,"Stock négatif",IF(AND(ISNUMBER(A4575),A4576&lt;A4575),"Date hors ordre","OK"))))))))</f>
        <v/>
      </c>
      <c r="M4576" s="39" t="str">
        <f>IF(C4576="","",C4576&amp;"#"&amp;COUNTIF($C$5:C4576,C4576))</f>
        <v/>
      </c>
    </row>
    <row r="4577">
      <c r="A4577" s="41" t="n"/>
      <c r="B4577" s="37" t="n"/>
      <c r="C4577" s="37" t="n"/>
      <c r="D4577" s="39" t="str">
        <f>IF(C4577="","",IFERROR(INDEX(art_des,MATCH(C4577,art_ref,0))&amp;"","Référence inconnue"))</f>
        <v/>
      </c>
      <c r="E4577" s="37" t="n"/>
      <c r="F4577" s="39" t="str">
        <f>IF(C4577="","",IFERROR(INDEX(art_unit,MATCH(C4577,art_ref,0))&amp;"",""))</f>
        <v/>
      </c>
      <c r="G4577" s="37" t="n"/>
      <c r="H4577" s="37" t="n"/>
      <c r="I4577" s="37" t="n"/>
      <c r="J4577" s="40" t="str">
        <f>IF(OR(C4577="",NOT(ISNUMBER(E4577))),"",IFERROR(E4577*N(INDEX(art_price,MATCH(C4577,art_ref,0))),""))</f>
        <v/>
      </c>
      <c r="K4577" s="39" t="str">
        <f>IF(OR(C4577="",NOT(ISNUMBER(E4577))),"",IFERROR(ROUND(N(INDEX(art_init,MATCH(C4577,art_ref,0)))+SUMIFS($E$5:E4577,$C$5:C4577,C4577,$B$5:B4577,"Entrée")-SUMIFS($E$5:E4577,$C$5:C4577,C4577,$B$5:B4577,"Sortie"),6),""))</f>
        <v/>
      </c>
      <c r="L4577" s="39" t="str">
        <f>IF(COUNTA(A4577:C4577,E4577)=0,"",IF(COUNTA(A4577:C4577,E4577)&lt;4,"Ligne incomplète",IF(NOT(ISNUMBER(A4577)),"Date invalide",IF(AND(B4577&lt;&gt;"Entrée",B4577&lt;&gt;"Sortie"),"Type inconnu",IF(ISNA(MATCH(C4577,art_ref,0)),"Référence inconnue",IF(OR(NOT(ISNUMBER(E4577)),N(E4577)&lt;=0),"Quantité invalide",IF(K4577&lt;0,"Stock négatif",IF(AND(ISNUMBER(A4576),A4577&lt;A4576),"Date hors ordre","OK"))))))))</f>
        <v/>
      </c>
      <c r="M4577" s="39" t="str">
        <f>IF(C4577="","",C4577&amp;"#"&amp;COUNTIF($C$5:C4577,C4577))</f>
        <v/>
      </c>
    </row>
    <row r="4578">
      <c r="A4578" s="41" t="n"/>
      <c r="B4578" s="37" t="n"/>
      <c r="C4578" s="37" t="n"/>
      <c r="D4578" s="39" t="str">
        <f>IF(C4578="","",IFERROR(INDEX(art_des,MATCH(C4578,art_ref,0))&amp;"","Référence inconnue"))</f>
        <v/>
      </c>
      <c r="E4578" s="37" t="n"/>
      <c r="F4578" s="39" t="str">
        <f>IF(C4578="","",IFERROR(INDEX(art_unit,MATCH(C4578,art_ref,0))&amp;"",""))</f>
        <v/>
      </c>
      <c r="G4578" s="37" t="n"/>
      <c r="H4578" s="37" t="n"/>
      <c r="I4578" s="37" t="n"/>
      <c r="J4578" s="40" t="str">
        <f>IF(OR(C4578="",NOT(ISNUMBER(E4578))),"",IFERROR(E4578*N(INDEX(art_price,MATCH(C4578,art_ref,0))),""))</f>
        <v/>
      </c>
      <c r="K4578" s="39" t="str">
        <f>IF(OR(C4578="",NOT(ISNUMBER(E4578))),"",IFERROR(ROUND(N(INDEX(art_init,MATCH(C4578,art_ref,0)))+SUMIFS($E$5:E4578,$C$5:C4578,C4578,$B$5:B4578,"Entrée")-SUMIFS($E$5:E4578,$C$5:C4578,C4578,$B$5:B4578,"Sortie"),6),""))</f>
        <v/>
      </c>
      <c r="L4578" s="39" t="str">
        <f>IF(COUNTA(A4578:C4578,E4578)=0,"",IF(COUNTA(A4578:C4578,E4578)&lt;4,"Ligne incomplète",IF(NOT(ISNUMBER(A4578)),"Date invalide",IF(AND(B4578&lt;&gt;"Entrée",B4578&lt;&gt;"Sortie"),"Type inconnu",IF(ISNA(MATCH(C4578,art_ref,0)),"Référence inconnue",IF(OR(NOT(ISNUMBER(E4578)),N(E4578)&lt;=0),"Quantité invalide",IF(K4578&lt;0,"Stock négatif",IF(AND(ISNUMBER(A4577),A4578&lt;A4577),"Date hors ordre","OK"))))))))</f>
        <v/>
      </c>
      <c r="M4578" s="39" t="str">
        <f>IF(C4578="","",C4578&amp;"#"&amp;COUNTIF($C$5:C4578,C4578))</f>
        <v/>
      </c>
    </row>
    <row r="4579">
      <c r="A4579" s="41" t="n"/>
      <c r="B4579" s="37" t="n"/>
      <c r="C4579" s="37" t="n"/>
      <c r="D4579" s="39" t="str">
        <f>IF(C4579="","",IFERROR(INDEX(art_des,MATCH(C4579,art_ref,0))&amp;"","Référence inconnue"))</f>
        <v/>
      </c>
      <c r="E4579" s="37" t="n"/>
      <c r="F4579" s="39" t="str">
        <f>IF(C4579="","",IFERROR(INDEX(art_unit,MATCH(C4579,art_ref,0))&amp;"",""))</f>
        <v/>
      </c>
      <c r="G4579" s="37" t="n"/>
      <c r="H4579" s="37" t="n"/>
      <c r="I4579" s="37" t="n"/>
      <c r="J4579" s="40" t="str">
        <f>IF(OR(C4579="",NOT(ISNUMBER(E4579))),"",IFERROR(E4579*N(INDEX(art_price,MATCH(C4579,art_ref,0))),""))</f>
        <v/>
      </c>
      <c r="K4579" s="39" t="str">
        <f>IF(OR(C4579="",NOT(ISNUMBER(E4579))),"",IFERROR(ROUND(N(INDEX(art_init,MATCH(C4579,art_ref,0)))+SUMIFS($E$5:E4579,$C$5:C4579,C4579,$B$5:B4579,"Entrée")-SUMIFS($E$5:E4579,$C$5:C4579,C4579,$B$5:B4579,"Sortie"),6),""))</f>
        <v/>
      </c>
      <c r="L4579" s="39" t="str">
        <f>IF(COUNTA(A4579:C4579,E4579)=0,"",IF(COUNTA(A4579:C4579,E4579)&lt;4,"Ligne incomplète",IF(NOT(ISNUMBER(A4579)),"Date invalide",IF(AND(B4579&lt;&gt;"Entrée",B4579&lt;&gt;"Sortie"),"Type inconnu",IF(ISNA(MATCH(C4579,art_ref,0)),"Référence inconnue",IF(OR(NOT(ISNUMBER(E4579)),N(E4579)&lt;=0),"Quantité invalide",IF(K4579&lt;0,"Stock négatif",IF(AND(ISNUMBER(A4578),A4579&lt;A4578),"Date hors ordre","OK"))))))))</f>
        <v/>
      </c>
      <c r="M4579" s="39" t="str">
        <f>IF(C4579="","",C4579&amp;"#"&amp;COUNTIF($C$5:C4579,C4579))</f>
        <v/>
      </c>
    </row>
    <row r="4580">
      <c r="A4580" s="41" t="n"/>
      <c r="B4580" s="37" t="n"/>
      <c r="C4580" s="37" t="n"/>
      <c r="D4580" s="39" t="str">
        <f>IF(C4580="","",IFERROR(INDEX(art_des,MATCH(C4580,art_ref,0))&amp;"","Référence inconnue"))</f>
        <v/>
      </c>
      <c r="E4580" s="37" t="n"/>
      <c r="F4580" s="39" t="str">
        <f>IF(C4580="","",IFERROR(INDEX(art_unit,MATCH(C4580,art_ref,0))&amp;"",""))</f>
        <v/>
      </c>
      <c r="G4580" s="37" t="n"/>
      <c r="H4580" s="37" t="n"/>
      <c r="I4580" s="37" t="n"/>
      <c r="J4580" s="40" t="str">
        <f>IF(OR(C4580="",NOT(ISNUMBER(E4580))),"",IFERROR(E4580*N(INDEX(art_price,MATCH(C4580,art_ref,0))),""))</f>
        <v/>
      </c>
      <c r="K4580" s="39" t="str">
        <f>IF(OR(C4580="",NOT(ISNUMBER(E4580))),"",IFERROR(ROUND(N(INDEX(art_init,MATCH(C4580,art_ref,0)))+SUMIFS($E$5:E4580,$C$5:C4580,C4580,$B$5:B4580,"Entrée")-SUMIFS($E$5:E4580,$C$5:C4580,C4580,$B$5:B4580,"Sortie"),6),""))</f>
        <v/>
      </c>
      <c r="L4580" s="39" t="str">
        <f>IF(COUNTA(A4580:C4580,E4580)=0,"",IF(COUNTA(A4580:C4580,E4580)&lt;4,"Ligne incomplète",IF(NOT(ISNUMBER(A4580)),"Date invalide",IF(AND(B4580&lt;&gt;"Entrée",B4580&lt;&gt;"Sortie"),"Type inconnu",IF(ISNA(MATCH(C4580,art_ref,0)),"Référence inconnue",IF(OR(NOT(ISNUMBER(E4580)),N(E4580)&lt;=0),"Quantité invalide",IF(K4580&lt;0,"Stock négatif",IF(AND(ISNUMBER(A4579),A4580&lt;A4579),"Date hors ordre","OK"))))))))</f>
        <v/>
      </c>
      <c r="M4580" s="39" t="str">
        <f>IF(C4580="","",C4580&amp;"#"&amp;COUNTIF($C$5:C4580,C4580))</f>
        <v/>
      </c>
    </row>
    <row r="4581">
      <c r="A4581" s="41" t="n"/>
      <c r="B4581" s="37" t="n"/>
      <c r="C4581" s="37" t="n"/>
      <c r="D4581" s="39" t="str">
        <f>IF(C4581="","",IFERROR(INDEX(art_des,MATCH(C4581,art_ref,0))&amp;"","Référence inconnue"))</f>
        <v/>
      </c>
      <c r="E4581" s="37" t="n"/>
      <c r="F4581" s="39" t="str">
        <f>IF(C4581="","",IFERROR(INDEX(art_unit,MATCH(C4581,art_ref,0))&amp;"",""))</f>
        <v/>
      </c>
      <c r="G4581" s="37" t="n"/>
      <c r="H4581" s="37" t="n"/>
      <c r="I4581" s="37" t="n"/>
      <c r="J4581" s="40" t="str">
        <f>IF(OR(C4581="",NOT(ISNUMBER(E4581))),"",IFERROR(E4581*N(INDEX(art_price,MATCH(C4581,art_ref,0))),""))</f>
        <v/>
      </c>
      <c r="K4581" s="39" t="str">
        <f>IF(OR(C4581="",NOT(ISNUMBER(E4581))),"",IFERROR(ROUND(N(INDEX(art_init,MATCH(C4581,art_ref,0)))+SUMIFS($E$5:E4581,$C$5:C4581,C4581,$B$5:B4581,"Entrée")-SUMIFS($E$5:E4581,$C$5:C4581,C4581,$B$5:B4581,"Sortie"),6),""))</f>
        <v/>
      </c>
      <c r="L4581" s="39" t="str">
        <f>IF(COUNTA(A4581:C4581,E4581)=0,"",IF(COUNTA(A4581:C4581,E4581)&lt;4,"Ligne incomplète",IF(NOT(ISNUMBER(A4581)),"Date invalide",IF(AND(B4581&lt;&gt;"Entrée",B4581&lt;&gt;"Sortie"),"Type inconnu",IF(ISNA(MATCH(C4581,art_ref,0)),"Référence inconnue",IF(OR(NOT(ISNUMBER(E4581)),N(E4581)&lt;=0),"Quantité invalide",IF(K4581&lt;0,"Stock négatif",IF(AND(ISNUMBER(A4580),A4581&lt;A4580),"Date hors ordre","OK"))))))))</f>
        <v/>
      </c>
      <c r="M4581" s="39" t="str">
        <f>IF(C4581="","",C4581&amp;"#"&amp;COUNTIF($C$5:C4581,C4581))</f>
        <v/>
      </c>
    </row>
    <row r="4582">
      <c r="A4582" s="41" t="n"/>
      <c r="B4582" s="37" t="n"/>
      <c r="C4582" s="37" t="n"/>
      <c r="D4582" s="39" t="str">
        <f>IF(C4582="","",IFERROR(INDEX(art_des,MATCH(C4582,art_ref,0))&amp;"","Référence inconnue"))</f>
        <v/>
      </c>
      <c r="E4582" s="37" t="n"/>
      <c r="F4582" s="39" t="str">
        <f>IF(C4582="","",IFERROR(INDEX(art_unit,MATCH(C4582,art_ref,0))&amp;"",""))</f>
        <v/>
      </c>
      <c r="G4582" s="37" t="n"/>
      <c r="H4582" s="37" t="n"/>
      <c r="I4582" s="37" t="n"/>
      <c r="J4582" s="40" t="str">
        <f>IF(OR(C4582="",NOT(ISNUMBER(E4582))),"",IFERROR(E4582*N(INDEX(art_price,MATCH(C4582,art_ref,0))),""))</f>
        <v/>
      </c>
      <c r="K4582" s="39" t="str">
        <f>IF(OR(C4582="",NOT(ISNUMBER(E4582))),"",IFERROR(ROUND(N(INDEX(art_init,MATCH(C4582,art_ref,0)))+SUMIFS($E$5:E4582,$C$5:C4582,C4582,$B$5:B4582,"Entrée")-SUMIFS($E$5:E4582,$C$5:C4582,C4582,$B$5:B4582,"Sortie"),6),""))</f>
        <v/>
      </c>
      <c r="L4582" s="39" t="str">
        <f>IF(COUNTA(A4582:C4582,E4582)=0,"",IF(COUNTA(A4582:C4582,E4582)&lt;4,"Ligne incomplète",IF(NOT(ISNUMBER(A4582)),"Date invalide",IF(AND(B4582&lt;&gt;"Entrée",B4582&lt;&gt;"Sortie"),"Type inconnu",IF(ISNA(MATCH(C4582,art_ref,0)),"Référence inconnue",IF(OR(NOT(ISNUMBER(E4582)),N(E4582)&lt;=0),"Quantité invalide",IF(K4582&lt;0,"Stock négatif",IF(AND(ISNUMBER(A4581),A4582&lt;A4581),"Date hors ordre","OK"))))))))</f>
        <v/>
      </c>
      <c r="M4582" s="39" t="str">
        <f>IF(C4582="","",C4582&amp;"#"&amp;COUNTIF($C$5:C4582,C4582))</f>
        <v/>
      </c>
    </row>
    <row r="4583">
      <c r="A4583" s="41" t="n"/>
      <c r="B4583" s="37" t="n"/>
      <c r="C4583" s="37" t="n"/>
      <c r="D4583" s="39" t="str">
        <f>IF(C4583="","",IFERROR(INDEX(art_des,MATCH(C4583,art_ref,0))&amp;"","Référence inconnue"))</f>
        <v/>
      </c>
      <c r="E4583" s="37" t="n"/>
      <c r="F4583" s="39" t="str">
        <f>IF(C4583="","",IFERROR(INDEX(art_unit,MATCH(C4583,art_ref,0))&amp;"",""))</f>
        <v/>
      </c>
      <c r="G4583" s="37" t="n"/>
      <c r="H4583" s="37" t="n"/>
      <c r="I4583" s="37" t="n"/>
      <c r="J4583" s="40" t="str">
        <f>IF(OR(C4583="",NOT(ISNUMBER(E4583))),"",IFERROR(E4583*N(INDEX(art_price,MATCH(C4583,art_ref,0))),""))</f>
        <v/>
      </c>
      <c r="K4583" s="39" t="str">
        <f>IF(OR(C4583="",NOT(ISNUMBER(E4583))),"",IFERROR(ROUND(N(INDEX(art_init,MATCH(C4583,art_ref,0)))+SUMIFS($E$5:E4583,$C$5:C4583,C4583,$B$5:B4583,"Entrée")-SUMIFS($E$5:E4583,$C$5:C4583,C4583,$B$5:B4583,"Sortie"),6),""))</f>
        <v/>
      </c>
      <c r="L4583" s="39" t="str">
        <f>IF(COUNTA(A4583:C4583,E4583)=0,"",IF(COUNTA(A4583:C4583,E4583)&lt;4,"Ligne incomplète",IF(NOT(ISNUMBER(A4583)),"Date invalide",IF(AND(B4583&lt;&gt;"Entrée",B4583&lt;&gt;"Sortie"),"Type inconnu",IF(ISNA(MATCH(C4583,art_ref,0)),"Référence inconnue",IF(OR(NOT(ISNUMBER(E4583)),N(E4583)&lt;=0),"Quantité invalide",IF(K4583&lt;0,"Stock négatif",IF(AND(ISNUMBER(A4582),A4583&lt;A4582),"Date hors ordre","OK"))))))))</f>
        <v/>
      </c>
      <c r="M4583" s="39" t="str">
        <f>IF(C4583="","",C4583&amp;"#"&amp;COUNTIF($C$5:C4583,C4583))</f>
        <v/>
      </c>
    </row>
    <row r="4584">
      <c r="A4584" s="41" t="n"/>
      <c r="B4584" s="37" t="n"/>
      <c r="C4584" s="37" t="n"/>
      <c r="D4584" s="39" t="str">
        <f>IF(C4584="","",IFERROR(INDEX(art_des,MATCH(C4584,art_ref,0))&amp;"","Référence inconnue"))</f>
        <v/>
      </c>
      <c r="E4584" s="37" t="n"/>
      <c r="F4584" s="39" t="str">
        <f>IF(C4584="","",IFERROR(INDEX(art_unit,MATCH(C4584,art_ref,0))&amp;"",""))</f>
        <v/>
      </c>
      <c r="G4584" s="37" t="n"/>
      <c r="H4584" s="37" t="n"/>
      <c r="I4584" s="37" t="n"/>
      <c r="J4584" s="40" t="str">
        <f>IF(OR(C4584="",NOT(ISNUMBER(E4584))),"",IFERROR(E4584*N(INDEX(art_price,MATCH(C4584,art_ref,0))),""))</f>
        <v/>
      </c>
      <c r="K4584" s="39" t="str">
        <f>IF(OR(C4584="",NOT(ISNUMBER(E4584))),"",IFERROR(ROUND(N(INDEX(art_init,MATCH(C4584,art_ref,0)))+SUMIFS($E$5:E4584,$C$5:C4584,C4584,$B$5:B4584,"Entrée")-SUMIFS($E$5:E4584,$C$5:C4584,C4584,$B$5:B4584,"Sortie"),6),""))</f>
        <v/>
      </c>
      <c r="L4584" s="39" t="str">
        <f>IF(COUNTA(A4584:C4584,E4584)=0,"",IF(COUNTA(A4584:C4584,E4584)&lt;4,"Ligne incomplète",IF(NOT(ISNUMBER(A4584)),"Date invalide",IF(AND(B4584&lt;&gt;"Entrée",B4584&lt;&gt;"Sortie"),"Type inconnu",IF(ISNA(MATCH(C4584,art_ref,0)),"Référence inconnue",IF(OR(NOT(ISNUMBER(E4584)),N(E4584)&lt;=0),"Quantité invalide",IF(K4584&lt;0,"Stock négatif",IF(AND(ISNUMBER(A4583),A4584&lt;A4583),"Date hors ordre","OK"))))))))</f>
        <v/>
      </c>
      <c r="M4584" s="39" t="str">
        <f>IF(C4584="","",C4584&amp;"#"&amp;COUNTIF($C$5:C4584,C4584))</f>
        <v/>
      </c>
    </row>
    <row r="4585">
      <c r="A4585" s="41" t="n"/>
      <c r="B4585" s="37" t="n"/>
      <c r="C4585" s="37" t="n"/>
      <c r="D4585" s="39" t="str">
        <f>IF(C4585="","",IFERROR(INDEX(art_des,MATCH(C4585,art_ref,0))&amp;"","Référence inconnue"))</f>
        <v/>
      </c>
      <c r="E4585" s="37" t="n"/>
      <c r="F4585" s="39" t="str">
        <f>IF(C4585="","",IFERROR(INDEX(art_unit,MATCH(C4585,art_ref,0))&amp;"",""))</f>
        <v/>
      </c>
      <c r="G4585" s="37" t="n"/>
      <c r="H4585" s="37" t="n"/>
      <c r="I4585" s="37" t="n"/>
      <c r="J4585" s="40" t="str">
        <f>IF(OR(C4585="",NOT(ISNUMBER(E4585))),"",IFERROR(E4585*N(INDEX(art_price,MATCH(C4585,art_ref,0))),""))</f>
        <v/>
      </c>
      <c r="K4585" s="39" t="str">
        <f>IF(OR(C4585="",NOT(ISNUMBER(E4585))),"",IFERROR(ROUND(N(INDEX(art_init,MATCH(C4585,art_ref,0)))+SUMIFS($E$5:E4585,$C$5:C4585,C4585,$B$5:B4585,"Entrée")-SUMIFS($E$5:E4585,$C$5:C4585,C4585,$B$5:B4585,"Sortie"),6),""))</f>
        <v/>
      </c>
      <c r="L4585" s="39" t="str">
        <f>IF(COUNTA(A4585:C4585,E4585)=0,"",IF(COUNTA(A4585:C4585,E4585)&lt;4,"Ligne incomplète",IF(NOT(ISNUMBER(A4585)),"Date invalide",IF(AND(B4585&lt;&gt;"Entrée",B4585&lt;&gt;"Sortie"),"Type inconnu",IF(ISNA(MATCH(C4585,art_ref,0)),"Référence inconnue",IF(OR(NOT(ISNUMBER(E4585)),N(E4585)&lt;=0),"Quantité invalide",IF(K4585&lt;0,"Stock négatif",IF(AND(ISNUMBER(A4584),A4585&lt;A4584),"Date hors ordre","OK"))))))))</f>
        <v/>
      </c>
      <c r="M4585" s="39" t="str">
        <f>IF(C4585="","",C4585&amp;"#"&amp;COUNTIF($C$5:C4585,C4585))</f>
        <v/>
      </c>
    </row>
    <row r="4586">
      <c r="A4586" s="41" t="n"/>
      <c r="B4586" s="37" t="n"/>
      <c r="C4586" s="37" t="n"/>
      <c r="D4586" s="39" t="str">
        <f>IF(C4586="","",IFERROR(INDEX(art_des,MATCH(C4586,art_ref,0))&amp;"","Référence inconnue"))</f>
        <v/>
      </c>
      <c r="E4586" s="37" t="n"/>
      <c r="F4586" s="39" t="str">
        <f>IF(C4586="","",IFERROR(INDEX(art_unit,MATCH(C4586,art_ref,0))&amp;"",""))</f>
        <v/>
      </c>
      <c r="G4586" s="37" t="n"/>
      <c r="H4586" s="37" t="n"/>
      <c r="I4586" s="37" t="n"/>
      <c r="J4586" s="40" t="str">
        <f>IF(OR(C4586="",NOT(ISNUMBER(E4586))),"",IFERROR(E4586*N(INDEX(art_price,MATCH(C4586,art_ref,0))),""))</f>
        <v/>
      </c>
      <c r="K4586" s="39" t="str">
        <f>IF(OR(C4586="",NOT(ISNUMBER(E4586))),"",IFERROR(ROUND(N(INDEX(art_init,MATCH(C4586,art_ref,0)))+SUMIFS($E$5:E4586,$C$5:C4586,C4586,$B$5:B4586,"Entrée")-SUMIFS($E$5:E4586,$C$5:C4586,C4586,$B$5:B4586,"Sortie"),6),""))</f>
        <v/>
      </c>
      <c r="L4586" s="39" t="str">
        <f>IF(COUNTA(A4586:C4586,E4586)=0,"",IF(COUNTA(A4586:C4586,E4586)&lt;4,"Ligne incomplète",IF(NOT(ISNUMBER(A4586)),"Date invalide",IF(AND(B4586&lt;&gt;"Entrée",B4586&lt;&gt;"Sortie"),"Type inconnu",IF(ISNA(MATCH(C4586,art_ref,0)),"Référence inconnue",IF(OR(NOT(ISNUMBER(E4586)),N(E4586)&lt;=0),"Quantité invalide",IF(K4586&lt;0,"Stock négatif",IF(AND(ISNUMBER(A4585),A4586&lt;A4585),"Date hors ordre","OK"))))))))</f>
        <v/>
      </c>
      <c r="M4586" s="39" t="str">
        <f>IF(C4586="","",C4586&amp;"#"&amp;COUNTIF($C$5:C4586,C4586))</f>
        <v/>
      </c>
    </row>
    <row r="4587">
      <c r="A4587" s="41" t="n"/>
      <c r="B4587" s="37" t="n"/>
      <c r="C4587" s="37" t="n"/>
      <c r="D4587" s="39" t="str">
        <f>IF(C4587="","",IFERROR(INDEX(art_des,MATCH(C4587,art_ref,0))&amp;"","Référence inconnue"))</f>
        <v/>
      </c>
      <c r="E4587" s="37" t="n"/>
      <c r="F4587" s="39" t="str">
        <f>IF(C4587="","",IFERROR(INDEX(art_unit,MATCH(C4587,art_ref,0))&amp;"",""))</f>
        <v/>
      </c>
      <c r="G4587" s="37" t="n"/>
      <c r="H4587" s="37" t="n"/>
      <c r="I4587" s="37" t="n"/>
      <c r="J4587" s="40" t="str">
        <f>IF(OR(C4587="",NOT(ISNUMBER(E4587))),"",IFERROR(E4587*N(INDEX(art_price,MATCH(C4587,art_ref,0))),""))</f>
        <v/>
      </c>
      <c r="K4587" s="39" t="str">
        <f>IF(OR(C4587="",NOT(ISNUMBER(E4587))),"",IFERROR(ROUND(N(INDEX(art_init,MATCH(C4587,art_ref,0)))+SUMIFS($E$5:E4587,$C$5:C4587,C4587,$B$5:B4587,"Entrée")-SUMIFS($E$5:E4587,$C$5:C4587,C4587,$B$5:B4587,"Sortie"),6),""))</f>
        <v/>
      </c>
      <c r="L4587" s="39" t="str">
        <f>IF(COUNTA(A4587:C4587,E4587)=0,"",IF(COUNTA(A4587:C4587,E4587)&lt;4,"Ligne incomplète",IF(NOT(ISNUMBER(A4587)),"Date invalide",IF(AND(B4587&lt;&gt;"Entrée",B4587&lt;&gt;"Sortie"),"Type inconnu",IF(ISNA(MATCH(C4587,art_ref,0)),"Référence inconnue",IF(OR(NOT(ISNUMBER(E4587)),N(E4587)&lt;=0),"Quantité invalide",IF(K4587&lt;0,"Stock négatif",IF(AND(ISNUMBER(A4586),A4587&lt;A4586),"Date hors ordre","OK"))))))))</f>
        <v/>
      </c>
      <c r="M4587" s="39" t="str">
        <f>IF(C4587="","",C4587&amp;"#"&amp;COUNTIF($C$5:C4587,C4587))</f>
        <v/>
      </c>
    </row>
    <row r="4588">
      <c r="A4588" s="41" t="n"/>
      <c r="B4588" s="37" t="n"/>
      <c r="C4588" s="37" t="n"/>
      <c r="D4588" s="39" t="str">
        <f>IF(C4588="","",IFERROR(INDEX(art_des,MATCH(C4588,art_ref,0))&amp;"","Référence inconnue"))</f>
        <v/>
      </c>
      <c r="E4588" s="37" t="n"/>
      <c r="F4588" s="39" t="str">
        <f>IF(C4588="","",IFERROR(INDEX(art_unit,MATCH(C4588,art_ref,0))&amp;"",""))</f>
        <v/>
      </c>
      <c r="G4588" s="37" t="n"/>
      <c r="H4588" s="37" t="n"/>
      <c r="I4588" s="37" t="n"/>
      <c r="J4588" s="40" t="str">
        <f>IF(OR(C4588="",NOT(ISNUMBER(E4588))),"",IFERROR(E4588*N(INDEX(art_price,MATCH(C4588,art_ref,0))),""))</f>
        <v/>
      </c>
      <c r="K4588" s="39" t="str">
        <f>IF(OR(C4588="",NOT(ISNUMBER(E4588))),"",IFERROR(ROUND(N(INDEX(art_init,MATCH(C4588,art_ref,0)))+SUMIFS($E$5:E4588,$C$5:C4588,C4588,$B$5:B4588,"Entrée")-SUMIFS($E$5:E4588,$C$5:C4588,C4588,$B$5:B4588,"Sortie"),6),""))</f>
        <v/>
      </c>
      <c r="L4588" s="39" t="str">
        <f>IF(COUNTA(A4588:C4588,E4588)=0,"",IF(COUNTA(A4588:C4588,E4588)&lt;4,"Ligne incomplète",IF(NOT(ISNUMBER(A4588)),"Date invalide",IF(AND(B4588&lt;&gt;"Entrée",B4588&lt;&gt;"Sortie"),"Type inconnu",IF(ISNA(MATCH(C4588,art_ref,0)),"Référence inconnue",IF(OR(NOT(ISNUMBER(E4588)),N(E4588)&lt;=0),"Quantité invalide",IF(K4588&lt;0,"Stock négatif",IF(AND(ISNUMBER(A4587),A4588&lt;A4587),"Date hors ordre","OK"))))))))</f>
        <v/>
      </c>
      <c r="M4588" s="39" t="str">
        <f>IF(C4588="","",C4588&amp;"#"&amp;COUNTIF($C$5:C4588,C4588))</f>
        <v/>
      </c>
    </row>
    <row r="4589">
      <c r="A4589" s="41" t="n"/>
      <c r="B4589" s="37" t="n"/>
      <c r="C4589" s="37" t="n"/>
      <c r="D4589" s="39" t="str">
        <f>IF(C4589="","",IFERROR(INDEX(art_des,MATCH(C4589,art_ref,0))&amp;"","Référence inconnue"))</f>
        <v/>
      </c>
      <c r="E4589" s="37" t="n"/>
      <c r="F4589" s="39" t="str">
        <f>IF(C4589="","",IFERROR(INDEX(art_unit,MATCH(C4589,art_ref,0))&amp;"",""))</f>
        <v/>
      </c>
      <c r="G4589" s="37" t="n"/>
      <c r="H4589" s="37" t="n"/>
      <c r="I4589" s="37" t="n"/>
      <c r="J4589" s="40" t="str">
        <f>IF(OR(C4589="",NOT(ISNUMBER(E4589))),"",IFERROR(E4589*N(INDEX(art_price,MATCH(C4589,art_ref,0))),""))</f>
        <v/>
      </c>
      <c r="K4589" s="39" t="str">
        <f>IF(OR(C4589="",NOT(ISNUMBER(E4589))),"",IFERROR(ROUND(N(INDEX(art_init,MATCH(C4589,art_ref,0)))+SUMIFS($E$5:E4589,$C$5:C4589,C4589,$B$5:B4589,"Entrée")-SUMIFS($E$5:E4589,$C$5:C4589,C4589,$B$5:B4589,"Sortie"),6),""))</f>
        <v/>
      </c>
      <c r="L4589" s="39" t="str">
        <f>IF(COUNTA(A4589:C4589,E4589)=0,"",IF(COUNTA(A4589:C4589,E4589)&lt;4,"Ligne incomplète",IF(NOT(ISNUMBER(A4589)),"Date invalide",IF(AND(B4589&lt;&gt;"Entrée",B4589&lt;&gt;"Sortie"),"Type inconnu",IF(ISNA(MATCH(C4589,art_ref,0)),"Référence inconnue",IF(OR(NOT(ISNUMBER(E4589)),N(E4589)&lt;=0),"Quantité invalide",IF(K4589&lt;0,"Stock négatif",IF(AND(ISNUMBER(A4588),A4589&lt;A4588),"Date hors ordre","OK"))))))))</f>
        <v/>
      </c>
      <c r="M4589" s="39" t="str">
        <f>IF(C4589="","",C4589&amp;"#"&amp;COUNTIF($C$5:C4589,C4589))</f>
        <v/>
      </c>
    </row>
    <row r="4590">
      <c r="A4590" s="41" t="n"/>
      <c r="B4590" s="37" t="n"/>
      <c r="C4590" s="37" t="n"/>
      <c r="D4590" s="39" t="str">
        <f>IF(C4590="","",IFERROR(INDEX(art_des,MATCH(C4590,art_ref,0))&amp;"","Référence inconnue"))</f>
        <v/>
      </c>
      <c r="E4590" s="37" t="n"/>
      <c r="F4590" s="39" t="str">
        <f>IF(C4590="","",IFERROR(INDEX(art_unit,MATCH(C4590,art_ref,0))&amp;"",""))</f>
        <v/>
      </c>
      <c r="G4590" s="37" t="n"/>
      <c r="H4590" s="37" t="n"/>
      <c r="I4590" s="37" t="n"/>
      <c r="J4590" s="40" t="str">
        <f>IF(OR(C4590="",NOT(ISNUMBER(E4590))),"",IFERROR(E4590*N(INDEX(art_price,MATCH(C4590,art_ref,0))),""))</f>
        <v/>
      </c>
      <c r="K4590" s="39" t="str">
        <f>IF(OR(C4590="",NOT(ISNUMBER(E4590))),"",IFERROR(ROUND(N(INDEX(art_init,MATCH(C4590,art_ref,0)))+SUMIFS($E$5:E4590,$C$5:C4590,C4590,$B$5:B4590,"Entrée")-SUMIFS($E$5:E4590,$C$5:C4590,C4590,$B$5:B4590,"Sortie"),6),""))</f>
        <v/>
      </c>
      <c r="L4590" s="39" t="str">
        <f>IF(COUNTA(A4590:C4590,E4590)=0,"",IF(COUNTA(A4590:C4590,E4590)&lt;4,"Ligne incomplète",IF(NOT(ISNUMBER(A4590)),"Date invalide",IF(AND(B4590&lt;&gt;"Entrée",B4590&lt;&gt;"Sortie"),"Type inconnu",IF(ISNA(MATCH(C4590,art_ref,0)),"Référence inconnue",IF(OR(NOT(ISNUMBER(E4590)),N(E4590)&lt;=0),"Quantité invalide",IF(K4590&lt;0,"Stock négatif",IF(AND(ISNUMBER(A4589),A4590&lt;A4589),"Date hors ordre","OK"))))))))</f>
        <v/>
      </c>
      <c r="M4590" s="39" t="str">
        <f>IF(C4590="","",C4590&amp;"#"&amp;COUNTIF($C$5:C4590,C4590))</f>
        <v/>
      </c>
    </row>
    <row r="4591">
      <c r="A4591" s="41" t="n"/>
      <c r="B4591" s="37" t="n"/>
      <c r="C4591" s="37" t="n"/>
      <c r="D4591" s="39" t="str">
        <f>IF(C4591="","",IFERROR(INDEX(art_des,MATCH(C4591,art_ref,0))&amp;"","Référence inconnue"))</f>
        <v/>
      </c>
      <c r="E4591" s="37" t="n"/>
      <c r="F4591" s="39" t="str">
        <f>IF(C4591="","",IFERROR(INDEX(art_unit,MATCH(C4591,art_ref,0))&amp;"",""))</f>
        <v/>
      </c>
      <c r="G4591" s="37" t="n"/>
      <c r="H4591" s="37" t="n"/>
      <c r="I4591" s="37" t="n"/>
      <c r="J4591" s="40" t="str">
        <f>IF(OR(C4591="",NOT(ISNUMBER(E4591))),"",IFERROR(E4591*N(INDEX(art_price,MATCH(C4591,art_ref,0))),""))</f>
        <v/>
      </c>
      <c r="K4591" s="39" t="str">
        <f>IF(OR(C4591="",NOT(ISNUMBER(E4591))),"",IFERROR(ROUND(N(INDEX(art_init,MATCH(C4591,art_ref,0)))+SUMIFS($E$5:E4591,$C$5:C4591,C4591,$B$5:B4591,"Entrée")-SUMIFS($E$5:E4591,$C$5:C4591,C4591,$B$5:B4591,"Sortie"),6),""))</f>
        <v/>
      </c>
      <c r="L4591" s="39" t="str">
        <f>IF(COUNTA(A4591:C4591,E4591)=0,"",IF(COUNTA(A4591:C4591,E4591)&lt;4,"Ligne incomplète",IF(NOT(ISNUMBER(A4591)),"Date invalide",IF(AND(B4591&lt;&gt;"Entrée",B4591&lt;&gt;"Sortie"),"Type inconnu",IF(ISNA(MATCH(C4591,art_ref,0)),"Référence inconnue",IF(OR(NOT(ISNUMBER(E4591)),N(E4591)&lt;=0),"Quantité invalide",IF(K4591&lt;0,"Stock négatif",IF(AND(ISNUMBER(A4590),A4591&lt;A4590),"Date hors ordre","OK"))))))))</f>
        <v/>
      </c>
      <c r="M4591" s="39" t="str">
        <f>IF(C4591="","",C4591&amp;"#"&amp;COUNTIF($C$5:C4591,C4591))</f>
        <v/>
      </c>
    </row>
    <row r="4592">
      <c r="A4592" s="41" t="n"/>
      <c r="B4592" s="37" t="n"/>
      <c r="C4592" s="37" t="n"/>
      <c r="D4592" s="39" t="str">
        <f>IF(C4592="","",IFERROR(INDEX(art_des,MATCH(C4592,art_ref,0))&amp;"","Référence inconnue"))</f>
        <v/>
      </c>
      <c r="E4592" s="37" t="n"/>
      <c r="F4592" s="39" t="str">
        <f>IF(C4592="","",IFERROR(INDEX(art_unit,MATCH(C4592,art_ref,0))&amp;"",""))</f>
        <v/>
      </c>
      <c r="G4592" s="37" t="n"/>
      <c r="H4592" s="37" t="n"/>
      <c r="I4592" s="37" t="n"/>
      <c r="J4592" s="40" t="str">
        <f>IF(OR(C4592="",NOT(ISNUMBER(E4592))),"",IFERROR(E4592*N(INDEX(art_price,MATCH(C4592,art_ref,0))),""))</f>
        <v/>
      </c>
      <c r="K4592" s="39" t="str">
        <f>IF(OR(C4592="",NOT(ISNUMBER(E4592))),"",IFERROR(ROUND(N(INDEX(art_init,MATCH(C4592,art_ref,0)))+SUMIFS($E$5:E4592,$C$5:C4592,C4592,$B$5:B4592,"Entrée")-SUMIFS($E$5:E4592,$C$5:C4592,C4592,$B$5:B4592,"Sortie"),6),""))</f>
        <v/>
      </c>
      <c r="L4592" s="39" t="str">
        <f>IF(COUNTA(A4592:C4592,E4592)=0,"",IF(COUNTA(A4592:C4592,E4592)&lt;4,"Ligne incomplète",IF(NOT(ISNUMBER(A4592)),"Date invalide",IF(AND(B4592&lt;&gt;"Entrée",B4592&lt;&gt;"Sortie"),"Type inconnu",IF(ISNA(MATCH(C4592,art_ref,0)),"Référence inconnue",IF(OR(NOT(ISNUMBER(E4592)),N(E4592)&lt;=0),"Quantité invalide",IF(K4592&lt;0,"Stock négatif",IF(AND(ISNUMBER(A4591),A4592&lt;A4591),"Date hors ordre","OK"))))))))</f>
        <v/>
      </c>
      <c r="M4592" s="39" t="str">
        <f>IF(C4592="","",C4592&amp;"#"&amp;COUNTIF($C$5:C4592,C4592))</f>
        <v/>
      </c>
    </row>
    <row r="4593">
      <c r="A4593" s="41" t="n"/>
      <c r="B4593" s="37" t="n"/>
      <c r="C4593" s="37" t="n"/>
      <c r="D4593" s="39" t="str">
        <f>IF(C4593="","",IFERROR(INDEX(art_des,MATCH(C4593,art_ref,0))&amp;"","Référence inconnue"))</f>
        <v/>
      </c>
      <c r="E4593" s="37" t="n"/>
      <c r="F4593" s="39" t="str">
        <f>IF(C4593="","",IFERROR(INDEX(art_unit,MATCH(C4593,art_ref,0))&amp;"",""))</f>
        <v/>
      </c>
      <c r="G4593" s="37" t="n"/>
      <c r="H4593" s="37" t="n"/>
      <c r="I4593" s="37" t="n"/>
      <c r="J4593" s="40" t="str">
        <f>IF(OR(C4593="",NOT(ISNUMBER(E4593))),"",IFERROR(E4593*N(INDEX(art_price,MATCH(C4593,art_ref,0))),""))</f>
        <v/>
      </c>
      <c r="K4593" s="39" t="str">
        <f>IF(OR(C4593="",NOT(ISNUMBER(E4593))),"",IFERROR(ROUND(N(INDEX(art_init,MATCH(C4593,art_ref,0)))+SUMIFS($E$5:E4593,$C$5:C4593,C4593,$B$5:B4593,"Entrée")-SUMIFS($E$5:E4593,$C$5:C4593,C4593,$B$5:B4593,"Sortie"),6),""))</f>
        <v/>
      </c>
      <c r="L4593" s="39" t="str">
        <f>IF(COUNTA(A4593:C4593,E4593)=0,"",IF(COUNTA(A4593:C4593,E4593)&lt;4,"Ligne incomplète",IF(NOT(ISNUMBER(A4593)),"Date invalide",IF(AND(B4593&lt;&gt;"Entrée",B4593&lt;&gt;"Sortie"),"Type inconnu",IF(ISNA(MATCH(C4593,art_ref,0)),"Référence inconnue",IF(OR(NOT(ISNUMBER(E4593)),N(E4593)&lt;=0),"Quantité invalide",IF(K4593&lt;0,"Stock négatif",IF(AND(ISNUMBER(A4592),A4593&lt;A4592),"Date hors ordre","OK"))))))))</f>
        <v/>
      </c>
      <c r="M4593" s="39" t="str">
        <f>IF(C4593="","",C4593&amp;"#"&amp;COUNTIF($C$5:C4593,C4593))</f>
        <v/>
      </c>
    </row>
    <row r="4594">
      <c r="A4594" s="41" t="n"/>
      <c r="B4594" s="37" t="n"/>
      <c r="C4594" s="37" t="n"/>
      <c r="D4594" s="39" t="str">
        <f>IF(C4594="","",IFERROR(INDEX(art_des,MATCH(C4594,art_ref,0))&amp;"","Référence inconnue"))</f>
        <v/>
      </c>
      <c r="E4594" s="37" t="n"/>
      <c r="F4594" s="39" t="str">
        <f>IF(C4594="","",IFERROR(INDEX(art_unit,MATCH(C4594,art_ref,0))&amp;"",""))</f>
        <v/>
      </c>
      <c r="G4594" s="37" t="n"/>
      <c r="H4594" s="37" t="n"/>
      <c r="I4594" s="37" t="n"/>
      <c r="J4594" s="40" t="str">
        <f>IF(OR(C4594="",NOT(ISNUMBER(E4594))),"",IFERROR(E4594*N(INDEX(art_price,MATCH(C4594,art_ref,0))),""))</f>
        <v/>
      </c>
      <c r="K4594" s="39" t="str">
        <f>IF(OR(C4594="",NOT(ISNUMBER(E4594))),"",IFERROR(ROUND(N(INDEX(art_init,MATCH(C4594,art_ref,0)))+SUMIFS($E$5:E4594,$C$5:C4594,C4594,$B$5:B4594,"Entrée")-SUMIFS($E$5:E4594,$C$5:C4594,C4594,$B$5:B4594,"Sortie"),6),""))</f>
        <v/>
      </c>
      <c r="L4594" s="39" t="str">
        <f>IF(COUNTA(A4594:C4594,E4594)=0,"",IF(COUNTA(A4594:C4594,E4594)&lt;4,"Ligne incomplète",IF(NOT(ISNUMBER(A4594)),"Date invalide",IF(AND(B4594&lt;&gt;"Entrée",B4594&lt;&gt;"Sortie"),"Type inconnu",IF(ISNA(MATCH(C4594,art_ref,0)),"Référence inconnue",IF(OR(NOT(ISNUMBER(E4594)),N(E4594)&lt;=0),"Quantité invalide",IF(K4594&lt;0,"Stock négatif",IF(AND(ISNUMBER(A4593),A4594&lt;A4593),"Date hors ordre","OK"))))))))</f>
        <v/>
      </c>
      <c r="M4594" s="39" t="str">
        <f>IF(C4594="","",C4594&amp;"#"&amp;COUNTIF($C$5:C4594,C4594))</f>
        <v/>
      </c>
    </row>
    <row r="4595">
      <c r="A4595" s="41" t="n"/>
      <c r="B4595" s="37" t="n"/>
      <c r="C4595" s="37" t="n"/>
      <c r="D4595" s="39" t="str">
        <f>IF(C4595="","",IFERROR(INDEX(art_des,MATCH(C4595,art_ref,0))&amp;"","Référence inconnue"))</f>
        <v/>
      </c>
      <c r="E4595" s="37" t="n"/>
      <c r="F4595" s="39" t="str">
        <f>IF(C4595="","",IFERROR(INDEX(art_unit,MATCH(C4595,art_ref,0))&amp;"",""))</f>
        <v/>
      </c>
      <c r="G4595" s="37" t="n"/>
      <c r="H4595" s="37" t="n"/>
      <c r="I4595" s="37" t="n"/>
      <c r="J4595" s="40" t="str">
        <f>IF(OR(C4595="",NOT(ISNUMBER(E4595))),"",IFERROR(E4595*N(INDEX(art_price,MATCH(C4595,art_ref,0))),""))</f>
        <v/>
      </c>
      <c r="K4595" s="39" t="str">
        <f>IF(OR(C4595="",NOT(ISNUMBER(E4595))),"",IFERROR(ROUND(N(INDEX(art_init,MATCH(C4595,art_ref,0)))+SUMIFS($E$5:E4595,$C$5:C4595,C4595,$B$5:B4595,"Entrée")-SUMIFS($E$5:E4595,$C$5:C4595,C4595,$B$5:B4595,"Sortie"),6),""))</f>
        <v/>
      </c>
      <c r="L4595" s="39" t="str">
        <f>IF(COUNTA(A4595:C4595,E4595)=0,"",IF(COUNTA(A4595:C4595,E4595)&lt;4,"Ligne incomplète",IF(NOT(ISNUMBER(A4595)),"Date invalide",IF(AND(B4595&lt;&gt;"Entrée",B4595&lt;&gt;"Sortie"),"Type inconnu",IF(ISNA(MATCH(C4595,art_ref,0)),"Référence inconnue",IF(OR(NOT(ISNUMBER(E4595)),N(E4595)&lt;=0),"Quantité invalide",IF(K4595&lt;0,"Stock négatif",IF(AND(ISNUMBER(A4594),A4595&lt;A4594),"Date hors ordre","OK"))))))))</f>
        <v/>
      </c>
      <c r="M4595" s="39" t="str">
        <f>IF(C4595="","",C4595&amp;"#"&amp;COUNTIF($C$5:C4595,C4595))</f>
        <v/>
      </c>
    </row>
    <row r="4596">
      <c r="A4596" s="41" t="n"/>
      <c r="B4596" s="37" t="n"/>
      <c r="C4596" s="37" t="n"/>
      <c r="D4596" s="39" t="str">
        <f>IF(C4596="","",IFERROR(INDEX(art_des,MATCH(C4596,art_ref,0))&amp;"","Référence inconnue"))</f>
        <v/>
      </c>
      <c r="E4596" s="37" t="n"/>
      <c r="F4596" s="39" t="str">
        <f>IF(C4596="","",IFERROR(INDEX(art_unit,MATCH(C4596,art_ref,0))&amp;"",""))</f>
        <v/>
      </c>
      <c r="G4596" s="37" t="n"/>
      <c r="H4596" s="37" t="n"/>
      <c r="I4596" s="37" t="n"/>
      <c r="J4596" s="40" t="str">
        <f>IF(OR(C4596="",NOT(ISNUMBER(E4596))),"",IFERROR(E4596*N(INDEX(art_price,MATCH(C4596,art_ref,0))),""))</f>
        <v/>
      </c>
      <c r="K4596" s="39" t="str">
        <f>IF(OR(C4596="",NOT(ISNUMBER(E4596))),"",IFERROR(ROUND(N(INDEX(art_init,MATCH(C4596,art_ref,0)))+SUMIFS($E$5:E4596,$C$5:C4596,C4596,$B$5:B4596,"Entrée")-SUMIFS($E$5:E4596,$C$5:C4596,C4596,$B$5:B4596,"Sortie"),6),""))</f>
        <v/>
      </c>
      <c r="L4596" s="39" t="str">
        <f>IF(COUNTA(A4596:C4596,E4596)=0,"",IF(COUNTA(A4596:C4596,E4596)&lt;4,"Ligne incomplète",IF(NOT(ISNUMBER(A4596)),"Date invalide",IF(AND(B4596&lt;&gt;"Entrée",B4596&lt;&gt;"Sortie"),"Type inconnu",IF(ISNA(MATCH(C4596,art_ref,0)),"Référence inconnue",IF(OR(NOT(ISNUMBER(E4596)),N(E4596)&lt;=0),"Quantité invalide",IF(K4596&lt;0,"Stock négatif",IF(AND(ISNUMBER(A4595),A4596&lt;A4595),"Date hors ordre","OK"))))))))</f>
        <v/>
      </c>
      <c r="M4596" s="39" t="str">
        <f>IF(C4596="","",C4596&amp;"#"&amp;COUNTIF($C$5:C4596,C4596))</f>
        <v/>
      </c>
    </row>
    <row r="4597">
      <c r="A4597" s="41" t="n"/>
      <c r="B4597" s="37" t="n"/>
      <c r="C4597" s="37" t="n"/>
      <c r="D4597" s="39" t="str">
        <f>IF(C4597="","",IFERROR(INDEX(art_des,MATCH(C4597,art_ref,0))&amp;"","Référence inconnue"))</f>
        <v/>
      </c>
      <c r="E4597" s="37" t="n"/>
      <c r="F4597" s="39" t="str">
        <f>IF(C4597="","",IFERROR(INDEX(art_unit,MATCH(C4597,art_ref,0))&amp;"",""))</f>
        <v/>
      </c>
      <c r="G4597" s="37" t="n"/>
      <c r="H4597" s="37" t="n"/>
      <c r="I4597" s="37" t="n"/>
      <c r="J4597" s="40" t="str">
        <f>IF(OR(C4597="",NOT(ISNUMBER(E4597))),"",IFERROR(E4597*N(INDEX(art_price,MATCH(C4597,art_ref,0))),""))</f>
        <v/>
      </c>
      <c r="K4597" s="39" t="str">
        <f>IF(OR(C4597="",NOT(ISNUMBER(E4597))),"",IFERROR(ROUND(N(INDEX(art_init,MATCH(C4597,art_ref,0)))+SUMIFS($E$5:E4597,$C$5:C4597,C4597,$B$5:B4597,"Entrée")-SUMIFS($E$5:E4597,$C$5:C4597,C4597,$B$5:B4597,"Sortie"),6),""))</f>
        <v/>
      </c>
      <c r="L4597" s="39" t="str">
        <f>IF(COUNTA(A4597:C4597,E4597)=0,"",IF(COUNTA(A4597:C4597,E4597)&lt;4,"Ligne incomplète",IF(NOT(ISNUMBER(A4597)),"Date invalide",IF(AND(B4597&lt;&gt;"Entrée",B4597&lt;&gt;"Sortie"),"Type inconnu",IF(ISNA(MATCH(C4597,art_ref,0)),"Référence inconnue",IF(OR(NOT(ISNUMBER(E4597)),N(E4597)&lt;=0),"Quantité invalide",IF(K4597&lt;0,"Stock négatif",IF(AND(ISNUMBER(A4596),A4597&lt;A4596),"Date hors ordre","OK"))))))))</f>
        <v/>
      </c>
      <c r="M4597" s="39" t="str">
        <f>IF(C4597="","",C4597&amp;"#"&amp;COUNTIF($C$5:C4597,C4597))</f>
        <v/>
      </c>
    </row>
    <row r="4598">
      <c r="A4598" s="41" t="n"/>
      <c r="B4598" s="37" t="n"/>
      <c r="C4598" s="37" t="n"/>
      <c r="D4598" s="39" t="str">
        <f>IF(C4598="","",IFERROR(INDEX(art_des,MATCH(C4598,art_ref,0))&amp;"","Référence inconnue"))</f>
        <v/>
      </c>
      <c r="E4598" s="37" t="n"/>
      <c r="F4598" s="39" t="str">
        <f>IF(C4598="","",IFERROR(INDEX(art_unit,MATCH(C4598,art_ref,0))&amp;"",""))</f>
        <v/>
      </c>
      <c r="G4598" s="37" t="n"/>
      <c r="H4598" s="37" t="n"/>
      <c r="I4598" s="37" t="n"/>
      <c r="J4598" s="40" t="str">
        <f>IF(OR(C4598="",NOT(ISNUMBER(E4598))),"",IFERROR(E4598*N(INDEX(art_price,MATCH(C4598,art_ref,0))),""))</f>
        <v/>
      </c>
      <c r="K4598" s="39" t="str">
        <f>IF(OR(C4598="",NOT(ISNUMBER(E4598))),"",IFERROR(ROUND(N(INDEX(art_init,MATCH(C4598,art_ref,0)))+SUMIFS($E$5:E4598,$C$5:C4598,C4598,$B$5:B4598,"Entrée")-SUMIFS($E$5:E4598,$C$5:C4598,C4598,$B$5:B4598,"Sortie"),6),""))</f>
        <v/>
      </c>
      <c r="L4598" s="39" t="str">
        <f>IF(COUNTA(A4598:C4598,E4598)=0,"",IF(COUNTA(A4598:C4598,E4598)&lt;4,"Ligne incomplète",IF(NOT(ISNUMBER(A4598)),"Date invalide",IF(AND(B4598&lt;&gt;"Entrée",B4598&lt;&gt;"Sortie"),"Type inconnu",IF(ISNA(MATCH(C4598,art_ref,0)),"Référence inconnue",IF(OR(NOT(ISNUMBER(E4598)),N(E4598)&lt;=0),"Quantité invalide",IF(K4598&lt;0,"Stock négatif",IF(AND(ISNUMBER(A4597),A4598&lt;A4597),"Date hors ordre","OK"))))))))</f>
        <v/>
      </c>
      <c r="M4598" s="39" t="str">
        <f>IF(C4598="","",C4598&amp;"#"&amp;COUNTIF($C$5:C4598,C4598))</f>
        <v/>
      </c>
    </row>
    <row r="4599">
      <c r="A4599" s="41" t="n"/>
      <c r="B4599" s="37" t="n"/>
      <c r="C4599" s="37" t="n"/>
      <c r="D4599" s="39" t="str">
        <f>IF(C4599="","",IFERROR(INDEX(art_des,MATCH(C4599,art_ref,0))&amp;"","Référence inconnue"))</f>
        <v/>
      </c>
      <c r="E4599" s="37" t="n"/>
      <c r="F4599" s="39" t="str">
        <f>IF(C4599="","",IFERROR(INDEX(art_unit,MATCH(C4599,art_ref,0))&amp;"",""))</f>
        <v/>
      </c>
      <c r="G4599" s="37" t="n"/>
      <c r="H4599" s="37" t="n"/>
      <c r="I4599" s="37" t="n"/>
      <c r="J4599" s="40" t="str">
        <f>IF(OR(C4599="",NOT(ISNUMBER(E4599))),"",IFERROR(E4599*N(INDEX(art_price,MATCH(C4599,art_ref,0))),""))</f>
        <v/>
      </c>
      <c r="K4599" s="39" t="str">
        <f>IF(OR(C4599="",NOT(ISNUMBER(E4599))),"",IFERROR(ROUND(N(INDEX(art_init,MATCH(C4599,art_ref,0)))+SUMIFS($E$5:E4599,$C$5:C4599,C4599,$B$5:B4599,"Entrée")-SUMIFS($E$5:E4599,$C$5:C4599,C4599,$B$5:B4599,"Sortie"),6),""))</f>
        <v/>
      </c>
      <c r="L4599" s="39" t="str">
        <f>IF(COUNTA(A4599:C4599,E4599)=0,"",IF(COUNTA(A4599:C4599,E4599)&lt;4,"Ligne incomplète",IF(NOT(ISNUMBER(A4599)),"Date invalide",IF(AND(B4599&lt;&gt;"Entrée",B4599&lt;&gt;"Sortie"),"Type inconnu",IF(ISNA(MATCH(C4599,art_ref,0)),"Référence inconnue",IF(OR(NOT(ISNUMBER(E4599)),N(E4599)&lt;=0),"Quantité invalide",IF(K4599&lt;0,"Stock négatif",IF(AND(ISNUMBER(A4598),A4599&lt;A4598),"Date hors ordre","OK"))))))))</f>
        <v/>
      </c>
      <c r="M4599" s="39" t="str">
        <f>IF(C4599="","",C4599&amp;"#"&amp;COUNTIF($C$5:C4599,C4599))</f>
        <v/>
      </c>
    </row>
    <row r="4600">
      <c r="A4600" s="41" t="n"/>
      <c r="B4600" s="37" t="n"/>
      <c r="C4600" s="37" t="n"/>
      <c r="D4600" s="39" t="str">
        <f>IF(C4600="","",IFERROR(INDEX(art_des,MATCH(C4600,art_ref,0))&amp;"","Référence inconnue"))</f>
        <v/>
      </c>
      <c r="E4600" s="37" t="n"/>
      <c r="F4600" s="39" t="str">
        <f>IF(C4600="","",IFERROR(INDEX(art_unit,MATCH(C4600,art_ref,0))&amp;"",""))</f>
        <v/>
      </c>
      <c r="G4600" s="37" t="n"/>
      <c r="H4600" s="37" t="n"/>
      <c r="I4600" s="37" t="n"/>
      <c r="J4600" s="40" t="str">
        <f>IF(OR(C4600="",NOT(ISNUMBER(E4600))),"",IFERROR(E4600*N(INDEX(art_price,MATCH(C4600,art_ref,0))),""))</f>
        <v/>
      </c>
      <c r="K4600" s="39" t="str">
        <f>IF(OR(C4600="",NOT(ISNUMBER(E4600))),"",IFERROR(ROUND(N(INDEX(art_init,MATCH(C4600,art_ref,0)))+SUMIFS($E$5:E4600,$C$5:C4600,C4600,$B$5:B4600,"Entrée")-SUMIFS($E$5:E4600,$C$5:C4600,C4600,$B$5:B4600,"Sortie"),6),""))</f>
        <v/>
      </c>
      <c r="L4600" s="39" t="str">
        <f>IF(COUNTA(A4600:C4600,E4600)=0,"",IF(COUNTA(A4600:C4600,E4600)&lt;4,"Ligne incomplète",IF(NOT(ISNUMBER(A4600)),"Date invalide",IF(AND(B4600&lt;&gt;"Entrée",B4600&lt;&gt;"Sortie"),"Type inconnu",IF(ISNA(MATCH(C4600,art_ref,0)),"Référence inconnue",IF(OR(NOT(ISNUMBER(E4600)),N(E4600)&lt;=0),"Quantité invalide",IF(K4600&lt;0,"Stock négatif",IF(AND(ISNUMBER(A4599),A4600&lt;A4599),"Date hors ordre","OK"))))))))</f>
        <v/>
      </c>
      <c r="M4600" s="39" t="str">
        <f>IF(C4600="","",C4600&amp;"#"&amp;COUNTIF($C$5:C4600,C4600))</f>
        <v/>
      </c>
    </row>
    <row r="4601">
      <c r="A4601" s="41" t="n"/>
      <c r="B4601" s="37" t="n"/>
      <c r="C4601" s="37" t="n"/>
      <c r="D4601" s="39" t="str">
        <f>IF(C4601="","",IFERROR(INDEX(art_des,MATCH(C4601,art_ref,0))&amp;"","Référence inconnue"))</f>
        <v/>
      </c>
      <c r="E4601" s="37" t="n"/>
      <c r="F4601" s="39" t="str">
        <f>IF(C4601="","",IFERROR(INDEX(art_unit,MATCH(C4601,art_ref,0))&amp;"",""))</f>
        <v/>
      </c>
      <c r="G4601" s="37" t="n"/>
      <c r="H4601" s="37" t="n"/>
      <c r="I4601" s="37" t="n"/>
      <c r="J4601" s="40" t="str">
        <f>IF(OR(C4601="",NOT(ISNUMBER(E4601))),"",IFERROR(E4601*N(INDEX(art_price,MATCH(C4601,art_ref,0))),""))</f>
        <v/>
      </c>
      <c r="K4601" s="39" t="str">
        <f>IF(OR(C4601="",NOT(ISNUMBER(E4601))),"",IFERROR(ROUND(N(INDEX(art_init,MATCH(C4601,art_ref,0)))+SUMIFS($E$5:E4601,$C$5:C4601,C4601,$B$5:B4601,"Entrée")-SUMIFS($E$5:E4601,$C$5:C4601,C4601,$B$5:B4601,"Sortie"),6),""))</f>
        <v/>
      </c>
      <c r="L4601" s="39" t="str">
        <f>IF(COUNTA(A4601:C4601,E4601)=0,"",IF(COUNTA(A4601:C4601,E4601)&lt;4,"Ligne incomplète",IF(NOT(ISNUMBER(A4601)),"Date invalide",IF(AND(B4601&lt;&gt;"Entrée",B4601&lt;&gt;"Sortie"),"Type inconnu",IF(ISNA(MATCH(C4601,art_ref,0)),"Référence inconnue",IF(OR(NOT(ISNUMBER(E4601)),N(E4601)&lt;=0),"Quantité invalide",IF(K4601&lt;0,"Stock négatif",IF(AND(ISNUMBER(A4600),A4601&lt;A4600),"Date hors ordre","OK"))))))))</f>
        <v/>
      </c>
      <c r="M4601" s="39" t="str">
        <f>IF(C4601="","",C4601&amp;"#"&amp;COUNTIF($C$5:C4601,C4601))</f>
        <v/>
      </c>
    </row>
    <row r="4602">
      <c r="A4602" s="41" t="n"/>
      <c r="B4602" s="37" t="n"/>
      <c r="C4602" s="37" t="n"/>
      <c r="D4602" s="39" t="str">
        <f>IF(C4602="","",IFERROR(INDEX(art_des,MATCH(C4602,art_ref,0))&amp;"","Référence inconnue"))</f>
        <v/>
      </c>
      <c r="E4602" s="37" t="n"/>
      <c r="F4602" s="39" t="str">
        <f>IF(C4602="","",IFERROR(INDEX(art_unit,MATCH(C4602,art_ref,0))&amp;"",""))</f>
        <v/>
      </c>
      <c r="G4602" s="37" t="n"/>
      <c r="H4602" s="37" t="n"/>
      <c r="I4602" s="37" t="n"/>
      <c r="J4602" s="40" t="str">
        <f>IF(OR(C4602="",NOT(ISNUMBER(E4602))),"",IFERROR(E4602*N(INDEX(art_price,MATCH(C4602,art_ref,0))),""))</f>
        <v/>
      </c>
      <c r="K4602" s="39" t="str">
        <f>IF(OR(C4602="",NOT(ISNUMBER(E4602))),"",IFERROR(ROUND(N(INDEX(art_init,MATCH(C4602,art_ref,0)))+SUMIFS($E$5:E4602,$C$5:C4602,C4602,$B$5:B4602,"Entrée")-SUMIFS($E$5:E4602,$C$5:C4602,C4602,$B$5:B4602,"Sortie"),6),""))</f>
        <v/>
      </c>
      <c r="L4602" s="39" t="str">
        <f>IF(COUNTA(A4602:C4602,E4602)=0,"",IF(COUNTA(A4602:C4602,E4602)&lt;4,"Ligne incomplète",IF(NOT(ISNUMBER(A4602)),"Date invalide",IF(AND(B4602&lt;&gt;"Entrée",B4602&lt;&gt;"Sortie"),"Type inconnu",IF(ISNA(MATCH(C4602,art_ref,0)),"Référence inconnue",IF(OR(NOT(ISNUMBER(E4602)),N(E4602)&lt;=0),"Quantité invalide",IF(K4602&lt;0,"Stock négatif",IF(AND(ISNUMBER(A4601),A4602&lt;A4601),"Date hors ordre","OK"))))))))</f>
        <v/>
      </c>
      <c r="M4602" s="39" t="str">
        <f>IF(C4602="","",C4602&amp;"#"&amp;COUNTIF($C$5:C4602,C4602))</f>
        <v/>
      </c>
    </row>
    <row r="4603">
      <c r="A4603" s="41" t="n"/>
      <c r="B4603" s="37" t="n"/>
      <c r="C4603" s="37" t="n"/>
      <c r="D4603" s="39" t="str">
        <f>IF(C4603="","",IFERROR(INDEX(art_des,MATCH(C4603,art_ref,0))&amp;"","Référence inconnue"))</f>
        <v/>
      </c>
      <c r="E4603" s="37" t="n"/>
      <c r="F4603" s="39" t="str">
        <f>IF(C4603="","",IFERROR(INDEX(art_unit,MATCH(C4603,art_ref,0))&amp;"",""))</f>
        <v/>
      </c>
      <c r="G4603" s="37" t="n"/>
      <c r="H4603" s="37" t="n"/>
      <c r="I4603" s="37" t="n"/>
      <c r="J4603" s="40" t="str">
        <f>IF(OR(C4603="",NOT(ISNUMBER(E4603))),"",IFERROR(E4603*N(INDEX(art_price,MATCH(C4603,art_ref,0))),""))</f>
        <v/>
      </c>
      <c r="K4603" s="39" t="str">
        <f>IF(OR(C4603="",NOT(ISNUMBER(E4603))),"",IFERROR(ROUND(N(INDEX(art_init,MATCH(C4603,art_ref,0)))+SUMIFS($E$5:E4603,$C$5:C4603,C4603,$B$5:B4603,"Entrée")-SUMIFS($E$5:E4603,$C$5:C4603,C4603,$B$5:B4603,"Sortie"),6),""))</f>
        <v/>
      </c>
      <c r="L4603" s="39" t="str">
        <f>IF(COUNTA(A4603:C4603,E4603)=0,"",IF(COUNTA(A4603:C4603,E4603)&lt;4,"Ligne incomplète",IF(NOT(ISNUMBER(A4603)),"Date invalide",IF(AND(B4603&lt;&gt;"Entrée",B4603&lt;&gt;"Sortie"),"Type inconnu",IF(ISNA(MATCH(C4603,art_ref,0)),"Référence inconnue",IF(OR(NOT(ISNUMBER(E4603)),N(E4603)&lt;=0),"Quantité invalide",IF(K4603&lt;0,"Stock négatif",IF(AND(ISNUMBER(A4602),A4603&lt;A4602),"Date hors ordre","OK"))))))))</f>
        <v/>
      </c>
      <c r="M4603" s="39" t="str">
        <f>IF(C4603="","",C4603&amp;"#"&amp;COUNTIF($C$5:C4603,C4603))</f>
        <v/>
      </c>
    </row>
    <row r="4604">
      <c r="A4604" s="41" t="n"/>
      <c r="B4604" s="37" t="n"/>
      <c r="C4604" s="37" t="n"/>
      <c r="D4604" s="39" t="str">
        <f>IF(C4604="","",IFERROR(INDEX(art_des,MATCH(C4604,art_ref,0))&amp;"","Référence inconnue"))</f>
        <v/>
      </c>
      <c r="E4604" s="37" t="n"/>
      <c r="F4604" s="39" t="str">
        <f>IF(C4604="","",IFERROR(INDEX(art_unit,MATCH(C4604,art_ref,0))&amp;"",""))</f>
        <v/>
      </c>
      <c r="G4604" s="37" t="n"/>
      <c r="H4604" s="37" t="n"/>
      <c r="I4604" s="37" t="n"/>
      <c r="J4604" s="40" t="str">
        <f>IF(OR(C4604="",NOT(ISNUMBER(E4604))),"",IFERROR(E4604*N(INDEX(art_price,MATCH(C4604,art_ref,0))),""))</f>
        <v/>
      </c>
      <c r="K4604" s="39" t="str">
        <f>IF(OR(C4604="",NOT(ISNUMBER(E4604))),"",IFERROR(ROUND(N(INDEX(art_init,MATCH(C4604,art_ref,0)))+SUMIFS($E$5:E4604,$C$5:C4604,C4604,$B$5:B4604,"Entrée")-SUMIFS($E$5:E4604,$C$5:C4604,C4604,$B$5:B4604,"Sortie"),6),""))</f>
        <v/>
      </c>
      <c r="L4604" s="39" t="str">
        <f>IF(COUNTA(A4604:C4604,E4604)=0,"",IF(COUNTA(A4604:C4604,E4604)&lt;4,"Ligne incomplète",IF(NOT(ISNUMBER(A4604)),"Date invalide",IF(AND(B4604&lt;&gt;"Entrée",B4604&lt;&gt;"Sortie"),"Type inconnu",IF(ISNA(MATCH(C4604,art_ref,0)),"Référence inconnue",IF(OR(NOT(ISNUMBER(E4604)),N(E4604)&lt;=0),"Quantité invalide",IF(K4604&lt;0,"Stock négatif",IF(AND(ISNUMBER(A4603),A4604&lt;A4603),"Date hors ordre","OK"))))))))</f>
        <v/>
      </c>
      <c r="M4604" s="39" t="str">
        <f>IF(C4604="","",C4604&amp;"#"&amp;COUNTIF($C$5:C4604,C4604))</f>
        <v/>
      </c>
    </row>
    <row r="4605">
      <c r="A4605" s="41" t="n"/>
      <c r="B4605" s="37" t="n"/>
      <c r="C4605" s="37" t="n"/>
      <c r="D4605" s="39" t="str">
        <f>IF(C4605="","",IFERROR(INDEX(art_des,MATCH(C4605,art_ref,0))&amp;"","Référence inconnue"))</f>
        <v/>
      </c>
      <c r="E4605" s="37" t="n"/>
      <c r="F4605" s="39" t="str">
        <f>IF(C4605="","",IFERROR(INDEX(art_unit,MATCH(C4605,art_ref,0))&amp;"",""))</f>
        <v/>
      </c>
      <c r="G4605" s="37" t="n"/>
      <c r="H4605" s="37" t="n"/>
      <c r="I4605" s="37" t="n"/>
      <c r="J4605" s="40" t="str">
        <f>IF(OR(C4605="",NOT(ISNUMBER(E4605))),"",IFERROR(E4605*N(INDEX(art_price,MATCH(C4605,art_ref,0))),""))</f>
        <v/>
      </c>
      <c r="K4605" s="39" t="str">
        <f>IF(OR(C4605="",NOT(ISNUMBER(E4605))),"",IFERROR(ROUND(N(INDEX(art_init,MATCH(C4605,art_ref,0)))+SUMIFS($E$5:E4605,$C$5:C4605,C4605,$B$5:B4605,"Entrée")-SUMIFS($E$5:E4605,$C$5:C4605,C4605,$B$5:B4605,"Sortie"),6),""))</f>
        <v/>
      </c>
      <c r="L4605" s="39" t="str">
        <f>IF(COUNTA(A4605:C4605,E4605)=0,"",IF(COUNTA(A4605:C4605,E4605)&lt;4,"Ligne incomplète",IF(NOT(ISNUMBER(A4605)),"Date invalide",IF(AND(B4605&lt;&gt;"Entrée",B4605&lt;&gt;"Sortie"),"Type inconnu",IF(ISNA(MATCH(C4605,art_ref,0)),"Référence inconnue",IF(OR(NOT(ISNUMBER(E4605)),N(E4605)&lt;=0),"Quantité invalide",IF(K4605&lt;0,"Stock négatif",IF(AND(ISNUMBER(A4604),A4605&lt;A4604),"Date hors ordre","OK"))))))))</f>
        <v/>
      </c>
      <c r="M4605" s="39" t="str">
        <f>IF(C4605="","",C4605&amp;"#"&amp;COUNTIF($C$5:C4605,C4605))</f>
        <v/>
      </c>
    </row>
    <row r="4606">
      <c r="A4606" s="41" t="n"/>
      <c r="B4606" s="37" t="n"/>
      <c r="C4606" s="37" t="n"/>
      <c r="D4606" s="39" t="str">
        <f>IF(C4606="","",IFERROR(INDEX(art_des,MATCH(C4606,art_ref,0))&amp;"","Référence inconnue"))</f>
        <v/>
      </c>
      <c r="E4606" s="37" t="n"/>
      <c r="F4606" s="39" t="str">
        <f>IF(C4606="","",IFERROR(INDEX(art_unit,MATCH(C4606,art_ref,0))&amp;"",""))</f>
        <v/>
      </c>
      <c r="G4606" s="37" t="n"/>
      <c r="H4606" s="37" t="n"/>
      <c r="I4606" s="37" t="n"/>
      <c r="J4606" s="40" t="str">
        <f>IF(OR(C4606="",NOT(ISNUMBER(E4606))),"",IFERROR(E4606*N(INDEX(art_price,MATCH(C4606,art_ref,0))),""))</f>
        <v/>
      </c>
      <c r="K4606" s="39" t="str">
        <f>IF(OR(C4606="",NOT(ISNUMBER(E4606))),"",IFERROR(ROUND(N(INDEX(art_init,MATCH(C4606,art_ref,0)))+SUMIFS($E$5:E4606,$C$5:C4606,C4606,$B$5:B4606,"Entrée")-SUMIFS($E$5:E4606,$C$5:C4606,C4606,$B$5:B4606,"Sortie"),6),""))</f>
        <v/>
      </c>
      <c r="L4606" s="39" t="str">
        <f>IF(COUNTA(A4606:C4606,E4606)=0,"",IF(COUNTA(A4606:C4606,E4606)&lt;4,"Ligne incomplète",IF(NOT(ISNUMBER(A4606)),"Date invalide",IF(AND(B4606&lt;&gt;"Entrée",B4606&lt;&gt;"Sortie"),"Type inconnu",IF(ISNA(MATCH(C4606,art_ref,0)),"Référence inconnue",IF(OR(NOT(ISNUMBER(E4606)),N(E4606)&lt;=0),"Quantité invalide",IF(K4606&lt;0,"Stock négatif",IF(AND(ISNUMBER(A4605),A4606&lt;A4605),"Date hors ordre","OK"))))))))</f>
        <v/>
      </c>
      <c r="M4606" s="39" t="str">
        <f>IF(C4606="","",C4606&amp;"#"&amp;COUNTIF($C$5:C4606,C4606))</f>
        <v/>
      </c>
    </row>
    <row r="4607">
      <c r="A4607" s="41" t="n"/>
      <c r="B4607" s="37" t="n"/>
      <c r="C4607" s="37" t="n"/>
      <c r="D4607" s="39" t="str">
        <f>IF(C4607="","",IFERROR(INDEX(art_des,MATCH(C4607,art_ref,0))&amp;"","Référence inconnue"))</f>
        <v/>
      </c>
      <c r="E4607" s="37" t="n"/>
      <c r="F4607" s="39" t="str">
        <f>IF(C4607="","",IFERROR(INDEX(art_unit,MATCH(C4607,art_ref,0))&amp;"",""))</f>
        <v/>
      </c>
      <c r="G4607" s="37" t="n"/>
      <c r="H4607" s="37" t="n"/>
      <c r="I4607" s="37" t="n"/>
      <c r="J4607" s="40" t="str">
        <f>IF(OR(C4607="",NOT(ISNUMBER(E4607))),"",IFERROR(E4607*N(INDEX(art_price,MATCH(C4607,art_ref,0))),""))</f>
        <v/>
      </c>
      <c r="K4607" s="39" t="str">
        <f>IF(OR(C4607="",NOT(ISNUMBER(E4607))),"",IFERROR(ROUND(N(INDEX(art_init,MATCH(C4607,art_ref,0)))+SUMIFS($E$5:E4607,$C$5:C4607,C4607,$B$5:B4607,"Entrée")-SUMIFS($E$5:E4607,$C$5:C4607,C4607,$B$5:B4607,"Sortie"),6),""))</f>
        <v/>
      </c>
      <c r="L4607" s="39" t="str">
        <f>IF(COUNTA(A4607:C4607,E4607)=0,"",IF(COUNTA(A4607:C4607,E4607)&lt;4,"Ligne incomplète",IF(NOT(ISNUMBER(A4607)),"Date invalide",IF(AND(B4607&lt;&gt;"Entrée",B4607&lt;&gt;"Sortie"),"Type inconnu",IF(ISNA(MATCH(C4607,art_ref,0)),"Référence inconnue",IF(OR(NOT(ISNUMBER(E4607)),N(E4607)&lt;=0),"Quantité invalide",IF(K4607&lt;0,"Stock négatif",IF(AND(ISNUMBER(A4606),A4607&lt;A4606),"Date hors ordre","OK"))))))))</f>
        <v/>
      </c>
      <c r="M4607" s="39" t="str">
        <f>IF(C4607="","",C4607&amp;"#"&amp;COUNTIF($C$5:C4607,C4607))</f>
        <v/>
      </c>
    </row>
    <row r="4608">
      <c r="A4608" s="41" t="n"/>
      <c r="B4608" s="37" t="n"/>
      <c r="C4608" s="37" t="n"/>
      <c r="D4608" s="39" t="str">
        <f>IF(C4608="","",IFERROR(INDEX(art_des,MATCH(C4608,art_ref,0))&amp;"","Référence inconnue"))</f>
        <v/>
      </c>
      <c r="E4608" s="37" t="n"/>
      <c r="F4608" s="39" t="str">
        <f>IF(C4608="","",IFERROR(INDEX(art_unit,MATCH(C4608,art_ref,0))&amp;"",""))</f>
        <v/>
      </c>
      <c r="G4608" s="37" t="n"/>
      <c r="H4608" s="37" t="n"/>
      <c r="I4608" s="37" t="n"/>
      <c r="J4608" s="40" t="str">
        <f>IF(OR(C4608="",NOT(ISNUMBER(E4608))),"",IFERROR(E4608*N(INDEX(art_price,MATCH(C4608,art_ref,0))),""))</f>
        <v/>
      </c>
      <c r="K4608" s="39" t="str">
        <f>IF(OR(C4608="",NOT(ISNUMBER(E4608))),"",IFERROR(ROUND(N(INDEX(art_init,MATCH(C4608,art_ref,0)))+SUMIFS($E$5:E4608,$C$5:C4608,C4608,$B$5:B4608,"Entrée")-SUMIFS($E$5:E4608,$C$5:C4608,C4608,$B$5:B4608,"Sortie"),6),""))</f>
        <v/>
      </c>
      <c r="L4608" s="39" t="str">
        <f>IF(COUNTA(A4608:C4608,E4608)=0,"",IF(COUNTA(A4608:C4608,E4608)&lt;4,"Ligne incomplète",IF(NOT(ISNUMBER(A4608)),"Date invalide",IF(AND(B4608&lt;&gt;"Entrée",B4608&lt;&gt;"Sortie"),"Type inconnu",IF(ISNA(MATCH(C4608,art_ref,0)),"Référence inconnue",IF(OR(NOT(ISNUMBER(E4608)),N(E4608)&lt;=0),"Quantité invalide",IF(K4608&lt;0,"Stock négatif",IF(AND(ISNUMBER(A4607),A4608&lt;A4607),"Date hors ordre","OK"))))))))</f>
        <v/>
      </c>
      <c r="M4608" s="39" t="str">
        <f>IF(C4608="","",C4608&amp;"#"&amp;COUNTIF($C$5:C4608,C4608))</f>
        <v/>
      </c>
    </row>
    <row r="4609">
      <c r="A4609" s="41" t="n"/>
      <c r="B4609" s="37" t="n"/>
      <c r="C4609" s="37" t="n"/>
      <c r="D4609" s="39" t="str">
        <f>IF(C4609="","",IFERROR(INDEX(art_des,MATCH(C4609,art_ref,0))&amp;"","Référence inconnue"))</f>
        <v/>
      </c>
      <c r="E4609" s="37" t="n"/>
      <c r="F4609" s="39" t="str">
        <f>IF(C4609="","",IFERROR(INDEX(art_unit,MATCH(C4609,art_ref,0))&amp;"",""))</f>
        <v/>
      </c>
      <c r="G4609" s="37" t="n"/>
      <c r="H4609" s="37" t="n"/>
      <c r="I4609" s="37" t="n"/>
      <c r="J4609" s="40" t="str">
        <f>IF(OR(C4609="",NOT(ISNUMBER(E4609))),"",IFERROR(E4609*N(INDEX(art_price,MATCH(C4609,art_ref,0))),""))</f>
        <v/>
      </c>
      <c r="K4609" s="39" t="str">
        <f>IF(OR(C4609="",NOT(ISNUMBER(E4609))),"",IFERROR(ROUND(N(INDEX(art_init,MATCH(C4609,art_ref,0)))+SUMIFS($E$5:E4609,$C$5:C4609,C4609,$B$5:B4609,"Entrée")-SUMIFS($E$5:E4609,$C$5:C4609,C4609,$B$5:B4609,"Sortie"),6),""))</f>
        <v/>
      </c>
      <c r="L4609" s="39" t="str">
        <f>IF(COUNTA(A4609:C4609,E4609)=0,"",IF(COUNTA(A4609:C4609,E4609)&lt;4,"Ligne incomplète",IF(NOT(ISNUMBER(A4609)),"Date invalide",IF(AND(B4609&lt;&gt;"Entrée",B4609&lt;&gt;"Sortie"),"Type inconnu",IF(ISNA(MATCH(C4609,art_ref,0)),"Référence inconnue",IF(OR(NOT(ISNUMBER(E4609)),N(E4609)&lt;=0),"Quantité invalide",IF(K4609&lt;0,"Stock négatif",IF(AND(ISNUMBER(A4608),A4609&lt;A4608),"Date hors ordre","OK"))))))))</f>
        <v/>
      </c>
      <c r="M4609" s="39" t="str">
        <f>IF(C4609="","",C4609&amp;"#"&amp;COUNTIF($C$5:C4609,C4609))</f>
        <v/>
      </c>
    </row>
    <row r="4610">
      <c r="A4610" s="41" t="n"/>
      <c r="B4610" s="37" t="n"/>
      <c r="C4610" s="37" t="n"/>
      <c r="D4610" s="39" t="str">
        <f>IF(C4610="","",IFERROR(INDEX(art_des,MATCH(C4610,art_ref,0))&amp;"","Référence inconnue"))</f>
        <v/>
      </c>
      <c r="E4610" s="37" t="n"/>
      <c r="F4610" s="39" t="str">
        <f>IF(C4610="","",IFERROR(INDEX(art_unit,MATCH(C4610,art_ref,0))&amp;"",""))</f>
        <v/>
      </c>
      <c r="G4610" s="37" t="n"/>
      <c r="H4610" s="37" t="n"/>
      <c r="I4610" s="37" t="n"/>
      <c r="J4610" s="40" t="str">
        <f>IF(OR(C4610="",NOT(ISNUMBER(E4610))),"",IFERROR(E4610*N(INDEX(art_price,MATCH(C4610,art_ref,0))),""))</f>
        <v/>
      </c>
      <c r="K4610" s="39" t="str">
        <f>IF(OR(C4610="",NOT(ISNUMBER(E4610))),"",IFERROR(ROUND(N(INDEX(art_init,MATCH(C4610,art_ref,0)))+SUMIFS($E$5:E4610,$C$5:C4610,C4610,$B$5:B4610,"Entrée")-SUMIFS($E$5:E4610,$C$5:C4610,C4610,$B$5:B4610,"Sortie"),6),""))</f>
        <v/>
      </c>
      <c r="L4610" s="39" t="str">
        <f>IF(COUNTA(A4610:C4610,E4610)=0,"",IF(COUNTA(A4610:C4610,E4610)&lt;4,"Ligne incomplète",IF(NOT(ISNUMBER(A4610)),"Date invalide",IF(AND(B4610&lt;&gt;"Entrée",B4610&lt;&gt;"Sortie"),"Type inconnu",IF(ISNA(MATCH(C4610,art_ref,0)),"Référence inconnue",IF(OR(NOT(ISNUMBER(E4610)),N(E4610)&lt;=0),"Quantité invalide",IF(K4610&lt;0,"Stock négatif",IF(AND(ISNUMBER(A4609),A4610&lt;A4609),"Date hors ordre","OK"))))))))</f>
        <v/>
      </c>
      <c r="M4610" s="39" t="str">
        <f>IF(C4610="","",C4610&amp;"#"&amp;COUNTIF($C$5:C4610,C4610))</f>
        <v/>
      </c>
    </row>
    <row r="4611">
      <c r="A4611" s="41" t="n"/>
      <c r="B4611" s="37" t="n"/>
      <c r="C4611" s="37" t="n"/>
      <c r="D4611" s="39" t="str">
        <f>IF(C4611="","",IFERROR(INDEX(art_des,MATCH(C4611,art_ref,0))&amp;"","Référence inconnue"))</f>
        <v/>
      </c>
      <c r="E4611" s="37" t="n"/>
      <c r="F4611" s="39" t="str">
        <f>IF(C4611="","",IFERROR(INDEX(art_unit,MATCH(C4611,art_ref,0))&amp;"",""))</f>
        <v/>
      </c>
      <c r="G4611" s="37" t="n"/>
      <c r="H4611" s="37" t="n"/>
      <c r="I4611" s="37" t="n"/>
      <c r="J4611" s="40" t="str">
        <f>IF(OR(C4611="",NOT(ISNUMBER(E4611))),"",IFERROR(E4611*N(INDEX(art_price,MATCH(C4611,art_ref,0))),""))</f>
        <v/>
      </c>
      <c r="K4611" s="39" t="str">
        <f>IF(OR(C4611="",NOT(ISNUMBER(E4611))),"",IFERROR(ROUND(N(INDEX(art_init,MATCH(C4611,art_ref,0)))+SUMIFS($E$5:E4611,$C$5:C4611,C4611,$B$5:B4611,"Entrée")-SUMIFS($E$5:E4611,$C$5:C4611,C4611,$B$5:B4611,"Sortie"),6),""))</f>
        <v/>
      </c>
      <c r="L4611" s="39" t="str">
        <f>IF(COUNTA(A4611:C4611,E4611)=0,"",IF(COUNTA(A4611:C4611,E4611)&lt;4,"Ligne incomplète",IF(NOT(ISNUMBER(A4611)),"Date invalide",IF(AND(B4611&lt;&gt;"Entrée",B4611&lt;&gt;"Sortie"),"Type inconnu",IF(ISNA(MATCH(C4611,art_ref,0)),"Référence inconnue",IF(OR(NOT(ISNUMBER(E4611)),N(E4611)&lt;=0),"Quantité invalide",IF(K4611&lt;0,"Stock négatif",IF(AND(ISNUMBER(A4610),A4611&lt;A4610),"Date hors ordre","OK"))))))))</f>
        <v/>
      </c>
      <c r="M4611" s="39" t="str">
        <f>IF(C4611="","",C4611&amp;"#"&amp;COUNTIF($C$5:C4611,C4611))</f>
        <v/>
      </c>
    </row>
    <row r="4612">
      <c r="A4612" s="41" t="n"/>
      <c r="B4612" s="37" t="n"/>
      <c r="C4612" s="37" t="n"/>
      <c r="D4612" s="39" t="str">
        <f>IF(C4612="","",IFERROR(INDEX(art_des,MATCH(C4612,art_ref,0))&amp;"","Référence inconnue"))</f>
        <v/>
      </c>
      <c r="E4612" s="37" t="n"/>
      <c r="F4612" s="39" t="str">
        <f>IF(C4612="","",IFERROR(INDEX(art_unit,MATCH(C4612,art_ref,0))&amp;"",""))</f>
        <v/>
      </c>
      <c r="G4612" s="37" t="n"/>
      <c r="H4612" s="37" t="n"/>
      <c r="I4612" s="37" t="n"/>
      <c r="J4612" s="40" t="str">
        <f>IF(OR(C4612="",NOT(ISNUMBER(E4612))),"",IFERROR(E4612*N(INDEX(art_price,MATCH(C4612,art_ref,0))),""))</f>
        <v/>
      </c>
      <c r="K4612" s="39" t="str">
        <f>IF(OR(C4612="",NOT(ISNUMBER(E4612))),"",IFERROR(ROUND(N(INDEX(art_init,MATCH(C4612,art_ref,0)))+SUMIFS($E$5:E4612,$C$5:C4612,C4612,$B$5:B4612,"Entrée")-SUMIFS($E$5:E4612,$C$5:C4612,C4612,$B$5:B4612,"Sortie"),6),""))</f>
        <v/>
      </c>
      <c r="L4612" s="39" t="str">
        <f>IF(COUNTA(A4612:C4612,E4612)=0,"",IF(COUNTA(A4612:C4612,E4612)&lt;4,"Ligne incomplète",IF(NOT(ISNUMBER(A4612)),"Date invalide",IF(AND(B4612&lt;&gt;"Entrée",B4612&lt;&gt;"Sortie"),"Type inconnu",IF(ISNA(MATCH(C4612,art_ref,0)),"Référence inconnue",IF(OR(NOT(ISNUMBER(E4612)),N(E4612)&lt;=0),"Quantité invalide",IF(K4612&lt;0,"Stock négatif",IF(AND(ISNUMBER(A4611),A4612&lt;A4611),"Date hors ordre","OK"))))))))</f>
        <v/>
      </c>
      <c r="M4612" s="39" t="str">
        <f>IF(C4612="","",C4612&amp;"#"&amp;COUNTIF($C$5:C4612,C4612))</f>
        <v/>
      </c>
    </row>
    <row r="4613">
      <c r="A4613" s="41" t="n"/>
      <c r="B4613" s="37" t="n"/>
      <c r="C4613" s="37" t="n"/>
      <c r="D4613" s="39" t="str">
        <f>IF(C4613="","",IFERROR(INDEX(art_des,MATCH(C4613,art_ref,0))&amp;"","Référence inconnue"))</f>
        <v/>
      </c>
      <c r="E4613" s="37" t="n"/>
      <c r="F4613" s="39" t="str">
        <f>IF(C4613="","",IFERROR(INDEX(art_unit,MATCH(C4613,art_ref,0))&amp;"",""))</f>
        <v/>
      </c>
      <c r="G4613" s="37" t="n"/>
      <c r="H4613" s="37" t="n"/>
      <c r="I4613" s="37" t="n"/>
      <c r="J4613" s="40" t="str">
        <f>IF(OR(C4613="",NOT(ISNUMBER(E4613))),"",IFERROR(E4613*N(INDEX(art_price,MATCH(C4613,art_ref,0))),""))</f>
        <v/>
      </c>
      <c r="K4613" s="39" t="str">
        <f>IF(OR(C4613="",NOT(ISNUMBER(E4613))),"",IFERROR(ROUND(N(INDEX(art_init,MATCH(C4613,art_ref,0)))+SUMIFS($E$5:E4613,$C$5:C4613,C4613,$B$5:B4613,"Entrée")-SUMIFS($E$5:E4613,$C$5:C4613,C4613,$B$5:B4613,"Sortie"),6),""))</f>
        <v/>
      </c>
      <c r="L4613" s="39" t="str">
        <f>IF(COUNTA(A4613:C4613,E4613)=0,"",IF(COUNTA(A4613:C4613,E4613)&lt;4,"Ligne incomplète",IF(NOT(ISNUMBER(A4613)),"Date invalide",IF(AND(B4613&lt;&gt;"Entrée",B4613&lt;&gt;"Sortie"),"Type inconnu",IF(ISNA(MATCH(C4613,art_ref,0)),"Référence inconnue",IF(OR(NOT(ISNUMBER(E4613)),N(E4613)&lt;=0),"Quantité invalide",IF(K4613&lt;0,"Stock négatif",IF(AND(ISNUMBER(A4612),A4613&lt;A4612),"Date hors ordre","OK"))))))))</f>
        <v/>
      </c>
      <c r="M4613" s="39" t="str">
        <f>IF(C4613="","",C4613&amp;"#"&amp;COUNTIF($C$5:C4613,C4613))</f>
        <v/>
      </c>
    </row>
    <row r="4614">
      <c r="A4614" s="41" t="n"/>
      <c r="B4614" s="37" t="n"/>
      <c r="C4614" s="37" t="n"/>
      <c r="D4614" s="39" t="str">
        <f>IF(C4614="","",IFERROR(INDEX(art_des,MATCH(C4614,art_ref,0))&amp;"","Référence inconnue"))</f>
        <v/>
      </c>
      <c r="E4614" s="37" t="n"/>
      <c r="F4614" s="39" t="str">
        <f>IF(C4614="","",IFERROR(INDEX(art_unit,MATCH(C4614,art_ref,0))&amp;"",""))</f>
        <v/>
      </c>
      <c r="G4614" s="37" t="n"/>
      <c r="H4614" s="37" t="n"/>
      <c r="I4614" s="37" t="n"/>
      <c r="J4614" s="40" t="str">
        <f>IF(OR(C4614="",NOT(ISNUMBER(E4614))),"",IFERROR(E4614*N(INDEX(art_price,MATCH(C4614,art_ref,0))),""))</f>
        <v/>
      </c>
      <c r="K4614" s="39" t="str">
        <f>IF(OR(C4614="",NOT(ISNUMBER(E4614))),"",IFERROR(ROUND(N(INDEX(art_init,MATCH(C4614,art_ref,0)))+SUMIFS($E$5:E4614,$C$5:C4614,C4614,$B$5:B4614,"Entrée")-SUMIFS($E$5:E4614,$C$5:C4614,C4614,$B$5:B4614,"Sortie"),6),""))</f>
        <v/>
      </c>
      <c r="L4614" s="39" t="str">
        <f>IF(COUNTA(A4614:C4614,E4614)=0,"",IF(COUNTA(A4614:C4614,E4614)&lt;4,"Ligne incomplète",IF(NOT(ISNUMBER(A4614)),"Date invalide",IF(AND(B4614&lt;&gt;"Entrée",B4614&lt;&gt;"Sortie"),"Type inconnu",IF(ISNA(MATCH(C4614,art_ref,0)),"Référence inconnue",IF(OR(NOT(ISNUMBER(E4614)),N(E4614)&lt;=0),"Quantité invalide",IF(K4614&lt;0,"Stock négatif",IF(AND(ISNUMBER(A4613),A4614&lt;A4613),"Date hors ordre","OK"))))))))</f>
        <v/>
      </c>
      <c r="M4614" s="39" t="str">
        <f>IF(C4614="","",C4614&amp;"#"&amp;COUNTIF($C$5:C4614,C4614))</f>
        <v/>
      </c>
    </row>
    <row r="4615">
      <c r="A4615" s="41" t="n"/>
      <c r="B4615" s="37" t="n"/>
      <c r="C4615" s="37" t="n"/>
      <c r="D4615" s="39" t="str">
        <f>IF(C4615="","",IFERROR(INDEX(art_des,MATCH(C4615,art_ref,0))&amp;"","Référence inconnue"))</f>
        <v/>
      </c>
      <c r="E4615" s="37" t="n"/>
      <c r="F4615" s="39" t="str">
        <f>IF(C4615="","",IFERROR(INDEX(art_unit,MATCH(C4615,art_ref,0))&amp;"",""))</f>
        <v/>
      </c>
      <c r="G4615" s="37" t="n"/>
      <c r="H4615" s="37" t="n"/>
      <c r="I4615" s="37" t="n"/>
      <c r="J4615" s="40" t="str">
        <f>IF(OR(C4615="",NOT(ISNUMBER(E4615))),"",IFERROR(E4615*N(INDEX(art_price,MATCH(C4615,art_ref,0))),""))</f>
        <v/>
      </c>
      <c r="K4615" s="39" t="str">
        <f>IF(OR(C4615="",NOT(ISNUMBER(E4615))),"",IFERROR(ROUND(N(INDEX(art_init,MATCH(C4615,art_ref,0)))+SUMIFS($E$5:E4615,$C$5:C4615,C4615,$B$5:B4615,"Entrée")-SUMIFS($E$5:E4615,$C$5:C4615,C4615,$B$5:B4615,"Sortie"),6),""))</f>
        <v/>
      </c>
      <c r="L4615" s="39" t="str">
        <f>IF(COUNTA(A4615:C4615,E4615)=0,"",IF(COUNTA(A4615:C4615,E4615)&lt;4,"Ligne incomplète",IF(NOT(ISNUMBER(A4615)),"Date invalide",IF(AND(B4615&lt;&gt;"Entrée",B4615&lt;&gt;"Sortie"),"Type inconnu",IF(ISNA(MATCH(C4615,art_ref,0)),"Référence inconnue",IF(OR(NOT(ISNUMBER(E4615)),N(E4615)&lt;=0),"Quantité invalide",IF(K4615&lt;0,"Stock négatif",IF(AND(ISNUMBER(A4614),A4615&lt;A4614),"Date hors ordre","OK"))))))))</f>
        <v/>
      </c>
      <c r="M4615" s="39" t="str">
        <f>IF(C4615="","",C4615&amp;"#"&amp;COUNTIF($C$5:C4615,C4615))</f>
        <v/>
      </c>
    </row>
    <row r="4616">
      <c r="A4616" s="41" t="n"/>
      <c r="B4616" s="37" t="n"/>
      <c r="C4616" s="37" t="n"/>
      <c r="D4616" s="39" t="str">
        <f>IF(C4616="","",IFERROR(INDEX(art_des,MATCH(C4616,art_ref,0))&amp;"","Référence inconnue"))</f>
        <v/>
      </c>
      <c r="E4616" s="37" t="n"/>
      <c r="F4616" s="39" t="str">
        <f>IF(C4616="","",IFERROR(INDEX(art_unit,MATCH(C4616,art_ref,0))&amp;"",""))</f>
        <v/>
      </c>
      <c r="G4616" s="37" t="n"/>
      <c r="H4616" s="37" t="n"/>
      <c r="I4616" s="37" t="n"/>
      <c r="J4616" s="40" t="str">
        <f>IF(OR(C4616="",NOT(ISNUMBER(E4616))),"",IFERROR(E4616*N(INDEX(art_price,MATCH(C4616,art_ref,0))),""))</f>
        <v/>
      </c>
      <c r="K4616" s="39" t="str">
        <f>IF(OR(C4616="",NOT(ISNUMBER(E4616))),"",IFERROR(ROUND(N(INDEX(art_init,MATCH(C4616,art_ref,0)))+SUMIFS($E$5:E4616,$C$5:C4616,C4616,$B$5:B4616,"Entrée")-SUMIFS($E$5:E4616,$C$5:C4616,C4616,$B$5:B4616,"Sortie"),6),""))</f>
        <v/>
      </c>
      <c r="L4616" s="39" t="str">
        <f>IF(COUNTA(A4616:C4616,E4616)=0,"",IF(COUNTA(A4616:C4616,E4616)&lt;4,"Ligne incomplète",IF(NOT(ISNUMBER(A4616)),"Date invalide",IF(AND(B4616&lt;&gt;"Entrée",B4616&lt;&gt;"Sortie"),"Type inconnu",IF(ISNA(MATCH(C4616,art_ref,0)),"Référence inconnue",IF(OR(NOT(ISNUMBER(E4616)),N(E4616)&lt;=0),"Quantité invalide",IF(K4616&lt;0,"Stock négatif",IF(AND(ISNUMBER(A4615),A4616&lt;A4615),"Date hors ordre","OK"))))))))</f>
        <v/>
      </c>
      <c r="M4616" s="39" t="str">
        <f>IF(C4616="","",C4616&amp;"#"&amp;COUNTIF($C$5:C4616,C4616))</f>
        <v/>
      </c>
    </row>
    <row r="4617">
      <c r="A4617" s="41" t="n"/>
      <c r="B4617" s="37" t="n"/>
      <c r="C4617" s="37" t="n"/>
      <c r="D4617" s="39" t="str">
        <f>IF(C4617="","",IFERROR(INDEX(art_des,MATCH(C4617,art_ref,0))&amp;"","Référence inconnue"))</f>
        <v/>
      </c>
      <c r="E4617" s="37" t="n"/>
      <c r="F4617" s="39" t="str">
        <f>IF(C4617="","",IFERROR(INDEX(art_unit,MATCH(C4617,art_ref,0))&amp;"",""))</f>
        <v/>
      </c>
      <c r="G4617" s="37" t="n"/>
      <c r="H4617" s="37" t="n"/>
      <c r="I4617" s="37" t="n"/>
      <c r="J4617" s="40" t="str">
        <f>IF(OR(C4617="",NOT(ISNUMBER(E4617))),"",IFERROR(E4617*N(INDEX(art_price,MATCH(C4617,art_ref,0))),""))</f>
        <v/>
      </c>
      <c r="K4617" s="39" t="str">
        <f>IF(OR(C4617="",NOT(ISNUMBER(E4617))),"",IFERROR(ROUND(N(INDEX(art_init,MATCH(C4617,art_ref,0)))+SUMIFS($E$5:E4617,$C$5:C4617,C4617,$B$5:B4617,"Entrée")-SUMIFS($E$5:E4617,$C$5:C4617,C4617,$B$5:B4617,"Sortie"),6),""))</f>
        <v/>
      </c>
      <c r="L4617" s="39" t="str">
        <f>IF(COUNTA(A4617:C4617,E4617)=0,"",IF(COUNTA(A4617:C4617,E4617)&lt;4,"Ligne incomplète",IF(NOT(ISNUMBER(A4617)),"Date invalide",IF(AND(B4617&lt;&gt;"Entrée",B4617&lt;&gt;"Sortie"),"Type inconnu",IF(ISNA(MATCH(C4617,art_ref,0)),"Référence inconnue",IF(OR(NOT(ISNUMBER(E4617)),N(E4617)&lt;=0),"Quantité invalide",IF(K4617&lt;0,"Stock négatif",IF(AND(ISNUMBER(A4616),A4617&lt;A4616),"Date hors ordre","OK"))))))))</f>
        <v/>
      </c>
      <c r="M4617" s="39" t="str">
        <f>IF(C4617="","",C4617&amp;"#"&amp;COUNTIF($C$5:C4617,C4617))</f>
        <v/>
      </c>
    </row>
    <row r="4618">
      <c r="A4618" s="41" t="n"/>
      <c r="B4618" s="37" t="n"/>
      <c r="C4618" s="37" t="n"/>
      <c r="D4618" s="39" t="str">
        <f>IF(C4618="","",IFERROR(INDEX(art_des,MATCH(C4618,art_ref,0))&amp;"","Référence inconnue"))</f>
        <v/>
      </c>
      <c r="E4618" s="37" t="n"/>
      <c r="F4618" s="39" t="str">
        <f>IF(C4618="","",IFERROR(INDEX(art_unit,MATCH(C4618,art_ref,0))&amp;"",""))</f>
        <v/>
      </c>
      <c r="G4618" s="37" t="n"/>
      <c r="H4618" s="37" t="n"/>
      <c r="I4618" s="37" t="n"/>
      <c r="J4618" s="40" t="str">
        <f>IF(OR(C4618="",NOT(ISNUMBER(E4618))),"",IFERROR(E4618*N(INDEX(art_price,MATCH(C4618,art_ref,0))),""))</f>
        <v/>
      </c>
      <c r="K4618" s="39" t="str">
        <f>IF(OR(C4618="",NOT(ISNUMBER(E4618))),"",IFERROR(ROUND(N(INDEX(art_init,MATCH(C4618,art_ref,0)))+SUMIFS($E$5:E4618,$C$5:C4618,C4618,$B$5:B4618,"Entrée")-SUMIFS($E$5:E4618,$C$5:C4618,C4618,$B$5:B4618,"Sortie"),6),""))</f>
        <v/>
      </c>
      <c r="L4618" s="39" t="str">
        <f>IF(COUNTA(A4618:C4618,E4618)=0,"",IF(COUNTA(A4618:C4618,E4618)&lt;4,"Ligne incomplète",IF(NOT(ISNUMBER(A4618)),"Date invalide",IF(AND(B4618&lt;&gt;"Entrée",B4618&lt;&gt;"Sortie"),"Type inconnu",IF(ISNA(MATCH(C4618,art_ref,0)),"Référence inconnue",IF(OR(NOT(ISNUMBER(E4618)),N(E4618)&lt;=0),"Quantité invalide",IF(K4618&lt;0,"Stock négatif",IF(AND(ISNUMBER(A4617),A4618&lt;A4617),"Date hors ordre","OK"))))))))</f>
        <v/>
      </c>
      <c r="M4618" s="39" t="str">
        <f>IF(C4618="","",C4618&amp;"#"&amp;COUNTIF($C$5:C4618,C4618))</f>
        <v/>
      </c>
    </row>
    <row r="4619">
      <c r="A4619" s="41" t="n"/>
      <c r="B4619" s="37" t="n"/>
      <c r="C4619" s="37" t="n"/>
      <c r="D4619" s="39" t="str">
        <f>IF(C4619="","",IFERROR(INDEX(art_des,MATCH(C4619,art_ref,0))&amp;"","Référence inconnue"))</f>
        <v/>
      </c>
      <c r="E4619" s="37" t="n"/>
      <c r="F4619" s="39" t="str">
        <f>IF(C4619="","",IFERROR(INDEX(art_unit,MATCH(C4619,art_ref,0))&amp;"",""))</f>
        <v/>
      </c>
      <c r="G4619" s="37" t="n"/>
      <c r="H4619" s="37" t="n"/>
      <c r="I4619" s="37" t="n"/>
      <c r="J4619" s="40" t="str">
        <f>IF(OR(C4619="",NOT(ISNUMBER(E4619))),"",IFERROR(E4619*N(INDEX(art_price,MATCH(C4619,art_ref,0))),""))</f>
        <v/>
      </c>
      <c r="K4619" s="39" t="str">
        <f>IF(OR(C4619="",NOT(ISNUMBER(E4619))),"",IFERROR(ROUND(N(INDEX(art_init,MATCH(C4619,art_ref,0)))+SUMIFS($E$5:E4619,$C$5:C4619,C4619,$B$5:B4619,"Entrée")-SUMIFS($E$5:E4619,$C$5:C4619,C4619,$B$5:B4619,"Sortie"),6),""))</f>
        <v/>
      </c>
      <c r="L4619" s="39" t="str">
        <f>IF(COUNTA(A4619:C4619,E4619)=0,"",IF(COUNTA(A4619:C4619,E4619)&lt;4,"Ligne incomplète",IF(NOT(ISNUMBER(A4619)),"Date invalide",IF(AND(B4619&lt;&gt;"Entrée",B4619&lt;&gt;"Sortie"),"Type inconnu",IF(ISNA(MATCH(C4619,art_ref,0)),"Référence inconnue",IF(OR(NOT(ISNUMBER(E4619)),N(E4619)&lt;=0),"Quantité invalide",IF(K4619&lt;0,"Stock négatif",IF(AND(ISNUMBER(A4618),A4619&lt;A4618),"Date hors ordre","OK"))))))))</f>
        <v/>
      </c>
      <c r="M4619" s="39" t="str">
        <f>IF(C4619="","",C4619&amp;"#"&amp;COUNTIF($C$5:C4619,C4619))</f>
        <v/>
      </c>
    </row>
    <row r="4620">
      <c r="A4620" s="41" t="n"/>
      <c r="B4620" s="37" t="n"/>
      <c r="C4620" s="37" t="n"/>
      <c r="D4620" s="39" t="str">
        <f>IF(C4620="","",IFERROR(INDEX(art_des,MATCH(C4620,art_ref,0))&amp;"","Référence inconnue"))</f>
        <v/>
      </c>
      <c r="E4620" s="37" t="n"/>
      <c r="F4620" s="39" t="str">
        <f>IF(C4620="","",IFERROR(INDEX(art_unit,MATCH(C4620,art_ref,0))&amp;"",""))</f>
        <v/>
      </c>
      <c r="G4620" s="37" t="n"/>
      <c r="H4620" s="37" t="n"/>
      <c r="I4620" s="37" t="n"/>
      <c r="J4620" s="40" t="str">
        <f>IF(OR(C4620="",NOT(ISNUMBER(E4620))),"",IFERROR(E4620*N(INDEX(art_price,MATCH(C4620,art_ref,0))),""))</f>
        <v/>
      </c>
      <c r="K4620" s="39" t="str">
        <f>IF(OR(C4620="",NOT(ISNUMBER(E4620))),"",IFERROR(ROUND(N(INDEX(art_init,MATCH(C4620,art_ref,0)))+SUMIFS($E$5:E4620,$C$5:C4620,C4620,$B$5:B4620,"Entrée")-SUMIFS($E$5:E4620,$C$5:C4620,C4620,$B$5:B4620,"Sortie"),6),""))</f>
        <v/>
      </c>
      <c r="L4620" s="39" t="str">
        <f>IF(COUNTA(A4620:C4620,E4620)=0,"",IF(COUNTA(A4620:C4620,E4620)&lt;4,"Ligne incomplète",IF(NOT(ISNUMBER(A4620)),"Date invalide",IF(AND(B4620&lt;&gt;"Entrée",B4620&lt;&gt;"Sortie"),"Type inconnu",IF(ISNA(MATCH(C4620,art_ref,0)),"Référence inconnue",IF(OR(NOT(ISNUMBER(E4620)),N(E4620)&lt;=0),"Quantité invalide",IF(K4620&lt;0,"Stock négatif",IF(AND(ISNUMBER(A4619),A4620&lt;A4619),"Date hors ordre","OK"))))))))</f>
        <v/>
      </c>
      <c r="M4620" s="39" t="str">
        <f>IF(C4620="","",C4620&amp;"#"&amp;COUNTIF($C$5:C4620,C4620))</f>
        <v/>
      </c>
    </row>
    <row r="4621">
      <c r="A4621" s="41" t="n"/>
      <c r="B4621" s="37" t="n"/>
      <c r="C4621" s="37" t="n"/>
      <c r="D4621" s="39" t="str">
        <f>IF(C4621="","",IFERROR(INDEX(art_des,MATCH(C4621,art_ref,0))&amp;"","Référence inconnue"))</f>
        <v/>
      </c>
      <c r="E4621" s="37" t="n"/>
      <c r="F4621" s="39" t="str">
        <f>IF(C4621="","",IFERROR(INDEX(art_unit,MATCH(C4621,art_ref,0))&amp;"",""))</f>
        <v/>
      </c>
      <c r="G4621" s="37" t="n"/>
      <c r="H4621" s="37" t="n"/>
      <c r="I4621" s="37" t="n"/>
      <c r="J4621" s="40" t="str">
        <f>IF(OR(C4621="",NOT(ISNUMBER(E4621))),"",IFERROR(E4621*N(INDEX(art_price,MATCH(C4621,art_ref,0))),""))</f>
        <v/>
      </c>
      <c r="K4621" s="39" t="str">
        <f>IF(OR(C4621="",NOT(ISNUMBER(E4621))),"",IFERROR(ROUND(N(INDEX(art_init,MATCH(C4621,art_ref,0)))+SUMIFS($E$5:E4621,$C$5:C4621,C4621,$B$5:B4621,"Entrée")-SUMIFS($E$5:E4621,$C$5:C4621,C4621,$B$5:B4621,"Sortie"),6),""))</f>
        <v/>
      </c>
      <c r="L4621" s="39" t="str">
        <f>IF(COUNTA(A4621:C4621,E4621)=0,"",IF(COUNTA(A4621:C4621,E4621)&lt;4,"Ligne incomplète",IF(NOT(ISNUMBER(A4621)),"Date invalide",IF(AND(B4621&lt;&gt;"Entrée",B4621&lt;&gt;"Sortie"),"Type inconnu",IF(ISNA(MATCH(C4621,art_ref,0)),"Référence inconnue",IF(OR(NOT(ISNUMBER(E4621)),N(E4621)&lt;=0),"Quantité invalide",IF(K4621&lt;0,"Stock négatif",IF(AND(ISNUMBER(A4620),A4621&lt;A4620),"Date hors ordre","OK"))))))))</f>
        <v/>
      </c>
      <c r="M4621" s="39" t="str">
        <f>IF(C4621="","",C4621&amp;"#"&amp;COUNTIF($C$5:C4621,C4621))</f>
        <v/>
      </c>
    </row>
    <row r="4622">
      <c r="A4622" s="41" t="n"/>
      <c r="B4622" s="37" t="n"/>
      <c r="C4622" s="37" t="n"/>
      <c r="D4622" s="39" t="str">
        <f>IF(C4622="","",IFERROR(INDEX(art_des,MATCH(C4622,art_ref,0))&amp;"","Référence inconnue"))</f>
        <v/>
      </c>
      <c r="E4622" s="37" t="n"/>
      <c r="F4622" s="39" t="str">
        <f>IF(C4622="","",IFERROR(INDEX(art_unit,MATCH(C4622,art_ref,0))&amp;"",""))</f>
        <v/>
      </c>
      <c r="G4622" s="37" t="n"/>
      <c r="H4622" s="37" t="n"/>
      <c r="I4622" s="37" t="n"/>
      <c r="J4622" s="40" t="str">
        <f>IF(OR(C4622="",NOT(ISNUMBER(E4622))),"",IFERROR(E4622*N(INDEX(art_price,MATCH(C4622,art_ref,0))),""))</f>
        <v/>
      </c>
      <c r="K4622" s="39" t="str">
        <f>IF(OR(C4622="",NOT(ISNUMBER(E4622))),"",IFERROR(ROUND(N(INDEX(art_init,MATCH(C4622,art_ref,0)))+SUMIFS($E$5:E4622,$C$5:C4622,C4622,$B$5:B4622,"Entrée")-SUMIFS($E$5:E4622,$C$5:C4622,C4622,$B$5:B4622,"Sortie"),6),""))</f>
        <v/>
      </c>
      <c r="L4622" s="39" t="str">
        <f>IF(COUNTA(A4622:C4622,E4622)=0,"",IF(COUNTA(A4622:C4622,E4622)&lt;4,"Ligne incomplète",IF(NOT(ISNUMBER(A4622)),"Date invalide",IF(AND(B4622&lt;&gt;"Entrée",B4622&lt;&gt;"Sortie"),"Type inconnu",IF(ISNA(MATCH(C4622,art_ref,0)),"Référence inconnue",IF(OR(NOT(ISNUMBER(E4622)),N(E4622)&lt;=0),"Quantité invalide",IF(K4622&lt;0,"Stock négatif",IF(AND(ISNUMBER(A4621),A4622&lt;A4621),"Date hors ordre","OK"))))))))</f>
        <v/>
      </c>
      <c r="M4622" s="39" t="str">
        <f>IF(C4622="","",C4622&amp;"#"&amp;COUNTIF($C$5:C4622,C4622))</f>
        <v/>
      </c>
    </row>
    <row r="4623">
      <c r="A4623" s="41" t="n"/>
      <c r="B4623" s="37" t="n"/>
      <c r="C4623" s="37" t="n"/>
      <c r="D4623" s="39" t="str">
        <f>IF(C4623="","",IFERROR(INDEX(art_des,MATCH(C4623,art_ref,0))&amp;"","Référence inconnue"))</f>
        <v/>
      </c>
      <c r="E4623" s="37" t="n"/>
      <c r="F4623" s="39" t="str">
        <f>IF(C4623="","",IFERROR(INDEX(art_unit,MATCH(C4623,art_ref,0))&amp;"",""))</f>
        <v/>
      </c>
      <c r="G4623" s="37" t="n"/>
      <c r="H4623" s="37" t="n"/>
      <c r="I4623" s="37" t="n"/>
      <c r="J4623" s="40" t="str">
        <f>IF(OR(C4623="",NOT(ISNUMBER(E4623))),"",IFERROR(E4623*N(INDEX(art_price,MATCH(C4623,art_ref,0))),""))</f>
        <v/>
      </c>
      <c r="K4623" s="39" t="str">
        <f>IF(OR(C4623="",NOT(ISNUMBER(E4623))),"",IFERROR(ROUND(N(INDEX(art_init,MATCH(C4623,art_ref,0)))+SUMIFS($E$5:E4623,$C$5:C4623,C4623,$B$5:B4623,"Entrée")-SUMIFS($E$5:E4623,$C$5:C4623,C4623,$B$5:B4623,"Sortie"),6),""))</f>
        <v/>
      </c>
      <c r="L4623" s="39" t="str">
        <f>IF(COUNTA(A4623:C4623,E4623)=0,"",IF(COUNTA(A4623:C4623,E4623)&lt;4,"Ligne incomplète",IF(NOT(ISNUMBER(A4623)),"Date invalide",IF(AND(B4623&lt;&gt;"Entrée",B4623&lt;&gt;"Sortie"),"Type inconnu",IF(ISNA(MATCH(C4623,art_ref,0)),"Référence inconnue",IF(OR(NOT(ISNUMBER(E4623)),N(E4623)&lt;=0),"Quantité invalide",IF(K4623&lt;0,"Stock négatif",IF(AND(ISNUMBER(A4622),A4623&lt;A4622),"Date hors ordre","OK"))))))))</f>
        <v/>
      </c>
      <c r="M4623" s="39" t="str">
        <f>IF(C4623="","",C4623&amp;"#"&amp;COUNTIF($C$5:C4623,C4623))</f>
        <v/>
      </c>
    </row>
    <row r="4624">
      <c r="A4624" s="41" t="n"/>
      <c r="B4624" s="37" t="n"/>
      <c r="C4624" s="37" t="n"/>
      <c r="D4624" s="39" t="str">
        <f>IF(C4624="","",IFERROR(INDEX(art_des,MATCH(C4624,art_ref,0))&amp;"","Référence inconnue"))</f>
        <v/>
      </c>
      <c r="E4624" s="37" t="n"/>
      <c r="F4624" s="39" t="str">
        <f>IF(C4624="","",IFERROR(INDEX(art_unit,MATCH(C4624,art_ref,0))&amp;"",""))</f>
        <v/>
      </c>
      <c r="G4624" s="37" t="n"/>
      <c r="H4624" s="37" t="n"/>
      <c r="I4624" s="37" t="n"/>
      <c r="J4624" s="40" t="str">
        <f>IF(OR(C4624="",NOT(ISNUMBER(E4624))),"",IFERROR(E4624*N(INDEX(art_price,MATCH(C4624,art_ref,0))),""))</f>
        <v/>
      </c>
      <c r="K4624" s="39" t="str">
        <f>IF(OR(C4624="",NOT(ISNUMBER(E4624))),"",IFERROR(ROUND(N(INDEX(art_init,MATCH(C4624,art_ref,0)))+SUMIFS($E$5:E4624,$C$5:C4624,C4624,$B$5:B4624,"Entrée")-SUMIFS($E$5:E4624,$C$5:C4624,C4624,$B$5:B4624,"Sortie"),6),""))</f>
        <v/>
      </c>
      <c r="L4624" s="39" t="str">
        <f>IF(COUNTA(A4624:C4624,E4624)=0,"",IF(COUNTA(A4624:C4624,E4624)&lt;4,"Ligne incomplète",IF(NOT(ISNUMBER(A4624)),"Date invalide",IF(AND(B4624&lt;&gt;"Entrée",B4624&lt;&gt;"Sortie"),"Type inconnu",IF(ISNA(MATCH(C4624,art_ref,0)),"Référence inconnue",IF(OR(NOT(ISNUMBER(E4624)),N(E4624)&lt;=0),"Quantité invalide",IF(K4624&lt;0,"Stock négatif",IF(AND(ISNUMBER(A4623),A4624&lt;A4623),"Date hors ordre","OK"))))))))</f>
        <v/>
      </c>
      <c r="M4624" s="39" t="str">
        <f>IF(C4624="","",C4624&amp;"#"&amp;COUNTIF($C$5:C4624,C4624))</f>
        <v/>
      </c>
    </row>
    <row r="4625">
      <c r="A4625" s="41" t="n"/>
      <c r="B4625" s="37" t="n"/>
      <c r="C4625" s="37" t="n"/>
      <c r="D4625" s="39" t="str">
        <f>IF(C4625="","",IFERROR(INDEX(art_des,MATCH(C4625,art_ref,0))&amp;"","Référence inconnue"))</f>
        <v/>
      </c>
      <c r="E4625" s="37" t="n"/>
      <c r="F4625" s="39" t="str">
        <f>IF(C4625="","",IFERROR(INDEX(art_unit,MATCH(C4625,art_ref,0))&amp;"",""))</f>
        <v/>
      </c>
      <c r="G4625" s="37" t="n"/>
      <c r="H4625" s="37" t="n"/>
      <c r="I4625" s="37" t="n"/>
      <c r="J4625" s="40" t="str">
        <f>IF(OR(C4625="",NOT(ISNUMBER(E4625))),"",IFERROR(E4625*N(INDEX(art_price,MATCH(C4625,art_ref,0))),""))</f>
        <v/>
      </c>
      <c r="K4625" s="39" t="str">
        <f>IF(OR(C4625="",NOT(ISNUMBER(E4625))),"",IFERROR(ROUND(N(INDEX(art_init,MATCH(C4625,art_ref,0)))+SUMIFS($E$5:E4625,$C$5:C4625,C4625,$B$5:B4625,"Entrée")-SUMIFS($E$5:E4625,$C$5:C4625,C4625,$B$5:B4625,"Sortie"),6),""))</f>
        <v/>
      </c>
      <c r="L4625" s="39" t="str">
        <f>IF(COUNTA(A4625:C4625,E4625)=0,"",IF(COUNTA(A4625:C4625,E4625)&lt;4,"Ligne incomplète",IF(NOT(ISNUMBER(A4625)),"Date invalide",IF(AND(B4625&lt;&gt;"Entrée",B4625&lt;&gt;"Sortie"),"Type inconnu",IF(ISNA(MATCH(C4625,art_ref,0)),"Référence inconnue",IF(OR(NOT(ISNUMBER(E4625)),N(E4625)&lt;=0),"Quantité invalide",IF(K4625&lt;0,"Stock négatif",IF(AND(ISNUMBER(A4624),A4625&lt;A4624),"Date hors ordre","OK"))))))))</f>
        <v/>
      </c>
      <c r="M4625" s="39" t="str">
        <f>IF(C4625="","",C4625&amp;"#"&amp;COUNTIF($C$5:C4625,C4625))</f>
        <v/>
      </c>
    </row>
    <row r="4626">
      <c r="A4626" s="41" t="n"/>
      <c r="B4626" s="37" t="n"/>
      <c r="C4626" s="37" t="n"/>
      <c r="D4626" s="39" t="str">
        <f>IF(C4626="","",IFERROR(INDEX(art_des,MATCH(C4626,art_ref,0))&amp;"","Référence inconnue"))</f>
        <v/>
      </c>
      <c r="E4626" s="37" t="n"/>
      <c r="F4626" s="39" t="str">
        <f>IF(C4626="","",IFERROR(INDEX(art_unit,MATCH(C4626,art_ref,0))&amp;"",""))</f>
        <v/>
      </c>
      <c r="G4626" s="37" t="n"/>
      <c r="H4626" s="37" t="n"/>
      <c r="I4626" s="37" t="n"/>
      <c r="J4626" s="40" t="str">
        <f>IF(OR(C4626="",NOT(ISNUMBER(E4626))),"",IFERROR(E4626*N(INDEX(art_price,MATCH(C4626,art_ref,0))),""))</f>
        <v/>
      </c>
      <c r="K4626" s="39" t="str">
        <f>IF(OR(C4626="",NOT(ISNUMBER(E4626))),"",IFERROR(ROUND(N(INDEX(art_init,MATCH(C4626,art_ref,0)))+SUMIFS($E$5:E4626,$C$5:C4626,C4626,$B$5:B4626,"Entrée")-SUMIFS($E$5:E4626,$C$5:C4626,C4626,$B$5:B4626,"Sortie"),6),""))</f>
        <v/>
      </c>
      <c r="L4626" s="39" t="str">
        <f>IF(COUNTA(A4626:C4626,E4626)=0,"",IF(COUNTA(A4626:C4626,E4626)&lt;4,"Ligne incomplète",IF(NOT(ISNUMBER(A4626)),"Date invalide",IF(AND(B4626&lt;&gt;"Entrée",B4626&lt;&gt;"Sortie"),"Type inconnu",IF(ISNA(MATCH(C4626,art_ref,0)),"Référence inconnue",IF(OR(NOT(ISNUMBER(E4626)),N(E4626)&lt;=0),"Quantité invalide",IF(K4626&lt;0,"Stock négatif",IF(AND(ISNUMBER(A4625),A4626&lt;A4625),"Date hors ordre","OK"))))))))</f>
        <v/>
      </c>
      <c r="M4626" s="39" t="str">
        <f>IF(C4626="","",C4626&amp;"#"&amp;COUNTIF($C$5:C4626,C4626))</f>
        <v/>
      </c>
    </row>
    <row r="4627">
      <c r="A4627" s="41" t="n"/>
      <c r="B4627" s="37" t="n"/>
      <c r="C4627" s="37" t="n"/>
      <c r="D4627" s="39" t="str">
        <f>IF(C4627="","",IFERROR(INDEX(art_des,MATCH(C4627,art_ref,0))&amp;"","Référence inconnue"))</f>
        <v/>
      </c>
      <c r="E4627" s="37" t="n"/>
      <c r="F4627" s="39" t="str">
        <f>IF(C4627="","",IFERROR(INDEX(art_unit,MATCH(C4627,art_ref,0))&amp;"",""))</f>
        <v/>
      </c>
      <c r="G4627" s="37" t="n"/>
      <c r="H4627" s="37" t="n"/>
      <c r="I4627" s="37" t="n"/>
      <c r="J4627" s="40" t="str">
        <f>IF(OR(C4627="",NOT(ISNUMBER(E4627))),"",IFERROR(E4627*N(INDEX(art_price,MATCH(C4627,art_ref,0))),""))</f>
        <v/>
      </c>
      <c r="K4627" s="39" t="str">
        <f>IF(OR(C4627="",NOT(ISNUMBER(E4627))),"",IFERROR(ROUND(N(INDEX(art_init,MATCH(C4627,art_ref,0)))+SUMIFS($E$5:E4627,$C$5:C4627,C4627,$B$5:B4627,"Entrée")-SUMIFS($E$5:E4627,$C$5:C4627,C4627,$B$5:B4627,"Sortie"),6),""))</f>
        <v/>
      </c>
      <c r="L4627" s="39" t="str">
        <f>IF(COUNTA(A4627:C4627,E4627)=0,"",IF(COUNTA(A4627:C4627,E4627)&lt;4,"Ligne incomplète",IF(NOT(ISNUMBER(A4627)),"Date invalide",IF(AND(B4627&lt;&gt;"Entrée",B4627&lt;&gt;"Sortie"),"Type inconnu",IF(ISNA(MATCH(C4627,art_ref,0)),"Référence inconnue",IF(OR(NOT(ISNUMBER(E4627)),N(E4627)&lt;=0),"Quantité invalide",IF(K4627&lt;0,"Stock négatif",IF(AND(ISNUMBER(A4626),A4627&lt;A4626),"Date hors ordre","OK"))))))))</f>
        <v/>
      </c>
      <c r="M4627" s="39" t="str">
        <f>IF(C4627="","",C4627&amp;"#"&amp;COUNTIF($C$5:C4627,C4627))</f>
        <v/>
      </c>
    </row>
    <row r="4628">
      <c r="A4628" s="41" t="n"/>
      <c r="B4628" s="37" t="n"/>
      <c r="C4628" s="37" t="n"/>
      <c r="D4628" s="39" t="str">
        <f>IF(C4628="","",IFERROR(INDEX(art_des,MATCH(C4628,art_ref,0))&amp;"","Référence inconnue"))</f>
        <v/>
      </c>
      <c r="E4628" s="37" t="n"/>
      <c r="F4628" s="39" t="str">
        <f>IF(C4628="","",IFERROR(INDEX(art_unit,MATCH(C4628,art_ref,0))&amp;"",""))</f>
        <v/>
      </c>
      <c r="G4628" s="37" t="n"/>
      <c r="H4628" s="37" t="n"/>
      <c r="I4628" s="37" t="n"/>
      <c r="J4628" s="40" t="str">
        <f>IF(OR(C4628="",NOT(ISNUMBER(E4628))),"",IFERROR(E4628*N(INDEX(art_price,MATCH(C4628,art_ref,0))),""))</f>
        <v/>
      </c>
      <c r="K4628" s="39" t="str">
        <f>IF(OR(C4628="",NOT(ISNUMBER(E4628))),"",IFERROR(ROUND(N(INDEX(art_init,MATCH(C4628,art_ref,0)))+SUMIFS($E$5:E4628,$C$5:C4628,C4628,$B$5:B4628,"Entrée")-SUMIFS($E$5:E4628,$C$5:C4628,C4628,$B$5:B4628,"Sortie"),6),""))</f>
        <v/>
      </c>
      <c r="L4628" s="39" t="str">
        <f>IF(COUNTA(A4628:C4628,E4628)=0,"",IF(COUNTA(A4628:C4628,E4628)&lt;4,"Ligne incomplète",IF(NOT(ISNUMBER(A4628)),"Date invalide",IF(AND(B4628&lt;&gt;"Entrée",B4628&lt;&gt;"Sortie"),"Type inconnu",IF(ISNA(MATCH(C4628,art_ref,0)),"Référence inconnue",IF(OR(NOT(ISNUMBER(E4628)),N(E4628)&lt;=0),"Quantité invalide",IF(K4628&lt;0,"Stock négatif",IF(AND(ISNUMBER(A4627),A4628&lt;A4627),"Date hors ordre","OK"))))))))</f>
        <v/>
      </c>
      <c r="M4628" s="39" t="str">
        <f>IF(C4628="","",C4628&amp;"#"&amp;COUNTIF($C$5:C4628,C4628))</f>
        <v/>
      </c>
    </row>
    <row r="4629">
      <c r="A4629" s="41" t="n"/>
      <c r="B4629" s="37" t="n"/>
      <c r="C4629" s="37" t="n"/>
      <c r="D4629" s="39" t="str">
        <f>IF(C4629="","",IFERROR(INDEX(art_des,MATCH(C4629,art_ref,0))&amp;"","Référence inconnue"))</f>
        <v/>
      </c>
      <c r="E4629" s="37" t="n"/>
      <c r="F4629" s="39" t="str">
        <f>IF(C4629="","",IFERROR(INDEX(art_unit,MATCH(C4629,art_ref,0))&amp;"",""))</f>
        <v/>
      </c>
      <c r="G4629" s="37" t="n"/>
      <c r="H4629" s="37" t="n"/>
      <c r="I4629" s="37" t="n"/>
      <c r="J4629" s="40" t="str">
        <f>IF(OR(C4629="",NOT(ISNUMBER(E4629))),"",IFERROR(E4629*N(INDEX(art_price,MATCH(C4629,art_ref,0))),""))</f>
        <v/>
      </c>
      <c r="K4629" s="39" t="str">
        <f>IF(OR(C4629="",NOT(ISNUMBER(E4629))),"",IFERROR(ROUND(N(INDEX(art_init,MATCH(C4629,art_ref,0)))+SUMIFS($E$5:E4629,$C$5:C4629,C4629,$B$5:B4629,"Entrée")-SUMIFS($E$5:E4629,$C$5:C4629,C4629,$B$5:B4629,"Sortie"),6),""))</f>
        <v/>
      </c>
      <c r="L4629" s="39" t="str">
        <f>IF(COUNTA(A4629:C4629,E4629)=0,"",IF(COUNTA(A4629:C4629,E4629)&lt;4,"Ligne incomplète",IF(NOT(ISNUMBER(A4629)),"Date invalide",IF(AND(B4629&lt;&gt;"Entrée",B4629&lt;&gt;"Sortie"),"Type inconnu",IF(ISNA(MATCH(C4629,art_ref,0)),"Référence inconnue",IF(OR(NOT(ISNUMBER(E4629)),N(E4629)&lt;=0),"Quantité invalide",IF(K4629&lt;0,"Stock négatif",IF(AND(ISNUMBER(A4628),A4629&lt;A4628),"Date hors ordre","OK"))))))))</f>
        <v/>
      </c>
      <c r="M4629" s="39" t="str">
        <f>IF(C4629="","",C4629&amp;"#"&amp;COUNTIF($C$5:C4629,C4629))</f>
        <v/>
      </c>
    </row>
    <row r="4630">
      <c r="A4630" s="41" t="n"/>
      <c r="B4630" s="37" t="n"/>
      <c r="C4630" s="37" t="n"/>
      <c r="D4630" s="39" t="str">
        <f>IF(C4630="","",IFERROR(INDEX(art_des,MATCH(C4630,art_ref,0))&amp;"","Référence inconnue"))</f>
        <v/>
      </c>
      <c r="E4630" s="37" t="n"/>
      <c r="F4630" s="39" t="str">
        <f>IF(C4630="","",IFERROR(INDEX(art_unit,MATCH(C4630,art_ref,0))&amp;"",""))</f>
        <v/>
      </c>
      <c r="G4630" s="37" t="n"/>
      <c r="H4630" s="37" t="n"/>
      <c r="I4630" s="37" t="n"/>
      <c r="J4630" s="40" t="str">
        <f>IF(OR(C4630="",NOT(ISNUMBER(E4630))),"",IFERROR(E4630*N(INDEX(art_price,MATCH(C4630,art_ref,0))),""))</f>
        <v/>
      </c>
      <c r="K4630" s="39" t="str">
        <f>IF(OR(C4630="",NOT(ISNUMBER(E4630))),"",IFERROR(ROUND(N(INDEX(art_init,MATCH(C4630,art_ref,0)))+SUMIFS($E$5:E4630,$C$5:C4630,C4630,$B$5:B4630,"Entrée")-SUMIFS($E$5:E4630,$C$5:C4630,C4630,$B$5:B4630,"Sortie"),6),""))</f>
        <v/>
      </c>
      <c r="L4630" s="39" t="str">
        <f>IF(COUNTA(A4630:C4630,E4630)=0,"",IF(COUNTA(A4630:C4630,E4630)&lt;4,"Ligne incomplète",IF(NOT(ISNUMBER(A4630)),"Date invalide",IF(AND(B4630&lt;&gt;"Entrée",B4630&lt;&gt;"Sortie"),"Type inconnu",IF(ISNA(MATCH(C4630,art_ref,0)),"Référence inconnue",IF(OR(NOT(ISNUMBER(E4630)),N(E4630)&lt;=0),"Quantité invalide",IF(K4630&lt;0,"Stock négatif",IF(AND(ISNUMBER(A4629),A4630&lt;A4629),"Date hors ordre","OK"))))))))</f>
        <v/>
      </c>
      <c r="M4630" s="39" t="str">
        <f>IF(C4630="","",C4630&amp;"#"&amp;COUNTIF($C$5:C4630,C4630))</f>
        <v/>
      </c>
    </row>
    <row r="4631">
      <c r="A4631" s="41" t="n"/>
      <c r="B4631" s="37" t="n"/>
      <c r="C4631" s="37" t="n"/>
      <c r="D4631" s="39" t="str">
        <f>IF(C4631="","",IFERROR(INDEX(art_des,MATCH(C4631,art_ref,0))&amp;"","Référence inconnue"))</f>
        <v/>
      </c>
      <c r="E4631" s="37" t="n"/>
      <c r="F4631" s="39" t="str">
        <f>IF(C4631="","",IFERROR(INDEX(art_unit,MATCH(C4631,art_ref,0))&amp;"",""))</f>
        <v/>
      </c>
      <c r="G4631" s="37" t="n"/>
      <c r="H4631" s="37" t="n"/>
      <c r="I4631" s="37" t="n"/>
      <c r="J4631" s="40" t="str">
        <f>IF(OR(C4631="",NOT(ISNUMBER(E4631))),"",IFERROR(E4631*N(INDEX(art_price,MATCH(C4631,art_ref,0))),""))</f>
        <v/>
      </c>
      <c r="K4631" s="39" t="str">
        <f>IF(OR(C4631="",NOT(ISNUMBER(E4631))),"",IFERROR(ROUND(N(INDEX(art_init,MATCH(C4631,art_ref,0)))+SUMIFS($E$5:E4631,$C$5:C4631,C4631,$B$5:B4631,"Entrée")-SUMIFS($E$5:E4631,$C$5:C4631,C4631,$B$5:B4631,"Sortie"),6),""))</f>
        <v/>
      </c>
      <c r="L4631" s="39" t="str">
        <f>IF(COUNTA(A4631:C4631,E4631)=0,"",IF(COUNTA(A4631:C4631,E4631)&lt;4,"Ligne incomplète",IF(NOT(ISNUMBER(A4631)),"Date invalide",IF(AND(B4631&lt;&gt;"Entrée",B4631&lt;&gt;"Sortie"),"Type inconnu",IF(ISNA(MATCH(C4631,art_ref,0)),"Référence inconnue",IF(OR(NOT(ISNUMBER(E4631)),N(E4631)&lt;=0),"Quantité invalide",IF(K4631&lt;0,"Stock négatif",IF(AND(ISNUMBER(A4630),A4631&lt;A4630),"Date hors ordre","OK"))))))))</f>
        <v/>
      </c>
      <c r="M4631" s="39" t="str">
        <f>IF(C4631="","",C4631&amp;"#"&amp;COUNTIF($C$5:C4631,C4631))</f>
        <v/>
      </c>
    </row>
    <row r="4632">
      <c r="A4632" s="41" t="n"/>
      <c r="B4632" s="37" t="n"/>
      <c r="C4632" s="37" t="n"/>
      <c r="D4632" s="39" t="str">
        <f>IF(C4632="","",IFERROR(INDEX(art_des,MATCH(C4632,art_ref,0))&amp;"","Référence inconnue"))</f>
        <v/>
      </c>
      <c r="E4632" s="37" t="n"/>
      <c r="F4632" s="39" t="str">
        <f>IF(C4632="","",IFERROR(INDEX(art_unit,MATCH(C4632,art_ref,0))&amp;"",""))</f>
        <v/>
      </c>
      <c r="G4632" s="37" t="n"/>
      <c r="H4632" s="37" t="n"/>
      <c r="I4632" s="37" t="n"/>
      <c r="J4632" s="40" t="str">
        <f>IF(OR(C4632="",NOT(ISNUMBER(E4632))),"",IFERROR(E4632*N(INDEX(art_price,MATCH(C4632,art_ref,0))),""))</f>
        <v/>
      </c>
      <c r="K4632" s="39" t="str">
        <f>IF(OR(C4632="",NOT(ISNUMBER(E4632))),"",IFERROR(ROUND(N(INDEX(art_init,MATCH(C4632,art_ref,0)))+SUMIFS($E$5:E4632,$C$5:C4632,C4632,$B$5:B4632,"Entrée")-SUMIFS($E$5:E4632,$C$5:C4632,C4632,$B$5:B4632,"Sortie"),6),""))</f>
        <v/>
      </c>
      <c r="L4632" s="39" t="str">
        <f>IF(COUNTA(A4632:C4632,E4632)=0,"",IF(COUNTA(A4632:C4632,E4632)&lt;4,"Ligne incomplète",IF(NOT(ISNUMBER(A4632)),"Date invalide",IF(AND(B4632&lt;&gt;"Entrée",B4632&lt;&gt;"Sortie"),"Type inconnu",IF(ISNA(MATCH(C4632,art_ref,0)),"Référence inconnue",IF(OR(NOT(ISNUMBER(E4632)),N(E4632)&lt;=0),"Quantité invalide",IF(K4632&lt;0,"Stock négatif",IF(AND(ISNUMBER(A4631),A4632&lt;A4631),"Date hors ordre","OK"))))))))</f>
        <v/>
      </c>
      <c r="M4632" s="39" t="str">
        <f>IF(C4632="","",C4632&amp;"#"&amp;COUNTIF($C$5:C4632,C4632))</f>
        <v/>
      </c>
    </row>
    <row r="4633">
      <c r="A4633" s="41" t="n"/>
      <c r="B4633" s="37" t="n"/>
      <c r="C4633" s="37" t="n"/>
      <c r="D4633" s="39" t="str">
        <f>IF(C4633="","",IFERROR(INDEX(art_des,MATCH(C4633,art_ref,0))&amp;"","Référence inconnue"))</f>
        <v/>
      </c>
      <c r="E4633" s="37" t="n"/>
      <c r="F4633" s="39" t="str">
        <f>IF(C4633="","",IFERROR(INDEX(art_unit,MATCH(C4633,art_ref,0))&amp;"",""))</f>
        <v/>
      </c>
      <c r="G4633" s="37" t="n"/>
      <c r="H4633" s="37" t="n"/>
      <c r="I4633" s="37" t="n"/>
      <c r="J4633" s="40" t="str">
        <f>IF(OR(C4633="",NOT(ISNUMBER(E4633))),"",IFERROR(E4633*N(INDEX(art_price,MATCH(C4633,art_ref,0))),""))</f>
        <v/>
      </c>
      <c r="K4633" s="39" t="str">
        <f>IF(OR(C4633="",NOT(ISNUMBER(E4633))),"",IFERROR(ROUND(N(INDEX(art_init,MATCH(C4633,art_ref,0)))+SUMIFS($E$5:E4633,$C$5:C4633,C4633,$B$5:B4633,"Entrée")-SUMIFS($E$5:E4633,$C$5:C4633,C4633,$B$5:B4633,"Sortie"),6),""))</f>
        <v/>
      </c>
      <c r="L4633" s="39" t="str">
        <f>IF(COUNTA(A4633:C4633,E4633)=0,"",IF(COUNTA(A4633:C4633,E4633)&lt;4,"Ligne incomplète",IF(NOT(ISNUMBER(A4633)),"Date invalide",IF(AND(B4633&lt;&gt;"Entrée",B4633&lt;&gt;"Sortie"),"Type inconnu",IF(ISNA(MATCH(C4633,art_ref,0)),"Référence inconnue",IF(OR(NOT(ISNUMBER(E4633)),N(E4633)&lt;=0),"Quantité invalide",IF(K4633&lt;0,"Stock négatif",IF(AND(ISNUMBER(A4632),A4633&lt;A4632),"Date hors ordre","OK"))))))))</f>
        <v/>
      </c>
      <c r="M4633" s="39" t="str">
        <f>IF(C4633="","",C4633&amp;"#"&amp;COUNTIF($C$5:C4633,C4633))</f>
        <v/>
      </c>
    </row>
    <row r="4634">
      <c r="A4634" s="41" t="n"/>
      <c r="B4634" s="37" t="n"/>
      <c r="C4634" s="37" t="n"/>
      <c r="D4634" s="39" t="str">
        <f>IF(C4634="","",IFERROR(INDEX(art_des,MATCH(C4634,art_ref,0))&amp;"","Référence inconnue"))</f>
        <v/>
      </c>
      <c r="E4634" s="37" t="n"/>
      <c r="F4634" s="39" t="str">
        <f>IF(C4634="","",IFERROR(INDEX(art_unit,MATCH(C4634,art_ref,0))&amp;"",""))</f>
        <v/>
      </c>
      <c r="G4634" s="37" t="n"/>
      <c r="H4634" s="37" t="n"/>
      <c r="I4634" s="37" t="n"/>
      <c r="J4634" s="40" t="str">
        <f>IF(OR(C4634="",NOT(ISNUMBER(E4634))),"",IFERROR(E4634*N(INDEX(art_price,MATCH(C4634,art_ref,0))),""))</f>
        <v/>
      </c>
      <c r="K4634" s="39" t="str">
        <f>IF(OR(C4634="",NOT(ISNUMBER(E4634))),"",IFERROR(ROUND(N(INDEX(art_init,MATCH(C4634,art_ref,0)))+SUMIFS($E$5:E4634,$C$5:C4634,C4634,$B$5:B4634,"Entrée")-SUMIFS($E$5:E4634,$C$5:C4634,C4634,$B$5:B4634,"Sortie"),6),""))</f>
        <v/>
      </c>
      <c r="L4634" s="39" t="str">
        <f>IF(COUNTA(A4634:C4634,E4634)=0,"",IF(COUNTA(A4634:C4634,E4634)&lt;4,"Ligne incomplète",IF(NOT(ISNUMBER(A4634)),"Date invalide",IF(AND(B4634&lt;&gt;"Entrée",B4634&lt;&gt;"Sortie"),"Type inconnu",IF(ISNA(MATCH(C4634,art_ref,0)),"Référence inconnue",IF(OR(NOT(ISNUMBER(E4634)),N(E4634)&lt;=0),"Quantité invalide",IF(K4634&lt;0,"Stock négatif",IF(AND(ISNUMBER(A4633),A4634&lt;A4633),"Date hors ordre","OK"))))))))</f>
        <v/>
      </c>
      <c r="M4634" s="39" t="str">
        <f>IF(C4634="","",C4634&amp;"#"&amp;COUNTIF($C$5:C4634,C4634))</f>
        <v/>
      </c>
    </row>
    <row r="4635">
      <c r="A4635" s="41" t="n"/>
      <c r="B4635" s="37" t="n"/>
      <c r="C4635" s="37" t="n"/>
      <c r="D4635" s="39" t="str">
        <f>IF(C4635="","",IFERROR(INDEX(art_des,MATCH(C4635,art_ref,0))&amp;"","Référence inconnue"))</f>
        <v/>
      </c>
      <c r="E4635" s="37" t="n"/>
      <c r="F4635" s="39" t="str">
        <f>IF(C4635="","",IFERROR(INDEX(art_unit,MATCH(C4635,art_ref,0))&amp;"",""))</f>
        <v/>
      </c>
      <c r="G4635" s="37" t="n"/>
      <c r="H4635" s="37" t="n"/>
      <c r="I4635" s="37" t="n"/>
      <c r="J4635" s="40" t="str">
        <f>IF(OR(C4635="",NOT(ISNUMBER(E4635))),"",IFERROR(E4635*N(INDEX(art_price,MATCH(C4635,art_ref,0))),""))</f>
        <v/>
      </c>
      <c r="K4635" s="39" t="str">
        <f>IF(OR(C4635="",NOT(ISNUMBER(E4635))),"",IFERROR(ROUND(N(INDEX(art_init,MATCH(C4635,art_ref,0)))+SUMIFS($E$5:E4635,$C$5:C4635,C4635,$B$5:B4635,"Entrée")-SUMIFS($E$5:E4635,$C$5:C4635,C4635,$B$5:B4635,"Sortie"),6),""))</f>
        <v/>
      </c>
      <c r="L4635" s="39" t="str">
        <f>IF(COUNTA(A4635:C4635,E4635)=0,"",IF(COUNTA(A4635:C4635,E4635)&lt;4,"Ligne incomplète",IF(NOT(ISNUMBER(A4635)),"Date invalide",IF(AND(B4635&lt;&gt;"Entrée",B4635&lt;&gt;"Sortie"),"Type inconnu",IF(ISNA(MATCH(C4635,art_ref,0)),"Référence inconnue",IF(OR(NOT(ISNUMBER(E4635)),N(E4635)&lt;=0),"Quantité invalide",IF(K4635&lt;0,"Stock négatif",IF(AND(ISNUMBER(A4634),A4635&lt;A4634),"Date hors ordre","OK"))))))))</f>
        <v/>
      </c>
      <c r="M4635" s="39" t="str">
        <f>IF(C4635="","",C4635&amp;"#"&amp;COUNTIF($C$5:C4635,C4635))</f>
        <v/>
      </c>
    </row>
    <row r="4636">
      <c r="A4636" s="41" t="n"/>
      <c r="B4636" s="37" t="n"/>
      <c r="C4636" s="37" t="n"/>
      <c r="D4636" s="39" t="str">
        <f>IF(C4636="","",IFERROR(INDEX(art_des,MATCH(C4636,art_ref,0))&amp;"","Référence inconnue"))</f>
        <v/>
      </c>
      <c r="E4636" s="37" t="n"/>
      <c r="F4636" s="39" t="str">
        <f>IF(C4636="","",IFERROR(INDEX(art_unit,MATCH(C4636,art_ref,0))&amp;"",""))</f>
        <v/>
      </c>
      <c r="G4636" s="37" t="n"/>
      <c r="H4636" s="37" t="n"/>
      <c r="I4636" s="37" t="n"/>
      <c r="J4636" s="40" t="str">
        <f>IF(OR(C4636="",NOT(ISNUMBER(E4636))),"",IFERROR(E4636*N(INDEX(art_price,MATCH(C4636,art_ref,0))),""))</f>
        <v/>
      </c>
      <c r="K4636" s="39" t="str">
        <f>IF(OR(C4636="",NOT(ISNUMBER(E4636))),"",IFERROR(ROUND(N(INDEX(art_init,MATCH(C4636,art_ref,0)))+SUMIFS($E$5:E4636,$C$5:C4636,C4636,$B$5:B4636,"Entrée")-SUMIFS($E$5:E4636,$C$5:C4636,C4636,$B$5:B4636,"Sortie"),6),""))</f>
        <v/>
      </c>
      <c r="L4636" s="39" t="str">
        <f>IF(COUNTA(A4636:C4636,E4636)=0,"",IF(COUNTA(A4636:C4636,E4636)&lt;4,"Ligne incomplète",IF(NOT(ISNUMBER(A4636)),"Date invalide",IF(AND(B4636&lt;&gt;"Entrée",B4636&lt;&gt;"Sortie"),"Type inconnu",IF(ISNA(MATCH(C4636,art_ref,0)),"Référence inconnue",IF(OR(NOT(ISNUMBER(E4636)),N(E4636)&lt;=0),"Quantité invalide",IF(K4636&lt;0,"Stock négatif",IF(AND(ISNUMBER(A4635),A4636&lt;A4635),"Date hors ordre","OK"))))))))</f>
        <v/>
      </c>
      <c r="M4636" s="39" t="str">
        <f>IF(C4636="","",C4636&amp;"#"&amp;COUNTIF($C$5:C4636,C4636))</f>
        <v/>
      </c>
    </row>
    <row r="4637">
      <c r="A4637" s="41" t="n"/>
      <c r="B4637" s="37" t="n"/>
      <c r="C4637" s="37" t="n"/>
      <c r="D4637" s="39" t="str">
        <f>IF(C4637="","",IFERROR(INDEX(art_des,MATCH(C4637,art_ref,0))&amp;"","Référence inconnue"))</f>
        <v/>
      </c>
      <c r="E4637" s="37" t="n"/>
      <c r="F4637" s="39" t="str">
        <f>IF(C4637="","",IFERROR(INDEX(art_unit,MATCH(C4637,art_ref,0))&amp;"",""))</f>
        <v/>
      </c>
      <c r="G4637" s="37" t="n"/>
      <c r="H4637" s="37" t="n"/>
      <c r="I4637" s="37" t="n"/>
      <c r="J4637" s="40" t="str">
        <f>IF(OR(C4637="",NOT(ISNUMBER(E4637))),"",IFERROR(E4637*N(INDEX(art_price,MATCH(C4637,art_ref,0))),""))</f>
        <v/>
      </c>
      <c r="K4637" s="39" t="str">
        <f>IF(OR(C4637="",NOT(ISNUMBER(E4637))),"",IFERROR(ROUND(N(INDEX(art_init,MATCH(C4637,art_ref,0)))+SUMIFS($E$5:E4637,$C$5:C4637,C4637,$B$5:B4637,"Entrée")-SUMIFS($E$5:E4637,$C$5:C4637,C4637,$B$5:B4637,"Sortie"),6),""))</f>
        <v/>
      </c>
      <c r="L4637" s="39" t="str">
        <f>IF(COUNTA(A4637:C4637,E4637)=0,"",IF(COUNTA(A4637:C4637,E4637)&lt;4,"Ligne incomplète",IF(NOT(ISNUMBER(A4637)),"Date invalide",IF(AND(B4637&lt;&gt;"Entrée",B4637&lt;&gt;"Sortie"),"Type inconnu",IF(ISNA(MATCH(C4637,art_ref,0)),"Référence inconnue",IF(OR(NOT(ISNUMBER(E4637)),N(E4637)&lt;=0),"Quantité invalide",IF(K4637&lt;0,"Stock négatif",IF(AND(ISNUMBER(A4636),A4637&lt;A4636),"Date hors ordre","OK"))))))))</f>
        <v/>
      </c>
      <c r="M4637" s="39" t="str">
        <f>IF(C4637="","",C4637&amp;"#"&amp;COUNTIF($C$5:C4637,C4637))</f>
        <v/>
      </c>
    </row>
    <row r="4638">
      <c r="A4638" s="41" t="n"/>
      <c r="B4638" s="37" t="n"/>
      <c r="C4638" s="37" t="n"/>
      <c r="D4638" s="39" t="str">
        <f>IF(C4638="","",IFERROR(INDEX(art_des,MATCH(C4638,art_ref,0))&amp;"","Référence inconnue"))</f>
        <v/>
      </c>
      <c r="E4638" s="37" t="n"/>
      <c r="F4638" s="39" t="str">
        <f>IF(C4638="","",IFERROR(INDEX(art_unit,MATCH(C4638,art_ref,0))&amp;"",""))</f>
        <v/>
      </c>
      <c r="G4638" s="37" t="n"/>
      <c r="H4638" s="37" t="n"/>
      <c r="I4638" s="37" t="n"/>
      <c r="J4638" s="40" t="str">
        <f>IF(OR(C4638="",NOT(ISNUMBER(E4638))),"",IFERROR(E4638*N(INDEX(art_price,MATCH(C4638,art_ref,0))),""))</f>
        <v/>
      </c>
      <c r="K4638" s="39" t="str">
        <f>IF(OR(C4638="",NOT(ISNUMBER(E4638))),"",IFERROR(ROUND(N(INDEX(art_init,MATCH(C4638,art_ref,0)))+SUMIFS($E$5:E4638,$C$5:C4638,C4638,$B$5:B4638,"Entrée")-SUMIFS($E$5:E4638,$C$5:C4638,C4638,$B$5:B4638,"Sortie"),6),""))</f>
        <v/>
      </c>
      <c r="L4638" s="39" t="str">
        <f>IF(COUNTA(A4638:C4638,E4638)=0,"",IF(COUNTA(A4638:C4638,E4638)&lt;4,"Ligne incomplète",IF(NOT(ISNUMBER(A4638)),"Date invalide",IF(AND(B4638&lt;&gt;"Entrée",B4638&lt;&gt;"Sortie"),"Type inconnu",IF(ISNA(MATCH(C4638,art_ref,0)),"Référence inconnue",IF(OR(NOT(ISNUMBER(E4638)),N(E4638)&lt;=0),"Quantité invalide",IF(K4638&lt;0,"Stock négatif",IF(AND(ISNUMBER(A4637),A4638&lt;A4637),"Date hors ordre","OK"))))))))</f>
        <v/>
      </c>
      <c r="M4638" s="39" t="str">
        <f>IF(C4638="","",C4638&amp;"#"&amp;COUNTIF($C$5:C4638,C4638))</f>
        <v/>
      </c>
    </row>
    <row r="4639">
      <c r="A4639" s="41" t="n"/>
      <c r="B4639" s="37" t="n"/>
      <c r="C4639" s="37" t="n"/>
      <c r="D4639" s="39" t="str">
        <f>IF(C4639="","",IFERROR(INDEX(art_des,MATCH(C4639,art_ref,0))&amp;"","Référence inconnue"))</f>
        <v/>
      </c>
      <c r="E4639" s="37" t="n"/>
      <c r="F4639" s="39" t="str">
        <f>IF(C4639="","",IFERROR(INDEX(art_unit,MATCH(C4639,art_ref,0))&amp;"",""))</f>
        <v/>
      </c>
      <c r="G4639" s="37" t="n"/>
      <c r="H4639" s="37" t="n"/>
      <c r="I4639" s="37" t="n"/>
      <c r="J4639" s="40" t="str">
        <f>IF(OR(C4639="",NOT(ISNUMBER(E4639))),"",IFERROR(E4639*N(INDEX(art_price,MATCH(C4639,art_ref,0))),""))</f>
        <v/>
      </c>
      <c r="K4639" s="39" t="str">
        <f>IF(OR(C4639="",NOT(ISNUMBER(E4639))),"",IFERROR(ROUND(N(INDEX(art_init,MATCH(C4639,art_ref,0)))+SUMIFS($E$5:E4639,$C$5:C4639,C4639,$B$5:B4639,"Entrée")-SUMIFS($E$5:E4639,$C$5:C4639,C4639,$B$5:B4639,"Sortie"),6),""))</f>
        <v/>
      </c>
      <c r="L4639" s="39" t="str">
        <f>IF(COUNTA(A4639:C4639,E4639)=0,"",IF(COUNTA(A4639:C4639,E4639)&lt;4,"Ligne incomplète",IF(NOT(ISNUMBER(A4639)),"Date invalide",IF(AND(B4639&lt;&gt;"Entrée",B4639&lt;&gt;"Sortie"),"Type inconnu",IF(ISNA(MATCH(C4639,art_ref,0)),"Référence inconnue",IF(OR(NOT(ISNUMBER(E4639)),N(E4639)&lt;=0),"Quantité invalide",IF(K4639&lt;0,"Stock négatif",IF(AND(ISNUMBER(A4638),A4639&lt;A4638),"Date hors ordre","OK"))))))))</f>
        <v/>
      </c>
      <c r="M4639" s="39" t="str">
        <f>IF(C4639="","",C4639&amp;"#"&amp;COUNTIF($C$5:C4639,C4639))</f>
        <v/>
      </c>
    </row>
    <row r="4640">
      <c r="A4640" s="41" t="n"/>
      <c r="B4640" s="37" t="n"/>
      <c r="C4640" s="37" t="n"/>
      <c r="D4640" s="39" t="str">
        <f>IF(C4640="","",IFERROR(INDEX(art_des,MATCH(C4640,art_ref,0))&amp;"","Référence inconnue"))</f>
        <v/>
      </c>
      <c r="E4640" s="37" t="n"/>
      <c r="F4640" s="39" t="str">
        <f>IF(C4640="","",IFERROR(INDEX(art_unit,MATCH(C4640,art_ref,0))&amp;"",""))</f>
        <v/>
      </c>
      <c r="G4640" s="37" t="n"/>
      <c r="H4640" s="37" t="n"/>
      <c r="I4640" s="37" t="n"/>
      <c r="J4640" s="40" t="str">
        <f>IF(OR(C4640="",NOT(ISNUMBER(E4640))),"",IFERROR(E4640*N(INDEX(art_price,MATCH(C4640,art_ref,0))),""))</f>
        <v/>
      </c>
      <c r="K4640" s="39" t="str">
        <f>IF(OR(C4640="",NOT(ISNUMBER(E4640))),"",IFERROR(ROUND(N(INDEX(art_init,MATCH(C4640,art_ref,0)))+SUMIFS($E$5:E4640,$C$5:C4640,C4640,$B$5:B4640,"Entrée")-SUMIFS($E$5:E4640,$C$5:C4640,C4640,$B$5:B4640,"Sortie"),6),""))</f>
        <v/>
      </c>
      <c r="L4640" s="39" t="str">
        <f>IF(COUNTA(A4640:C4640,E4640)=0,"",IF(COUNTA(A4640:C4640,E4640)&lt;4,"Ligne incomplète",IF(NOT(ISNUMBER(A4640)),"Date invalide",IF(AND(B4640&lt;&gt;"Entrée",B4640&lt;&gt;"Sortie"),"Type inconnu",IF(ISNA(MATCH(C4640,art_ref,0)),"Référence inconnue",IF(OR(NOT(ISNUMBER(E4640)),N(E4640)&lt;=0),"Quantité invalide",IF(K4640&lt;0,"Stock négatif",IF(AND(ISNUMBER(A4639),A4640&lt;A4639),"Date hors ordre","OK"))))))))</f>
        <v/>
      </c>
      <c r="M4640" s="39" t="str">
        <f>IF(C4640="","",C4640&amp;"#"&amp;COUNTIF($C$5:C4640,C4640))</f>
        <v/>
      </c>
    </row>
    <row r="4641">
      <c r="A4641" s="41" t="n"/>
      <c r="B4641" s="37" t="n"/>
      <c r="C4641" s="37" t="n"/>
      <c r="D4641" s="39" t="str">
        <f>IF(C4641="","",IFERROR(INDEX(art_des,MATCH(C4641,art_ref,0))&amp;"","Référence inconnue"))</f>
        <v/>
      </c>
      <c r="E4641" s="37" t="n"/>
      <c r="F4641" s="39" t="str">
        <f>IF(C4641="","",IFERROR(INDEX(art_unit,MATCH(C4641,art_ref,0))&amp;"",""))</f>
        <v/>
      </c>
      <c r="G4641" s="37" t="n"/>
      <c r="H4641" s="37" t="n"/>
      <c r="I4641" s="37" t="n"/>
      <c r="J4641" s="40" t="str">
        <f>IF(OR(C4641="",NOT(ISNUMBER(E4641))),"",IFERROR(E4641*N(INDEX(art_price,MATCH(C4641,art_ref,0))),""))</f>
        <v/>
      </c>
      <c r="K4641" s="39" t="str">
        <f>IF(OR(C4641="",NOT(ISNUMBER(E4641))),"",IFERROR(ROUND(N(INDEX(art_init,MATCH(C4641,art_ref,0)))+SUMIFS($E$5:E4641,$C$5:C4641,C4641,$B$5:B4641,"Entrée")-SUMIFS($E$5:E4641,$C$5:C4641,C4641,$B$5:B4641,"Sortie"),6),""))</f>
        <v/>
      </c>
      <c r="L4641" s="39" t="str">
        <f>IF(COUNTA(A4641:C4641,E4641)=0,"",IF(COUNTA(A4641:C4641,E4641)&lt;4,"Ligne incomplète",IF(NOT(ISNUMBER(A4641)),"Date invalide",IF(AND(B4641&lt;&gt;"Entrée",B4641&lt;&gt;"Sortie"),"Type inconnu",IF(ISNA(MATCH(C4641,art_ref,0)),"Référence inconnue",IF(OR(NOT(ISNUMBER(E4641)),N(E4641)&lt;=0),"Quantité invalide",IF(K4641&lt;0,"Stock négatif",IF(AND(ISNUMBER(A4640),A4641&lt;A4640),"Date hors ordre","OK"))))))))</f>
        <v/>
      </c>
      <c r="M4641" s="39" t="str">
        <f>IF(C4641="","",C4641&amp;"#"&amp;COUNTIF($C$5:C4641,C4641))</f>
        <v/>
      </c>
    </row>
    <row r="4642">
      <c r="A4642" s="41" t="n"/>
      <c r="B4642" s="37" t="n"/>
      <c r="C4642" s="37" t="n"/>
      <c r="D4642" s="39" t="str">
        <f>IF(C4642="","",IFERROR(INDEX(art_des,MATCH(C4642,art_ref,0))&amp;"","Référence inconnue"))</f>
        <v/>
      </c>
      <c r="E4642" s="37" t="n"/>
      <c r="F4642" s="39" t="str">
        <f>IF(C4642="","",IFERROR(INDEX(art_unit,MATCH(C4642,art_ref,0))&amp;"",""))</f>
        <v/>
      </c>
      <c r="G4642" s="37" t="n"/>
      <c r="H4642" s="37" t="n"/>
      <c r="I4642" s="37" t="n"/>
      <c r="J4642" s="40" t="str">
        <f>IF(OR(C4642="",NOT(ISNUMBER(E4642))),"",IFERROR(E4642*N(INDEX(art_price,MATCH(C4642,art_ref,0))),""))</f>
        <v/>
      </c>
      <c r="K4642" s="39" t="str">
        <f>IF(OR(C4642="",NOT(ISNUMBER(E4642))),"",IFERROR(ROUND(N(INDEX(art_init,MATCH(C4642,art_ref,0)))+SUMIFS($E$5:E4642,$C$5:C4642,C4642,$B$5:B4642,"Entrée")-SUMIFS($E$5:E4642,$C$5:C4642,C4642,$B$5:B4642,"Sortie"),6),""))</f>
        <v/>
      </c>
      <c r="L4642" s="39" t="str">
        <f>IF(COUNTA(A4642:C4642,E4642)=0,"",IF(COUNTA(A4642:C4642,E4642)&lt;4,"Ligne incomplète",IF(NOT(ISNUMBER(A4642)),"Date invalide",IF(AND(B4642&lt;&gt;"Entrée",B4642&lt;&gt;"Sortie"),"Type inconnu",IF(ISNA(MATCH(C4642,art_ref,0)),"Référence inconnue",IF(OR(NOT(ISNUMBER(E4642)),N(E4642)&lt;=0),"Quantité invalide",IF(K4642&lt;0,"Stock négatif",IF(AND(ISNUMBER(A4641),A4642&lt;A4641),"Date hors ordre","OK"))))))))</f>
        <v/>
      </c>
      <c r="M4642" s="39" t="str">
        <f>IF(C4642="","",C4642&amp;"#"&amp;COUNTIF($C$5:C4642,C4642))</f>
        <v/>
      </c>
    </row>
    <row r="4643">
      <c r="A4643" s="41" t="n"/>
      <c r="B4643" s="37" t="n"/>
      <c r="C4643" s="37" t="n"/>
      <c r="D4643" s="39" t="str">
        <f>IF(C4643="","",IFERROR(INDEX(art_des,MATCH(C4643,art_ref,0))&amp;"","Référence inconnue"))</f>
        <v/>
      </c>
      <c r="E4643" s="37" t="n"/>
      <c r="F4643" s="39" t="str">
        <f>IF(C4643="","",IFERROR(INDEX(art_unit,MATCH(C4643,art_ref,0))&amp;"",""))</f>
        <v/>
      </c>
      <c r="G4643" s="37" t="n"/>
      <c r="H4643" s="37" t="n"/>
      <c r="I4643" s="37" t="n"/>
      <c r="J4643" s="40" t="str">
        <f>IF(OR(C4643="",NOT(ISNUMBER(E4643))),"",IFERROR(E4643*N(INDEX(art_price,MATCH(C4643,art_ref,0))),""))</f>
        <v/>
      </c>
      <c r="K4643" s="39" t="str">
        <f>IF(OR(C4643="",NOT(ISNUMBER(E4643))),"",IFERROR(ROUND(N(INDEX(art_init,MATCH(C4643,art_ref,0)))+SUMIFS($E$5:E4643,$C$5:C4643,C4643,$B$5:B4643,"Entrée")-SUMIFS($E$5:E4643,$C$5:C4643,C4643,$B$5:B4643,"Sortie"),6),""))</f>
        <v/>
      </c>
      <c r="L4643" s="39" t="str">
        <f>IF(COUNTA(A4643:C4643,E4643)=0,"",IF(COUNTA(A4643:C4643,E4643)&lt;4,"Ligne incomplète",IF(NOT(ISNUMBER(A4643)),"Date invalide",IF(AND(B4643&lt;&gt;"Entrée",B4643&lt;&gt;"Sortie"),"Type inconnu",IF(ISNA(MATCH(C4643,art_ref,0)),"Référence inconnue",IF(OR(NOT(ISNUMBER(E4643)),N(E4643)&lt;=0),"Quantité invalide",IF(K4643&lt;0,"Stock négatif",IF(AND(ISNUMBER(A4642),A4643&lt;A4642),"Date hors ordre","OK"))))))))</f>
        <v/>
      </c>
      <c r="M4643" s="39" t="str">
        <f>IF(C4643="","",C4643&amp;"#"&amp;COUNTIF($C$5:C4643,C4643))</f>
        <v/>
      </c>
    </row>
    <row r="4644">
      <c r="A4644" s="41" t="n"/>
      <c r="B4644" s="37" t="n"/>
      <c r="C4644" s="37" t="n"/>
      <c r="D4644" s="39" t="str">
        <f>IF(C4644="","",IFERROR(INDEX(art_des,MATCH(C4644,art_ref,0))&amp;"","Référence inconnue"))</f>
        <v/>
      </c>
      <c r="E4644" s="37" t="n"/>
      <c r="F4644" s="39" t="str">
        <f>IF(C4644="","",IFERROR(INDEX(art_unit,MATCH(C4644,art_ref,0))&amp;"",""))</f>
        <v/>
      </c>
      <c r="G4644" s="37" t="n"/>
      <c r="H4644" s="37" t="n"/>
      <c r="I4644" s="37" t="n"/>
      <c r="J4644" s="40" t="str">
        <f>IF(OR(C4644="",NOT(ISNUMBER(E4644))),"",IFERROR(E4644*N(INDEX(art_price,MATCH(C4644,art_ref,0))),""))</f>
        <v/>
      </c>
      <c r="K4644" s="39" t="str">
        <f>IF(OR(C4644="",NOT(ISNUMBER(E4644))),"",IFERROR(ROUND(N(INDEX(art_init,MATCH(C4644,art_ref,0)))+SUMIFS($E$5:E4644,$C$5:C4644,C4644,$B$5:B4644,"Entrée")-SUMIFS($E$5:E4644,$C$5:C4644,C4644,$B$5:B4644,"Sortie"),6),""))</f>
        <v/>
      </c>
      <c r="L4644" s="39" t="str">
        <f>IF(COUNTA(A4644:C4644,E4644)=0,"",IF(COUNTA(A4644:C4644,E4644)&lt;4,"Ligne incomplète",IF(NOT(ISNUMBER(A4644)),"Date invalide",IF(AND(B4644&lt;&gt;"Entrée",B4644&lt;&gt;"Sortie"),"Type inconnu",IF(ISNA(MATCH(C4644,art_ref,0)),"Référence inconnue",IF(OR(NOT(ISNUMBER(E4644)),N(E4644)&lt;=0),"Quantité invalide",IF(K4644&lt;0,"Stock négatif",IF(AND(ISNUMBER(A4643),A4644&lt;A4643),"Date hors ordre","OK"))))))))</f>
        <v/>
      </c>
      <c r="M4644" s="39" t="str">
        <f>IF(C4644="","",C4644&amp;"#"&amp;COUNTIF($C$5:C4644,C4644))</f>
        <v/>
      </c>
    </row>
    <row r="4645">
      <c r="A4645" s="41" t="n"/>
      <c r="B4645" s="37" t="n"/>
      <c r="C4645" s="37" t="n"/>
      <c r="D4645" s="39" t="str">
        <f>IF(C4645="","",IFERROR(INDEX(art_des,MATCH(C4645,art_ref,0))&amp;"","Référence inconnue"))</f>
        <v/>
      </c>
      <c r="E4645" s="37" t="n"/>
      <c r="F4645" s="39" t="str">
        <f>IF(C4645="","",IFERROR(INDEX(art_unit,MATCH(C4645,art_ref,0))&amp;"",""))</f>
        <v/>
      </c>
      <c r="G4645" s="37" t="n"/>
      <c r="H4645" s="37" t="n"/>
      <c r="I4645" s="37" t="n"/>
      <c r="J4645" s="40" t="str">
        <f>IF(OR(C4645="",NOT(ISNUMBER(E4645))),"",IFERROR(E4645*N(INDEX(art_price,MATCH(C4645,art_ref,0))),""))</f>
        <v/>
      </c>
      <c r="K4645" s="39" t="str">
        <f>IF(OR(C4645="",NOT(ISNUMBER(E4645))),"",IFERROR(ROUND(N(INDEX(art_init,MATCH(C4645,art_ref,0)))+SUMIFS($E$5:E4645,$C$5:C4645,C4645,$B$5:B4645,"Entrée")-SUMIFS($E$5:E4645,$C$5:C4645,C4645,$B$5:B4645,"Sortie"),6),""))</f>
        <v/>
      </c>
      <c r="L4645" s="39" t="str">
        <f>IF(COUNTA(A4645:C4645,E4645)=0,"",IF(COUNTA(A4645:C4645,E4645)&lt;4,"Ligne incomplète",IF(NOT(ISNUMBER(A4645)),"Date invalide",IF(AND(B4645&lt;&gt;"Entrée",B4645&lt;&gt;"Sortie"),"Type inconnu",IF(ISNA(MATCH(C4645,art_ref,0)),"Référence inconnue",IF(OR(NOT(ISNUMBER(E4645)),N(E4645)&lt;=0),"Quantité invalide",IF(K4645&lt;0,"Stock négatif",IF(AND(ISNUMBER(A4644),A4645&lt;A4644),"Date hors ordre","OK"))))))))</f>
        <v/>
      </c>
      <c r="M4645" s="39" t="str">
        <f>IF(C4645="","",C4645&amp;"#"&amp;COUNTIF($C$5:C4645,C4645))</f>
        <v/>
      </c>
    </row>
    <row r="4646">
      <c r="A4646" s="41" t="n"/>
      <c r="B4646" s="37" t="n"/>
      <c r="C4646" s="37" t="n"/>
      <c r="D4646" s="39" t="str">
        <f>IF(C4646="","",IFERROR(INDEX(art_des,MATCH(C4646,art_ref,0))&amp;"","Référence inconnue"))</f>
        <v/>
      </c>
      <c r="E4646" s="37" t="n"/>
      <c r="F4646" s="39" t="str">
        <f>IF(C4646="","",IFERROR(INDEX(art_unit,MATCH(C4646,art_ref,0))&amp;"",""))</f>
        <v/>
      </c>
      <c r="G4646" s="37" t="n"/>
      <c r="H4646" s="37" t="n"/>
      <c r="I4646" s="37" t="n"/>
      <c r="J4646" s="40" t="str">
        <f>IF(OR(C4646="",NOT(ISNUMBER(E4646))),"",IFERROR(E4646*N(INDEX(art_price,MATCH(C4646,art_ref,0))),""))</f>
        <v/>
      </c>
      <c r="K4646" s="39" t="str">
        <f>IF(OR(C4646="",NOT(ISNUMBER(E4646))),"",IFERROR(ROUND(N(INDEX(art_init,MATCH(C4646,art_ref,0)))+SUMIFS($E$5:E4646,$C$5:C4646,C4646,$B$5:B4646,"Entrée")-SUMIFS($E$5:E4646,$C$5:C4646,C4646,$B$5:B4646,"Sortie"),6),""))</f>
        <v/>
      </c>
      <c r="L4646" s="39" t="str">
        <f>IF(COUNTA(A4646:C4646,E4646)=0,"",IF(COUNTA(A4646:C4646,E4646)&lt;4,"Ligne incomplète",IF(NOT(ISNUMBER(A4646)),"Date invalide",IF(AND(B4646&lt;&gt;"Entrée",B4646&lt;&gt;"Sortie"),"Type inconnu",IF(ISNA(MATCH(C4646,art_ref,0)),"Référence inconnue",IF(OR(NOT(ISNUMBER(E4646)),N(E4646)&lt;=0),"Quantité invalide",IF(K4646&lt;0,"Stock négatif",IF(AND(ISNUMBER(A4645),A4646&lt;A4645),"Date hors ordre","OK"))))))))</f>
        <v/>
      </c>
      <c r="M4646" s="39" t="str">
        <f>IF(C4646="","",C4646&amp;"#"&amp;COUNTIF($C$5:C4646,C4646))</f>
        <v/>
      </c>
    </row>
    <row r="4647">
      <c r="A4647" s="41" t="n"/>
      <c r="B4647" s="37" t="n"/>
      <c r="C4647" s="37" t="n"/>
      <c r="D4647" s="39" t="str">
        <f>IF(C4647="","",IFERROR(INDEX(art_des,MATCH(C4647,art_ref,0))&amp;"","Référence inconnue"))</f>
        <v/>
      </c>
      <c r="E4647" s="37" t="n"/>
      <c r="F4647" s="39" t="str">
        <f>IF(C4647="","",IFERROR(INDEX(art_unit,MATCH(C4647,art_ref,0))&amp;"",""))</f>
        <v/>
      </c>
      <c r="G4647" s="37" t="n"/>
      <c r="H4647" s="37" t="n"/>
      <c r="I4647" s="37" t="n"/>
      <c r="J4647" s="40" t="str">
        <f>IF(OR(C4647="",NOT(ISNUMBER(E4647))),"",IFERROR(E4647*N(INDEX(art_price,MATCH(C4647,art_ref,0))),""))</f>
        <v/>
      </c>
      <c r="K4647" s="39" t="str">
        <f>IF(OR(C4647="",NOT(ISNUMBER(E4647))),"",IFERROR(ROUND(N(INDEX(art_init,MATCH(C4647,art_ref,0)))+SUMIFS($E$5:E4647,$C$5:C4647,C4647,$B$5:B4647,"Entrée")-SUMIFS($E$5:E4647,$C$5:C4647,C4647,$B$5:B4647,"Sortie"),6),""))</f>
        <v/>
      </c>
      <c r="L4647" s="39" t="str">
        <f>IF(COUNTA(A4647:C4647,E4647)=0,"",IF(COUNTA(A4647:C4647,E4647)&lt;4,"Ligne incomplète",IF(NOT(ISNUMBER(A4647)),"Date invalide",IF(AND(B4647&lt;&gt;"Entrée",B4647&lt;&gt;"Sortie"),"Type inconnu",IF(ISNA(MATCH(C4647,art_ref,0)),"Référence inconnue",IF(OR(NOT(ISNUMBER(E4647)),N(E4647)&lt;=0),"Quantité invalide",IF(K4647&lt;0,"Stock négatif",IF(AND(ISNUMBER(A4646),A4647&lt;A4646),"Date hors ordre","OK"))))))))</f>
        <v/>
      </c>
      <c r="M4647" s="39" t="str">
        <f>IF(C4647="","",C4647&amp;"#"&amp;COUNTIF($C$5:C4647,C4647))</f>
        <v/>
      </c>
    </row>
    <row r="4648">
      <c r="A4648" s="41" t="n"/>
      <c r="B4648" s="37" t="n"/>
      <c r="C4648" s="37" t="n"/>
      <c r="D4648" s="39" t="str">
        <f>IF(C4648="","",IFERROR(INDEX(art_des,MATCH(C4648,art_ref,0))&amp;"","Référence inconnue"))</f>
        <v/>
      </c>
      <c r="E4648" s="37" t="n"/>
      <c r="F4648" s="39" t="str">
        <f>IF(C4648="","",IFERROR(INDEX(art_unit,MATCH(C4648,art_ref,0))&amp;"",""))</f>
        <v/>
      </c>
      <c r="G4648" s="37" t="n"/>
      <c r="H4648" s="37" t="n"/>
      <c r="I4648" s="37" t="n"/>
      <c r="J4648" s="40" t="str">
        <f>IF(OR(C4648="",NOT(ISNUMBER(E4648))),"",IFERROR(E4648*N(INDEX(art_price,MATCH(C4648,art_ref,0))),""))</f>
        <v/>
      </c>
      <c r="K4648" s="39" t="str">
        <f>IF(OR(C4648="",NOT(ISNUMBER(E4648))),"",IFERROR(ROUND(N(INDEX(art_init,MATCH(C4648,art_ref,0)))+SUMIFS($E$5:E4648,$C$5:C4648,C4648,$B$5:B4648,"Entrée")-SUMIFS($E$5:E4648,$C$5:C4648,C4648,$B$5:B4648,"Sortie"),6),""))</f>
        <v/>
      </c>
      <c r="L4648" s="39" t="str">
        <f>IF(COUNTA(A4648:C4648,E4648)=0,"",IF(COUNTA(A4648:C4648,E4648)&lt;4,"Ligne incomplète",IF(NOT(ISNUMBER(A4648)),"Date invalide",IF(AND(B4648&lt;&gt;"Entrée",B4648&lt;&gt;"Sortie"),"Type inconnu",IF(ISNA(MATCH(C4648,art_ref,0)),"Référence inconnue",IF(OR(NOT(ISNUMBER(E4648)),N(E4648)&lt;=0),"Quantité invalide",IF(K4648&lt;0,"Stock négatif",IF(AND(ISNUMBER(A4647),A4648&lt;A4647),"Date hors ordre","OK"))))))))</f>
        <v/>
      </c>
      <c r="M4648" s="39" t="str">
        <f>IF(C4648="","",C4648&amp;"#"&amp;COUNTIF($C$5:C4648,C4648))</f>
        <v/>
      </c>
    </row>
    <row r="4649">
      <c r="A4649" s="41" t="n"/>
      <c r="B4649" s="37" t="n"/>
      <c r="C4649" s="37" t="n"/>
      <c r="D4649" s="39" t="str">
        <f>IF(C4649="","",IFERROR(INDEX(art_des,MATCH(C4649,art_ref,0))&amp;"","Référence inconnue"))</f>
        <v/>
      </c>
      <c r="E4649" s="37" t="n"/>
      <c r="F4649" s="39" t="str">
        <f>IF(C4649="","",IFERROR(INDEX(art_unit,MATCH(C4649,art_ref,0))&amp;"",""))</f>
        <v/>
      </c>
      <c r="G4649" s="37" t="n"/>
      <c r="H4649" s="37" t="n"/>
      <c r="I4649" s="37" t="n"/>
      <c r="J4649" s="40" t="str">
        <f>IF(OR(C4649="",NOT(ISNUMBER(E4649))),"",IFERROR(E4649*N(INDEX(art_price,MATCH(C4649,art_ref,0))),""))</f>
        <v/>
      </c>
      <c r="K4649" s="39" t="str">
        <f>IF(OR(C4649="",NOT(ISNUMBER(E4649))),"",IFERROR(ROUND(N(INDEX(art_init,MATCH(C4649,art_ref,0)))+SUMIFS($E$5:E4649,$C$5:C4649,C4649,$B$5:B4649,"Entrée")-SUMIFS($E$5:E4649,$C$5:C4649,C4649,$B$5:B4649,"Sortie"),6),""))</f>
        <v/>
      </c>
      <c r="L4649" s="39" t="str">
        <f>IF(COUNTA(A4649:C4649,E4649)=0,"",IF(COUNTA(A4649:C4649,E4649)&lt;4,"Ligne incomplète",IF(NOT(ISNUMBER(A4649)),"Date invalide",IF(AND(B4649&lt;&gt;"Entrée",B4649&lt;&gt;"Sortie"),"Type inconnu",IF(ISNA(MATCH(C4649,art_ref,0)),"Référence inconnue",IF(OR(NOT(ISNUMBER(E4649)),N(E4649)&lt;=0),"Quantité invalide",IF(K4649&lt;0,"Stock négatif",IF(AND(ISNUMBER(A4648),A4649&lt;A4648),"Date hors ordre","OK"))))))))</f>
        <v/>
      </c>
      <c r="M4649" s="39" t="str">
        <f>IF(C4649="","",C4649&amp;"#"&amp;COUNTIF($C$5:C4649,C4649))</f>
        <v/>
      </c>
    </row>
    <row r="4650">
      <c r="A4650" s="41" t="n"/>
      <c r="B4650" s="37" t="n"/>
      <c r="C4650" s="37" t="n"/>
      <c r="D4650" s="39" t="str">
        <f>IF(C4650="","",IFERROR(INDEX(art_des,MATCH(C4650,art_ref,0))&amp;"","Référence inconnue"))</f>
        <v/>
      </c>
      <c r="E4650" s="37" t="n"/>
      <c r="F4650" s="39" t="str">
        <f>IF(C4650="","",IFERROR(INDEX(art_unit,MATCH(C4650,art_ref,0))&amp;"",""))</f>
        <v/>
      </c>
      <c r="G4650" s="37" t="n"/>
      <c r="H4650" s="37" t="n"/>
      <c r="I4650" s="37" t="n"/>
      <c r="J4650" s="40" t="str">
        <f>IF(OR(C4650="",NOT(ISNUMBER(E4650))),"",IFERROR(E4650*N(INDEX(art_price,MATCH(C4650,art_ref,0))),""))</f>
        <v/>
      </c>
      <c r="K4650" s="39" t="str">
        <f>IF(OR(C4650="",NOT(ISNUMBER(E4650))),"",IFERROR(ROUND(N(INDEX(art_init,MATCH(C4650,art_ref,0)))+SUMIFS($E$5:E4650,$C$5:C4650,C4650,$B$5:B4650,"Entrée")-SUMIFS($E$5:E4650,$C$5:C4650,C4650,$B$5:B4650,"Sortie"),6),""))</f>
        <v/>
      </c>
      <c r="L4650" s="39" t="str">
        <f>IF(COUNTA(A4650:C4650,E4650)=0,"",IF(COUNTA(A4650:C4650,E4650)&lt;4,"Ligne incomplète",IF(NOT(ISNUMBER(A4650)),"Date invalide",IF(AND(B4650&lt;&gt;"Entrée",B4650&lt;&gt;"Sortie"),"Type inconnu",IF(ISNA(MATCH(C4650,art_ref,0)),"Référence inconnue",IF(OR(NOT(ISNUMBER(E4650)),N(E4650)&lt;=0),"Quantité invalide",IF(K4650&lt;0,"Stock négatif",IF(AND(ISNUMBER(A4649),A4650&lt;A4649),"Date hors ordre","OK"))))))))</f>
        <v/>
      </c>
      <c r="M4650" s="39" t="str">
        <f>IF(C4650="","",C4650&amp;"#"&amp;COUNTIF($C$5:C4650,C4650))</f>
        <v/>
      </c>
    </row>
    <row r="4651">
      <c r="A4651" s="41" t="n"/>
      <c r="B4651" s="37" t="n"/>
      <c r="C4651" s="37" t="n"/>
      <c r="D4651" s="39" t="str">
        <f>IF(C4651="","",IFERROR(INDEX(art_des,MATCH(C4651,art_ref,0))&amp;"","Référence inconnue"))</f>
        <v/>
      </c>
      <c r="E4651" s="37" t="n"/>
      <c r="F4651" s="39" t="str">
        <f>IF(C4651="","",IFERROR(INDEX(art_unit,MATCH(C4651,art_ref,0))&amp;"",""))</f>
        <v/>
      </c>
      <c r="G4651" s="37" t="n"/>
      <c r="H4651" s="37" t="n"/>
      <c r="I4651" s="37" t="n"/>
      <c r="J4651" s="40" t="str">
        <f>IF(OR(C4651="",NOT(ISNUMBER(E4651))),"",IFERROR(E4651*N(INDEX(art_price,MATCH(C4651,art_ref,0))),""))</f>
        <v/>
      </c>
      <c r="K4651" s="39" t="str">
        <f>IF(OR(C4651="",NOT(ISNUMBER(E4651))),"",IFERROR(ROUND(N(INDEX(art_init,MATCH(C4651,art_ref,0)))+SUMIFS($E$5:E4651,$C$5:C4651,C4651,$B$5:B4651,"Entrée")-SUMIFS($E$5:E4651,$C$5:C4651,C4651,$B$5:B4651,"Sortie"),6),""))</f>
        <v/>
      </c>
      <c r="L4651" s="39" t="str">
        <f>IF(COUNTA(A4651:C4651,E4651)=0,"",IF(COUNTA(A4651:C4651,E4651)&lt;4,"Ligne incomplète",IF(NOT(ISNUMBER(A4651)),"Date invalide",IF(AND(B4651&lt;&gt;"Entrée",B4651&lt;&gt;"Sortie"),"Type inconnu",IF(ISNA(MATCH(C4651,art_ref,0)),"Référence inconnue",IF(OR(NOT(ISNUMBER(E4651)),N(E4651)&lt;=0),"Quantité invalide",IF(K4651&lt;0,"Stock négatif",IF(AND(ISNUMBER(A4650),A4651&lt;A4650),"Date hors ordre","OK"))))))))</f>
        <v/>
      </c>
      <c r="M4651" s="39" t="str">
        <f>IF(C4651="","",C4651&amp;"#"&amp;COUNTIF($C$5:C4651,C4651))</f>
        <v/>
      </c>
    </row>
    <row r="4652">
      <c r="A4652" s="41" t="n"/>
      <c r="B4652" s="37" t="n"/>
      <c r="C4652" s="37" t="n"/>
      <c r="D4652" s="39" t="str">
        <f>IF(C4652="","",IFERROR(INDEX(art_des,MATCH(C4652,art_ref,0))&amp;"","Référence inconnue"))</f>
        <v/>
      </c>
      <c r="E4652" s="37" t="n"/>
      <c r="F4652" s="39" t="str">
        <f>IF(C4652="","",IFERROR(INDEX(art_unit,MATCH(C4652,art_ref,0))&amp;"",""))</f>
        <v/>
      </c>
      <c r="G4652" s="37" t="n"/>
      <c r="H4652" s="37" t="n"/>
      <c r="I4652" s="37" t="n"/>
      <c r="J4652" s="40" t="str">
        <f>IF(OR(C4652="",NOT(ISNUMBER(E4652))),"",IFERROR(E4652*N(INDEX(art_price,MATCH(C4652,art_ref,0))),""))</f>
        <v/>
      </c>
      <c r="K4652" s="39" t="str">
        <f>IF(OR(C4652="",NOT(ISNUMBER(E4652))),"",IFERROR(ROUND(N(INDEX(art_init,MATCH(C4652,art_ref,0)))+SUMIFS($E$5:E4652,$C$5:C4652,C4652,$B$5:B4652,"Entrée")-SUMIFS($E$5:E4652,$C$5:C4652,C4652,$B$5:B4652,"Sortie"),6),""))</f>
        <v/>
      </c>
      <c r="L4652" s="39" t="str">
        <f>IF(COUNTA(A4652:C4652,E4652)=0,"",IF(COUNTA(A4652:C4652,E4652)&lt;4,"Ligne incomplète",IF(NOT(ISNUMBER(A4652)),"Date invalide",IF(AND(B4652&lt;&gt;"Entrée",B4652&lt;&gt;"Sortie"),"Type inconnu",IF(ISNA(MATCH(C4652,art_ref,0)),"Référence inconnue",IF(OR(NOT(ISNUMBER(E4652)),N(E4652)&lt;=0),"Quantité invalide",IF(K4652&lt;0,"Stock négatif",IF(AND(ISNUMBER(A4651),A4652&lt;A4651),"Date hors ordre","OK"))))))))</f>
        <v/>
      </c>
      <c r="M4652" s="39" t="str">
        <f>IF(C4652="","",C4652&amp;"#"&amp;COUNTIF($C$5:C4652,C4652))</f>
        <v/>
      </c>
    </row>
    <row r="4653">
      <c r="A4653" s="41" t="n"/>
      <c r="B4653" s="37" t="n"/>
      <c r="C4653" s="37" t="n"/>
      <c r="D4653" s="39" t="str">
        <f>IF(C4653="","",IFERROR(INDEX(art_des,MATCH(C4653,art_ref,0))&amp;"","Référence inconnue"))</f>
        <v/>
      </c>
      <c r="E4653" s="37" t="n"/>
      <c r="F4653" s="39" t="str">
        <f>IF(C4653="","",IFERROR(INDEX(art_unit,MATCH(C4653,art_ref,0))&amp;"",""))</f>
        <v/>
      </c>
      <c r="G4653" s="37" t="n"/>
      <c r="H4653" s="37" t="n"/>
      <c r="I4653" s="37" t="n"/>
      <c r="J4653" s="40" t="str">
        <f>IF(OR(C4653="",NOT(ISNUMBER(E4653))),"",IFERROR(E4653*N(INDEX(art_price,MATCH(C4653,art_ref,0))),""))</f>
        <v/>
      </c>
      <c r="K4653" s="39" t="str">
        <f>IF(OR(C4653="",NOT(ISNUMBER(E4653))),"",IFERROR(ROUND(N(INDEX(art_init,MATCH(C4653,art_ref,0)))+SUMIFS($E$5:E4653,$C$5:C4653,C4653,$B$5:B4653,"Entrée")-SUMIFS($E$5:E4653,$C$5:C4653,C4653,$B$5:B4653,"Sortie"),6),""))</f>
        <v/>
      </c>
      <c r="L4653" s="39" t="str">
        <f>IF(COUNTA(A4653:C4653,E4653)=0,"",IF(COUNTA(A4653:C4653,E4653)&lt;4,"Ligne incomplète",IF(NOT(ISNUMBER(A4653)),"Date invalide",IF(AND(B4653&lt;&gt;"Entrée",B4653&lt;&gt;"Sortie"),"Type inconnu",IF(ISNA(MATCH(C4653,art_ref,0)),"Référence inconnue",IF(OR(NOT(ISNUMBER(E4653)),N(E4653)&lt;=0),"Quantité invalide",IF(K4653&lt;0,"Stock négatif",IF(AND(ISNUMBER(A4652),A4653&lt;A4652),"Date hors ordre","OK"))))))))</f>
        <v/>
      </c>
      <c r="M4653" s="39" t="str">
        <f>IF(C4653="","",C4653&amp;"#"&amp;COUNTIF($C$5:C4653,C4653))</f>
        <v/>
      </c>
    </row>
    <row r="4654">
      <c r="A4654" s="41" t="n"/>
      <c r="B4654" s="37" t="n"/>
      <c r="C4654" s="37" t="n"/>
      <c r="D4654" s="39" t="str">
        <f>IF(C4654="","",IFERROR(INDEX(art_des,MATCH(C4654,art_ref,0))&amp;"","Référence inconnue"))</f>
        <v/>
      </c>
      <c r="E4654" s="37" t="n"/>
      <c r="F4654" s="39" t="str">
        <f>IF(C4654="","",IFERROR(INDEX(art_unit,MATCH(C4654,art_ref,0))&amp;"",""))</f>
        <v/>
      </c>
      <c r="G4654" s="37" t="n"/>
      <c r="H4654" s="37" t="n"/>
      <c r="I4654" s="37" t="n"/>
      <c r="J4654" s="40" t="str">
        <f>IF(OR(C4654="",NOT(ISNUMBER(E4654))),"",IFERROR(E4654*N(INDEX(art_price,MATCH(C4654,art_ref,0))),""))</f>
        <v/>
      </c>
      <c r="K4654" s="39" t="str">
        <f>IF(OR(C4654="",NOT(ISNUMBER(E4654))),"",IFERROR(ROUND(N(INDEX(art_init,MATCH(C4654,art_ref,0)))+SUMIFS($E$5:E4654,$C$5:C4654,C4654,$B$5:B4654,"Entrée")-SUMIFS($E$5:E4654,$C$5:C4654,C4654,$B$5:B4654,"Sortie"),6),""))</f>
        <v/>
      </c>
      <c r="L4654" s="39" t="str">
        <f>IF(COUNTA(A4654:C4654,E4654)=0,"",IF(COUNTA(A4654:C4654,E4654)&lt;4,"Ligne incomplète",IF(NOT(ISNUMBER(A4654)),"Date invalide",IF(AND(B4654&lt;&gt;"Entrée",B4654&lt;&gt;"Sortie"),"Type inconnu",IF(ISNA(MATCH(C4654,art_ref,0)),"Référence inconnue",IF(OR(NOT(ISNUMBER(E4654)),N(E4654)&lt;=0),"Quantité invalide",IF(K4654&lt;0,"Stock négatif",IF(AND(ISNUMBER(A4653),A4654&lt;A4653),"Date hors ordre","OK"))))))))</f>
        <v/>
      </c>
      <c r="M4654" s="39" t="str">
        <f>IF(C4654="","",C4654&amp;"#"&amp;COUNTIF($C$5:C4654,C4654))</f>
        <v/>
      </c>
    </row>
    <row r="4655">
      <c r="A4655" s="41" t="n"/>
      <c r="B4655" s="37" t="n"/>
      <c r="C4655" s="37" t="n"/>
      <c r="D4655" s="39" t="str">
        <f>IF(C4655="","",IFERROR(INDEX(art_des,MATCH(C4655,art_ref,0))&amp;"","Référence inconnue"))</f>
        <v/>
      </c>
      <c r="E4655" s="37" t="n"/>
      <c r="F4655" s="39" t="str">
        <f>IF(C4655="","",IFERROR(INDEX(art_unit,MATCH(C4655,art_ref,0))&amp;"",""))</f>
        <v/>
      </c>
      <c r="G4655" s="37" t="n"/>
      <c r="H4655" s="37" t="n"/>
      <c r="I4655" s="37" t="n"/>
      <c r="J4655" s="40" t="str">
        <f>IF(OR(C4655="",NOT(ISNUMBER(E4655))),"",IFERROR(E4655*N(INDEX(art_price,MATCH(C4655,art_ref,0))),""))</f>
        <v/>
      </c>
      <c r="K4655" s="39" t="str">
        <f>IF(OR(C4655="",NOT(ISNUMBER(E4655))),"",IFERROR(ROUND(N(INDEX(art_init,MATCH(C4655,art_ref,0)))+SUMIFS($E$5:E4655,$C$5:C4655,C4655,$B$5:B4655,"Entrée")-SUMIFS($E$5:E4655,$C$5:C4655,C4655,$B$5:B4655,"Sortie"),6),""))</f>
        <v/>
      </c>
      <c r="L4655" s="39" t="str">
        <f>IF(COUNTA(A4655:C4655,E4655)=0,"",IF(COUNTA(A4655:C4655,E4655)&lt;4,"Ligne incomplète",IF(NOT(ISNUMBER(A4655)),"Date invalide",IF(AND(B4655&lt;&gt;"Entrée",B4655&lt;&gt;"Sortie"),"Type inconnu",IF(ISNA(MATCH(C4655,art_ref,0)),"Référence inconnue",IF(OR(NOT(ISNUMBER(E4655)),N(E4655)&lt;=0),"Quantité invalide",IF(K4655&lt;0,"Stock négatif",IF(AND(ISNUMBER(A4654),A4655&lt;A4654),"Date hors ordre","OK"))))))))</f>
        <v/>
      </c>
      <c r="M4655" s="39" t="str">
        <f>IF(C4655="","",C4655&amp;"#"&amp;COUNTIF($C$5:C4655,C4655))</f>
        <v/>
      </c>
    </row>
    <row r="4656">
      <c r="A4656" s="41" t="n"/>
      <c r="B4656" s="37" t="n"/>
      <c r="C4656" s="37" t="n"/>
      <c r="D4656" s="39" t="str">
        <f>IF(C4656="","",IFERROR(INDEX(art_des,MATCH(C4656,art_ref,0))&amp;"","Référence inconnue"))</f>
        <v/>
      </c>
      <c r="E4656" s="37" t="n"/>
      <c r="F4656" s="39" t="str">
        <f>IF(C4656="","",IFERROR(INDEX(art_unit,MATCH(C4656,art_ref,0))&amp;"",""))</f>
        <v/>
      </c>
      <c r="G4656" s="37" t="n"/>
      <c r="H4656" s="37" t="n"/>
      <c r="I4656" s="37" t="n"/>
      <c r="J4656" s="40" t="str">
        <f>IF(OR(C4656="",NOT(ISNUMBER(E4656))),"",IFERROR(E4656*N(INDEX(art_price,MATCH(C4656,art_ref,0))),""))</f>
        <v/>
      </c>
      <c r="K4656" s="39" t="str">
        <f>IF(OR(C4656="",NOT(ISNUMBER(E4656))),"",IFERROR(ROUND(N(INDEX(art_init,MATCH(C4656,art_ref,0)))+SUMIFS($E$5:E4656,$C$5:C4656,C4656,$B$5:B4656,"Entrée")-SUMIFS($E$5:E4656,$C$5:C4656,C4656,$B$5:B4656,"Sortie"),6),""))</f>
        <v/>
      </c>
      <c r="L4656" s="39" t="str">
        <f>IF(COUNTA(A4656:C4656,E4656)=0,"",IF(COUNTA(A4656:C4656,E4656)&lt;4,"Ligne incomplète",IF(NOT(ISNUMBER(A4656)),"Date invalide",IF(AND(B4656&lt;&gt;"Entrée",B4656&lt;&gt;"Sortie"),"Type inconnu",IF(ISNA(MATCH(C4656,art_ref,0)),"Référence inconnue",IF(OR(NOT(ISNUMBER(E4656)),N(E4656)&lt;=0),"Quantité invalide",IF(K4656&lt;0,"Stock négatif",IF(AND(ISNUMBER(A4655),A4656&lt;A4655),"Date hors ordre","OK"))))))))</f>
        <v/>
      </c>
      <c r="M4656" s="39" t="str">
        <f>IF(C4656="","",C4656&amp;"#"&amp;COUNTIF($C$5:C4656,C4656))</f>
        <v/>
      </c>
    </row>
    <row r="4657">
      <c r="A4657" s="41" t="n"/>
      <c r="B4657" s="37" t="n"/>
      <c r="C4657" s="37" t="n"/>
      <c r="D4657" s="39" t="str">
        <f>IF(C4657="","",IFERROR(INDEX(art_des,MATCH(C4657,art_ref,0))&amp;"","Référence inconnue"))</f>
        <v/>
      </c>
      <c r="E4657" s="37" t="n"/>
      <c r="F4657" s="39" t="str">
        <f>IF(C4657="","",IFERROR(INDEX(art_unit,MATCH(C4657,art_ref,0))&amp;"",""))</f>
        <v/>
      </c>
      <c r="G4657" s="37" t="n"/>
      <c r="H4657" s="37" t="n"/>
      <c r="I4657" s="37" t="n"/>
      <c r="J4657" s="40" t="str">
        <f>IF(OR(C4657="",NOT(ISNUMBER(E4657))),"",IFERROR(E4657*N(INDEX(art_price,MATCH(C4657,art_ref,0))),""))</f>
        <v/>
      </c>
      <c r="K4657" s="39" t="str">
        <f>IF(OR(C4657="",NOT(ISNUMBER(E4657))),"",IFERROR(ROUND(N(INDEX(art_init,MATCH(C4657,art_ref,0)))+SUMIFS($E$5:E4657,$C$5:C4657,C4657,$B$5:B4657,"Entrée")-SUMIFS($E$5:E4657,$C$5:C4657,C4657,$B$5:B4657,"Sortie"),6),""))</f>
        <v/>
      </c>
      <c r="L4657" s="39" t="str">
        <f>IF(COUNTA(A4657:C4657,E4657)=0,"",IF(COUNTA(A4657:C4657,E4657)&lt;4,"Ligne incomplète",IF(NOT(ISNUMBER(A4657)),"Date invalide",IF(AND(B4657&lt;&gt;"Entrée",B4657&lt;&gt;"Sortie"),"Type inconnu",IF(ISNA(MATCH(C4657,art_ref,0)),"Référence inconnue",IF(OR(NOT(ISNUMBER(E4657)),N(E4657)&lt;=0),"Quantité invalide",IF(K4657&lt;0,"Stock négatif",IF(AND(ISNUMBER(A4656),A4657&lt;A4656),"Date hors ordre","OK"))))))))</f>
        <v/>
      </c>
      <c r="M4657" s="39" t="str">
        <f>IF(C4657="","",C4657&amp;"#"&amp;COUNTIF($C$5:C4657,C4657))</f>
        <v/>
      </c>
    </row>
    <row r="4658">
      <c r="A4658" s="41" t="n"/>
      <c r="B4658" s="37" t="n"/>
      <c r="C4658" s="37" t="n"/>
      <c r="D4658" s="39" t="str">
        <f>IF(C4658="","",IFERROR(INDEX(art_des,MATCH(C4658,art_ref,0))&amp;"","Référence inconnue"))</f>
        <v/>
      </c>
      <c r="E4658" s="37" t="n"/>
      <c r="F4658" s="39" t="str">
        <f>IF(C4658="","",IFERROR(INDEX(art_unit,MATCH(C4658,art_ref,0))&amp;"",""))</f>
        <v/>
      </c>
      <c r="G4658" s="37" t="n"/>
      <c r="H4658" s="37" t="n"/>
      <c r="I4658" s="37" t="n"/>
      <c r="J4658" s="40" t="str">
        <f>IF(OR(C4658="",NOT(ISNUMBER(E4658))),"",IFERROR(E4658*N(INDEX(art_price,MATCH(C4658,art_ref,0))),""))</f>
        <v/>
      </c>
      <c r="K4658" s="39" t="str">
        <f>IF(OR(C4658="",NOT(ISNUMBER(E4658))),"",IFERROR(ROUND(N(INDEX(art_init,MATCH(C4658,art_ref,0)))+SUMIFS($E$5:E4658,$C$5:C4658,C4658,$B$5:B4658,"Entrée")-SUMIFS($E$5:E4658,$C$5:C4658,C4658,$B$5:B4658,"Sortie"),6),""))</f>
        <v/>
      </c>
      <c r="L4658" s="39" t="str">
        <f>IF(COUNTA(A4658:C4658,E4658)=0,"",IF(COUNTA(A4658:C4658,E4658)&lt;4,"Ligne incomplète",IF(NOT(ISNUMBER(A4658)),"Date invalide",IF(AND(B4658&lt;&gt;"Entrée",B4658&lt;&gt;"Sortie"),"Type inconnu",IF(ISNA(MATCH(C4658,art_ref,0)),"Référence inconnue",IF(OR(NOT(ISNUMBER(E4658)),N(E4658)&lt;=0),"Quantité invalide",IF(K4658&lt;0,"Stock négatif",IF(AND(ISNUMBER(A4657),A4658&lt;A4657),"Date hors ordre","OK"))))))))</f>
        <v/>
      </c>
      <c r="M4658" s="39" t="str">
        <f>IF(C4658="","",C4658&amp;"#"&amp;COUNTIF($C$5:C4658,C4658))</f>
        <v/>
      </c>
    </row>
    <row r="4659">
      <c r="A4659" s="41" t="n"/>
      <c r="B4659" s="37" t="n"/>
      <c r="C4659" s="37" t="n"/>
      <c r="D4659" s="39" t="str">
        <f>IF(C4659="","",IFERROR(INDEX(art_des,MATCH(C4659,art_ref,0))&amp;"","Référence inconnue"))</f>
        <v/>
      </c>
      <c r="E4659" s="37" t="n"/>
      <c r="F4659" s="39" t="str">
        <f>IF(C4659="","",IFERROR(INDEX(art_unit,MATCH(C4659,art_ref,0))&amp;"",""))</f>
        <v/>
      </c>
      <c r="G4659" s="37" t="n"/>
      <c r="H4659" s="37" t="n"/>
      <c r="I4659" s="37" t="n"/>
      <c r="J4659" s="40" t="str">
        <f>IF(OR(C4659="",NOT(ISNUMBER(E4659))),"",IFERROR(E4659*N(INDEX(art_price,MATCH(C4659,art_ref,0))),""))</f>
        <v/>
      </c>
      <c r="K4659" s="39" t="str">
        <f>IF(OR(C4659="",NOT(ISNUMBER(E4659))),"",IFERROR(ROUND(N(INDEX(art_init,MATCH(C4659,art_ref,0)))+SUMIFS($E$5:E4659,$C$5:C4659,C4659,$B$5:B4659,"Entrée")-SUMIFS($E$5:E4659,$C$5:C4659,C4659,$B$5:B4659,"Sortie"),6),""))</f>
        <v/>
      </c>
      <c r="L4659" s="39" t="str">
        <f>IF(COUNTA(A4659:C4659,E4659)=0,"",IF(COUNTA(A4659:C4659,E4659)&lt;4,"Ligne incomplète",IF(NOT(ISNUMBER(A4659)),"Date invalide",IF(AND(B4659&lt;&gt;"Entrée",B4659&lt;&gt;"Sortie"),"Type inconnu",IF(ISNA(MATCH(C4659,art_ref,0)),"Référence inconnue",IF(OR(NOT(ISNUMBER(E4659)),N(E4659)&lt;=0),"Quantité invalide",IF(K4659&lt;0,"Stock négatif",IF(AND(ISNUMBER(A4658),A4659&lt;A4658),"Date hors ordre","OK"))))))))</f>
        <v/>
      </c>
      <c r="M4659" s="39" t="str">
        <f>IF(C4659="","",C4659&amp;"#"&amp;COUNTIF($C$5:C4659,C4659))</f>
        <v/>
      </c>
    </row>
    <row r="4660">
      <c r="A4660" s="41" t="n"/>
      <c r="B4660" s="37" t="n"/>
      <c r="C4660" s="37" t="n"/>
      <c r="D4660" s="39" t="str">
        <f>IF(C4660="","",IFERROR(INDEX(art_des,MATCH(C4660,art_ref,0))&amp;"","Référence inconnue"))</f>
        <v/>
      </c>
      <c r="E4660" s="37" t="n"/>
      <c r="F4660" s="39" t="str">
        <f>IF(C4660="","",IFERROR(INDEX(art_unit,MATCH(C4660,art_ref,0))&amp;"",""))</f>
        <v/>
      </c>
      <c r="G4660" s="37" t="n"/>
      <c r="H4660" s="37" t="n"/>
      <c r="I4660" s="37" t="n"/>
      <c r="J4660" s="40" t="str">
        <f>IF(OR(C4660="",NOT(ISNUMBER(E4660))),"",IFERROR(E4660*N(INDEX(art_price,MATCH(C4660,art_ref,0))),""))</f>
        <v/>
      </c>
      <c r="K4660" s="39" t="str">
        <f>IF(OR(C4660="",NOT(ISNUMBER(E4660))),"",IFERROR(ROUND(N(INDEX(art_init,MATCH(C4660,art_ref,0)))+SUMIFS($E$5:E4660,$C$5:C4660,C4660,$B$5:B4660,"Entrée")-SUMIFS($E$5:E4660,$C$5:C4660,C4660,$B$5:B4660,"Sortie"),6),""))</f>
        <v/>
      </c>
      <c r="L4660" s="39" t="str">
        <f>IF(COUNTA(A4660:C4660,E4660)=0,"",IF(COUNTA(A4660:C4660,E4660)&lt;4,"Ligne incomplète",IF(NOT(ISNUMBER(A4660)),"Date invalide",IF(AND(B4660&lt;&gt;"Entrée",B4660&lt;&gt;"Sortie"),"Type inconnu",IF(ISNA(MATCH(C4660,art_ref,0)),"Référence inconnue",IF(OR(NOT(ISNUMBER(E4660)),N(E4660)&lt;=0),"Quantité invalide",IF(K4660&lt;0,"Stock négatif",IF(AND(ISNUMBER(A4659),A4660&lt;A4659),"Date hors ordre","OK"))))))))</f>
        <v/>
      </c>
      <c r="M4660" s="39" t="str">
        <f>IF(C4660="","",C4660&amp;"#"&amp;COUNTIF($C$5:C4660,C4660))</f>
        <v/>
      </c>
    </row>
    <row r="4661">
      <c r="A4661" s="41" t="n"/>
      <c r="B4661" s="37" t="n"/>
      <c r="C4661" s="37" t="n"/>
      <c r="D4661" s="39" t="str">
        <f>IF(C4661="","",IFERROR(INDEX(art_des,MATCH(C4661,art_ref,0))&amp;"","Référence inconnue"))</f>
        <v/>
      </c>
      <c r="E4661" s="37" t="n"/>
      <c r="F4661" s="39" t="str">
        <f>IF(C4661="","",IFERROR(INDEX(art_unit,MATCH(C4661,art_ref,0))&amp;"",""))</f>
        <v/>
      </c>
      <c r="G4661" s="37" t="n"/>
      <c r="H4661" s="37" t="n"/>
      <c r="I4661" s="37" t="n"/>
      <c r="J4661" s="40" t="str">
        <f>IF(OR(C4661="",NOT(ISNUMBER(E4661))),"",IFERROR(E4661*N(INDEX(art_price,MATCH(C4661,art_ref,0))),""))</f>
        <v/>
      </c>
      <c r="K4661" s="39" t="str">
        <f>IF(OR(C4661="",NOT(ISNUMBER(E4661))),"",IFERROR(ROUND(N(INDEX(art_init,MATCH(C4661,art_ref,0)))+SUMIFS($E$5:E4661,$C$5:C4661,C4661,$B$5:B4661,"Entrée")-SUMIFS($E$5:E4661,$C$5:C4661,C4661,$B$5:B4661,"Sortie"),6),""))</f>
        <v/>
      </c>
      <c r="L4661" s="39" t="str">
        <f>IF(COUNTA(A4661:C4661,E4661)=0,"",IF(COUNTA(A4661:C4661,E4661)&lt;4,"Ligne incomplète",IF(NOT(ISNUMBER(A4661)),"Date invalide",IF(AND(B4661&lt;&gt;"Entrée",B4661&lt;&gt;"Sortie"),"Type inconnu",IF(ISNA(MATCH(C4661,art_ref,0)),"Référence inconnue",IF(OR(NOT(ISNUMBER(E4661)),N(E4661)&lt;=0),"Quantité invalide",IF(K4661&lt;0,"Stock négatif",IF(AND(ISNUMBER(A4660),A4661&lt;A4660),"Date hors ordre","OK"))))))))</f>
        <v/>
      </c>
      <c r="M4661" s="39" t="str">
        <f>IF(C4661="","",C4661&amp;"#"&amp;COUNTIF($C$5:C4661,C4661))</f>
        <v/>
      </c>
    </row>
    <row r="4662">
      <c r="A4662" s="41" t="n"/>
      <c r="B4662" s="37" t="n"/>
      <c r="C4662" s="37" t="n"/>
      <c r="D4662" s="39" t="str">
        <f>IF(C4662="","",IFERROR(INDEX(art_des,MATCH(C4662,art_ref,0))&amp;"","Référence inconnue"))</f>
        <v/>
      </c>
      <c r="E4662" s="37" t="n"/>
      <c r="F4662" s="39" t="str">
        <f>IF(C4662="","",IFERROR(INDEX(art_unit,MATCH(C4662,art_ref,0))&amp;"",""))</f>
        <v/>
      </c>
      <c r="G4662" s="37" t="n"/>
      <c r="H4662" s="37" t="n"/>
      <c r="I4662" s="37" t="n"/>
      <c r="J4662" s="40" t="str">
        <f>IF(OR(C4662="",NOT(ISNUMBER(E4662))),"",IFERROR(E4662*N(INDEX(art_price,MATCH(C4662,art_ref,0))),""))</f>
        <v/>
      </c>
      <c r="K4662" s="39" t="str">
        <f>IF(OR(C4662="",NOT(ISNUMBER(E4662))),"",IFERROR(ROUND(N(INDEX(art_init,MATCH(C4662,art_ref,0)))+SUMIFS($E$5:E4662,$C$5:C4662,C4662,$B$5:B4662,"Entrée")-SUMIFS($E$5:E4662,$C$5:C4662,C4662,$B$5:B4662,"Sortie"),6),""))</f>
        <v/>
      </c>
      <c r="L4662" s="39" t="str">
        <f>IF(COUNTA(A4662:C4662,E4662)=0,"",IF(COUNTA(A4662:C4662,E4662)&lt;4,"Ligne incomplète",IF(NOT(ISNUMBER(A4662)),"Date invalide",IF(AND(B4662&lt;&gt;"Entrée",B4662&lt;&gt;"Sortie"),"Type inconnu",IF(ISNA(MATCH(C4662,art_ref,0)),"Référence inconnue",IF(OR(NOT(ISNUMBER(E4662)),N(E4662)&lt;=0),"Quantité invalide",IF(K4662&lt;0,"Stock négatif",IF(AND(ISNUMBER(A4661),A4662&lt;A4661),"Date hors ordre","OK"))))))))</f>
        <v/>
      </c>
      <c r="M4662" s="39" t="str">
        <f>IF(C4662="","",C4662&amp;"#"&amp;COUNTIF($C$5:C4662,C4662))</f>
        <v/>
      </c>
    </row>
    <row r="4663">
      <c r="A4663" s="41" t="n"/>
      <c r="B4663" s="37" t="n"/>
      <c r="C4663" s="37" t="n"/>
      <c r="D4663" s="39" t="str">
        <f>IF(C4663="","",IFERROR(INDEX(art_des,MATCH(C4663,art_ref,0))&amp;"","Référence inconnue"))</f>
        <v/>
      </c>
      <c r="E4663" s="37" t="n"/>
      <c r="F4663" s="39" t="str">
        <f>IF(C4663="","",IFERROR(INDEX(art_unit,MATCH(C4663,art_ref,0))&amp;"",""))</f>
        <v/>
      </c>
      <c r="G4663" s="37" t="n"/>
      <c r="H4663" s="37" t="n"/>
      <c r="I4663" s="37" t="n"/>
      <c r="J4663" s="40" t="str">
        <f>IF(OR(C4663="",NOT(ISNUMBER(E4663))),"",IFERROR(E4663*N(INDEX(art_price,MATCH(C4663,art_ref,0))),""))</f>
        <v/>
      </c>
      <c r="K4663" s="39" t="str">
        <f>IF(OR(C4663="",NOT(ISNUMBER(E4663))),"",IFERROR(ROUND(N(INDEX(art_init,MATCH(C4663,art_ref,0)))+SUMIFS($E$5:E4663,$C$5:C4663,C4663,$B$5:B4663,"Entrée")-SUMIFS($E$5:E4663,$C$5:C4663,C4663,$B$5:B4663,"Sortie"),6),""))</f>
        <v/>
      </c>
      <c r="L4663" s="39" t="str">
        <f>IF(COUNTA(A4663:C4663,E4663)=0,"",IF(COUNTA(A4663:C4663,E4663)&lt;4,"Ligne incomplète",IF(NOT(ISNUMBER(A4663)),"Date invalide",IF(AND(B4663&lt;&gt;"Entrée",B4663&lt;&gt;"Sortie"),"Type inconnu",IF(ISNA(MATCH(C4663,art_ref,0)),"Référence inconnue",IF(OR(NOT(ISNUMBER(E4663)),N(E4663)&lt;=0),"Quantité invalide",IF(K4663&lt;0,"Stock négatif",IF(AND(ISNUMBER(A4662),A4663&lt;A4662),"Date hors ordre","OK"))))))))</f>
        <v/>
      </c>
      <c r="M4663" s="39" t="str">
        <f>IF(C4663="","",C4663&amp;"#"&amp;COUNTIF($C$5:C4663,C4663))</f>
        <v/>
      </c>
    </row>
    <row r="4664">
      <c r="A4664" s="41" t="n"/>
      <c r="B4664" s="37" t="n"/>
      <c r="C4664" s="37" t="n"/>
      <c r="D4664" s="39" t="str">
        <f>IF(C4664="","",IFERROR(INDEX(art_des,MATCH(C4664,art_ref,0))&amp;"","Référence inconnue"))</f>
        <v/>
      </c>
      <c r="E4664" s="37" t="n"/>
      <c r="F4664" s="39" t="str">
        <f>IF(C4664="","",IFERROR(INDEX(art_unit,MATCH(C4664,art_ref,0))&amp;"",""))</f>
        <v/>
      </c>
      <c r="G4664" s="37" t="n"/>
      <c r="H4664" s="37" t="n"/>
      <c r="I4664" s="37" t="n"/>
      <c r="J4664" s="40" t="str">
        <f>IF(OR(C4664="",NOT(ISNUMBER(E4664))),"",IFERROR(E4664*N(INDEX(art_price,MATCH(C4664,art_ref,0))),""))</f>
        <v/>
      </c>
      <c r="K4664" s="39" t="str">
        <f>IF(OR(C4664="",NOT(ISNUMBER(E4664))),"",IFERROR(ROUND(N(INDEX(art_init,MATCH(C4664,art_ref,0)))+SUMIFS($E$5:E4664,$C$5:C4664,C4664,$B$5:B4664,"Entrée")-SUMIFS($E$5:E4664,$C$5:C4664,C4664,$B$5:B4664,"Sortie"),6),""))</f>
        <v/>
      </c>
      <c r="L4664" s="39" t="str">
        <f>IF(COUNTA(A4664:C4664,E4664)=0,"",IF(COUNTA(A4664:C4664,E4664)&lt;4,"Ligne incomplète",IF(NOT(ISNUMBER(A4664)),"Date invalide",IF(AND(B4664&lt;&gt;"Entrée",B4664&lt;&gt;"Sortie"),"Type inconnu",IF(ISNA(MATCH(C4664,art_ref,0)),"Référence inconnue",IF(OR(NOT(ISNUMBER(E4664)),N(E4664)&lt;=0),"Quantité invalide",IF(K4664&lt;0,"Stock négatif",IF(AND(ISNUMBER(A4663),A4664&lt;A4663),"Date hors ordre","OK"))))))))</f>
        <v/>
      </c>
      <c r="M4664" s="39" t="str">
        <f>IF(C4664="","",C4664&amp;"#"&amp;COUNTIF($C$5:C4664,C4664))</f>
        <v/>
      </c>
    </row>
    <row r="4665">
      <c r="A4665" s="41" t="n"/>
      <c r="B4665" s="37" t="n"/>
      <c r="C4665" s="37" t="n"/>
      <c r="D4665" s="39" t="str">
        <f>IF(C4665="","",IFERROR(INDEX(art_des,MATCH(C4665,art_ref,0))&amp;"","Référence inconnue"))</f>
        <v/>
      </c>
      <c r="E4665" s="37" t="n"/>
      <c r="F4665" s="39" t="str">
        <f>IF(C4665="","",IFERROR(INDEX(art_unit,MATCH(C4665,art_ref,0))&amp;"",""))</f>
        <v/>
      </c>
      <c r="G4665" s="37" t="n"/>
      <c r="H4665" s="37" t="n"/>
      <c r="I4665" s="37" t="n"/>
      <c r="J4665" s="40" t="str">
        <f>IF(OR(C4665="",NOT(ISNUMBER(E4665))),"",IFERROR(E4665*N(INDEX(art_price,MATCH(C4665,art_ref,0))),""))</f>
        <v/>
      </c>
      <c r="K4665" s="39" t="str">
        <f>IF(OR(C4665="",NOT(ISNUMBER(E4665))),"",IFERROR(ROUND(N(INDEX(art_init,MATCH(C4665,art_ref,0)))+SUMIFS($E$5:E4665,$C$5:C4665,C4665,$B$5:B4665,"Entrée")-SUMIFS($E$5:E4665,$C$5:C4665,C4665,$B$5:B4665,"Sortie"),6),""))</f>
        <v/>
      </c>
      <c r="L4665" s="39" t="str">
        <f>IF(COUNTA(A4665:C4665,E4665)=0,"",IF(COUNTA(A4665:C4665,E4665)&lt;4,"Ligne incomplète",IF(NOT(ISNUMBER(A4665)),"Date invalide",IF(AND(B4665&lt;&gt;"Entrée",B4665&lt;&gt;"Sortie"),"Type inconnu",IF(ISNA(MATCH(C4665,art_ref,0)),"Référence inconnue",IF(OR(NOT(ISNUMBER(E4665)),N(E4665)&lt;=0),"Quantité invalide",IF(K4665&lt;0,"Stock négatif",IF(AND(ISNUMBER(A4664),A4665&lt;A4664),"Date hors ordre","OK"))))))))</f>
        <v/>
      </c>
      <c r="M4665" s="39" t="str">
        <f>IF(C4665="","",C4665&amp;"#"&amp;COUNTIF($C$5:C4665,C4665))</f>
        <v/>
      </c>
    </row>
    <row r="4666">
      <c r="A4666" s="41" t="n"/>
      <c r="B4666" s="37" t="n"/>
      <c r="C4666" s="37" t="n"/>
      <c r="D4666" s="39" t="str">
        <f>IF(C4666="","",IFERROR(INDEX(art_des,MATCH(C4666,art_ref,0))&amp;"","Référence inconnue"))</f>
        <v/>
      </c>
      <c r="E4666" s="37" t="n"/>
      <c r="F4666" s="39" t="str">
        <f>IF(C4666="","",IFERROR(INDEX(art_unit,MATCH(C4666,art_ref,0))&amp;"",""))</f>
        <v/>
      </c>
      <c r="G4666" s="37" t="n"/>
      <c r="H4666" s="37" t="n"/>
      <c r="I4666" s="37" t="n"/>
      <c r="J4666" s="40" t="str">
        <f>IF(OR(C4666="",NOT(ISNUMBER(E4666))),"",IFERROR(E4666*N(INDEX(art_price,MATCH(C4666,art_ref,0))),""))</f>
        <v/>
      </c>
      <c r="K4666" s="39" t="str">
        <f>IF(OR(C4666="",NOT(ISNUMBER(E4666))),"",IFERROR(ROUND(N(INDEX(art_init,MATCH(C4666,art_ref,0)))+SUMIFS($E$5:E4666,$C$5:C4666,C4666,$B$5:B4666,"Entrée")-SUMIFS($E$5:E4666,$C$5:C4666,C4666,$B$5:B4666,"Sortie"),6),""))</f>
        <v/>
      </c>
      <c r="L4666" s="39" t="str">
        <f>IF(COUNTA(A4666:C4666,E4666)=0,"",IF(COUNTA(A4666:C4666,E4666)&lt;4,"Ligne incomplète",IF(NOT(ISNUMBER(A4666)),"Date invalide",IF(AND(B4666&lt;&gt;"Entrée",B4666&lt;&gt;"Sortie"),"Type inconnu",IF(ISNA(MATCH(C4666,art_ref,0)),"Référence inconnue",IF(OR(NOT(ISNUMBER(E4666)),N(E4666)&lt;=0),"Quantité invalide",IF(K4666&lt;0,"Stock négatif",IF(AND(ISNUMBER(A4665),A4666&lt;A4665),"Date hors ordre","OK"))))))))</f>
        <v/>
      </c>
      <c r="M4666" s="39" t="str">
        <f>IF(C4666="","",C4666&amp;"#"&amp;COUNTIF($C$5:C4666,C4666))</f>
        <v/>
      </c>
    </row>
    <row r="4667">
      <c r="A4667" s="41" t="n"/>
      <c r="B4667" s="37" t="n"/>
      <c r="C4667" s="37" t="n"/>
      <c r="D4667" s="39" t="str">
        <f>IF(C4667="","",IFERROR(INDEX(art_des,MATCH(C4667,art_ref,0))&amp;"","Référence inconnue"))</f>
        <v/>
      </c>
      <c r="E4667" s="37" t="n"/>
      <c r="F4667" s="39" t="str">
        <f>IF(C4667="","",IFERROR(INDEX(art_unit,MATCH(C4667,art_ref,0))&amp;"",""))</f>
        <v/>
      </c>
      <c r="G4667" s="37" t="n"/>
      <c r="H4667" s="37" t="n"/>
      <c r="I4667" s="37" t="n"/>
      <c r="J4667" s="40" t="str">
        <f>IF(OR(C4667="",NOT(ISNUMBER(E4667))),"",IFERROR(E4667*N(INDEX(art_price,MATCH(C4667,art_ref,0))),""))</f>
        <v/>
      </c>
      <c r="K4667" s="39" t="str">
        <f>IF(OR(C4667="",NOT(ISNUMBER(E4667))),"",IFERROR(ROUND(N(INDEX(art_init,MATCH(C4667,art_ref,0)))+SUMIFS($E$5:E4667,$C$5:C4667,C4667,$B$5:B4667,"Entrée")-SUMIFS($E$5:E4667,$C$5:C4667,C4667,$B$5:B4667,"Sortie"),6),""))</f>
        <v/>
      </c>
      <c r="L4667" s="39" t="str">
        <f>IF(COUNTA(A4667:C4667,E4667)=0,"",IF(COUNTA(A4667:C4667,E4667)&lt;4,"Ligne incomplète",IF(NOT(ISNUMBER(A4667)),"Date invalide",IF(AND(B4667&lt;&gt;"Entrée",B4667&lt;&gt;"Sortie"),"Type inconnu",IF(ISNA(MATCH(C4667,art_ref,0)),"Référence inconnue",IF(OR(NOT(ISNUMBER(E4667)),N(E4667)&lt;=0),"Quantité invalide",IF(K4667&lt;0,"Stock négatif",IF(AND(ISNUMBER(A4666),A4667&lt;A4666),"Date hors ordre","OK"))))))))</f>
        <v/>
      </c>
      <c r="M4667" s="39" t="str">
        <f>IF(C4667="","",C4667&amp;"#"&amp;COUNTIF($C$5:C4667,C4667))</f>
        <v/>
      </c>
    </row>
    <row r="4668">
      <c r="A4668" s="41" t="n"/>
      <c r="B4668" s="37" t="n"/>
      <c r="C4668" s="37" t="n"/>
      <c r="D4668" s="39" t="str">
        <f>IF(C4668="","",IFERROR(INDEX(art_des,MATCH(C4668,art_ref,0))&amp;"","Référence inconnue"))</f>
        <v/>
      </c>
      <c r="E4668" s="37" t="n"/>
      <c r="F4668" s="39" t="str">
        <f>IF(C4668="","",IFERROR(INDEX(art_unit,MATCH(C4668,art_ref,0))&amp;"",""))</f>
        <v/>
      </c>
      <c r="G4668" s="37" t="n"/>
      <c r="H4668" s="37" t="n"/>
      <c r="I4668" s="37" t="n"/>
      <c r="J4668" s="40" t="str">
        <f>IF(OR(C4668="",NOT(ISNUMBER(E4668))),"",IFERROR(E4668*N(INDEX(art_price,MATCH(C4668,art_ref,0))),""))</f>
        <v/>
      </c>
      <c r="K4668" s="39" t="str">
        <f>IF(OR(C4668="",NOT(ISNUMBER(E4668))),"",IFERROR(ROUND(N(INDEX(art_init,MATCH(C4668,art_ref,0)))+SUMIFS($E$5:E4668,$C$5:C4668,C4668,$B$5:B4668,"Entrée")-SUMIFS($E$5:E4668,$C$5:C4668,C4668,$B$5:B4668,"Sortie"),6),""))</f>
        <v/>
      </c>
      <c r="L4668" s="39" t="str">
        <f>IF(COUNTA(A4668:C4668,E4668)=0,"",IF(COUNTA(A4668:C4668,E4668)&lt;4,"Ligne incomplète",IF(NOT(ISNUMBER(A4668)),"Date invalide",IF(AND(B4668&lt;&gt;"Entrée",B4668&lt;&gt;"Sortie"),"Type inconnu",IF(ISNA(MATCH(C4668,art_ref,0)),"Référence inconnue",IF(OR(NOT(ISNUMBER(E4668)),N(E4668)&lt;=0),"Quantité invalide",IF(K4668&lt;0,"Stock négatif",IF(AND(ISNUMBER(A4667),A4668&lt;A4667),"Date hors ordre","OK"))))))))</f>
        <v/>
      </c>
      <c r="M4668" s="39" t="str">
        <f>IF(C4668="","",C4668&amp;"#"&amp;COUNTIF($C$5:C4668,C4668))</f>
        <v/>
      </c>
    </row>
    <row r="4669">
      <c r="A4669" s="41" t="n"/>
      <c r="B4669" s="37" t="n"/>
      <c r="C4669" s="37" t="n"/>
      <c r="D4669" s="39" t="str">
        <f>IF(C4669="","",IFERROR(INDEX(art_des,MATCH(C4669,art_ref,0))&amp;"","Référence inconnue"))</f>
        <v/>
      </c>
      <c r="E4669" s="37" t="n"/>
      <c r="F4669" s="39" t="str">
        <f>IF(C4669="","",IFERROR(INDEX(art_unit,MATCH(C4669,art_ref,0))&amp;"",""))</f>
        <v/>
      </c>
      <c r="G4669" s="37" t="n"/>
      <c r="H4669" s="37" t="n"/>
      <c r="I4669" s="37" t="n"/>
      <c r="J4669" s="40" t="str">
        <f>IF(OR(C4669="",NOT(ISNUMBER(E4669))),"",IFERROR(E4669*N(INDEX(art_price,MATCH(C4669,art_ref,0))),""))</f>
        <v/>
      </c>
      <c r="K4669" s="39" t="str">
        <f>IF(OR(C4669="",NOT(ISNUMBER(E4669))),"",IFERROR(ROUND(N(INDEX(art_init,MATCH(C4669,art_ref,0)))+SUMIFS($E$5:E4669,$C$5:C4669,C4669,$B$5:B4669,"Entrée")-SUMIFS($E$5:E4669,$C$5:C4669,C4669,$B$5:B4669,"Sortie"),6),""))</f>
        <v/>
      </c>
      <c r="L4669" s="39" t="str">
        <f>IF(COUNTA(A4669:C4669,E4669)=0,"",IF(COUNTA(A4669:C4669,E4669)&lt;4,"Ligne incomplète",IF(NOT(ISNUMBER(A4669)),"Date invalide",IF(AND(B4669&lt;&gt;"Entrée",B4669&lt;&gt;"Sortie"),"Type inconnu",IF(ISNA(MATCH(C4669,art_ref,0)),"Référence inconnue",IF(OR(NOT(ISNUMBER(E4669)),N(E4669)&lt;=0),"Quantité invalide",IF(K4669&lt;0,"Stock négatif",IF(AND(ISNUMBER(A4668),A4669&lt;A4668),"Date hors ordre","OK"))))))))</f>
        <v/>
      </c>
      <c r="M4669" s="39" t="str">
        <f>IF(C4669="","",C4669&amp;"#"&amp;COUNTIF($C$5:C4669,C4669))</f>
        <v/>
      </c>
    </row>
    <row r="4670">
      <c r="A4670" s="41" t="n"/>
      <c r="B4670" s="37" t="n"/>
      <c r="C4670" s="37" t="n"/>
      <c r="D4670" s="39" t="str">
        <f>IF(C4670="","",IFERROR(INDEX(art_des,MATCH(C4670,art_ref,0))&amp;"","Référence inconnue"))</f>
        <v/>
      </c>
      <c r="E4670" s="37" t="n"/>
      <c r="F4670" s="39" t="str">
        <f>IF(C4670="","",IFERROR(INDEX(art_unit,MATCH(C4670,art_ref,0))&amp;"",""))</f>
        <v/>
      </c>
      <c r="G4670" s="37" t="n"/>
      <c r="H4670" s="37" t="n"/>
      <c r="I4670" s="37" t="n"/>
      <c r="J4670" s="40" t="str">
        <f>IF(OR(C4670="",NOT(ISNUMBER(E4670))),"",IFERROR(E4670*N(INDEX(art_price,MATCH(C4670,art_ref,0))),""))</f>
        <v/>
      </c>
      <c r="K4670" s="39" t="str">
        <f>IF(OR(C4670="",NOT(ISNUMBER(E4670))),"",IFERROR(ROUND(N(INDEX(art_init,MATCH(C4670,art_ref,0)))+SUMIFS($E$5:E4670,$C$5:C4670,C4670,$B$5:B4670,"Entrée")-SUMIFS($E$5:E4670,$C$5:C4670,C4670,$B$5:B4670,"Sortie"),6),""))</f>
        <v/>
      </c>
      <c r="L4670" s="39" t="str">
        <f>IF(COUNTA(A4670:C4670,E4670)=0,"",IF(COUNTA(A4670:C4670,E4670)&lt;4,"Ligne incomplète",IF(NOT(ISNUMBER(A4670)),"Date invalide",IF(AND(B4670&lt;&gt;"Entrée",B4670&lt;&gt;"Sortie"),"Type inconnu",IF(ISNA(MATCH(C4670,art_ref,0)),"Référence inconnue",IF(OR(NOT(ISNUMBER(E4670)),N(E4670)&lt;=0),"Quantité invalide",IF(K4670&lt;0,"Stock négatif",IF(AND(ISNUMBER(A4669),A4670&lt;A4669),"Date hors ordre","OK"))))))))</f>
        <v/>
      </c>
      <c r="M4670" s="39" t="str">
        <f>IF(C4670="","",C4670&amp;"#"&amp;COUNTIF($C$5:C4670,C4670))</f>
        <v/>
      </c>
    </row>
    <row r="4671">
      <c r="A4671" s="41" t="n"/>
      <c r="B4671" s="37" t="n"/>
      <c r="C4671" s="37" t="n"/>
      <c r="D4671" s="39" t="str">
        <f>IF(C4671="","",IFERROR(INDEX(art_des,MATCH(C4671,art_ref,0))&amp;"","Référence inconnue"))</f>
        <v/>
      </c>
      <c r="E4671" s="37" t="n"/>
      <c r="F4671" s="39" t="str">
        <f>IF(C4671="","",IFERROR(INDEX(art_unit,MATCH(C4671,art_ref,0))&amp;"",""))</f>
        <v/>
      </c>
      <c r="G4671" s="37" t="n"/>
      <c r="H4671" s="37" t="n"/>
      <c r="I4671" s="37" t="n"/>
      <c r="J4671" s="40" t="str">
        <f>IF(OR(C4671="",NOT(ISNUMBER(E4671))),"",IFERROR(E4671*N(INDEX(art_price,MATCH(C4671,art_ref,0))),""))</f>
        <v/>
      </c>
      <c r="K4671" s="39" t="str">
        <f>IF(OR(C4671="",NOT(ISNUMBER(E4671))),"",IFERROR(ROUND(N(INDEX(art_init,MATCH(C4671,art_ref,0)))+SUMIFS($E$5:E4671,$C$5:C4671,C4671,$B$5:B4671,"Entrée")-SUMIFS($E$5:E4671,$C$5:C4671,C4671,$B$5:B4671,"Sortie"),6),""))</f>
        <v/>
      </c>
      <c r="L4671" s="39" t="str">
        <f>IF(COUNTA(A4671:C4671,E4671)=0,"",IF(COUNTA(A4671:C4671,E4671)&lt;4,"Ligne incomplète",IF(NOT(ISNUMBER(A4671)),"Date invalide",IF(AND(B4671&lt;&gt;"Entrée",B4671&lt;&gt;"Sortie"),"Type inconnu",IF(ISNA(MATCH(C4671,art_ref,0)),"Référence inconnue",IF(OR(NOT(ISNUMBER(E4671)),N(E4671)&lt;=0),"Quantité invalide",IF(K4671&lt;0,"Stock négatif",IF(AND(ISNUMBER(A4670),A4671&lt;A4670),"Date hors ordre","OK"))))))))</f>
        <v/>
      </c>
      <c r="M4671" s="39" t="str">
        <f>IF(C4671="","",C4671&amp;"#"&amp;COUNTIF($C$5:C4671,C4671))</f>
        <v/>
      </c>
    </row>
    <row r="4672">
      <c r="A4672" s="41" t="n"/>
      <c r="B4672" s="37" t="n"/>
      <c r="C4672" s="37" t="n"/>
      <c r="D4672" s="39" t="str">
        <f>IF(C4672="","",IFERROR(INDEX(art_des,MATCH(C4672,art_ref,0))&amp;"","Référence inconnue"))</f>
        <v/>
      </c>
      <c r="E4672" s="37" t="n"/>
      <c r="F4672" s="39" t="str">
        <f>IF(C4672="","",IFERROR(INDEX(art_unit,MATCH(C4672,art_ref,0))&amp;"",""))</f>
        <v/>
      </c>
      <c r="G4672" s="37" t="n"/>
      <c r="H4672" s="37" t="n"/>
      <c r="I4672" s="37" t="n"/>
      <c r="J4672" s="40" t="str">
        <f>IF(OR(C4672="",NOT(ISNUMBER(E4672))),"",IFERROR(E4672*N(INDEX(art_price,MATCH(C4672,art_ref,0))),""))</f>
        <v/>
      </c>
      <c r="K4672" s="39" t="str">
        <f>IF(OR(C4672="",NOT(ISNUMBER(E4672))),"",IFERROR(ROUND(N(INDEX(art_init,MATCH(C4672,art_ref,0)))+SUMIFS($E$5:E4672,$C$5:C4672,C4672,$B$5:B4672,"Entrée")-SUMIFS($E$5:E4672,$C$5:C4672,C4672,$B$5:B4672,"Sortie"),6),""))</f>
        <v/>
      </c>
      <c r="L4672" s="39" t="str">
        <f>IF(COUNTA(A4672:C4672,E4672)=0,"",IF(COUNTA(A4672:C4672,E4672)&lt;4,"Ligne incomplète",IF(NOT(ISNUMBER(A4672)),"Date invalide",IF(AND(B4672&lt;&gt;"Entrée",B4672&lt;&gt;"Sortie"),"Type inconnu",IF(ISNA(MATCH(C4672,art_ref,0)),"Référence inconnue",IF(OR(NOT(ISNUMBER(E4672)),N(E4672)&lt;=0),"Quantité invalide",IF(K4672&lt;0,"Stock négatif",IF(AND(ISNUMBER(A4671),A4672&lt;A4671),"Date hors ordre","OK"))))))))</f>
        <v/>
      </c>
      <c r="M4672" s="39" t="str">
        <f>IF(C4672="","",C4672&amp;"#"&amp;COUNTIF($C$5:C4672,C4672))</f>
        <v/>
      </c>
    </row>
    <row r="4673">
      <c r="A4673" s="41" t="n"/>
      <c r="B4673" s="37" t="n"/>
      <c r="C4673" s="37" t="n"/>
      <c r="D4673" s="39" t="str">
        <f>IF(C4673="","",IFERROR(INDEX(art_des,MATCH(C4673,art_ref,0))&amp;"","Référence inconnue"))</f>
        <v/>
      </c>
      <c r="E4673" s="37" t="n"/>
      <c r="F4673" s="39" t="str">
        <f>IF(C4673="","",IFERROR(INDEX(art_unit,MATCH(C4673,art_ref,0))&amp;"",""))</f>
        <v/>
      </c>
      <c r="G4673" s="37" t="n"/>
      <c r="H4673" s="37" t="n"/>
      <c r="I4673" s="37" t="n"/>
      <c r="J4673" s="40" t="str">
        <f>IF(OR(C4673="",NOT(ISNUMBER(E4673))),"",IFERROR(E4673*N(INDEX(art_price,MATCH(C4673,art_ref,0))),""))</f>
        <v/>
      </c>
      <c r="K4673" s="39" t="str">
        <f>IF(OR(C4673="",NOT(ISNUMBER(E4673))),"",IFERROR(ROUND(N(INDEX(art_init,MATCH(C4673,art_ref,0)))+SUMIFS($E$5:E4673,$C$5:C4673,C4673,$B$5:B4673,"Entrée")-SUMIFS($E$5:E4673,$C$5:C4673,C4673,$B$5:B4673,"Sortie"),6),""))</f>
        <v/>
      </c>
      <c r="L4673" s="39" t="str">
        <f>IF(COUNTA(A4673:C4673,E4673)=0,"",IF(COUNTA(A4673:C4673,E4673)&lt;4,"Ligne incomplète",IF(NOT(ISNUMBER(A4673)),"Date invalide",IF(AND(B4673&lt;&gt;"Entrée",B4673&lt;&gt;"Sortie"),"Type inconnu",IF(ISNA(MATCH(C4673,art_ref,0)),"Référence inconnue",IF(OR(NOT(ISNUMBER(E4673)),N(E4673)&lt;=0),"Quantité invalide",IF(K4673&lt;0,"Stock négatif",IF(AND(ISNUMBER(A4672),A4673&lt;A4672),"Date hors ordre","OK"))))))))</f>
        <v/>
      </c>
      <c r="M4673" s="39" t="str">
        <f>IF(C4673="","",C4673&amp;"#"&amp;COUNTIF($C$5:C4673,C4673))</f>
        <v/>
      </c>
    </row>
    <row r="4674">
      <c r="A4674" s="41" t="n"/>
      <c r="B4674" s="37" t="n"/>
      <c r="C4674" s="37" t="n"/>
      <c r="D4674" s="39" t="str">
        <f>IF(C4674="","",IFERROR(INDEX(art_des,MATCH(C4674,art_ref,0))&amp;"","Référence inconnue"))</f>
        <v/>
      </c>
      <c r="E4674" s="37" t="n"/>
      <c r="F4674" s="39" t="str">
        <f>IF(C4674="","",IFERROR(INDEX(art_unit,MATCH(C4674,art_ref,0))&amp;"",""))</f>
        <v/>
      </c>
      <c r="G4674" s="37" t="n"/>
      <c r="H4674" s="37" t="n"/>
      <c r="I4674" s="37" t="n"/>
      <c r="J4674" s="40" t="str">
        <f>IF(OR(C4674="",NOT(ISNUMBER(E4674))),"",IFERROR(E4674*N(INDEX(art_price,MATCH(C4674,art_ref,0))),""))</f>
        <v/>
      </c>
      <c r="K4674" s="39" t="str">
        <f>IF(OR(C4674="",NOT(ISNUMBER(E4674))),"",IFERROR(ROUND(N(INDEX(art_init,MATCH(C4674,art_ref,0)))+SUMIFS($E$5:E4674,$C$5:C4674,C4674,$B$5:B4674,"Entrée")-SUMIFS($E$5:E4674,$C$5:C4674,C4674,$B$5:B4674,"Sortie"),6),""))</f>
        <v/>
      </c>
      <c r="L4674" s="39" t="str">
        <f>IF(COUNTA(A4674:C4674,E4674)=0,"",IF(COUNTA(A4674:C4674,E4674)&lt;4,"Ligne incomplète",IF(NOT(ISNUMBER(A4674)),"Date invalide",IF(AND(B4674&lt;&gt;"Entrée",B4674&lt;&gt;"Sortie"),"Type inconnu",IF(ISNA(MATCH(C4674,art_ref,0)),"Référence inconnue",IF(OR(NOT(ISNUMBER(E4674)),N(E4674)&lt;=0),"Quantité invalide",IF(K4674&lt;0,"Stock négatif",IF(AND(ISNUMBER(A4673),A4674&lt;A4673),"Date hors ordre","OK"))))))))</f>
        <v/>
      </c>
      <c r="M4674" s="39" t="str">
        <f>IF(C4674="","",C4674&amp;"#"&amp;COUNTIF($C$5:C4674,C4674))</f>
        <v/>
      </c>
    </row>
    <row r="4675">
      <c r="A4675" s="41" t="n"/>
      <c r="B4675" s="37" t="n"/>
      <c r="C4675" s="37" t="n"/>
      <c r="D4675" s="39" t="str">
        <f>IF(C4675="","",IFERROR(INDEX(art_des,MATCH(C4675,art_ref,0))&amp;"","Référence inconnue"))</f>
        <v/>
      </c>
      <c r="E4675" s="37" t="n"/>
      <c r="F4675" s="39" t="str">
        <f>IF(C4675="","",IFERROR(INDEX(art_unit,MATCH(C4675,art_ref,0))&amp;"",""))</f>
        <v/>
      </c>
      <c r="G4675" s="37" t="n"/>
      <c r="H4675" s="37" t="n"/>
      <c r="I4675" s="37" t="n"/>
      <c r="J4675" s="40" t="str">
        <f>IF(OR(C4675="",NOT(ISNUMBER(E4675))),"",IFERROR(E4675*N(INDEX(art_price,MATCH(C4675,art_ref,0))),""))</f>
        <v/>
      </c>
      <c r="K4675" s="39" t="str">
        <f>IF(OR(C4675="",NOT(ISNUMBER(E4675))),"",IFERROR(ROUND(N(INDEX(art_init,MATCH(C4675,art_ref,0)))+SUMIFS($E$5:E4675,$C$5:C4675,C4675,$B$5:B4675,"Entrée")-SUMIFS($E$5:E4675,$C$5:C4675,C4675,$B$5:B4675,"Sortie"),6),""))</f>
        <v/>
      </c>
      <c r="L4675" s="39" t="str">
        <f>IF(COUNTA(A4675:C4675,E4675)=0,"",IF(COUNTA(A4675:C4675,E4675)&lt;4,"Ligne incomplète",IF(NOT(ISNUMBER(A4675)),"Date invalide",IF(AND(B4675&lt;&gt;"Entrée",B4675&lt;&gt;"Sortie"),"Type inconnu",IF(ISNA(MATCH(C4675,art_ref,0)),"Référence inconnue",IF(OR(NOT(ISNUMBER(E4675)),N(E4675)&lt;=0),"Quantité invalide",IF(K4675&lt;0,"Stock négatif",IF(AND(ISNUMBER(A4674),A4675&lt;A4674),"Date hors ordre","OK"))))))))</f>
        <v/>
      </c>
      <c r="M4675" s="39" t="str">
        <f>IF(C4675="","",C4675&amp;"#"&amp;COUNTIF($C$5:C4675,C4675))</f>
        <v/>
      </c>
    </row>
    <row r="4676">
      <c r="A4676" s="41" t="n"/>
      <c r="B4676" s="37" t="n"/>
      <c r="C4676" s="37" t="n"/>
      <c r="D4676" s="39" t="str">
        <f>IF(C4676="","",IFERROR(INDEX(art_des,MATCH(C4676,art_ref,0))&amp;"","Référence inconnue"))</f>
        <v/>
      </c>
      <c r="E4676" s="37" t="n"/>
      <c r="F4676" s="39" t="str">
        <f>IF(C4676="","",IFERROR(INDEX(art_unit,MATCH(C4676,art_ref,0))&amp;"",""))</f>
        <v/>
      </c>
      <c r="G4676" s="37" t="n"/>
      <c r="H4676" s="37" t="n"/>
      <c r="I4676" s="37" t="n"/>
      <c r="J4676" s="40" t="str">
        <f>IF(OR(C4676="",NOT(ISNUMBER(E4676))),"",IFERROR(E4676*N(INDEX(art_price,MATCH(C4676,art_ref,0))),""))</f>
        <v/>
      </c>
      <c r="K4676" s="39" t="str">
        <f>IF(OR(C4676="",NOT(ISNUMBER(E4676))),"",IFERROR(ROUND(N(INDEX(art_init,MATCH(C4676,art_ref,0)))+SUMIFS($E$5:E4676,$C$5:C4676,C4676,$B$5:B4676,"Entrée")-SUMIFS($E$5:E4676,$C$5:C4676,C4676,$B$5:B4676,"Sortie"),6),""))</f>
        <v/>
      </c>
      <c r="L4676" s="39" t="str">
        <f>IF(COUNTA(A4676:C4676,E4676)=0,"",IF(COUNTA(A4676:C4676,E4676)&lt;4,"Ligne incomplète",IF(NOT(ISNUMBER(A4676)),"Date invalide",IF(AND(B4676&lt;&gt;"Entrée",B4676&lt;&gt;"Sortie"),"Type inconnu",IF(ISNA(MATCH(C4676,art_ref,0)),"Référence inconnue",IF(OR(NOT(ISNUMBER(E4676)),N(E4676)&lt;=0),"Quantité invalide",IF(K4676&lt;0,"Stock négatif",IF(AND(ISNUMBER(A4675),A4676&lt;A4675),"Date hors ordre","OK"))))))))</f>
        <v/>
      </c>
      <c r="M4676" s="39" t="str">
        <f>IF(C4676="","",C4676&amp;"#"&amp;COUNTIF($C$5:C4676,C4676))</f>
        <v/>
      </c>
    </row>
    <row r="4677">
      <c r="A4677" s="41" t="n"/>
      <c r="B4677" s="37" t="n"/>
      <c r="C4677" s="37" t="n"/>
      <c r="D4677" s="39" t="str">
        <f>IF(C4677="","",IFERROR(INDEX(art_des,MATCH(C4677,art_ref,0))&amp;"","Référence inconnue"))</f>
        <v/>
      </c>
      <c r="E4677" s="37" t="n"/>
      <c r="F4677" s="39" t="str">
        <f>IF(C4677="","",IFERROR(INDEX(art_unit,MATCH(C4677,art_ref,0))&amp;"",""))</f>
        <v/>
      </c>
      <c r="G4677" s="37" t="n"/>
      <c r="H4677" s="37" t="n"/>
      <c r="I4677" s="37" t="n"/>
      <c r="J4677" s="40" t="str">
        <f>IF(OR(C4677="",NOT(ISNUMBER(E4677))),"",IFERROR(E4677*N(INDEX(art_price,MATCH(C4677,art_ref,0))),""))</f>
        <v/>
      </c>
      <c r="K4677" s="39" t="str">
        <f>IF(OR(C4677="",NOT(ISNUMBER(E4677))),"",IFERROR(ROUND(N(INDEX(art_init,MATCH(C4677,art_ref,0)))+SUMIFS($E$5:E4677,$C$5:C4677,C4677,$B$5:B4677,"Entrée")-SUMIFS($E$5:E4677,$C$5:C4677,C4677,$B$5:B4677,"Sortie"),6),""))</f>
        <v/>
      </c>
      <c r="L4677" s="39" t="str">
        <f>IF(COUNTA(A4677:C4677,E4677)=0,"",IF(COUNTA(A4677:C4677,E4677)&lt;4,"Ligne incomplète",IF(NOT(ISNUMBER(A4677)),"Date invalide",IF(AND(B4677&lt;&gt;"Entrée",B4677&lt;&gt;"Sortie"),"Type inconnu",IF(ISNA(MATCH(C4677,art_ref,0)),"Référence inconnue",IF(OR(NOT(ISNUMBER(E4677)),N(E4677)&lt;=0),"Quantité invalide",IF(K4677&lt;0,"Stock négatif",IF(AND(ISNUMBER(A4676),A4677&lt;A4676),"Date hors ordre","OK"))))))))</f>
        <v/>
      </c>
      <c r="M4677" s="39" t="str">
        <f>IF(C4677="","",C4677&amp;"#"&amp;COUNTIF($C$5:C4677,C4677))</f>
        <v/>
      </c>
    </row>
    <row r="4678">
      <c r="A4678" s="41" t="n"/>
      <c r="B4678" s="37" t="n"/>
      <c r="C4678" s="37" t="n"/>
      <c r="D4678" s="39" t="str">
        <f>IF(C4678="","",IFERROR(INDEX(art_des,MATCH(C4678,art_ref,0))&amp;"","Référence inconnue"))</f>
        <v/>
      </c>
      <c r="E4678" s="37" t="n"/>
      <c r="F4678" s="39" t="str">
        <f>IF(C4678="","",IFERROR(INDEX(art_unit,MATCH(C4678,art_ref,0))&amp;"",""))</f>
        <v/>
      </c>
      <c r="G4678" s="37" t="n"/>
      <c r="H4678" s="37" t="n"/>
      <c r="I4678" s="37" t="n"/>
      <c r="J4678" s="40" t="str">
        <f>IF(OR(C4678="",NOT(ISNUMBER(E4678))),"",IFERROR(E4678*N(INDEX(art_price,MATCH(C4678,art_ref,0))),""))</f>
        <v/>
      </c>
      <c r="K4678" s="39" t="str">
        <f>IF(OR(C4678="",NOT(ISNUMBER(E4678))),"",IFERROR(ROUND(N(INDEX(art_init,MATCH(C4678,art_ref,0)))+SUMIFS($E$5:E4678,$C$5:C4678,C4678,$B$5:B4678,"Entrée")-SUMIFS($E$5:E4678,$C$5:C4678,C4678,$B$5:B4678,"Sortie"),6),""))</f>
        <v/>
      </c>
      <c r="L4678" s="39" t="str">
        <f>IF(COUNTA(A4678:C4678,E4678)=0,"",IF(COUNTA(A4678:C4678,E4678)&lt;4,"Ligne incomplète",IF(NOT(ISNUMBER(A4678)),"Date invalide",IF(AND(B4678&lt;&gt;"Entrée",B4678&lt;&gt;"Sortie"),"Type inconnu",IF(ISNA(MATCH(C4678,art_ref,0)),"Référence inconnue",IF(OR(NOT(ISNUMBER(E4678)),N(E4678)&lt;=0),"Quantité invalide",IF(K4678&lt;0,"Stock négatif",IF(AND(ISNUMBER(A4677),A4678&lt;A4677),"Date hors ordre","OK"))))))))</f>
        <v/>
      </c>
      <c r="M4678" s="39" t="str">
        <f>IF(C4678="","",C4678&amp;"#"&amp;COUNTIF($C$5:C4678,C4678))</f>
        <v/>
      </c>
    </row>
    <row r="4679">
      <c r="A4679" s="41" t="n"/>
      <c r="B4679" s="37" t="n"/>
      <c r="C4679" s="37" t="n"/>
      <c r="D4679" s="39" t="str">
        <f>IF(C4679="","",IFERROR(INDEX(art_des,MATCH(C4679,art_ref,0))&amp;"","Référence inconnue"))</f>
        <v/>
      </c>
      <c r="E4679" s="37" t="n"/>
      <c r="F4679" s="39" t="str">
        <f>IF(C4679="","",IFERROR(INDEX(art_unit,MATCH(C4679,art_ref,0))&amp;"",""))</f>
        <v/>
      </c>
      <c r="G4679" s="37" t="n"/>
      <c r="H4679" s="37" t="n"/>
      <c r="I4679" s="37" t="n"/>
      <c r="J4679" s="40" t="str">
        <f>IF(OR(C4679="",NOT(ISNUMBER(E4679))),"",IFERROR(E4679*N(INDEX(art_price,MATCH(C4679,art_ref,0))),""))</f>
        <v/>
      </c>
      <c r="K4679" s="39" t="str">
        <f>IF(OR(C4679="",NOT(ISNUMBER(E4679))),"",IFERROR(ROUND(N(INDEX(art_init,MATCH(C4679,art_ref,0)))+SUMIFS($E$5:E4679,$C$5:C4679,C4679,$B$5:B4679,"Entrée")-SUMIFS($E$5:E4679,$C$5:C4679,C4679,$B$5:B4679,"Sortie"),6),""))</f>
        <v/>
      </c>
      <c r="L4679" s="39" t="str">
        <f>IF(COUNTA(A4679:C4679,E4679)=0,"",IF(COUNTA(A4679:C4679,E4679)&lt;4,"Ligne incomplète",IF(NOT(ISNUMBER(A4679)),"Date invalide",IF(AND(B4679&lt;&gt;"Entrée",B4679&lt;&gt;"Sortie"),"Type inconnu",IF(ISNA(MATCH(C4679,art_ref,0)),"Référence inconnue",IF(OR(NOT(ISNUMBER(E4679)),N(E4679)&lt;=0),"Quantité invalide",IF(K4679&lt;0,"Stock négatif",IF(AND(ISNUMBER(A4678),A4679&lt;A4678),"Date hors ordre","OK"))))))))</f>
        <v/>
      </c>
      <c r="M4679" s="39" t="str">
        <f>IF(C4679="","",C4679&amp;"#"&amp;COUNTIF($C$5:C4679,C4679))</f>
        <v/>
      </c>
    </row>
    <row r="4680">
      <c r="A4680" s="41" t="n"/>
      <c r="B4680" s="37" t="n"/>
      <c r="C4680" s="37" t="n"/>
      <c r="D4680" s="39" t="str">
        <f>IF(C4680="","",IFERROR(INDEX(art_des,MATCH(C4680,art_ref,0))&amp;"","Référence inconnue"))</f>
        <v/>
      </c>
      <c r="E4680" s="37" t="n"/>
      <c r="F4680" s="39" t="str">
        <f>IF(C4680="","",IFERROR(INDEX(art_unit,MATCH(C4680,art_ref,0))&amp;"",""))</f>
        <v/>
      </c>
      <c r="G4680" s="37" t="n"/>
      <c r="H4680" s="37" t="n"/>
      <c r="I4680" s="37" t="n"/>
      <c r="J4680" s="40" t="str">
        <f>IF(OR(C4680="",NOT(ISNUMBER(E4680))),"",IFERROR(E4680*N(INDEX(art_price,MATCH(C4680,art_ref,0))),""))</f>
        <v/>
      </c>
      <c r="K4680" s="39" t="str">
        <f>IF(OR(C4680="",NOT(ISNUMBER(E4680))),"",IFERROR(ROUND(N(INDEX(art_init,MATCH(C4680,art_ref,0)))+SUMIFS($E$5:E4680,$C$5:C4680,C4680,$B$5:B4680,"Entrée")-SUMIFS($E$5:E4680,$C$5:C4680,C4680,$B$5:B4680,"Sortie"),6),""))</f>
        <v/>
      </c>
      <c r="L4680" s="39" t="str">
        <f>IF(COUNTA(A4680:C4680,E4680)=0,"",IF(COUNTA(A4680:C4680,E4680)&lt;4,"Ligne incomplète",IF(NOT(ISNUMBER(A4680)),"Date invalide",IF(AND(B4680&lt;&gt;"Entrée",B4680&lt;&gt;"Sortie"),"Type inconnu",IF(ISNA(MATCH(C4680,art_ref,0)),"Référence inconnue",IF(OR(NOT(ISNUMBER(E4680)),N(E4680)&lt;=0),"Quantité invalide",IF(K4680&lt;0,"Stock négatif",IF(AND(ISNUMBER(A4679),A4680&lt;A4679),"Date hors ordre","OK"))))))))</f>
        <v/>
      </c>
      <c r="M4680" s="39" t="str">
        <f>IF(C4680="","",C4680&amp;"#"&amp;COUNTIF($C$5:C4680,C4680))</f>
        <v/>
      </c>
    </row>
    <row r="4681">
      <c r="A4681" s="41" t="n"/>
      <c r="B4681" s="37" t="n"/>
      <c r="C4681" s="37" t="n"/>
      <c r="D4681" s="39" t="str">
        <f>IF(C4681="","",IFERROR(INDEX(art_des,MATCH(C4681,art_ref,0))&amp;"","Référence inconnue"))</f>
        <v/>
      </c>
      <c r="E4681" s="37" t="n"/>
      <c r="F4681" s="39" t="str">
        <f>IF(C4681="","",IFERROR(INDEX(art_unit,MATCH(C4681,art_ref,0))&amp;"",""))</f>
        <v/>
      </c>
      <c r="G4681" s="37" t="n"/>
      <c r="H4681" s="37" t="n"/>
      <c r="I4681" s="37" t="n"/>
      <c r="J4681" s="40" t="str">
        <f>IF(OR(C4681="",NOT(ISNUMBER(E4681))),"",IFERROR(E4681*N(INDEX(art_price,MATCH(C4681,art_ref,0))),""))</f>
        <v/>
      </c>
      <c r="K4681" s="39" t="str">
        <f>IF(OR(C4681="",NOT(ISNUMBER(E4681))),"",IFERROR(ROUND(N(INDEX(art_init,MATCH(C4681,art_ref,0)))+SUMIFS($E$5:E4681,$C$5:C4681,C4681,$B$5:B4681,"Entrée")-SUMIFS($E$5:E4681,$C$5:C4681,C4681,$B$5:B4681,"Sortie"),6),""))</f>
        <v/>
      </c>
      <c r="L4681" s="39" t="str">
        <f>IF(COUNTA(A4681:C4681,E4681)=0,"",IF(COUNTA(A4681:C4681,E4681)&lt;4,"Ligne incomplète",IF(NOT(ISNUMBER(A4681)),"Date invalide",IF(AND(B4681&lt;&gt;"Entrée",B4681&lt;&gt;"Sortie"),"Type inconnu",IF(ISNA(MATCH(C4681,art_ref,0)),"Référence inconnue",IF(OR(NOT(ISNUMBER(E4681)),N(E4681)&lt;=0),"Quantité invalide",IF(K4681&lt;0,"Stock négatif",IF(AND(ISNUMBER(A4680),A4681&lt;A4680),"Date hors ordre","OK"))))))))</f>
        <v/>
      </c>
      <c r="M4681" s="39" t="str">
        <f>IF(C4681="","",C4681&amp;"#"&amp;COUNTIF($C$5:C4681,C4681))</f>
        <v/>
      </c>
    </row>
    <row r="4682">
      <c r="A4682" s="41" t="n"/>
      <c r="B4682" s="37" t="n"/>
      <c r="C4682" s="37" t="n"/>
      <c r="D4682" s="39" t="str">
        <f>IF(C4682="","",IFERROR(INDEX(art_des,MATCH(C4682,art_ref,0))&amp;"","Référence inconnue"))</f>
        <v/>
      </c>
      <c r="E4682" s="37" t="n"/>
      <c r="F4682" s="39" t="str">
        <f>IF(C4682="","",IFERROR(INDEX(art_unit,MATCH(C4682,art_ref,0))&amp;"",""))</f>
        <v/>
      </c>
      <c r="G4682" s="37" t="n"/>
      <c r="H4682" s="37" t="n"/>
      <c r="I4682" s="37" t="n"/>
      <c r="J4682" s="40" t="str">
        <f>IF(OR(C4682="",NOT(ISNUMBER(E4682))),"",IFERROR(E4682*N(INDEX(art_price,MATCH(C4682,art_ref,0))),""))</f>
        <v/>
      </c>
      <c r="K4682" s="39" t="str">
        <f>IF(OR(C4682="",NOT(ISNUMBER(E4682))),"",IFERROR(ROUND(N(INDEX(art_init,MATCH(C4682,art_ref,0)))+SUMIFS($E$5:E4682,$C$5:C4682,C4682,$B$5:B4682,"Entrée")-SUMIFS($E$5:E4682,$C$5:C4682,C4682,$B$5:B4682,"Sortie"),6),""))</f>
        <v/>
      </c>
      <c r="L4682" s="39" t="str">
        <f>IF(COUNTA(A4682:C4682,E4682)=0,"",IF(COUNTA(A4682:C4682,E4682)&lt;4,"Ligne incomplète",IF(NOT(ISNUMBER(A4682)),"Date invalide",IF(AND(B4682&lt;&gt;"Entrée",B4682&lt;&gt;"Sortie"),"Type inconnu",IF(ISNA(MATCH(C4682,art_ref,0)),"Référence inconnue",IF(OR(NOT(ISNUMBER(E4682)),N(E4682)&lt;=0),"Quantité invalide",IF(K4682&lt;0,"Stock négatif",IF(AND(ISNUMBER(A4681),A4682&lt;A4681),"Date hors ordre","OK"))))))))</f>
        <v/>
      </c>
      <c r="M4682" s="39" t="str">
        <f>IF(C4682="","",C4682&amp;"#"&amp;COUNTIF($C$5:C4682,C4682))</f>
        <v/>
      </c>
    </row>
    <row r="4683">
      <c r="A4683" s="41" t="n"/>
      <c r="B4683" s="37" t="n"/>
      <c r="C4683" s="37" t="n"/>
      <c r="D4683" s="39" t="str">
        <f>IF(C4683="","",IFERROR(INDEX(art_des,MATCH(C4683,art_ref,0))&amp;"","Référence inconnue"))</f>
        <v/>
      </c>
      <c r="E4683" s="37" t="n"/>
      <c r="F4683" s="39" t="str">
        <f>IF(C4683="","",IFERROR(INDEX(art_unit,MATCH(C4683,art_ref,0))&amp;"",""))</f>
        <v/>
      </c>
      <c r="G4683" s="37" t="n"/>
      <c r="H4683" s="37" t="n"/>
      <c r="I4683" s="37" t="n"/>
      <c r="J4683" s="40" t="str">
        <f>IF(OR(C4683="",NOT(ISNUMBER(E4683))),"",IFERROR(E4683*N(INDEX(art_price,MATCH(C4683,art_ref,0))),""))</f>
        <v/>
      </c>
      <c r="K4683" s="39" t="str">
        <f>IF(OR(C4683="",NOT(ISNUMBER(E4683))),"",IFERROR(ROUND(N(INDEX(art_init,MATCH(C4683,art_ref,0)))+SUMIFS($E$5:E4683,$C$5:C4683,C4683,$B$5:B4683,"Entrée")-SUMIFS($E$5:E4683,$C$5:C4683,C4683,$B$5:B4683,"Sortie"),6),""))</f>
        <v/>
      </c>
      <c r="L4683" s="39" t="str">
        <f>IF(COUNTA(A4683:C4683,E4683)=0,"",IF(COUNTA(A4683:C4683,E4683)&lt;4,"Ligne incomplète",IF(NOT(ISNUMBER(A4683)),"Date invalide",IF(AND(B4683&lt;&gt;"Entrée",B4683&lt;&gt;"Sortie"),"Type inconnu",IF(ISNA(MATCH(C4683,art_ref,0)),"Référence inconnue",IF(OR(NOT(ISNUMBER(E4683)),N(E4683)&lt;=0),"Quantité invalide",IF(K4683&lt;0,"Stock négatif",IF(AND(ISNUMBER(A4682),A4683&lt;A4682),"Date hors ordre","OK"))))))))</f>
        <v/>
      </c>
      <c r="M4683" s="39" t="str">
        <f>IF(C4683="","",C4683&amp;"#"&amp;COUNTIF($C$5:C4683,C4683))</f>
        <v/>
      </c>
    </row>
    <row r="4684">
      <c r="A4684" s="41" t="n"/>
      <c r="B4684" s="37" t="n"/>
      <c r="C4684" s="37" t="n"/>
      <c r="D4684" s="39" t="str">
        <f>IF(C4684="","",IFERROR(INDEX(art_des,MATCH(C4684,art_ref,0))&amp;"","Référence inconnue"))</f>
        <v/>
      </c>
      <c r="E4684" s="37" t="n"/>
      <c r="F4684" s="39" t="str">
        <f>IF(C4684="","",IFERROR(INDEX(art_unit,MATCH(C4684,art_ref,0))&amp;"",""))</f>
        <v/>
      </c>
      <c r="G4684" s="37" t="n"/>
      <c r="H4684" s="37" t="n"/>
      <c r="I4684" s="37" t="n"/>
      <c r="J4684" s="40" t="str">
        <f>IF(OR(C4684="",NOT(ISNUMBER(E4684))),"",IFERROR(E4684*N(INDEX(art_price,MATCH(C4684,art_ref,0))),""))</f>
        <v/>
      </c>
      <c r="K4684" s="39" t="str">
        <f>IF(OR(C4684="",NOT(ISNUMBER(E4684))),"",IFERROR(ROUND(N(INDEX(art_init,MATCH(C4684,art_ref,0)))+SUMIFS($E$5:E4684,$C$5:C4684,C4684,$B$5:B4684,"Entrée")-SUMIFS($E$5:E4684,$C$5:C4684,C4684,$B$5:B4684,"Sortie"),6),""))</f>
        <v/>
      </c>
      <c r="L4684" s="39" t="str">
        <f>IF(COUNTA(A4684:C4684,E4684)=0,"",IF(COUNTA(A4684:C4684,E4684)&lt;4,"Ligne incomplète",IF(NOT(ISNUMBER(A4684)),"Date invalide",IF(AND(B4684&lt;&gt;"Entrée",B4684&lt;&gt;"Sortie"),"Type inconnu",IF(ISNA(MATCH(C4684,art_ref,0)),"Référence inconnue",IF(OR(NOT(ISNUMBER(E4684)),N(E4684)&lt;=0),"Quantité invalide",IF(K4684&lt;0,"Stock négatif",IF(AND(ISNUMBER(A4683),A4684&lt;A4683),"Date hors ordre","OK"))))))))</f>
        <v/>
      </c>
      <c r="M4684" s="39" t="str">
        <f>IF(C4684="","",C4684&amp;"#"&amp;COUNTIF($C$5:C4684,C4684))</f>
        <v/>
      </c>
    </row>
    <row r="4685">
      <c r="A4685" s="41" t="n"/>
      <c r="B4685" s="37" t="n"/>
      <c r="C4685" s="37" t="n"/>
      <c r="D4685" s="39" t="str">
        <f>IF(C4685="","",IFERROR(INDEX(art_des,MATCH(C4685,art_ref,0))&amp;"","Référence inconnue"))</f>
        <v/>
      </c>
      <c r="E4685" s="37" t="n"/>
      <c r="F4685" s="39" t="str">
        <f>IF(C4685="","",IFERROR(INDEX(art_unit,MATCH(C4685,art_ref,0))&amp;"",""))</f>
        <v/>
      </c>
      <c r="G4685" s="37" t="n"/>
      <c r="H4685" s="37" t="n"/>
      <c r="I4685" s="37" t="n"/>
      <c r="J4685" s="40" t="str">
        <f>IF(OR(C4685="",NOT(ISNUMBER(E4685))),"",IFERROR(E4685*N(INDEX(art_price,MATCH(C4685,art_ref,0))),""))</f>
        <v/>
      </c>
      <c r="K4685" s="39" t="str">
        <f>IF(OR(C4685="",NOT(ISNUMBER(E4685))),"",IFERROR(ROUND(N(INDEX(art_init,MATCH(C4685,art_ref,0)))+SUMIFS($E$5:E4685,$C$5:C4685,C4685,$B$5:B4685,"Entrée")-SUMIFS($E$5:E4685,$C$5:C4685,C4685,$B$5:B4685,"Sortie"),6),""))</f>
        <v/>
      </c>
      <c r="L4685" s="39" t="str">
        <f>IF(COUNTA(A4685:C4685,E4685)=0,"",IF(COUNTA(A4685:C4685,E4685)&lt;4,"Ligne incomplète",IF(NOT(ISNUMBER(A4685)),"Date invalide",IF(AND(B4685&lt;&gt;"Entrée",B4685&lt;&gt;"Sortie"),"Type inconnu",IF(ISNA(MATCH(C4685,art_ref,0)),"Référence inconnue",IF(OR(NOT(ISNUMBER(E4685)),N(E4685)&lt;=0),"Quantité invalide",IF(K4685&lt;0,"Stock négatif",IF(AND(ISNUMBER(A4684),A4685&lt;A4684),"Date hors ordre","OK"))))))))</f>
        <v/>
      </c>
      <c r="M4685" s="39" t="str">
        <f>IF(C4685="","",C4685&amp;"#"&amp;COUNTIF($C$5:C4685,C4685))</f>
        <v/>
      </c>
    </row>
    <row r="4686">
      <c r="A4686" s="41" t="n"/>
      <c r="B4686" s="37" t="n"/>
      <c r="C4686" s="37" t="n"/>
      <c r="D4686" s="39" t="str">
        <f>IF(C4686="","",IFERROR(INDEX(art_des,MATCH(C4686,art_ref,0))&amp;"","Référence inconnue"))</f>
        <v/>
      </c>
      <c r="E4686" s="37" t="n"/>
      <c r="F4686" s="39" t="str">
        <f>IF(C4686="","",IFERROR(INDEX(art_unit,MATCH(C4686,art_ref,0))&amp;"",""))</f>
        <v/>
      </c>
      <c r="G4686" s="37" t="n"/>
      <c r="H4686" s="37" t="n"/>
      <c r="I4686" s="37" t="n"/>
      <c r="J4686" s="40" t="str">
        <f>IF(OR(C4686="",NOT(ISNUMBER(E4686))),"",IFERROR(E4686*N(INDEX(art_price,MATCH(C4686,art_ref,0))),""))</f>
        <v/>
      </c>
      <c r="K4686" s="39" t="str">
        <f>IF(OR(C4686="",NOT(ISNUMBER(E4686))),"",IFERROR(ROUND(N(INDEX(art_init,MATCH(C4686,art_ref,0)))+SUMIFS($E$5:E4686,$C$5:C4686,C4686,$B$5:B4686,"Entrée")-SUMIFS($E$5:E4686,$C$5:C4686,C4686,$B$5:B4686,"Sortie"),6),""))</f>
        <v/>
      </c>
      <c r="L4686" s="39" t="str">
        <f>IF(COUNTA(A4686:C4686,E4686)=0,"",IF(COUNTA(A4686:C4686,E4686)&lt;4,"Ligne incomplète",IF(NOT(ISNUMBER(A4686)),"Date invalide",IF(AND(B4686&lt;&gt;"Entrée",B4686&lt;&gt;"Sortie"),"Type inconnu",IF(ISNA(MATCH(C4686,art_ref,0)),"Référence inconnue",IF(OR(NOT(ISNUMBER(E4686)),N(E4686)&lt;=0),"Quantité invalide",IF(K4686&lt;0,"Stock négatif",IF(AND(ISNUMBER(A4685),A4686&lt;A4685),"Date hors ordre","OK"))))))))</f>
        <v/>
      </c>
      <c r="M4686" s="39" t="str">
        <f>IF(C4686="","",C4686&amp;"#"&amp;COUNTIF($C$5:C4686,C4686))</f>
        <v/>
      </c>
    </row>
    <row r="4687">
      <c r="A4687" s="41" t="n"/>
      <c r="B4687" s="37" t="n"/>
      <c r="C4687" s="37" t="n"/>
      <c r="D4687" s="39" t="str">
        <f>IF(C4687="","",IFERROR(INDEX(art_des,MATCH(C4687,art_ref,0))&amp;"","Référence inconnue"))</f>
        <v/>
      </c>
      <c r="E4687" s="37" t="n"/>
      <c r="F4687" s="39" t="str">
        <f>IF(C4687="","",IFERROR(INDEX(art_unit,MATCH(C4687,art_ref,0))&amp;"",""))</f>
        <v/>
      </c>
      <c r="G4687" s="37" t="n"/>
      <c r="H4687" s="37" t="n"/>
      <c r="I4687" s="37" t="n"/>
      <c r="J4687" s="40" t="str">
        <f>IF(OR(C4687="",NOT(ISNUMBER(E4687))),"",IFERROR(E4687*N(INDEX(art_price,MATCH(C4687,art_ref,0))),""))</f>
        <v/>
      </c>
      <c r="K4687" s="39" t="str">
        <f>IF(OR(C4687="",NOT(ISNUMBER(E4687))),"",IFERROR(ROUND(N(INDEX(art_init,MATCH(C4687,art_ref,0)))+SUMIFS($E$5:E4687,$C$5:C4687,C4687,$B$5:B4687,"Entrée")-SUMIFS($E$5:E4687,$C$5:C4687,C4687,$B$5:B4687,"Sortie"),6),""))</f>
        <v/>
      </c>
      <c r="L4687" s="39" t="str">
        <f>IF(COUNTA(A4687:C4687,E4687)=0,"",IF(COUNTA(A4687:C4687,E4687)&lt;4,"Ligne incomplète",IF(NOT(ISNUMBER(A4687)),"Date invalide",IF(AND(B4687&lt;&gt;"Entrée",B4687&lt;&gt;"Sortie"),"Type inconnu",IF(ISNA(MATCH(C4687,art_ref,0)),"Référence inconnue",IF(OR(NOT(ISNUMBER(E4687)),N(E4687)&lt;=0),"Quantité invalide",IF(K4687&lt;0,"Stock négatif",IF(AND(ISNUMBER(A4686),A4687&lt;A4686),"Date hors ordre","OK"))))))))</f>
        <v/>
      </c>
      <c r="M4687" s="39" t="str">
        <f>IF(C4687="","",C4687&amp;"#"&amp;COUNTIF($C$5:C4687,C4687))</f>
        <v/>
      </c>
    </row>
    <row r="4688">
      <c r="A4688" s="41" t="n"/>
      <c r="B4688" s="37" t="n"/>
      <c r="C4688" s="37" t="n"/>
      <c r="D4688" s="39" t="str">
        <f>IF(C4688="","",IFERROR(INDEX(art_des,MATCH(C4688,art_ref,0))&amp;"","Référence inconnue"))</f>
        <v/>
      </c>
      <c r="E4688" s="37" t="n"/>
      <c r="F4688" s="39" t="str">
        <f>IF(C4688="","",IFERROR(INDEX(art_unit,MATCH(C4688,art_ref,0))&amp;"",""))</f>
        <v/>
      </c>
      <c r="G4688" s="37" t="n"/>
      <c r="H4688" s="37" t="n"/>
      <c r="I4688" s="37" t="n"/>
      <c r="J4688" s="40" t="str">
        <f>IF(OR(C4688="",NOT(ISNUMBER(E4688))),"",IFERROR(E4688*N(INDEX(art_price,MATCH(C4688,art_ref,0))),""))</f>
        <v/>
      </c>
      <c r="K4688" s="39" t="str">
        <f>IF(OR(C4688="",NOT(ISNUMBER(E4688))),"",IFERROR(ROUND(N(INDEX(art_init,MATCH(C4688,art_ref,0)))+SUMIFS($E$5:E4688,$C$5:C4688,C4688,$B$5:B4688,"Entrée")-SUMIFS($E$5:E4688,$C$5:C4688,C4688,$B$5:B4688,"Sortie"),6),""))</f>
        <v/>
      </c>
      <c r="L4688" s="39" t="str">
        <f>IF(COUNTA(A4688:C4688,E4688)=0,"",IF(COUNTA(A4688:C4688,E4688)&lt;4,"Ligne incomplète",IF(NOT(ISNUMBER(A4688)),"Date invalide",IF(AND(B4688&lt;&gt;"Entrée",B4688&lt;&gt;"Sortie"),"Type inconnu",IF(ISNA(MATCH(C4688,art_ref,0)),"Référence inconnue",IF(OR(NOT(ISNUMBER(E4688)),N(E4688)&lt;=0),"Quantité invalide",IF(K4688&lt;0,"Stock négatif",IF(AND(ISNUMBER(A4687),A4688&lt;A4687),"Date hors ordre","OK"))))))))</f>
        <v/>
      </c>
      <c r="M4688" s="39" t="str">
        <f>IF(C4688="","",C4688&amp;"#"&amp;COUNTIF($C$5:C4688,C4688))</f>
        <v/>
      </c>
    </row>
    <row r="4689">
      <c r="A4689" s="41" t="n"/>
      <c r="B4689" s="37" t="n"/>
      <c r="C4689" s="37" t="n"/>
      <c r="D4689" s="39" t="str">
        <f>IF(C4689="","",IFERROR(INDEX(art_des,MATCH(C4689,art_ref,0))&amp;"","Référence inconnue"))</f>
        <v/>
      </c>
      <c r="E4689" s="37" t="n"/>
      <c r="F4689" s="39" t="str">
        <f>IF(C4689="","",IFERROR(INDEX(art_unit,MATCH(C4689,art_ref,0))&amp;"",""))</f>
        <v/>
      </c>
      <c r="G4689" s="37" t="n"/>
      <c r="H4689" s="37" t="n"/>
      <c r="I4689" s="37" t="n"/>
      <c r="J4689" s="40" t="str">
        <f>IF(OR(C4689="",NOT(ISNUMBER(E4689))),"",IFERROR(E4689*N(INDEX(art_price,MATCH(C4689,art_ref,0))),""))</f>
        <v/>
      </c>
      <c r="K4689" s="39" t="str">
        <f>IF(OR(C4689="",NOT(ISNUMBER(E4689))),"",IFERROR(ROUND(N(INDEX(art_init,MATCH(C4689,art_ref,0)))+SUMIFS($E$5:E4689,$C$5:C4689,C4689,$B$5:B4689,"Entrée")-SUMIFS($E$5:E4689,$C$5:C4689,C4689,$B$5:B4689,"Sortie"),6),""))</f>
        <v/>
      </c>
      <c r="L4689" s="39" t="str">
        <f>IF(COUNTA(A4689:C4689,E4689)=0,"",IF(COUNTA(A4689:C4689,E4689)&lt;4,"Ligne incomplète",IF(NOT(ISNUMBER(A4689)),"Date invalide",IF(AND(B4689&lt;&gt;"Entrée",B4689&lt;&gt;"Sortie"),"Type inconnu",IF(ISNA(MATCH(C4689,art_ref,0)),"Référence inconnue",IF(OR(NOT(ISNUMBER(E4689)),N(E4689)&lt;=0),"Quantité invalide",IF(K4689&lt;0,"Stock négatif",IF(AND(ISNUMBER(A4688),A4689&lt;A4688),"Date hors ordre","OK"))))))))</f>
        <v/>
      </c>
      <c r="M4689" s="39" t="str">
        <f>IF(C4689="","",C4689&amp;"#"&amp;COUNTIF($C$5:C4689,C4689))</f>
        <v/>
      </c>
    </row>
    <row r="4690">
      <c r="A4690" s="41" t="n"/>
      <c r="B4690" s="37" t="n"/>
      <c r="C4690" s="37" t="n"/>
      <c r="D4690" s="39" t="str">
        <f>IF(C4690="","",IFERROR(INDEX(art_des,MATCH(C4690,art_ref,0))&amp;"","Référence inconnue"))</f>
        <v/>
      </c>
      <c r="E4690" s="37" t="n"/>
      <c r="F4690" s="39" t="str">
        <f>IF(C4690="","",IFERROR(INDEX(art_unit,MATCH(C4690,art_ref,0))&amp;"",""))</f>
        <v/>
      </c>
      <c r="G4690" s="37" t="n"/>
      <c r="H4690" s="37" t="n"/>
      <c r="I4690" s="37" t="n"/>
      <c r="J4690" s="40" t="str">
        <f>IF(OR(C4690="",NOT(ISNUMBER(E4690))),"",IFERROR(E4690*N(INDEX(art_price,MATCH(C4690,art_ref,0))),""))</f>
        <v/>
      </c>
      <c r="K4690" s="39" t="str">
        <f>IF(OR(C4690="",NOT(ISNUMBER(E4690))),"",IFERROR(ROUND(N(INDEX(art_init,MATCH(C4690,art_ref,0)))+SUMIFS($E$5:E4690,$C$5:C4690,C4690,$B$5:B4690,"Entrée")-SUMIFS($E$5:E4690,$C$5:C4690,C4690,$B$5:B4690,"Sortie"),6),""))</f>
        <v/>
      </c>
      <c r="L4690" s="39" t="str">
        <f>IF(COUNTA(A4690:C4690,E4690)=0,"",IF(COUNTA(A4690:C4690,E4690)&lt;4,"Ligne incomplète",IF(NOT(ISNUMBER(A4690)),"Date invalide",IF(AND(B4690&lt;&gt;"Entrée",B4690&lt;&gt;"Sortie"),"Type inconnu",IF(ISNA(MATCH(C4690,art_ref,0)),"Référence inconnue",IF(OR(NOT(ISNUMBER(E4690)),N(E4690)&lt;=0),"Quantité invalide",IF(K4690&lt;0,"Stock négatif",IF(AND(ISNUMBER(A4689),A4690&lt;A4689),"Date hors ordre","OK"))))))))</f>
        <v/>
      </c>
      <c r="M4690" s="39" t="str">
        <f>IF(C4690="","",C4690&amp;"#"&amp;COUNTIF($C$5:C4690,C4690))</f>
        <v/>
      </c>
    </row>
    <row r="4691">
      <c r="A4691" s="41" t="n"/>
      <c r="B4691" s="37" t="n"/>
      <c r="C4691" s="37" t="n"/>
      <c r="D4691" s="39" t="str">
        <f>IF(C4691="","",IFERROR(INDEX(art_des,MATCH(C4691,art_ref,0))&amp;"","Référence inconnue"))</f>
        <v/>
      </c>
      <c r="E4691" s="37" t="n"/>
      <c r="F4691" s="39" t="str">
        <f>IF(C4691="","",IFERROR(INDEX(art_unit,MATCH(C4691,art_ref,0))&amp;"",""))</f>
        <v/>
      </c>
      <c r="G4691" s="37" t="n"/>
      <c r="H4691" s="37" t="n"/>
      <c r="I4691" s="37" t="n"/>
      <c r="J4691" s="40" t="str">
        <f>IF(OR(C4691="",NOT(ISNUMBER(E4691))),"",IFERROR(E4691*N(INDEX(art_price,MATCH(C4691,art_ref,0))),""))</f>
        <v/>
      </c>
      <c r="K4691" s="39" t="str">
        <f>IF(OR(C4691="",NOT(ISNUMBER(E4691))),"",IFERROR(ROUND(N(INDEX(art_init,MATCH(C4691,art_ref,0)))+SUMIFS($E$5:E4691,$C$5:C4691,C4691,$B$5:B4691,"Entrée")-SUMIFS($E$5:E4691,$C$5:C4691,C4691,$B$5:B4691,"Sortie"),6),""))</f>
        <v/>
      </c>
      <c r="L4691" s="39" t="str">
        <f>IF(COUNTA(A4691:C4691,E4691)=0,"",IF(COUNTA(A4691:C4691,E4691)&lt;4,"Ligne incomplète",IF(NOT(ISNUMBER(A4691)),"Date invalide",IF(AND(B4691&lt;&gt;"Entrée",B4691&lt;&gt;"Sortie"),"Type inconnu",IF(ISNA(MATCH(C4691,art_ref,0)),"Référence inconnue",IF(OR(NOT(ISNUMBER(E4691)),N(E4691)&lt;=0),"Quantité invalide",IF(K4691&lt;0,"Stock négatif",IF(AND(ISNUMBER(A4690),A4691&lt;A4690),"Date hors ordre","OK"))))))))</f>
        <v/>
      </c>
      <c r="M4691" s="39" t="str">
        <f>IF(C4691="","",C4691&amp;"#"&amp;COUNTIF($C$5:C4691,C4691))</f>
        <v/>
      </c>
    </row>
    <row r="4692">
      <c r="A4692" s="41" t="n"/>
      <c r="B4692" s="37" t="n"/>
      <c r="C4692" s="37" t="n"/>
      <c r="D4692" s="39" t="str">
        <f>IF(C4692="","",IFERROR(INDEX(art_des,MATCH(C4692,art_ref,0))&amp;"","Référence inconnue"))</f>
        <v/>
      </c>
      <c r="E4692" s="37" t="n"/>
      <c r="F4692" s="39" t="str">
        <f>IF(C4692="","",IFERROR(INDEX(art_unit,MATCH(C4692,art_ref,0))&amp;"",""))</f>
        <v/>
      </c>
      <c r="G4692" s="37" t="n"/>
      <c r="H4692" s="37" t="n"/>
      <c r="I4692" s="37" t="n"/>
      <c r="J4692" s="40" t="str">
        <f>IF(OR(C4692="",NOT(ISNUMBER(E4692))),"",IFERROR(E4692*N(INDEX(art_price,MATCH(C4692,art_ref,0))),""))</f>
        <v/>
      </c>
      <c r="K4692" s="39" t="str">
        <f>IF(OR(C4692="",NOT(ISNUMBER(E4692))),"",IFERROR(ROUND(N(INDEX(art_init,MATCH(C4692,art_ref,0)))+SUMIFS($E$5:E4692,$C$5:C4692,C4692,$B$5:B4692,"Entrée")-SUMIFS($E$5:E4692,$C$5:C4692,C4692,$B$5:B4692,"Sortie"),6),""))</f>
        <v/>
      </c>
      <c r="L4692" s="39" t="str">
        <f>IF(COUNTA(A4692:C4692,E4692)=0,"",IF(COUNTA(A4692:C4692,E4692)&lt;4,"Ligne incomplète",IF(NOT(ISNUMBER(A4692)),"Date invalide",IF(AND(B4692&lt;&gt;"Entrée",B4692&lt;&gt;"Sortie"),"Type inconnu",IF(ISNA(MATCH(C4692,art_ref,0)),"Référence inconnue",IF(OR(NOT(ISNUMBER(E4692)),N(E4692)&lt;=0),"Quantité invalide",IF(K4692&lt;0,"Stock négatif",IF(AND(ISNUMBER(A4691),A4692&lt;A4691),"Date hors ordre","OK"))))))))</f>
        <v/>
      </c>
      <c r="M4692" s="39" t="str">
        <f>IF(C4692="","",C4692&amp;"#"&amp;COUNTIF($C$5:C4692,C4692))</f>
        <v/>
      </c>
    </row>
    <row r="4693">
      <c r="A4693" s="41" t="n"/>
      <c r="B4693" s="37" t="n"/>
      <c r="C4693" s="37" t="n"/>
      <c r="D4693" s="39" t="str">
        <f>IF(C4693="","",IFERROR(INDEX(art_des,MATCH(C4693,art_ref,0))&amp;"","Référence inconnue"))</f>
        <v/>
      </c>
      <c r="E4693" s="37" t="n"/>
      <c r="F4693" s="39" t="str">
        <f>IF(C4693="","",IFERROR(INDEX(art_unit,MATCH(C4693,art_ref,0))&amp;"",""))</f>
        <v/>
      </c>
      <c r="G4693" s="37" t="n"/>
      <c r="H4693" s="37" t="n"/>
      <c r="I4693" s="37" t="n"/>
      <c r="J4693" s="40" t="str">
        <f>IF(OR(C4693="",NOT(ISNUMBER(E4693))),"",IFERROR(E4693*N(INDEX(art_price,MATCH(C4693,art_ref,0))),""))</f>
        <v/>
      </c>
      <c r="K4693" s="39" t="str">
        <f>IF(OR(C4693="",NOT(ISNUMBER(E4693))),"",IFERROR(ROUND(N(INDEX(art_init,MATCH(C4693,art_ref,0)))+SUMIFS($E$5:E4693,$C$5:C4693,C4693,$B$5:B4693,"Entrée")-SUMIFS($E$5:E4693,$C$5:C4693,C4693,$B$5:B4693,"Sortie"),6),""))</f>
        <v/>
      </c>
      <c r="L4693" s="39" t="str">
        <f>IF(COUNTA(A4693:C4693,E4693)=0,"",IF(COUNTA(A4693:C4693,E4693)&lt;4,"Ligne incomplète",IF(NOT(ISNUMBER(A4693)),"Date invalide",IF(AND(B4693&lt;&gt;"Entrée",B4693&lt;&gt;"Sortie"),"Type inconnu",IF(ISNA(MATCH(C4693,art_ref,0)),"Référence inconnue",IF(OR(NOT(ISNUMBER(E4693)),N(E4693)&lt;=0),"Quantité invalide",IF(K4693&lt;0,"Stock négatif",IF(AND(ISNUMBER(A4692),A4693&lt;A4692),"Date hors ordre","OK"))))))))</f>
        <v/>
      </c>
      <c r="M4693" s="39" t="str">
        <f>IF(C4693="","",C4693&amp;"#"&amp;COUNTIF($C$5:C4693,C4693))</f>
        <v/>
      </c>
    </row>
    <row r="4694">
      <c r="A4694" s="41" t="n"/>
      <c r="B4694" s="37" t="n"/>
      <c r="C4694" s="37" t="n"/>
      <c r="D4694" s="39" t="str">
        <f>IF(C4694="","",IFERROR(INDEX(art_des,MATCH(C4694,art_ref,0))&amp;"","Référence inconnue"))</f>
        <v/>
      </c>
      <c r="E4694" s="37" t="n"/>
      <c r="F4694" s="39" t="str">
        <f>IF(C4694="","",IFERROR(INDEX(art_unit,MATCH(C4694,art_ref,0))&amp;"",""))</f>
        <v/>
      </c>
      <c r="G4694" s="37" t="n"/>
      <c r="H4694" s="37" t="n"/>
      <c r="I4694" s="37" t="n"/>
      <c r="J4694" s="40" t="str">
        <f>IF(OR(C4694="",NOT(ISNUMBER(E4694))),"",IFERROR(E4694*N(INDEX(art_price,MATCH(C4694,art_ref,0))),""))</f>
        <v/>
      </c>
      <c r="K4694" s="39" t="str">
        <f>IF(OR(C4694="",NOT(ISNUMBER(E4694))),"",IFERROR(ROUND(N(INDEX(art_init,MATCH(C4694,art_ref,0)))+SUMIFS($E$5:E4694,$C$5:C4694,C4694,$B$5:B4694,"Entrée")-SUMIFS($E$5:E4694,$C$5:C4694,C4694,$B$5:B4694,"Sortie"),6),""))</f>
        <v/>
      </c>
      <c r="L4694" s="39" t="str">
        <f>IF(COUNTA(A4694:C4694,E4694)=0,"",IF(COUNTA(A4694:C4694,E4694)&lt;4,"Ligne incomplète",IF(NOT(ISNUMBER(A4694)),"Date invalide",IF(AND(B4694&lt;&gt;"Entrée",B4694&lt;&gt;"Sortie"),"Type inconnu",IF(ISNA(MATCH(C4694,art_ref,0)),"Référence inconnue",IF(OR(NOT(ISNUMBER(E4694)),N(E4694)&lt;=0),"Quantité invalide",IF(K4694&lt;0,"Stock négatif",IF(AND(ISNUMBER(A4693),A4694&lt;A4693),"Date hors ordre","OK"))))))))</f>
        <v/>
      </c>
      <c r="M4694" s="39" t="str">
        <f>IF(C4694="","",C4694&amp;"#"&amp;COUNTIF($C$5:C4694,C4694))</f>
        <v/>
      </c>
    </row>
    <row r="4695">
      <c r="A4695" s="41" t="n"/>
      <c r="B4695" s="37" t="n"/>
      <c r="C4695" s="37" t="n"/>
      <c r="D4695" s="39" t="str">
        <f>IF(C4695="","",IFERROR(INDEX(art_des,MATCH(C4695,art_ref,0))&amp;"","Référence inconnue"))</f>
        <v/>
      </c>
      <c r="E4695" s="37" t="n"/>
      <c r="F4695" s="39" t="str">
        <f>IF(C4695="","",IFERROR(INDEX(art_unit,MATCH(C4695,art_ref,0))&amp;"",""))</f>
        <v/>
      </c>
      <c r="G4695" s="37" t="n"/>
      <c r="H4695" s="37" t="n"/>
      <c r="I4695" s="37" t="n"/>
      <c r="J4695" s="40" t="str">
        <f>IF(OR(C4695="",NOT(ISNUMBER(E4695))),"",IFERROR(E4695*N(INDEX(art_price,MATCH(C4695,art_ref,0))),""))</f>
        <v/>
      </c>
      <c r="K4695" s="39" t="str">
        <f>IF(OR(C4695="",NOT(ISNUMBER(E4695))),"",IFERROR(ROUND(N(INDEX(art_init,MATCH(C4695,art_ref,0)))+SUMIFS($E$5:E4695,$C$5:C4695,C4695,$B$5:B4695,"Entrée")-SUMIFS($E$5:E4695,$C$5:C4695,C4695,$B$5:B4695,"Sortie"),6),""))</f>
        <v/>
      </c>
      <c r="L4695" s="39" t="str">
        <f>IF(COUNTA(A4695:C4695,E4695)=0,"",IF(COUNTA(A4695:C4695,E4695)&lt;4,"Ligne incomplète",IF(NOT(ISNUMBER(A4695)),"Date invalide",IF(AND(B4695&lt;&gt;"Entrée",B4695&lt;&gt;"Sortie"),"Type inconnu",IF(ISNA(MATCH(C4695,art_ref,0)),"Référence inconnue",IF(OR(NOT(ISNUMBER(E4695)),N(E4695)&lt;=0),"Quantité invalide",IF(K4695&lt;0,"Stock négatif",IF(AND(ISNUMBER(A4694),A4695&lt;A4694),"Date hors ordre","OK"))))))))</f>
        <v/>
      </c>
      <c r="M4695" s="39" t="str">
        <f>IF(C4695="","",C4695&amp;"#"&amp;COUNTIF($C$5:C4695,C4695))</f>
        <v/>
      </c>
    </row>
    <row r="4696">
      <c r="A4696" s="41" t="n"/>
      <c r="B4696" s="37" t="n"/>
      <c r="C4696" s="37" t="n"/>
      <c r="D4696" s="39" t="str">
        <f>IF(C4696="","",IFERROR(INDEX(art_des,MATCH(C4696,art_ref,0))&amp;"","Référence inconnue"))</f>
        <v/>
      </c>
      <c r="E4696" s="37" t="n"/>
      <c r="F4696" s="39" t="str">
        <f>IF(C4696="","",IFERROR(INDEX(art_unit,MATCH(C4696,art_ref,0))&amp;"",""))</f>
        <v/>
      </c>
      <c r="G4696" s="37" t="n"/>
      <c r="H4696" s="37" t="n"/>
      <c r="I4696" s="37" t="n"/>
      <c r="J4696" s="40" t="str">
        <f>IF(OR(C4696="",NOT(ISNUMBER(E4696))),"",IFERROR(E4696*N(INDEX(art_price,MATCH(C4696,art_ref,0))),""))</f>
        <v/>
      </c>
      <c r="K4696" s="39" t="str">
        <f>IF(OR(C4696="",NOT(ISNUMBER(E4696))),"",IFERROR(ROUND(N(INDEX(art_init,MATCH(C4696,art_ref,0)))+SUMIFS($E$5:E4696,$C$5:C4696,C4696,$B$5:B4696,"Entrée")-SUMIFS($E$5:E4696,$C$5:C4696,C4696,$B$5:B4696,"Sortie"),6),""))</f>
        <v/>
      </c>
      <c r="L4696" s="39" t="str">
        <f>IF(COUNTA(A4696:C4696,E4696)=0,"",IF(COUNTA(A4696:C4696,E4696)&lt;4,"Ligne incomplète",IF(NOT(ISNUMBER(A4696)),"Date invalide",IF(AND(B4696&lt;&gt;"Entrée",B4696&lt;&gt;"Sortie"),"Type inconnu",IF(ISNA(MATCH(C4696,art_ref,0)),"Référence inconnue",IF(OR(NOT(ISNUMBER(E4696)),N(E4696)&lt;=0),"Quantité invalide",IF(K4696&lt;0,"Stock négatif",IF(AND(ISNUMBER(A4695),A4696&lt;A4695),"Date hors ordre","OK"))))))))</f>
        <v/>
      </c>
      <c r="M4696" s="39" t="str">
        <f>IF(C4696="","",C4696&amp;"#"&amp;COUNTIF($C$5:C4696,C4696))</f>
        <v/>
      </c>
    </row>
    <row r="4697">
      <c r="A4697" s="41" t="n"/>
      <c r="B4697" s="37" t="n"/>
      <c r="C4697" s="37" t="n"/>
      <c r="D4697" s="39" t="str">
        <f>IF(C4697="","",IFERROR(INDEX(art_des,MATCH(C4697,art_ref,0))&amp;"","Référence inconnue"))</f>
        <v/>
      </c>
      <c r="E4697" s="37" t="n"/>
      <c r="F4697" s="39" t="str">
        <f>IF(C4697="","",IFERROR(INDEX(art_unit,MATCH(C4697,art_ref,0))&amp;"",""))</f>
        <v/>
      </c>
      <c r="G4697" s="37" t="n"/>
      <c r="H4697" s="37" t="n"/>
      <c r="I4697" s="37" t="n"/>
      <c r="J4697" s="40" t="str">
        <f>IF(OR(C4697="",NOT(ISNUMBER(E4697))),"",IFERROR(E4697*N(INDEX(art_price,MATCH(C4697,art_ref,0))),""))</f>
        <v/>
      </c>
      <c r="K4697" s="39" t="str">
        <f>IF(OR(C4697="",NOT(ISNUMBER(E4697))),"",IFERROR(ROUND(N(INDEX(art_init,MATCH(C4697,art_ref,0)))+SUMIFS($E$5:E4697,$C$5:C4697,C4697,$B$5:B4697,"Entrée")-SUMIFS($E$5:E4697,$C$5:C4697,C4697,$B$5:B4697,"Sortie"),6),""))</f>
        <v/>
      </c>
      <c r="L4697" s="39" t="str">
        <f>IF(COUNTA(A4697:C4697,E4697)=0,"",IF(COUNTA(A4697:C4697,E4697)&lt;4,"Ligne incomplète",IF(NOT(ISNUMBER(A4697)),"Date invalide",IF(AND(B4697&lt;&gt;"Entrée",B4697&lt;&gt;"Sortie"),"Type inconnu",IF(ISNA(MATCH(C4697,art_ref,0)),"Référence inconnue",IF(OR(NOT(ISNUMBER(E4697)),N(E4697)&lt;=0),"Quantité invalide",IF(K4697&lt;0,"Stock négatif",IF(AND(ISNUMBER(A4696),A4697&lt;A4696),"Date hors ordre","OK"))))))))</f>
        <v/>
      </c>
      <c r="M4697" s="39" t="str">
        <f>IF(C4697="","",C4697&amp;"#"&amp;COUNTIF($C$5:C4697,C4697))</f>
        <v/>
      </c>
    </row>
    <row r="4698">
      <c r="A4698" s="41" t="n"/>
      <c r="B4698" s="37" t="n"/>
      <c r="C4698" s="37" t="n"/>
      <c r="D4698" s="39" t="str">
        <f>IF(C4698="","",IFERROR(INDEX(art_des,MATCH(C4698,art_ref,0))&amp;"","Référence inconnue"))</f>
        <v/>
      </c>
      <c r="E4698" s="37" t="n"/>
      <c r="F4698" s="39" t="str">
        <f>IF(C4698="","",IFERROR(INDEX(art_unit,MATCH(C4698,art_ref,0))&amp;"",""))</f>
        <v/>
      </c>
      <c r="G4698" s="37" t="n"/>
      <c r="H4698" s="37" t="n"/>
      <c r="I4698" s="37" t="n"/>
      <c r="J4698" s="40" t="str">
        <f>IF(OR(C4698="",NOT(ISNUMBER(E4698))),"",IFERROR(E4698*N(INDEX(art_price,MATCH(C4698,art_ref,0))),""))</f>
        <v/>
      </c>
      <c r="K4698" s="39" t="str">
        <f>IF(OR(C4698="",NOT(ISNUMBER(E4698))),"",IFERROR(ROUND(N(INDEX(art_init,MATCH(C4698,art_ref,0)))+SUMIFS($E$5:E4698,$C$5:C4698,C4698,$B$5:B4698,"Entrée")-SUMIFS($E$5:E4698,$C$5:C4698,C4698,$B$5:B4698,"Sortie"),6),""))</f>
        <v/>
      </c>
      <c r="L4698" s="39" t="str">
        <f>IF(COUNTA(A4698:C4698,E4698)=0,"",IF(COUNTA(A4698:C4698,E4698)&lt;4,"Ligne incomplète",IF(NOT(ISNUMBER(A4698)),"Date invalide",IF(AND(B4698&lt;&gt;"Entrée",B4698&lt;&gt;"Sortie"),"Type inconnu",IF(ISNA(MATCH(C4698,art_ref,0)),"Référence inconnue",IF(OR(NOT(ISNUMBER(E4698)),N(E4698)&lt;=0),"Quantité invalide",IF(K4698&lt;0,"Stock négatif",IF(AND(ISNUMBER(A4697),A4698&lt;A4697),"Date hors ordre","OK"))))))))</f>
        <v/>
      </c>
      <c r="M4698" s="39" t="str">
        <f>IF(C4698="","",C4698&amp;"#"&amp;COUNTIF($C$5:C4698,C4698))</f>
        <v/>
      </c>
    </row>
    <row r="4699">
      <c r="A4699" s="41" t="n"/>
      <c r="B4699" s="37" t="n"/>
      <c r="C4699" s="37" t="n"/>
      <c r="D4699" s="39" t="str">
        <f>IF(C4699="","",IFERROR(INDEX(art_des,MATCH(C4699,art_ref,0))&amp;"","Référence inconnue"))</f>
        <v/>
      </c>
      <c r="E4699" s="37" t="n"/>
      <c r="F4699" s="39" t="str">
        <f>IF(C4699="","",IFERROR(INDEX(art_unit,MATCH(C4699,art_ref,0))&amp;"",""))</f>
        <v/>
      </c>
      <c r="G4699" s="37" t="n"/>
      <c r="H4699" s="37" t="n"/>
      <c r="I4699" s="37" t="n"/>
      <c r="J4699" s="40" t="str">
        <f>IF(OR(C4699="",NOT(ISNUMBER(E4699))),"",IFERROR(E4699*N(INDEX(art_price,MATCH(C4699,art_ref,0))),""))</f>
        <v/>
      </c>
      <c r="K4699" s="39" t="str">
        <f>IF(OR(C4699="",NOT(ISNUMBER(E4699))),"",IFERROR(ROUND(N(INDEX(art_init,MATCH(C4699,art_ref,0)))+SUMIFS($E$5:E4699,$C$5:C4699,C4699,$B$5:B4699,"Entrée")-SUMIFS($E$5:E4699,$C$5:C4699,C4699,$B$5:B4699,"Sortie"),6),""))</f>
        <v/>
      </c>
      <c r="L4699" s="39" t="str">
        <f>IF(COUNTA(A4699:C4699,E4699)=0,"",IF(COUNTA(A4699:C4699,E4699)&lt;4,"Ligne incomplète",IF(NOT(ISNUMBER(A4699)),"Date invalide",IF(AND(B4699&lt;&gt;"Entrée",B4699&lt;&gt;"Sortie"),"Type inconnu",IF(ISNA(MATCH(C4699,art_ref,0)),"Référence inconnue",IF(OR(NOT(ISNUMBER(E4699)),N(E4699)&lt;=0),"Quantité invalide",IF(K4699&lt;0,"Stock négatif",IF(AND(ISNUMBER(A4698),A4699&lt;A4698),"Date hors ordre","OK"))))))))</f>
        <v/>
      </c>
      <c r="M4699" s="39" t="str">
        <f>IF(C4699="","",C4699&amp;"#"&amp;COUNTIF($C$5:C4699,C4699))</f>
        <v/>
      </c>
    </row>
    <row r="4700">
      <c r="A4700" s="41" t="n"/>
      <c r="B4700" s="37" t="n"/>
      <c r="C4700" s="37" t="n"/>
      <c r="D4700" s="39" t="str">
        <f>IF(C4700="","",IFERROR(INDEX(art_des,MATCH(C4700,art_ref,0))&amp;"","Référence inconnue"))</f>
        <v/>
      </c>
      <c r="E4700" s="37" t="n"/>
      <c r="F4700" s="39" t="str">
        <f>IF(C4700="","",IFERROR(INDEX(art_unit,MATCH(C4700,art_ref,0))&amp;"",""))</f>
        <v/>
      </c>
      <c r="G4700" s="37" t="n"/>
      <c r="H4700" s="37" t="n"/>
      <c r="I4700" s="37" t="n"/>
      <c r="J4700" s="40" t="str">
        <f>IF(OR(C4700="",NOT(ISNUMBER(E4700))),"",IFERROR(E4700*N(INDEX(art_price,MATCH(C4700,art_ref,0))),""))</f>
        <v/>
      </c>
      <c r="K4700" s="39" t="str">
        <f>IF(OR(C4700="",NOT(ISNUMBER(E4700))),"",IFERROR(ROUND(N(INDEX(art_init,MATCH(C4700,art_ref,0)))+SUMIFS($E$5:E4700,$C$5:C4700,C4700,$B$5:B4700,"Entrée")-SUMIFS($E$5:E4700,$C$5:C4700,C4700,$B$5:B4700,"Sortie"),6),""))</f>
        <v/>
      </c>
      <c r="L4700" s="39" t="str">
        <f>IF(COUNTA(A4700:C4700,E4700)=0,"",IF(COUNTA(A4700:C4700,E4700)&lt;4,"Ligne incomplète",IF(NOT(ISNUMBER(A4700)),"Date invalide",IF(AND(B4700&lt;&gt;"Entrée",B4700&lt;&gt;"Sortie"),"Type inconnu",IF(ISNA(MATCH(C4700,art_ref,0)),"Référence inconnue",IF(OR(NOT(ISNUMBER(E4700)),N(E4700)&lt;=0),"Quantité invalide",IF(K4700&lt;0,"Stock négatif",IF(AND(ISNUMBER(A4699),A4700&lt;A4699),"Date hors ordre","OK"))))))))</f>
        <v/>
      </c>
      <c r="M4700" s="39" t="str">
        <f>IF(C4700="","",C4700&amp;"#"&amp;COUNTIF($C$5:C4700,C4700))</f>
        <v/>
      </c>
    </row>
    <row r="4701">
      <c r="A4701" s="41" t="n"/>
      <c r="B4701" s="37" t="n"/>
      <c r="C4701" s="37" t="n"/>
      <c r="D4701" s="39" t="str">
        <f>IF(C4701="","",IFERROR(INDEX(art_des,MATCH(C4701,art_ref,0))&amp;"","Référence inconnue"))</f>
        <v/>
      </c>
      <c r="E4701" s="37" t="n"/>
      <c r="F4701" s="39" t="str">
        <f>IF(C4701="","",IFERROR(INDEX(art_unit,MATCH(C4701,art_ref,0))&amp;"",""))</f>
        <v/>
      </c>
      <c r="G4701" s="37" t="n"/>
      <c r="H4701" s="37" t="n"/>
      <c r="I4701" s="37" t="n"/>
      <c r="J4701" s="40" t="str">
        <f>IF(OR(C4701="",NOT(ISNUMBER(E4701))),"",IFERROR(E4701*N(INDEX(art_price,MATCH(C4701,art_ref,0))),""))</f>
        <v/>
      </c>
      <c r="K4701" s="39" t="str">
        <f>IF(OR(C4701="",NOT(ISNUMBER(E4701))),"",IFERROR(ROUND(N(INDEX(art_init,MATCH(C4701,art_ref,0)))+SUMIFS($E$5:E4701,$C$5:C4701,C4701,$B$5:B4701,"Entrée")-SUMIFS($E$5:E4701,$C$5:C4701,C4701,$B$5:B4701,"Sortie"),6),""))</f>
        <v/>
      </c>
      <c r="L4701" s="39" t="str">
        <f>IF(COUNTA(A4701:C4701,E4701)=0,"",IF(COUNTA(A4701:C4701,E4701)&lt;4,"Ligne incomplète",IF(NOT(ISNUMBER(A4701)),"Date invalide",IF(AND(B4701&lt;&gt;"Entrée",B4701&lt;&gt;"Sortie"),"Type inconnu",IF(ISNA(MATCH(C4701,art_ref,0)),"Référence inconnue",IF(OR(NOT(ISNUMBER(E4701)),N(E4701)&lt;=0),"Quantité invalide",IF(K4701&lt;0,"Stock négatif",IF(AND(ISNUMBER(A4700),A4701&lt;A4700),"Date hors ordre","OK"))))))))</f>
        <v/>
      </c>
      <c r="M4701" s="39" t="str">
        <f>IF(C4701="","",C4701&amp;"#"&amp;COUNTIF($C$5:C4701,C4701))</f>
        <v/>
      </c>
    </row>
    <row r="4702">
      <c r="A4702" s="41" t="n"/>
      <c r="B4702" s="37" t="n"/>
      <c r="C4702" s="37" t="n"/>
      <c r="D4702" s="39" t="str">
        <f>IF(C4702="","",IFERROR(INDEX(art_des,MATCH(C4702,art_ref,0))&amp;"","Référence inconnue"))</f>
        <v/>
      </c>
      <c r="E4702" s="37" t="n"/>
      <c r="F4702" s="39" t="str">
        <f>IF(C4702="","",IFERROR(INDEX(art_unit,MATCH(C4702,art_ref,0))&amp;"",""))</f>
        <v/>
      </c>
      <c r="G4702" s="37" t="n"/>
      <c r="H4702" s="37" t="n"/>
      <c r="I4702" s="37" t="n"/>
      <c r="J4702" s="40" t="str">
        <f>IF(OR(C4702="",NOT(ISNUMBER(E4702))),"",IFERROR(E4702*N(INDEX(art_price,MATCH(C4702,art_ref,0))),""))</f>
        <v/>
      </c>
      <c r="K4702" s="39" t="str">
        <f>IF(OR(C4702="",NOT(ISNUMBER(E4702))),"",IFERROR(ROUND(N(INDEX(art_init,MATCH(C4702,art_ref,0)))+SUMIFS($E$5:E4702,$C$5:C4702,C4702,$B$5:B4702,"Entrée")-SUMIFS($E$5:E4702,$C$5:C4702,C4702,$B$5:B4702,"Sortie"),6),""))</f>
        <v/>
      </c>
      <c r="L4702" s="39" t="str">
        <f>IF(COUNTA(A4702:C4702,E4702)=0,"",IF(COUNTA(A4702:C4702,E4702)&lt;4,"Ligne incomplète",IF(NOT(ISNUMBER(A4702)),"Date invalide",IF(AND(B4702&lt;&gt;"Entrée",B4702&lt;&gt;"Sortie"),"Type inconnu",IF(ISNA(MATCH(C4702,art_ref,0)),"Référence inconnue",IF(OR(NOT(ISNUMBER(E4702)),N(E4702)&lt;=0),"Quantité invalide",IF(K4702&lt;0,"Stock négatif",IF(AND(ISNUMBER(A4701),A4702&lt;A4701),"Date hors ordre","OK"))))))))</f>
        <v/>
      </c>
      <c r="M4702" s="39" t="str">
        <f>IF(C4702="","",C4702&amp;"#"&amp;COUNTIF($C$5:C4702,C4702))</f>
        <v/>
      </c>
    </row>
    <row r="4703">
      <c r="A4703" s="41" t="n"/>
      <c r="B4703" s="37" t="n"/>
      <c r="C4703" s="37" t="n"/>
      <c r="D4703" s="39" t="str">
        <f>IF(C4703="","",IFERROR(INDEX(art_des,MATCH(C4703,art_ref,0))&amp;"","Référence inconnue"))</f>
        <v/>
      </c>
      <c r="E4703" s="37" t="n"/>
      <c r="F4703" s="39" t="str">
        <f>IF(C4703="","",IFERROR(INDEX(art_unit,MATCH(C4703,art_ref,0))&amp;"",""))</f>
        <v/>
      </c>
      <c r="G4703" s="37" t="n"/>
      <c r="H4703" s="37" t="n"/>
      <c r="I4703" s="37" t="n"/>
      <c r="J4703" s="40" t="str">
        <f>IF(OR(C4703="",NOT(ISNUMBER(E4703))),"",IFERROR(E4703*N(INDEX(art_price,MATCH(C4703,art_ref,0))),""))</f>
        <v/>
      </c>
      <c r="K4703" s="39" t="str">
        <f>IF(OR(C4703="",NOT(ISNUMBER(E4703))),"",IFERROR(ROUND(N(INDEX(art_init,MATCH(C4703,art_ref,0)))+SUMIFS($E$5:E4703,$C$5:C4703,C4703,$B$5:B4703,"Entrée")-SUMIFS($E$5:E4703,$C$5:C4703,C4703,$B$5:B4703,"Sortie"),6),""))</f>
        <v/>
      </c>
      <c r="L4703" s="39" t="str">
        <f>IF(COUNTA(A4703:C4703,E4703)=0,"",IF(COUNTA(A4703:C4703,E4703)&lt;4,"Ligne incomplète",IF(NOT(ISNUMBER(A4703)),"Date invalide",IF(AND(B4703&lt;&gt;"Entrée",B4703&lt;&gt;"Sortie"),"Type inconnu",IF(ISNA(MATCH(C4703,art_ref,0)),"Référence inconnue",IF(OR(NOT(ISNUMBER(E4703)),N(E4703)&lt;=0),"Quantité invalide",IF(K4703&lt;0,"Stock négatif",IF(AND(ISNUMBER(A4702),A4703&lt;A4702),"Date hors ordre","OK"))))))))</f>
        <v/>
      </c>
      <c r="M4703" s="39" t="str">
        <f>IF(C4703="","",C4703&amp;"#"&amp;COUNTIF($C$5:C4703,C4703))</f>
        <v/>
      </c>
    </row>
    <row r="4704">
      <c r="A4704" s="41" t="n"/>
      <c r="B4704" s="37" t="n"/>
      <c r="C4704" s="37" t="n"/>
      <c r="D4704" s="39" t="str">
        <f>IF(C4704="","",IFERROR(INDEX(art_des,MATCH(C4704,art_ref,0))&amp;"","Référence inconnue"))</f>
        <v/>
      </c>
      <c r="E4704" s="37" t="n"/>
      <c r="F4704" s="39" t="str">
        <f>IF(C4704="","",IFERROR(INDEX(art_unit,MATCH(C4704,art_ref,0))&amp;"",""))</f>
        <v/>
      </c>
      <c r="G4704" s="37" t="n"/>
      <c r="H4704" s="37" t="n"/>
      <c r="I4704" s="37" t="n"/>
      <c r="J4704" s="40" t="str">
        <f>IF(OR(C4704="",NOT(ISNUMBER(E4704))),"",IFERROR(E4704*N(INDEX(art_price,MATCH(C4704,art_ref,0))),""))</f>
        <v/>
      </c>
      <c r="K4704" s="39" t="str">
        <f>IF(OR(C4704="",NOT(ISNUMBER(E4704))),"",IFERROR(ROUND(N(INDEX(art_init,MATCH(C4704,art_ref,0)))+SUMIFS($E$5:E4704,$C$5:C4704,C4704,$B$5:B4704,"Entrée")-SUMIFS($E$5:E4704,$C$5:C4704,C4704,$B$5:B4704,"Sortie"),6),""))</f>
        <v/>
      </c>
      <c r="L4704" s="39" t="str">
        <f>IF(COUNTA(A4704:C4704,E4704)=0,"",IF(COUNTA(A4704:C4704,E4704)&lt;4,"Ligne incomplète",IF(NOT(ISNUMBER(A4704)),"Date invalide",IF(AND(B4704&lt;&gt;"Entrée",B4704&lt;&gt;"Sortie"),"Type inconnu",IF(ISNA(MATCH(C4704,art_ref,0)),"Référence inconnue",IF(OR(NOT(ISNUMBER(E4704)),N(E4704)&lt;=0),"Quantité invalide",IF(K4704&lt;0,"Stock négatif",IF(AND(ISNUMBER(A4703),A4704&lt;A4703),"Date hors ordre","OK"))))))))</f>
        <v/>
      </c>
      <c r="M4704" s="39" t="str">
        <f>IF(C4704="","",C4704&amp;"#"&amp;COUNTIF($C$5:C4704,C4704))</f>
        <v/>
      </c>
    </row>
    <row r="4705">
      <c r="A4705" s="41" t="n"/>
      <c r="B4705" s="37" t="n"/>
      <c r="C4705" s="37" t="n"/>
      <c r="D4705" s="39" t="str">
        <f>IF(C4705="","",IFERROR(INDEX(art_des,MATCH(C4705,art_ref,0))&amp;"","Référence inconnue"))</f>
        <v/>
      </c>
      <c r="E4705" s="37" t="n"/>
      <c r="F4705" s="39" t="str">
        <f>IF(C4705="","",IFERROR(INDEX(art_unit,MATCH(C4705,art_ref,0))&amp;"",""))</f>
        <v/>
      </c>
      <c r="G4705" s="37" t="n"/>
      <c r="H4705" s="37" t="n"/>
      <c r="I4705" s="37" t="n"/>
      <c r="J4705" s="40" t="str">
        <f>IF(OR(C4705="",NOT(ISNUMBER(E4705))),"",IFERROR(E4705*N(INDEX(art_price,MATCH(C4705,art_ref,0))),""))</f>
        <v/>
      </c>
      <c r="K4705" s="39" t="str">
        <f>IF(OR(C4705="",NOT(ISNUMBER(E4705))),"",IFERROR(ROUND(N(INDEX(art_init,MATCH(C4705,art_ref,0)))+SUMIFS($E$5:E4705,$C$5:C4705,C4705,$B$5:B4705,"Entrée")-SUMIFS($E$5:E4705,$C$5:C4705,C4705,$B$5:B4705,"Sortie"),6),""))</f>
        <v/>
      </c>
      <c r="L4705" s="39" t="str">
        <f>IF(COUNTA(A4705:C4705,E4705)=0,"",IF(COUNTA(A4705:C4705,E4705)&lt;4,"Ligne incomplète",IF(NOT(ISNUMBER(A4705)),"Date invalide",IF(AND(B4705&lt;&gt;"Entrée",B4705&lt;&gt;"Sortie"),"Type inconnu",IF(ISNA(MATCH(C4705,art_ref,0)),"Référence inconnue",IF(OR(NOT(ISNUMBER(E4705)),N(E4705)&lt;=0),"Quantité invalide",IF(K4705&lt;0,"Stock négatif",IF(AND(ISNUMBER(A4704),A4705&lt;A4704),"Date hors ordre","OK"))))))))</f>
        <v/>
      </c>
      <c r="M4705" s="39" t="str">
        <f>IF(C4705="","",C4705&amp;"#"&amp;COUNTIF($C$5:C4705,C4705))</f>
        <v/>
      </c>
    </row>
    <row r="4706">
      <c r="A4706" s="41" t="n"/>
      <c r="B4706" s="37" t="n"/>
      <c r="C4706" s="37" t="n"/>
      <c r="D4706" s="39" t="str">
        <f>IF(C4706="","",IFERROR(INDEX(art_des,MATCH(C4706,art_ref,0))&amp;"","Référence inconnue"))</f>
        <v/>
      </c>
      <c r="E4706" s="37" t="n"/>
      <c r="F4706" s="39" t="str">
        <f>IF(C4706="","",IFERROR(INDEX(art_unit,MATCH(C4706,art_ref,0))&amp;"",""))</f>
        <v/>
      </c>
      <c r="G4706" s="37" t="n"/>
      <c r="H4706" s="37" t="n"/>
      <c r="I4706" s="37" t="n"/>
      <c r="J4706" s="40" t="str">
        <f>IF(OR(C4706="",NOT(ISNUMBER(E4706))),"",IFERROR(E4706*N(INDEX(art_price,MATCH(C4706,art_ref,0))),""))</f>
        <v/>
      </c>
      <c r="K4706" s="39" t="str">
        <f>IF(OR(C4706="",NOT(ISNUMBER(E4706))),"",IFERROR(ROUND(N(INDEX(art_init,MATCH(C4706,art_ref,0)))+SUMIFS($E$5:E4706,$C$5:C4706,C4706,$B$5:B4706,"Entrée")-SUMIFS($E$5:E4706,$C$5:C4706,C4706,$B$5:B4706,"Sortie"),6),""))</f>
        <v/>
      </c>
      <c r="L4706" s="39" t="str">
        <f>IF(COUNTA(A4706:C4706,E4706)=0,"",IF(COUNTA(A4706:C4706,E4706)&lt;4,"Ligne incomplète",IF(NOT(ISNUMBER(A4706)),"Date invalide",IF(AND(B4706&lt;&gt;"Entrée",B4706&lt;&gt;"Sortie"),"Type inconnu",IF(ISNA(MATCH(C4706,art_ref,0)),"Référence inconnue",IF(OR(NOT(ISNUMBER(E4706)),N(E4706)&lt;=0),"Quantité invalide",IF(K4706&lt;0,"Stock négatif",IF(AND(ISNUMBER(A4705),A4706&lt;A4705),"Date hors ordre","OK"))))))))</f>
        <v/>
      </c>
      <c r="M4706" s="39" t="str">
        <f>IF(C4706="","",C4706&amp;"#"&amp;COUNTIF($C$5:C4706,C4706))</f>
        <v/>
      </c>
    </row>
    <row r="4707">
      <c r="A4707" s="41" t="n"/>
      <c r="B4707" s="37" t="n"/>
      <c r="C4707" s="37" t="n"/>
      <c r="D4707" s="39" t="str">
        <f>IF(C4707="","",IFERROR(INDEX(art_des,MATCH(C4707,art_ref,0))&amp;"","Référence inconnue"))</f>
        <v/>
      </c>
      <c r="E4707" s="37" t="n"/>
      <c r="F4707" s="39" t="str">
        <f>IF(C4707="","",IFERROR(INDEX(art_unit,MATCH(C4707,art_ref,0))&amp;"",""))</f>
        <v/>
      </c>
      <c r="G4707" s="37" t="n"/>
      <c r="H4707" s="37" t="n"/>
      <c r="I4707" s="37" t="n"/>
      <c r="J4707" s="40" t="str">
        <f>IF(OR(C4707="",NOT(ISNUMBER(E4707))),"",IFERROR(E4707*N(INDEX(art_price,MATCH(C4707,art_ref,0))),""))</f>
        <v/>
      </c>
      <c r="K4707" s="39" t="str">
        <f>IF(OR(C4707="",NOT(ISNUMBER(E4707))),"",IFERROR(ROUND(N(INDEX(art_init,MATCH(C4707,art_ref,0)))+SUMIFS($E$5:E4707,$C$5:C4707,C4707,$B$5:B4707,"Entrée")-SUMIFS($E$5:E4707,$C$5:C4707,C4707,$B$5:B4707,"Sortie"),6),""))</f>
        <v/>
      </c>
      <c r="L4707" s="39" t="str">
        <f>IF(COUNTA(A4707:C4707,E4707)=0,"",IF(COUNTA(A4707:C4707,E4707)&lt;4,"Ligne incomplète",IF(NOT(ISNUMBER(A4707)),"Date invalide",IF(AND(B4707&lt;&gt;"Entrée",B4707&lt;&gt;"Sortie"),"Type inconnu",IF(ISNA(MATCH(C4707,art_ref,0)),"Référence inconnue",IF(OR(NOT(ISNUMBER(E4707)),N(E4707)&lt;=0),"Quantité invalide",IF(K4707&lt;0,"Stock négatif",IF(AND(ISNUMBER(A4706),A4707&lt;A4706),"Date hors ordre","OK"))))))))</f>
        <v/>
      </c>
      <c r="M4707" s="39" t="str">
        <f>IF(C4707="","",C4707&amp;"#"&amp;COUNTIF($C$5:C4707,C4707))</f>
        <v/>
      </c>
    </row>
    <row r="4708">
      <c r="A4708" s="41" t="n"/>
      <c r="B4708" s="37" t="n"/>
      <c r="C4708" s="37" t="n"/>
      <c r="D4708" s="39" t="str">
        <f>IF(C4708="","",IFERROR(INDEX(art_des,MATCH(C4708,art_ref,0))&amp;"","Référence inconnue"))</f>
        <v/>
      </c>
      <c r="E4708" s="37" t="n"/>
      <c r="F4708" s="39" t="str">
        <f>IF(C4708="","",IFERROR(INDEX(art_unit,MATCH(C4708,art_ref,0))&amp;"",""))</f>
        <v/>
      </c>
      <c r="G4708" s="37" t="n"/>
      <c r="H4708" s="37" t="n"/>
      <c r="I4708" s="37" t="n"/>
      <c r="J4708" s="40" t="str">
        <f>IF(OR(C4708="",NOT(ISNUMBER(E4708))),"",IFERROR(E4708*N(INDEX(art_price,MATCH(C4708,art_ref,0))),""))</f>
        <v/>
      </c>
      <c r="K4708" s="39" t="str">
        <f>IF(OR(C4708="",NOT(ISNUMBER(E4708))),"",IFERROR(ROUND(N(INDEX(art_init,MATCH(C4708,art_ref,0)))+SUMIFS($E$5:E4708,$C$5:C4708,C4708,$B$5:B4708,"Entrée")-SUMIFS($E$5:E4708,$C$5:C4708,C4708,$B$5:B4708,"Sortie"),6),""))</f>
        <v/>
      </c>
      <c r="L4708" s="39" t="str">
        <f>IF(COUNTA(A4708:C4708,E4708)=0,"",IF(COUNTA(A4708:C4708,E4708)&lt;4,"Ligne incomplète",IF(NOT(ISNUMBER(A4708)),"Date invalide",IF(AND(B4708&lt;&gt;"Entrée",B4708&lt;&gt;"Sortie"),"Type inconnu",IF(ISNA(MATCH(C4708,art_ref,0)),"Référence inconnue",IF(OR(NOT(ISNUMBER(E4708)),N(E4708)&lt;=0),"Quantité invalide",IF(K4708&lt;0,"Stock négatif",IF(AND(ISNUMBER(A4707),A4708&lt;A4707),"Date hors ordre","OK"))))))))</f>
        <v/>
      </c>
      <c r="M4708" s="39" t="str">
        <f>IF(C4708="","",C4708&amp;"#"&amp;COUNTIF($C$5:C4708,C4708))</f>
        <v/>
      </c>
    </row>
    <row r="4709">
      <c r="A4709" s="41" t="n"/>
      <c r="B4709" s="37" t="n"/>
      <c r="C4709" s="37" t="n"/>
      <c r="D4709" s="39" t="str">
        <f>IF(C4709="","",IFERROR(INDEX(art_des,MATCH(C4709,art_ref,0))&amp;"","Référence inconnue"))</f>
        <v/>
      </c>
      <c r="E4709" s="37" t="n"/>
      <c r="F4709" s="39" t="str">
        <f>IF(C4709="","",IFERROR(INDEX(art_unit,MATCH(C4709,art_ref,0))&amp;"",""))</f>
        <v/>
      </c>
      <c r="G4709" s="37" t="n"/>
      <c r="H4709" s="37" t="n"/>
      <c r="I4709" s="37" t="n"/>
      <c r="J4709" s="40" t="str">
        <f>IF(OR(C4709="",NOT(ISNUMBER(E4709))),"",IFERROR(E4709*N(INDEX(art_price,MATCH(C4709,art_ref,0))),""))</f>
        <v/>
      </c>
      <c r="K4709" s="39" t="str">
        <f>IF(OR(C4709="",NOT(ISNUMBER(E4709))),"",IFERROR(ROUND(N(INDEX(art_init,MATCH(C4709,art_ref,0)))+SUMIFS($E$5:E4709,$C$5:C4709,C4709,$B$5:B4709,"Entrée")-SUMIFS($E$5:E4709,$C$5:C4709,C4709,$B$5:B4709,"Sortie"),6),""))</f>
        <v/>
      </c>
      <c r="L4709" s="39" t="str">
        <f>IF(COUNTA(A4709:C4709,E4709)=0,"",IF(COUNTA(A4709:C4709,E4709)&lt;4,"Ligne incomplète",IF(NOT(ISNUMBER(A4709)),"Date invalide",IF(AND(B4709&lt;&gt;"Entrée",B4709&lt;&gt;"Sortie"),"Type inconnu",IF(ISNA(MATCH(C4709,art_ref,0)),"Référence inconnue",IF(OR(NOT(ISNUMBER(E4709)),N(E4709)&lt;=0),"Quantité invalide",IF(K4709&lt;0,"Stock négatif",IF(AND(ISNUMBER(A4708),A4709&lt;A4708),"Date hors ordre","OK"))))))))</f>
        <v/>
      </c>
      <c r="M4709" s="39" t="str">
        <f>IF(C4709="","",C4709&amp;"#"&amp;COUNTIF($C$5:C4709,C4709))</f>
        <v/>
      </c>
    </row>
    <row r="4710">
      <c r="A4710" s="41" t="n"/>
      <c r="B4710" s="37" t="n"/>
      <c r="C4710" s="37" t="n"/>
      <c r="D4710" s="39" t="str">
        <f>IF(C4710="","",IFERROR(INDEX(art_des,MATCH(C4710,art_ref,0))&amp;"","Référence inconnue"))</f>
        <v/>
      </c>
      <c r="E4710" s="37" t="n"/>
      <c r="F4710" s="39" t="str">
        <f>IF(C4710="","",IFERROR(INDEX(art_unit,MATCH(C4710,art_ref,0))&amp;"",""))</f>
        <v/>
      </c>
      <c r="G4710" s="37" t="n"/>
      <c r="H4710" s="37" t="n"/>
      <c r="I4710" s="37" t="n"/>
      <c r="J4710" s="40" t="str">
        <f>IF(OR(C4710="",NOT(ISNUMBER(E4710))),"",IFERROR(E4710*N(INDEX(art_price,MATCH(C4710,art_ref,0))),""))</f>
        <v/>
      </c>
      <c r="K4710" s="39" t="str">
        <f>IF(OR(C4710="",NOT(ISNUMBER(E4710))),"",IFERROR(ROUND(N(INDEX(art_init,MATCH(C4710,art_ref,0)))+SUMIFS($E$5:E4710,$C$5:C4710,C4710,$B$5:B4710,"Entrée")-SUMIFS($E$5:E4710,$C$5:C4710,C4710,$B$5:B4710,"Sortie"),6),""))</f>
        <v/>
      </c>
      <c r="L4710" s="39" t="str">
        <f>IF(COUNTA(A4710:C4710,E4710)=0,"",IF(COUNTA(A4710:C4710,E4710)&lt;4,"Ligne incomplète",IF(NOT(ISNUMBER(A4710)),"Date invalide",IF(AND(B4710&lt;&gt;"Entrée",B4710&lt;&gt;"Sortie"),"Type inconnu",IF(ISNA(MATCH(C4710,art_ref,0)),"Référence inconnue",IF(OR(NOT(ISNUMBER(E4710)),N(E4710)&lt;=0),"Quantité invalide",IF(K4710&lt;0,"Stock négatif",IF(AND(ISNUMBER(A4709),A4710&lt;A4709),"Date hors ordre","OK"))))))))</f>
        <v/>
      </c>
      <c r="M4710" s="39" t="str">
        <f>IF(C4710="","",C4710&amp;"#"&amp;COUNTIF($C$5:C4710,C4710))</f>
        <v/>
      </c>
    </row>
    <row r="4711">
      <c r="A4711" s="41" t="n"/>
      <c r="B4711" s="37" t="n"/>
      <c r="C4711" s="37" t="n"/>
      <c r="D4711" s="39" t="str">
        <f>IF(C4711="","",IFERROR(INDEX(art_des,MATCH(C4711,art_ref,0))&amp;"","Référence inconnue"))</f>
        <v/>
      </c>
      <c r="E4711" s="37" t="n"/>
      <c r="F4711" s="39" t="str">
        <f>IF(C4711="","",IFERROR(INDEX(art_unit,MATCH(C4711,art_ref,0))&amp;"",""))</f>
        <v/>
      </c>
      <c r="G4711" s="37" t="n"/>
      <c r="H4711" s="37" t="n"/>
      <c r="I4711" s="37" t="n"/>
      <c r="J4711" s="40" t="str">
        <f>IF(OR(C4711="",NOT(ISNUMBER(E4711))),"",IFERROR(E4711*N(INDEX(art_price,MATCH(C4711,art_ref,0))),""))</f>
        <v/>
      </c>
      <c r="K4711" s="39" t="str">
        <f>IF(OR(C4711="",NOT(ISNUMBER(E4711))),"",IFERROR(ROUND(N(INDEX(art_init,MATCH(C4711,art_ref,0)))+SUMIFS($E$5:E4711,$C$5:C4711,C4711,$B$5:B4711,"Entrée")-SUMIFS($E$5:E4711,$C$5:C4711,C4711,$B$5:B4711,"Sortie"),6),""))</f>
        <v/>
      </c>
      <c r="L4711" s="39" t="str">
        <f>IF(COUNTA(A4711:C4711,E4711)=0,"",IF(COUNTA(A4711:C4711,E4711)&lt;4,"Ligne incomplète",IF(NOT(ISNUMBER(A4711)),"Date invalide",IF(AND(B4711&lt;&gt;"Entrée",B4711&lt;&gt;"Sortie"),"Type inconnu",IF(ISNA(MATCH(C4711,art_ref,0)),"Référence inconnue",IF(OR(NOT(ISNUMBER(E4711)),N(E4711)&lt;=0),"Quantité invalide",IF(K4711&lt;0,"Stock négatif",IF(AND(ISNUMBER(A4710),A4711&lt;A4710),"Date hors ordre","OK"))))))))</f>
        <v/>
      </c>
      <c r="M4711" s="39" t="str">
        <f>IF(C4711="","",C4711&amp;"#"&amp;COUNTIF($C$5:C4711,C4711))</f>
        <v/>
      </c>
    </row>
    <row r="4712">
      <c r="A4712" s="41" t="n"/>
      <c r="B4712" s="37" t="n"/>
      <c r="C4712" s="37" t="n"/>
      <c r="D4712" s="39" t="str">
        <f>IF(C4712="","",IFERROR(INDEX(art_des,MATCH(C4712,art_ref,0))&amp;"","Référence inconnue"))</f>
        <v/>
      </c>
      <c r="E4712" s="37" t="n"/>
      <c r="F4712" s="39" t="str">
        <f>IF(C4712="","",IFERROR(INDEX(art_unit,MATCH(C4712,art_ref,0))&amp;"",""))</f>
        <v/>
      </c>
      <c r="G4712" s="37" t="n"/>
      <c r="H4712" s="37" t="n"/>
      <c r="I4712" s="37" t="n"/>
      <c r="J4712" s="40" t="str">
        <f>IF(OR(C4712="",NOT(ISNUMBER(E4712))),"",IFERROR(E4712*N(INDEX(art_price,MATCH(C4712,art_ref,0))),""))</f>
        <v/>
      </c>
      <c r="K4712" s="39" t="str">
        <f>IF(OR(C4712="",NOT(ISNUMBER(E4712))),"",IFERROR(ROUND(N(INDEX(art_init,MATCH(C4712,art_ref,0)))+SUMIFS($E$5:E4712,$C$5:C4712,C4712,$B$5:B4712,"Entrée")-SUMIFS($E$5:E4712,$C$5:C4712,C4712,$B$5:B4712,"Sortie"),6),""))</f>
        <v/>
      </c>
      <c r="L4712" s="39" t="str">
        <f>IF(COUNTA(A4712:C4712,E4712)=0,"",IF(COUNTA(A4712:C4712,E4712)&lt;4,"Ligne incomplète",IF(NOT(ISNUMBER(A4712)),"Date invalide",IF(AND(B4712&lt;&gt;"Entrée",B4712&lt;&gt;"Sortie"),"Type inconnu",IF(ISNA(MATCH(C4712,art_ref,0)),"Référence inconnue",IF(OR(NOT(ISNUMBER(E4712)),N(E4712)&lt;=0),"Quantité invalide",IF(K4712&lt;0,"Stock négatif",IF(AND(ISNUMBER(A4711),A4712&lt;A4711),"Date hors ordre","OK"))))))))</f>
        <v/>
      </c>
      <c r="M4712" s="39" t="str">
        <f>IF(C4712="","",C4712&amp;"#"&amp;COUNTIF($C$5:C4712,C4712))</f>
        <v/>
      </c>
    </row>
    <row r="4713">
      <c r="A4713" s="41" t="n"/>
      <c r="B4713" s="37" t="n"/>
      <c r="C4713" s="37" t="n"/>
      <c r="D4713" s="39" t="str">
        <f>IF(C4713="","",IFERROR(INDEX(art_des,MATCH(C4713,art_ref,0))&amp;"","Référence inconnue"))</f>
        <v/>
      </c>
      <c r="E4713" s="37" t="n"/>
      <c r="F4713" s="39" t="str">
        <f>IF(C4713="","",IFERROR(INDEX(art_unit,MATCH(C4713,art_ref,0))&amp;"",""))</f>
        <v/>
      </c>
      <c r="G4713" s="37" t="n"/>
      <c r="H4713" s="37" t="n"/>
      <c r="I4713" s="37" t="n"/>
      <c r="J4713" s="40" t="str">
        <f>IF(OR(C4713="",NOT(ISNUMBER(E4713))),"",IFERROR(E4713*N(INDEX(art_price,MATCH(C4713,art_ref,0))),""))</f>
        <v/>
      </c>
      <c r="K4713" s="39" t="str">
        <f>IF(OR(C4713="",NOT(ISNUMBER(E4713))),"",IFERROR(ROUND(N(INDEX(art_init,MATCH(C4713,art_ref,0)))+SUMIFS($E$5:E4713,$C$5:C4713,C4713,$B$5:B4713,"Entrée")-SUMIFS($E$5:E4713,$C$5:C4713,C4713,$B$5:B4713,"Sortie"),6),""))</f>
        <v/>
      </c>
      <c r="L4713" s="39" t="str">
        <f>IF(COUNTA(A4713:C4713,E4713)=0,"",IF(COUNTA(A4713:C4713,E4713)&lt;4,"Ligne incomplète",IF(NOT(ISNUMBER(A4713)),"Date invalide",IF(AND(B4713&lt;&gt;"Entrée",B4713&lt;&gt;"Sortie"),"Type inconnu",IF(ISNA(MATCH(C4713,art_ref,0)),"Référence inconnue",IF(OR(NOT(ISNUMBER(E4713)),N(E4713)&lt;=0),"Quantité invalide",IF(K4713&lt;0,"Stock négatif",IF(AND(ISNUMBER(A4712),A4713&lt;A4712),"Date hors ordre","OK"))))))))</f>
        <v/>
      </c>
      <c r="M4713" s="39" t="str">
        <f>IF(C4713="","",C4713&amp;"#"&amp;COUNTIF($C$5:C4713,C4713))</f>
        <v/>
      </c>
    </row>
    <row r="4714">
      <c r="A4714" s="41" t="n"/>
      <c r="B4714" s="37" t="n"/>
      <c r="C4714" s="37" t="n"/>
      <c r="D4714" s="39" t="str">
        <f>IF(C4714="","",IFERROR(INDEX(art_des,MATCH(C4714,art_ref,0))&amp;"","Référence inconnue"))</f>
        <v/>
      </c>
      <c r="E4714" s="37" t="n"/>
      <c r="F4714" s="39" t="str">
        <f>IF(C4714="","",IFERROR(INDEX(art_unit,MATCH(C4714,art_ref,0))&amp;"",""))</f>
        <v/>
      </c>
      <c r="G4714" s="37" t="n"/>
      <c r="H4714" s="37" t="n"/>
      <c r="I4714" s="37" t="n"/>
      <c r="J4714" s="40" t="str">
        <f>IF(OR(C4714="",NOT(ISNUMBER(E4714))),"",IFERROR(E4714*N(INDEX(art_price,MATCH(C4714,art_ref,0))),""))</f>
        <v/>
      </c>
      <c r="K4714" s="39" t="str">
        <f>IF(OR(C4714="",NOT(ISNUMBER(E4714))),"",IFERROR(ROUND(N(INDEX(art_init,MATCH(C4714,art_ref,0)))+SUMIFS($E$5:E4714,$C$5:C4714,C4714,$B$5:B4714,"Entrée")-SUMIFS($E$5:E4714,$C$5:C4714,C4714,$B$5:B4714,"Sortie"),6),""))</f>
        <v/>
      </c>
      <c r="L4714" s="39" t="str">
        <f>IF(COUNTA(A4714:C4714,E4714)=0,"",IF(COUNTA(A4714:C4714,E4714)&lt;4,"Ligne incomplète",IF(NOT(ISNUMBER(A4714)),"Date invalide",IF(AND(B4714&lt;&gt;"Entrée",B4714&lt;&gt;"Sortie"),"Type inconnu",IF(ISNA(MATCH(C4714,art_ref,0)),"Référence inconnue",IF(OR(NOT(ISNUMBER(E4714)),N(E4714)&lt;=0),"Quantité invalide",IF(K4714&lt;0,"Stock négatif",IF(AND(ISNUMBER(A4713),A4714&lt;A4713),"Date hors ordre","OK"))))))))</f>
        <v/>
      </c>
      <c r="M4714" s="39" t="str">
        <f>IF(C4714="","",C4714&amp;"#"&amp;COUNTIF($C$5:C4714,C4714))</f>
        <v/>
      </c>
    </row>
    <row r="4715">
      <c r="A4715" s="41" t="n"/>
      <c r="B4715" s="37" t="n"/>
      <c r="C4715" s="37" t="n"/>
      <c r="D4715" s="39" t="str">
        <f>IF(C4715="","",IFERROR(INDEX(art_des,MATCH(C4715,art_ref,0))&amp;"","Référence inconnue"))</f>
        <v/>
      </c>
      <c r="E4715" s="37" t="n"/>
      <c r="F4715" s="39" t="str">
        <f>IF(C4715="","",IFERROR(INDEX(art_unit,MATCH(C4715,art_ref,0))&amp;"",""))</f>
        <v/>
      </c>
      <c r="G4715" s="37" t="n"/>
      <c r="H4715" s="37" t="n"/>
      <c r="I4715" s="37" t="n"/>
      <c r="J4715" s="40" t="str">
        <f>IF(OR(C4715="",NOT(ISNUMBER(E4715))),"",IFERROR(E4715*N(INDEX(art_price,MATCH(C4715,art_ref,0))),""))</f>
        <v/>
      </c>
      <c r="K4715" s="39" t="str">
        <f>IF(OR(C4715="",NOT(ISNUMBER(E4715))),"",IFERROR(ROUND(N(INDEX(art_init,MATCH(C4715,art_ref,0)))+SUMIFS($E$5:E4715,$C$5:C4715,C4715,$B$5:B4715,"Entrée")-SUMIFS($E$5:E4715,$C$5:C4715,C4715,$B$5:B4715,"Sortie"),6),""))</f>
        <v/>
      </c>
      <c r="L4715" s="39" t="str">
        <f>IF(COUNTA(A4715:C4715,E4715)=0,"",IF(COUNTA(A4715:C4715,E4715)&lt;4,"Ligne incomplète",IF(NOT(ISNUMBER(A4715)),"Date invalide",IF(AND(B4715&lt;&gt;"Entrée",B4715&lt;&gt;"Sortie"),"Type inconnu",IF(ISNA(MATCH(C4715,art_ref,0)),"Référence inconnue",IF(OR(NOT(ISNUMBER(E4715)),N(E4715)&lt;=0),"Quantité invalide",IF(K4715&lt;0,"Stock négatif",IF(AND(ISNUMBER(A4714),A4715&lt;A4714),"Date hors ordre","OK"))))))))</f>
        <v/>
      </c>
      <c r="M4715" s="39" t="str">
        <f>IF(C4715="","",C4715&amp;"#"&amp;COUNTIF($C$5:C4715,C4715))</f>
        <v/>
      </c>
    </row>
    <row r="4716">
      <c r="A4716" s="41" t="n"/>
      <c r="B4716" s="37" t="n"/>
      <c r="C4716" s="37" t="n"/>
      <c r="D4716" s="39" t="str">
        <f>IF(C4716="","",IFERROR(INDEX(art_des,MATCH(C4716,art_ref,0))&amp;"","Référence inconnue"))</f>
        <v/>
      </c>
      <c r="E4716" s="37" t="n"/>
      <c r="F4716" s="39" t="str">
        <f>IF(C4716="","",IFERROR(INDEX(art_unit,MATCH(C4716,art_ref,0))&amp;"",""))</f>
        <v/>
      </c>
      <c r="G4716" s="37" t="n"/>
      <c r="H4716" s="37" t="n"/>
      <c r="I4716" s="37" t="n"/>
      <c r="J4716" s="40" t="str">
        <f>IF(OR(C4716="",NOT(ISNUMBER(E4716))),"",IFERROR(E4716*N(INDEX(art_price,MATCH(C4716,art_ref,0))),""))</f>
        <v/>
      </c>
      <c r="K4716" s="39" t="str">
        <f>IF(OR(C4716="",NOT(ISNUMBER(E4716))),"",IFERROR(ROUND(N(INDEX(art_init,MATCH(C4716,art_ref,0)))+SUMIFS($E$5:E4716,$C$5:C4716,C4716,$B$5:B4716,"Entrée")-SUMIFS($E$5:E4716,$C$5:C4716,C4716,$B$5:B4716,"Sortie"),6),""))</f>
        <v/>
      </c>
      <c r="L4716" s="39" t="str">
        <f>IF(COUNTA(A4716:C4716,E4716)=0,"",IF(COUNTA(A4716:C4716,E4716)&lt;4,"Ligne incomplète",IF(NOT(ISNUMBER(A4716)),"Date invalide",IF(AND(B4716&lt;&gt;"Entrée",B4716&lt;&gt;"Sortie"),"Type inconnu",IF(ISNA(MATCH(C4716,art_ref,0)),"Référence inconnue",IF(OR(NOT(ISNUMBER(E4716)),N(E4716)&lt;=0),"Quantité invalide",IF(K4716&lt;0,"Stock négatif",IF(AND(ISNUMBER(A4715),A4716&lt;A4715),"Date hors ordre","OK"))))))))</f>
        <v/>
      </c>
      <c r="M4716" s="39" t="str">
        <f>IF(C4716="","",C4716&amp;"#"&amp;COUNTIF($C$5:C4716,C4716))</f>
        <v/>
      </c>
    </row>
    <row r="4717">
      <c r="A4717" s="41" t="n"/>
      <c r="B4717" s="37" t="n"/>
      <c r="C4717" s="37" t="n"/>
      <c r="D4717" s="39" t="str">
        <f>IF(C4717="","",IFERROR(INDEX(art_des,MATCH(C4717,art_ref,0))&amp;"","Référence inconnue"))</f>
        <v/>
      </c>
      <c r="E4717" s="37" t="n"/>
      <c r="F4717" s="39" t="str">
        <f>IF(C4717="","",IFERROR(INDEX(art_unit,MATCH(C4717,art_ref,0))&amp;"",""))</f>
        <v/>
      </c>
      <c r="G4717" s="37" t="n"/>
      <c r="H4717" s="37" t="n"/>
      <c r="I4717" s="37" t="n"/>
      <c r="J4717" s="40" t="str">
        <f>IF(OR(C4717="",NOT(ISNUMBER(E4717))),"",IFERROR(E4717*N(INDEX(art_price,MATCH(C4717,art_ref,0))),""))</f>
        <v/>
      </c>
      <c r="K4717" s="39" t="str">
        <f>IF(OR(C4717="",NOT(ISNUMBER(E4717))),"",IFERROR(ROUND(N(INDEX(art_init,MATCH(C4717,art_ref,0)))+SUMIFS($E$5:E4717,$C$5:C4717,C4717,$B$5:B4717,"Entrée")-SUMIFS($E$5:E4717,$C$5:C4717,C4717,$B$5:B4717,"Sortie"),6),""))</f>
        <v/>
      </c>
      <c r="L4717" s="39" t="str">
        <f>IF(COUNTA(A4717:C4717,E4717)=0,"",IF(COUNTA(A4717:C4717,E4717)&lt;4,"Ligne incomplète",IF(NOT(ISNUMBER(A4717)),"Date invalide",IF(AND(B4717&lt;&gt;"Entrée",B4717&lt;&gt;"Sortie"),"Type inconnu",IF(ISNA(MATCH(C4717,art_ref,0)),"Référence inconnue",IF(OR(NOT(ISNUMBER(E4717)),N(E4717)&lt;=0),"Quantité invalide",IF(K4717&lt;0,"Stock négatif",IF(AND(ISNUMBER(A4716),A4717&lt;A4716),"Date hors ordre","OK"))))))))</f>
        <v/>
      </c>
      <c r="M4717" s="39" t="str">
        <f>IF(C4717="","",C4717&amp;"#"&amp;COUNTIF($C$5:C4717,C4717))</f>
        <v/>
      </c>
    </row>
    <row r="4718">
      <c r="A4718" s="41" t="n"/>
      <c r="B4718" s="37" t="n"/>
      <c r="C4718" s="37" t="n"/>
      <c r="D4718" s="39" t="str">
        <f>IF(C4718="","",IFERROR(INDEX(art_des,MATCH(C4718,art_ref,0))&amp;"","Référence inconnue"))</f>
        <v/>
      </c>
      <c r="E4718" s="37" t="n"/>
      <c r="F4718" s="39" t="str">
        <f>IF(C4718="","",IFERROR(INDEX(art_unit,MATCH(C4718,art_ref,0))&amp;"",""))</f>
        <v/>
      </c>
      <c r="G4718" s="37" t="n"/>
      <c r="H4718" s="37" t="n"/>
      <c r="I4718" s="37" t="n"/>
      <c r="J4718" s="40" t="str">
        <f>IF(OR(C4718="",NOT(ISNUMBER(E4718))),"",IFERROR(E4718*N(INDEX(art_price,MATCH(C4718,art_ref,0))),""))</f>
        <v/>
      </c>
      <c r="K4718" s="39" t="str">
        <f>IF(OR(C4718="",NOT(ISNUMBER(E4718))),"",IFERROR(ROUND(N(INDEX(art_init,MATCH(C4718,art_ref,0)))+SUMIFS($E$5:E4718,$C$5:C4718,C4718,$B$5:B4718,"Entrée")-SUMIFS($E$5:E4718,$C$5:C4718,C4718,$B$5:B4718,"Sortie"),6),""))</f>
        <v/>
      </c>
      <c r="L4718" s="39" t="str">
        <f>IF(COUNTA(A4718:C4718,E4718)=0,"",IF(COUNTA(A4718:C4718,E4718)&lt;4,"Ligne incomplète",IF(NOT(ISNUMBER(A4718)),"Date invalide",IF(AND(B4718&lt;&gt;"Entrée",B4718&lt;&gt;"Sortie"),"Type inconnu",IF(ISNA(MATCH(C4718,art_ref,0)),"Référence inconnue",IF(OR(NOT(ISNUMBER(E4718)),N(E4718)&lt;=0),"Quantité invalide",IF(K4718&lt;0,"Stock négatif",IF(AND(ISNUMBER(A4717),A4718&lt;A4717),"Date hors ordre","OK"))))))))</f>
        <v/>
      </c>
      <c r="M4718" s="39" t="str">
        <f>IF(C4718="","",C4718&amp;"#"&amp;COUNTIF($C$5:C4718,C4718))</f>
        <v/>
      </c>
    </row>
    <row r="4719">
      <c r="A4719" s="41" t="n"/>
      <c r="B4719" s="37" t="n"/>
      <c r="C4719" s="37" t="n"/>
      <c r="D4719" s="39" t="str">
        <f>IF(C4719="","",IFERROR(INDEX(art_des,MATCH(C4719,art_ref,0))&amp;"","Référence inconnue"))</f>
        <v/>
      </c>
      <c r="E4719" s="37" t="n"/>
      <c r="F4719" s="39" t="str">
        <f>IF(C4719="","",IFERROR(INDEX(art_unit,MATCH(C4719,art_ref,0))&amp;"",""))</f>
        <v/>
      </c>
      <c r="G4719" s="37" t="n"/>
      <c r="H4719" s="37" t="n"/>
      <c r="I4719" s="37" t="n"/>
      <c r="J4719" s="40" t="str">
        <f>IF(OR(C4719="",NOT(ISNUMBER(E4719))),"",IFERROR(E4719*N(INDEX(art_price,MATCH(C4719,art_ref,0))),""))</f>
        <v/>
      </c>
      <c r="K4719" s="39" t="str">
        <f>IF(OR(C4719="",NOT(ISNUMBER(E4719))),"",IFERROR(ROUND(N(INDEX(art_init,MATCH(C4719,art_ref,0)))+SUMIFS($E$5:E4719,$C$5:C4719,C4719,$B$5:B4719,"Entrée")-SUMIFS($E$5:E4719,$C$5:C4719,C4719,$B$5:B4719,"Sortie"),6),""))</f>
        <v/>
      </c>
      <c r="L4719" s="39" t="str">
        <f>IF(COUNTA(A4719:C4719,E4719)=0,"",IF(COUNTA(A4719:C4719,E4719)&lt;4,"Ligne incomplète",IF(NOT(ISNUMBER(A4719)),"Date invalide",IF(AND(B4719&lt;&gt;"Entrée",B4719&lt;&gt;"Sortie"),"Type inconnu",IF(ISNA(MATCH(C4719,art_ref,0)),"Référence inconnue",IF(OR(NOT(ISNUMBER(E4719)),N(E4719)&lt;=0),"Quantité invalide",IF(K4719&lt;0,"Stock négatif",IF(AND(ISNUMBER(A4718),A4719&lt;A4718),"Date hors ordre","OK"))))))))</f>
        <v/>
      </c>
      <c r="M4719" s="39" t="str">
        <f>IF(C4719="","",C4719&amp;"#"&amp;COUNTIF($C$5:C4719,C4719))</f>
        <v/>
      </c>
    </row>
    <row r="4720">
      <c r="A4720" s="41" t="n"/>
      <c r="B4720" s="37" t="n"/>
      <c r="C4720" s="37" t="n"/>
      <c r="D4720" s="39" t="str">
        <f>IF(C4720="","",IFERROR(INDEX(art_des,MATCH(C4720,art_ref,0))&amp;"","Référence inconnue"))</f>
        <v/>
      </c>
      <c r="E4720" s="37" t="n"/>
      <c r="F4720" s="39" t="str">
        <f>IF(C4720="","",IFERROR(INDEX(art_unit,MATCH(C4720,art_ref,0))&amp;"",""))</f>
        <v/>
      </c>
      <c r="G4720" s="37" t="n"/>
      <c r="H4720" s="37" t="n"/>
      <c r="I4720" s="37" t="n"/>
      <c r="J4720" s="40" t="str">
        <f>IF(OR(C4720="",NOT(ISNUMBER(E4720))),"",IFERROR(E4720*N(INDEX(art_price,MATCH(C4720,art_ref,0))),""))</f>
        <v/>
      </c>
      <c r="K4720" s="39" t="str">
        <f>IF(OR(C4720="",NOT(ISNUMBER(E4720))),"",IFERROR(ROUND(N(INDEX(art_init,MATCH(C4720,art_ref,0)))+SUMIFS($E$5:E4720,$C$5:C4720,C4720,$B$5:B4720,"Entrée")-SUMIFS($E$5:E4720,$C$5:C4720,C4720,$B$5:B4720,"Sortie"),6),""))</f>
        <v/>
      </c>
      <c r="L4720" s="39" t="str">
        <f>IF(COUNTA(A4720:C4720,E4720)=0,"",IF(COUNTA(A4720:C4720,E4720)&lt;4,"Ligne incomplète",IF(NOT(ISNUMBER(A4720)),"Date invalide",IF(AND(B4720&lt;&gt;"Entrée",B4720&lt;&gt;"Sortie"),"Type inconnu",IF(ISNA(MATCH(C4720,art_ref,0)),"Référence inconnue",IF(OR(NOT(ISNUMBER(E4720)),N(E4720)&lt;=0),"Quantité invalide",IF(K4720&lt;0,"Stock négatif",IF(AND(ISNUMBER(A4719),A4720&lt;A4719),"Date hors ordre","OK"))))))))</f>
        <v/>
      </c>
      <c r="M4720" s="39" t="str">
        <f>IF(C4720="","",C4720&amp;"#"&amp;COUNTIF($C$5:C4720,C4720))</f>
        <v/>
      </c>
    </row>
    <row r="4721">
      <c r="A4721" s="41" t="n"/>
      <c r="B4721" s="37" t="n"/>
      <c r="C4721" s="37" t="n"/>
      <c r="D4721" s="39" t="str">
        <f>IF(C4721="","",IFERROR(INDEX(art_des,MATCH(C4721,art_ref,0))&amp;"","Référence inconnue"))</f>
        <v/>
      </c>
      <c r="E4721" s="37" t="n"/>
      <c r="F4721" s="39" t="str">
        <f>IF(C4721="","",IFERROR(INDEX(art_unit,MATCH(C4721,art_ref,0))&amp;"",""))</f>
        <v/>
      </c>
      <c r="G4721" s="37" t="n"/>
      <c r="H4721" s="37" t="n"/>
      <c r="I4721" s="37" t="n"/>
      <c r="J4721" s="40" t="str">
        <f>IF(OR(C4721="",NOT(ISNUMBER(E4721))),"",IFERROR(E4721*N(INDEX(art_price,MATCH(C4721,art_ref,0))),""))</f>
        <v/>
      </c>
      <c r="K4721" s="39" t="str">
        <f>IF(OR(C4721="",NOT(ISNUMBER(E4721))),"",IFERROR(ROUND(N(INDEX(art_init,MATCH(C4721,art_ref,0)))+SUMIFS($E$5:E4721,$C$5:C4721,C4721,$B$5:B4721,"Entrée")-SUMIFS($E$5:E4721,$C$5:C4721,C4721,$B$5:B4721,"Sortie"),6),""))</f>
        <v/>
      </c>
      <c r="L4721" s="39" t="str">
        <f>IF(COUNTA(A4721:C4721,E4721)=0,"",IF(COUNTA(A4721:C4721,E4721)&lt;4,"Ligne incomplète",IF(NOT(ISNUMBER(A4721)),"Date invalide",IF(AND(B4721&lt;&gt;"Entrée",B4721&lt;&gt;"Sortie"),"Type inconnu",IF(ISNA(MATCH(C4721,art_ref,0)),"Référence inconnue",IF(OR(NOT(ISNUMBER(E4721)),N(E4721)&lt;=0),"Quantité invalide",IF(K4721&lt;0,"Stock négatif",IF(AND(ISNUMBER(A4720),A4721&lt;A4720),"Date hors ordre","OK"))))))))</f>
        <v/>
      </c>
      <c r="M4721" s="39" t="str">
        <f>IF(C4721="","",C4721&amp;"#"&amp;COUNTIF($C$5:C4721,C4721))</f>
        <v/>
      </c>
    </row>
    <row r="4722">
      <c r="A4722" s="41" t="n"/>
      <c r="B4722" s="37" t="n"/>
      <c r="C4722" s="37" t="n"/>
      <c r="D4722" s="39" t="str">
        <f>IF(C4722="","",IFERROR(INDEX(art_des,MATCH(C4722,art_ref,0))&amp;"","Référence inconnue"))</f>
        <v/>
      </c>
      <c r="E4722" s="37" t="n"/>
      <c r="F4722" s="39" t="str">
        <f>IF(C4722="","",IFERROR(INDEX(art_unit,MATCH(C4722,art_ref,0))&amp;"",""))</f>
        <v/>
      </c>
      <c r="G4722" s="37" t="n"/>
      <c r="H4722" s="37" t="n"/>
      <c r="I4722" s="37" t="n"/>
      <c r="J4722" s="40" t="str">
        <f>IF(OR(C4722="",NOT(ISNUMBER(E4722))),"",IFERROR(E4722*N(INDEX(art_price,MATCH(C4722,art_ref,0))),""))</f>
        <v/>
      </c>
      <c r="K4722" s="39" t="str">
        <f>IF(OR(C4722="",NOT(ISNUMBER(E4722))),"",IFERROR(ROUND(N(INDEX(art_init,MATCH(C4722,art_ref,0)))+SUMIFS($E$5:E4722,$C$5:C4722,C4722,$B$5:B4722,"Entrée")-SUMIFS($E$5:E4722,$C$5:C4722,C4722,$B$5:B4722,"Sortie"),6),""))</f>
        <v/>
      </c>
      <c r="L4722" s="39" t="str">
        <f>IF(COUNTA(A4722:C4722,E4722)=0,"",IF(COUNTA(A4722:C4722,E4722)&lt;4,"Ligne incomplète",IF(NOT(ISNUMBER(A4722)),"Date invalide",IF(AND(B4722&lt;&gt;"Entrée",B4722&lt;&gt;"Sortie"),"Type inconnu",IF(ISNA(MATCH(C4722,art_ref,0)),"Référence inconnue",IF(OR(NOT(ISNUMBER(E4722)),N(E4722)&lt;=0),"Quantité invalide",IF(K4722&lt;0,"Stock négatif",IF(AND(ISNUMBER(A4721),A4722&lt;A4721),"Date hors ordre","OK"))))))))</f>
        <v/>
      </c>
      <c r="M4722" s="39" t="str">
        <f>IF(C4722="","",C4722&amp;"#"&amp;COUNTIF($C$5:C4722,C4722))</f>
        <v/>
      </c>
    </row>
    <row r="4723">
      <c r="A4723" s="41" t="n"/>
      <c r="B4723" s="37" t="n"/>
      <c r="C4723" s="37" t="n"/>
      <c r="D4723" s="39" t="str">
        <f>IF(C4723="","",IFERROR(INDEX(art_des,MATCH(C4723,art_ref,0))&amp;"","Référence inconnue"))</f>
        <v/>
      </c>
      <c r="E4723" s="37" t="n"/>
      <c r="F4723" s="39" t="str">
        <f>IF(C4723="","",IFERROR(INDEX(art_unit,MATCH(C4723,art_ref,0))&amp;"",""))</f>
        <v/>
      </c>
      <c r="G4723" s="37" t="n"/>
      <c r="H4723" s="37" t="n"/>
      <c r="I4723" s="37" t="n"/>
      <c r="J4723" s="40" t="str">
        <f>IF(OR(C4723="",NOT(ISNUMBER(E4723))),"",IFERROR(E4723*N(INDEX(art_price,MATCH(C4723,art_ref,0))),""))</f>
        <v/>
      </c>
      <c r="K4723" s="39" t="str">
        <f>IF(OR(C4723="",NOT(ISNUMBER(E4723))),"",IFERROR(ROUND(N(INDEX(art_init,MATCH(C4723,art_ref,0)))+SUMIFS($E$5:E4723,$C$5:C4723,C4723,$B$5:B4723,"Entrée")-SUMIFS($E$5:E4723,$C$5:C4723,C4723,$B$5:B4723,"Sortie"),6),""))</f>
        <v/>
      </c>
      <c r="L4723" s="39" t="str">
        <f>IF(COUNTA(A4723:C4723,E4723)=0,"",IF(COUNTA(A4723:C4723,E4723)&lt;4,"Ligne incomplète",IF(NOT(ISNUMBER(A4723)),"Date invalide",IF(AND(B4723&lt;&gt;"Entrée",B4723&lt;&gt;"Sortie"),"Type inconnu",IF(ISNA(MATCH(C4723,art_ref,0)),"Référence inconnue",IF(OR(NOT(ISNUMBER(E4723)),N(E4723)&lt;=0),"Quantité invalide",IF(K4723&lt;0,"Stock négatif",IF(AND(ISNUMBER(A4722),A4723&lt;A4722),"Date hors ordre","OK"))))))))</f>
        <v/>
      </c>
      <c r="M4723" s="39" t="str">
        <f>IF(C4723="","",C4723&amp;"#"&amp;COUNTIF($C$5:C4723,C4723))</f>
        <v/>
      </c>
    </row>
    <row r="4724">
      <c r="A4724" s="41" t="n"/>
      <c r="B4724" s="37" t="n"/>
      <c r="C4724" s="37" t="n"/>
      <c r="D4724" s="39" t="str">
        <f>IF(C4724="","",IFERROR(INDEX(art_des,MATCH(C4724,art_ref,0))&amp;"","Référence inconnue"))</f>
        <v/>
      </c>
      <c r="E4724" s="37" t="n"/>
      <c r="F4724" s="39" t="str">
        <f>IF(C4724="","",IFERROR(INDEX(art_unit,MATCH(C4724,art_ref,0))&amp;"",""))</f>
        <v/>
      </c>
      <c r="G4724" s="37" t="n"/>
      <c r="H4724" s="37" t="n"/>
      <c r="I4724" s="37" t="n"/>
      <c r="J4724" s="40" t="str">
        <f>IF(OR(C4724="",NOT(ISNUMBER(E4724))),"",IFERROR(E4724*N(INDEX(art_price,MATCH(C4724,art_ref,0))),""))</f>
        <v/>
      </c>
      <c r="K4724" s="39" t="str">
        <f>IF(OR(C4724="",NOT(ISNUMBER(E4724))),"",IFERROR(ROUND(N(INDEX(art_init,MATCH(C4724,art_ref,0)))+SUMIFS($E$5:E4724,$C$5:C4724,C4724,$B$5:B4724,"Entrée")-SUMIFS($E$5:E4724,$C$5:C4724,C4724,$B$5:B4724,"Sortie"),6),""))</f>
        <v/>
      </c>
      <c r="L4724" s="39" t="str">
        <f>IF(COUNTA(A4724:C4724,E4724)=0,"",IF(COUNTA(A4724:C4724,E4724)&lt;4,"Ligne incomplète",IF(NOT(ISNUMBER(A4724)),"Date invalide",IF(AND(B4724&lt;&gt;"Entrée",B4724&lt;&gt;"Sortie"),"Type inconnu",IF(ISNA(MATCH(C4724,art_ref,0)),"Référence inconnue",IF(OR(NOT(ISNUMBER(E4724)),N(E4724)&lt;=0),"Quantité invalide",IF(K4724&lt;0,"Stock négatif",IF(AND(ISNUMBER(A4723),A4724&lt;A4723),"Date hors ordre","OK"))))))))</f>
        <v/>
      </c>
      <c r="M4724" s="39" t="str">
        <f>IF(C4724="","",C4724&amp;"#"&amp;COUNTIF($C$5:C4724,C4724))</f>
        <v/>
      </c>
    </row>
    <row r="4725">
      <c r="A4725" s="41" t="n"/>
      <c r="B4725" s="37" t="n"/>
      <c r="C4725" s="37" t="n"/>
      <c r="D4725" s="39" t="str">
        <f>IF(C4725="","",IFERROR(INDEX(art_des,MATCH(C4725,art_ref,0))&amp;"","Référence inconnue"))</f>
        <v/>
      </c>
      <c r="E4725" s="37" t="n"/>
      <c r="F4725" s="39" t="str">
        <f>IF(C4725="","",IFERROR(INDEX(art_unit,MATCH(C4725,art_ref,0))&amp;"",""))</f>
        <v/>
      </c>
      <c r="G4725" s="37" t="n"/>
      <c r="H4725" s="37" t="n"/>
      <c r="I4725" s="37" t="n"/>
      <c r="J4725" s="40" t="str">
        <f>IF(OR(C4725="",NOT(ISNUMBER(E4725))),"",IFERROR(E4725*N(INDEX(art_price,MATCH(C4725,art_ref,0))),""))</f>
        <v/>
      </c>
      <c r="K4725" s="39" t="str">
        <f>IF(OR(C4725="",NOT(ISNUMBER(E4725))),"",IFERROR(ROUND(N(INDEX(art_init,MATCH(C4725,art_ref,0)))+SUMIFS($E$5:E4725,$C$5:C4725,C4725,$B$5:B4725,"Entrée")-SUMIFS($E$5:E4725,$C$5:C4725,C4725,$B$5:B4725,"Sortie"),6),""))</f>
        <v/>
      </c>
      <c r="L4725" s="39" t="str">
        <f>IF(COUNTA(A4725:C4725,E4725)=0,"",IF(COUNTA(A4725:C4725,E4725)&lt;4,"Ligne incomplète",IF(NOT(ISNUMBER(A4725)),"Date invalide",IF(AND(B4725&lt;&gt;"Entrée",B4725&lt;&gt;"Sortie"),"Type inconnu",IF(ISNA(MATCH(C4725,art_ref,0)),"Référence inconnue",IF(OR(NOT(ISNUMBER(E4725)),N(E4725)&lt;=0),"Quantité invalide",IF(K4725&lt;0,"Stock négatif",IF(AND(ISNUMBER(A4724),A4725&lt;A4724),"Date hors ordre","OK"))))))))</f>
        <v/>
      </c>
      <c r="M4725" s="39" t="str">
        <f>IF(C4725="","",C4725&amp;"#"&amp;COUNTIF($C$5:C4725,C4725))</f>
        <v/>
      </c>
    </row>
    <row r="4726">
      <c r="A4726" s="41" t="n"/>
      <c r="B4726" s="37" t="n"/>
      <c r="C4726" s="37" t="n"/>
      <c r="D4726" s="39" t="str">
        <f>IF(C4726="","",IFERROR(INDEX(art_des,MATCH(C4726,art_ref,0))&amp;"","Référence inconnue"))</f>
        <v/>
      </c>
      <c r="E4726" s="37" t="n"/>
      <c r="F4726" s="39" t="str">
        <f>IF(C4726="","",IFERROR(INDEX(art_unit,MATCH(C4726,art_ref,0))&amp;"",""))</f>
        <v/>
      </c>
      <c r="G4726" s="37" t="n"/>
      <c r="H4726" s="37" t="n"/>
      <c r="I4726" s="37" t="n"/>
      <c r="J4726" s="40" t="str">
        <f>IF(OR(C4726="",NOT(ISNUMBER(E4726))),"",IFERROR(E4726*N(INDEX(art_price,MATCH(C4726,art_ref,0))),""))</f>
        <v/>
      </c>
      <c r="K4726" s="39" t="str">
        <f>IF(OR(C4726="",NOT(ISNUMBER(E4726))),"",IFERROR(ROUND(N(INDEX(art_init,MATCH(C4726,art_ref,0)))+SUMIFS($E$5:E4726,$C$5:C4726,C4726,$B$5:B4726,"Entrée")-SUMIFS($E$5:E4726,$C$5:C4726,C4726,$B$5:B4726,"Sortie"),6),""))</f>
        <v/>
      </c>
      <c r="L4726" s="39" t="str">
        <f>IF(COUNTA(A4726:C4726,E4726)=0,"",IF(COUNTA(A4726:C4726,E4726)&lt;4,"Ligne incomplète",IF(NOT(ISNUMBER(A4726)),"Date invalide",IF(AND(B4726&lt;&gt;"Entrée",B4726&lt;&gt;"Sortie"),"Type inconnu",IF(ISNA(MATCH(C4726,art_ref,0)),"Référence inconnue",IF(OR(NOT(ISNUMBER(E4726)),N(E4726)&lt;=0),"Quantité invalide",IF(K4726&lt;0,"Stock négatif",IF(AND(ISNUMBER(A4725),A4726&lt;A4725),"Date hors ordre","OK"))))))))</f>
        <v/>
      </c>
      <c r="M4726" s="39" t="str">
        <f>IF(C4726="","",C4726&amp;"#"&amp;COUNTIF($C$5:C4726,C4726))</f>
        <v/>
      </c>
    </row>
    <row r="4727">
      <c r="A4727" s="41" t="n"/>
      <c r="B4727" s="37" t="n"/>
      <c r="C4727" s="37" t="n"/>
      <c r="D4727" s="39" t="str">
        <f>IF(C4727="","",IFERROR(INDEX(art_des,MATCH(C4727,art_ref,0))&amp;"","Référence inconnue"))</f>
        <v/>
      </c>
      <c r="E4727" s="37" t="n"/>
      <c r="F4727" s="39" t="str">
        <f>IF(C4727="","",IFERROR(INDEX(art_unit,MATCH(C4727,art_ref,0))&amp;"",""))</f>
        <v/>
      </c>
      <c r="G4727" s="37" t="n"/>
      <c r="H4727" s="37" t="n"/>
      <c r="I4727" s="37" t="n"/>
      <c r="J4727" s="40" t="str">
        <f>IF(OR(C4727="",NOT(ISNUMBER(E4727))),"",IFERROR(E4727*N(INDEX(art_price,MATCH(C4727,art_ref,0))),""))</f>
        <v/>
      </c>
      <c r="K4727" s="39" t="str">
        <f>IF(OR(C4727="",NOT(ISNUMBER(E4727))),"",IFERROR(ROUND(N(INDEX(art_init,MATCH(C4727,art_ref,0)))+SUMIFS($E$5:E4727,$C$5:C4727,C4727,$B$5:B4727,"Entrée")-SUMIFS($E$5:E4727,$C$5:C4727,C4727,$B$5:B4727,"Sortie"),6),""))</f>
        <v/>
      </c>
      <c r="L4727" s="39" t="str">
        <f>IF(COUNTA(A4727:C4727,E4727)=0,"",IF(COUNTA(A4727:C4727,E4727)&lt;4,"Ligne incomplète",IF(NOT(ISNUMBER(A4727)),"Date invalide",IF(AND(B4727&lt;&gt;"Entrée",B4727&lt;&gt;"Sortie"),"Type inconnu",IF(ISNA(MATCH(C4727,art_ref,0)),"Référence inconnue",IF(OR(NOT(ISNUMBER(E4727)),N(E4727)&lt;=0),"Quantité invalide",IF(K4727&lt;0,"Stock négatif",IF(AND(ISNUMBER(A4726),A4727&lt;A4726),"Date hors ordre","OK"))))))))</f>
        <v/>
      </c>
      <c r="M4727" s="39" t="str">
        <f>IF(C4727="","",C4727&amp;"#"&amp;COUNTIF($C$5:C4727,C4727))</f>
        <v/>
      </c>
    </row>
    <row r="4728">
      <c r="A4728" s="41" t="n"/>
      <c r="B4728" s="37" t="n"/>
      <c r="C4728" s="37" t="n"/>
      <c r="D4728" s="39" t="str">
        <f>IF(C4728="","",IFERROR(INDEX(art_des,MATCH(C4728,art_ref,0))&amp;"","Référence inconnue"))</f>
        <v/>
      </c>
      <c r="E4728" s="37" t="n"/>
      <c r="F4728" s="39" t="str">
        <f>IF(C4728="","",IFERROR(INDEX(art_unit,MATCH(C4728,art_ref,0))&amp;"",""))</f>
        <v/>
      </c>
      <c r="G4728" s="37" t="n"/>
      <c r="H4728" s="37" t="n"/>
      <c r="I4728" s="37" t="n"/>
      <c r="J4728" s="40" t="str">
        <f>IF(OR(C4728="",NOT(ISNUMBER(E4728))),"",IFERROR(E4728*N(INDEX(art_price,MATCH(C4728,art_ref,0))),""))</f>
        <v/>
      </c>
      <c r="K4728" s="39" t="str">
        <f>IF(OR(C4728="",NOT(ISNUMBER(E4728))),"",IFERROR(ROUND(N(INDEX(art_init,MATCH(C4728,art_ref,0)))+SUMIFS($E$5:E4728,$C$5:C4728,C4728,$B$5:B4728,"Entrée")-SUMIFS($E$5:E4728,$C$5:C4728,C4728,$B$5:B4728,"Sortie"),6),""))</f>
        <v/>
      </c>
      <c r="L4728" s="39" t="str">
        <f>IF(COUNTA(A4728:C4728,E4728)=0,"",IF(COUNTA(A4728:C4728,E4728)&lt;4,"Ligne incomplète",IF(NOT(ISNUMBER(A4728)),"Date invalide",IF(AND(B4728&lt;&gt;"Entrée",B4728&lt;&gt;"Sortie"),"Type inconnu",IF(ISNA(MATCH(C4728,art_ref,0)),"Référence inconnue",IF(OR(NOT(ISNUMBER(E4728)),N(E4728)&lt;=0),"Quantité invalide",IF(K4728&lt;0,"Stock négatif",IF(AND(ISNUMBER(A4727),A4728&lt;A4727),"Date hors ordre","OK"))))))))</f>
        <v/>
      </c>
      <c r="M4728" s="39" t="str">
        <f>IF(C4728="","",C4728&amp;"#"&amp;COUNTIF($C$5:C4728,C4728))</f>
        <v/>
      </c>
    </row>
    <row r="4729">
      <c r="A4729" s="41" t="n"/>
      <c r="B4729" s="37" t="n"/>
      <c r="C4729" s="37" t="n"/>
      <c r="D4729" s="39" t="str">
        <f>IF(C4729="","",IFERROR(INDEX(art_des,MATCH(C4729,art_ref,0))&amp;"","Référence inconnue"))</f>
        <v/>
      </c>
      <c r="E4729" s="37" t="n"/>
      <c r="F4729" s="39" t="str">
        <f>IF(C4729="","",IFERROR(INDEX(art_unit,MATCH(C4729,art_ref,0))&amp;"",""))</f>
        <v/>
      </c>
      <c r="G4729" s="37" t="n"/>
      <c r="H4729" s="37" t="n"/>
      <c r="I4729" s="37" t="n"/>
      <c r="J4729" s="40" t="str">
        <f>IF(OR(C4729="",NOT(ISNUMBER(E4729))),"",IFERROR(E4729*N(INDEX(art_price,MATCH(C4729,art_ref,0))),""))</f>
        <v/>
      </c>
      <c r="K4729" s="39" t="str">
        <f>IF(OR(C4729="",NOT(ISNUMBER(E4729))),"",IFERROR(ROUND(N(INDEX(art_init,MATCH(C4729,art_ref,0)))+SUMIFS($E$5:E4729,$C$5:C4729,C4729,$B$5:B4729,"Entrée")-SUMIFS($E$5:E4729,$C$5:C4729,C4729,$B$5:B4729,"Sortie"),6),""))</f>
        <v/>
      </c>
      <c r="L4729" s="39" t="str">
        <f>IF(COUNTA(A4729:C4729,E4729)=0,"",IF(COUNTA(A4729:C4729,E4729)&lt;4,"Ligne incomplète",IF(NOT(ISNUMBER(A4729)),"Date invalide",IF(AND(B4729&lt;&gt;"Entrée",B4729&lt;&gt;"Sortie"),"Type inconnu",IF(ISNA(MATCH(C4729,art_ref,0)),"Référence inconnue",IF(OR(NOT(ISNUMBER(E4729)),N(E4729)&lt;=0),"Quantité invalide",IF(K4729&lt;0,"Stock négatif",IF(AND(ISNUMBER(A4728),A4729&lt;A4728),"Date hors ordre","OK"))))))))</f>
        <v/>
      </c>
      <c r="M4729" s="39" t="str">
        <f>IF(C4729="","",C4729&amp;"#"&amp;COUNTIF($C$5:C4729,C4729))</f>
        <v/>
      </c>
    </row>
    <row r="4730">
      <c r="A4730" s="41" t="n"/>
      <c r="B4730" s="37" t="n"/>
      <c r="C4730" s="37" t="n"/>
      <c r="D4730" s="39" t="str">
        <f>IF(C4730="","",IFERROR(INDEX(art_des,MATCH(C4730,art_ref,0))&amp;"","Référence inconnue"))</f>
        <v/>
      </c>
      <c r="E4730" s="37" t="n"/>
      <c r="F4730" s="39" t="str">
        <f>IF(C4730="","",IFERROR(INDEX(art_unit,MATCH(C4730,art_ref,0))&amp;"",""))</f>
        <v/>
      </c>
      <c r="G4730" s="37" t="n"/>
      <c r="H4730" s="37" t="n"/>
      <c r="I4730" s="37" t="n"/>
      <c r="J4730" s="40" t="str">
        <f>IF(OR(C4730="",NOT(ISNUMBER(E4730))),"",IFERROR(E4730*N(INDEX(art_price,MATCH(C4730,art_ref,0))),""))</f>
        <v/>
      </c>
      <c r="K4730" s="39" t="str">
        <f>IF(OR(C4730="",NOT(ISNUMBER(E4730))),"",IFERROR(ROUND(N(INDEX(art_init,MATCH(C4730,art_ref,0)))+SUMIFS($E$5:E4730,$C$5:C4730,C4730,$B$5:B4730,"Entrée")-SUMIFS($E$5:E4730,$C$5:C4730,C4730,$B$5:B4730,"Sortie"),6),""))</f>
        <v/>
      </c>
      <c r="L4730" s="39" t="str">
        <f>IF(COUNTA(A4730:C4730,E4730)=0,"",IF(COUNTA(A4730:C4730,E4730)&lt;4,"Ligne incomplète",IF(NOT(ISNUMBER(A4730)),"Date invalide",IF(AND(B4730&lt;&gt;"Entrée",B4730&lt;&gt;"Sortie"),"Type inconnu",IF(ISNA(MATCH(C4730,art_ref,0)),"Référence inconnue",IF(OR(NOT(ISNUMBER(E4730)),N(E4730)&lt;=0),"Quantité invalide",IF(K4730&lt;0,"Stock négatif",IF(AND(ISNUMBER(A4729),A4730&lt;A4729),"Date hors ordre","OK"))))))))</f>
        <v/>
      </c>
      <c r="M4730" s="39" t="str">
        <f>IF(C4730="","",C4730&amp;"#"&amp;COUNTIF($C$5:C4730,C4730))</f>
        <v/>
      </c>
    </row>
    <row r="4731">
      <c r="A4731" s="41" t="n"/>
      <c r="B4731" s="37" t="n"/>
      <c r="C4731" s="37" t="n"/>
      <c r="D4731" s="39" t="str">
        <f>IF(C4731="","",IFERROR(INDEX(art_des,MATCH(C4731,art_ref,0))&amp;"","Référence inconnue"))</f>
        <v/>
      </c>
      <c r="E4731" s="37" t="n"/>
      <c r="F4731" s="39" t="str">
        <f>IF(C4731="","",IFERROR(INDEX(art_unit,MATCH(C4731,art_ref,0))&amp;"",""))</f>
        <v/>
      </c>
      <c r="G4731" s="37" t="n"/>
      <c r="H4731" s="37" t="n"/>
      <c r="I4731" s="37" t="n"/>
      <c r="J4731" s="40" t="str">
        <f>IF(OR(C4731="",NOT(ISNUMBER(E4731))),"",IFERROR(E4731*N(INDEX(art_price,MATCH(C4731,art_ref,0))),""))</f>
        <v/>
      </c>
      <c r="K4731" s="39" t="str">
        <f>IF(OR(C4731="",NOT(ISNUMBER(E4731))),"",IFERROR(ROUND(N(INDEX(art_init,MATCH(C4731,art_ref,0)))+SUMIFS($E$5:E4731,$C$5:C4731,C4731,$B$5:B4731,"Entrée")-SUMIFS($E$5:E4731,$C$5:C4731,C4731,$B$5:B4731,"Sortie"),6),""))</f>
        <v/>
      </c>
      <c r="L4731" s="39" t="str">
        <f>IF(COUNTA(A4731:C4731,E4731)=0,"",IF(COUNTA(A4731:C4731,E4731)&lt;4,"Ligne incomplète",IF(NOT(ISNUMBER(A4731)),"Date invalide",IF(AND(B4731&lt;&gt;"Entrée",B4731&lt;&gt;"Sortie"),"Type inconnu",IF(ISNA(MATCH(C4731,art_ref,0)),"Référence inconnue",IF(OR(NOT(ISNUMBER(E4731)),N(E4731)&lt;=0),"Quantité invalide",IF(K4731&lt;0,"Stock négatif",IF(AND(ISNUMBER(A4730),A4731&lt;A4730),"Date hors ordre","OK"))))))))</f>
        <v/>
      </c>
      <c r="M4731" s="39" t="str">
        <f>IF(C4731="","",C4731&amp;"#"&amp;COUNTIF($C$5:C4731,C4731))</f>
        <v/>
      </c>
    </row>
    <row r="4732">
      <c r="A4732" s="41" t="n"/>
      <c r="B4732" s="37" t="n"/>
      <c r="C4732" s="37" t="n"/>
      <c r="D4732" s="39" t="str">
        <f>IF(C4732="","",IFERROR(INDEX(art_des,MATCH(C4732,art_ref,0))&amp;"","Référence inconnue"))</f>
        <v/>
      </c>
      <c r="E4732" s="37" t="n"/>
      <c r="F4732" s="39" t="str">
        <f>IF(C4732="","",IFERROR(INDEX(art_unit,MATCH(C4732,art_ref,0))&amp;"",""))</f>
        <v/>
      </c>
      <c r="G4732" s="37" t="n"/>
      <c r="H4732" s="37" t="n"/>
      <c r="I4732" s="37" t="n"/>
      <c r="J4732" s="40" t="str">
        <f>IF(OR(C4732="",NOT(ISNUMBER(E4732))),"",IFERROR(E4732*N(INDEX(art_price,MATCH(C4732,art_ref,0))),""))</f>
        <v/>
      </c>
      <c r="K4732" s="39" t="str">
        <f>IF(OR(C4732="",NOT(ISNUMBER(E4732))),"",IFERROR(ROUND(N(INDEX(art_init,MATCH(C4732,art_ref,0)))+SUMIFS($E$5:E4732,$C$5:C4732,C4732,$B$5:B4732,"Entrée")-SUMIFS($E$5:E4732,$C$5:C4732,C4732,$B$5:B4732,"Sortie"),6),""))</f>
        <v/>
      </c>
      <c r="L4732" s="39" t="str">
        <f>IF(COUNTA(A4732:C4732,E4732)=0,"",IF(COUNTA(A4732:C4732,E4732)&lt;4,"Ligne incomplète",IF(NOT(ISNUMBER(A4732)),"Date invalide",IF(AND(B4732&lt;&gt;"Entrée",B4732&lt;&gt;"Sortie"),"Type inconnu",IF(ISNA(MATCH(C4732,art_ref,0)),"Référence inconnue",IF(OR(NOT(ISNUMBER(E4732)),N(E4732)&lt;=0),"Quantité invalide",IF(K4732&lt;0,"Stock négatif",IF(AND(ISNUMBER(A4731),A4732&lt;A4731),"Date hors ordre","OK"))))))))</f>
        <v/>
      </c>
      <c r="M4732" s="39" t="str">
        <f>IF(C4732="","",C4732&amp;"#"&amp;COUNTIF($C$5:C4732,C4732))</f>
        <v/>
      </c>
    </row>
    <row r="4733">
      <c r="A4733" s="41" t="n"/>
      <c r="B4733" s="37" t="n"/>
      <c r="C4733" s="37" t="n"/>
      <c r="D4733" s="39" t="str">
        <f>IF(C4733="","",IFERROR(INDEX(art_des,MATCH(C4733,art_ref,0))&amp;"","Référence inconnue"))</f>
        <v/>
      </c>
      <c r="E4733" s="37" t="n"/>
      <c r="F4733" s="39" t="str">
        <f>IF(C4733="","",IFERROR(INDEX(art_unit,MATCH(C4733,art_ref,0))&amp;"",""))</f>
        <v/>
      </c>
      <c r="G4733" s="37" t="n"/>
      <c r="H4733" s="37" t="n"/>
      <c r="I4733" s="37" t="n"/>
      <c r="J4733" s="40" t="str">
        <f>IF(OR(C4733="",NOT(ISNUMBER(E4733))),"",IFERROR(E4733*N(INDEX(art_price,MATCH(C4733,art_ref,0))),""))</f>
        <v/>
      </c>
      <c r="K4733" s="39" t="str">
        <f>IF(OR(C4733="",NOT(ISNUMBER(E4733))),"",IFERROR(ROUND(N(INDEX(art_init,MATCH(C4733,art_ref,0)))+SUMIFS($E$5:E4733,$C$5:C4733,C4733,$B$5:B4733,"Entrée")-SUMIFS($E$5:E4733,$C$5:C4733,C4733,$B$5:B4733,"Sortie"),6),""))</f>
        <v/>
      </c>
      <c r="L4733" s="39" t="str">
        <f>IF(COUNTA(A4733:C4733,E4733)=0,"",IF(COUNTA(A4733:C4733,E4733)&lt;4,"Ligne incomplète",IF(NOT(ISNUMBER(A4733)),"Date invalide",IF(AND(B4733&lt;&gt;"Entrée",B4733&lt;&gt;"Sortie"),"Type inconnu",IF(ISNA(MATCH(C4733,art_ref,0)),"Référence inconnue",IF(OR(NOT(ISNUMBER(E4733)),N(E4733)&lt;=0),"Quantité invalide",IF(K4733&lt;0,"Stock négatif",IF(AND(ISNUMBER(A4732),A4733&lt;A4732),"Date hors ordre","OK"))))))))</f>
        <v/>
      </c>
      <c r="M4733" s="39" t="str">
        <f>IF(C4733="","",C4733&amp;"#"&amp;COUNTIF($C$5:C4733,C4733))</f>
        <v/>
      </c>
    </row>
    <row r="4734">
      <c r="A4734" s="41" t="n"/>
      <c r="B4734" s="37" t="n"/>
      <c r="C4734" s="37" t="n"/>
      <c r="D4734" s="39" t="str">
        <f>IF(C4734="","",IFERROR(INDEX(art_des,MATCH(C4734,art_ref,0))&amp;"","Référence inconnue"))</f>
        <v/>
      </c>
      <c r="E4734" s="37" t="n"/>
      <c r="F4734" s="39" t="str">
        <f>IF(C4734="","",IFERROR(INDEX(art_unit,MATCH(C4734,art_ref,0))&amp;"",""))</f>
        <v/>
      </c>
      <c r="G4734" s="37" t="n"/>
      <c r="H4734" s="37" t="n"/>
      <c r="I4734" s="37" t="n"/>
      <c r="J4734" s="40" t="str">
        <f>IF(OR(C4734="",NOT(ISNUMBER(E4734))),"",IFERROR(E4734*N(INDEX(art_price,MATCH(C4734,art_ref,0))),""))</f>
        <v/>
      </c>
      <c r="K4734" s="39" t="str">
        <f>IF(OR(C4734="",NOT(ISNUMBER(E4734))),"",IFERROR(ROUND(N(INDEX(art_init,MATCH(C4734,art_ref,0)))+SUMIFS($E$5:E4734,$C$5:C4734,C4734,$B$5:B4734,"Entrée")-SUMIFS($E$5:E4734,$C$5:C4734,C4734,$B$5:B4734,"Sortie"),6),""))</f>
        <v/>
      </c>
      <c r="L4734" s="39" t="str">
        <f>IF(COUNTA(A4734:C4734,E4734)=0,"",IF(COUNTA(A4734:C4734,E4734)&lt;4,"Ligne incomplète",IF(NOT(ISNUMBER(A4734)),"Date invalide",IF(AND(B4734&lt;&gt;"Entrée",B4734&lt;&gt;"Sortie"),"Type inconnu",IF(ISNA(MATCH(C4734,art_ref,0)),"Référence inconnue",IF(OR(NOT(ISNUMBER(E4734)),N(E4734)&lt;=0),"Quantité invalide",IF(K4734&lt;0,"Stock négatif",IF(AND(ISNUMBER(A4733),A4734&lt;A4733),"Date hors ordre","OK"))))))))</f>
        <v/>
      </c>
      <c r="M4734" s="39" t="str">
        <f>IF(C4734="","",C4734&amp;"#"&amp;COUNTIF($C$5:C4734,C4734))</f>
        <v/>
      </c>
    </row>
    <row r="4735">
      <c r="A4735" s="41" t="n"/>
      <c r="B4735" s="37" t="n"/>
      <c r="C4735" s="37" t="n"/>
      <c r="D4735" s="39" t="str">
        <f>IF(C4735="","",IFERROR(INDEX(art_des,MATCH(C4735,art_ref,0))&amp;"","Référence inconnue"))</f>
        <v/>
      </c>
      <c r="E4735" s="37" t="n"/>
      <c r="F4735" s="39" t="str">
        <f>IF(C4735="","",IFERROR(INDEX(art_unit,MATCH(C4735,art_ref,0))&amp;"",""))</f>
        <v/>
      </c>
      <c r="G4735" s="37" t="n"/>
      <c r="H4735" s="37" t="n"/>
      <c r="I4735" s="37" t="n"/>
      <c r="J4735" s="40" t="str">
        <f>IF(OR(C4735="",NOT(ISNUMBER(E4735))),"",IFERROR(E4735*N(INDEX(art_price,MATCH(C4735,art_ref,0))),""))</f>
        <v/>
      </c>
      <c r="K4735" s="39" t="str">
        <f>IF(OR(C4735="",NOT(ISNUMBER(E4735))),"",IFERROR(ROUND(N(INDEX(art_init,MATCH(C4735,art_ref,0)))+SUMIFS($E$5:E4735,$C$5:C4735,C4735,$B$5:B4735,"Entrée")-SUMIFS($E$5:E4735,$C$5:C4735,C4735,$B$5:B4735,"Sortie"),6),""))</f>
        <v/>
      </c>
      <c r="L4735" s="39" t="str">
        <f>IF(COUNTA(A4735:C4735,E4735)=0,"",IF(COUNTA(A4735:C4735,E4735)&lt;4,"Ligne incomplète",IF(NOT(ISNUMBER(A4735)),"Date invalide",IF(AND(B4735&lt;&gt;"Entrée",B4735&lt;&gt;"Sortie"),"Type inconnu",IF(ISNA(MATCH(C4735,art_ref,0)),"Référence inconnue",IF(OR(NOT(ISNUMBER(E4735)),N(E4735)&lt;=0),"Quantité invalide",IF(K4735&lt;0,"Stock négatif",IF(AND(ISNUMBER(A4734),A4735&lt;A4734),"Date hors ordre","OK"))))))))</f>
        <v/>
      </c>
      <c r="M4735" s="39" t="str">
        <f>IF(C4735="","",C4735&amp;"#"&amp;COUNTIF($C$5:C4735,C4735))</f>
        <v/>
      </c>
    </row>
    <row r="4736">
      <c r="A4736" s="41" t="n"/>
      <c r="B4736" s="37" t="n"/>
      <c r="C4736" s="37" t="n"/>
      <c r="D4736" s="39" t="str">
        <f>IF(C4736="","",IFERROR(INDEX(art_des,MATCH(C4736,art_ref,0))&amp;"","Référence inconnue"))</f>
        <v/>
      </c>
      <c r="E4736" s="37" t="n"/>
      <c r="F4736" s="39" t="str">
        <f>IF(C4736="","",IFERROR(INDEX(art_unit,MATCH(C4736,art_ref,0))&amp;"",""))</f>
        <v/>
      </c>
      <c r="G4736" s="37" t="n"/>
      <c r="H4736" s="37" t="n"/>
      <c r="I4736" s="37" t="n"/>
      <c r="J4736" s="40" t="str">
        <f>IF(OR(C4736="",NOT(ISNUMBER(E4736))),"",IFERROR(E4736*N(INDEX(art_price,MATCH(C4736,art_ref,0))),""))</f>
        <v/>
      </c>
      <c r="K4736" s="39" t="str">
        <f>IF(OR(C4736="",NOT(ISNUMBER(E4736))),"",IFERROR(ROUND(N(INDEX(art_init,MATCH(C4736,art_ref,0)))+SUMIFS($E$5:E4736,$C$5:C4736,C4736,$B$5:B4736,"Entrée")-SUMIFS($E$5:E4736,$C$5:C4736,C4736,$B$5:B4736,"Sortie"),6),""))</f>
        <v/>
      </c>
      <c r="L4736" s="39" t="str">
        <f>IF(COUNTA(A4736:C4736,E4736)=0,"",IF(COUNTA(A4736:C4736,E4736)&lt;4,"Ligne incomplète",IF(NOT(ISNUMBER(A4736)),"Date invalide",IF(AND(B4736&lt;&gt;"Entrée",B4736&lt;&gt;"Sortie"),"Type inconnu",IF(ISNA(MATCH(C4736,art_ref,0)),"Référence inconnue",IF(OR(NOT(ISNUMBER(E4736)),N(E4736)&lt;=0),"Quantité invalide",IF(K4736&lt;0,"Stock négatif",IF(AND(ISNUMBER(A4735),A4736&lt;A4735),"Date hors ordre","OK"))))))))</f>
        <v/>
      </c>
      <c r="M4736" s="39" t="str">
        <f>IF(C4736="","",C4736&amp;"#"&amp;COUNTIF($C$5:C4736,C4736))</f>
        <v/>
      </c>
    </row>
    <row r="4737">
      <c r="A4737" s="41" t="n"/>
      <c r="B4737" s="37" t="n"/>
      <c r="C4737" s="37" t="n"/>
      <c r="D4737" s="39" t="str">
        <f>IF(C4737="","",IFERROR(INDEX(art_des,MATCH(C4737,art_ref,0))&amp;"","Référence inconnue"))</f>
        <v/>
      </c>
      <c r="E4737" s="37" t="n"/>
      <c r="F4737" s="39" t="str">
        <f>IF(C4737="","",IFERROR(INDEX(art_unit,MATCH(C4737,art_ref,0))&amp;"",""))</f>
        <v/>
      </c>
      <c r="G4737" s="37" t="n"/>
      <c r="H4737" s="37" t="n"/>
      <c r="I4737" s="37" t="n"/>
      <c r="J4737" s="40" t="str">
        <f>IF(OR(C4737="",NOT(ISNUMBER(E4737))),"",IFERROR(E4737*N(INDEX(art_price,MATCH(C4737,art_ref,0))),""))</f>
        <v/>
      </c>
      <c r="K4737" s="39" t="str">
        <f>IF(OR(C4737="",NOT(ISNUMBER(E4737))),"",IFERROR(ROUND(N(INDEX(art_init,MATCH(C4737,art_ref,0)))+SUMIFS($E$5:E4737,$C$5:C4737,C4737,$B$5:B4737,"Entrée")-SUMIFS($E$5:E4737,$C$5:C4737,C4737,$B$5:B4737,"Sortie"),6),""))</f>
        <v/>
      </c>
      <c r="L4737" s="39" t="str">
        <f>IF(COUNTA(A4737:C4737,E4737)=0,"",IF(COUNTA(A4737:C4737,E4737)&lt;4,"Ligne incomplète",IF(NOT(ISNUMBER(A4737)),"Date invalide",IF(AND(B4737&lt;&gt;"Entrée",B4737&lt;&gt;"Sortie"),"Type inconnu",IF(ISNA(MATCH(C4737,art_ref,0)),"Référence inconnue",IF(OR(NOT(ISNUMBER(E4737)),N(E4737)&lt;=0),"Quantité invalide",IF(K4737&lt;0,"Stock négatif",IF(AND(ISNUMBER(A4736),A4737&lt;A4736),"Date hors ordre","OK"))))))))</f>
        <v/>
      </c>
      <c r="M4737" s="39" t="str">
        <f>IF(C4737="","",C4737&amp;"#"&amp;COUNTIF($C$5:C4737,C4737))</f>
        <v/>
      </c>
    </row>
    <row r="4738">
      <c r="A4738" s="41" t="n"/>
      <c r="B4738" s="37" t="n"/>
      <c r="C4738" s="37" t="n"/>
      <c r="D4738" s="39" t="str">
        <f>IF(C4738="","",IFERROR(INDEX(art_des,MATCH(C4738,art_ref,0))&amp;"","Référence inconnue"))</f>
        <v/>
      </c>
      <c r="E4738" s="37" t="n"/>
      <c r="F4738" s="39" t="str">
        <f>IF(C4738="","",IFERROR(INDEX(art_unit,MATCH(C4738,art_ref,0))&amp;"",""))</f>
        <v/>
      </c>
      <c r="G4738" s="37" t="n"/>
      <c r="H4738" s="37" t="n"/>
      <c r="I4738" s="37" t="n"/>
      <c r="J4738" s="40" t="str">
        <f>IF(OR(C4738="",NOT(ISNUMBER(E4738))),"",IFERROR(E4738*N(INDEX(art_price,MATCH(C4738,art_ref,0))),""))</f>
        <v/>
      </c>
      <c r="K4738" s="39" t="str">
        <f>IF(OR(C4738="",NOT(ISNUMBER(E4738))),"",IFERROR(ROUND(N(INDEX(art_init,MATCH(C4738,art_ref,0)))+SUMIFS($E$5:E4738,$C$5:C4738,C4738,$B$5:B4738,"Entrée")-SUMIFS($E$5:E4738,$C$5:C4738,C4738,$B$5:B4738,"Sortie"),6),""))</f>
        <v/>
      </c>
      <c r="L4738" s="39" t="str">
        <f>IF(COUNTA(A4738:C4738,E4738)=0,"",IF(COUNTA(A4738:C4738,E4738)&lt;4,"Ligne incomplète",IF(NOT(ISNUMBER(A4738)),"Date invalide",IF(AND(B4738&lt;&gt;"Entrée",B4738&lt;&gt;"Sortie"),"Type inconnu",IF(ISNA(MATCH(C4738,art_ref,0)),"Référence inconnue",IF(OR(NOT(ISNUMBER(E4738)),N(E4738)&lt;=0),"Quantité invalide",IF(K4738&lt;0,"Stock négatif",IF(AND(ISNUMBER(A4737),A4738&lt;A4737),"Date hors ordre","OK"))))))))</f>
        <v/>
      </c>
      <c r="M4738" s="39" t="str">
        <f>IF(C4738="","",C4738&amp;"#"&amp;COUNTIF($C$5:C4738,C4738))</f>
        <v/>
      </c>
    </row>
    <row r="4739">
      <c r="A4739" s="41" t="n"/>
      <c r="B4739" s="37" t="n"/>
      <c r="C4739" s="37" t="n"/>
      <c r="D4739" s="39" t="str">
        <f>IF(C4739="","",IFERROR(INDEX(art_des,MATCH(C4739,art_ref,0))&amp;"","Référence inconnue"))</f>
        <v/>
      </c>
      <c r="E4739" s="37" t="n"/>
      <c r="F4739" s="39" t="str">
        <f>IF(C4739="","",IFERROR(INDEX(art_unit,MATCH(C4739,art_ref,0))&amp;"",""))</f>
        <v/>
      </c>
      <c r="G4739" s="37" t="n"/>
      <c r="H4739" s="37" t="n"/>
      <c r="I4739" s="37" t="n"/>
      <c r="J4739" s="40" t="str">
        <f>IF(OR(C4739="",NOT(ISNUMBER(E4739))),"",IFERROR(E4739*N(INDEX(art_price,MATCH(C4739,art_ref,0))),""))</f>
        <v/>
      </c>
      <c r="K4739" s="39" t="str">
        <f>IF(OR(C4739="",NOT(ISNUMBER(E4739))),"",IFERROR(ROUND(N(INDEX(art_init,MATCH(C4739,art_ref,0)))+SUMIFS($E$5:E4739,$C$5:C4739,C4739,$B$5:B4739,"Entrée")-SUMIFS($E$5:E4739,$C$5:C4739,C4739,$B$5:B4739,"Sortie"),6),""))</f>
        <v/>
      </c>
      <c r="L4739" s="39" t="str">
        <f>IF(COUNTA(A4739:C4739,E4739)=0,"",IF(COUNTA(A4739:C4739,E4739)&lt;4,"Ligne incomplète",IF(NOT(ISNUMBER(A4739)),"Date invalide",IF(AND(B4739&lt;&gt;"Entrée",B4739&lt;&gt;"Sortie"),"Type inconnu",IF(ISNA(MATCH(C4739,art_ref,0)),"Référence inconnue",IF(OR(NOT(ISNUMBER(E4739)),N(E4739)&lt;=0),"Quantité invalide",IF(K4739&lt;0,"Stock négatif",IF(AND(ISNUMBER(A4738),A4739&lt;A4738),"Date hors ordre","OK"))))))))</f>
        <v/>
      </c>
      <c r="M4739" s="39" t="str">
        <f>IF(C4739="","",C4739&amp;"#"&amp;COUNTIF($C$5:C4739,C4739))</f>
        <v/>
      </c>
    </row>
    <row r="4740">
      <c r="A4740" s="41" t="n"/>
      <c r="B4740" s="37" t="n"/>
      <c r="C4740" s="37" t="n"/>
      <c r="D4740" s="39" t="str">
        <f>IF(C4740="","",IFERROR(INDEX(art_des,MATCH(C4740,art_ref,0))&amp;"","Référence inconnue"))</f>
        <v/>
      </c>
      <c r="E4740" s="37" t="n"/>
      <c r="F4740" s="39" t="str">
        <f>IF(C4740="","",IFERROR(INDEX(art_unit,MATCH(C4740,art_ref,0))&amp;"",""))</f>
        <v/>
      </c>
      <c r="G4740" s="37" t="n"/>
      <c r="H4740" s="37" t="n"/>
      <c r="I4740" s="37" t="n"/>
      <c r="J4740" s="40" t="str">
        <f>IF(OR(C4740="",NOT(ISNUMBER(E4740))),"",IFERROR(E4740*N(INDEX(art_price,MATCH(C4740,art_ref,0))),""))</f>
        <v/>
      </c>
      <c r="K4740" s="39" t="str">
        <f>IF(OR(C4740="",NOT(ISNUMBER(E4740))),"",IFERROR(ROUND(N(INDEX(art_init,MATCH(C4740,art_ref,0)))+SUMIFS($E$5:E4740,$C$5:C4740,C4740,$B$5:B4740,"Entrée")-SUMIFS($E$5:E4740,$C$5:C4740,C4740,$B$5:B4740,"Sortie"),6),""))</f>
        <v/>
      </c>
      <c r="L4740" s="39" t="str">
        <f>IF(COUNTA(A4740:C4740,E4740)=0,"",IF(COUNTA(A4740:C4740,E4740)&lt;4,"Ligne incomplète",IF(NOT(ISNUMBER(A4740)),"Date invalide",IF(AND(B4740&lt;&gt;"Entrée",B4740&lt;&gt;"Sortie"),"Type inconnu",IF(ISNA(MATCH(C4740,art_ref,0)),"Référence inconnue",IF(OR(NOT(ISNUMBER(E4740)),N(E4740)&lt;=0),"Quantité invalide",IF(K4740&lt;0,"Stock négatif",IF(AND(ISNUMBER(A4739),A4740&lt;A4739),"Date hors ordre","OK"))))))))</f>
        <v/>
      </c>
      <c r="M4740" s="39" t="str">
        <f>IF(C4740="","",C4740&amp;"#"&amp;COUNTIF($C$5:C4740,C4740))</f>
        <v/>
      </c>
    </row>
    <row r="4741">
      <c r="A4741" s="41" t="n"/>
      <c r="B4741" s="37" t="n"/>
      <c r="C4741" s="37" t="n"/>
      <c r="D4741" s="39" t="str">
        <f>IF(C4741="","",IFERROR(INDEX(art_des,MATCH(C4741,art_ref,0))&amp;"","Référence inconnue"))</f>
        <v/>
      </c>
      <c r="E4741" s="37" t="n"/>
      <c r="F4741" s="39" t="str">
        <f>IF(C4741="","",IFERROR(INDEX(art_unit,MATCH(C4741,art_ref,0))&amp;"",""))</f>
        <v/>
      </c>
      <c r="G4741" s="37" t="n"/>
      <c r="H4741" s="37" t="n"/>
      <c r="I4741" s="37" t="n"/>
      <c r="J4741" s="40" t="str">
        <f>IF(OR(C4741="",NOT(ISNUMBER(E4741))),"",IFERROR(E4741*N(INDEX(art_price,MATCH(C4741,art_ref,0))),""))</f>
        <v/>
      </c>
      <c r="K4741" s="39" t="str">
        <f>IF(OR(C4741="",NOT(ISNUMBER(E4741))),"",IFERROR(ROUND(N(INDEX(art_init,MATCH(C4741,art_ref,0)))+SUMIFS($E$5:E4741,$C$5:C4741,C4741,$B$5:B4741,"Entrée")-SUMIFS($E$5:E4741,$C$5:C4741,C4741,$B$5:B4741,"Sortie"),6),""))</f>
        <v/>
      </c>
      <c r="L4741" s="39" t="str">
        <f>IF(COUNTA(A4741:C4741,E4741)=0,"",IF(COUNTA(A4741:C4741,E4741)&lt;4,"Ligne incomplète",IF(NOT(ISNUMBER(A4741)),"Date invalide",IF(AND(B4741&lt;&gt;"Entrée",B4741&lt;&gt;"Sortie"),"Type inconnu",IF(ISNA(MATCH(C4741,art_ref,0)),"Référence inconnue",IF(OR(NOT(ISNUMBER(E4741)),N(E4741)&lt;=0),"Quantité invalide",IF(K4741&lt;0,"Stock négatif",IF(AND(ISNUMBER(A4740),A4741&lt;A4740),"Date hors ordre","OK"))))))))</f>
        <v/>
      </c>
      <c r="M4741" s="39" t="str">
        <f>IF(C4741="","",C4741&amp;"#"&amp;COUNTIF($C$5:C4741,C4741))</f>
        <v/>
      </c>
    </row>
    <row r="4742">
      <c r="A4742" s="41" t="n"/>
      <c r="B4742" s="37" t="n"/>
      <c r="C4742" s="37" t="n"/>
      <c r="D4742" s="39" t="str">
        <f>IF(C4742="","",IFERROR(INDEX(art_des,MATCH(C4742,art_ref,0))&amp;"","Référence inconnue"))</f>
        <v/>
      </c>
      <c r="E4742" s="37" t="n"/>
      <c r="F4742" s="39" t="str">
        <f>IF(C4742="","",IFERROR(INDEX(art_unit,MATCH(C4742,art_ref,0))&amp;"",""))</f>
        <v/>
      </c>
      <c r="G4742" s="37" t="n"/>
      <c r="H4742" s="37" t="n"/>
      <c r="I4742" s="37" t="n"/>
      <c r="J4742" s="40" t="str">
        <f>IF(OR(C4742="",NOT(ISNUMBER(E4742))),"",IFERROR(E4742*N(INDEX(art_price,MATCH(C4742,art_ref,0))),""))</f>
        <v/>
      </c>
      <c r="K4742" s="39" t="str">
        <f>IF(OR(C4742="",NOT(ISNUMBER(E4742))),"",IFERROR(ROUND(N(INDEX(art_init,MATCH(C4742,art_ref,0)))+SUMIFS($E$5:E4742,$C$5:C4742,C4742,$B$5:B4742,"Entrée")-SUMIFS($E$5:E4742,$C$5:C4742,C4742,$B$5:B4742,"Sortie"),6),""))</f>
        <v/>
      </c>
      <c r="L4742" s="39" t="str">
        <f>IF(COUNTA(A4742:C4742,E4742)=0,"",IF(COUNTA(A4742:C4742,E4742)&lt;4,"Ligne incomplète",IF(NOT(ISNUMBER(A4742)),"Date invalide",IF(AND(B4742&lt;&gt;"Entrée",B4742&lt;&gt;"Sortie"),"Type inconnu",IF(ISNA(MATCH(C4742,art_ref,0)),"Référence inconnue",IF(OR(NOT(ISNUMBER(E4742)),N(E4742)&lt;=0),"Quantité invalide",IF(K4742&lt;0,"Stock négatif",IF(AND(ISNUMBER(A4741),A4742&lt;A4741),"Date hors ordre","OK"))))))))</f>
        <v/>
      </c>
      <c r="M4742" s="39" t="str">
        <f>IF(C4742="","",C4742&amp;"#"&amp;COUNTIF($C$5:C4742,C4742))</f>
        <v/>
      </c>
    </row>
    <row r="4743">
      <c r="A4743" s="41" t="n"/>
      <c r="B4743" s="37" t="n"/>
      <c r="C4743" s="37" t="n"/>
      <c r="D4743" s="39" t="str">
        <f>IF(C4743="","",IFERROR(INDEX(art_des,MATCH(C4743,art_ref,0))&amp;"","Référence inconnue"))</f>
        <v/>
      </c>
      <c r="E4743" s="37" t="n"/>
      <c r="F4743" s="39" t="str">
        <f>IF(C4743="","",IFERROR(INDEX(art_unit,MATCH(C4743,art_ref,0))&amp;"",""))</f>
        <v/>
      </c>
      <c r="G4743" s="37" t="n"/>
      <c r="H4743" s="37" t="n"/>
      <c r="I4743" s="37" t="n"/>
      <c r="J4743" s="40" t="str">
        <f>IF(OR(C4743="",NOT(ISNUMBER(E4743))),"",IFERROR(E4743*N(INDEX(art_price,MATCH(C4743,art_ref,0))),""))</f>
        <v/>
      </c>
      <c r="K4743" s="39" t="str">
        <f>IF(OR(C4743="",NOT(ISNUMBER(E4743))),"",IFERROR(ROUND(N(INDEX(art_init,MATCH(C4743,art_ref,0)))+SUMIFS($E$5:E4743,$C$5:C4743,C4743,$B$5:B4743,"Entrée")-SUMIFS($E$5:E4743,$C$5:C4743,C4743,$B$5:B4743,"Sortie"),6),""))</f>
        <v/>
      </c>
      <c r="L4743" s="39" t="str">
        <f>IF(COUNTA(A4743:C4743,E4743)=0,"",IF(COUNTA(A4743:C4743,E4743)&lt;4,"Ligne incomplète",IF(NOT(ISNUMBER(A4743)),"Date invalide",IF(AND(B4743&lt;&gt;"Entrée",B4743&lt;&gt;"Sortie"),"Type inconnu",IF(ISNA(MATCH(C4743,art_ref,0)),"Référence inconnue",IF(OR(NOT(ISNUMBER(E4743)),N(E4743)&lt;=0),"Quantité invalide",IF(K4743&lt;0,"Stock négatif",IF(AND(ISNUMBER(A4742),A4743&lt;A4742),"Date hors ordre","OK"))))))))</f>
        <v/>
      </c>
      <c r="M4743" s="39" t="str">
        <f>IF(C4743="","",C4743&amp;"#"&amp;COUNTIF($C$5:C4743,C4743))</f>
        <v/>
      </c>
    </row>
    <row r="4744">
      <c r="A4744" s="41" t="n"/>
      <c r="B4744" s="37" t="n"/>
      <c r="C4744" s="37" t="n"/>
      <c r="D4744" s="39" t="str">
        <f>IF(C4744="","",IFERROR(INDEX(art_des,MATCH(C4744,art_ref,0))&amp;"","Référence inconnue"))</f>
        <v/>
      </c>
      <c r="E4744" s="37" t="n"/>
      <c r="F4744" s="39" t="str">
        <f>IF(C4744="","",IFERROR(INDEX(art_unit,MATCH(C4744,art_ref,0))&amp;"",""))</f>
        <v/>
      </c>
      <c r="G4744" s="37" t="n"/>
      <c r="H4744" s="37" t="n"/>
      <c r="I4744" s="37" t="n"/>
      <c r="J4744" s="40" t="str">
        <f>IF(OR(C4744="",NOT(ISNUMBER(E4744))),"",IFERROR(E4744*N(INDEX(art_price,MATCH(C4744,art_ref,0))),""))</f>
        <v/>
      </c>
      <c r="K4744" s="39" t="str">
        <f>IF(OR(C4744="",NOT(ISNUMBER(E4744))),"",IFERROR(ROUND(N(INDEX(art_init,MATCH(C4744,art_ref,0)))+SUMIFS($E$5:E4744,$C$5:C4744,C4744,$B$5:B4744,"Entrée")-SUMIFS($E$5:E4744,$C$5:C4744,C4744,$B$5:B4744,"Sortie"),6),""))</f>
        <v/>
      </c>
      <c r="L4744" s="39" t="str">
        <f>IF(COUNTA(A4744:C4744,E4744)=0,"",IF(COUNTA(A4744:C4744,E4744)&lt;4,"Ligne incomplète",IF(NOT(ISNUMBER(A4744)),"Date invalide",IF(AND(B4744&lt;&gt;"Entrée",B4744&lt;&gt;"Sortie"),"Type inconnu",IF(ISNA(MATCH(C4744,art_ref,0)),"Référence inconnue",IF(OR(NOT(ISNUMBER(E4744)),N(E4744)&lt;=0),"Quantité invalide",IF(K4744&lt;0,"Stock négatif",IF(AND(ISNUMBER(A4743),A4744&lt;A4743),"Date hors ordre","OK"))))))))</f>
        <v/>
      </c>
      <c r="M4744" s="39" t="str">
        <f>IF(C4744="","",C4744&amp;"#"&amp;COUNTIF($C$5:C4744,C4744))</f>
        <v/>
      </c>
    </row>
    <row r="4745">
      <c r="A4745" s="41" t="n"/>
      <c r="B4745" s="37" t="n"/>
      <c r="C4745" s="37" t="n"/>
      <c r="D4745" s="39" t="str">
        <f>IF(C4745="","",IFERROR(INDEX(art_des,MATCH(C4745,art_ref,0))&amp;"","Référence inconnue"))</f>
        <v/>
      </c>
      <c r="E4745" s="37" t="n"/>
      <c r="F4745" s="39" t="str">
        <f>IF(C4745="","",IFERROR(INDEX(art_unit,MATCH(C4745,art_ref,0))&amp;"",""))</f>
        <v/>
      </c>
      <c r="G4745" s="37" t="n"/>
      <c r="H4745" s="37" t="n"/>
      <c r="I4745" s="37" t="n"/>
      <c r="J4745" s="40" t="str">
        <f>IF(OR(C4745="",NOT(ISNUMBER(E4745))),"",IFERROR(E4745*N(INDEX(art_price,MATCH(C4745,art_ref,0))),""))</f>
        <v/>
      </c>
      <c r="K4745" s="39" t="str">
        <f>IF(OR(C4745="",NOT(ISNUMBER(E4745))),"",IFERROR(ROUND(N(INDEX(art_init,MATCH(C4745,art_ref,0)))+SUMIFS($E$5:E4745,$C$5:C4745,C4745,$B$5:B4745,"Entrée")-SUMIFS($E$5:E4745,$C$5:C4745,C4745,$B$5:B4745,"Sortie"),6),""))</f>
        <v/>
      </c>
      <c r="L4745" s="39" t="str">
        <f>IF(COUNTA(A4745:C4745,E4745)=0,"",IF(COUNTA(A4745:C4745,E4745)&lt;4,"Ligne incomplète",IF(NOT(ISNUMBER(A4745)),"Date invalide",IF(AND(B4745&lt;&gt;"Entrée",B4745&lt;&gt;"Sortie"),"Type inconnu",IF(ISNA(MATCH(C4745,art_ref,0)),"Référence inconnue",IF(OR(NOT(ISNUMBER(E4745)),N(E4745)&lt;=0),"Quantité invalide",IF(K4745&lt;0,"Stock négatif",IF(AND(ISNUMBER(A4744),A4745&lt;A4744),"Date hors ordre","OK"))))))))</f>
        <v/>
      </c>
      <c r="M4745" s="39" t="str">
        <f>IF(C4745="","",C4745&amp;"#"&amp;COUNTIF($C$5:C4745,C4745))</f>
        <v/>
      </c>
    </row>
    <row r="4746">
      <c r="A4746" s="41" t="n"/>
      <c r="B4746" s="37" t="n"/>
      <c r="C4746" s="37" t="n"/>
      <c r="D4746" s="39" t="str">
        <f>IF(C4746="","",IFERROR(INDEX(art_des,MATCH(C4746,art_ref,0))&amp;"","Référence inconnue"))</f>
        <v/>
      </c>
      <c r="E4746" s="37" t="n"/>
      <c r="F4746" s="39" t="str">
        <f>IF(C4746="","",IFERROR(INDEX(art_unit,MATCH(C4746,art_ref,0))&amp;"",""))</f>
        <v/>
      </c>
      <c r="G4746" s="37" t="n"/>
      <c r="H4746" s="37" t="n"/>
      <c r="I4746" s="37" t="n"/>
      <c r="J4746" s="40" t="str">
        <f>IF(OR(C4746="",NOT(ISNUMBER(E4746))),"",IFERROR(E4746*N(INDEX(art_price,MATCH(C4746,art_ref,0))),""))</f>
        <v/>
      </c>
      <c r="K4746" s="39" t="str">
        <f>IF(OR(C4746="",NOT(ISNUMBER(E4746))),"",IFERROR(ROUND(N(INDEX(art_init,MATCH(C4746,art_ref,0)))+SUMIFS($E$5:E4746,$C$5:C4746,C4746,$B$5:B4746,"Entrée")-SUMIFS($E$5:E4746,$C$5:C4746,C4746,$B$5:B4746,"Sortie"),6),""))</f>
        <v/>
      </c>
      <c r="L4746" s="39" t="str">
        <f>IF(COUNTA(A4746:C4746,E4746)=0,"",IF(COUNTA(A4746:C4746,E4746)&lt;4,"Ligne incomplète",IF(NOT(ISNUMBER(A4746)),"Date invalide",IF(AND(B4746&lt;&gt;"Entrée",B4746&lt;&gt;"Sortie"),"Type inconnu",IF(ISNA(MATCH(C4746,art_ref,0)),"Référence inconnue",IF(OR(NOT(ISNUMBER(E4746)),N(E4746)&lt;=0),"Quantité invalide",IF(K4746&lt;0,"Stock négatif",IF(AND(ISNUMBER(A4745),A4746&lt;A4745),"Date hors ordre","OK"))))))))</f>
        <v/>
      </c>
      <c r="M4746" s="39" t="str">
        <f>IF(C4746="","",C4746&amp;"#"&amp;COUNTIF($C$5:C4746,C4746))</f>
        <v/>
      </c>
    </row>
    <row r="4747">
      <c r="A4747" s="41" t="n"/>
      <c r="B4747" s="37" t="n"/>
      <c r="C4747" s="37" t="n"/>
      <c r="D4747" s="39" t="str">
        <f>IF(C4747="","",IFERROR(INDEX(art_des,MATCH(C4747,art_ref,0))&amp;"","Référence inconnue"))</f>
        <v/>
      </c>
      <c r="E4747" s="37" t="n"/>
      <c r="F4747" s="39" t="str">
        <f>IF(C4747="","",IFERROR(INDEX(art_unit,MATCH(C4747,art_ref,0))&amp;"",""))</f>
        <v/>
      </c>
      <c r="G4747" s="37" t="n"/>
      <c r="H4747" s="37" t="n"/>
      <c r="I4747" s="37" t="n"/>
      <c r="J4747" s="40" t="str">
        <f>IF(OR(C4747="",NOT(ISNUMBER(E4747))),"",IFERROR(E4747*N(INDEX(art_price,MATCH(C4747,art_ref,0))),""))</f>
        <v/>
      </c>
      <c r="K4747" s="39" t="str">
        <f>IF(OR(C4747="",NOT(ISNUMBER(E4747))),"",IFERROR(ROUND(N(INDEX(art_init,MATCH(C4747,art_ref,0)))+SUMIFS($E$5:E4747,$C$5:C4747,C4747,$B$5:B4747,"Entrée")-SUMIFS($E$5:E4747,$C$5:C4747,C4747,$B$5:B4747,"Sortie"),6),""))</f>
        <v/>
      </c>
      <c r="L4747" s="39" t="str">
        <f>IF(COUNTA(A4747:C4747,E4747)=0,"",IF(COUNTA(A4747:C4747,E4747)&lt;4,"Ligne incomplète",IF(NOT(ISNUMBER(A4747)),"Date invalide",IF(AND(B4747&lt;&gt;"Entrée",B4747&lt;&gt;"Sortie"),"Type inconnu",IF(ISNA(MATCH(C4747,art_ref,0)),"Référence inconnue",IF(OR(NOT(ISNUMBER(E4747)),N(E4747)&lt;=0),"Quantité invalide",IF(K4747&lt;0,"Stock négatif",IF(AND(ISNUMBER(A4746),A4747&lt;A4746),"Date hors ordre","OK"))))))))</f>
        <v/>
      </c>
      <c r="M4747" s="39" t="str">
        <f>IF(C4747="","",C4747&amp;"#"&amp;COUNTIF($C$5:C4747,C4747))</f>
        <v/>
      </c>
    </row>
    <row r="4748">
      <c r="A4748" s="41" t="n"/>
      <c r="B4748" s="37" t="n"/>
      <c r="C4748" s="37" t="n"/>
      <c r="D4748" s="39" t="str">
        <f>IF(C4748="","",IFERROR(INDEX(art_des,MATCH(C4748,art_ref,0))&amp;"","Référence inconnue"))</f>
        <v/>
      </c>
      <c r="E4748" s="37" t="n"/>
      <c r="F4748" s="39" t="str">
        <f>IF(C4748="","",IFERROR(INDEX(art_unit,MATCH(C4748,art_ref,0))&amp;"",""))</f>
        <v/>
      </c>
      <c r="G4748" s="37" t="n"/>
      <c r="H4748" s="37" t="n"/>
      <c r="I4748" s="37" t="n"/>
      <c r="J4748" s="40" t="str">
        <f>IF(OR(C4748="",NOT(ISNUMBER(E4748))),"",IFERROR(E4748*N(INDEX(art_price,MATCH(C4748,art_ref,0))),""))</f>
        <v/>
      </c>
      <c r="K4748" s="39" t="str">
        <f>IF(OR(C4748="",NOT(ISNUMBER(E4748))),"",IFERROR(ROUND(N(INDEX(art_init,MATCH(C4748,art_ref,0)))+SUMIFS($E$5:E4748,$C$5:C4748,C4748,$B$5:B4748,"Entrée")-SUMIFS($E$5:E4748,$C$5:C4748,C4748,$B$5:B4748,"Sortie"),6),""))</f>
        <v/>
      </c>
      <c r="L4748" s="39" t="str">
        <f>IF(COUNTA(A4748:C4748,E4748)=0,"",IF(COUNTA(A4748:C4748,E4748)&lt;4,"Ligne incomplète",IF(NOT(ISNUMBER(A4748)),"Date invalide",IF(AND(B4748&lt;&gt;"Entrée",B4748&lt;&gt;"Sortie"),"Type inconnu",IF(ISNA(MATCH(C4748,art_ref,0)),"Référence inconnue",IF(OR(NOT(ISNUMBER(E4748)),N(E4748)&lt;=0),"Quantité invalide",IF(K4748&lt;0,"Stock négatif",IF(AND(ISNUMBER(A4747),A4748&lt;A4747),"Date hors ordre","OK"))))))))</f>
        <v/>
      </c>
      <c r="M4748" s="39" t="str">
        <f>IF(C4748="","",C4748&amp;"#"&amp;COUNTIF($C$5:C4748,C4748))</f>
        <v/>
      </c>
    </row>
    <row r="4749">
      <c r="A4749" s="41" t="n"/>
      <c r="B4749" s="37" t="n"/>
      <c r="C4749" s="37" t="n"/>
      <c r="D4749" s="39" t="str">
        <f>IF(C4749="","",IFERROR(INDEX(art_des,MATCH(C4749,art_ref,0))&amp;"","Référence inconnue"))</f>
        <v/>
      </c>
      <c r="E4749" s="37" t="n"/>
      <c r="F4749" s="39" t="str">
        <f>IF(C4749="","",IFERROR(INDEX(art_unit,MATCH(C4749,art_ref,0))&amp;"",""))</f>
        <v/>
      </c>
      <c r="G4749" s="37" t="n"/>
      <c r="H4749" s="37" t="n"/>
      <c r="I4749" s="37" t="n"/>
      <c r="J4749" s="40" t="str">
        <f>IF(OR(C4749="",NOT(ISNUMBER(E4749))),"",IFERROR(E4749*N(INDEX(art_price,MATCH(C4749,art_ref,0))),""))</f>
        <v/>
      </c>
      <c r="K4749" s="39" t="str">
        <f>IF(OR(C4749="",NOT(ISNUMBER(E4749))),"",IFERROR(ROUND(N(INDEX(art_init,MATCH(C4749,art_ref,0)))+SUMIFS($E$5:E4749,$C$5:C4749,C4749,$B$5:B4749,"Entrée")-SUMIFS($E$5:E4749,$C$5:C4749,C4749,$B$5:B4749,"Sortie"),6),""))</f>
        <v/>
      </c>
      <c r="L4749" s="39" t="str">
        <f>IF(COUNTA(A4749:C4749,E4749)=0,"",IF(COUNTA(A4749:C4749,E4749)&lt;4,"Ligne incomplète",IF(NOT(ISNUMBER(A4749)),"Date invalide",IF(AND(B4749&lt;&gt;"Entrée",B4749&lt;&gt;"Sortie"),"Type inconnu",IF(ISNA(MATCH(C4749,art_ref,0)),"Référence inconnue",IF(OR(NOT(ISNUMBER(E4749)),N(E4749)&lt;=0),"Quantité invalide",IF(K4749&lt;0,"Stock négatif",IF(AND(ISNUMBER(A4748),A4749&lt;A4748),"Date hors ordre","OK"))))))))</f>
        <v/>
      </c>
      <c r="M4749" s="39" t="str">
        <f>IF(C4749="","",C4749&amp;"#"&amp;COUNTIF($C$5:C4749,C4749))</f>
        <v/>
      </c>
    </row>
    <row r="4750">
      <c r="A4750" s="41" t="n"/>
      <c r="B4750" s="37" t="n"/>
      <c r="C4750" s="37" t="n"/>
      <c r="D4750" s="39" t="str">
        <f>IF(C4750="","",IFERROR(INDEX(art_des,MATCH(C4750,art_ref,0))&amp;"","Référence inconnue"))</f>
        <v/>
      </c>
      <c r="E4750" s="37" t="n"/>
      <c r="F4750" s="39" t="str">
        <f>IF(C4750="","",IFERROR(INDEX(art_unit,MATCH(C4750,art_ref,0))&amp;"",""))</f>
        <v/>
      </c>
      <c r="G4750" s="37" t="n"/>
      <c r="H4750" s="37" t="n"/>
      <c r="I4750" s="37" t="n"/>
      <c r="J4750" s="40" t="str">
        <f>IF(OR(C4750="",NOT(ISNUMBER(E4750))),"",IFERROR(E4750*N(INDEX(art_price,MATCH(C4750,art_ref,0))),""))</f>
        <v/>
      </c>
      <c r="K4750" s="39" t="str">
        <f>IF(OR(C4750="",NOT(ISNUMBER(E4750))),"",IFERROR(ROUND(N(INDEX(art_init,MATCH(C4750,art_ref,0)))+SUMIFS($E$5:E4750,$C$5:C4750,C4750,$B$5:B4750,"Entrée")-SUMIFS($E$5:E4750,$C$5:C4750,C4750,$B$5:B4750,"Sortie"),6),""))</f>
        <v/>
      </c>
      <c r="L4750" s="39" t="str">
        <f>IF(COUNTA(A4750:C4750,E4750)=0,"",IF(COUNTA(A4750:C4750,E4750)&lt;4,"Ligne incomplète",IF(NOT(ISNUMBER(A4750)),"Date invalide",IF(AND(B4750&lt;&gt;"Entrée",B4750&lt;&gt;"Sortie"),"Type inconnu",IF(ISNA(MATCH(C4750,art_ref,0)),"Référence inconnue",IF(OR(NOT(ISNUMBER(E4750)),N(E4750)&lt;=0),"Quantité invalide",IF(K4750&lt;0,"Stock négatif",IF(AND(ISNUMBER(A4749),A4750&lt;A4749),"Date hors ordre","OK"))))))))</f>
        <v/>
      </c>
      <c r="M4750" s="39" t="str">
        <f>IF(C4750="","",C4750&amp;"#"&amp;COUNTIF($C$5:C4750,C4750))</f>
        <v/>
      </c>
    </row>
    <row r="4751">
      <c r="A4751" s="41" t="n"/>
      <c r="B4751" s="37" t="n"/>
      <c r="C4751" s="37" t="n"/>
      <c r="D4751" s="39" t="str">
        <f>IF(C4751="","",IFERROR(INDEX(art_des,MATCH(C4751,art_ref,0))&amp;"","Référence inconnue"))</f>
        <v/>
      </c>
      <c r="E4751" s="37" t="n"/>
      <c r="F4751" s="39" t="str">
        <f>IF(C4751="","",IFERROR(INDEX(art_unit,MATCH(C4751,art_ref,0))&amp;"",""))</f>
        <v/>
      </c>
      <c r="G4751" s="37" t="n"/>
      <c r="H4751" s="37" t="n"/>
      <c r="I4751" s="37" t="n"/>
      <c r="J4751" s="40" t="str">
        <f>IF(OR(C4751="",NOT(ISNUMBER(E4751))),"",IFERROR(E4751*N(INDEX(art_price,MATCH(C4751,art_ref,0))),""))</f>
        <v/>
      </c>
      <c r="K4751" s="39" t="str">
        <f>IF(OR(C4751="",NOT(ISNUMBER(E4751))),"",IFERROR(ROUND(N(INDEX(art_init,MATCH(C4751,art_ref,0)))+SUMIFS($E$5:E4751,$C$5:C4751,C4751,$B$5:B4751,"Entrée")-SUMIFS($E$5:E4751,$C$5:C4751,C4751,$B$5:B4751,"Sortie"),6),""))</f>
        <v/>
      </c>
      <c r="L4751" s="39" t="str">
        <f>IF(COUNTA(A4751:C4751,E4751)=0,"",IF(COUNTA(A4751:C4751,E4751)&lt;4,"Ligne incomplète",IF(NOT(ISNUMBER(A4751)),"Date invalide",IF(AND(B4751&lt;&gt;"Entrée",B4751&lt;&gt;"Sortie"),"Type inconnu",IF(ISNA(MATCH(C4751,art_ref,0)),"Référence inconnue",IF(OR(NOT(ISNUMBER(E4751)),N(E4751)&lt;=0),"Quantité invalide",IF(K4751&lt;0,"Stock négatif",IF(AND(ISNUMBER(A4750),A4751&lt;A4750),"Date hors ordre","OK"))))))))</f>
        <v/>
      </c>
      <c r="M4751" s="39" t="str">
        <f>IF(C4751="","",C4751&amp;"#"&amp;COUNTIF($C$5:C4751,C4751))</f>
        <v/>
      </c>
    </row>
    <row r="4752">
      <c r="A4752" s="41" t="n"/>
      <c r="B4752" s="37" t="n"/>
      <c r="C4752" s="37" t="n"/>
      <c r="D4752" s="39" t="str">
        <f>IF(C4752="","",IFERROR(INDEX(art_des,MATCH(C4752,art_ref,0))&amp;"","Référence inconnue"))</f>
        <v/>
      </c>
      <c r="E4752" s="37" t="n"/>
      <c r="F4752" s="39" t="str">
        <f>IF(C4752="","",IFERROR(INDEX(art_unit,MATCH(C4752,art_ref,0))&amp;"",""))</f>
        <v/>
      </c>
      <c r="G4752" s="37" t="n"/>
      <c r="H4752" s="37" t="n"/>
      <c r="I4752" s="37" t="n"/>
      <c r="J4752" s="40" t="str">
        <f>IF(OR(C4752="",NOT(ISNUMBER(E4752))),"",IFERROR(E4752*N(INDEX(art_price,MATCH(C4752,art_ref,0))),""))</f>
        <v/>
      </c>
      <c r="K4752" s="39" t="str">
        <f>IF(OR(C4752="",NOT(ISNUMBER(E4752))),"",IFERROR(ROUND(N(INDEX(art_init,MATCH(C4752,art_ref,0)))+SUMIFS($E$5:E4752,$C$5:C4752,C4752,$B$5:B4752,"Entrée")-SUMIFS($E$5:E4752,$C$5:C4752,C4752,$B$5:B4752,"Sortie"),6),""))</f>
        <v/>
      </c>
      <c r="L4752" s="39" t="str">
        <f>IF(COUNTA(A4752:C4752,E4752)=0,"",IF(COUNTA(A4752:C4752,E4752)&lt;4,"Ligne incomplète",IF(NOT(ISNUMBER(A4752)),"Date invalide",IF(AND(B4752&lt;&gt;"Entrée",B4752&lt;&gt;"Sortie"),"Type inconnu",IF(ISNA(MATCH(C4752,art_ref,0)),"Référence inconnue",IF(OR(NOT(ISNUMBER(E4752)),N(E4752)&lt;=0),"Quantité invalide",IF(K4752&lt;0,"Stock négatif",IF(AND(ISNUMBER(A4751),A4752&lt;A4751),"Date hors ordre","OK"))))))))</f>
        <v/>
      </c>
      <c r="M4752" s="39" t="str">
        <f>IF(C4752="","",C4752&amp;"#"&amp;COUNTIF($C$5:C4752,C4752))</f>
        <v/>
      </c>
    </row>
    <row r="4753">
      <c r="A4753" s="41" t="n"/>
      <c r="B4753" s="37" t="n"/>
      <c r="C4753" s="37" t="n"/>
      <c r="D4753" s="39" t="str">
        <f>IF(C4753="","",IFERROR(INDEX(art_des,MATCH(C4753,art_ref,0))&amp;"","Référence inconnue"))</f>
        <v/>
      </c>
      <c r="E4753" s="37" t="n"/>
      <c r="F4753" s="39" t="str">
        <f>IF(C4753="","",IFERROR(INDEX(art_unit,MATCH(C4753,art_ref,0))&amp;"",""))</f>
        <v/>
      </c>
      <c r="G4753" s="37" t="n"/>
      <c r="H4753" s="37" t="n"/>
      <c r="I4753" s="37" t="n"/>
      <c r="J4753" s="40" t="str">
        <f>IF(OR(C4753="",NOT(ISNUMBER(E4753))),"",IFERROR(E4753*N(INDEX(art_price,MATCH(C4753,art_ref,0))),""))</f>
        <v/>
      </c>
      <c r="K4753" s="39" t="str">
        <f>IF(OR(C4753="",NOT(ISNUMBER(E4753))),"",IFERROR(ROUND(N(INDEX(art_init,MATCH(C4753,art_ref,0)))+SUMIFS($E$5:E4753,$C$5:C4753,C4753,$B$5:B4753,"Entrée")-SUMIFS($E$5:E4753,$C$5:C4753,C4753,$B$5:B4753,"Sortie"),6),""))</f>
        <v/>
      </c>
      <c r="L4753" s="39" t="str">
        <f>IF(COUNTA(A4753:C4753,E4753)=0,"",IF(COUNTA(A4753:C4753,E4753)&lt;4,"Ligne incomplète",IF(NOT(ISNUMBER(A4753)),"Date invalide",IF(AND(B4753&lt;&gt;"Entrée",B4753&lt;&gt;"Sortie"),"Type inconnu",IF(ISNA(MATCH(C4753,art_ref,0)),"Référence inconnue",IF(OR(NOT(ISNUMBER(E4753)),N(E4753)&lt;=0),"Quantité invalide",IF(K4753&lt;0,"Stock négatif",IF(AND(ISNUMBER(A4752),A4753&lt;A4752),"Date hors ordre","OK"))))))))</f>
        <v/>
      </c>
      <c r="M4753" s="39" t="str">
        <f>IF(C4753="","",C4753&amp;"#"&amp;COUNTIF($C$5:C4753,C4753))</f>
        <v/>
      </c>
    </row>
    <row r="4754">
      <c r="A4754" s="41" t="n"/>
      <c r="B4754" s="37" t="n"/>
      <c r="C4754" s="37" t="n"/>
      <c r="D4754" s="39" t="str">
        <f>IF(C4754="","",IFERROR(INDEX(art_des,MATCH(C4754,art_ref,0))&amp;"","Référence inconnue"))</f>
        <v/>
      </c>
      <c r="E4754" s="37" t="n"/>
      <c r="F4754" s="39" t="str">
        <f>IF(C4754="","",IFERROR(INDEX(art_unit,MATCH(C4754,art_ref,0))&amp;"",""))</f>
        <v/>
      </c>
      <c r="G4754" s="37" t="n"/>
      <c r="H4754" s="37" t="n"/>
      <c r="I4754" s="37" t="n"/>
      <c r="J4754" s="40" t="str">
        <f>IF(OR(C4754="",NOT(ISNUMBER(E4754))),"",IFERROR(E4754*N(INDEX(art_price,MATCH(C4754,art_ref,0))),""))</f>
        <v/>
      </c>
      <c r="K4754" s="39" t="str">
        <f>IF(OR(C4754="",NOT(ISNUMBER(E4754))),"",IFERROR(ROUND(N(INDEX(art_init,MATCH(C4754,art_ref,0)))+SUMIFS($E$5:E4754,$C$5:C4754,C4754,$B$5:B4754,"Entrée")-SUMIFS($E$5:E4754,$C$5:C4754,C4754,$B$5:B4754,"Sortie"),6),""))</f>
        <v/>
      </c>
      <c r="L4754" s="39" t="str">
        <f>IF(COUNTA(A4754:C4754,E4754)=0,"",IF(COUNTA(A4754:C4754,E4754)&lt;4,"Ligne incomplète",IF(NOT(ISNUMBER(A4754)),"Date invalide",IF(AND(B4754&lt;&gt;"Entrée",B4754&lt;&gt;"Sortie"),"Type inconnu",IF(ISNA(MATCH(C4754,art_ref,0)),"Référence inconnue",IF(OR(NOT(ISNUMBER(E4754)),N(E4754)&lt;=0),"Quantité invalide",IF(K4754&lt;0,"Stock négatif",IF(AND(ISNUMBER(A4753),A4754&lt;A4753),"Date hors ordre","OK"))))))))</f>
        <v/>
      </c>
      <c r="M4754" s="39" t="str">
        <f>IF(C4754="","",C4754&amp;"#"&amp;COUNTIF($C$5:C4754,C4754))</f>
        <v/>
      </c>
    </row>
    <row r="4755">
      <c r="A4755" s="41" t="n"/>
      <c r="B4755" s="37" t="n"/>
      <c r="C4755" s="37" t="n"/>
      <c r="D4755" s="39" t="str">
        <f>IF(C4755="","",IFERROR(INDEX(art_des,MATCH(C4755,art_ref,0))&amp;"","Référence inconnue"))</f>
        <v/>
      </c>
      <c r="E4755" s="37" t="n"/>
      <c r="F4755" s="39" t="str">
        <f>IF(C4755="","",IFERROR(INDEX(art_unit,MATCH(C4755,art_ref,0))&amp;"",""))</f>
        <v/>
      </c>
      <c r="G4755" s="37" t="n"/>
      <c r="H4755" s="37" t="n"/>
      <c r="I4755" s="37" t="n"/>
      <c r="J4755" s="40" t="str">
        <f>IF(OR(C4755="",NOT(ISNUMBER(E4755))),"",IFERROR(E4755*N(INDEX(art_price,MATCH(C4755,art_ref,0))),""))</f>
        <v/>
      </c>
      <c r="K4755" s="39" t="str">
        <f>IF(OR(C4755="",NOT(ISNUMBER(E4755))),"",IFERROR(ROUND(N(INDEX(art_init,MATCH(C4755,art_ref,0)))+SUMIFS($E$5:E4755,$C$5:C4755,C4755,$B$5:B4755,"Entrée")-SUMIFS($E$5:E4755,$C$5:C4755,C4755,$B$5:B4755,"Sortie"),6),""))</f>
        <v/>
      </c>
      <c r="L4755" s="39" t="str">
        <f>IF(COUNTA(A4755:C4755,E4755)=0,"",IF(COUNTA(A4755:C4755,E4755)&lt;4,"Ligne incomplète",IF(NOT(ISNUMBER(A4755)),"Date invalide",IF(AND(B4755&lt;&gt;"Entrée",B4755&lt;&gt;"Sortie"),"Type inconnu",IF(ISNA(MATCH(C4755,art_ref,0)),"Référence inconnue",IF(OR(NOT(ISNUMBER(E4755)),N(E4755)&lt;=0),"Quantité invalide",IF(K4755&lt;0,"Stock négatif",IF(AND(ISNUMBER(A4754),A4755&lt;A4754),"Date hors ordre","OK"))))))))</f>
        <v/>
      </c>
      <c r="M4755" s="39" t="str">
        <f>IF(C4755="","",C4755&amp;"#"&amp;COUNTIF($C$5:C4755,C4755))</f>
        <v/>
      </c>
    </row>
    <row r="4756">
      <c r="A4756" s="41" t="n"/>
      <c r="B4756" s="37" t="n"/>
      <c r="C4756" s="37" t="n"/>
      <c r="D4756" s="39" t="str">
        <f>IF(C4756="","",IFERROR(INDEX(art_des,MATCH(C4756,art_ref,0))&amp;"","Référence inconnue"))</f>
        <v/>
      </c>
      <c r="E4756" s="37" t="n"/>
      <c r="F4756" s="39" t="str">
        <f>IF(C4756="","",IFERROR(INDEX(art_unit,MATCH(C4756,art_ref,0))&amp;"",""))</f>
        <v/>
      </c>
      <c r="G4756" s="37" t="n"/>
      <c r="H4756" s="37" t="n"/>
      <c r="I4756" s="37" t="n"/>
      <c r="J4756" s="40" t="str">
        <f>IF(OR(C4756="",NOT(ISNUMBER(E4756))),"",IFERROR(E4756*N(INDEX(art_price,MATCH(C4756,art_ref,0))),""))</f>
        <v/>
      </c>
      <c r="K4756" s="39" t="str">
        <f>IF(OR(C4756="",NOT(ISNUMBER(E4756))),"",IFERROR(ROUND(N(INDEX(art_init,MATCH(C4756,art_ref,0)))+SUMIFS($E$5:E4756,$C$5:C4756,C4756,$B$5:B4756,"Entrée")-SUMIFS($E$5:E4756,$C$5:C4756,C4756,$B$5:B4756,"Sortie"),6),""))</f>
        <v/>
      </c>
      <c r="L4756" s="39" t="str">
        <f>IF(COUNTA(A4756:C4756,E4756)=0,"",IF(COUNTA(A4756:C4756,E4756)&lt;4,"Ligne incomplète",IF(NOT(ISNUMBER(A4756)),"Date invalide",IF(AND(B4756&lt;&gt;"Entrée",B4756&lt;&gt;"Sortie"),"Type inconnu",IF(ISNA(MATCH(C4756,art_ref,0)),"Référence inconnue",IF(OR(NOT(ISNUMBER(E4756)),N(E4756)&lt;=0),"Quantité invalide",IF(K4756&lt;0,"Stock négatif",IF(AND(ISNUMBER(A4755),A4756&lt;A4755),"Date hors ordre","OK"))))))))</f>
        <v/>
      </c>
      <c r="M4756" s="39" t="str">
        <f>IF(C4756="","",C4756&amp;"#"&amp;COUNTIF($C$5:C4756,C4756))</f>
        <v/>
      </c>
    </row>
    <row r="4757">
      <c r="A4757" s="41" t="n"/>
      <c r="B4757" s="37" t="n"/>
      <c r="C4757" s="37" t="n"/>
      <c r="D4757" s="39" t="str">
        <f>IF(C4757="","",IFERROR(INDEX(art_des,MATCH(C4757,art_ref,0))&amp;"","Référence inconnue"))</f>
        <v/>
      </c>
      <c r="E4757" s="37" t="n"/>
      <c r="F4757" s="39" t="str">
        <f>IF(C4757="","",IFERROR(INDEX(art_unit,MATCH(C4757,art_ref,0))&amp;"",""))</f>
        <v/>
      </c>
      <c r="G4757" s="37" t="n"/>
      <c r="H4757" s="37" t="n"/>
      <c r="I4757" s="37" t="n"/>
      <c r="J4757" s="40" t="str">
        <f>IF(OR(C4757="",NOT(ISNUMBER(E4757))),"",IFERROR(E4757*N(INDEX(art_price,MATCH(C4757,art_ref,0))),""))</f>
        <v/>
      </c>
      <c r="K4757" s="39" t="str">
        <f>IF(OR(C4757="",NOT(ISNUMBER(E4757))),"",IFERROR(ROUND(N(INDEX(art_init,MATCH(C4757,art_ref,0)))+SUMIFS($E$5:E4757,$C$5:C4757,C4757,$B$5:B4757,"Entrée")-SUMIFS($E$5:E4757,$C$5:C4757,C4757,$B$5:B4757,"Sortie"),6),""))</f>
        <v/>
      </c>
      <c r="L4757" s="39" t="str">
        <f>IF(COUNTA(A4757:C4757,E4757)=0,"",IF(COUNTA(A4757:C4757,E4757)&lt;4,"Ligne incomplète",IF(NOT(ISNUMBER(A4757)),"Date invalide",IF(AND(B4757&lt;&gt;"Entrée",B4757&lt;&gt;"Sortie"),"Type inconnu",IF(ISNA(MATCH(C4757,art_ref,0)),"Référence inconnue",IF(OR(NOT(ISNUMBER(E4757)),N(E4757)&lt;=0),"Quantité invalide",IF(K4757&lt;0,"Stock négatif",IF(AND(ISNUMBER(A4756),A4757&lt;A4756),"Date hors ordre","OK"))))))))</f>
        <v/>
      </c>
      <c r="M4757" s="39" t="str">
        <f>IF(C4757="","",C4757&amp;"#"&amp;COUNTIF($C$5:C4757,C4757))</f>
        <v/>
      </c>
    </row>
    <row r="4758">
      <c r="A4758" s="41" t="n"/>
      <c r="B4758" s="37" t="n"/>
      <c r="C4758" s="37" t="n"/>
      <c r="D4758" s="39" t="str">
        <f>IF(C4758="","",IFERROR(INDEX(art_des,MATCH(C4758,art_ref,0))&amp;"","Référence inconnue"))</f>
        <v/>
      </c>
      <c r="E4758" s="37" t="n"/>
      <c r="F4758" s="39" t="str">
        <f>IF(C4758="","",IFERROR(INDEX(art_unit,MATCH(C4758,art_ref,0))&amp;"",""))</f>
        <v/>
      </c>
      <c r="G4758" s="37" t="n"/>
      <c r="H4758" s="37" t="n"/>
      <c r="I4758" s="37" t="n"/>
      <c r="J4758" s="40" t="str">
        <f>IF(OR(C4758="",NOT(ISNUMBER(E4758))),"",IFERROR(E4758*N(INDEX(art_price,MATCH(C4758,art_ref,0))),""))</f>
        <v/>
      </c>
      <c r="K4758" s="39" t="str">
        <f>IF(OR(C4758="",NOT(ISNUMBER(E4758))),"",IFERROR(ROUND(N(INDEX(art_init,MATCH(C4758,art_ref,0)))+SUMIFS($E$5:E4758,$C$5:C4758,C4758,$B$5:B4758,"Entrée")-SUMIFS($E$5:E4758,$C$5:C4758,C4758,$B$5:B4758,"Sortie"),6),""))</f>
        <v/>
      </c>
      <c r="L4758" s="39" t="str">
        <f>IF(COUNTA(A4758:C4758,E4758)=0,"",IF(COUNTA(A4758:C4758,E4758)&lt;4,"Ligne incomplète",IF(NOT(ISNUMBER(A4758)),"Date invalide",IF(AND(B4758&lt;&gt;"Entrée",B4758&lt;&gt;"Sortie"),"Type inconnu",IF(ISNA(MATCH(C4758,art_ref,0)),"Référence inconnue",IF(OR(NOT(ISNUMBER(E4758)),N(E4758)&lt;=0),"Quantité invalide",IF(K4758&lt;0,"Stock négatif",IF(AND(ISNUMBER(A4757),A4758&lt;A4757),"Date hors ordre","OK"))))))))</f>
        <v/>
      </c>
      <c r="M4758" s="39" t="str">
        <f>IF(C4758="","",C4758&amp;"#"&amp;COUNTIF($C$5:C4758,C4758))</f>
        <v/>
      </c>
    </row>
    <row r="4759">
      <c r="A4759" s="41" t="n"/>
      <c r="B4759" s="37" t="n"/>
      <c r="C4759" s="37" t="n"/>
      <c r="D4759" s="39" t="str">
        <f>IF(C4759="","",IFERROR(INDEX(art_des,MATCH(C4759,art_ref,0))&amp;"","Référence inconnue"))</f>
        <v/>
      </c>
      <c r="E4759" s="37" t="n"/>
      <c r="F4759" s="39" t="str">
        <f>IF(C4759="","",IFERROR(INDEX(art_unit,MATCH(C4759,art_ref,0))&amp;"",""))</f>
        <v/>
      </c>
      <c r="G4759" s="37" t="n"/>
      <c r="H4759" s="37" t="n"/>
      <c r="I4759" s="37" t="n"/>
      <c r="J4759" s="40" t="str">
        <f>IF(OR(C4759="",NOT(ISNUMBER(E4759))),"",IFERROR(E4759*N(INDEX(art_price,MATCH(C4759,art_ref,0))),""))</f>
        <v/>
      </c>
      <c r="K4759" s="39" t="str">
        <f>IF(OR(C4759="",NOT(ISNUMBER(E4759))),"",IFERROR(ROUND(N(INDEX(art_init,MATCH(C4759,art_ref,0)))+SUMIFS($E$5:E4759,$C$5:C4759,C4759,$B$5:B4759,"Entrée")-SUMIFS($E$5:E4759,$C$5:C4759,C4759,$B$5:B4759,"Sortie"),6),""))</f>
        <v/>
      </c>
      <c r="L4759" s="39" t="str">
        <f>IF(COUNTA(A4759:C4759,E4759)=0,"",IF(COUNTA(A4759:C4759,E4759)&lt;4,"Ligne incomplète",IF(NOT(ISNUMBER(A4759)),"Date invalide",IF(AND(B4759&lt;&gt;"Entrée",B4759&lt;&gt;"Sortie"),"Type inconnu",IF(ISNA(MATCH(C4759,art_ref,0)),"Référence inconnue",IF(OR(NOT(ISNUMBER(E4759)),N(E4759)&lt;=0),"Quantité invalide",IF(K4759&lt;0,"Stock négatif",IF(AND(ISNUMBER(A4758),A4759&lt;A4758),"Date hors ordre","OK"))))))))</f>
        <v/>
      </c>
      <c r="M4759" s="39" t="str">
        <f>IF(C4759="","",C4759&amp;"#"&amp;COUNTIF($C$5:C4759,C4759))</f>
        <v/>
      </c>
    </row>
    <row r="4760">
      <c r="A4760" s="41" t="n"/>
      <c r="B4760" s="37" t="n"/>
      <c r="C4760" s="37" t="n"/>
      <c r="D4760" s="39" t="str">
        <f>IF(C4760="","",IFERROR(INDEX(art_des,MATCH(C4760,art_ref,0))&amp;"","Référence inconnue"))</f>
        <v/>
      </c>
      <c r="E4760" s="37" t="n"/>
      <c r="F4760" s="39" t="str">
        <f>IF(C4760="","",IFERROR(INDEX(art_unit,MATCH(C4760,art_ref,0))&amp;"",""))</f>
        <v/>
      </c>
      <c r="G4760" s="37" t="n"/>
      <c r="H4760" s="37" t="n"/>
      <c r="I4760" s="37" t="n"/>
      <c r="J4760" s="40" t="str">
        <f>IF(OR(C4760="",NOT(ISNUMBER(E4760))),"",IFERROR(E4760*N(INDEX(art_price,MATCH(C4760,art_ref,0))),""))</f>
        <v/>
      </c>
      <c r="K4760" s="39" t="str">
        <f>IF(OR(C4760="",NOT(ISNUMBER(E4760))),"",IFERROR(ROUND(N(INDEX(art_init,MATCH(C4760,art_ref,0)))+SUMIFS($E$5:E4760,$C$5:C4760,C4760,$B$5:B4760,"Entrée")-SUMIFS($E$5:E4760,$C$5:C4760,C4760,$B$5:B4760,"Sortie"),6),""))</f>
        <v/>
      </c>
      <c r="L4760" s="39" t="str">
        <f>IF(COUNTA(A4760:C4760,E4760)=0,"",IF(COUNTA(A4760:C4760,E4760)&lt;4,"Ligne incomplète",IF(NOT(ISNUMBER(A4760)),"Date invalide",IF(AND(B4760&lt;&gt;"Entrée",B4760&lt;&gt;"Sortie"),"Type inconnu",IF(ISNA(MATCH(C4760,art_ref,0)),"Référence inconnue",IF(OR(NOT(ISNUMBER(E4760)),N(E4760)&lt;=0),"Quantité invalide",IF(K4760&lt;0,"Stock négatif",IF(AND(ISNUMBER(A4759),A4760&lt;A4759),"Date hors ordre","OK"))))))))</f>
        <v/>
      </c>
      <c r="M4760" s="39" t="str">
        <f>IF(C4760="","",C4760&amp;"#"&amp;COUNTIF($C$5:C4760,C4760))</f>
        <v/>
      </c>
    </row>
    <row r="4761">
      <c r="A4761" s="41" t="n"/>
      <c r="B4761" s="37" t="n"/>
      <c r="C4761" s="37" t="n"/>
      <c r="D4761" s="39" t="str">
        <f>IF(C4761="","",IFERROR(INDEX(art_des,MATCH(C4761,art_ref,0))&amp;"","Référence inconnue"))</f>
        <v/>
      </c>
      <c r="E4761" s="37" t="n"/>
      <c r="F4761" s="39" t="str">
        <f>IF(C4761="","",IFERROR(INDEX(art_unit,MATCH(C4761,art_ref,0))&amp;"",""))</f>
        <v/>
      </c>
      <c r="G4761" s="37" t="n"/>
      <c r="H4761" s="37" t="n"/>
      <c r="I4761" s="37" t="n"/>
      <c r="J4761" s="40" t="str">
        <f>IF(OR(C4761="",NOT(ISNUMBER(E4761))),"",IFERROR(E4761*N(INDEX(art_price,MATCH(C4761,art_ref,0))),""))</f>
        <v/>
      </c>
      <c r="K4761" s="39" t="str">
        <f>IF(OR(C4761="",NOT(ISNUMBER(E4761))),"",IFERROR(ROUND(N(INDEX(art_init,MATCH(C4761,art_ref,0)))+SUMIFS($E$5:E4761,$C$5:C4761,C4761,$B$5:B4761,"Entrée")-SUMIFS($E$5:E4761,$C$5:C4761,C4761,$B$5:B4761,"Sortie"),6),""))</f>
        <v/>
      </c>
      <c r="L4761" s="39" t="str">
        <f>IF(COUNTA(A4761:C4761,E4761)=0,"",IF(COUNTA(A4761:C4761,E4761)&lt;4,"Ligne incomplète",IF(NOT(ISNUMBER(A4761)),"Date invalide",IF(AND(B4761&lt;&gt;"Entrée",B4761&lt;&gt;"Sortie"),"Type inconnu",IF(ISNA(MATCH(C4761,art_ref,0)),"Référence inconnue",IF(OR(NOT(ISNUMBER(E4761)),N(E4761)&lt;=0),"Quantité invalide",IF(K4761&lt;0,"Stock négatif",IF(AND(ISNUMBER(A4760),A4761&lt;A4760),"Date hors ordre","OK"))))))))</f>
        <v/>
      </c>
      <c r="M4761" s="39" t="str">
        <f>IF(C4761="","",C4761&amp;"#"&amp;COUNTIF($C$5:C4761,C4761))</f>
        <v/>
      </c>
    </row>
    <row r="4762">
      <c r="A4762" s="41" t="n"/>
      <c r="B4762" s="37" t="n"/>
      <c r="C4762" s="37" t="n"/>
      <c r="D4762" s="39" t="str">
        <f>IF(C4762="","",IFERROR(INDEX(art_des,MATCH(C4762,art_ref,0))&amp;"","Référence inconnue"))</f>
        <v/>
      </c>
      <c r="E4762" s="37" t="n"/>
      <c r="F4762" s="39" t="str">
        <f>IF(C4762="","",IFERROR(INDEX(art_unit,MATCH(C4762,art_ref,0))&amp;"",""))</f>
        <v/>
      </c>
      <c r="G4762" s="37" t="n"/>
      <c r="H4762" s="37" t="n"/>
      <c r="I4762" s="37" t="n"/>
      <c r="J4762" s="40" t="str">
        <f>IF(OR(C4762="",NOT(ISNUMBER(E4762))),"",IFERROR(E4762*N(INDEX(art_price,MATCH(C4762,art_ref,0))),""))</f>
        <v/>
      </c>
      <c r="K4762" s="39" t="str">
        <f>IF(OR(C4762="",NOT(ISNUMBER(E4762))),"",IFERROR(ROUND(N(INDEX(art_init,MATCH(C4762,art_ref,0)))+SUMIFS($E$5:E4762,$C$5:C4762,C4762,$B$5:B4762,"Entrée")-SUMIFS($E$5:E4762,$C$5:C4762,C4762,$B$5:B4762,"Sortie"),6),""))</f>
        <v/>
      </c>
      <c r="L4762" s="39" t="str">
        <f>IF(COUNTA(A4762:C4762,E4762)=0,"",IF(COUNTA(A4762:C4762,E4762)&lt;4,"Ligne incomplète",IF(NOT(ISNUMBER(A4762)),"Date invalide",IF(AND(B4762&lt;&gt;"Entrée",B4762&lt;&gt;"Sortie"),"Type inconnu",IF(ISNA(MATCH(C4762,art_ref,0)),"Référence inconnue",IF(OR(NOT(ISNUMBER(E4762)),N(E4762)&lt;=0),"Quantité invalide",IF(K4762&lt;0,"Stock négatif",IF(AND(ISNUMBER(A4761),A4762&lt;A4761),"Date hors ordre","OK"))))))))</f>
        <v/>
      </c>
      <c r="M4762" s="39" t="str">
        <f>IF(C4762="","",C4762&amp;"#"&amp;COUNTIF($C$5:C4762,C4762))</f>
        <v/>
      </c>
    </row>
    <row r="4763">
      <c r="A4763" s="41" t="n"/>
      <c r="B4763" s="37" t="n"/>
      <c r="C4763" s="37" t="n"/>
      <c r="D4763" s="39" t="str">
        <f>IF(C4763="","",IFERROR(INDEX(art_des,MATCH(C4763,art_ref,0))&amp;"","Référence inconnue"))</f>
        <v/>
      </c>
      <c r="E4763" s="37" t="n"/>
      <c r="F4763" s="39" t="str">
        <f>IF(C4763="","",IFERROR(INDEX(art_unit,MATCH(C4763,art_ref,0))&amp;"",""))</f>
        <v/>
      </c>
      <c r="G4763" s="37" t="n"/>
      <c r="H4763" s="37" t="n"/>
      <c r="I4763" s="37" t="n"/>
      <c r="J4763" s="40" t="str">
        <f>IF(OR(C4763="",NOT(ISNUMBER(E4763))),"",IFERROR(E4763*N(INDEX(art_price,MATCH(C4763,art_ref,0))),""))</f>
        <v/>
      </c>
      <c r="K4763" s="39" t="str">
        <f>IF(OR(C4763="",NOT(ISNUMBER(E4763))),"",IFERROR(ROUND(N(INDEX(art_init,MATCH(C4763,art_ref,0)))+SUMIFS($E$5:E4763,$C$5:C4763,C4763,$B$5:B4763,"Entrée")-SUMIFS($E$5:E4763,$C$5:C4763,C4763,$B$5:B4763,"Sortie"),6),""))</f>
        <v/>
      </c>
      <c r="L4763" s="39" t="str">
        <f>IF(COUNTA(A4763:C4763,E4763)=0,"",IF(COUNTA(A4763:C4763,E4763)&lt;4,"Ligne incomplète",IF(NOT(ISNUMBER(A4763)),"Date invalide",IF(AND(B4763&lt;&gt;"Entrée",B4763&lt;&gt;"Sortie"),"Type inconnu",IF(ISNA(MATCH(C4763,art_ref,0)),"Référence inconnue",IF(OR(NOT(ISNUMBER(E4763)),N(E4763)&lt;=0),"Quantité invalide",IF(K4763&lt;0,"Stock négatif",IF(AND(ISNUMBER(A4762),A4763&lt;A4762),"Date hors ordre","OK"))))))))</f>
        <v/>
      </c>
      <c r="M4763" s="39" t="str">
        <f>IF(C4763="","",C4763&amp;"#"&amp;COUNTIF($C$5:C4763,C4763))</f>
        <v/>
      </c>
    </row>
    <row r="4764">
      <c r="A4764" s="41" t="n"/>
      <c r="B4764" s="37" t="n"/>
      <c r="C4764" s="37" t="n"/>
      <c r="D4764" s="39" t="str">
        <f>IF(C4764="","",IFERROR(INDEX(art_des,MATCH(C4764,art_ref,0))&amp;"","Référence inconnue"))</f>
        <v/>
      </c>
      <c r="E4764" s="37" t="n"/>
      <c r="F4764" s="39" t="str">
        <f>IF(C4764="","",IFERROR(INDEX(art_unit,MATCH(C4764,art_ref,0))&amp;"",""))</f>
        <v/>
      </c>
      <c r="G4764" s="37" t="n"/>
      <c r="H4764" s="37" t="n"/>
      <c r="I4764" s="37" t="n"/>
      <c r="J4764" s="40" t="str">
        <f>IF(OR(C4764="",NOT(ISNUMBER(E4764))),"",IFERROR(E4764*N(INDEX(art_price,MATCH(C4764,art_ref,0))),""))</f>
        <v/>
      </c>
      <c r="K4764" s="39" t="str">
        <f>IF(OR(C4764="",NOT(ISNUMBER(E4764))),"",IFERROR(ROUND(N(INDEX(art_init,MATCH(C4764,art_ref,0)))+SUMIFS($E$5:E4764,$C$5:C4764,C4764,$B$5:B4764,"Entrée")-SUMIFS($E$5:E4764,$C$5:C4764,C4764,$B$5:B4764,"Sortie"),6),""))</f>
        <v/>
      </c>
      <c r="L4764" s="39" t="str">
        <f>IF(COUNTA(A4764:C4764,E4764)=0,"",IF(COUNTA(A4764:C4764,E4764)&lt;4,"Ligne incomplète",IF(NOT(ISNUMBER(A4764)),"Date invalide",IF(AND(B4764&lt;&gt;"Entrée",B4764&lt;&gt;"Sortie"),"Type inconnu",IF(ISNA(MATCH(C4764,art_ref,0)),"Référence inconnue",IF(OR(NOT(ISNUMBER(E4764)),N(E4764)&lt;=0),"Quantité invalide",IF(K4764&lt;0,"Stock négatif",IF(AND(ISNUMBER(A4763),A4764&lt;A4763),"Date hors ordre","OK"))))))))</f>
        <v/>
      </c>
      <c r="M4764" s="39" t="str">
        <f>IF(C4764="","",C4764&amp;"#"&amp;COUNTIF($C$5:C4764,C4764))</f>
        <v/>
      </c>
    </row>
    <row r="4765">
      <c r="A4765" s="41" t="n"/>
      <c r="B4765" s="37" t="n"/>
      <c r="C4765" s="37" t="n"/>
      <c r="D4765" s="39" t="str">
        <f>IF(C4765="","",IFERROR(INDEX(art_des,MATCH(C4765,art_ref,0))&amp;"","Référence inconnue"))</f>
        <v/>
      </c>
      <c r="E4765" s="37" t="n"/>
      <c r="F4765" s="39" t="str">
        <f>IF(C4765="","",IFERROR(INDEX(art_unit,MATCH(C4765,art_ref,0))&amp;"",""))</f>
        <v/>
      </c>
      <c r="G4765" s="37" t="n"/>
      <c r="H4765" s="37" t="n"/>
      <c r="I4765" s="37" t="n"/>
      <c r="J4765" s="40" t="str">
        <f>IF(OR(C4765="",NOT(ISNUMBER(E4765))),"",IFERROR(E4765*N(INDEX(art_price,MATCH(C4765,art_ref,0))),""))</f>
        <v/>
      </c>
      <c r="K4765" s="39" t="str">
        <f>IF(OR(C4765="",NOT(ISNUMBER(E4765))),"",IFERROR(ROUND(N(INDEX(art_init,MATCH(C4765,art_ref,0)))+SUMIFS($E$5:E4765,$C$5:C4765,C4765,$B$5:B4765,"Entrée")-SUMIFS($E$5:E4765,$C$5:C4765,C4765,$B$5:B4765,"Sortie"),6),""))</f>
        <v/>
      </c>
      <c r="L4765" s="39" t="str">
        <f>IF(COUNTA(A4765:C4765,E4765)=0,"",IF(COUNTA(A4765:C4765,E4765)&lt;4,"Ligne incomplète",IF(NOT(ISNUMBER(A4765)),"Date invalide",IF(AND(B4765&lt;&gt;"Entrée",B4765&lt;&gt;"Sortie"),"Type inconnu",IF(ISNA(MATCH(C4765,art_ref,0)),"Référence inconnue",IF(OR(NOT(ISNUMBER(E4765)),N(E4765)&lt;=0),"Quantité invalide",IF(K4765&lt;0,"Stock négatif",IF(AND(ISNUMBER(A4764),A4765&lt;A4764),"Date hors ordre","OK"))))))))</f>
        <v/>
      </c>
      <c r="M4765" s="39" t="str">
        <f>IF(C4765="","",C4765&amp;"#"&amp;COUNTIF($C$5:C4765,C4765))</f>
        <v/>
      </c>
    </row>
    <row r="4766">
      <c r="A4766" s="41" t="n"/>
      <c r="B4766" s="37" t="n"/>
      <c r="C4766" s="37" t="n"/>
      <c r="D4766" s="39" t="str">
        <f>IF(C4766="","",IFERROR(INDEX(art_des,MATCH(C4766,art_ref,0))&amp;"","Référence inconnue"))</f>
        <v/>
      </c>
      <c r="E4766" s="37" t="n"/>
      <c r="F4766" s="39" t="str">
        <f>IF(C4766="","",IFERROR(INDEX(art_unit,MATCH(C4766,art_ref,0))&amp;"",""))</f>
        <v/>
      </c>
      <c r="G4766" s="37" t="n"/>
      <c r="H4766" s="37" t="n"/>
      <c r="I4766" s="37" t="n"/>
      <c r="J4766" s="40" t="str">
        <f>IF(OR(C4766="",NOT(ISNUMBER(E4766))),"",IFERROR(E4766*N(INDEX(art_price,MATCH(C4766,art_ref,0))),""))</f>
        <v/>
      </c>
      <c r="K4766" s="39" t="str">
        <f>IF(OR(C4766="",NOT(ISNUMBER(E4766))),"",IFERROR(ROUND(N(INDEX(art_init,MATCH(C4766,art_ref,0)))+SUMIFS($E$5:E4766,$C$5:C4766,C4766,$B$5:B4766,"Entrée")-SUMIFS($E$5:E4766,$C$5:C4766,C4766,$B$5:B4766,"Sortie"),6),""))</f>
        <v/>
      </c>
      <c r="L4766" s="39" t="str">
        <f>IF(COUNTA(A4766:C4766,E4766)=0,"",IF(COUNTA(A4766:C4766,E4766)&lt;4,"Ligne incomplète",IF(NOT(ISNUMBER(A4766)),"Date invalide",IF(AND(B4766&lt;&gt;"Entrée",B4766&lt;&gt;"Sortie"),"Type inconnu",IF(ISNA(MATCH(C4766,art_ref,0)),"Référence inconnue",IF(OR(NOT(ISNUMBER(E4766)),N(E4766)&lt;=0),"Quantité invalide",IF(K4766&lt;0,"Stock négatif",IF(AND(ISNUMBER(A4765),A4766&lt;A4765),"Date hors ordre","OK"))))))))</f>
        <v/>
      </c>
      <c r="M4766" s="39" t="str">
        <f>IF(C4766="","",C4766&amp;"#"&amp;COUNTIF($C$5:C4766,C4766))</f>
        <v/>
      </c>
    </row>
    <row r="4767">
      <c r="A4767" s="41" t="n"/>
      <c r="B4767" s="37" t="n"/>
      <c r="C4767" s="37" t="n"/>
      <c r="D4767" s="39" t="str">
        <f>IF(C4767="","",IFERROR(INDEX(art_des,MATCH(C4767,art_ref,0))&amp;"","Référence inconnue"))</f>
        <v/>
      </c>
      <c r="E4767" s="37" t="n"/>
      <c r="F4767" s="39" t="str">
        <f>IF(C4767="","",IFERROR(INDEX(art_unit,MATCH(C4767,art_ref,0))&amp;"",""))</f>
        <v/>
      </c>
      <c r="G4767" s="37" t="n"/>
      <c r="H4767" s="37" t="n"/>
      <c r="I4767" s="37" t="n"/>
      <c r="J4767" s="40" t="str">
        <f>IF(OR(C4767="",NOT(ISNUMBER(E4767))),"",IFERROR(E4767*N(INDEX(art_price,MATCH(C4767,art_ref,0))),""))</f>
        <v/>
      </c>
      <c r="K4767" s="39" t="str">
        <f>IF(OR(C4767="",NOT(ISNUMBER(E4767))),"",IFERROR(ROUND(N(INDEX(art_init,MATCH(C4767,art_ref,0)))+SUMIFS($E$5:E4767,$C$5:C4767,C4767,$B$5:B4767,"Entrée")-SUMIFS($E$5:E4767,$C$5:C4767,C4767,$B$5:B4767,"Sortie"),6),""))</f>
        <v/>
      </c>
      <c r="L4767" s="39" t="str">
        <f>IF(COUNTA(A4767:C4767,E4767)=0,"",IF(COUNTA(A4767:C4767,E4767)&lt;4,"Ligne incomplète",IF(NOT(ISNUMBER(A4767)),"Date invalide",IF(AND(B4767&lt;&gt;"Entrée",B4767&lt;&gt;"Sortie"),"Type inconnu",IF(ISNA(MATCH(C4767,art_ref,0)),"Référence inconnue",IF(OR(NOT(ISNUMBER(E4767)),N(E4767)&lt;=0),"Quantité invalide",IF(K4767&lt;0,"Stock négatif",IF(AND(ISNUMBER(A4766),A4767&lt;A4766),"Date hors ordre","OK"))))))))</f>
        <v/>
      </c>
      <c r="M4767" s="39" t="str">
        <f>IF(C4767="","",C4767&amp;"#"&amp;COUNTIF($C$5:C4767,C4767))</f>
        <v/>
      </c>
    </row>
    <row r="4768">
      <c r="A4768" s="41" t="n"/>
      <c r="B4768" s="37" t="n"/>
      <c r="C4768" s="37" t="n"/>
      <c r="D4768" s="39" t="str">
        <f>IF(C4768="","",IFERROR(INDEX(art_des,MATCH(C4768,art_ref,0))&amp;"","Référence inconnue"))</f>
        <v/>
      </c>
      <c r="E4768" s="37" t="n"/>
      <c r="F4768" s="39" t="str">
        <f>IF(C4768="","",IFERROR(INDEX(art_unit,MATCH(C4768,art_ref,0))&amp;"",""))</f>
        <v/>
      </c>
      <c r="G4768" s="37" t="n"/>
      <c r="H4768" s="37" t="n"/>
      <c r="I4768" s="37" t="n"/>
      <c r="J4768" s="40" t="str">
        <f>IF(OR(C4768="",NOT(ISNUMBER(E4768))),"",IFERROR(E4768*N(INDEX(art_price,MATCH(C4768,art_ref,0))),""))</f>
        <v/>
      </c>
      <c r="K4768" s="39" t="str">
        <f>IF(OR(C4768="",NOT(ISNUMBER(E4768))),"",IFERROR(ROUND(N(INDEX(art_init,MATCH(C4768,art_ref,0)))+SUMIFS($E$5:E4768,$C$5:C4768,C4768,$B$5:B4768,"Entrée")-SUMIFS($E$5:E4768,$C$5:C4768,C4768,$B$5:B4768,"Sortie"),6),""))</f>
        <v/>
      </c>
      <c r="L4768" s="39" t="str">
        <f>IF(COUNTA(A4768:C4768,E4768)=0,"",IF(COUNTA(A4768:C4768,E4768)&lt;4,"Ligne incomplète",IF(NOT(ISNUMBER(A4768)),"Date invalide",IF(AND(B4768&lt;&gt;"Entrée",B4768&lt;&gt;"Sortie"),"Type inconnu",IF(ISNA(MATCH(C4768,art_ref,0)),"Référence inconnue",IF(OR(NOT(ISNUMBER(E4768)),N(E4768)&lt;=0),"Quantité invalide",IF(K4768&lt;0,"Stock négatif",IF(AND(ISNUMBER(A4767),A4768&lt;A4767),"Date hors ordre","OK"))))))))</f>
        <v/>
      </c>
      <c r="M4768" s="39" t="str">
        <f>IF(C4768="","",C4768&amp;"#"&amp;COUNTIF($C$5:C4768,C4768))</f>
        <v/>
      </c>
    </row>
    <row r="4769">
      <c r="A4769" s="41" t="n"/>
      <c r="B4769" s="37" t="n"/>
      <c r="C4769" s="37" t="n"/>
      <c r="D4769" s="39" t="str">
        <f>IF(C4769="","",IFERROR(INDEX(art_des,MATCH(C4769,art_ref,0))&amp;"","Référence inconnue"))</f>
        <v/>
      </c>
      <c r="E4769" s="37" t="n"/>
      <c r="F4769" s="39" t="str">
        <f>IF(C4769="","",IFERROR(INDEX(art_unit,MATCH(C4769,art_ref,0))&amp;"",""))</f>
        <v/>
      </c>
      <c r="G4769" s="37" t="n"/>
      <c r="H4769" s="37" t="n"/>
      <c r="I4769" s="37" t="n"/>
      <c r="J4769" s="40" t="str">
        <f>IF(OR(C4769="",NOT(ISNUMBER(E4769))),"",IFERROR(E4769*N(INDEX(art_price,MATCH(C4769,art_ref,0))),""))</f>
        <v/>
      </c>
      <c r="K4769" s="39" t="str">
        <f>IF(OR(C4769="",NOT(ISNUMBER(E4769))),"",IFERROR(ROUND(N(INDEX(art_init,MATCH(C4769,art_ref,0)))+SUMIFS($E$5:E4769,$C$5:C4769,C4769,$B$5:B4769,"Entrée")-SUMIFS($E$5:E4769,$C$5:C4769,C4769,$B$5:B4769,"Sortie"),6),""))</f>
        <v/>
      </c>
      <c r="L4769" s="39" t="str">
        <f>IF(COUNTA(A4769:C4769,E4769)=0,"",IF(COUNTA(A4769:C4769,E4769)&lt;4,"Ligne incomplète",IF(NOT(ISNUMBER(A4769)),"Date invalide",IF(AND(B4769&lt;&gt;"Entrée",B4769&lt;&gt;"Sortie"),"Type inconnu",IF(ISNA(MATCH(C4769,art_ref,0)),"Référence inconnue",IF(OR(NOT(ISNUMBER(E4769)),N(E4769)&lt;=0),"Quantité invalide",IF(K4769&lt;0,"Stock négatif",IF(AND(ISNUMBER(A4768),A4769&lt;A4768),"Date hors ordre","OK"))))))))</f>
        <v/>
      </c>
      <c r="M4769" s="39" t="str">
        <f>IF(C4769="","",C4769&amp;"#"&amp;COUNTIF($C$5:C4769,C4769))</f>
        <v/>
      </c>
    </row>
    <row r="4770">
      <c r="A4770" s="41" t="n"/>
      <c r="B4770" s="37" t="n"/>
      <c r="C4770" s="37" t="n"/>
      <c r="D4770" s="39" t="str">
        <f>IF(C4770="","",IFERROR(INDEX(art_des,MATCH(C4770,art_ref,0))&amp;"","Référence inconnue"))</f>
        <v/>
      </c>
      <c r="E4770" s="37" t="n"/>
      <c r="F4770" s="39" t="str">
        <f>IF(C4770="","",IFERROR(INDEX(art_unit,MATCH(C4770,art_ref,0))&amp;"",""))</f>
        <v/>
      </c>
      <c r="G4770" s="37" t="n"/>
      <c r="H4770" s="37" t="n"/>
      <c r="I4770" s="37" t="n"/>
      <c r="J4770" s="40" t="str">
        <f>IF(OR(C4770="",NOT(ISNUMBER(E4770))),"",IFERROR(E4770*N(INDEX(art_price,MATCH(C4770,art_ref,0))),""))</f>
        <v/>
      </c>
      <c r="K4770" s="39" t="str">
        <f>IF(OR(C4770="",NOT(ISNUMBER(E4770))),"",IFERROR(ROUND(N(INDEX(art_init,MATCH(C4770,art_ref,0)))+SUMIFS($E$5:E4770,$C$5:C4770,C4770,$B$5:B4770,"Entrée")-SUMIFS($E$5:E4770,$C$5:C4770,C4770,$B$5:B4770,"Sortie"),6),""))</f>
        <v/>
      </c>
      <c r="L4770" s="39" t="str">
        <f>IF(COUNTA(A4770:C4770,E4770)=0,"",IF(COUNTA(A4770:C4770,E4770)&lt;4,"Ligne incomplète",IF(NOT(ISNUMBER(A4770)),"Date invalide",IF(AND(B4770&lt;&gt;"Entrée",B4770&lt;&gt;"Sortie"),"Type inconnu",IF(ISNA(MATCH(C4770,art_ref,0)),"Référence inconnue",IF(OR(NOT(ISNUMBER(E4770)),N(E4770)&lt;=0),"Quantité invalide",IF(K4770&lt;0,"Stock négatif",IF(AND(ISNUMBER(A4769),A4770&lt;A4769),"Date hors ordre","OK"))))))))</f>
        <v/>
      </c>
      <c r="M4770" s="39" t="str">
        <f>IF(C4770="","",C4770&amp;"#"&amp;COUNTIF($C$5:C4770,C4770))</f>
        <v/>
      </c>
    </row>
    <row r="4771">
      <c r="A4771" s="41" t="n"/>
      <c r="B4771" s="37" t="n"/>
      <c r="C4771" s="37" t="n"/>
      <c r="D4771" s="39" t="str">
        <f>IF(C4771="","",IFERROR(INDEX(art_des,MATCH(C4771,art_ref,0))&amp;"","Référence inconnue"))</f>
        <v/>
      </c>
      <c r="E4771" s="37" t="n"/>
      <c r="F4771" s="39" t="str">
        <f>IF(C4771="","",IFERROR(INDEX(art_unit,MATCH(C4771,art_ref,0))&amp;"",""))</f>
        <v/>
      </c>
      <c r="G4771" s="37" t="n"/>
      <c r="H4771" s="37" t="n"/>
      <c r="I4771" s="37" t="n"/>
      <c r="J4771" s="40" t="str">
        <f>IF(OR(C4771="",NOT(ISNUMBER(E4771))),"",IFERROR(E4771*N(INDEX(art_price,MATCH(C4771,art_ref,0))),""))</f>
        <v/>
      </c>
      <c r="K4771" s="39" t="str">
        <f>IF(OR(C4771="",NOT(ISNUMBER(E4771))),"",IFERROR(ROUND(N(INDEX(art_init,MATCH(C4771,art_ref,0)))+SUMIFS($E$5:E4771,$C$5:C4771,C4771,$B$5:B4771,"Entrée")-SUMIFS($E$5:E4771,$C$5:C4771,C4771,$B$5:B4771,"Sortie"),6),""))</f>
        <v/>
      </c>
      <c r="L4771" s="39" t="str">
        <f>IF(COUNTA(A4771:C4771,E4771)=0,"",IF(COUNTA(A4771:C4771,E4771)&lt;4,"Ligne incomplète",IF(NOT(ISNUMBER(A4771)),"Date invalide",IF(AND(B4771&lt;&gt;"Entrée",B4771&lt;&gt;"Sortie"),"Type inconnu",IF(ISNA(MATCH(C4771,art_ref,0)),"Référence inconnue",IF(OR(NOT(ISNUMBER(E4771)),N(E4771)&lt;=0),"Quantité invalide",IF(K4771&lt;0,"Stock négatif",IF(AND(ISNUMBER(A4770),A4771&lt;A4770),"Date hors ordre","OK"))))))))</f>
        <v/>
      </c>
      <c r="M4771" s="39" t="str">
        <f>IF(C4771="","",C4771&amp;"#"&amp;COUNTIF($C$5:C4771,C4771))</f>
        <v/>
      </c>
    </row>
    <row r="4772">
      <c r="A4772" s="41" t="n"/>
      <c r="B4772" s="37" t="n"/>
      <c r="C4772" s="37" t="n"/>
      <c r="D4772" s="39" t="str">
        <f>IF(C4772="","",IFERROR(INDEX(art_des,MATCH(C4772,art_ref,0))&amp;"","Référence inconnue"))</f>
        <v/>
      </c>
      <c r="E4772" s="37" t="n"/>
      <c r="F4772" s="39" t="str">
        <f>IF(C4772="","",IFERROR(INDEX(art_unit,MATCH(C4772,art_ref,0))&amp;"",""))</f>
        <v/>
      </c>
      <c r="G4772" s="37" t="n"/>
      <c r="H4772" s="37" t="n"/>
      <c r="I4772" s="37" t="n"/>
      <c r="J4772" s="40" t="str">
        <f>IF(OR(C4772="",NOT(ISNUMBER(E4772))),"",IFERROR(E4772*N(INDEX(art_price,MATCH(C4772,art_ref,0))),""))</f>
        <v/>
      </c>
      <c r="K4772" s="39" t="str">
        <f>IF(OR(C4772="",NOT(ISNUMBER(E4772))),"",IFERROR(ROUND(N(INDEX(art_init,MATCH(C4772,art_ref,0)))+SUMIFS($E$5:E4772,$C$5:C4772,C4772,$B$5:B4772,"Entrée")-SUMIFS($E$5:E4772,$C$5:C4772,C4772,$B$5:B4772,"Sortie"),6),""))</f>
        <v/>
      </c>
      <c r="L4772" s="39" t="str">
        <f>IF(COUNTA(A4772:C4772,E4772)=0,"",IF(COUNTA(A4772:C4772,E4772)&lt;4,"Ligne incomplète",IF(NOT(ISNUMBER(A4772)),"Date invalide",IF(AND(B4772&lt;&gt;"Entrée",B4772&lt;&gt;"Sortie"),"Type inconnu",IF(ISNA(MATCH(C4772,art_ref,0)),"Référence inconnue",IF(OR(NOT(ISNUMBER(E4772)),N(E4772)&lt;=0),"Quantité invalide",IF(K4772&lt;0,"Stock négatif",IF(AND(ISNUMBER(A4771),A4772&lt;A4771),"Date hors ordre","OK"))))))))</f>
        <v/>
      </c>
      <c r="M4772" s="39" t="str">
        <f>IF(C4772="","",C4772&amp;"#"&amp;COUNTIF($C$5:C4772,C4772))</f>
        <v/>
      </c>
    </row>
    <row r="4773">
      <c r="A4773" s="41" t="n"/>
      <c r="B4773" s="37" t="n"/>
      <c r="C4773" s="37" t="n"/>
      <c r="D4773" s="39" t="str">
        <f>IF(C4773="","",IFERROR(INDEX(art_des,MATCH(C4773,art_ref,0))&amp;"","Référence inconnue"))</f>
        <v/>
      </c>
      <c r="E4773" s="37" t="n"/>
      <c r="F4773" s="39" t="str">
        <f>IF(C4773="","",IFERROR(INDEX(art_unit,MATCH(C4773,art_ref,0))&amp;"",""))</f>
        <v/>
      </c>
      <c r="G4773" s="37" t="n"/>
      <c r="H4773" s="37" t="n"/>
      <c r="I4773" s="37" t="n"/>
      <c r="J4773" s="40" t="str">
        <f>IF(OR(C4773="",NOT(ISNUMBER(E4773))),"",IFERROR(E4773*N(INDEX(art_price,MATCH(C4773,art_ref,0))),""))</f>
        <v/>
      </c>
      <c r="K4773" s="39" t="str">
        <f>IF(OR(C4773="",NOT(ISNUMBER(E4773))),"",IFERROR(ROUND(N(INDEX(art_init,MATCH(C4773,art_ref,0)))+SUMIFS($E$5:E4773,$C$5:C4773,C4773,$B$5:B4773,"Entrée")-SUMIFS($E$5:E4773,$C$5:C4773,C4773,$B$5:B4773,"Sortie"),6),""))</f>
        <v/>
      </c>
      <c r="L4773" s="39" t="str">
        <f>IF(COUNTA(A4773:C4773,E4773)=0,"",IF(COUNTA(A4773:C4773,E4773)&lt;4,"Ligne incomplète",IF(NOT(ISNUMBER(A4773)),"Date invalide",IF(AND(B4773&lt;&gt;"Entrée",B4773&lt;&gt;"Sortie"),"Type inconnu",IF(ISNA(MATCH(C4773,art_ref,0)),"Référence inconnue",IF(OR(NOT(ISNUMBER(E4773)),N(E4773)&lt;=0),"Quantité invalide",IF(K4773&lt;0,"Stock négatif",IF(AND(ISNUMBER(A4772),A4773&lt;A4772),"Date hors ordre","OK"))))))))</f>
        <v/>
      </c>
      <c r="M4773" s="39" t="str">
        <f>IF(C4773="","",C4773&amp;"#"&amp;COUNTIF($C$5:C4773,C4773))</f>
        <v/>
      </c>
    </row>
    <row r="4774">
      <c r="A4774" s="41" t="n"/>
      <c r="B4774" s="37" t="n"/>
      <c r="C4774" s="37" t="n"/>
      <c r="D4774" s="39" t="str">
        <f>IF(C4774="","",IFERROR(INDEX(art_des,MATCH(C4774,art_ref,0))&amp;"","Référence inconnue"))</f>
        <v/>
      </c>
      <c r="E4774" s="37" t="n"/>
      <c r="F4774" s="39" t="str">
        <f>IF(C4774="","",IFERROR(INDEX(art_unit,MATCH(C4774,art_ref,0))&amp;"",""))</f>
        <v/>
      </c>
      <c r="G4774" s="37" t="n"/>
      <c r="H4774" s="37" t="n"/>
      <c r="I4774" s="37" t="n"/>
      <c r="J4774" s="40" t="str">
        <f>IF(OR(C4774="",NOT(ISNUMBER(E4774))),"",IFERROR(E4774*N(INDEX(art_price,MATCH(C4774,art_ref,0))),""))</f>
        <v/>
      </c>
      <c r="K4774" s="39" t="str">
        <f>IF(OR(C4774="",NOT(ISNUMBER(E4774))),"",IFERROR(ROUND(N(INDEX(art_init,MATCH(C4774,art_ref,0)))+SUMIFS($E$5:E4774,$C$5:C4774,C4774,$B$5:B4774,"Entrée")-SUMIFS($E$5:E4774,$C$5:C4774,C4774,$B$5:B4774,"Sortie"),6),""))</f>
        <v/>
      </c>
      <c r="L4774" s="39" t="str">
        <f>IF(COUNTA(A4774:C4774,E4774)=0,"",IF(COUNTA(A4774:C4774,E4774)&lt;4,"Ligne incomplète",IF(NOT(ISNUMBER(A4774)),"Date invalide",IF(AND(B4774&lt;&gt;"Entrée",B4774&lt;&gt;"Sortie"),"Type inconnu",IF(ISNA(MATCH(C4774,art_ref,0)),"Référence inconnue",IF(OR(NOT(ISNUMBER(E4774)),N(E4774)&lt;=0),"Quantité invalide",IF(K4774&lt;0,"Stock négatif",IF(AND(ISNUMBER(A4773),A4774&lt;A4773),"Date hors ordre","OK"))))))))</f>
        <v/>
      </c>
      <c r="M4774" s="39" t="str">
        <f>IF(C4774="","",C4774&amp;"#"&amp;COUNTIF($C$5:C4774,C4774))</f>
        <v/>
      </c>
    </row>
    <row r="4775">
      <c r="A4775" s="41" t="n"/>
      <c r="B4775" s="37" t="n"/>
      <c r="C4775" s="37" t="n"/>
      <c r="D4775" s="39" t="str">
        <f>IF(C4775="","",IFERROR(INDEX(art_des,MATCH(C4775,art_ref,0))&amp;"","Référence inconnue"))</f>
        <v/>
      </c>
      <c r="E4775" s="37" t="n"/>
      <c r="F4775" s="39" t="str">
        <f>IF(C4775="","",IFERROR(INDEX(art_unit,MATCH(C4775,art_ref,0))&amp;"",""))</f>
        <v/>
      </c>
      <c r="G4775" s="37" t="n"/>
      <c r="H4775" s="37" t="n"/>
      <c r="I4775" s="37" t="n"/>
      <c r="J4775" s="40" t="str">
        <f>IF(OR(C4775="",NOT(ISNUMBER(E4775))),"",IFERROR(E4775*N(INDEX(art_price,MATCH(C4775,art_ref,0))),""))</f>
        <v/>
      </c>
      <c r="K4775" s="39" t="str">
        <f>IF(OR(C4775="",NOT(ISNUMBER(E4775))),"",IFERROR(ROUND(N(INDEX(art_init,MATCH(C4775,art_ref,0)))+SUMIFS($E$5:E4775,$C$5:C4775,C4775,$B$5:B4775,"Entrée")-SUMIFS($E$5:E4775,$C$5:C4775,C4775,$B$5:B4775,"Sortie"),6),""))</f>
        <v/>
      </c>
      <c r="L4775" s="39" t="str">
        <f>IF(COUNTA(A4775:C4775,E4775)=0,"",IF(COUNTA(A4775:C4775,E4775)&lt;4,"Ligne incomplète",IF(NOT(ISNUMBER(A4775)),"Date invalide",IF(AND(B4775&lt;&gt;"Entrée",B4775&lt;&gt;"Sortie"),"Type inconnu",IF(ISNA(MATCH(C4775,art_ref,0)),"Référence inconnue",IF(OR(NOT(ISNUMBER(E4775)),N(E4775)&lt;=0),"Quantité invalide",IF(K4775&lt;0,"Stock négatif",IF(AND(ISNUMBER(A4774),A4775&lt;A4774),"Date hors ordre","OK"))))))))</f>
        <v/>
      </c>
      <c r="M4775" s="39" t="str">
        <f>IF(C4775="","",C4775&amp;"#"&amp;COUNTIF($C$5:C4775,C4775))</f>
        <v/>
      </c>
    </row>
    <row r="4776">
      <c r="A4776" s="41" t="n"/>
      <c r="B4776" s="37" t="n"/>
      <c r="C4776" s="37" t="n"/>
      <c r="D4776" s="39" t="str">
        <f>IF(C4776="","",IFERROR(INDEX(art_des,MATCH(C4776,art_ref,0))&amp;"","Référence inconnue"))</f>
        <v/>
      </c>
      <c r="E4776" s="37" t="n"/>
      <c r="F4776" s="39" t="str">
        <f>IF(C4776="","",IFERROR(INDEX(art_unit,MATCH(C4776,art_ref,0))&amp;"",""))</f>
        <v/>
      </c>
      <c r="G4776" s="37" t="n"/>
      <c r="H4776" s="37" t="n"/>
      <c r="I4776" s="37" t="n"/>
      <c r="J4776" s="40" t="str">
        <f>IF(OR(C4776="",NOT(ISNUMBER(E4776))),"",IFERROR(E4776*N(INDEX(art_price,MATCH(C4776,art_ref,0))),""))</f>
        <v/>
      </c>
      <c r="K4776" s="39" t="str">
        <f>IF(OR(C4776="",NOT(ISNUMBER(E4776))),"",IFERROR(ROUND(N(INDEX(art_init,MATCH(C4776,art_ref,0)))+SUMIFS($E$5:E4776,$C$5:C4776,C4776,$B$5:B4776,"Entrée")-SUMIFS($E$5:E4776,$C$5:C4776,C4776,$B$5:B4776,"Sortie"),6),""))</f>
        <v/>
      </c>
      <c r="L4776" s="39" t="str">
        <f>IF(COUNTA(A4776:C4776,E4776)=0,"",IF(COUNTA(A4776:C4776,E4776)&lt;4,"Ligne incomplète",IF(NOT(ISNUMBER(A4776)),"Date invalide",IF(AND(B4776&lt;&gt;"Entrée",B4776&lt;&gt;"Sortie"),"Type inconnu",IF(ISNA(MATCH(C4776,art_ref,0)),"Référence inconnue",IF(OR(NOT(ISNUMBER(E4776)),N(E4776)&lt;=0),"Quantité invalide",IF(K4776&lt;0,"Stock négatif",IF(AND(ISNUMBER(A4775),A4776&lt;A4775),"Date hors ordre","OK"))))))))</f>
        <v/>
      </c>
      <c r="M4776" s="39" t="str">
        <f>IF(C4776="","",C4776&amp;"#"&amp;COUNTIF($C$5:C4776,C4776))</f>
        <v/>
      </c>
    </row>
    <row r="4777">
      <c r="A4777" s="41" t="n"/>
      <c r="B4777" s="37" t="n"/>
      <c r="C4777" s="37" t="n"/>
      <c r="D4777" s="39" t="str">
        <f>IF(C4777="","",IFERROR(INDEX(art_des,MATCH(C4777,art_ref,0))&amp;"","Référence inconnue"))</f>
        <v/>
      </c>
      <c r="E4777" s="37" t="n"/>
      <c r="F4777" s="39" t="str">
        <f>IF(C4777="","",IFERROR(INDEX(art_unit,MATCH(C4777,art_ref,0))&amp;"",""))</f>
        <v/>
      </c>
      <c r="G4777" s="37" t="n"/>
      <c r="H4777" s="37" t="n"/>
      <c r="I4777" s="37" t="n"/>
      <c r="J4777" s="40" t="str">
        <f>IF(OR(C4777="",NOT(ISNUMBER(E4777))),"",IFERROR(E4777*N(INDEX(art_price,MATCH(C4777,art_ref,0))),""))</f>
        <v/>
      </c>
      <c r="K4777" s="39" t="str">
        <f>IF(OR(C4777="",NOT(ISNUMBER(E4777))),"",IFERROR(ROUND(N(INDEX(art_init,MATCH(C4777,art_ref,0)))+SUMIFS($E$5:E4777,$C$5:C4777,C4777,$B$5:B4777,"Entrée")-SUMIFS($E$5:E4777,$C$5:C4777,C4777,$B$5:B4777,"Sortie"),6),""))</f>
        <v/>
      </c>
      <c r="L4777" s="39" t="str">
        <f>IF(COUNTA(A4777:C4777,E4777)=0,"",IF(COUNTA(A4777:C4777,E4777)&lt;4,"Ligne incomplète",IF(NOT(ISNUMBER(A4777)),"Date invalide",IF(AND(B4777&lt;&gt;"Entrée",B4777&lt;&gt;"Sortie"),"Type inconnu",IF(ISNA(MATCH(C4777,art_ref,0)),"Référence inconnue",IF(OR(NOT(ISNUMBER(E4777)),N(E4777)&lt;=0),"Quantité invalide",IF(K4777&lt;0,"Stock négatif",IF(AND(ISNUMBER(A4776),A4777&lt;A4776),"Date hors ordre","OK"))))))))</f>
        <v/>
      </c>
      <c r="M4777" s="39" t="str">
        <f>IF(C4777="","",C4777&amp;"#"&amp;COUNTIF($C$5:C4777,C4777))</f>
        <v/>
      </c>
    </row>
    <row r="4778">
      <c r="A4778" s="41" t="n"/>
      <c r="B4778" s="37" t="n"/>
      <c r="C4778" s="37" t="n"/>
      <c r="D4778" s="39" t="str">
        <f>IF(C4778="","",IFERROR(INDEX(art_des,MATCH(C4778,art_ref,0))&amp;"","Référence inconnue"))</f>
        <v/>
      </c>
      <c r="E4778" s="37" t="n"/>
      <c r="F4778" s="39" t="str">
        <f>IF(C4778="","",IFERROR(INDEX(art_unit,MATCH(C4778,art_ref,0))&amp;"",""))</f>
        <v/>
      </c>
      <c r="G4778" s="37" t="n"/>
      <c r="H4778" s="37" t="n"/>
      <c r="I4778" s="37" t="n"/>
      <c r="J4778" s="40" t="str">
        <f>IF(OR(C4778="",NOT(ISNUMBER(E4778))),"",IFERROR(E4778*N(INDEX(art_price,MATCH(C4778,art_ref,0))),""))</f>
        <v/>
      </c>
      <c r="K4778" s="39" t="str">
        <f>IF(OR(C4778="",NOT(ISNUMBER(E4778))),"",IFERROR(ROUND(N(INDEX(art_init,MATCH(C4778,art_ref,0)))+SUMIFS($E$5:E4778,$C$5:C4778,C4778,$B$5:B4778,"Entrée")-SUMIFS($E$5:E4778,$C$5:C4778,C4778,$B$5:B4778,"Sortie"),6),""))</f>
        <v/>
      </c>
      <c r="L4778" s="39" t="str">
        <f>IF(COUNTA(A4778:C4778,E4778)=0,"",IF(COUNTA(A4778:C4778,E4778)&lt;4,"Ligne incomplète",IF(NOT(ISNUMBER(A4778)),"Date invalide",IF(AND(B4778&lt;&gt;"Entrée",B4778&lt;&gt;"Sortie"),"Type inconnu",IF(ISNA(MATCH(C4778,art_ref,0)),"Référence inconnue",IF(OR(NOT(ISNUMBER(E4778)),N(E4778)&lt;=0),"Quantité invalide",IF(K4778&lt;0,"Stock négatif",IF(AND(ISNUMBER(A4777),A4778&lt;A4777),"Date hors ordre","OK"))))))))</f>
        <v/>
      </c>
      <c r="M4778" s="39" t="str">
        <f>IF(C4778="","",C4778&amp;"#"&amp;COUNTIF($C$5:C4778,C4778))</f>
        <v/>
      </c>
    </row>
    <row r="4779">
      <c r="A4779" s="41" t="n"/>
      <c r="B4779" s="37" t="n"/>
      <c r="C4779" s="37" t="n"/>
      <c r="D4779" s="39" t="str">
        <f>IF(C4779="","",IFERROR(INDEX(art_des,MATCH(C4779,art_ref,0))&amp;"","Référence inconnue"))</f>
        <v/>
      </c>
      <c r="E4779" s="37" t="n"/>
      <c r="F4779" s="39" t="str">
        <f>IF(C4779="","",IFERROR(INDEX(art_unit,MATCH(C4779,art_ref,0))&amp;"",""))</f>
        <v/>
      </c>
      <c r="G4779" s="37" t="n"/>
      <c r="H4779" s="37" t="n"/>
      <c r="I4779" s="37" t="n"/>
      <c r="J4779" s="40" t="str">
        <f>IF(OR(C4779="",NOT(ISNUMBER(E4779))),"",IFERROR(E4779*N(INDEX(art_price,MATCH(C4779,art_ref,0))),""))</f>
        <v/>
      </c>
      <c r="K4779" s="39" t="str">
        <f>IF(OR(C4779="",NOT(ISNUMBER(E4779))),"",IFERROR(ROUND(N(INDEX(art_init,MATCH(C4779,art_ref,0)))+SUMIFS($E$5:E4779,$C$5:C4779,C4779,$B$5:B4779,"Entrée")-SUMIFS($E$5:E4779,$C$5:C4779,C4779,$B$5:B4779,"Sortie"),6),""))</f>
        <v/>
      </c>
      <c r="L4779" s="39" t="str">
        <f>IF(COUNTA(A4779:C4779,E4779)=0,"",IF(COUNTA(A4779:C4779,E4779)&lt;4,"Ligne incomplète",IF(NOT(ISNUMBER(A4779)),"Date invalide",IF(AND(B4779&lt;&gt;"Entrée",B4779&lt;&gt;"Sortie"),"Type inconnu",IF(ISNA(MATCH(C4779,art_ref,0)),"Référence inconnue",IF(OR(NOT(ISNUMBER(E4779)),N(E4779)&lt;=0),"Quantité invalide",IF(K4779&lt;0,"Stock négatif",IF(AND(ISNUMBER(A4778),A4779&lt;A4778),"Date hors ordre","OK"))))))))</f>
        <v/>
      </c>
      <c r="M4779" s="39" t="str">
        <f>IF(C4779="","",C4779&amp;"#"&amp;COUNTIF($C$5:C4779,C4779))</f>
        <v/>
      </c>
    </row>
    <row r="4780">
      <c r="A4780" s="41" t="n"/>
      <c r="B4780" s="37" t="n"/>
      <c r="C4780" s="37" t="n"/>
      <c r="D4780" s="39" t="str">
        <f>IF(C4780="","",IFERROR(INDEX(art_des,MATCH(C4780,art_ref,0))&amp;"","Référence inconnue"))</f>
        <v/>
      </c>
      <c r="E4780" s="37" t="n"/>
      <c r="F4780" s="39" t="str">
        <f>IF(C4780="","",IFERROR(INDEX(art_unit,MATCH(C4780,art_ref,0))&amp;"",""))</f>
        <v/>
      </c>
      <c r="G4780" s="37" t="n"/>
      <c r="H4780" s="37" t="n"/>
      <c r="I4780" s="37" t="n"/>
      <c r="J4780" s="40" t="str">
        <f>IF(OR(C4780="",NOT(ISNUMBER(E4780))),"",IFERROR(E4780*N(INDEX(art_price,MATCH(C4780,art_ref,0))),""))</f>
        <v/>
      </c>
      <c r="K4780" s="39" t="str">
        <f>IF(OR(C4780="",NOT(ISNUMBER(E4780))),"",IFERROR(ROUND(N(INDEX(art_init,MATCH(C4780,art_ref,0)))+SUMIFS($E$5:E4780,$C$5:C4780,C4780,$B$5:B4780,"Entrée")-SUMIFS($E$5:E4780,$C$5:C4780,C4780,$B$5:B4780,"Sortie"),6),""))</f>
        <v/>
      </c>
      <c r="L4780" s="39" t="str">
        <f>IF(COUNTA(A4780:C4780,E4780)=0,"",IF(COUNTA(A4780:C4780,E4780)&lt;4,"Ligne incomplète",IF(NOT(ISNUMBER(A4780)),"Date invalide",IF(AND(B4780&lt;&gt;"Entrée",B4780&lt;&gt;"Sortie"),"Type inconnu",IF(ISNA(MATCH(C4780,art_ref,0)),"Référence inconnue",IF(OR(NOT(ISNUMBER(E4780)),N(E4780)&lt;=0),"Quantité invalide",IF(K4780&lt;0,"Stock négatif",IF(AND(ISNUMBER(A4779),A4780&lt;A4779),"Date hors ordre","OK"))))))))</f>
        <v/>
      </c>
      <c r="M4780" s="39" t="str">
        <f>IF(C4780="","",C4780&amp;"#"&amp;COUNTIF($C$5:C4780,C4780))</f>
        <v/>
      </c>
    </row>
    <row r="4781">
      <c r="A4781" s="41" t="n"/>
      <c r="B4781" s="37" t="n"/>
      <c r="C4781" s="37" t="n"/>
      <c r="D4781" s="39" t="str">
        <f>IF(C4781="","",IFERROR(INDEX(art_des,MATCH(C4781,art_ref,0))&amp;"","Référence inconnue"))</f>
        <v/>
      </c>
      <c r="E4781" s="37" t="n"/>
      <c r="F4781" s="39" t="str">
        <f>IF(C4781="","",IFERROR(INDEX(art_unit,MATCH(C4781,art_ref,0))&amp;"",""))</f>
        <v/>
      </c>
      <c r="G4781" s="37" t="n"/>
      <c r="H4781" s="37" t="n"/>
      <c r="I4781" s="37" t="n"/>
      <c r="J4781" s="40" t="str">
        <f>IF(OR(C4781="",NOT(ISNUMBER(E4781))),"",IFERROR(E4781*N(INDEX(art_price,MATCH(C4781,art_ref,0))),""))</f>
        <v/>
      </c>
      <c r="K4781" s="39" t="str">
        <f>IF(OR(C4781="",NOT(ISNUMBER(E4781))),"",IFERROR(ROUND(N(INDEX(art_init,MATCH(C4781,art_ref,0)))+SUMIFS($E$5:E4781,$C$5:C4781,C4781,$B$5:B4781,"Entrée")-SUMIFS($E$5:E4781,$C$5:C4781,C4781,$B$5:B4781,"Sortie"),6),""))</f>
        <v/>
      </c>
      <c r="L4781" s="39" t="str">
        <f>IF(COUNTA(A4781:C4781,E4781)=0,"",IF(COUNTA(A4781:C4781,E4781)&lt;4,"Ligne incomplète",IF(NOT(ISNUMBER(A4781)),"Date invalide",IF(AND(B4781&lt;&gt;"Entrée",B4781&lt;&gt;"Sortie"),"Type inconnu",IF(ISNA(MATCH(C4781,art_ref,0)),"Référence inconnue",IF(OR(NOT(ISNUMBER(E4781)),N(E4781)&lt;=0),"Quantité invalide",IF(K4781&lt;0,"Stock négatif",IF(AND(ISNUMBER(A4780),A4781&lt;A4780),"Date hors ordre","OK"))))))))</f>
        <v/>
      </c>
      <c r="M4781" s="39" t="str">
        <f>IF(C4781="","",C4781&amp;"#"&amp;COUNTIF($C$5:C4781,C4781))</f>
        <v/>
      </c>
    </row>
    <row r="4782">
      <c r="A4782" s="41" t="n"/>
      <c r="B4782" s="37" t="n"/>
      <c r="C4782" s="37" t="n"/>
      <c r="D4782" s="39" t="str">
        <f>IF(C4782="","",IFERROR(INDEX(art_des,MATCH(C4782,art_ref,0))&amp;"","Référence inconnue"))</f>
        <v/>
      </c>
      <c r="E4782" s="37" t="n"/>
      <c r="F4782" s="39" t="str">
        <f>IF(C4782="","",IFERROR(INDEX(art_unit,MATCH(C4782,art_ref,0))&amp;"",""))</f>
        <v/>
      </c>
      <c r="G4782" s="37" t="n"/>
      <c r="H4782" s="37" t="n"/>
      <c r="I4782" s="37" t="n"/>
      <c r="J4782" s="40" t="str">
        <f>IF(OR(C4782="",NOT(ISNUMBER(E4782))),"",IFERROR(E4782*N(INDEX(art_price,MATCH(C4782,art_ref,0))),""))</f>
        <v/>
      </c>
      <c r="K4782" s="39" t="str">
        <f>IF(OR(C4782="",NOT(ISNUMBER(E4782))),"",IFERROR(ROUND(N(INDEX(art_init,MATCH(C4782,art_ref,0)))+SUMIFS($E$5:E4782,$C$5:C4782,C4782,$B$5:B4782,"Entrée")-SUMIFS($E$5:E4782,$C$5:C4782,C4782,$B$5:B4782,"Sortie"),6),""))</f>
        <v/>
      </c>
      <c r="L4782" s="39" t="str">
        <f>IF(COUNTA(A4782:C4782,E4782)=0,"",IF(COUNTA(A4782:C4782,E4782)&lt;4,"Ligne incomplète",IF(NOT(ISNUMBER(A4782)),"Date invalide",IF(AND(B4782&lt;&gt;"Entrée",B4782&lt;&gt;"Sortie"),"Type inconnu",IF(ISNA(MATCH(C4782,art_ref,0)),"Référence inconnue",IF(OR(NOT(ISNUMBER(E4782)),N(E4782)&lt;=0),"Quantité invalide",IF(K4782&lt;0,"Stock négatif",IF(AND(ISNUMBER(A4781),A4782&lt;A4781),"Date hors ordre","OK"))))))))</f>
        <v/>
      </c>
      <c r="M4782" s="39" t="str">
        <f>IF(C4782="","",C4782&amp;"#"&amp;COUNTIF($C$5:C4782,C4782))</f>
        <v/>
      </c>
    </row>
    <row r="4783">
      <c r="A4783" s="41" t="n"/>
      <c r="B4783" s="37" t="n"/>
      <c r="C4783" s="37" t="n"/>
      <c r="D4783" s="39" t="str">
        <f>IF(C4783="","",IFERROR(INDEX(art_des,MATCH(C4783,art_ref,0))&amp;"","Référence inconnue"))</f>
        <v/>
      </c>
      <c r="E4783" s="37" t="n"/>
      <c r="F4783" s="39" t="str">
        <f>IF(C4783="","",IFERROR(INDEX(art_unit,MATCH(C4783,art_ref,0))&amp;"",""))</f>
        <v/>
      </c>
      <c r="G4783" s="37" t="n"/>
      <c r="H4783" s="37" t="n"/>
      <c r="I4783" s="37" t="n"/>
      <c r="J4783" s="40" t="str">
        <f>IF(OR(C4783="",NOT(ISNUMBER(E4783))),"",IFERROR(E4783*N(INDEX(art_price,MATCH(C4783,art_ref,0))),""))</f>
        <v/>
      </c>
      <c r="K4783" s="39" t="str">
        <f>IF(OR(C4783="",NOT(ISNUMBER(E4783))),"",IFERROR(ROUND(N(INDEX(art_init,MATCH(C4783,art_ref,0)))+SUMIFS($E$5:E4783,$C$5:C4783,C4783,$B$5:B4783,"Entrée")-SUMIFS($E$5:E4783,$C$5:C4783,C4783,$B$5:B4783,"Sortie"),6),""))</f>
        <v/>
      </c>
      <c r="L4783" s="39" t="str">
        <f>IF(COUNTA(A4783:C4783,E4783)=0,"",IF(COUNTA(A4783:C4783,E4783)&lt;4,"Ligne incomplète",IF(NOT(ISNUMBER(A4783)),"Date invalide",IF(AND(B4783&lt;&gt;"Entrée",B4783&lt;&gt;"Sortie"),"Type inconnu",IF(ISNA(MATCH(C4783,art_ref,0)),"Référence inconnue",IF(OR(NOT(ISNUMBER(E4783)),N(E4783)&lt;=0),"Quantité invalide",IF(K4783&lt;0,"Stock négatif",IF(AND(ISNUMBER(A4782),A4783&lt;A4782),"Date hors ordre","OK"))))))))</f>
        <v/>
      </c>
      <c r="M4783" s="39" t="str">
        <f>IF(C4783="","",C4783&amp;"#"&amp;COUNTIF($C$5:C4783,C4783))</f>
        <v/>
      </c>
    </row>
    <row r="4784">
      <c r="A4784" s="41" t="n"/>
      <c r="B4784" s="37" t="n"/>
      <c r="C4784" s="37" t="n"/>
      <c r="D4784" s="39" t="str">
        <f>IF(C4784="","",IFERROR(INDEX(art_des,MATCH(C4784,art_ref,0))&amp;"","Référence inconnue"))</f>
        <v/>
      </c>
      <c r="E4784" s="37" t="n"/>
      <c r="F4784" s="39" t="str">
        <f>IF(C4784="","",IFERROR(INDEX(art_unit,MATCH(C4784,art_ref,0))&amp;"",""))</f>
        <v/>
      </c>
      <c r="G4784" s="37" t="n"/>
      <c r="H4784" s="37" t="n"/>
      <c r="I4784" s="37" t="n"/>
      <c r="J4784" s="40" t="str">
        <f>IF(OR(C4784="",NOT(ISNUMBER(E4784))),"",IFERROR(E4784*N(INDEX(art_price,MATCH(C4784,art_ref,0))),""))</f>
        <v/>
      </c>
      <c r="K4784" s="39" t="str">
        <f>IF(OR(C4784="",NOT(ISNUMBER(E4784))),"",IFERROR(ROUND(N(INDEX(art_init,MATCH(C4784,art_ref,0)))+SUMIFS($E$5:E4784,$C$5:C4784,C4784,$B$5:B4784,"Entrée")-SUMIFS($E$5:E4784,$C$5:C4784,C4784,$B$5:B4784,"Sortie"),6),""))</f>
        <v/>
      </c>
      <c r="L4784" s="39" t="str">
        <f>IF(COUNTA(A4784:C4784,E4784)=0,"",IF(COUNTA(A4784:C4784,E4784)&lt;4,"Ligne incomplète",IF(NOT(ISNUMBER(A4784)),"Date invalide",IF(AND(B4784&lt;&gt;"Entrée",B4784&lt;&gt;"Sortie"),"Type inconnu",IF(ISNA(MATCH(C4784,art_ref,0)),"Référence inconnue",IF(OR(NOT(ISNUMBER(E4784)),N(E4784)&lt;=0),"Quantité invalide",IF(K4784&lt;0,"Stock négatif",IF(AND(ISNUMBER(A4783),A4784&lt;A4783),"Date hors ordre","OK"))))))))</f>
        <v/>
      </c>
      <c r="M4784" s="39" t="str">
        <f>IF(C4784="","",C4784&amp;"#"&amp;COUNTIF($C$5:C4784,C4784))</f>
        <v/>
      </c>
    </row>
    <row r="4785">
      <c r="A4785" s="41" t="n"/>
      <c r="B4785" s="37" t="n"/>
      <c r="C4785" s="37" t="n"/>
      <c r="D4785" s="39" t="str">
        <f>IF(C4785="","",IFERROR(INDEX(art_des,MATCH(C4785,art_ref,0))&amp;"","Référence inconnue"))</f>
        <v/>
      </c>
      <c r="E4785" s="37" t="n"/>
      <c r="F4785" s="39" t="str">
        <f>IF(C4785="","",IFERROR(INDEX(art_unit,MATCH(C4785,art_ref,0))&amp;"",""))</f>
        <v/>
      </c>
      <c r="G4785" s="37" t="n"/>
      <c r="H4785" s="37" t="n"/>
      <c r="I4785" s="37" t="n"/>
      <c r="J4785" s="40" t="str">
        <f>IF(OR(C4785="",NOT(ISNUMBER(E4785))),"",IFERROR(E4785*N(INDEX(art_price,MATCH(C4785,art_ref,0))),""))</f>
        <v/>
      </c>
      <c r="K4785" s="39" t="str">
        <f>IF(OR(C4785="",NOT(ISNUMBER(E4785))),"",IFERROR(ROUND(N(INDEX(art_init,MATCH(C4785,art_ref,0)))+SUMIFS($E$5:E4785,$C$5:C4785,C4785,$B$5:B4785,"Entrée")-SUMIFS($E$5:E4785,$C$5:C4785,C4785,$B$5:B4785,"Sortie"),6),""))</f>
        <v/>
      </c>
      <c r="L4785" s="39" t="str">
        <f>IF(COUNTA(A4785:C4785,E4785)=0,"",IF(COUNTA(A4785:C4785,E4785)&lt;4,"Ligne incomplète",IF(NOT(ISNUMBER(A4785)),"Date invalide",IF(AND(B4785&lt;&gt;"Entrée",B4785&lt;&gt;"Sortie"),"Type inconnu",IF(ISNA(MATCH(C4785,art_ref,0)),"Référence inconnue",IF(OR(NOT(ISNUMBER(E4785)),N(E4785)&lt;=0),"Quantité invalide",IF(K4785&lt;0,"Stock négatif",IF(AND(ISNUMBER(A4784),A4785&lt;A4784),"Date hors ordre","OK"))))))))</f>
        <v/>
      </c>
      <c r="M4785" s="39" t="str">
        <f>IF(C4785="","",C4785&amp;"#"&amp;COUNTIF($C$5:C4785,C4785))</f>
        <v/>
      </c>
    </row>
    <row r="4786">
      <c r="A4786" s="41" t="n"/>
      <c r="B4786" s="37" t="n"/>
      <c r="C4786" s="37" t="n"/>
      <c r="D4786" s="39" t="str">
        <f>IF(C4786="","",IFERROR(INDEX(art_des,MATCH(C4786,art_ref,0))&amp;"","Référence inconnue"))</f>
        <v/>
      </c>
      <c r="E4786" s="37" t="n"/>
      <c r="F4786" s="39" t="str">
        <f>IF(C4786="","",IFERROR(INDEX(art_unit,MATCH(C4786,art_ref,0))&amp;"",""))</f>
        <v/>
      </c>
      <c r="G4786" s="37" t="n"/>
      <c r="H4786" s="37" t="n"/>
      <c r="I4786" s="37" t="n"/>
      <c r="J4786" s="40" t="str">
        <f>IF(OR(C4786="",NOT(ISNUMBER(E4786))),"",IFERROR(E4786*N(INDEX(art_price,MATCH(C4786,art_ref,0))),""))</f>
        <v/>
      </c>
      <c r="K4786" s="39" t="str">
        <f>IF(OR(C4786="",NOT(ISNUMBER(E4786))),"",IFERROR(ROUND(N(INDEX(art_init,MATCH(C4786,art_ref,0)))+SUMIFS($E$5:E4786,$C$5:C4786,C4786,$B$5:B4786,"Entrée")-SUMIFS($E$5:E4786,$C$5:C4786,C4786,$B$5:B4786,"Sortie"),6),""))</f>
        <v/>
      </c>
      <c r="L4786" s="39" t="str">
        <f>IF(COUNTA(A4786:C4786,E4786)=0,"",IF(COUNTA(A4786:C4786,E4786)&lt;4,"Ligne incomplète",IF(NOT(ISNUMBER(A4786)),"Date invalide",IF(AND(B4786&lt;&gt;"Entrée",B4786&lt;&gt;"Sortie"),"Type inconnu",IF(ISNA(MATCH(C4786,art_ref,0)),"Référence inconnue",IF(OR(NOT(ISNUMBER(E4786)),N(E4786)&lt;=0),"Quantité invalide",IF(K4786&lt;0,"Stock négatif",IF(AND(ISNUMBER(A4785),A4786&lt;A4785),"Date hors ordre","OK"))))))))</f>
        <v/>
      </c>
      <c r="M4786" s="39" t="str">
        <f>IF(C4786="","",C4786&amp;"#"&amp;COUNTIF($C$5:C4786,C4786))</f>
        <v/>
      </c>
    </row>
    <row r="4787">
      <c r="A4787" s="41" t="n"/>
      <c r="B4787" s="37" t="n"/>
      <c r="C4787" s="37" t="n"/>
      <c r="D4787" s="39" t="str">
        <f>IF(C4787="","",IFERROR(INDEX(art_des,MATCH(C4787,art_ref,0))&amp;"","Référence inconnue"))</f>
        <v/>
      </c>
      <c r="E4787" s="37" t="n"/>
      <c r="F4787" s="39" t="str">
        <f>IF(C4787="","",IFERROR(INDEX(art_unit,MATCH(C4787,art_ref,0))&amp;"",""))</f>
        <v/>
      </c>
      <c r="G4787" s="37" t="n"/>
      <c r="H4787" s="37" t="n"/>
      <c r="I4787" s="37" t="n"/>
      <c r="J4787" s="40" t="str">
        <f>IF(OR(C4787="",NOT(ISNUMBER(E4787))),"",IFERROR(E4787*N(INDEX(art_price,MATCH(C4787,art_ref,0))),""))</f>
        <v/>
      </c>
      <c r="K4787" s="39" t="str">
        <f>IF(OR(C4787="",NOT(ISNUMBER(E4787))),"",IFERROR(ROUND(N(INDEX(art_init,MATCH(C4787,art_ref,0)))+SUMIFS($E$5:E4787,$C$5:C4787,C4787,$B$5:B4787,"Entrée")-SUMIFS($E$5:E4787,$C$5:C4787,C4787,$B$5:B4787,"Sortie"),6),""))</f>
        <v/>
      </c>
      <c r="L4787" s="39" t="str">
        <f>IF(COUNTA(A4787:C4787,E4787)=0,"",IF(COUNTA(A4787:C4787,E4787)&lt;4,"Ligne incomplète",IF(NOT(ISNUMBER(A4787)),"Date invalide",IF(AND(B4787&lt;&gt;"Entrée",B4787&lt;&gt;"Sortie"),"Type inconnu",IF(ISNA(MATCH(C4787,art_ref,0)),"Référence inconnue",IF(OR(NOT(ISNUMBER(E4787)),N(E4787)&lt;=0),"Quantité invalide",IF(K4787&lt;0,"Stock négatif",IF(AND(ISNUMBER(A4786),A4787&lt;A4786),"Date hors ordre","OK"))))))))</f>
        <v/>
      </c>
      <c r="M4787" s="39" t="str">
        <f>IF(C4787="","",C4787&amp;"#"&amp;COUNTIF($C$5:C4787,C4787))</f>
        <v/>
      </c>
    </row>
    <row r="4788">
      <c r="A4788" s="41" t="n"/>
      <c r="B4788" s="37" t="n"/>
      <c r="C4788" s="37" t="n"/>
      <c r="D4788" s="39" t="str">
        <f>IF(C4788="","",IFERROR(INDEX(art_des,MATCH(C4788,art_ref,0))&amp;"","Référence inconnue"))</f>
        <v/>
      </c>
      <c r="E4788" s="37" t="n"/>
      <c r="F4788" s="39" t="str">
        <f>IF(C4788="","",IFERROR(INDEX(art_unit,MATCH(C4788,art_ref,0))&amp;"",""))</f>
        <v/>
      </c>
      <c r="G4788" s="37" t="n"/>
      <c r="H4788" s="37" t="n"/>
      <c r="I4788" s="37" t="n"/>
      <c r="J4788" s="40" t="str">
        <f>IF(OR(C4788="",NOT(ISNUMBER(E4788))),"",IFERROR(E4788*N(INDEX(art_price,MATCH(C4788,art_ref,0))),""))</f>
        <v/>
      </c>
      <c r="K4788" s="39" t="str">
        <f>IF(OR(C4788="",NOT(ISNUMBER(E4788))),"",IFERROR(ROUND(N(INDEX(art_init,MATCH(C4788,art_ref,0)))+SUMIFS($E$5:E4788,$C$5:C4788,C4788,$B$5:B4788,"Entrée")-SUMIFS($E$5:E4788,$C$5:C4788,C4788,$B$5:B4788,"Sortie"),6),""))</f>
        <v/>
      </c>
      <c r="L4788" s="39" t="str">
        <f>IF(COUNTA(A4788:C4788,E4788)=0,"",IF(COUNTA(A4788:C4788,E4788)&lt;4,"Ligne incomplète",IF(NOT(ISNUMBER(A4788)),"Date invalide",IF(AND(B4788&lt;&gt;"Entrée",B4788&lt;&gt;"Sortie"),"Type inconnu",IF(ISNA(MATCH(C4788,art_ref,0)),"Référence inconnue",IF(OR(NOT(ISNUMBER(E4788)),N(E4788)&lt;=0),"Quantité invalide",IF(K4788&lt;0,"Stock négatif",IF(AND(ISNUMBER(A4787),A4788&lt;A4787),"Date hors ordre","OK"))))))))</f>
        <v/>
      </c>
      <c r="M4788" s="39" t="str">
        <f>IF(C4788="","",C4788&amp;"#"&amp;COUNTIF($C$5:C4788,C4788))</f>
        <v/>
      </c>
    </row>
    <row r="4789">
      <c r="A4789" s="41" t="n"/>
      <c r="B4789" s="37" t="n"/>
      <c r="C4789" s="37" t="n"/>
      <c r="D4789" s="39" t="str">
        <f>IF(C4789="","",IFERROR(INDEX(art_des,MATCH(C4789,art_ref,0))&amp;"","Référence inconnue"))</f>
        <v/>
      </c>
      <c r="E4789" s="37" t="n"/>
      <c r="F4789" s="39" t="str">
        <f>IF(C4789="","",IFERROR(INDEX(art_unit,MATCH(C4789,art_ref,0))&amp;"",""))</f>
        <v/>
      </c>
      <c r="G4789" s="37" t="n"/>
      <c r="H4789" s="37" t="n"/>
      <c r="I4789" s="37" t="n"/>
      <c r="J4789" s="40" t="str">
        <f>IF(OR(C4789="",NOT(ISNUMBER(E4789))),"",IFERROR(E4789*N(INDEX(art_price,MATCH(C4789,art_ref,0))),""))</f>
        <v/>
      </c>
      <c r="K4789" s="39" t="str">
        <f>IF(OR(C4789="",NOT(ISNUMBER(E4789))),"",IFERROR(ROUND(N(INDEX(art_init,MATCH(C4789,art_ref,0)))+SUMIFS($E$5:E4789,$C$5:C4789,C4789,$B$5:B4789,"Entrée")-SUMIFS($E$5:E4789,$C$5:C4789,C4789,$B$5:B4789,"Sortie"),6),""))</f>
        <v/>
      </c>
      <c r="L4789" s="39" t="str">
        <f>IF(COUNTA(A4789:C4789,E4789)=0,"",IF(COUNTA(A4789:C4789,E4789)&lt;4,"Ligne incomplète",IF(NOT(ISNUMBER(A4789)),"Date invalide",IF(AND(B4789&lt;&gt;"Entrée",B4789&lt;&gt;"Sortie"),"Type inconnu",IF(ISNA(MATCH(C4789,art_ref,0)),"Référence inconnue",IF(OR(NOT(ISNUMBER(E4789)),N(E4789)&lt;=0),"Quantité invalide",IF(K4789&lt;0,"Stock négatif",IF(AND(ISNUMBER(A4788),A4789&lt;A4788),"Date hors ordre","OK"))))))))</f>
        <v/>
      </c>
      <c r="M4789" s="39" t="str">
        <f>IF(C4789="","",C4789&amp;"#"&amp;COUNTIF($C$5:C4789,C4789))</f>
        <v/>
      </c>
    </row>
    <row r="4790">
      <c r="A4790" s="41" t="n"/>
      <c r="B4790" s="37" t="n"/>
      <c r="C4790" s="37" t="n"/>
      <c r="D4790" s="39" t="str">
        <f>IF(C4790="","",IFERROR(INDEX(art_des,MATCH(C4790,art_ref,0))&amp;"","Référence inconnue"))</f>
        <v/>
      </c>
      <c r="E4790" s="37" t="n"/>
      <c r="F4790" s="39" t="str">
        <f>IF(C4790="","",IFERROR(INDEX(art_unit,MATCH(C4790,art_ref,0))&amp;"",""))</f>
        <v/>
      </c>
      <c r="G4790" s="37" t="n"/>
      <c r="H4790" s="37" t="n"/>
      <c r="I4790" s="37" t="n"/>
      <c r="J4790" s="40" t="str">
        <f>IF(OR(C4790="",NOT(ISNUMBER(E4790))),"",IFERROR(E4790*N(INDEX(art_price,MATCH(C4790,art_ref,0))),""))</f>
        <v/>
      </c>
      <c r="K4790" s="39" t="str">
        <f>IF(OR(C4790="",NOT(ISNUMBER(E4790))),"",IFERROR(ROUND(N(INDEX(art_init,MATCH(C4790,art_ref,0)))+SUMIFS($E$5:E4790,$C$5:C4790,C4790,$B$5:B4790,"Entrée")-SUMIFS($E$5:E4790,$C$5:C4790,C4790,$B$5:B4790,"Sortie"),6),""))</f>
        <v/>
      </c>
      <c r="L4790" s="39" t="str">
        <f>IF(COUNTA(A4790:C4790,E4790)=0,"",IF(COUNTA(A4790:C4790,E4790)&lt;4,"Ligne incomplète",IF(NOT(ISNUMBER(A4790)),"Date invalide",IF(AND(B4790&lt;&gt;"Entrée",B4790&lt;&gt;"Sortie"),"Type inconnu",IF(ISNA(MATCH(C4790,art_ref,0)),"Référence inconnue",IF(OR(NOT(ISNUMBER(E4790)),N(E4790)&lt;=0),"Quantité invalide",IF(K4790&lt;0,"Stock négatif",IF(AND(ISNUMBER(A4789),A4790&lt;A4789),"Date hors ordre","OK"))))))))</f>
        <v/>
      </c>
      <c r="M4790" s="39" t="str">
        <f>IF(C4790="","",C4790&amp;"#"&amp;COUNTIF($C$5:C4790,C4790))</f>
        <v/>
      </c>
    </row>
    <row r="4791">
      <c r="A4791" s="41" t="n"/>
      <c r="B4791" s="37" t="n"/>
      <c r="C4791" s="37" t="n"/>
      <c r="D4791" s="39" t="str">
        <f>IF(C4791="","",IFERROR(INDEX(art_des,MATCH(C4791,art_ref,0))&amp;"","Référence inconnue"))</f>
        <v/>
      </c>
      <c r="E4791" s="37" t="n"/>
      <c r="F4791" s="39" t="str">
        <f>IF(C4791="","",IFERROR(INDEX(art_unit,MATCH(C4791,art_ref,0))&amp;"",""))</f>
        <v/>
      </c>
      <c r="G4791" s="37" t="n"/>
      <c r="H4791" s="37" t="n"/>
      <c r="I4791" s="37" t="n"/>
      <c r="J4791" s="40" t="str">
        <f>IF(OR(C4791="",NOT(ISNUMBER(E4791))),"",IFERROR(E4791*N(INDEX(art_price,MATCH(C4791,art_ref,0))),""))</f>
        <v/>
      </c>
      <c r="K4791" s="39" t="str">
        <f>IF(OR(C4791="",NOT(ISNUMBER(E4791))),"",IFERROR(ROUND(N(INDEX(art_init,MATCH(C4791,art_ref,0)))+SUMIFS($E$5:E4791,$C$5:C4791,C4791,$B$5:B4791,"Entrée")-SUMIFS($E$5:E4791,$C$5:C4791,C4791,$B$5:B4791,"Sortie"),6),""))</f>
        <v/>
      </c>
      <c r="L4791" s="39" t="str">
        <f>IF(COUNTA(A4791:C4791,E4791)=0,"",IF(COUNTA(A4791:C4791,E4791)&lt;4,"Ligne incomplète",IF(NOT(ISNUMBER(A4791)),"Date invalide",IF(AND(B4791&lt;&gt;"Entrée",B4791&lt;&gt;"Sortie"),"Type inconnu",IF(ISNA(MATCH(C4791,art_ref,0)),"Référence inconnue",IF(OR(NOT(ISNUMBER(E4791)),N(E4791)&lt;=0),"Quantité invalide",IF(K4791&lt;0,"Stock négatif",IF(AND(ISNUMBER(A4790),A4791&lt;A4790),"Date hors ordre","OK"))))))))</f>
        <v/>
      </c>
      <c r="M4791" s="39" t="str">
        <f>IF(C4791="","",C4791&amp;"#"&amp;COUNTIF($C$5:C4791,C4791))</f>
        <v/>
      </c>
    </row>
    <row r="4792">
      <c r="A4792" s="41" t="n"/>
      <c r="B4792" s="37" t="n"/>
      <c r="C4792" s="37" t="n"/>
      <c r="D4792" s="39" t="str">
        <f>IF(C4792="","",IFERROR(INDEX(art_des,MATCH(C4792,art_ref,0))&amp;"","Référence inconnue"))</f>
        <v/>
      </c>
      <c r="E4792" s="37" t="n"/>
      <c r="F4792" s="39" t="str">
        <f>IF(C4792="","",IFERROR(INDEX(art_unit,MATCH(C4792,art_ref,0))&amp;"",""))</f>
        <v/>
      </c>
      <c r="G4792" s="37" t="n"/>
      <c r="H4792" s="37" t="n"/>
      <c r="I4792" s="37" t="n"/>
      <c r="J4792" s="40" t="str">
        <f>IF(OR(C4792="",NOT(ISNUMBER(E4792))),"",IFERROR(E4792*N(INDEX(art_price,MATCH(C4792,art_ref,0))),""))</f>
        <v/>
      </c>
      <c r="K4792" s="39" t="str">
        <f>IF(OR(C4792="",NOT(ISNUMBER(E4792))),"",IFERROR(ROUND(N(INDEX(art_init,MATCH(C4792,art_ref,0)))+SUMIFS($E$5:E4792,$C$5:C4792,C4792,$B$5:B4792,"Entrée")-SUMIFS($E$5:E4792,$C$5:C4792,C4792,$B$5:B4792,"Sortie"),6),""))</f>
        <v/>
      </c>
      <c r="L4792" s="39" t="str">
        <f>IF(COUNTA(A4792:C4792,E4792)=0,"",IF(COUNTA(A4792:C4792,E4792)&lt;4,"Ligne incomplète",IF(NOT(ISNUMBER(A4792)),"Date invalide",IF(AND(B4792&lt;&gt;"Entrée",B4792&lt;&gt;"Sortie"),"Type inconnu",IF(ISNA(MATCH(C4792,art_ref,0)),"Référence inconnue",IF(OR(NOT(ISNUMBER(E4792)),N(E4792)&lt;=0),"Quantité invalide",IF(K4792&lt;0,"Stock négatif",IF(AND(ISNUMBER(A4791),A4792&lt;A4791),"Date hors ordre","OK"))))))))</f>
        <v/>
      </c>
      <c r="M4792" s="39" t="str">
        <f>IF(C4792="","",C4792&amp;"#"&amp;COUNTIF($C$5:C4792,C4792))</f>
        <v/>
      </c>
    </row>
    <row r="4793">
      <c r="A4793" s="41" t="n"/>
      <c r="B4793" s="37" t="n"/>
      <c r="C4793" s="37" t="n"/>
      <c r="D4793" s="39" t="str">
        <f>IF(C4793="","",IFERROR(INDEX(art_des,MATCH(C4793,art_ref,0))&amp;"","Référence inconnue"))</f>
        <v/>
      </c>
      <c r="E4793" s="37" t="n"/>
      <c r="F4793" s="39" t="str">
        <f>IF(C4793="","",IFERROR(INDEX(art_unit,MATCH(C4793,art_ref,0))&amp;"",""))</f>
        <v/>
      </c>
      <c r="G4793" s="37" t="n"/>
      <c r="H4793" s="37" t="n"/>
      <c r="I4793" s="37" t="n"/>
      <c r="J4793" s="40" t="str">
        <f>IF(OR(C4793="",NOT(ISNUMBER(E4793))),"",IFERROR(E4793*N(INDEX(art_price,MATCH(C4793,art_ref,0))),""))</f>
        <v/>
      </c>
      <c r="K4793" s="39" t="str">
        <f>IF(OR(C4793="",NOT(ISNUMBER(E4793))),"",IFERROR(ROUND(N(INDEX(art_init,MATCH(C4793,art_ref,0)))+SUMIFS($E$5:E4793,$C$5:C4793,C4793,$B$5:B4793,"Entrée")-SUMIFS($E$5:E4793,$C$5:C4793,C4793,$B$5:B4793,"Sortie"),6),""))</f>
        <v/>
      </c>
      <c r="L4793" s="39" t="str">
        <f>IF(COUNTA(A4793:C4793,E4793)=0,"",IF(COUNTA(A4793:C4793,E4793)&lt;4,"Ligne incomplète",IF(NOT(ISNUMBER(A4793)),"Date invalide",IF(AND(B4793&lt;&gt;"Entrée",B4793&lt;&gt;"Sortie"),"Type inconnu",IF(ISNA(MATCH(C4793,art_ref,0)),"Référence inconnue",IF(OR(NOT(ISNUMBER(E4793)),N(E4793)&lt;=0),"Quantité invalide",IF(K4793&lt;0,"Stock négatif",IF(AND(ISNUMBER(A4792),A4793&lt;A4792),"Date hors ordre","OK"))))))))</f>
        <v/>
      </c>
      <c r="M4793" s="39" t="str">
        <f>IF(C4793="","",C4793&amp;"#"&amp;COUNTIF($C$5:C4793,C4793))</f>
        <v/>
      </c>
    </row>
    <row r="4794">
      <c r="A4794" s="41" t="n"/>
      <c r="B4794" s="37" t="n"/>
      <c r="C4794" s="37" t="n"/>
      <c r="D4794" s="39" t="str">
        <f>IF(C4794="","",IFERROR(INDEX(art_des,MATCH(C4794,art_ref,0))&amp;"","Référence inconnue"))</f>
        <v/>
      </c>
      <c r="E4794" s="37" t="n"/>
      <c r="F4794" s="39" t="str">
        <f>IF(C4794="","",IFERROR(INDEX(art_unit,MATCH(C4794,art_ref,0))&amp;"",""))</f>
        <v/>
      </c>
      <c r="G4794" s="37" t="n"/>
      <c r="H4794" s="37" t="n"/>
      <c r="I4794" s="37" t="n"/>
      <c r="J4794" s="40" t="str">
        <f>IF(OR(C4794="",NOT(ISNUMBER(E4794))),"",IFERROR(E4794*N(INDEX(art_price,MATCH(C4794,art_ref,0))),""))</f>
        <v/>
      </c>
      <c r="K4794" s="39" t="str">
        <f>IF(OR(C4794="",NOT(ISNUMBER(E4794))),"",IFERROR(ROUND(N(INDEX(art_init,MATCH(C4794,art_ref,0)))+SUMIFS($E$5:E4794,$C$5:C4794,C4794,$B$5:B4794,"Entrée")-SUMIFS($E$5:E4794,$C$5:C4794,C4794,$B$5:B4794,"Sortie"),6),""))</f>
        <v/>
      </c>
      <c r="L4794" s="39" t="str">
        <f>IF(COUNTA(A4794:C4794,E4794)=0,"",IF(COUNTA(A4794:C4794,E4794)&lt;4,"Ligne incomplète",IF(NOT(ISNUMBER(A4794)),"Date invalide",IF(AND(B4794&lt;&gt;"Entrée",B4794&lt;&gt;"Sortie"),"Type inconnu",IF(ISNA(MATCH(C4794,art_ref,0)),"Référence inconnue",IF(OR(NOT(ISNUMBER(E4794)),N(E4794)&lt;=0),"Quantité invalide",IF(K4794&lt;0,"Stock négatif",IF(AND(ISNUMBER(A4793),A4794&lt;A4793),"Date hors ordre","OK"))))))))</f>
        <v/>
      </c>
      <c r="M4794" s="39" t="str">
        <f>IF(C4794="","",C4794&amp;"#"&amp;COUNTIF($C$5:C4794,C4794))</f>
        <v/>
      </c>
    </row>
    <row r="4795">
      <c r="A4795" s="41" t="n"/>
      <c r="B4795" s="37" t="n"/>
      <c r="C4795" s="37" t="n"/>
      <c r="D4795" s="39" t="str">
        <f>IF(C4795="","",IFERROR(INDEX(art_des,MATCH(C4795,art_ref,0))&amp;"","Référence inconnue"))</f>
        <v/>
      </c>
      <c r="E4795" s="37" t="n"/>
      <c r="F4795" s="39" t="str">
        <f>IF(C4795="","",IFERROR(INDEX(art_unit,MATCH(C4795,art_ref,0))&amp;"",""))</f>
        <v/>
      </c>
      <c r="G4795" s="37" t="n"/>
      <c r="H4795" s="37" t="n"/>
      <c r="I4795" s="37" t="n"/>
      <c r="J4795" s="40" t="str">
        <f>IF(OR(C4795="",NOT(ISNUMBER(E4795))),"",IFERROR(E4795*N(INDEX(art_price,MATCH(C4795,art_ref,0))),""))</f>
        <v/>
      </c>
      <c r="K4795" s="39" t="str">
        <f>IF(OR(C4795="",NOT(ISNUMBER(E4795))),"",IFERROR(ROUND(N(INDEX(art_init,MATCH(C4795,art_ref,0)))+SUMIFS($E$5:E4795,$C$5:C4795,C4795,$B$5:B4795,"Entrée")-SUMIFS($E$5:E4795,$C$5:C4795,C4795,$B$5:B4795,"Sortie"),6),""))</f>
        <v/>
      </c>
      <c r="L4795" s="39" t="str">
        <f>IF(COUNTA(A4795:C4795,E4795)=0,"",IF(COUNTA(A4795:C4795,E4795)&lt;4,"Ligne incomplète",IF(NOT(ISNUMBER(A4795)),"Date invalide",IF(AND(B4795&lt;&gt;"Entrée",B4795&lt;&gt;"Sortie"),"Type inconnu",IF(ISNA(MATCH(C4795,art_ref,0)),"Référence inconnue",IF(OR(NOT(ISNUMBER(E4795)),N(E4795)&lt;=0),"Quantité invalide",IF(K4795&lt;0,"Stock négatif",IF(AND(ISNUMBER(A4794),A4795&lt;A4794),"Date hors ordre","OK"))))))))</f>
        <v/>
      </c>
      <c r="M4795" s="39" t="str">
        <f>IF(C4795="","",C4795&amp;"#"&amp;COUNTIF($C$5:C4795,C4795))</f>
        <v/>
      </c>
    </row>
    <row r="4796">
      <c r="A4796" s="41" t="n"/>
      <c r="B4796" s="37" t="n"/>
      <c r="C4796" s="37" t="n"/>
      <c r="D4796" s="39" t="str">
        <f>IF(C4796="","",IFERROR(INDEX(art_des,MATCH(C4796,art_ref,0))&amp;"","Référence inconnue"))</f>
        <v/>
      </c>
      <c r="E4796" s="37" t="n"/>
      <c r="F4796" s="39" t="str">
        <f>IF(C4796="","",IFERROR(INDEX(art_unit,MATCH(C4796,art_ref,0))&amp;"",""))</f>
        <v/>
      </c>
      <c r="G4796" s="37" t="n"/>
      <c r="H4796" s="37" t="n"/>
      <c r="I4796" s="37" t="n"/>
      <c r="J4796" s="40" t="str">
        <f>IF(OR(C4796="",NOT(ISNUMBER(E4796))),"",IFERROR(E4796*N(INDEX(art_price,MATCH(C4796,art_ref,0))),""))</f>
        <v/>
      </c>
      <c r="K4796" s="39" t="str">
        <f>IF(OR(C4796="",NOT(ISNUMBER(E4796))),"",IFERROR(ROUND(N(INDEX(art_init,MATCH(C4796,art_ref,0)))+SUMIFS($E$5:E4796,$C$5:C4796,C4796,$B$5:B4796,"Entrée")-SUMIFS($E$5:E4796,$C$5:C4796,C4796,$B$5:B4796,"Sortie"),6),""))</f>
        <v/>
      </c>
      <c r="L4796" s="39" t="str">
        <f>IF(COUNTA(A4796:C4796,E4796)=0,"",IF(COUNTA(A4796:C4796,E4796)&lt;4,"Ligne incomplète",IF(NOT(ISNUMBER(A4796)),"Date invalide",IF(AND(B4796&lt;&gt;"Entrée",B4796&lt;&gt;"Sortie"),"Type inconnu",IF(ISNA(MATCH(C4796,art_ref,0)),"Référence inconnue",IF(OR(NOT(ISNUMBER(E4796)),N(E4796)&lt;=0),"Quantité invalide",IF(K4796&lt;0,"Stock négatif",IF(AND(ISNUMBER(A4795),A4796&lt;A4795),"Date hors ordre","OK"))))))))</f>
        <v/>
      </c>
      <c r="M4796" s="39" t="str">
        <f>IF(C4796="","",C4796&amp;"#"&amp;COUNTIF($C$5:C4796,C4796))</f>
        <v/>
      </c>
    </row>
    <row r="4797">
      <c r="A4797" s="41" t="n"/>
      <c r="B4797" s="37" t="n"/>
      <c r="C4797" s="37" t="n"/>
      <c r="D4797" s="39" t="str">
        <f>IF(C4797="","",IFERROR(INDEX(art_des,MATCH(C4797,art_ref,0))&amp;"","Référence inconnue"))</f>
        <v/>
      </c>
      <c r="E4797" s="37" t="n"/>
      <c r="F4797" s="39" t="str">
        <f>IF(C4797="","",IFERROR(INDEX(art_unit,MATCH(C4797,art_ref,0))&amp;"",""))</f>
        <v/>
      </c>
      <c r="G4797" s="37" t="n"/>
      <c r="H4797" s="37" t="n"/>
      <c r="I4797" s="37" t="n"/>
      <c r="J4797" s="40" t="str">
        <f>IF(OR(C4797="",NOT(ISNUMBER(E4797))),"",IFERROR(E4797*N(INDEX(art_price,MATCH(C4797,art_ref,0))),""))</f>
        <v/>
      </c>
      <c r="K4797" s="39" t="str">
        <f>IF(OR(C4797="",NOT(ISNUMBER(E4797))),"",IFERROR(ROUND(N(INDEX(art_init,MATCH(C4797,art_ref,0)))+SUMIFS($E$5:E4797,$C$5:C4797,C4797,$B$5:B4797,"Entrée")-SUMIFS($E$5:E4797,$C$5:C4797,C4797,$B$5:B4797,"Sortie"),6),""))</f>
        <v/>
      </c>
      <c r="L4797" s="39" t="str">
        <f>IF(COUNTA(A4797:C4797,E4797)=0,"",IF(COUNTA(A4797:C4797,E4797)&lt;4,"Ligne incomplète",IF(NOT(ISNUMBER(A4797)),"Date invalide",IF(AND(B4797&lt;&gt;"Entrée",B4797&lt;&gt;"Sortie"),"Type inconnu",IF(ISNA(MATCH(C4797,art_ref,0)),"Référence inconnue",IF(OR(NOT(ISNUMBER(E4797)),N(E4797)&lt;=0),"Quantité invalide",IF(K4797&lt;0,"Stock négatif",IF(AND(ISNUMBER(A4796),A4797&lt;A4796),"Date hors ordre","OK"))))))))</f>
        <v/>
      </c>
      <c r="M4797" s="39" t="str">
        <f>IF(C4797="","",C4797&amp;"#"&amp;COUNTIF($C$5:C4797,C4797))</f>
        <v/>
      </c>
    </row>
    <row r="4798">
      <c r="A4798" s="41" t="n"/>
      <c r="B4798" s="37" t="n"/>
      <c r="C4798" s="37" t="n"/>
      <c r="D4798" s="39" t="str">
        <f>IF(C4798="","",IFERROR(INDEX(art_des,MATCH(C4798,art_ref,0))&amp;"","Référence inconnue"))</f>
        <v/>
      </c>
      <c r="E4798" s="37" t="n"/>
      <c r="F4798" s="39" t="str">
        <f>IF(C4798="","",IFERROR(INDEX(art_unit,MATCH(C4798,art_ref,0))&amp;"",""))</f>
        <v/>
      </c>
      <c r="G4798" s="37" t="n"/>
      <c r="H4798" s="37" t="n"/>
      <c r="I4798" s="37" t="n"/>
      <c r="J4798" s="40" t="str">
        <f>IF(OR(C4798="",NOT(ISNUMBER(E4798))),"",IFERROR(E4798*N(INDEX(art_price,MATCH(C4798,art_ref,0))),""))</f>
        <v/>
      </c>
      <c r="K4798" s="39" t="str">
        <f>IF(OR(C4798="",NOT(ISNUMBER(E4798))),"",IFERROR(ROUND(N(INDEX(art_init,MATCH(C4798,art_ref,0)))+SUMIFS($E$5:E4798,$C$5:C4798,C4798,$B$5:B4798,"Entrée")-SUMIFS($E$5:E4798,$C$5:C4798,C4798,$B$5:B4798,"Sortie"),6),""))</f>
        <v/>
      </c>
      <c r="L4798" s="39" t="str">
        <f>IF(COUNTA(A4798:C4798,E4798)=0,"",IF(COUNTA(A4798:C4798,E4798)&lt;4,"Ligne incomplète",IF(NOT(ISNUMBER(A4798)),"Date invalide",IF(AND(B4798&lt;&gt;"Entrée",B4798&lt;&gt;"Sortie"),"Type inconnu",IF(ISNA(MATCH(C4798,art_ref,0)),"Référence inconnue",IF(OR(NOT(ISNUMBER(E4798)),N(E4798)&lt;=0),"Quantité invalide",IF(K4798&lt;0,"Stock négatif",IF(AND(ISNUMBER(A4797),A4798&lt;A4797),"Date hors ordre","OK"))))))))</f>
        <v/>
      </c>
      <c r="M4798" s="39" t="str">
        <f>IF(C4798="","",C4798&amp;"#"&amp;COUNTIF($C$5:C4798,C4798))</f>
        <v/>
      </c>
    </row>
    <row r="4799">
      <c r="A4799" s="41" t="n"/>
      <c r="B4799" s="37" t="n"/>
      <c r="C4799" s="37" t="n"/>
      <c r="D4799" s="39" t="str">
        <f>IF(C4799="","",IFERROR(INDEX(art_des,MATCH(C4799,art_ref,0))&amp;"","Référence inconnue"))</f>
        <v/>
      </c>
      <c r="E4799" s="37" t="n"/>
      <c r="F4799" s="39" t="str">
        <f>IF(C4799="","",IFERROR(INDEX(art_unit,MATCH(C4799,art_ref,0))&amp;"",""))</f>
        <v/>
      </c>
      <c r="G4799" s="37" t="n"/>
      <c r="H4799" s="37" t="n"/>
      <c r="I4799" s="37" t="n"/>
      <c r="J4799" s="40" t="str">
        <f>IF(OR(C4799="",NOT(ISNUMBER(E4799))),"",IFERROR(E4799*N(INDEX(art_price,MATCH(C4799,art_ref,0))),""))</f>
        <v/>
      </c>
      <c r="K4799" s="39" t="str">
        <f>IF(OR(C4799="",NOT(ISNUMBER(E4799))),"",IFERROR(ROUND(N(INDEX(art_init,MATCH(C4799,art_ref,0)))+SUMIFS($E$5:E4799,$C$5:C4799,C4799,$B$5:B4799,"Entrée")-SUMIFS($E$5:E4799,$C$5:C4799,C4799,$B$5:B4799,"Sortie"),6),""))</f>
        <v/>
      </c>
      <c r="L4799" s="39" t="str">
        <f>IF(COUNTA(A4799:C4799,E4799)=0,"",IF(COUNTA(A4799:C4799,E4799)&lt;4,"Ligne incomplète",IF(NOT(ISNUMBER(A4799)),"Date invalide",IF(AND(B4799&lt;&gt;"Entrée",B4799&lt;&gt;"Sortie"),"Type inconnu",IF(ISNA(MATCH(C4799,art_ref,0)),"Référence inconnue",IF(OR(NOT(ISNUMBER(E4799)),N(E4799)&lt;=0),"Quantité invalide",IF(K4799&lt;0,"Stock négatif",IF(AND(ISNUMBER(A4798),A4799&lt;A4798),"Date hors ordre","OK"))))))))</f>
        <v/>
      </c>
      <c r="M4799" s="39" t="str">
        <f>IF(C4799="","",C4799&amp;"#"&amp;COUNTIF($C$5:C4799,C4799))</f>
        <v/>
      </c>
    </row>
    <row r="4800">
      <c r="A4800" s="41" t="n"/>
      <c r="B4800" s="37" t="n"/>
      <c r="C4800" s="37" t="n"/>
      <c r="D4800" s="39" t="str">
        <f>IF(C4800="","",IFERROR(INDEX(art_des,MATCH(C4800,art_ref,0))&amp;"","Référence inconnue"))</f>
        <v/>
      </c>
      <c r="E4800" s="37" t="n"/>
      <c r="F4800" s="39" t="str">
        <f>IF(C4800="","",IFERROR(INDEX(art_unit,MATCH(C4800,art_ref,0))&amp;"",""))</f>
        <v/>
      </c>
      <c r="G4800" s="37" t="n"/>
      <c r="H4800" s="37" t="n"/>
      <c r="I4800" s="37" t="n"/>
      <c r="J4800" s="40" t="str">
        <f>IF(OR(C4800="",NOT(ISNUMBER(E4800))),"",IFERROR(E4800*N(INDEX(art_price,MATCH(C4800,art_ref,0))),""))</f>
        <v/>
      </c>
      <c r="K4800" s="39" t="str">
        <f>IF(OR(C4800="",NOT(ISNUMBER(E4800))),"",IFERROR(ROUND(N(INDEX(art_init,MATCH(C4800,art_ref,0)))+SUMIFS($E$5:E4800,$C$5:C4800,C4800,$B$5:B4800,"Entrée")-SUMIFS($E$5:E4800,$C$5:C4800,C4800,$B$5:B4800,"Sortie"),6),""))</f>
        <v/>
      </c>
      <c r="L4800" s="39" t="str">
        <f>IF(COUNTA(A4800:C4800,E4800)=0,"",IF(COUNTA(A4800:C4800,E4800)&lt;4,"Ligne incomplète",IF(NOT(ISNUMBER(A4800)),"Date invalide",IF(AND(B4800&lt;&gt;"Entrée",B4800&lt;&gt;"Sortie"),"Type inconnu",IF(ISNA(MATCH(C4800,art_ref,0)),"Référence inconnue",IF(OR(NOT(ISNUMBER(E4800)),N(E4800)&lt;=0),"Quantité invalide",IF(K4800&lt;0,"Stock négatif",IF(AND(ISNUMBER(A4799),A4800&lt;A4799),"Date hors ordre","OK"))))))))</f>
        <v/>
      </c>
      <c r="M4800" s="39" t="str">
        <f>IF(C4800="","",C4800&amp;"#"&amp;COUNTIF($C$5:C4800,C4800))</f>
        <v/>
      </c>
    </row>
    <row r="4801">
      <c r="A4801" s="41" t="n"/>
      <c r="B4801" s="37" t="n"/>
      <c r="C4801" s="37" t="n"/>
      <c r="D4801" s="39" t="str">
        <f>IF(C4801="","",IFERROR(INDEX(art_des,MATCH(C4801,art_ref,0))&amp;"","Référence inconnue"))</f>
        <v/>
      </c>
      <c r="E4801" s="37" t="n"/>
      <c r="F4801" s="39" t="str">
        <f>IF(C4801="","",IFERROR(INDEX(art_unit,MATCH(C4801,art_ref,0))&amp;"",""))</f>
        <v/>
      </c>
      <c r="G4801" s="37" t="n"/>
      <c r="H4801" s="37" t="n"/>
      <c r="I4801" s="37" t="n"/>
      <c r="J4801" s="40" t="str">
        <f>IF(OR(C4801="",NOT(ISNUMBER(E4801))),"",IFERROR(E4801*N(INDEX(art_price,MATCH(C4801,art_ref,0))),""))</f>
        <v/>
      </c>
      <c r="K4801" s="39" t="str">
        <f>IF(OR(C4801="",NOT(ISNUMBER(E4801))),"",IFERROR(ROUND(N(INDEX(art_init,MATCH(C4801,art_ref,0)))+SUMIFS($E$5:E4801,$C$5:C4801,C4801,$B$5:B4801,"Entrée")-SUMIFS($E$5:E4801,$C$5:C4801,C4801,$B$5:B4801,"Sortie"),6),""))</f>
        <v/>
      </c>
      <c r="L4801" s="39" t="str">
        <f>IF(COUNTA(A4801:C4801,E4801)=0,"",IF(COUNTA(A4801:C4801,E4801)&lt;4,"Ligne incomplète",IF(NOT(ISNUMBER(A4801)),"Date invalide",IF(AND(B4801&lt;&gt;"Entrée",B4801&lt;&gt;"Sortie"),"Type inconnu",IF(ISNA(MATCH(C4801,art_ref,0)),"Référence inconnue",IF(OR(NOT(ISNUMBER(E4801)),N(E4801)&lt;=0),"Quantité invalide",IF(K4801&lt;0,"Stock négatif",IF(AND(ISNUMBER(A4800),A4801&lt;A4800),"Date hors ordre","OK"))))))))</f>
        <v/>
      </c>
      <c r="M4801" s="39" t="str">
        <f>IF(C4801="","",C4801&amp;"#"&amp;COUNTIF($C$5:C4801,C4801))</f>
        <v/>
      </c>
    </row>
    <row r="4802">
      <c r="A4802" s="41" t="n"/>
      <c r="B4802" s="37" t="n"/>
      <c r="C4802" s="37" t="n"/>
      <c r="D4802" s="39" t="str">
        <f>IF(C4802="","",IFERROR(INDEX(art_des,MATCH(C4802,art_ref,0))&amp;"","Référence inconnue"))</f>
        <v/>
      </c>
      <c r="E4802" s="37" t="n"/>
      <c r="F4802" s="39" t="str">
        <f>IF(C4802="","",IFERROR(INDEX(art_unit,MATCH(C4802,art_ref,0))&amp;"",""))</f>
        <v/>
      </c>
      <c r="G4802" s="37" t="n"/>
      <c r="H4802" s="37" t="n"/>
      <c r="I4802" s="37" t="n"/>
      <c r="J4802" s="40" t="str">
        <f>IF(OR(C4802="",NOT(ISNUMBER(E4802))),"",IFERROR(E4802*N(INDEX(art_price,MATCH(C4802,art_ref,0))),""))</f>
        <v/>
      </c>
      <c r="K4802" s="39" t="str">
        <f>IF(OR(C4802="",NOT(ISNUMBER(E4802))),"",IFERROR(ROUND(N(INDEX(art_init,MATCH(C4802,art_ref,0)))+SUMIFS($E$5:E4802,$C$5:C4802,C4802,$B$5:B4802,"Entrée")-SUMIFS($E$5:E4802,$C$5:C4802,C4802,$B$5:B4802,"Sortie"),6),""))</f>
        <v/>
      </c>
      <c r="L4802" s="39" t="str">
        <f>IF(COUNTA(A4802:C4802,E4802)=0,"",IF(COUNTA(A4802:C4802,E4802)&lt;4,"Ligne incomplète",IF(NOT(ISNUMBER(A4802)),"Date invalide",IF(AND(B4802&lt;&gt;"Entrée",B4802&lt;&gt;"Sortie"),"Type inconnu",IF(ISNA(MATCH(C4802,art_ref,0)),"Référence inconnue",IF(OR(NOT(ISNUMBER(E4802)),N(E4802)&lt;=0),"Quantité invalide",IF(K4802&lt;0,"Stock négatif",IF(AND(ISNUMBER(A4801),A4802&lt;A4801),"Date hors ordre","OK"))))))))</f>
        <v/>
      </c>
      <c r="M4802" s="39" t="str">
        <f>IF(C4802="","",C4802&amp;"#"&amp;COUNTIF($C$5:C4802,C4802))</f>
        <v/>
      </c>
    </row>
    <row r="4803">
      <c r="A4803" s="41" t="n"/>
      <c r="B4803" s="37" t="n"/>
      <c r="C4803" s="37" t="n"/>
      <c r="D4803" s="39" t="str">
        <f>IF(C4803="","",IFERROR(INDEX(art_des,MATCH(C4803,art_ref,0))&amp;"","Référence inconnue"))</f>
        <v/>
      </c>
      <c r="E4803" s="37" t="n"/>
      <c r="F4803" s="39" t="str">
        <f>IF(C4803="","",IFERROR(INDEX(art_unit,MATCH(C4803,art_ref,0))&amp;"",""))</f>
        <v/>
      </c>
      <c r="G4803" s="37" t="n"/>
      <c r="H4803" s="37" t="n"/>
      <c r="I4803" s="37" t="n"/>
      <c r="J4803" s="40" t="str">
        <f>IF(OR(C4803="",NOT(ISNUMBER(E4803))),"",IFERROR(E4803*N(INDEX(art_price,MATCH(C4803,art_ref,0))),""))</f>
        <v/>
      </c>
      <c r="K4803" s="39" t="str">
        <f>IF(OR(C4803="",NOT(ISNUMBER(E4803))),"",IFERROR(ROUND(N(INDEX(art_init,MATCH(C4803,art_ref,0)))+SUMIFS($E$5:E4803,$C$5:C4803,C4803,$B$5:B4803,"Entrée")-SUMIFS($E$5:E4803,$C$5:C4803,C4803,$B$5:B4803,"Sortie"),6),""))</f>
        <v/>
      </c>
      <c r="L4803" s="39" t="str">
        <f>IF(COUNTA(A4803:C4803,E4803)=0,"",IF(COUNTA(A4803:C4803,E4803)&lt;4,"Ligne incomplète",IF(NOT(ISNUMBER(A4803)),"Date invalide",IF(AND(B4803&lt;&gt;"Entrée",B4803&lt;&gt;"Sortie"),"Type inconnu",IF(ISNA(MATCH(C4803,art_ref,0)),"Référence inconnue",IF(OR(NOT(ISNUMBER(E4803)),N(E4803)&lt;=0),"Quantité invalide",IF(K4803&lt;0,"Stock négatif",IF(AND(ISNUMBER(A4802),A4803&lt;A4802),"Date hors ordre","OK"))))))))</f>
        <v/>
      </c>
      <c r="M4803" s="39" t="str">
        <f>IF(C4803="","",C4803&amp;"#"&amp;COUNTIF($C$5:C4803,C4803))</f>
        <v/>
      </c>
    </row>
    <row r="4804">
      <c r="A4804" s="41" t="n"/>
      <c r="B4804" s="37" t="n"/>
      <c r="C4804" s="37" t="n"/>
      <c r="D4804" s="39" t="str">
        <f>IF(C4804="","",IFERROR(INDEX(art_des,MATCH(C4804,art_ref,0))&amp;"","Référence inconnue"))</f>
        <v/>
      </c>
      <c r="E4804" s="37" t="n"/>
      <c r="F4804" s="39" t="str">
        <f>IF(C4804="","",IFERROR(INDEX(art_unit,MATCH(C4804,art_ref,0))&amp;"",""))</f>
        <v/>
      </c>
      <c r="G4804" s="37" t="n"/>
      <c r="H4804" s="37" t="n"/>
      <c r="I4804" s="37" t="n"/>
      <c r="J4804" s="40" t="str">
        <f>IF(OR(C4804="",NOT(ISNUMBER(E4804))),"",IFERROR(E4804*N(INDEX(art_price,MATCH(C4804,art_ref,0))),""))</f>
        <v/>
      </c>
      <c r="K4804" s="39" t="str">
        <f>IF(OR(C4804="",NOT(ISNUMBER(E4804))),"",IFERROR(ROUND(N(INDEX(art_init,MATCH(C4804,art_ref,0)))+SUMIFS($E$5:E4804,$C$5:C4804,C4804,$B$5:B4804,"Entrée")-SUMIFS($E$5:E4804,$C$5:C4804,C4804,$B$5:B4804,"Sortie"),6),""))</f>
        <v/>
      </c>
      <c r="L4804" s="39" t="str">
        <f>IF(COUNTA(A4804:C4804,E4804)=0,"",IF(COUNTA(A4804:C4804,E4804)&lt;4,"Ligne incomplète",IF(NOT(ISNUMBER(A4804)),"Date invalide",IF(AND(B4804&lt;&gt;"Entrée",B4804&lt;&gt;"Sortie"),"Type inconnu",IF(ISNA(MATCH(C4804,art_ref,0)),"Référence inconnue",IF(OR(NOT(ISNUMBER(E4804)),N(E4804)&lt;=0),"Quantité invalide",IF(K4804&lt;0,"Stock négatif",IF(AND(ISNUMBER(A4803),A4804&lt;A4803),"Date hors ordre","OK"))))))))</f>
        <v/>
      </c>
      <c r="M4804" s="39" t="str">
        <f>IF(C4804="","",C4804&amp;"#"&amp;COUNTIF($C$5:C4804,C4804))</f>
        <v/>
      </c>
    </row>
    <row r="4805">
      <c r="A4805" s="41" t="n"/>
      <c r="B4805" s="37" t="n"/>
      <c r="C4805" s="37" t="n"/>
      <c r="D4805" s="39" t="str">
        <f>IF(C4805="","",IFERROR(INDEX(art_des,MATCH(C4805,art_ref,0))&amp;"","Référence inconnue"))</f>
        <v/>
      </c>
      <c r="E4805" s="37" t="n"/>
      <c r="F4805" s="39" t="str">
        <f>IF(C4805="","",IFERROR(INDEX(art_unit,MATCH(C4805,art_ref,0))&amp;"",""))</f>
        <v/>
      </c>
      <c r="G4805" s="37" t="n"/>
      <c r="H4805" s="37" t="n"/>
      <c r="I4805" s="37" t="n"/>
      <c r="J4805" s="40" t="str">
        <f>IF(OR(C4805="",NOT(ISNUMBER(E4805))),"",IFERROR(E4805*N(INDEX(art_price,MATCH(C4805,art_ref,0))),""))</f>
        <v/>
      </c>
      <c r="K4805" s="39" t="str">
        <f>IF(OR(C4805="",NOT(ISNUMBER(E4805))),"",IFERROR(ROUND(N(INDEX(art_init,MATCH(C4805,art_ref,0)))+SUMIFS($E$5:E4805,$C$5:C4805,C4805,$B$5:B4805,"Entrée")-SUMIFS($E$5:E4805,$C$5:C4805,C4805,$B$5:B4805,"Sortie"),6),""))</f>
        <v/>
      </c>
      <c r="L4805" s="39" t="str">
        <f>IF(COUNTA(A4805:C4805,E4805)=0,"",IF(COUNTA(A4805:C4805,E4805)&lt;4,"Ligne incomplète",IF(NOT(ISNUMBER(A4805)),"Date invalide",IF(AND(B4805&lt;&gt;"Entrée",B4805&lt;&gt;"Sortie"),"Type inconnu",IF(ISNA(MATCH(C4805,art_ref,0)),"Référence inconnue",IF(OR(NOT(ISNUMBER(E4805)),N(E4805)&lt;=0),"Quantité invalide",IF(K4805&lt;0,"Stock négatif",IF(AND(ISNUMBER(A4804),A4805&lt;A4804),"Date hors ordre","OK"))))))))</f>
        <v/>
      </c>
      <c r="M4805" s="39" t="str">
        <f>IF(C4805="","",C4805&amp;"#"&amp;COUNTIF($C$5:C4805,C4805))</f>
        <v/>
      </c>
    </row>
    <row r="4806">
      <c r="A4806" s="41" t="n"/>
      <c r="B4806" s="37" t="n"/>
      <c r="C4806" s="37" t="n"/>
      <c r="D4806" s="39" t="str">
        <f>IF(C4806="","",IFERROR(INDEX(art_des,MATCH(C4806,art_ref,0))&amp;"","Référence inconnue"))</f>
        <v/>
      </c>
      <c r="E4806" s="37" t="n"/>
      <c r="F4806" s="39" t="str">
        <f>IF(C4806="","",IFERROR(INDEX(art_unit,MATCH(C4806,art_ref,0))&amp;"",""))</f>
        <v/>
      </c>
      <c r="G4806" s="37" t="n"/>
      <c r="H4806" s="37" t="n"/>
      <c r="I4806" s="37" t="n"/>
      <c r="J4806" s="40" t="str">
        <f>IF(OR(C4806="",NOT(ISNUMBER(E4806))),"",IFERROR(E4806*N(INDEX(art_price,MATCH(C4806,art_ref,0))),""))</f>
        <v/>
      </c>
      <c r="K4806" s="39" t="str">
        <f>IF(OR(C4806="",NOT(ISNUMBER(E4806))),"",IFERROR(ROUND(N(INDEX(art_init,MATCH(C4806,art_ref,0)))+SUMIFS($E$5:E4806,$C$5:C4806,C4806,$B$5:B4806,"Entrée")-SUMIFS($E$5:E4806,$C$5:C4806,C4806,$B$5:B4806,"Sortie"),6),""))</f>
        <v/>
      </c>
      <c r="L4806" s="39" t="str">
        <f>IF(COUNTA(A4806:C4806,E4806)=0,"",IF(COUNTA(A4806:C4806,E4806)&lt;4,"Ligne incomplète",IF(NOT(ISNUMBER(A4806)),"Date invalide",IF(AND(B4806&lt;&gt;"Entrée",B4806&lt;&gt;"Sortie"),"Type inconnu",IF(ISNA(MATCH(C4806,art_ref,0)),"Référence inconnue",IF(OR(NOT(ISNUMBER(E4806)),N(E4806)&lt;=0),"Quantité invalide",IF(K4806&lt;0,"Stock négatif",IF(AND(ISNUMBER(A4805),A4806&lt;A4805),"Date hors ordre","OK"))))))))</f>
        <v/>
      </c>
      <c r="M4806" s="39" t="str">
        <f>IF(C4806="","",C4806&amp;"#"&amp;COUNTIF($C$5:C4806,C4806))</f>
        <v/>
      </c>
    </row>
    <row r="4807">
      <c r="A4807" s="41" t="n"/>
      <c r="B4807" s="37" t="n"/>
      <c r="C4807" s="37" t="n"/>
      <c r="D4807" s="39" t="str">
        <f>IF(C4807="","",IFERROR(INDEX(art_des,MATCH(C4807,art_ref,0))&amp;"","Référence inconnue"))</f>
        <v/>
      </c>
      <c r="E4807" s="37" t="n"/>
      <c r="F4807" s="39" t="str">
        <f>IF(C4807="","",IFERROR(INDEX(art_unit,MATCH(C4807,art_ref,0))&amp;"",""))</f>
        <v/>
      </c>
      <c r="G4807" s="37" t="n"/>
      <c r="H4807" s="37" t="n"/>
      <c r="I4807" s="37" t="n"/>
      <c r="J4807" s="40" t="str">
        <f>IF(OR(C4807="",NOT(ISNUMBER(E4807))),"",IFERROR(E4807*N(INDEX(art_price,MATCH(C4807,art_ref,0))),""))</f>
        <v/>
      </c>
      <c r="K4807" s="39" t="str">
        <f>IF(OR(C4807="",NOT(ISNUMBER(E4807))),"",IFERROR(ROUND(N(INDEX(art_init,MATCH(C4807,art_ref,0)))+SUMIFS($E$5:E4807,$C$5:C4807,C4807,$B$5:B4807,"Entrée")-SUMIFS($E$5:E4807,$C$5:C4807,C4807,$B$5:B4807,"Sortie"),6),""))</f>
        <v/>
      </c>
      <c r="L4807" s="39" t="str">
        <f>IF(COUNTA(A4807:C4807,E4807)=0,"",IF(COUNTA(A4807:C4807,E4807)&lt;4,"Ligne incomplète",IF(NOT(ISNUMBER(A4807)),"Date invalide",IF(AND(B4807&lt;&gt;"Entrée",B4807&lt;&gt;"Sortie"),"Type inconnu",IF(ISNA(MATCH(C4807,art_ref,0)),"Référence inconnue",IF(OR(NOT(ISNUMBER(E4807)),N(E4807)&lt;=0),"Quantité invalide",IF(K4807&lt;0,"Stock négatif",IF(AND(ISNUMBER(A4806),A4807&lt;A4806),"Date hors ordre","OK"))))))))</f>
        <v/>
      </c>
      <c r="M4807" s="39" t="str">
        <f>IF(C4807="","",C4807&amp;"#"&amp;COUNTIF($C$5:C4807,C4807))</f>
        <v/>
      </c>
    </row>
    <row r="4808">
      <c r="A4808" s="41" t="n"/>
      <c r="B4808" s="37" t="n"/>
      <c r="C4808" s="37" t="n"/>
      <c r="D4808" s="39" t="str">
        <f>IF(C4808="","",IFERROR(INDEX(art_des,MATCH(C4808,art_ref,0))&amp;"","Référence inconnue"))</f>
        <v/>
      </c>
      <c r="E4808" s="37" t="n"/>
      <c r="F4808" s="39" t="str">
        <f>IF(C4808="","",IFERROR(INDEX(art_unit,MATCH(C4808,art_ref,0))&amp;"",""))</f>
        <v/>
      </c>
      <c r="G4808" s="37" t="n"/>
      <c r="H4808" s="37" t="n"/>
      <c r="I4808" s="37" t="n"/>
      <c r="J4808" s="40" t="str">
        <f>IF(OR(C4808="",NOT(ISNUMBER(E4808))),"",IFERROR(E4808*N(INDEX(art_price,MATCH(C4808,art_ref,0))),""))</f>
        <v/>
      </c>
      <c r="K4808" s="39" t="str">
        <f>IF(OR(C4808="",NOT(ISNUMBER(E4808))),"",IFERROR(ROUND(N(INDEX(art_init,MATCH(C4808,art_ref,0)))+SUMIFS($E$5:E4808,$C$5:C4808,C4808,$B$5:B4808,"Entrée")-SUMIFS($E$5:E4808,$C$5:C4808,C4808,$B$5:B4808,"Sortie"),6),""))</f>
        <v/>
      </c>
      <c r="L4808" s="39" t="str">
        <f>IF(COUNTA(A4808:C4808,E4808)=0,"",IF(COUNTA(A4808:C4808,E4808)&lt;4,"Ligne incomplète",IF(NOT(ISNUMBER(A4808)),"Date invalide",IF(AND(B4808&lt;&gt;"Entrée",B4808&lt;&gt;"Sortie"),"Type inconnu",IF(ISNA(MATCH(C4808,art_ref,0)),"Référence inconnue",IF(OR(NOT(ISNUMBER(E4808)),N(E4808)&lt;=0),"Quantité invalide",IF(K4808&lt;0,"Stock négatif",IF(AND(ISNUMBER(A4807),A4808&lt;A4807),"Date hors ordre","OK"))))))))</f>
        <v/>
      </c>
      <c r="M4808" s="39" t="str">
        <f>IF(C4808="","",C4808&amp;"#"&amp;COUNTIF($C$5:C4808,C4808))</f>
        <v/>
      </c>
    </row>
    <row r="4809">
      <c r="A4809" s="41" t="n"/>
      <c r="B4809" s="37" t="n"/>
      <c r="C4809" s="37" t="n"/>
      <c r="D4809" s="39" t="str">
        <f>IF(C4809="","",IFERROR(INDEX(art_des,MATCH(C4809,art_ref,0))&amp;"","Référence inconnue"))</f>
        <v/>
      </c>
      <c r="E4809" s="37" t="n"/>
      <c r="F4809" s="39" t="str">
        <f>IF(C4809="","",IFERROR(INDEX(art_unit,MATCH(C4809,art_ref,0))&amp;"",""))</f>
        <v/>
      </c>
      <c r="G4809" s="37" t="n"/>
      <c r="H4809" s="37" t="n"/>
      <c r="I4809" s="37" t="n"/>
      <c r="J4809" s="40" t="str">
        <f>IF(OR(C4809="",NOT(ISNUMBER(E4809))),"",IFERROR(E4809*N(INDEX(art_price,MATCH(C4809,art_ref,0))),""))</f>
        <v/>
      </c>
      <c r="K4809" s="39" t="str">
        <f>IF(OR(C4809="",NOT(ISNUMBER(E4809))),"",IFERROR(ROUND(N(INDEX(art_init,MATCH(C4809,art_ref,0)))+SUMIFS($E$5:E4809,$C$5:C4809,C4809,$B$5:B4809,"Entrée")-SUMIFS($E$5:E4809,$C$5:C4809,C4809,$B$5:B4809,"Sortie"),6),""))</f>
        <v/>
      </c>
      <c r="L4809" s="39" t="str">
        <f>IF(COUNTA(A4809:C4809,E4809)=0,"",IF(COUNTA(A4809:C4809,E4809)&lt;4,"Ligne incomplète",IF(NOT(ISNUMBER(A4809)),"Date invalide",IF(AND(B4809&lt;&gt;"Entrée",B4809&lt;&gt;"Sortie"),"Type inconnu",IF(ISNA(MATCH(C4809,art_ref,0)),"Référence inconnue",IF(OR(NOT(ISNUMBER(E4809)),N(E4809)&lt;=0),"Quantité invalide",IF(K4809&lt;0,"Stock négatif",IF(AND(ISNUMBER(A4808),A4809&lt;A4808),"Date hors ordre","OK"))))))))</f>
        <v/>
      </c>
      <c r="M4809" s="39" t="str">
        <f>IF(C4809="","",C4809&amp;"#"&amp;COUNTIF($C$5:C4809,C4809))</f>
        <v/>
      </c>
    </row>
    <row r="4810">
      <c r="A4810" s="41" t="n"/>
      <c r="B4810" s="37" t="n"/>
      <c r="C4810" s="37" t="n"/>
      <c r="D4810" s="39" t="str">
        <f>IF(C4810="","",IFERROR(INDEX(art_des,MATCH(C4810,art_ref,0))&amp;"","Référence inconnue"))</f>
        <v/>
      </c>
      <c r="E4810" s="37" t="n"/>
      <c r="F4810" s="39" t="str">
        <f>IF(C4810="","",IFERROR(INDEX(art_unit,MATCH(C4810,art_ref,0))&amp;"",""))</f>
        <v/>
      </c>
      <c r="G4810" s="37" t="n"/>
      <c r="H4810" s="37" t="n"/>
      <c r="I4810" s="37" t="n"/>
      <c r="J4810" s="40" t="str">
        <f>IF(OR(C4810="",NOT(ISNUMBER(E4810))),"",IFERROR(E4810*N(INDEX(art_price,MATCH(C4810,art_ref,0))),""))</f>
        <v/>
      </c>
      <c r="K4810" s="39" t="str">
        <f>IF(OR(C4810="",NOT(ISNUMBER(E4810))),"",IFERROR(ROUND(N(INDEX(art_init,MATCH(C4810,art_ref,0)))+SUMIFS($E$5:E4810,$C$5:C4810,C4810,$B$5:B4810,"Entrée")-SUMIFS($E$5:E4810,$C$5:C4810,C4810,$B$5:B4810,"Sortie"),6),""))</f>
        <v/>
      </c>
      <c r="L4810" s="39" t="str">
        <f>IF(COUNTA(A4810:C4810,E4810)=0,"",IF(COUNTA(A4810:C4810,E4810)&lt;4,"Ligne incomplète",IF(NOT(ISNUMBER(A4810)),"Date invalide",IF(AND(B4810&lt;&gt;"Entrée",B4810&lt;&gt;"Sortie"),"Type inconnu",IF(ISNA(MATCH(C4810,art_ref,0)),"Référence inconnue",IF(OR(NOT(ISNUMBER(E4810)),N(E4810)&lt;=0),"Quantité invalide",IF(K4810&lt;0,"Stock négatif",IF(AND(ISNUMBER(A4809),A4810&lt;A4809),"Date hors ordre","OK"))))))))</f>
        <v/>
      </c>
      <c r="M4810" s="39" t="str">
        <f>IF(C4810="","",C4810&amp;"#"&amp;COUNTIF($C$5:C4810,C4810))</f>
        <v/>
      </c>
    </row>
    <row r="4811">
      <c r="A4811" s="41" t="n"/>
      <c r="B4811" s="37" t="n"/>
      <c r="C4811" s="37" t="n"/>
      <c r="D4811" s="39" t="str">
        <f>IF(C4811="","",IFERROR(INDEX(art_des,MATCH(C4811,art_ref,0))&amp;"","Référence inconnue"))</f>
        <v/>
      </c>
      <c r="E4811" s="37" t="n"/>
      <c r="F4811" s="39" t="str">
        <f>IF(C4811="","",IFERROR(INDEX(art_unit,MATCH(C4811,art_ref,0))&amp;"",""))</f>
        <v/>
      </c>
      <c r="G4811" s="37" t="n"/>
      <c r="H4811" s="37" t="n"/>
      <c r="I4811" s="37" t="n"/>
      <c r="J4811" s="40" t="str">
        <f>IF(OR(C4811="",NOT(ISNUMBER(E4811))),"",IFERROR(E4811*N(INDEX(art_price,MATCH(C4811,art_ref,0))),""))</f>
        <v/>
      </c>
      <c r="K4811" s="39" t="str">
        <f>IF(OR(C4811="",NOT(ISNUMBER(E4811))),"",IFERROR(ROUND(N(INDEX(art_init,MATCH(C4811,art_ref,0)))+SUMIFS($E$5:E4811,$C$5:C4811,C4811,$B$5:B4811,"Entrée")-SUMIFS($E$5:E4811,$C$5:C4811,C4811,$B$5:B4811,"Sortie"),6),""))</f>
        <v/>
      </c>
      <c r="L4811" s="39" t="str">
        <f>IF(COUNTA(A4811:C4811,E4811)=0,"",IF(COUNTA(A4811:C4811,E4811)&lt;4,"Ligne incomplète",IF(NOT(ISNUMBER(A4811)),"Date invalide",IF(AND(B4811&lt;&gt;"Entrée",B4811&lt;&gt;"Sortie"),"Type inconnu",IF(ISNA(MATCH(C4811,art_ref,0)),"Référence inconnue",IF(OR(NOT(ISNUMBER(E4811)),N(E4811)&lt;=0),"Quantité invalide",IF(K4811&lt;0,"Stock négatif",IF(AND(ISNUMBER(A4810),A4811&lt;A4810),"Date hors ordre","OK"))))))))</f>
        <v/>
      </c>
      <c r="M4811" s="39" t="str">
        <f>IF(C4811="","",C4811&amp;"#"&amp;COUNTIF($C$5:C4811,C4811))</f>
        <v/>
      </c>
    </row>
    <row r="4812">
      <c r="A4812" s="41" t="n"/>
      <c r="B4812" s="37" t="n"/>
      <c r="C4812" s="37" t="n"/>
      <c r="D4812" s="39" t="str">
        <f>IF(C4812="","",IFERROR(INDEX(art_des,MATCH(C4812,art_ref,0))&amp;"","Référence inconnue"))</f>
        <v/>
      </c>
      <c r="E4812" s="37" t="n"/>
      <c r="F4812" s="39" t="str">
        <f>IF(C4812="","",IFERROR(INDEX(art_unit,MATCH(C4812,art_ref,0))&amp;"",""))</f>
        <v/>
      </c>
      <c r="G4812" s="37" t="n"/>
      <c r="H4812" s="37" t="n"/>
      <c r="I4812" s="37" t="n"/>
      <c r="J4812" s="40" t="str">
        <f>IF(OR(C4812="",NOT(ISNUMBER(E4812))),"",IFERROR(E4812*N(INDEX(art_price,MATCH(C4812,art_ref,0))),""))</f>
        <v/>
      </c>
      <c r="K4812" s="39" t="str">
        <f>IF(OR(C4812="",NOT(ISNUMBER(E4812))),"",IFERROR(ROUND(N(INDEX(art_init,MATCH(C4812,art_ref,0)))+SUMIFS($E$5:E4812,$C$5:C4812,C4812,$B$5:B4812,"Entrée")-SUMIFS($E$5:E4812,$C$5:C4812,C4812,$B$5:B4812,"Sortie"),6),""))</f>
        <v/>
      </c>
      <c r="L4812" s="39" t="str">
        <f>IF(COUNTA(A4812:C4812,E4812)=0,"",IF(COUNTA(A4812:C4812,E4812)&lt;4,"Ligne incomplète",IF(NOT(ISNUMBER(A4812)),"Date invalide",IF(AND(B4812&lt;&gt;"Entrée",B4812&lt;&gt;"Sortie"),"Type inconnu",IF(ISNA(MATCH(C4812,art_ref,0)),"Référence inconnue",IF(OR(NOT(ISNUMBER(E4812)),N(E4812)&lt;=0),"Quantité invalide",IF(K4812&lt;0,"Stock négatif",IF(AND(ISNUMBER(A4811),A4812&lt;A4811),"Date hors ordre","OK"))))))))</f>
        <v/>
      </c>
      <c r="M4812" s="39" t="str">
        <f>IF(C4812="","",C4812&amp;"#"&amp;COUNTIF($C$5:C4812,C4812))</f>
        <v/>
      </c>
    </row>
    <row r="4813">
      <c r="A4813" s="41" t="n"/>
      <c r="B4813" s="37" t="n"/>
      <c r="C4813" s="37" t="n"/>
      <c r="D4813" s="39" t="str">
        <f>IF(C4813="","",IFERROR(INDEX(art_des,MATCH(C4813,art_ref,0))&amp;"","Référence inconnue"))</f>
        <v/>
      </c>
      <c r="E4813" s="37" t="n"/>
      <c r="F4813" s="39" t="str">
        <f>IF(C4813="","",IFERROR(INDEX(art_unit,MATCH(C4813,art_ref,0))&amp;"",""))</f>
        <v/>
      </c>
      <c r="G4813" s="37" t="n"/>
      <c r="H4813" s="37" t="n"/>
      <c r="I4813" s="37" t="n"/>
      <c r="J4813" s="40" t="str">
        <f>IF(OR(C4813="",NOT(ISNUMBER(E4813))),"",IFERROR(E4813*N(INDEX(art_price,MATCH(C4813,art_ref,0))),""))</f>
        <v/>
      </c>
      <c r="K4813" s="39" t="str">
        <f>IF(OR(C4813="",NOT(ISNUMBER(E4813))),"",IFERROR(ROUND(N(INDEX(art_init,MATCH(C4813,art_ref,0)))+SUMIFS($E$5:E4813,$C$5:C4813,C4813,$B$5:B4813,"Entrée")-SUMIFS($E$5:E4813,$C$5:C4813,C4813,$B$5:B4813,"Sortie"),6),""))</f>
        <v/>
      </c>
      <c r="L4813" s="39" t="str">
        <f>IF(COUNTA(A4813:C4813,E4813)=0,"",IF(COUNTA(A4813:C4813,E4813)&lt;4,"Ligne incomplète",IF(NOT(ISNUMBER(A4813)),"Date invalide",IF(AND(B4813&lt;&gt;"Entrée",B4813&lt;&gt;"Sortie"),"Type inconnu",IF(ISNA(MATCH(C4813,art_ref,0)),"Référence inconnue",IF(OR(NOT(ISNUMBER(E4813)),N(E4813)&lt;=0),"Quantité invalide",IF(K4813&lt;0,"Stock négatif",IF(AND(ISNUMBER(A4812),A4813&lt;A4812),"Date hors ordre","OK"))))))))</f>
        <v/>
      </c>
      <c r="M4813" s="39" t="str">
        <f>IF(C4813="","",C4813&amp;"#"&amp;COUNTIF($C$5:C4813,C4813))</f>
        <v/>
      </c>
    </row>
    <row r="4814">
      <c r="A4814" s="41" t="n"/>
      <c r="B4814" s="37" t="n"/>
      <c r="C4814" s="37" t="n"/>
      <c r="D4814" s="39" t="str">
        <f>IF(C4814="","",IFERROR(INDEX(art_des,MATCH(C4814,art_ref,0))&amp;"","Référence inconnue"))</f>
        <v/>
      </c>
      <c r="E4814" s="37" t="n"/>
      <c r="F4814" s="39" t="str">
        <f>IF(C4814="","",IFERROR(INDEX(art_unit,MATCH(C4814,art_ref,0))&amp;"",""))</f>
        <v/>
      </c>
      <c r="G4814" s="37" t="n"/>
      <c r="H4814" s="37" t="n"/>
      <c r="I4814" s="37" t="n"/>
      <c r="J4814" s="40" t="str">
        <f>IF(OR(C4814="",NOT(ISNUMBER(E4814))),"",IFERROR(E4814*N(INDEX(art_price,MATCH(C4814,art_ref,0))),""))</f>
        <v/>
      </c>
      <c r="K4814" s="39" t="str">
        <f>IF(OR(C4814="",NOT(ISNUMBER(E4814))),"",IFERROR(ROUND(N(INDEX(art_init,MATCH(C4814,art_ref,0)))+SUMIFS($E$5:E4814,$C$5:C4814,C4814,$B$5:B4814,"Entrée")-SUMIFS($E$5:E4814,$C$5:C4814,C4814,$B$5:B4814,"Sortie"),6),""))</f>
        <v/>
      </c>
      <c r="L4814" s="39" t="str">
        <f>IF(COUNTA(A4814:C4814,E4814)=0,"",IF(COUNTA(A4814:C4814,E4814)&lt;4,"Ligne incomplète",IF(NOT(ISNUMBER(A4814)),"Date invalide",IF(AND(B4814&lt;&gt;"Entrée",B4814&lt;&gt;"Sortie"),"Type inconnu",IF(ISNA(MATCH(C4814,art_ref,0)),"Référence inconnue",IF(OR(NOT(ISNUMBER(E4814)),N(E4814)&lt;=0),"Quantité invalide",IF(K4814&lt;0,"Stock négatif",IF(AND(ISNUMBER(A4813),A4814&lt;A4813),"Date hors ordre","OK"))))))))</f>
        <v/>
      </c>
      <c r="M4814" s="39" t="str">
        <f>IF(C4814="","",C4814&amp;"#"&amp;COUNTIF($C$5:C4814,C4814))</f>
        <v/>
      </c>
    </row>
    <row r="4815">
      <c r="A4815" s="41" t="n"/>
      <c r="B4815" s="37" t="n"/>
      <c r="C4815" s="37" t="n"/>
      <c r="D4815" s="39" t="str">
        <f>IF(C4815="","",IFERROR(INDEX(art_des,MATCH(C4815,art_ref,0))&amp;"","Référence inconnue"))</f>
        <v/>
      </c>
      <c r="E4815" s="37" t="n"/>
      <c r="F4815" s="39" t="str">
        <f>IF(C4815="","",IFERROR(INDEX(art_unit,MATCH(C4815,art_ref,0))&amp;"",""))</f>
        <v/>
      </c>
      <c r="G4815" s="37" t="n"/>
      <c r="H4815" s="37" t="n"/>
      <c r="I4815" s="37" t="n"/>
      <c r="J4815" s="40" t="str">
        <f>IF(OR(C4815="",NOT(ISNUMBER(E4815))),"",IFERROR(E4815*N(INDEX(art_price,MATCH(C4815,art_ref,0))),""))</f>
        <v/>
      </c>
      <c r="K4815" s="39" t="str">
        <f>IF(OR(C4815="",NOT(ISNUMBER(E4815))),"",IFERROR(ROUND(N(INDEX(art_init,MATCH(C4815,art_ref,0)))+SUMIFS($E$5:E4815,$C$5:C4815,C4815,$B$5:B4815,"Entrée")-SUMIFS($E$5:E4815,$C$5:C4815,C4815,$B$5:B4815,"Sortie"),6),""))</f>
        <v/>
      </c>
      <c r="L4815" s="39" t="str">
        <f>IF(COUNTA(A4815:C4815,E4815)=0,"",IF(COUNTA(A4815:C4815,E4815)&lt;4,"Ligne incomplète",IF(NOT(ISNUMBER(A4815)),"Date invalide",IF(AND(B4815&lt;&gt;"Entrée",B4815&lt;&gt;"Sortie"),"Type inconnu",IF(ISNA(MATCH(C4815,art_ref,0)),"Référence inconnue",IF(OR(NOT(ISNUMBER(E4815)),N(E4815)&lt;=0),"Quantité invalide",IF(K4815&lt;0,"Stock négatif",IF(AND(ISNUMBER(A4814),A4815&lt;A4814),"Date hors ordre","OK"))))))))</f>
        <v/>
      </c>
      <c r="M4815" s="39" t="str">
        <f>IF(C4815="","",C4815&amp;"#"&amp;COUNTIF($C$5:C4815,C4815))</f>
        <v/>
      </c>
    </row>
    <row r="4816">
      <c r="A4816" s="41" t="n"/>
      <c r="B4816" s="37" t="n"/>
      <c r="C4816" s="37" t="n"/>
      <c r="D4816" s="39" t="str">
        <f>IF(C4816="","",IFERROR(INDEX(art_des,MATCH(C4816,art_ref,0))&amp;"","Référence inconnue"))</f>
        <v/>
      </c>
      <c r="E4816" s="37" t="n"/>
      <c r="F4816" s="39" t="str">
        <f>IF(C4816="","",IFERROR(INDEX(art_unit,MATCH(C4816,art_ref,0))&amp;"",""))</f>
        <v/>
      </c>
      <c r="G4816" s="37" t="n"/>
      <c r="H4816" s="37" t="n"/>
      <c r="I4816" s="37" t="n"/>
      <c r="J4816" s="40" t="str">
        <f>IF(OR(C4816="",NOT(ISNUMBER(E4816))),"",IFERROR(E4816*N(INDEX(art_price,MATCH(C4816,art_ref,0))),""))</f>
        <v/>
      </c>
      <c r="K4816" s="39" t="str">
        <f>IF(OR(C4816="",NOT(ISNUMBER(E4816))),"",IFERROR(ROUND(N(INDEX(art_init,MATCH(C4816,art_ref,0)))+SUMIFS($E$5:E4816,$C$5:C4816,C4816,$B$5:B4816,"Entrée")-SUMIFS($E$5:E4816,$C$5:C4816,C4816,$B$5:B4816,"Sortie"),6),""))</f>
        <v/>
      </c>
      <c r="L4816" s="39" t="str">
        <f>IF(COUNTA(A4816:C4816,E4816)=0,"",IF(COUNTA(A4816:C4816,E4816)&lt;4,"Ligne incomplète",IF(NOT(ISNUMBER(A4816)),"Date invalide",IF(AND(B4816&lt;&gt;"Entrée",B4816&lt;&gt;"Sortie"),"Type inconnu",IF(ISNA(MATCH(C4816,art_ref,0)),"Référence inconnue",IF(OR(NOT(ISNUMBER(E4816)),N(E4816)&lt;=0),"Quantité invalide",IF(K4816&lt;0,"Stock négatif",IF(AND(ISNUMBER(A4815),A4816&lt;A4815),"Date hors ordre","OK"))))))))</f>
        <v/>
      </c>
      <c r="M4816" s="39" t="str">
        <f>IF(C4816="","",C4816&amp;"#"&amp;COUNTIF($C$5:C4816,C4816))</f>
        <v/>
      </c>
    </row>
    <row r="4817">
      <c r="A4817" s="41" t="n"/>
      <c r="B4817" s="37" t="n"/>
      <c r="C4817" s="37" t="n"/>
      <c r="D4817" s="39" t="str">
        <f>IF(C4817="","",IFERROR(INDEX(art_des,MATCH(C4817,art_ref,0))&amp;"","Référence inconnue"))</f>
        <v/>
      </c>
      <c r="E4817" s="37" t="n"/>
      <c r="F4817" s="39" t="str">
        <f>IF(C4817="","",IFERROR(INDEX(art_unit,MATCH(C4817,art_ref,0))&amp;"",""))</f>
        <v/>
      </c>
      <c r="G4817" s="37" t="n"/>
      <c r="H4817" s="37" t="n"/>
      <c r="I4817" s="37" t="n"/>
      <c r="J4817" s="40" t="str">
        <f>IF(OR(C4817="",NOT(ISNUMBER(E4817))),"",IFERROR(E4817*N(INDEX(art_price,MATCH(C4817,art_ref,0))),""))</f>
        <v/>
      </c>
      <c r="K4817" s="39" t="str">
        <f>IF(OR(C4817="",NOT(ISNUMBER(E4817))),"",IFERROR(ROUND(N(INDEX(art_init,MATCH(C4817,art_ref,0)))+SUMIFS($E$5:E4817,$C$5:C4817,C4817,$B$5:B4817,"Entrée")-SUMIFS($E$5:E4817,$C$5:C4817,C4817,$B$5:B4817,"Sortie"),6),""))</f>
        <v/>
      </c>
      <c r="L4817" s="39" t="str">
        <f>IF(COUNTA(A4817:C4817,E4817)=0,"",IF(COUNTA(A4817:C4817,E4817)&lt;4,"Ligne incomplète",IF(NOT(ISNUMBER(A4817)),"Date invalide",IF(AND(B4817&lt;&gt;"Entrée",B4817&lt;&gt;"Sortie"),"Type inconnu",IF(ISNA(MATCH(C4817,art_ref,0)),"Référence inconnue",IF(OR(NOT(ISNUMBER(E4817)),N(E4817)&lt;=0),"Quantité invalide",IF(K4817&lt;0,"Stock négatif",IF(AND(ISNUMBER(A4816),A4817&lt;A4816),"Date hors ordre","OK"))))))))</f>
        <v/>
      </c>
      <c r="M4817" s="39" t="str">
        <f>IF(C4817="","",C4817&amp;"#"&amp;COUNTIF($C$5:C4817,C4817))</f>
        <v/>
      </c>
    </row>
    <row r="4818">
      <c r="A4818" s="41" t="n"/>
      <c r="B4818" s="37" t="n"/>
      <c r="C4818" s="37" t="n"/>
      <c r="D4818" s="39" t="str">
        <f>IF(C4818="","",IFERROR(INDEX(art_des,MATCH(C4818,art_ref,0))&amp;"","Référence inconnue"))</f>
        <v/>
      </c>
      <c r="E4818" s="37" t="n"/>
      <c r="F4818" s="39" t="str">
        <f>IF(C4818="","",IFERROR(INDEX(art_unit,MATCH(C4818,art_ref,0))&amp;"",""))</f>
        <v/>
      </c>
      <c r="G4818" s="37" t="n"/>
      <c r="H4818" s="37" t="n"/>
      <c r="I4818" s="37" t="n"/>
      <c r="J4818" s="40" t="str">
        <f>IF(OR(C4818="",NOT(ISNUMBER(E4818))),"",IFERROR(E4818*N(INDEX(art_price,MATCH(C4818,art_ref,0))),""))</f>
        <v/>
      </c>
      <c r="K4818" s="39" t="str">
        <f>IF(OR(C4818="",NOT(ISNUMBER(E4818))),"",IFERROR(ROUND(N(INDEX(art_init,MATCH(C4818,art_ref,0)))+SUMIFS($E$5:E4818,$C$5:C4818,C4818,$B$5:B4818,"Entrée")-SUMIFS($E$5:E4818,$C$5:C4818,C4818,$B$5:B4818,"Sortie"),6),""))</f>
        <v/>
      </c>
      <c r="L4818" s="39" t="str">
        <f>IF(COUNTA(A4818:C4818,E4818)=0,"",IF(COUNTA(A4818:C4818,E4818)&lt;4,"Ligne incomplète",IF(NOT(ISNUMBER(A4818)),"Date invalide",IF(AND(B4818&lt;&gt;"Entrée",B4818&lt;&gt;"Sortie"),"Type inconnu",IF(ISNA(MATCH(C4818,art_ref,0)),"Référence inconnue",IF(OR(NOT(ISNUMBER(E4818)),N(E4818)&lt;=0),"Quantité invalide",IF(K4818&lt;0,"Stock négatif",IF(AND(ISNUMBER(A4817),A4818&lt;A4817),"Date hors ordre","OK"))))))))</f>
        <v/>
      </c>
      <c r="M4818" s="39" t="str">
        <f>IF(C4818="","",C4818&amp;"#"&amp;COUNTIF($C$5:C4818,C4818))</f>
        <v/>
      </c>
    </row>
    <row r="4819">
      <c r="A4819" s="41" t="n"/>
      <c r="B4819" s="37" t="n"/>
      <c r="C4819" s="37" t="n"/>
      <c r="D4819" s="39" t="str">
        <f>IF(C4819="","",IFERROR(INDEX(art_des,MATCH(C4819,art_ref,0))&amp;"","Référence inconnue"))</f>
        <v/>
      </c>
      <c r="E4819" s="37" t="n"/>
      <c r="F4819" s="39" t="str">
        <f>IF(C4819="","",IFERROR(INDEX(art_unit,MATCH(C4819,art_ref,0))&amp;"",""))</f>
        <v/>
      </c>
      <c r="G4819" s="37" t="n"/>
      <c r="H4819" s="37" t="n"/>
      <c r="I4819" s="37" t="n"/>
      <c r="J4819" s="40" t="str">
        <f>IF(OR(C4819="",NOT(ISNUMBER(E4819))),"",IFERROR(E4819*N(INDEX(art_price,MATCH(C4819,art_ref,0))),""))</f>
        <v/>
      </c>
      <c r="K4819" s="39" t="str">
        <f>IF(OR(C4819="",NOT(ISNUMBER(E4819))),"",IFERROR(ROUND(N(INDEX(art_init,MATCH(C4819,art_ref,0)))+SUMIFS($E$5:E4819,$C$5:C4819,C4819,$B$5:B4819,"Entrée")-SUMIFS($E$5:E4819,$C$5:C4819,C4819,$B$5:B4819,"Sortie"),6),""))</f>
        <v/>
      </c>
      <c r="L4819" s="39" t="str">
        <f>IF(COUNTA(A4819:C4819,E4819)=0,"",IF(COUNTA(A4819:C4819,E4819)&lt;4,"Ligne incomplète",IF(NOT(ISNUMBER(A4819)),"Date invalide",IF(AND(B4819&lt;&gt;"Entrée",B4819&lt;&gt;"Sortie"),"Type inconnu",IF(ISNA(MATCH(C4819,art_ref,0)),"Référence inconnue",IF(OR(NOT(ISNUMBER(E4819)),N(E4819)&lt;=0),"Quantité invalide",IF(K4819&lt;0,"Stock négatif",IF(AND(ISNUMBER(A4818),A4819&lt;A4818),"Date hors ordre","OK"))))))))</f>
        <v/>
      </c>
      <c r="M4819" s="39" t="str">
        <f>IF(C4819="","",C4819&amp;"#"&amp;COUNTIF($C$5:C4819,C4819))</f>
        <v/>
      </c>
    </row>
    <row r="4820">
      <c r="A4820" s="41" t="n"/>
      <c r="B4820" s="37" t="n"/>
      <c r="C4820" s="37" t="n"/>
      <c r="D4820" s="39" t="str">
        <f>IF(C4820="","",IFERROR(INDEX(art_des,MATCH(C4820,art_ref,0))&amp;"","Référence inconnue"))</f>
        <v/>
      </c>
      <c r="E4820" s="37" t="n"/>
      <c r="F4820" s="39" t="str">
        <f>IF(C4820="","",IFERROR(INDEX(art_unit,MATCH(C4820,art_ref,0))&amp;"",""))</f>
        <v/>
      </c>
      <c r="G4820" s="37" t="n"/>
      <c r="H4820" s="37" t="n"/>
      <c r="I4820" s="37" t="n"/>
      <c r="J4820" s="40" t="str">
        <f>IF(OR(C4820="",NOT(ISNUMBER(E4820))),"",IFERROR(E4820*N(INDEX(art_price,MATCH(C4820,art_ref,0))),""))</f>
        <v/>
      </c>
      <c r="K4820" s="39" t="str">
        <f>IF(OR(C4820="",NOT(ISNUMBER(E4820))),"",IFERROR(ROUND(N(INDEX(art_init,MATCH(C4820,art_ref,0)))+SUMIFS($E$5:E4820,$C$5:C4820,C4820,$B$5:B4820,"Entrée")-SUMIFS($E$5:E4820,$C$5:C4820,C4820,$B$5:B4820,"Sortie"),6),""))</f>
        <v/>
      </c>
      <c r="L4820" s="39" t="str">
        <f>IF(COUNTA(A4820:C4820,E4820)=0,"",IF(COUNTA(A4820:C4820,E4820)&lt;4,"Ligne incomplète",IF(NOT(ISNUMBER(A4820)),"Date invalide",IF(AND(B4820&lt;&gt;"Entrée",B4820&lt;&gt;"Sortie"),"Type inconnu",IF(ISNA(MATCH(C4820,art_ref,0)),"Référence inconnue",IF(OR(NOT(ISNUMBER(E4820)),N(E4820)&lt;=0),"Quantité invalide",IF(K4820&lt;0,"Stock négatif",IF(AND(ISNUMBER(A4819),A4820&lt;A4819),"Date hors ordre","OK"))))))))</f>
        <v/>
      </c>
      <c r="M4820" s="39" t="str">
        <f>IF(C4820="","",C4820&amp;"#"&amp;COUNTIF($C$5:C4820,C4820))</f>
        <v/>
      </c>
    </row>
    <row r="4821">
      <c r="A4821" s="41" t="n"/>
      <c r="B4821" s="37" t="n"/>
      <c r="C4821" s="37" t="n"/>
      <c r="D4821" s="39" t="str">
        <f>IF(C4821="","",IFERROR(INDEX(art_des,MATCH(C4821,art_ref,0))&amp;"","Référence inconnue"))</f>
        <v/>
      </c>
      <c r="E4821" s="37" t="n"/>
      <c r="F4821" s="39" t="str">
        <f>IF(C4821="","",IFERROR(INDEX(art_unit,MATCH(C4821,art_ref,0))&amp;"",""))</f>
        <v/>
      </c>
      <c r="G4821" s="37" t="n"/>
      <c r="H4821" s="37" t="n"/>
      <c r="I4821" s="37" t="n"/>
      <c r="J4821" s="40" t="str">
        <f>IF(OR(C4821="",NOT(ISNUMBER(E4821))),"",IFERROR(E4821*N(INDEX(art_price,MATCH(C4821,art_ref,0))),""))</f>
        <v/>
      </c>
      <c r="K4821" s="39" t="str">
        <f>IF(OR(C4821="",NOT(ISNUMBER(E4821))),"",IFERROR(ROUND(N(INDEX(art_init,MATCH(C4821,art_ref,0)))+SUMIFS($E$5:E4821,$C$5:C4821,C4821,$B$5:B4821,"Entrée")-SUMIFS($E$5:E4821,$C$5:C4821,C4821,$B$5:B4821,"Sortie"),6),""))</f>
        <v/>
      </c>
      <c r="L4821" s="39" t="str">
        <f>IF(COUNTA(A4821:C4821,E4821)=0,"",IF(COUNTA(A4821:C4821,E4821)&lt;4,"Ligne incomplète",IF(NOT(ISNUMBER(A4821)),"Date invalide",IF(AND(B4821&lt;&gt;"Entrée",B4821&lt;&gt;"Sortie"),"Type inconnu",IF(ISNA(MATCH(C4821,art_ref,0)),"Référence inconnue",IF(OR(NOT(ISNUMBER(E4821)),N(E4821)&lt;=0),"Quantité invalide",IF(K4821&lt;0,"Stock négatif",IF(AND(ISNUMBER(A4820),A4821&lt;A4820),"Date hors ordre","OK"))))))))</f>
        <v/>
      </c>
      <c r="M4821" s="39" t="str">
        <f>IF(C4821="","",C4821&amp;"#"&amp;COUNTIF($C$5:C4821,C4821))</f>
        <v/>
      </c>
    </row>
    <row r="4822">
      <c r="A4822" s="41" t="n"/>
      <c r="B4822" s="37" t="n"/>
      <c r="C4822" s="37" t="n"/>
      <c r="D4822" s="39" t="str">
        <f>IF(C4822="","",IFERROR(INDEX(art_des,MATCH(C4822,art_ref,0))&amp;"","Référence inconnue"))</f>
        <v/>
      </c>
      <c r="E4822" s="37" t="n"/>
      <c r="F4822" s="39" t="str">
        <f>IF(C4822="","",IFERROR(INDEX(art_unit,MATCH(C4822,art_ref,0))&amp;"",""))</f>
        <v/>
      </c>
      <c r="G4822" s="37" t="n"/>
      <c r="H4822" s="37" t="n"/>
      <c r="I4822" s="37" t="n"/>
      <c r="J4822" s="40" t="str">
        <f>IF(OR(C4822="",NOT(ISNUMBER(E4822))),"",IFERROR(E4822*N(INDEX(art_price,MATCH(C4822,art_ref,0))),""))</f>
        <v/>
      </c>
      <c r="K4822" s="39" t="str">
        <f>IF(OR(C4822="",NOT(ISNUMBER(E4822))),"",IFERROR(ROUND(N(INDEX(art_init,MATCH(C4822,art_ref,0)))+SUMIFS($E$5:E4822,$C$5:C4822,C4822,$B$5:B4822,"Entrée")-SUMIFS($E$5:E4822,$C$5:C4822,C4822,$B$5:B4822,"Sortie"),6),""))</f>
        <v/>
      </c>
      <c r="L4822" s="39" t="str">
        <f>IF(COUNTA(A4822:C4822,E4822)=0,"",IF(COUNTA(A4822:C4822,E4822)&lt;4,"Ligne incomplète",IF(NOT(ISNUMBER(A4822)),"Date invalide",IF(AND(B4822&lt;&gt;"Entrée",B4822&lt;&gt;"Sortie"),"Type inconnu",IF(ISNA(MATCH(C4822,art_ref,0)),"Référence inconnue",IF(OR(NOT(ISNUMBER(E4822)),N(E4822)&lt;=0),"Quantité invalide",IF(K4822&lt;0,"Stock négatif",IF(AND(ISNUMBER(A4821),A4822&lt;A4821),"Date hors ordre","OK"))))))))</f>
        <v/>
      </c>
      <c r="M4822" s="39" t="str">
        <f>IF(C4822="","",C4822&amp;"#"&amp;COUNTIF($C$5:C4822,C4822))</f>
        <v/>
      </c>
    </row>
    <row r="4823">
      <c r="A4823" s="41" t="n"/>
      <c r="B4823" s="37" t="n"/>
      <c r="C4823" s="37" t="n"/>
      <c r="D4823" s="39" t="str">
        <f>IF(C4823="","",IFERROR(INDEX(art_des,MATCH(C4823,art_ref,0))&amp;"","Référence inconnue"))</f>
        <v/>
      </c>
      <c r="E4823" s="37" t="n"/>
      <c r="F4823" s="39" t="str">
        <f>IF(C4823="","",IFERROR(INDEX(art_unit,MATCH(C4823,art_ref,0))&amp;"",""))</f>
        <v/>
      </c>
      <c r="G4823" s="37" t="n"/>
      <c r="H4823" s="37" t="n"/>
      <c r="I4823" s="37" t="n"/>
      <c r="J4823" s="40" t="str">
        <f>IF(OR(C4823="",NOT(ISNUMBER(E4823))),"",IFERROR(E4823*N(INDEX(art_price,MATCH(C4823,art_ref,0))),""))</f>
        <v/>
      </c>
      <c r="K4823" s="39" t="str">
        <f>IF(OR(C4823="",NOT(ISNUMBER(E4823))),"",IFERROR(ROUND(N(INDEX(art_init,MATCH(C4823,art_ref,0)))+SUMIFS($E$5:E4823,$C$5:C4823,C4823,$B$5:B4823,"Entrée")-SUMIFS($E$5:E4823,$C$5:C4823,C4823,$B$5:B4823,"Sortie"),6),""))</f>
        <v/>
      </c>
      <c r="L4823" s="39" t="str">
        <f>IF(COUNTA(A4823:C4823,E4823)=0,"",IF(COUNTA(A4823:C4823,E4823)&lt;4,"Ligne incomplète",IF(NOT(ISNUMBER(A4823)),"Date invalide",IF(AND(B4823&lt;&gt;"Entrée",B4823&lt;&gt;"Sortie"),"Type inconnu",IF(ISNA(MATCH(C4823,art_ref,0)),"Référence inconnue",IF(OR(NOT(ISNUMBER(E4823)),N(E4823)&lt;=0),"Quantité invalide",IF(K4823&lt;0,"Stock négatif",IF(AND(ISNUMBER(A4822),A4823&lt;A4822),"Date hors ordre","OK"))))))))</f>
        <v/>
      </c>
      <c r="M4823" s="39" t="str">
        <f>IF(C4823="","",C4823&amp;"#"&amp;COUNTIF($C$5:C4823,C4823))</f>
        <v/>
      </c>
    </row>
    <row r="4824">
      <c r="A4824" s="41" t="n"/>
      <c r="B4824" s="37" t="n"/>
      <c r="C4824" s="37" t="n"/>
      <c r="D4824" s="39" t="str">
        <f>IF(C4824="","",IFERROR(INDEX(art_des,MATCH(C4824,art_ref,0))&amp;"","Référence inconnue"))</f>
        <v/>
      </c>
      <c r="E4824" s="37" t="n"/>
      <c r="F4824" s="39" t="str">
        <f>IF(C4824="","",IFERROR(INDEX(art_unit,MATCH(C4824,art_ref,0))&amp;"",""))</f>
        <v/>
      </c>
      <c r="G4824" s="37" t="n"/>
      <c r="H4824" s="37" t="n"/>
      <c r="I4824" s="37" t="n"/>
      <c r="J4824" s="40" t="str">
        <f>IF(OR(C4824="",NOT(ISNUMBER(E4824))),"",IFERROR(E4824*N(INDEX(art_price,MATCH(C4824,art_ref,0))),""))</f>
        <v/>
      </c>
      <c r="K4824" s="39" t="str">
        <f>IF(OR(C4824="",NOT(ISNUMBER(E4824))),"",IFERROR(ROUND(N(INDEX(art_init,MATCH(C4824,art_ref,0)))+SUMIFS($E$5:E4824,$C$5:C4824,C4824,$B$5:B4824,"Entrée")-SUMIFS($E$5:E4824,$C$5:C4824,C4824,$B$5:B4824,"Sortie"),6),""))</f>
        <v/>
      </c>
      <c r="L4824" s="39" t="str">
        <f>IF(COUNTA(A4824:C4824,E4824)=0,"",IF(COUNTA(A4824:C4824,E4824)&lt;4,"Ligne incomplète",IF(NOT(ISNUMBER(A4824)),"Date invalide",IF(AND(B4824&lt;&gt;"Entrée",B4824&lt;&gt;"Sortie"),"Type inconnu",IF(ISNA(MATCH(C4824,art_ref,0)),"Référence inconnue",IF(OR(NOT(ISNUMBER(E4824)),N(E4824)&lt;=0),"Quantité invalide",IF(K4824&lt;0,"Stock négatif",IF(AND(ISNUMBER(A4823),A4824&lt;A4823),"Date hors ordre","OK"))))))))</f>
        <v/>
      </c>
      <c r="M4824" s="39" t="str">
        <f>IF(C4824="","",C4824&amp;"#"&amp;COUNTIF($C$5:C4824,C4824))</f>
        <v/>
      </c>
    </row>
    <row r="4825">
      <c r="A4825" s="41" t="n"/>
      <c r="B4825" s="37" t="n"/>
      <c r="C4825" s="37" t="n"/>
      <c r="D4825" s="39" t="str">
        <f>IF(C4825="","",IFERROR(INDEX(art_des,MATCH(C4825,art_ref,0))&amp;"","Référence inconnue"))</f>
        <v/>
      </c>
      <c r="E4825" s="37" t="n"/>
      <c r="F4825" s="39" t="str">
        <f>IF(C4825="","",IFERROR(INDEX(art_unit,MATCH(C4825,art_ref,0))&amp;"",""))</f>
        <v/>
      </c>
      <c r="G4825" s="37" t="n"/>
      <c r="H4825" s="37" t="n"/>
      <c r="I4825" s="37" t="n"/>
      <c r="J4825" s="40" t="str">
        <f>IF(OR(C4825="",NOT(ISNUMBER(E4825))),"",IFERROR(E4825*N(INDEX(art_price,MATCH(C4825,art_ref,0))),""))</f>
        <v/>
      </c>
      <c r="K4825" s="39" t="str">
        <f>IF(OR(C4825="",NOT(ISNUMBER(E4825))),"",IFERROR(ROUND(N(INDEX(art_init,MATCH(C4825,art_ref,0)))+SUMIFS($E$5:E4825,$C$5:C4825,C4825,$B$5:B4825,"Entrée")-SUMIFS($E$5:E4825,$C$5:C4825,C4825,$B$5:B4825,"Sortie"),6),""))</f>
        <v/>
      </c>
      <c r="L4825" s="39" t="str">
        <f>IF(COUNTA(A4825:C4825,E4825)=0,"",IF(COUNTA(A4825:C4825,E4825)&lt;4,"Ligne incomplète",IF(NOT(ISNUMBER(A4825)),"Date invalide",IF(AND(B4825&lt;&gt;"Entrée",B4825&lt;&gt;"Sortie"),"Type inconnu",IF(ISNA(MATCH(C4825,art_ref,0)),"Référence inconnue",IF(OR(NOT(ISNUMBER(E4825)),N(E4825)&lt;=0),"Quantité invalide",IF(K4825&lt;0,"Stock négatif",IF(AND(ISNUMBER(A4824),A4825&lt;A4824),"Date hors ordre","OK"))))))))</f>
        <v/>
      </c>
      <c r="M4825" s="39" t="str">
        <f>IF(C4825="","",C4825&amp;"#"&amp;COUNTIF($C$5:C4825,C4825))</f>
        <v/>
      </c>
    </row>
    <row r="4826">
      <c r="A4826" s="41" t="n"/>
      <c r="B4826" s="37" t="n"/>
      <c r="C4826" s="37" t="n"/>
      <c r="D4826" s="39" t="str">
        <f>IF(C4826="","",IFERROR(INDEX(art_des,MATCH(C4826,art_ref,0))&amp;"","Référence inconnue"))</f>
        <v/>
      </c>
      <c r="E4826" s="37" t="n"/>
      <c r="F4826" s="39" t="str">
        <f>IF(C4826="","",IFERROR(INDEX(art_unit,MATCH(C4826,art_ref,0))&amp;"",""))</f>
        <v/>
      </c>
      <c r="G4826" s="37" t="n"/>
      <c r="H4826" s="37" t="n"/>
      <c r="I4826" s="37" t="n"/>
      <c r="J4826" s="40" t="str">
        <f>IF(OR(C4826="",NOT(ISNUMBER(E4826))),"",IFERROR(E4826*N(INDEX(art_price,MATCH(C4826,art_ref,0))),""))</f>
        <v/>
      </c>
      <c r="K4826" s="39" t="str">
        <f>IF(OR(C4826="",NOT(ISNUMBER(E4826))),"",IFERROR(ROUND(N(INDEX(art_init,MATCH(C4826,art_ref,0)))+SUMIFS($E$5:E4826,$C$5:C4826,C4826,$B$5:B4826,"Entrée")-SUMIFS($E$5:E4826,$C$5:C4826,C4826,$B$5:B4826,"Sortie"),6),""))</f>
        <v/>
      </c>
      <c r="L4826" s="39" t="str">
        <f>IF(COUNTA(A4826:C4826,E4826)=0,"",IF(COUNTA(A4826:C4826,E4826)&lt;4,"Ligne incomplète",IF(NOT(ISNUMBER(A4826)),"Date invalide",IF(AND(B4826&lt;&gt;"Entrée",B4826&lt;&gt;"Sortie"),"Type inconnu",IF(ISNA(MATCH(C4826,art_ref,0)),"Référence inconnue",IF(OR(NOT(ISNUMBER(E4826)),N(E4826)&lt;=0),"Quantité invalide",IF(K4826&lt;0,"Stock négatif",IF(AND(ISNUMBER(A4825),A4826&lt;A4825),"Date hors ordre","OK"))))))))</f>
        <v/>
      </c>
      <c r="M4826" s="39" t="str">
        <f>IF(C4826="","",C4826&amp;"#"&amp;COUNTIF($C$5:C4826,C4826))</f>
        <v/>
      </c>
    </row>
    <row r="4827">
      <c r="A4827" s="41" t="n"/>
      <c r="B4827" s="37" t="n"/>
      <c r="C4827" s="37" t="n"/>
      <c r="D4827" s="39" t="str">
        <f>IF(C4827="","",IFERROR(INDEX(art_des,MATCH(C4827,art_ref,0))&amp;"","Référence inconnue"))</f>
        <v/>
      </c>
      <c r="E4827" s="37" t="n"/>
      <c r="F4827" s="39" t="str">
        <f>IF(C4827="","",IFERROR(INDEX(art_unit,MATCH(C4827,art_ref,0))&amp;"",""))</f>
        <v/>
      </c>
      <c r="G4827" s="37" t="n"/>
      <c r="H4827" s="37" t="n"/>
      <c r="I4827" s="37" t="n"/>
      <c r="J4827" s="40" t="str">
        <f>IF(OR(C4827="",NOT(ISNUMBER(E4827))),"",IFERROR(E4827*N(INDEX(art_price,MATCH(C4827,art_ref,0))),""))</f>
        <v/>
      </c>
      <c r="K4827" s="39" t="str">
        <f>IF(OR(C4827="",NOT(ISNUMBER(E4827))),"",IFERROR(ROUND(N(INDEX(art_init,MATCH(C4827,art_ref,0)))+SUMIFS($E$5:E4827,$C$5:C4827,C4827,$B$5:B4827,"Entrée")-SUMIFS($E$5:E4827,$C$5:C4827,C4827,$B$5:B4827,"Sortie"),6),""))</f>
        <v/>
      </c>
      <c r="L4827" s="39" t="str">
        <f>IF(COUNTA(A4827:C4827,E4827)=0,"",IF(COUNTA(A4827:C4827,E4827)&lt;4,"Ligne incomplète",IF(NOT(ISNUMBER(A4827)),"Date invalide",IF(AND(B4827&lt;&gt;"Entrée",B4827&lt;&gt;"Sortie"),"Type inconnu",IF(ISNA(MATCH(C4827,art_ref,0)),"Référence inconnue",IF(OR(NOT(ISNUMBER(E4827)),N(E4827)&lt;=0),"Quantité invalide",IF(K4827&lt;0,"Stock négatif",IF(AND(ISNUMBER(A4826),A4827&lt;A4826),"Date hors ordre","OK"))))))))</f>
        <v/>
      </c>
      <c r="M4827" s="39" t="str">
        <f>IF(C4827="","",C4827&amp;"#"&amp;COUNTIF($C$5:C4827,C4827))</f>
        <v/>
      </c>
    </row>
    <row r="4828">
      <c r="A4828" s="41" t="n"/>
      <c r="B4828" s="37" t="n"/>
      <c r="C4828" s="37" t="n"/>
      <c r="D4828" s="39" t="str">
        <f>IF(C4828="","",IFERROR(INDEX(art_des,MATCH(C4828,art_ref,0))&amp;"","Référence inconnue"))</f>
        <v/>
      </c>
      <c r="E4828" s="37" t="n"/>
      <c r="F4828" s="39" t="str">
        <f>IF(C4828="","",IFERROR(INDEX(art_unit,MATCH(C4828,art_ref,0))&amp;"",""))</f>
        <v/>
      </c>
      <c r="G4828" s="37" t="n"/>
      <c r="H4828" s="37" t="n"/>
      <c r="I4828" s="37" t="n"/>
      <c r="J4828" s="40" t="str">
        <f>IF(OR(C4828="",NOT(ISNUMBER(E4828))),"",IFERROR(E4828*N(INDEX(art_price,MATCH(C4828,art_ref,0))),""))</f>
        <v/>
      </c>
      <c r="K4828" s="39" t="str">
        <f>IF(OR(C4828="",NOT(ISNUMBER(E4828))),"",IFERROR(ROUND(N(INDEX(art_init,MATCH(C4828,art_ref,0)))+SUMIFS($E$5:E4828,$C$5:C4828,C4828,$B$5:B4828,"Entrée")-SUMIFS($E$5:E4828,$C$5:C4828,C4828,$B$5:B4828,"Sortie"),6),""))</f>
        <v/>
      </c>
      <c r="L4828" s="39" t="str">
        <f>IF(COUNTA(A4828:C4828,E4828)=0,"",IF(COUNTA(A4828:C4828,E4828)&lt;4,"Ligne incomplète",IF(NOT(ISNUMBER(A4828)),"Date invalide",IF(AND(B4828&lt;&gt;"Entrée",B4828&lt;&gt;"Sortie"),"Type inconnu",IF(ISNA(MATCH(C4828,art_ref,0)),"Référence inconnue",IF(OR(NOT(ISNUMBER(E4828)),N(E4828)&lt;=0),"Quantité invalide",IF(K4828&lt;0,"Stock négatif",IF(AND(ISNUMBER(A4827),A4828&lt;A4827),"Date hors ordre","OK"))))))))</f>
        <v/>
      </c>
      <c r="M4828" s="39" t="str">
        <f>IF(C4828="","",C4828&amp;"#"&amp;COUNTIF($C$5:C4828,C4828))</f>
        <v/>
      </c>
    </row>
    <row r="4829">
      <c r="A4829" s="41" t="n"/>
      <c r="B4829" s="37" t="n"/>
      <c r="C4829" s="37" t="n"/>
      <c r="D4829" s="39" t="str">
        <f>IF(C4829="","",IFERROR(INDEX(art_des,MATCH(C4829,art_ref,0))&amp;"","Référence inconnue"))</f>
        <v/>
      </c>
      <c r="E4829" s="37" t="n"/>
      <c r="F4829" s="39" t="str">
        <f>IF(C4829="","",IFERROR(INDEX(art_unit,MATCH(C4829,art_ref,0))&amp;"",""))</f>
        <v/>
      </c>
      <c r="G4829" s="37" t="n"/>
      <c r="H4829" s="37" t="n"/>
      <c r="I4829" s="37" t="n"/>
      <c r="J4829" s="40" t="str">
        <f>IF(OR(C4829="",NOT(ISNUMBER(E4829))),"",IFERROR(E4829*N(INDEX(art_price,MATCH(C4829,art_ref,0))),""))</f>
        <v/>
      </c>
      <c r="K4829" s="39" t="str">
        <f>IF(OR(C4829="",NOT(ISNUMBER(E4829))),"",IFERROR(ROUND(N(INDEX(art_init,MATCH(C4829,art_ref,0)))+SUMIFS($E$5:E4829,$C$5:C4829,C4829,$B$5:B4829,"Entrée")-SUMIFS($E$5:E4829,$C$5:C4829,C4829,$B$5:B4829,"Sortie"),6),""))</f>
        <v/>
      </c>
      <c r="L4829" s="39" t="str">
        <f>IF(COUNTA(A4829:C4829,E4829)=0,"",IF(COUNTA(A4829:C4829,E4829)&lt;4,"Ligne incomplète",IF(NOT(ISNUMBER(A4829)),"Date invalide",IF(AND(B4829&lt;&gt;"Entrée",B4829&lt;&gt;"Sortie"),"Type inconnu",IF(ISNA(MATCH(C4829,art_ref,0)),"Référence inconnue",IF(OR(NOT(ISNUMBER(E4829)),N(E4829)&lt;=0),"Quantité invalide",IF(K4829&lt;0,"Stock négatif",IF(AND(ISNUMBER(A4828),A4829&lt;A4828),"Date hors ordre","OK"))))))))</f>
        <v/>
      </c>
      <c r="M4829" s="39" t="str">
        <f>IF(C4829="","",C4829&amp;"#"&amp;COUNTIF($C$5:C4829,C4829))</f>
        <v/>
      </c>
    </row>
    <row r="4830">
      <c r="A4830" s="41" t="n"/>
      <c r="B4830" s="37" t="n"/>
      <c r="C4830" s="37" t="n"/>
      <c r="D4830" s="39" t="str">
        <f>IF(C4830="","",IFERROR(INDEX(art_des,MATCH(C4830,art_ref,0))&amp;"","Référence inconnue"))</f>
        <v/>
      </c>
      <c r="E4830" s="37" t="n"/>
      <c r="F4830" s="39" t="str">
        <f>IF(C4830="","",IFERROR(INDEX(art_unit,MATCH(C4830,art_ref,0))&amp;"",""))</f>
        <v/>
      </c>
      <c r="G4830" s="37" t="n"/>
      <c r="H4830" s="37" t="n"/>
      <c r="I4830" s="37" t="n"/>
      <c r="J4830" s="40" t="str">
        <f>IF(OR(C4830="",NOT(ISNUMBER(E4830))),"",IFERROR(E4830*N(INDEX(art_price,MATCH(C4830,art_ref,0))),""))</f>
        <v/>
      </c>
      <c r="K4830" s="39" t="str">
        <f>IF(OR(C4830="",NOT(ISNUMBER(E4830))),"",IFERROR(ROUND(N(INDEX(art_init,MATCH(C4830,art_ref,0)))+SUMIFS($E$5:E4830,$C$5:C4830,C4830,$B$5:B4830,"Entrée")-SUMIFS($E$5:E4830,$C$5:C4830,C4830,$B$5:B4830,"Sortie"),6),""))</f>
        <v/>
      </c>
      <c r="L4830" s="39" t="str">
        <f>IF(COUNTA(A4830:C4830,E4830)=0,"",IF(COUNTA(A4830:C4830,E4830)&lt;4,"Ligne incomplète",IF(NOT(ISNUMBER(A4830)),"Date invalide",IF(AND(B4830&lt;&gt;"Entrée",B4830&lt;&gt;"Sortie"),"Type inconnu",IF(ISNA(MATCH(C4830,art_ref,0)),"Référence inconnue",IF(OR(NOT(ISNUMBER(E4830)),N(E4830)&lt;=0),"Quantité invalide",IF(K4830&lt;0,"Stock négatif",IF(AND(ISNUMBER(A4829),A4830&lt;A4829),"Date hors ordre","OK"))))))))</f>
        <v/>
      </c>
      <c r="M4830" s="39" t="str">
        <f>IF(C4830="","",C4830&amp;"#"&amp;COUNTIF($C$5:C4830,C4830))</f>
        <v/>
      </c>
    </row>
    <row r="4831">
      <c r="A4831" s="41" t="n"/>
      <c r="B4831" s="37" t="n"/>
      <c r="C4831" s="37" t="n"/>
      <c r="D4831" s="39" t="str">
        <f>IF(C4831="","",IFERROR(INDEX(art_des,MATCH(C4831,art_ref,0))&amp;"","Référence inconnue"))</f>
        <v/>
      </c>
      <c r="E4831" s="37" t="n"/>
      <c r="F4831" s="39" t="str">
        <f>IF(C4831="","",IFERROR(INDEX(art_unit,MATCH(C4831,art_ref,0))&amp;"",""))</f>
        <v/>
      </c>
      <c r="G4831" s="37" t="n"/>
      <c r="H4831" s="37" t="n"/>
      <c r="I4831" s="37" t="n"/>
      <c r="J4831" s="40" t="str">
        <f>IF(OR(C4831="",NOT(ISNUMBER(E4831))),"",IFERROR(E4831*N(INDEX(art_price,MATCH(C4831,art_ref,0))),""))</f>
        <v/>
      </c>
      <c r="K4831" s="39" t="str">
        <f>IF(OR(C4831="",NOT(ISNUMBER(E4831))),"",IFERROR(ROUND(N(INDEX(art_init,MATCH(C4831,art_ref,0)))+SUMIFS($E$5:E4831,$C$5:C4831,C4831,$B$5:B4831,"Entrée")-SUMIFS($E$5:E4831,$C$5:C4831,C4831,$B$5:B4831,"Sortie"),6),""))</f>
        <v/>
      </c>
      <c r="L4831" s="39" t="str">
        <f>IF(COUNTA(A4831:C4831,E4831)=0,"",IF(COUNTA(A4831:C4831,E4831)&lt;4,"Ligne incomplète",IF(NOT(ISNUMBER(A4831)),"Date invalide",IF(AND(B4831&lt;&gt;"Entrée",B4831&lt;&gt;"Sortie"),"Type inconnu",IF(ISNA(MATCH(C4831,art_ref,0)),"Référence inconnue",IF(OR(NOT(ISNUMBER(E4831)),N(E4831)&lt;=0),"Quantité invalide",IF(K4831&lt;0,"Stock négatif",IF(AND(ISNUMBER(A4830),A4831&lt;A4830),"Date hors ordre","OK"))))))))</f>
        <v/>
      </c>
      <c r="M4831" s="39" t="str">
        <f>IF(C4831="","",C4831&amp;"#"&amp;COUNTIF($C$5:C4831,C4831))</f>
        <v/>
      </c>
    </row>
    <row r="4832">
      <c r="A4832" s="41" t="n"/>
      <c r="B4832" s="37" t="n"/>
      <c r="C4832" s="37" t="n"/>
      <c r="D4832" s="39" t="str">
        <f>IF(C4832="","",IFERROR(INDEX(art_des,MATCH(C4832,art_ref,0))&amp;"","Référence inconnue"))</f>
        <v/>
      </c>
      <c r="E4832" s="37" t="n"/>
      <c r="F4832" s="39" t="str">
        <f>IF(C4832="","",IFERROR(INDEX(art_unit,MATCH(C4832,art_ref,0))&amp;"",""))</f>
        <v/>
      </c>
      <c r="G4832" s="37" t="n"/>
      <c r="H4832" s="37" t="n"/>
      <c r="I4832" s="37" t="n"/>
      <c r="J4832" s="40" t="str">
        <f>IF(OR(C4832="",NOT(ISNUMBER(E4832))),"",IFERROR(E4832*N(INDEX(art_price,MATCH(C4832,art_ref,0))),""))</f>
        <v/>
      </c>
      <c r="K4832" s="39" t="str">
        <f>IF(OR(C4832="",NOT(ISNUMBER(E4832))),"",IFERROR(ROUND(N(INDEX(art_init,MATCH(C4832,art_ref,0)))+SUMIFS($E$5:E4832,$C$5:C4832,C4832,$B$5:B4832,"Entrée")-SUMIFS($E$5:E4832,$C$5:C4832,C4832,$B$5:B4832,"Sortie"),6),""))</f>
        <v/>
      </c>
      <c r="L4832" s="39" t="str">
        <f>IF(COUNTA(A4832:C4832,E4832)=0,"",IF(COUNTA(A4832:C4832,E4832)&lt;4,"Ligne incomplète",IF(NOT(ISNUMBER(A4832)),"Date invalide",IF(AND(B4832&lt;&gt;"Entrée",B4832&lt;&gt;"Sortie"),"Type inconnu",IF(ISNA(MATCH(C4832,art_ref,0)),"Référence inconnue",IF(OR(NOT(ISNUMBER(E4832)),N(E4832)&lt;=0),"Quantité invalide",IF(K4832&lt;0,"Stock négatif",IF(AND(ISNUMBER(A4831),A4832&lt;A4831),"Date hors ordre","OK"))))))))</f>
        <v/>
      </c>
      <c r="M4832" s="39" t="str">
        <f>IF(C4832="","",C4832&amp;"#"&amp;COUNTIF($C$5:C4832,C4832))</f>
        <v/>
      </c>
    </row>
    <row r="4833">
      <c r="A4833" s="41" t="n"/>
      <c r="B4833" s="37" t="n"/>
      <c r="C4833" s="37" t="n"/>
      <c r="D4833" s="39" t="str">
        <f>IF(C4833="","",IFERROR(INDEX(art_des,MATCH(C4833,art_ref,0))&amp;"","Référence inconnue"))</f>
        <v/>
      </c>
      <c r="E4833" s="37" t="n"/>
      <c r="F4833" s="39" t="str">
        <f>IF(C4833="","",IFERROR(INDEX(art_unit,MATCH(C4833,art_ref,0))&amp;"",""))</f>
        <v/>
      </c>
      <c r="G4833" s="37" t="n"/>
      <c r="H4833" s="37" t="n"/>
      <c r="I4833" s="37" t="n"/>
      <c r="J4833" s="40" t="str">
        <f>IF(OR(C4833="",NOT(ISNUMBER(E4833))),"",IFERROR(E4833*N(INDEX(art_price,MATCH(C4833,art_ref,0))),""))</f>
        <v/>
      </c>
      <c r="K4833" s="39" t="str">
        <f>IF(OR(C4833="",NOT(ISNUMBER(E4833))),"",IFERROR(ROUND(N(INDEX(art_init,MATCH(C4833,art_ref,0)))+SUMIFS($E$5:E4833,$C$5:C4833,C4833,$B$5:B4833,"Entrée")-SUMIFS($E$5:E4833,$C$5:C4833,C4833,$B$5:B4833,"Sortie"),6),""))</f>
        <v/>
      </c>
      <c r="L4833" s="39" t="str">
        <f>IF(COUNTA(A4833:C4833,E4833)=0,"",IF(COUNTA(A4833:C4833,E4833)&lt;4,"Ligne incomplète",IF(NOT(ISNUMBER(A4833)),"Date invalide",IF(AND(B4833&lt;&gt;"Entrée",B4833&lt;&gt;"Sortie"),"Type inconnu",IF(ISNA(MATCH(C4833,art_ref,0)),"Référence inconnue",IF(OR(NOT(ISNUMBER(E4833)),N(E4833)&lt;=0),"Quantité invalide",IF(K4833&lt;0,"Stock négatif",IF(AND(ISNUMBER(A4832),A4833&lt;A4832),"Date hors ordre","OK"))))))))</f>
        <v/>
      </c>
      <c r="M4833" s="39" t="str">
        <f>IF(C4833="","",C4833&amp;"#"&amp;COUNTIF($C$5:C4833,C4833))</f>
        <v/>
      </c>
    </row>
    <row r="4834">
      <c r="A4834" s="41" t="n"/>
      <c r="B4834" s="37" t="n"/>
      <c r="C4834" s="37" t="n"/>
      <c r="D4834" s="39" t="str">
        <f>IF(C4834="","",IFERROR(INDEX(art_des,MATCH(C4834,art_ref,0))&amp;"","Référence inconnue"))</f>
        <v/>
      </c>
      <c r="E4834" s="37" t="n"/>
      <c r="F4834" s="39" t="str">
        <f>IF(C4834="","",IFERROR(INDEX(art_unit,MATCH(C4834,art_ref,0))&amp;"",""))</f>
        <v/>
      </c>
      <c r="G4834" s="37" t="n"/>
      <c r="H4834" s="37" t="n"/>
      <c r="I4834" s="37" t="n"/>
      <c r="J4834" s="40" t="str">
        <f>IF(OR(C4834="",NOT(ISNUMBER(E4834))),"",IFERROR(E4834*N(INDEX(art_price,MATCH(C4834,art_ref,0))),""))</f>
        <v/>
      </c>
      <c r="K4834" s="39" t="str">
        <f>IF(OR(C4834="",NOT(ISNUMBER(E4834))),"",IFERROR(ROUND(N(INDEX(art_init,MATCH(C4834,art_ref,0)))+SUMIFS($E$5:E4834,$C$5:C4834,C4834,$B$5:B4834,"Entrée")-SUMIFS($E$5:E4834,$C$5:C4834,C4834,$B$5:B4834,"Sortie"),6),""))</f>
        <v/>
      </c>
      <c r="L4834" s="39" t="str">
        <f>IF(COUNTA(A4834:C4834,E4834)=0,"",IF(COUNTA(A4834:C4834,E4834)&lt;4,"Ligne incomplète",IF(NOT(ISNUMBER(A4834)),"Date invalide",IF(AND(B4834&lt;&gt;"Entrée",B4834&lt;&gt;"Sortie"),"Type inconnu",IF(ISNA(MATCH(C4834,art_ref,0)),"Référence inconnue",IF(OR(NOT(ISNUMBER(E4834)),N(E4834)&lt;=0),"Quantité invalide",IF(K4834&lt;0,"Stock négatif",IF(AND(ISNUMBER(A4833),A4834&lt;A4833),"Date hors ordre","OK"))))))))</f>
        <v/>
      </c>
      <c r="M4834" s="39" t="str">
        <f>IF(C4834="","",C4834&amp;"#"&amp;COUNTIF($C$5:C4834,C4834))</f>
        <v/>
      </c>
    </row>
    <row r="4835">
      <c r="A4835" s="41" t="n"/>
      <c r="B4835" s="37" t="n"/>
      <c r="C4835" s="37" t="n"/>
      <c r="D4835" s="39" t="str">
        <f>IF(C4835="","",IFERROR(INDEX(art_des,MATCH(C4835,art_ref,0))&amp;"","Référence inconnue"))</f>
        <v/>
      </c>
      <c r="E4835" s="37" t="n"/>
      <c r="F4835" s="39" t="str">
        <f>IF(C4835="","",IFERROR(INDEX(art_unit,MATCH(C4835,art_ref,0))&amp;"",""))</f>
        <v/>
      </c>
      <c r="G4835" s="37" t="n"/>
      <c r="H4835" s="37" t="n"/>
      <c r="I4835" s="37" t="n"/>
      <c r="J4835" s="40" t="str">
        <f>IF(OR(C4835="",NOT(ISNUMBER(E4835))),"",IFERROR(E4835*N(INDEX(art_price,MATCH(C4835,art_ref,0))),""))</f>
        <v/>
      </c>
      <c r="K4835" s="39" t="str">
        <f>IF(OR(C4835="",NOT(ISNUMBER(E4835))),"",IFERROR(ROUND(N(INDEX(art_init,MATCH(C4835,art_ref,0)))+SUMIFS($E$5:E4835,$C$5:C4835,C4835,$B$5:B4835,"Entrée")-SUMIFS($E$5:E4835,$C$5:C4835,C4835,$B$5:B4835,"Sortie"),6),""))</f>
        <v/>
      </c>
      <c r="L4835" s="39" t="str">
        <f>IF(COUNTA(A4835:C4835,E4835)=0,"",IF(COUNTA(A4835:C4835,E4835)&lt;4,"Ligne incomplète",IF(NOT(ISNUMBER(A4835)),"Date invalide",IF(AND(B4835&lt;&gt;"Entrée",B4835&lt;&gt;"Sortie"),"Type inconnu",IF(ISNA(MATCH(C4835,art_ref,0)),"Référence inconnue",IF(OR(NOT(ISNUMBER(E4835)),N(E4835)&lt;=0),"Quantité invalide",IF(K4835&lt;0,"Stock négatif",IF(AND(ISNUMBER(A4834),A4835&lt;A4834),"Date hors ordre","OK"))))))))</f>
        <v/>
      </c>
      <c r="M4835" s="39" t="str">
        <f>IF(C4835="","",C4835&amp;"#"&amp;COUNTIF($C$5:C4835,C4835))</f>
        <v/>
      </c>
    </row>
    <row r="4836">
      <c r="A4836" s="41" t="n"/>
      <c r="B4836" s="37" t="n"/>
      <c r="C4836" s="37" t="n"/>
      <c r="D4836" s="39" t="str">
        <f>IF(C4836="","",IFERROR(INDEX(art_des,MATCH(C4836,art_ref,0))&amp;"","Référence inconnue"))</f>
        <v/>
      </c>
      <c r="E4836" s="37" t="n"/>
      <c r="F4836" s="39" t="str">
        <f>IF(C4836="","",IFERROR(INDEX(art_unit,MATCH(C4836,art_ref,0))&amp;"",""))</f>
        <v/>
      </c>
      <c r="G4836" s="37" t="n"/>
      <c r="H4836" s="37" t="n"/>
      <c r="I4836" s="37" t="n"/>
      <c r="J4836" s="40" t="str">
        <f>IF(OR(C4836="",NOT(ISNUMBER(E4836))),"",IFERROR(E4836*N(INDEX(art_price,MATCH(C4836,art_ref,0))),""))</f>
        <v/>
      </c>
      <c r="K4836" s="39" t="str">
        <f>IF(OR(C4836="",NOT(ISNUMBER(E4836))),"",IFERROR(ROUND(N(INDEX(art_init,MATCH(C4836,art_ref,0)))+SUMIFS($E$5:E4836,$C$5:C4836,C4836,$B$5:B4836,"Entrée")-SUMIFS($E$5:E4836,$C$5:C4836,C4836,$B$5:B4836,"Sortie"),6),""))</f>
        <v/>
      </c>
      <c r="L4836" s="39" t="str">
        <f>IF(COUNTA(A4836:C4836,E4836)=0,"",IF(COUNTA(A4836:C4836,E4836)&lt;4,"Ligne incomplète",IF(NOT(ISNUMBER(A4836)),"Date invalide",IF(AND(B4836&lt;&gt;"Entrée",B4836&lt;&gt;"Sortie"),"Type inconnu",IF(ISNA(MATCH(C4836,art_ref,0)),"Référence inconnue",IF(OR(NOT(ISNUMBER(E4836)),N(E4836)&lt;=0),"Quantité invalide",IF(K4836&lt;0,"Stock négatif",IF(AND(ISNUMBER(A4835),A4836&lt;A4835),"Date hors ordre","OK"))))))))</f>
        <v/>
      </c>
      <c r="M4836" s="39" t="str">
        <f>IF(C4836="","",C4836&amp;"#"&amp;COUNTIF($C$5:C4836,C4836))</f>
        <v/>
      </c>
    </row>
    <row r="4837">
      <c r="A4837" s="41" t="n"/>
      <c r="B4837" s="37" t="n"/>
      <c r="C4837" s="37" t="n"/>
      <c r="D4837" s="39" t="str">
        <f>IF(C4837="","",IFERROR(INDEX(art_des,MATCH(C4837,art_ref,0))&amp;"","Référence inconnue"))</f>
        <v/>
      </c>
      <c r="E4837" s="37" t="n"/>
      <c r="F4837" s="39" t="str">
        <f>IF(C4837="","",IFERROR(INDEX(art_unit,MATCH(C4837,art_ref,0))&amp;"",""))</f>
        <v/>
      </c>
      <c r="G4837" s="37" t="n"/>
      <c r="H4837" s="37" t="n"/>
      <c r="I4837" s="37" t="n"/>
      <c r="J4837" s="40" t="str">
        <f>IF(OR(C4837="",NOT(ISNUMBER(E4837))),"",IFERROR(E4837*N(INDEX(art_price,MATCH(C4837,art_ref,0))),""))</f>
        <v/>
      </c>
      <c r="K4837" s="39" t="str">
        <f>IF(OR(C4837="",NOT(ISNUMBER(E4837))),"",IFERROR(ROUND(N(INDEX(art_init,MATCH(C4837,art_ref,0)))+SUMIFS($E$5:E4837,$C$5:C4837,C4837,$B$5:B4837,"Entrée")-SUMIFS($E$5:E4837,$C$5:C4837,C4837,$B$5:B4837,"Sortie"),6),""))</f>
        <v/>
      </c>
      <c r="L4837" s="39" t="str">
        <f>IF(COUNTA(A4837:C4837,E4837)=0,"",IF(COUNTA(A4837:C4837,E4837)&lt;4,"Ligne incomplète",IF(NOT(ISNUMBER(A4837)),"Date invalide",IF(AND(B4837&lt;&gt;"Entrée",B4837&lt;&gt;"Sortie"),"Type inconnu",IF(ISNA(MATCH(C4837,art_ref,0)),"Référence inconnue",IF(OR(NOT(ISNUMBER(E4837)),N(E4837)&lt;=0),"Quantité invalide",IF(K4837&lt;0,"Stock négatif",IF(AND(ISNUMBER(A4836),A4837&lt;A4836),"Date hors ordre","OK"))))))))</f>
        <v/>
      </c>
      <c r="M4837" s="39" t="str">
        <f>IF(C4837="","",C4837&amp;"#"&amp;COUNTIF($C$5:C4837,C4837))</f>
        <v/>
      </c>
    </row>
    <row r="4838">
      <c r="A4838" s="41" t="n"/>
      <c r="B4838" s="37" t="n"/>
      <c r="C4838" s="37" t="n"/>
      <c r="D4838" s="39" t="str">
        <f>IF(C4838="","",IFERROR(INDEX(art_des,MATCH(C4838,art_ref,0))&amp;"","Référence inconnue"))</f>
        <v/>
      </c>
      <c r="E4838" s="37" t="n"/>
      <c r="F4838" s="39" t="str">
        <f>IF(C4838="","",IFERROR(INDEX(art_unit,MATCH(C4838,art_ref,0))&amp;"",""))</f>
        <v/>
      </c>
      <c r="G4838" s="37" t="n"/>
      <c r="H4838" s="37" t="n"/>
      <c r="I4838" s="37" t="n"/>
      <c r="J4838" s="40" t="str">
        <f>IF(OR(C4838="",NOT(ISNUMBER(E4838))),"",IFERROR(E4838*N(INDEX(art_price,MATCH(C4838,art_ref,0))),""))</f>
        <v/>
      </c>
      <c r="K4838" s="39" t="str">
        <f>IF(OR(C4838="",NOT(ISNUMBER(E4838))),"",IFERROR(ROUND(N(INDEX(art_init,MATCH(C4838,art_ref,0)))+SUMIFS($E$5:E4838,$C$5:C4838,C4838,$B$5:B4838,"Entrée")-SUMIFS($E$5:E4838,$C$5:C4838,C4838,$B$5:B4838,"Sortie"),6),""))</f>
        <v/>
      </c>
      <c r="L4838" s="39" t="str">
        <f>IF(COUNTA(A4838:C4838,E4838)=0,"",IF(COUNTA(A4838:C4838,E4838)&lt;4,"Ligne incomplète",IF(NOT(ISNUMBER(A4838)),"Date invalide",IF(AND(B4838&lt;&gt;"Entrée",B4838&lt;&gt;"Sortie"),"Type inconnu",IF(ISNA(MATCH(C4838,art_ref,0)),"Référence inconnue",IF(OR(NOT(ISNUMBER(E4838)),N(E4838)&lt;=0),"Quantité invalide",IF(K4838&lt;0,"Stock négatif",IF(AND(ISNUMBER(A4837),A4838&lt;A4837),"Date hors ordre","OK"))))))))</f>
        <v/>
      </c>
      <c r="M4838" s="39" t="str">
        <f>IF(C4838="","",C4838&amp;"#"&amp;COUNTIF($C$5:C4838,C4838))</f>
        <v/>
      </c>
    </row>
    <row r="4839">
      <c r="A4839" s="41" t="n"/>
      <c r="B4839" s="37" t="n"/>
      <c r="C4839" s="37" t="n"/>
      <c r="D4839" s="39" t="str">
        <f>IF(C4839="","",IFERROR(INDEX(art_des,MATCH(C4839,art_ref,0))&amp;"","Référence inconnue"))</f>
        <v/>
      </c>
      <c r="E4839" s="37" t="n"/>
      <c r="F4839" s="39" t="str">
        <f>IF(C4839="","",IFERROR(INDEX(art_unit,MATCH(C4839,art_ref,0))&amp;"",""))</f>
        <v/>
      </c>
      <c r="G4839" s="37" t="n"/>
      <c r="H4839" s="37" t="n"/>
      <c r="I4839" s="37" t="n"/>
      <c r="J4839" s="40" t="str">
        <f>IF(OR(C4839="",NOT(ISNUMBER(E4839))),"",IFERROR(E4839*N(INDEX(art_price,MATCH(C4839,art_ref,0))),""))</f>
        <v/>
      </c>
      <c r="K4839" s="39" t="str">
        <f>IF(OR(C4839="",NOT(ISNUMBER(E4839))),"",IFERROR(ROUND(N(INDEX(art_init,MATCH(C4839,art_ref,0)))+SUMIFS($E$5:E4839,$C$5:C4839,C4839,$B$5:B4839,"Entrée")-SUMIFS($E$5:E4839,$C$5:C4839,C4839,$B$5:B4839,"Sortie"),6),""))</f>
        <v/>
      </c>
      <c r="L4839" s="39" t="str">
        <f>IF(COUNTA(A4839:C4839,E4839)=0,"",IF(COUNTA(A4839:C4839,E4839)&lt;4,"Ligne incomplète",IF(NOT(ISNUMBER(A4839)),"Date invalide",IF(AND(B4839&lt;&gt;"Entrée",B4839&lt;&gt;"Sortie"),"Type inconnu",IF(ISNA(MATCH(C4839,art_ref,0)),"Référence inconnue",IF(OR(NOT(ISNUMBER(E4839)),N(E4839)&lt;=0),"Quantité invalide",IF(K4839&lt;0,"Stock négatif",IF(AND(ISNUMBER(A4838),A4839&lt;A4838),"Date hors ordre","OK"))))))))</f>
        <v/>
      </c>
      <c r="M4839" s="39" t="str">
        <f>IF(C4839="","",C4839&amp;"#"&amp;COUNTIF($C$5:C4839,C4839))</f>
        <v/>
      </c>
    </row>
    <row r="4840">
      <c r="A4840" s="41" t="n"/>
      <c r="B4840" s="37" t="n"/>
      <c r="C4840" s="37" t="n"/>
      <c r="D4840" s="39" t="str">
        <f>IF(C4840="","",IFERROR(INDEX(art_des,MATCH(C4840,art_ref,0))&amp;"","Référence inconnue"))</f>
        <v/>
      </c>
      <c r="E4840" s="37" t="n"/>
      <c r="F4840" s="39" t="str">
        <f>IF(C4840="","",IFERROR(INDEX(art_unit,MATCH(C4840,art_ref,0))&amp;"",""))</f>
        <v/>
      </c>
      <c r="G4840" s="37" t="n"/>
      <c r="H4840" s="37" t="n"/>
      <c r="I4840" s="37" t="n"/>
      <c r="J4840" s="40" t="str">
        <f>IF(OR(C4840="",NOT(ISNUMBER(E4840))),"",IFERROR(E4840*N(INDEX(art_price,MATCH(C4840,art_ref,0))),""))</f>
        <v/>
      </c>
      <c r="K4840" s="39" t="str">
        <f>IF(OR(C4840="",NOT(ISNUMBER(E4840))),"",IFERROR(ROUND(N(INDEX(art_init,MATCH(C4840,art_ref,0)))+SUMIFS($E$5:E4840,$C$5:C4840,C4840,$B$5:B4840,"Entrée")-SUMIFS($E$5:E4840,$C$5:C4840,C4840,$B$5:B4840,"Sortie"),6),""))</f>
        <v/>
      </c>
      <c r="L4840" s="39" t="str">
        <f>IF(COUNTA(A4840:C4840,E4840)=0,"",IF(COUNTA(A4840:C4840,E4840)&lt;4,"Ligne incomplète",IF(NOT(ISNUMBER(A4840)),"Date invalide",IF(AND(B4840&lt;&gt;"Entrée",B4840&lt;&gt;"Sortie"),"Type inconnu",IF(ISNA(MATCH(C4840,art_ref,0)),"Référence inconnue",IF(OR(NOT(ISNUMBER(E4840)),N(E4840)&lt;=0),"Quantité invalide",IF(K4840&lt;0,"Stock négatif",IF(AND(ISNUMBER(A4839),A4840&lt;A4839),"Date hors ordre","OK"))))))))</f>
        <v/>
      </c>
      <c r="M4840" s="39" t="str">
        <f>IF(C4840="","",C4840&amp;"#"&amp;COUNTIF($C$5:C4840,C4840))</f>
        <v/>
      </c>
    </row>
    <row r="4841">
      <c r="A4841" s="41" t="n"/>
      <c r="B4841" s="37" t="n"/>
      <c r="C4841" s="37" t="n"/>
      <c r="D4841" s="39" t="str">
        <f>IF(C4841="","",IFERROR(INDEX(art_des,MATCH(C4841,art_ref,0))&amp;"","Référence inconnue"))</f>
        <v/>
      </c>
      <c r="E4841" s="37" t="n"/>
      <c r="F4841" s="39" t="str">
        <f>IF(C4841="","",IFERROR(INDEX(art_unit,MATCH(C4841,art_ref,0))&amp;"",""))</f>
        <v/>
      </c>
      <c r="G4841" s="37" t="n"/>
      <c r="H4841" s="37" t="n"/>
      <c r="I4841" s="37" t="n"/>
      <c r="J4841" s="40" t="str">
        <f>IF(OR(C4841="",NOT(ISNUMBER(E4841))),"",IFERROR(E4841*N(INDEX(art_price,MATCH(C4841,art_ref,0))),""))</f>
        <v/>
      </c>
      <c r="K4841" s="39" t="str">
        <f>IF(OR(C4841="",NOT(ISNUMBER(E4841))),"",IFERROR(ROUND(N(INDEX(art_init,MATCH(C4841,art_ref,0)))+SUMIFS($E$5:E4841,$C$5:C4841,C4841,$B$5:B4841,"Entrée")-SUMIFS($E$5:E4841,$C$5:C4841,C4841,$B$5:B4841,"Sortie"),6),""))</f>
        <v/>
      </c>
      <c r="L4841" s="39" t="str">
        <f>IF(COUNTA(A4841:C4841,E4841)=0,"",IF(COUNTA(A4841:C4841,E4841)&lt;4,"Ligne incomplète",IF(NOT(ISNUMBER(A4841)),"Date invalide",IF(AND(B4841&lt;&gt;"Entrée",B4841&lt;&gt;"Sortie"),"Type inconnu",IF(ISNA(MATCH(C4841,art_ref,0)),"Référence inconnue",IF(OR(NOT(ISNUMBER(E4841)),N(E4841)&lt;=0),"Quantité invalide",IF(K4841&lt;0,"Stock négatif",IF(AND(ISNUMBER(A4840),A4841&lt;A4840),"Date hors ordre","OK"))))))))</f>
        <v/>
      </c>
      <c r="M4841" s="39" t="str">
        <f>IF(C4841="","",C4841&amp;"#"&amp;COUNTIF($C$5:C4841,C4841))</f>
        <v/>
      </c>
    </row>
    <row r="4842">
      <c r="A4842" s="41" t="n"/>
      <c r="B4842" s="37" t="n"/>
      <c r="C4842" s="37" t="n"/>
      <c r="D4842" s="39" t="str">
        <f>IF(C4842="","",IFERROR(INDEX(art_des,MATCH(C4842,art_ref,0))&amp;"","Référence inconnue"))</f>
        <v/>
      </c>
      <c r="E4842" s="37" t="n"/>
      <c r="F4842" s="39" t="str">
        <f>IF(C4842="","",IFERROR(INDEX(art_unit,MATCH(C4842,art_ref,0))&amp;"",""))</f>
        <v/>
      </c>
      <c r="G4842" s="37" t="n"/>
      <c r="H4842" s="37" t="n"/>
      <c r="I4842" s="37" t="n"/>
      <c r="J4842" s="40" t="str">
        <f>IF(OR(C4842="",NOT(ISNUMBER(E4842))),"",IFERROR(E4842*N(INDEX(art_price,MATCH(C4842,art_ref,0))),""))</f>
        <v/>
      </c>
      <c r="K4842" s="39" t="str">
        <f>IF(OR(C4842="",NOT(ISNUMBER(E4842))),"",IFERROR(ROUND(N(INDEX(art_init,MATCH(C4842,art_ref,0)))+SUMIFS($E$5:E4842,$C$5:C4842,C4842,$B$5:B4842,"Entrée")-SUMIFS($E$5:E4842,$C$5:C4842,C4842,$B$5:B4842,"Sortie"),6),""))</f>
        <v/>
      </c>
      <c r="L4842" s="39" t="str">
        <f>IF(COUNTA(A4842:C4842,E4842)=0,"",IF(COUNTA(A4842:C4842,E4842)&lt;4,"Ligne incomplète",IF(NOT(ISNUMBER(A4842)),"Date invalide",IF(AND(B4842&lt;&gt;"Entrée",B4842&lt;&gt;"Sortie"),"Type inconnu",IF(ISNA(MATCH(C4842,art_ref,0)),"Référence inconnue",IF(OR(NOT(ISNUMBER(E4842)),N(E4842)&lt;=0),"Quantité invalide",IF(K4842&lt;0,"Stock négatif",IF(AND(ISNUMBER(A4841),A4842&lt;A4841),"Date hors ordre","OK"))))))))</f>
        <v/>
      </c>
      <c r="M4842" s="39" t="str">
        <f>IF(C4842="","",C4842&amp;"#"&amp;COUNTIF($C$5:C4842,C4842))</f>
        <v/>
      </c>
    </row>
    <row r="4843">
      <c r="A4843" s="41" t="n"/>
      <c r="B4843" s="37" t="n"/>
      <c r="C4843" s="37" t="n"/>
      <c r="D4843" s="39" t="str">
        <f>IF(C4843="","",IFERROR(INDEX(art_des,MATCH(C4843,art_ref,0))&amp;"","Référence inconnue"))</f>
        <v/>
      </c>
      <c r="E4843" s="37" t="n"/>
      <c r="F4843" s="39" t="str">
        <f>IF(C4843="","",IFERROR(INDEX(art_unit,MATCH(C4843,art_ref,0))&amp;"",""))</f>
        <v/>
      </c>
      <c r="G4843" s="37" t="n"/>
      <c r="H4843" s="37" t="n"/>
      <c r="I4843" s="37" t="n"/>
      <c r="J4843" s="40" t="str">
        <f>IF(OR(C4843="",NOT(ISNUMBER(E4843))),"",IFERROR(E4843*N(INDEX(art_price,MATCH(C4843,art_ref,0))),""))</f>
        <v/>
      </c>
      <c r="K4843" s="39" t="str">
        <f>IF(OR(C4843="",NOT(ISNUMBER(E4843))),"",IFERROR(ROUND(N(INDEX(art_init,MATCH(C4843,art_ref,0)))+SUMIFS($E$5:E4843,$C$5:C4843,C4843,$B$5:B4843,"Entrée")-SUMIFS($E$5:E4843,$C$5:C4843,C4843,$B$5:B4843,"Sortie"),6),""))</f>
        <v/>
      </c>
      <c r="L4843" s="39" t="str">
        <f>IF(COUNTA(A4843:C4843,E4843)=0,"",IF(COUNTA(A4843:C4843,E4843)&lt;4,"Ligne incomplète",IF(NOT(ISNUMBER(A4843)),"Date invalide",IF(AND(B4843&lt;&gt;"Entrée",B4843&lt;&gt;"Sortie"),"Type inconnu",IF(ISNA(MATCH(C4843,art_ref,0)),"Référence inconnue",IF(OR(NOT(ISNUMBER(E4843)),N(E4843)&lt;=0),"Quantité invalide",IF(K4843&lt;0,"Stock négatif",IF(AND(ISNUMBER(A4842),A4843&lt;A4842),"Date hors ordre","OK"))))))))</f>
        <v/>
      </c>
      <c r="M4843" s="39" t="str">
        <f>IF(C4843="","",C4843&amp;"#"&amp;COUNTIF($C$5:C4843,C4843))</f>
        <v/>
      </c>
    </row>
    <row r="4844">
      <c r="A4844" s="41" t="n"/>
      <c r="B4844" s="37" t="n"/>
      <c r="C4844" s="37" t="n"/>
      <c r="D4844" s="39" t="str">
        <f>IF(C4844="","",IFERROR(INDEX(art_des,MATCH(C4844,art_ref,0))&amp;"","Référence inconnue"))</f>
        <v/>
      </c>
      <c r="E4844" s="37" t="n"/>
      <c r="F4844" s="39" t="str">
        <f>IF(C4844="","",IFERROR(INDEX(art_unit,MATCH(C4844,art_ref,0))&amp;"",""))</f>
        <v/>
      </c>
      <c r="G4844" s="37" t="n"/>
      <c r="H4844" s="37" t="n"/>
      <c r="I4844" s="37" t="n"/>
      <c r="J4844" s="40" t="str">
        <f>IF(OR(C4844="",NOT(ISNUMBER(E4844))),"",IFERROR(E4844*N(INDEX(art_price,MATCH(C4844,art_ref,0))),""))</f>
        <v/>
      </c>
      <c r="K4844" s="39" t="str">
        <f>IF(OR(C4844="",NOT(ISNUMBER(E4844))),"",IFERROR(ROUND(N(INDEX(art_init,MATCH(C4844,art_ref,0)))+SUMIFS($E$5:E4844,$C$5:C4844,C4844,$B$5:B4844,"Entrée")-SUMIFS($E$5:E4844,$C$5:C4844,C4844,$B$5:B4844,"Sortie"),6),""))</f>
        <v/>
      </c>
      <c r="L4844" s="39" t="str">
        <f>IF(COUNTA(A4844:C4844,E4844)=0,"",IF(COUNTA(A4844:C4844,E4844)&lt;4,"Ligne incomplète",IF(NOT(ISNUMBER(A4844)),"Date invalide",IF(AND(B4844&lt;&gt;"Entrée",B4844&lt;&gt;"Sortie"),"Type inconnu",IF(ISNA(MATCH(C4844,art_ref,0)),"Référence inconnue",IF(OR(NOT(ISNUMBER(E4844)),N(E4844)&lt;=0),"Quantité invalide",IF(K4844&lt;0,"Stock négatif",IF(AND(ISNUMBER(A4843),A4844&lt;A4843),"Date hors ordre","OK"))))))))</f>
        <v/>
      </c>
      <c r="M4844" s="39" t="str">
        <f>IF(C4844="","",C4844&amp;"#"&amp;COUNTIF($C$5:C4844,C4844))</f>
        <v/>
      </c>
    </row>
    <row r="4845">
      <c r="A4845" s="41" t="n"/>
      <c r="B4845" s="37" t="n"/>
      <c r="C4845" s="37" t="n"/>
      <c r="D4845" s="39" t="str">
        <f>IF(C4845="","",IFERROR(INDEX(art_des,MATCH(C4845,art_ref,0))&amp;"","Référence inconnue"))</f>
        <v/>
      </c>
      <c r="E4845" s="37" t="n"/>
      <c r="F4845" s="39" t="str">
        <f>IF(C4845="","",IFERROR(INDEX(art_unit,MATCH(C4845,art_ref,0))&amp;"",""))</f>
        <v/>
      </c>
      <c r="G4845" s="37" t="n"/>
      <c r="H4845" s="37" t="n"/>
      <c r="I4845" s="37" t="n"/>
      <c r="J4845" s="40" t="str">
        <f>IF(OR(C4845="",NOT(ISNUMBER(E4845))),"",IFERROR(E4845*N(INDEX(art_price,MATCH(C4845,art_ref,0))),""))</f>
        <v/>
      </c>
      <c r="K4845" s="39" t="str">
        <f>IF(OR(C4845="",NOT(ISNUMBER(E4845))),"",IFERROR(ROUND(N(INDEX(art_init,MATCH(C4845,art_ref,0)))+SUMIFS($E$5:E4845,$C$5:C4845,C4845,$B$5:B4845,"Entrée")-SUMIFS($E$5:E4845,$C$5:C4845,C4845,$B$5:B4845,"Sortie"),6),""))</f>
        <v/>
      </c>
      <c r="L4845" s="39" t="str">
        <f>IF(COUNTA(A4845:C4845,E4845)=0,"",IF(COUNTA(A4845:C4845,E4845)&lt;4,"Ligne incomplète",IF(NOT(ISNUMBER(A4845)),"Date invalide",IF(AND(B4845&lt;&gt;"Entrée",B4845&lt;&gt;"Sortie"),"Type inconnu",IF(ISNA(MATCH(C4845,art_ref,0)),"Référence inconnue",IF(OR(NOT(ISNUMBER(E4845)),N(E4845)&lt;=0),"Quantité invalide",IF(K4845&lt;0,"Stock négatif",IF(AND(ISNUMBER(A4844),A4845&lt;A4844),"Date hors ordre","OK"))))))))</f>
        <v/>
      </c>
      <c r="M4845" s="39" t="str">
        <f>IF(C4845="","",C4845&amp;"#"&amp;COUNTIF($C$5:C4845,C4845))</f>
        <v/>
      </c>
    </row>
    <row r="4846">
      <c r="A4846" s="41" t="n"/>
      <c r="B4846" s="37" t="n"/>
      <c r="C4846" s="37" t="n"/>
      <c r="D4846" s="39" t="str">
        <f>IF(C4846="","",IFERROR(INDEX(art_des,MATCH(C4846,art_ref,0))&amp;"","Référence inconnue"))</f>
        <v/>
      </c>
      <c r="E4846" s="37" t="n"/>
      <c r="F4846" s="39" t="str">
        <f>IF(C4846="","",IFERROR(INDEX(art_unit,MATCH(C4846,art_ref,0))&amp;"",""))</f>
        <v/>
      </c>
      <c r="G4846" s="37" t="n"/>
      <c r="H4846" s="37" t="n"/>
      <c r="I4846" s="37" t="n"/>
      <c r="J4846" s="40" t="str">
        <f>IF(OR(C4846="",NOT(ISNUMBER(E4846))),"",IFERROR(E4846*N(INDEX(art_price,MATCH(C4846,art_ref,0))),""))</f>
        <v/>
      </c>
      <c r="K4846" s="39" t="str">
        <f>IF(OR(C4846="",NOT(ISNUMBER(E4846))),"",IFERROR(ROUND(N(INDEX(art_init,MATCH(C4846,art_ref,0)))+SUMIFS($E$5:E4846,$C$5:C4846,C4846,$B$5:B4846,"Entrée")-SUMIFS($E$5:E4846,$C$5:C4846,C4846,$B$5:B4846,"Sortie"),6),""))</f>
        <v/>
      </c>
      <c r="L4846" s="39" t="str">
        <f>IF(COUNTA(A4846:C4846,E4846)=0,"",IF(COUNTA(A4846:C4846,E4846)&lt;4,"Ligne incomplète",IF(NOT(ISNUMBER(A4846)),"Date invalide",IF(AND(B4846&lt;&gt;"Entrée",B4846&lt;&gt;"Sortie"),"Type inconnu",IF(ISNA(MATCH(C4846,art_ref,0)),"Référence inconnue",IF(OR(NOT(ISNUMBER(E4846)),N(E4846)&lt;=0),"Quantité invalide",IF(K4846&lt;0,"Stock négatif",IF(AND(ISNUMBER(A4845),A4846&lt;A4845),"Date hors ordre","OK"))))))))</f>
        <v/>
      </c>
      <c r="M4846" s="39" t="str">
        <f>IF(C4846="","",C4846&amp;"#"&amp;COUNTIF($C$5:C4846,C4846))</f>
        <v/>
      </c>
    </row>
    <row r="4847">
      <c r="A4847" s="41" t="n"/>
      <c r="B4847" s="37" t="n"/>
      <c r="C4847" s="37" t="n"/>
      <c r="D4847" s="39" t="str">
        <f>IF(C4847="","",IFERROR(INDEX(art_des,MATCH(C4847,art_ref,0))&amp;"","Référence inconnue"))</f>
        <v/>
      </c>
      <c r="E4847" s="37" t="n"/>
      <c r="F4847" s="39" t="str">
        <f>IF(C4847="","",IFERROR(INDEX(art_unit,MATCH(C4847,art_ref,0))&amp;"",""))</f>
        <v/>
      </c>
      <c r="G4847" s="37" t="n"/>
      <c r="H4847" s="37" t="n"/>
      <c r="I4847" s="37" t="n"/>
      <c r="J4847" s="40" t="str">
        <f>IF(OR(C4847="",NOT(ISNUMBER(E4847))),"",IFERROR(E4847*N(INDEX(art_price,MATCH(C4847,art_ref,0))),""))</f>
        <v/>
      </c>
      <c r="K4847" s="39" t="str">
        <f>IF(OR(C4847="",NOT(ISNUMBER(E4847))),"",IFERROR(ROUND(N(INDEX(art_init,MATCH(C4847,art_ref,0)))+SUMIFS($E$5:E4847,$C$5:C4847,C4847,$B$5:B4847,"Entrée")-SUMIFS($E$5:E4847,$C$5:C4847,C4847,$B$5:B4847,"Sortie"),6),""))</f>
        <v/>
      </c>
      <c r="L4847" s="39" t="str">
        <f>IF(COUNTA(A4847:C4847,E4847)=0,"",IF(COUNTA(A4847:C4847,E4847)&lt;4,"Ligne incomplète",IF(NOT(ISNUMBER(A4847)),"Date invalide",IF(AND(B4847&lt;&gt;"Entrée",B4847&lt;&gt;"Sortie"),"Type inconnu",IF(ISNA(MATCH(C4847,art_ref,0)),"Référence inconnue",IF(OR(NOT(ISNUMBER(E4847)),N(E4847)&lt;=0),"Quantité invalide",IF(K4847&lt;0,"Stock négatif",IF(AND(ISNUMBER(A4846),A4847&lt;A4846),"Date hors ordre","OK"))))))))</f>
        <v/>
      </c>
      <c r="M4847" s="39" t="str">
        <f>IF(C4847="","",C4847&amp;"#"&amp;COUNTIF($C$5:C4847,C4847))</f>
        <v/>
      </c>
    </row>
    <row r="4848">
      <c r="A4848" s="41" t="n"/>
      <c r="B4848" s="37" t="n"/>
      <c r="C4848" s="37" t="n"/>
      <c r="D4848" s="39" t="str">
        <f>IF(C4848="","",IFERROR(INDEX(art_des,MATCH(C4848,art_ref,0))&amp;"","Référence inconnue"))</f>
        <v/>
      </c>
      <c r="E4848" s="37" t="n"/>
      <c r="F4848" s="39" t="str">
        <f>IF(C4848="","",IFERROR(INDEX(art_unit,MATCH(C4848,art_ref,0))&amp;"",""))</f>
        <v/>
      </c>
      <c r="G4848" s="37" t="n"/>
      <c r="H4848" s="37" t="n"/>
      <c r="I4848" s="37" t="n"/>
      <c r="J4848" s="40" t="str">
        <f>IF(OR(C4848="",NOT(ISNUMBER(E4848))),"",IFERROR(E4848*N(INDEX(art_price,MATCH(C4848,art_ref,0))),""))</f>
        <v/>
      </c>
      <c r="K4848" s="39" t="str">
        <f>IF(OR(C4848="",NOT(ISNUMBER(E4848))),"",IFERROR(ROUND(N(INDEX(art_init,MATCH(C4848,art_ref,0)))+SUMIFS($E$5:E4848,$C$5:C4848,C4848,$B$5:B4848,"Entrée")-SUMIFS($E$5:E4848,$C$5:C4848,C4848,$B$5:B4848,"Sortie"),6),""))</f>
        <v/>
      </c>
      <c r="L4848" s="39" t="str">
        <f>IF(COUNTA(A4848:C4848,E4848)=0,"",IF(COUNTA(A4848:C4848,E4848)&lt;4,"Ligne incomplète",IF(NOT(ISNUMBER(A4848)),"Date invalide",IF(AND(B4848&lt;&gt;"Entrée",B4848&lt;&gt;"Sortie"),"Type inconnu",IF(ISNA(MATCH(C4848,art_ref,0)),"Référence inconnue",IF(OR(NOT(ISNUMBER(E4848)),N(E4848)&lt;=0),"Quantité invalide",IF(K4848&lt;0,"Stock négatif",IF(AND(ISNUMBER(A4847),A4848&lt;A4847),"Date hors ordre","OK"))))))))</f>
        <v/>
      </c>
      <c r="M4848" s="39" t="str">
        <f>IF(C4848="","",C4848&amp;"#"&amp;COUNTIF($C$5:C4848,C4848))</f>
        <v/>
      </c>
    </row>
    <row r="4849">
      <c r="A4849" s="41" t="n"/>
      <c r="B4849" s="37" t="n"/>
      <c r="C4849" s="37" t="n"/>
      <c r="D4849" s="39" t="str">
        <f>IF(C4849="","",IFERROR(INDEX(art_des,MATCH(C4849,art_ref,0))&amp;"","Référence inconnue"))</f>
        <v/>
      </c>
      <c r="E4849" s="37" t="n"/>
      <c r="F4849" s="39" t="str">
        <f>IF(C4849="","",IFERROR(INDEX(art_unit,MATCH(C4849,art_ref,0))&amp;"",""))</f>
        <v/>
      </c>
      <c r="G4849" s="37" t="n"/>
      <c r="H4849" s="37" t="n"/>
      <c r="I4849" s="37" t="n"/>
      <c r="J4849" s="40" t="str">
        <f>IF(OR(C4849="",NOT(ISNUMBER(E4849))),"",IFERROR(E4849*N(INDEX(art_price,MATCH(C4849,art_ref,0))),""))</f>
        <v/>
      </c>
      <c r="K4849" s="39" t="str">
        <f>IF(OR(C4849="",NOT(ISNUMBER(E4849))),"",IFERROR(ROUND(N(INDEX(art_init,MATCH(C4849,art_ref,0)))+SUMIFS($E$5:E4849,$C$5:C4849,C4849,$B$5:B4849,"Entrée")-SUMIFS($E$5:E4849,$C$5:C4849,C4849,$B$5:B4849,"Sortie"),6),""))</f>
        <v/>
      </c>
      <c r="L4849" s="39" t="str">
        <f>IF(COUNTA(A4849:C4849,E4849)=0,"",IF(COUNTA(A4849:C4849,E4849)&lt;4,"Ligne incomplète",IF(NOT(ISNUMBER(A4849)),"Date invalide",IF(AND(B4849&lt;&gt;"Entrée",B4849&lt;&gt;"Sortie"),"Type inconnu",IF(ISNA(MATCH(C4849,art_ref,0)),"Référence inconnue",IF(OR(NOT(ISNUMBER(E4849)),N(E4849)&lt;=0),"Quantité invalide",IF(K4849&lt;0,"Stock négatif",IF(AND(ISNUMBER(A4848),A4849&lt;A4848),"Date hors ordre","OK"))))))))</f>
        <v/>
      </c>
      <c r="M4849" s="39" t="str">
        <f>IF(C4849="","",C4849&amp;"#"&amp;COUNTIF($C$5:C4849,C4849))</f>
        <v/>
      </c>
    </row>
    <row r="4850">
      <c r="A4850" s="41" t="n"/>
      <c r="B4850" s="37" t="n"/>
      <c r="C4850" s="37" t="n"/>
      <c r="D4850" s="39" t="str">
        <f>IF(C4850="","",IFERROR(INDEX(art_des,MATCH(C4850,art_ref,0))&amp;"","Référence inconnue"))</f>
        <v/>
      </c>
      <c r="E4850" s="37" t="n"/>
      <c r="F4850" s="39" t="str">
        <f>IF(C4850="","",IFERROR(INDEX(art_unit,MATCH(C4850,art_ref,0))&amp;"",""))</f>
        <v/>
      </c>
      <c r="G4850" s="37" t="n"/>
      <c r="H4850" s="37" t="n"/>
      <c r="I4850" s="37" t="n"/>
      <c r="J4850" s="40" t="str">
        <f>IF(OR(C4850="",NOT(ISNUMBER(E4850))),"",IFERROR(E4850*N(INDEX(art_price,MATCH(C4850,art_ref,0))),""))</f>
        <v/>
      </c>
      <c r="K4850" s="39" t="str">
        <f>IF(OR(C4850="",NOT(ISNUMBER(E4850))),"",IFERROR(ROUND(N(INDEX(art_init,MATCH(C4850,art_ref,0)))+SUMIFS($E$5:E4850,$C$5:C4850,C4850,$B$5:B4850,"Entrée")-SUMIFS($E$5:E4850,$C$5:C4850,C4850,$B$5:B4850,"Sortie"),6),""))</f>
        <v/>
      </c>
      <c r="L4850" s="39" t="str">
        <f>IF(COUNTA(A4850:C4850,E4850)=0,"",IF(COUNTA(A4850:C4850,E4850)&lt;4,"Ligne incomplète",IF(NOT(ISNUMBER(A4850)),"Date invalide",IF(AND(B4850&lt;&gt;"Entrée",B4850&lt;&gt;"Sortie"),"Type inconnu",IF(ISNA(MATCH(C4850,art_ref,0)),"Référence inconnue",IF(OR(NOT(ISNUMBER(E4850)),N(E4850)&lt;=0),"Quantité invalide",IF(K4850&lt;0,"Stock négatif",IF(AND(ISNUMBER(A4849),A4850&lt;A4849),"Date hors ordre","OK"))))))))</f>
        <v/>
      </c>
      <c r="M4850" s="39" t="str">
        <f>IF(C4850="","",C4850&amp;"#"&amp;COUNTIF($C$5:C4850,C4850))</f>
        <v/>
      </c>
    </row>
    <row r="4851">
      <c r="A4851" s="41" t="n"/>
      <c r="B4851" s="37" t="n"/>
      <c r="C4851" s="37" t="n"/>
      <c r="D4851" s="39" t="str">
        <f>IF(C4851="","",IFERROR(INDEX(art_des,MATCH(C4851,art_ref,0))&amp;"","Référence inconnue"))</f>
        <v/>
      </c>
      <c r="E4851" s="37" t="n"/>
      <c r="F4851" s="39" t="str">
        <f>IF(C4851="","",IFERROR(INDEX(art_unit,MATCH(C4851,art_ref,0))&amp;"",""))</f>
        <v/>
      </c>
      <c r="G4851" s="37" t="n"/>
      <c r="H4851" s="37" t="n"/>
      <c r="I4851" s="37" t="n"/>
      <c r="J4851" s="40" t="str">
        <f>IF(OR(C4851="",NOT(ISNUMBER(E4851))),"",IFERROR(E4851*N(INDEX(art_price,MATCH(C4851,art_ref,0))),""))</f>
        <v/>
      </c>
      <c r="K4851" s="39" t="str">
        <f>IF(OR(C4851="",NOT(ISNUMBER(E4851))),"",IFERROR(ROUND(N(INDEX(art_init,MATCH(C4851,art_ref,0)))+SUMIFS($E$5:E4851,$C$5:C4851,C4851,$B$5:B4851,"Entrée")-SUMIFS($E$5:E4851,$C$5:C4851,C4851,$B$5:B4851,"Sortie"),6),""))</f>
        <v/>
      </c>
      <c r="L4851" s="39" t="str">
        <f>IF(COUNTA(A4851:C4851,E4851)=0,"",IF(COUNTA(A4851:C4851,E4851)&lt;4,"Ligne incomplète",IF(NOT(ISNUMBER(A4851)),"Date invalide",IF(AND(B4851&lt;&gt;"Entrée",B4851&lt;&gt;"Sortie"),"Type inconnu",IF(ISNA(MATCH(C4851,art_ref,0)),"Référence inconnue",IF(OR(NOT(ISNUMBER(E4851)),N(E4851)&lt;=0),"Quantité invalide",IF(K4851&lt;0,"Stock négatif",IF(AND(ISNUMBER(A4850),A4851&lt;A4850),"Date hors ordre","OK"))))))))</f>
        <v/>
      </c>
      <c r="M4851" s="39" t="str">
        <f>IF(C4851="","",C4851&amp;"#"&amp;COUNTIF($C$5:C4851,C4851))</f>
        <v/>
      </c>
    </row>
    <row r="4852">
      <c r="A4852" s="41" t="n"/>
      <c r="B4852" s="37" t="n"/>
      <c r="C4852" s="37" t="n"/>
      <c r="D4852" s="39" t="str">
        <f>IF(C4852="","",IFERROR(INDEX(art_des,MATCH(C4852,art_ref,0))&amp;"","Référence inconnue"))</f>
        <v/>
      </c>
      <c r="E4852" s="37" t="n"/>
      <c r="F4852" s="39" t="str">
        <f>IF(C4852="","",IFERROR(INDEX(art_unit,MATCH(C4852,art_ref,0))&amp;"",""))</f>
        <v/>
      </c>
      <c r="G4852" s="37" t="n"/>
      <c r="H4852" s="37" t="n"/>
      <c r="I4852" s="37" t="n"/>
      <c r="J4852" s="40" t="str">
        <f>IF(OR(C4852="",NOT(ISNUMBER(E4852))),"",IFERROR(E4852*N(INDEX(art_price,MATCH(C4852,art_ref,0))),""))</f>
        <v/>
      </c>
      <c r="K4852" s="39" t="str">
        <f>IF(OR(C4852="",NOT(ISNUMBER(E4852))),"",IFERROR(ROUND(N(INDEX(art_init,MATCH(C4852,art_ref,0)))+SUMIFS($E$5:E4852,$C$5:C4852,C4852,$B$5:B4852,"Entrée")-SUMIFS($E$5:E4852,$C$5:C4852,C4852,$B$5:B4852,"Sortie"),6),""))</f>
        <v/>
      </c>
      <c r="L4852" s="39" t="str">
        <f>IF(COUNTA(A4852:C4852,E4852)=0,"",IF(COUNTA(A4852:C4852,E4852)&lt;4,"Ligne incomplète",IF(NOT(ISNUMBER(A4852)),"Date invalide",IF(AND(B4852&lt;&gt;"Entrée",B4852&lt;&gt;"Sortie"),"Type inconnu",IF(ISNA(MATCH(C4852,art_ref,0)),"Référence inconnue",IF(OR(NOT(ISNUMBER(E4852)),N(E4852)&lt;=0),"Quantité invalide",IF(K4852&lt;0,"Stock négatif",IF(AND(ISNUMBER(A4851),A4852&lt;A4851),"Date hors ordre","OK"))))))))</f>
        <v/>
      </c>
      <c r="M4852" s="39" t="str">
        <f>IF(C4852="","",C4852&amp;"#"&amp;COUNTIF($C$5:C4852,C4852))</f>
        <v/>
      </c>
    </row>
    <row r="4853">
      <c r="A4853" s="41" t="n"/>
      <c r="B4853" s="37" t="n"/>
      <c r="C4853" s="37" t="n"/>
      <c r="D4853" s="39" t="str">
        <f>IF(C4853="","",IFERROR(INDEX(art_des,MATCH(C4853,art_ref,0))&amp;"","Référence inconnue"))</f>
        <v/>
      </c>
      <c r="E4853" s="37" t="n"/>
      <c r="F4853" s="39" t="str">
        <f>IF(C4853="","",IFERROR(INDEX(art_unit,MATCH(C4853,art_ref,0))&amp;"",""))</f>
        <v/>
      </c>
      <c r="G4853" s="37" t="n"/>
      <c r="H4853" s="37" t="n"/>
      <c r="I4853" s="37" t="n"/>
      <c r="J4853" s="40" t="str">
        <f>IF(OR(C4853="",NOT(ISNUMBER(E4853))),"",IFERROR(E4853*N(INDEX(art_price,MATCH(C4853,art_ref,0))),""))</f>
        <v/>
      </c>
      <c r="K4853" s="39" t="str">
        <f>IF(OR(C4853="",NOT(ISNUMBER(E4853))),"",IFERROR(ROUND(N(INDEX(art_init,MATCH(C4853,art_ref,0)))+SUMIFS($E$5:E4853,$C$5:C4853,C4853,$B$5:B4853,"Entrée")-SUMIFS($E$5:E4853,$C$5:C4853,C4853,$B$5:B4853,"Sortie"),6),""))</f>
        <v/>
      </c>
      <c r="L4853" s="39" t="str">
        <f>IF(COUNTA(A4853:C4853,E4853)=0,"",IF(COUNTA(A4853:C4853,E4853)&lt;4,"Ligne incomplète",IF(NOT(ISNUMBER(A4853)),"Date invalide",IF(AND(B4853&lt;&gt;"Entrée",B4853&lt;&gt;"Sortie"),"Type inconnu",IF(ISNA(MATCH(C4853,art_ref,0)),"Référence inconnue",IF(OR(NOT(ISNUMBER(E4853)),N(E4853)&lt;=0),"Quantité invalide",IF(K4853&lt;0,"Stock négatif",IF(AND(ISNUMBER(A4852),A4853&lt;A4852),"Date hors ordre","OK"))))))))</f>
        <v/>
      </c>
      <c r="M4853" s="39" t="str">
        <f>IF(C4853="","",C4853&amp;"#"&amp;COUNTIF($C$5:C4853,C4853))</f>
        <v/>
      </c>
    </row>
    <row r="4854">
      <c r="A4854" s="41" t="n"/>
      <c r="B4854" s="37" t="n"/>
      <c r="C4854" s="37" t="n"/>
      <c r="D4854" s="39" t="str">
        <f>IF(C4854="","",IFERROR(INDEX(art_des,MATCH(C4854,art_ref,0))&amp;"","Référence inconnue"))</f>
        <v/>
      </c>
      <c r="E4854" s="37" t="n"/>
      <c r="F4854" s="39" t="str">
        <f>IF(C4854="","",IFERROR(INDEX(art_unit,MATCH(C4854,art_ref,0))&amp;"",""))</f>
        <v/>
      </c>
      <c r="G4854" s="37" t="n"/>
      <c r="H4854" s="37" t="n"/>
      <c r="I4854" s="37" t="n"/>
      <c r="J4854" s="40" t="str">
        <f>IF(OR(C4854="",NOT(ISNUMBER(E4854))),"",IFERROR(E4854*N(INDEX(art_price,MATCH(C4854,art_ref,0))),""))</f>
        <v/>
      </c>
      <c r="K4854" s="39" t="str">
        <f>IF(OR(C4854="",NOT(ISNUMBER(E4854))),"",IFERROR(ROUND(N(INDEX(art_init,MATCH(C4854,art_ref,0)))+SUMIFS($E$5:E4854,$C$5:C4854,C4854,$B$5:B4854,"Entrée")-SUMIFS($E$5:E4854,$C$5:C4854,C4854,$B$5:B4854,"Sortie"),6),""))</f>
        <v/>
      </c>
      <c r="L4854" s="39" t="str">
        <f>IF(COUNTA(A4854:C4854,E4854)=0,"",IF(COUNTA(A4854:C4854,E4854)&lt;4,"Ligne incomplète",IF(NOT(ISNUMBER(A4854)),"Date invalide",IF(AND(B4854&lt;&gt;"Entrée",B4854&lt;&gt;"Sortie"),"Type inconnu",IF(ISNA(MATCH(C4854,art_ref,0)),"Référence inconnue",IF(OR(NOT(ISNUMBER(E4854)),N(E4854)&lt;=0),"Quantité invalide",IF(K4854&lt;0,"Stock négatif",IF(AND(ISNUMBER(A4853),A4854&lt;A4853),"Date hors ordre","OK"))))))))</f>
        <v/>
      </c>
      <c r="M4854" s="39" t="str">
        <f>IF(C4854="","",C4854&amp;"#"&amp;COUNTIF($C$5:C4854,C4854))</f>
        <v/>
      </c>
    </row>
    <row r="4855">
      <c r="A4855" s="41" t="n"/>
      <c r="B4855" s="37" t="n"/>
      <c r="C4855" s="37" t="n"/>
      <c r="D4855" s="39" t="str">
        <f>IF(C4855="","",IFERROR(INDEX(art_des,MATCH(C4855,art_ref,0))&amp;"","Référence inconnue"))</f>
        <v/>
      </c>
      <c r="E4855" s="37" t="n"/>
      <c r="F4855" s="39" t="str">
        <f>IF(C4855="","",IFERROR(INDEX(art_unit,MATCH(C4855,art_ref,0))&amp;"",""))</f>
        <v/>
      </c>
      <c r="G4855" s="37" t="n"/>
      <c r="H4855" s="37" t="n"/>
      <c r="I4855" s="37" t="n"/>
      <c r="J4855" s="40" t="str">
        <f>IF(OR(C4855="",NOT(ISNUMBER(E4855))),"",IFERROR(E4855*N(INDEX(art_price,MATCH(C4855,art_ref,0))),""))</f>
        <v/>
      </c>
      <c r="K4855" s="39" t="str">
        <f>IF(OR(C4855="",NOT(ISNUMBER(E4855))),"",IFERROR(ROUND(N(INDEX(art_init,MATCH(C4855,art_ref,0)))+SUMIFS($E$5:E4855,$C$5:C4855,C4855,$B$5:B4855,"Entrée")-SUMIFS($E$5:E4855,$C$5:C4855,C4855,$B$5:B4855,"Sortie"),6),""))</f>
        <v/>
      </c>
      <c r="L4855" s="39" t="str">
        <f>IF(COUNTA(A4855:C4855,E4855)=0,"",IF(COUNTA(A4855:C4855,E4855)&lt;4,"Ligne incomplète",IF(NOT(ISNUMBER(A4855)),"Date invalide",IF(AND(B4855&lt;&gt;"Entrée",B4855&lt;&gt;"Sortie"),"Type inconnu",IF(ISNA(MATCH(C4855,art_ref,0)),"Référence inconnue",IF(OR(NOT(ISNUMBER(E4855)),N(E4855)&lt;=0),"Quantité invalide",IF(K4855&lt;0,"Stock négatif",IF(AND(ISNUMBER(A4854),A4855&lt;A4854),"Date hors ordre","OK"))))))))</f>
        <v/>
      </c>
      <c r="M4855" s="39" t="str">
        <f>IF(C4855="","",C4855&amp;"#"&amp;COUNTIF($C$5:C4855,C4855))</f>
        <v/>
      </c>
    </row>
    <row r="4856">
      <c r="A4856" s="41" t="n"/>
      <c r="B4856" s="37" t="n"/>
      <c r="C4856" s="37" t="n"/>
      <c r="D4856" s="39" t="str">
        <f>IF(C4856="","",IFERROR(INDEX(art_des,MATCH(C4856,art_ref,0))&amp;"","Référence inconnue"))</f>
        <v/>
      </c>
      <c r="E4856" s="37" t="n"/>
      <c r="F4856" s="39" t="str">
        <f>IF(C4856="","",IFERROR(INDEX(art_unit,MATCH(C4856,art_ref,0))&amp;"",""))</f>
        <v/>
      </c>
      <c r="G4856" s="37" t="n"/>
      <c r="H4856" s="37" t="n"/>
      <c r="I4856" s="37" t="n"/>
      <c r="J4856" s="40" t="str">
        <f>IF(OR(C4856="",NOT(ISNUMBER(E4856))),"",IFERROR(E4856*N(INDEX(art_price,MATCH(C4856,art_ref,0))),""))</f>
        <v/>
      </c>
      <c r="K4856" s="39" t="str">
        <f>IF(OR(C4856="",NOT(ISNUMBER(E4856))),"",IFERROR(ROUND(N(INDEX(art_init,MATCH(C4856,art_ref,0)))+SUMIFS($E$5:E4856,$C$5:C4856,C4856,$B$5:B4856,"Entrée")-SUMIFS($E$5:E4856,$C$5:C4856,C4856,$B$5:B4856,"Sortie"),6),""))</f>
        <v/>
      </c>
      <c r="L4856" s="39" t="str">
        <f>IF(COUNTA(A4856:C4856,E4856)=0,"",IF(COUNTA(A4856:C4856,E4856)&lt;4,"Ligne incomplète",IF(NOT(ISNUMBER(A4856)),"Date invalide",IF(AND(B4856&lt;&gt;"Entrée",B4856&lt;&gt;"Sortie"),"Type inconnu",IF(ISNA(MATCH(C4856,art_ref,0)),"Référence inconnue",IF(OR(NOT(ISNUMBER(E4856)),N(E4856)&lt;=0),"Quantité invalide",IF(K4856&lt;0,"Stock négatif",IF(AND(ISNUMBER(A4855),A4856&lt;A4855),"Date hors ordre","OK"))))))))</f>
        <v/>
      </c>
      <c r="M4856" s="39" t="str">
        <f>IF(C4856="","",C4856&amp;"#"&amp;COUNTIF($C$5:C4856,C4856))</f>
        <v/>
      </c>
    </row>
    <row r="4857">
      <c r="A4857" s="41" t="n"/>
      <c r="B4857" s="37" t="n"/>
      <c r="C4857" s="37" t="n"/>
      <c r="D4857" s="39" t="str">
        <f>IF(C4857="","",IFERROR(INDEX(art_des,MATCH(C4857,art_ref,0))&amp;"","Référence inconnue"))</f>
        <v/>
      </c>
      <c r="E4857" s="37" t="n"/>
      <c r="F4857" s="39" t="str">
        <f>IF(C4857="","",IFERROR(INDEX(art_unit,MATCH(C4857,art_ref,0))&amp;"",""))</f>
        <v/>
      </c>
      <c r="G4857" s="37" t="n"/>
      <c r="H4857" s="37" t="n"/>
      <c r="I4857" s="37" t="n"/>
      <c r="J4857" s="40" t="str">
        <f>IF(OR(C4857="",NOT(ISNUMBER(E4857))),"",IFERROR(E4857*N(INDEX(art_price,MATCH(C4857,art_ref,0))),""))</f>
        <v/>
      </c>
      <c r="K4857" s="39" t="str">
        <f>IF(OR(C4857="",NOT(ISNUMBER(E4857))),"",IFERROR(ROUND(N(INDEX(art_init,MATCH(C4857,art_ref,0)))+SUMIFS($E$5:E4857,$C$5:C4857,C4857,$B$5:B4857,"Entrée")-SUMIFS($E$5:E4857,$C$5:C4857,C4857,$B$5:B4857,"Sortie"),6),""))</f>
        <v/>
      </c>
      <c r="L4857" s="39" t="str">
        <f>IF(COUNTA(A4857:C4857,E4857)=0,"",IF(COUNTA(A4857:C4857,E4857)&lt;4,"Ligne incomplète",IF(NOT(ISNUMBER(A4857)),"Date invalide",IF(AND(B4857&lt;&gt;"Entrée",B4857&lt;&gt;"Sortie"),"Type inconnu",IF(ISNA(MATCH(C4857,art_ref,0)),"Référence inconnue",IF(OR(NOT(ISNUMBER(E4857)),N(E4857)&lt;=0),"Quantité invalide",IF(K4857&lt;0,"Stock négatif",IF(AND(ISNUMBER(A4856),A4857&lt;A4856),"Date hors ordre","OK"))))))))</f>
        <v/>
      </c>
      <c r="M4857" s="39" t="str">
        <f>IF(C4857="","",C4857&amp;"#"&amp;COUNTIF($C$5:C4857,C4857))</f>
        <v/>
      </c>
    </row>
    <row r="4858">
      <c r="A4858" s="41" t="n"/>
      <c r="B4858" s="37" t="n"/>
      <c r="C4858" s="37" t="n"/>
      <c r="D4858" s="39" t="str">
        <f>IF(C4858="","",IFERROR(INDEX(art_des,MATCH(C4858,art_ref,0))&amp;"","Référence inconnue"))</f>
        <v/>
      </c>
      <c r="E4858" s="37" t="n"/>
      <c r="F4858" s="39" t="str">
        <f>IF(C4858="","",IFERROR(INDEX(art_unit,MATCH(C4858,art_ref,0))&amp;"",""))</f>
        <v/>
      </c>
      <c r="G4858" s="37" t="n"/>
      <c r="H4858" s="37" t="n"/>
      <c r="I4858" s="37" t="n"/>
      <c r="J4858" s="40" t="str">
        <f>IF(OR(C4858="",NOT(ISNUMBER(E4858))),"",IFERROR(E4858*N(INDEX(art_price,MATCH(C4858,art_ref,0))),""))</f>
        <v/>
      </c>
      <c r="K4858" s="39" t="str">
        <f>IF(OR(C4858="",NOT(ISNUMBER(E4858))),"",IFERROR(ROUND(N(INDEX(art_init,MATCH(C4858,art_ref,0)))+SUMIFS($E$5:E4858,$C$5:C4858,C4858,$B$5:B4858,"Entrée")-SUMIFS($E$5:E4858,$C$5:C4858,C4858,$B$5:B4858,"Sortie"),6),""))</f>
        <v/>
      </c>
      <c r="L4858" s="39" t="str">
        <f>IF(COUNTA(A4858:C4858,E4858)=0,"",IF(COUNTA(A4858:C4858,E4858)&lt;4,"Ligne incomplète",IF(NOT(ISNUMBER(A4858)),"Date invalide",IF(AND(B4858&lt;&gt;"Entrée",B4858&lt;&gt;"Sortie"),"Type inconnu",IF(ISNA(MATCH(C4858,art_ref,0)),"Référence inconnue",IF(OR(NOT(ISNUMBER(E4858)),N(E4858)&lt;=0),"Quantité invalide",IF(K4858&lt;0,"Stock négatif",IF(AND(ISNUMBER(A4857),A4858&lt;A4857),"Date hors ordre","OK"))))))))</f>
        <v/>
      </c>
      <c r="M4858" s="39" t="str">
        <f>IF(C4858="","",C4858&amp;"#"&amp;COUNTIF($C$5:C4858,C4858))</f>
        <v/>
      </c>
    </row>
    <row r="4859">
      <c r="A4859" s="41" t="n"/>
      <c r="B4859" s="37" t="n"/>
      <c r="C4859" s="37" t="n"/>
      <c r="D4859" s="39" t="str">
        <f>IF(C4859="","",IFERROR(INDEX(art_des,MATCH(C4859,art_ref,0))&amp;"","Référence inconnue"))</f>
        <v/>
      </c>
      <c r="E4859" s="37" t="n"/>
      <c r="F4859" s="39" t="str">
        <f>IF(C4859="","",IFERROR(INDEX(art_unit,MATCH(C4859,art_ref,0))&amp;"",""))</f>
        <v/>
      </c>
      <c r="G4859" s="37" t="n"/>
      <c r="H4859" s="37" t="n"/>
      <c r="I4859" s="37" t="n"/>
      <c r="J4859" s="40" t="str">
        <f>IF(OR(C4859="",NOT(ISNUMBER(E4859))),"",IFERROR(E4859*N(INDEX(art_price,MATCH(C4859,art_ref,0))),""))</f>
        <v/>
      </c>
      <c r="K4859" s="39" t="str">
        <f>IF(OR(C4859="",NOT(ISNUMBER(E4859))),"",IFERROR(ROUND(N(INDEX(art_init,MATCH(C4859,art_ref,0)))+SUMIFS($E$5:E4859,$C$5:C4859,C4859,$B$5:B4859,"Entrée")-SUMIFS($E$5:E4859,$C$5:C4859,C4859,$B$5:B4859,"Sortie"),6),""))</f>
        <v/>
      </c>
      <c r="L4859" s="39" t="str">
        <f>IF(COUNTA(A4859:C4859,E4859)=0,"",IF(COUNTA(A4859:C4859,E4859)&lt;4,"Ligne incomplète",IF(NOT(ISNUMBER(A4859)),"Date invalide",IF(AND(B4859&lt;&gt;"Entrée",B4859&lt;&gt;"Sortie"),"Type inconnu",IF(ISNA(MATCH(C4859,art_ref,0)),"Référence inconnue",IF(OR(NOT(ISNUMBER(E4859)),N(E4859)&lt;=0),"Quantité invalide",IF(K4859&lt;0,"Stock négatif",IF(AND(ISNUMBER(A4858),A4859&lt;A4858),"Date hors ordre","OK"))))))))</f>
        <v/>
      </c>
      <c r="M4859" s="39" t="str">
        <f>IF(C4859="","",C4859&amp;"#"&amp;COUNTIF($C$5:C4859,C4859))</f>
        <v/>
      </c>
    </row>
    <row r="4860">
      <c r="A4860" s="41" t="n"/>
      <c r="B4860" s="37" t="n"/>
      <c r="C4860" s="37" t="n"/>
      <c r="D4860" s="39" t="str">
        <f>IF(C4860="","",IFERROR(INDEX(art_des,MATCH(C4860,art_ref,0))&amp;"","Référence inconnue"))</f>
        <v/>
      </c>
      <c r="E4860" s="37" t="n"/>
      <c r="F4860" s="39" t="str">
        <f>IF(C4860="","",IFERROR(INDEX(art_unit,MATCH(C4860,art_ref,0))&amp;"",""))</f>
        <v/>
      </c>
      <c r="G4860" s="37" t="n"/>
      <c r="H4860" s="37" t="n"/>
      <c r="I4860" s="37" t="n"/>
      <c r="J4860" s="40" t="str">
        <f>IF(OR(C4860="",NOT(ISNUMBER(E4860))),"",IFERROR(E4860*N(INDEX(art_price,MATCH(C4860,art_ref,0))),""))</f>
        <v/>
      </c>
      <c r="K4860" s="39" t="str">
        <f>IF(OR(C4860="",NOT(ISNUMBER(E4860))),"",IFERROR(ROUND(N(INDEX(art_init,MATCH(C4860,art_ref,0)))+SUMIFS($E$5:E4860,$C$5:C4860,C4860,$B$5:B4860,"Entrée")-SUMIFS($E$5:E4860,$C$5:C4860,C4860,$B$5:B4860,"Sortie"),6),""))</f>
        <v/>
      </c>
      <c r="L4860" s="39" t="str">
        <f>IF(COUNTA(A4860:C4860,E4860)=0,"",IF(COUNTA(A4860:C4860,E4860)&lt;4,"Ligne incomplète",IF(NOT(ISNUMBER(A4860)),"Date invalide",IF(AND(B4860&lt;&gt;"Entrée",B4860&lt;&gt;"Sortie"),"Type inconnu",IF(ISNA(MATCH(C4860,art_ref,0)),"Référence inconnue",IF(OR(NOT(ISNUMBER(E4860)),N(E4860)&lt;=0),"Quantité invalide",IF(K4860&lt;0,"Stock négatif",IF(AND(ISNUMBER(A4859),A4860&lt;A4859),"Date hors ordre","OK"))))))))</f>
        <v/>
      </c>
      <c r="M4860" s="39" t="str">
        <f>IF(C4860="","",C4860&amp;"#"&amp;COUNTIF($C$5:C4860,C4860))</f>
        <v/>
      </c>
    </row>
    <row r="4861">
      <c r="A4861" s="41" t="n"/>
      <c r="B4861" s="37" t="n"/>
      <c r="C4861" s="37" t="n"/>
      <c r="D4861" s="39" t="str">
        <f>IF(C4861="","",IFERROR(INDEX(art_des,MATCH(C4861,art_ref,0))&amp;"","Référence inconnue"))</f>
        <v/>
      </c>
      <c r="E4861" s="37" t="n"/>
      <c r="F4861" s="39" t="str">
        <f>IF(C4861="","",IFERROR(INDEX(art_unit,MATCH(C4861,art_ref,0))&amp;"",""))</f>
        <v/>
      </c>
      <c r="G4861" s="37" t="n"/>
      <c r="H4861" s="37" t="n"/>
      <c r="I4861" s="37" t="n"/>
      <c r="J4861" s="40" t="str">
        <f>IF(OR(C4861="",NOT(ISNUMBER(E4861))),"",IFERROR(E4861*N(INDEX(art_price,MATCH(C4861,art_ref,0))),""))</f>
        <v/>
      </c>
      <c r="K4861" s="39" t="str">
        <f>IF(OR(C4861="",NOT(ISNUMBER(E4861))),"",IFERROR(ROUND(N(INDEX(art_init,MATCH(C4861,art_ref,0)))+SUMIFS($E$5:E4861,$C$5:C4861,C4861,$B$5:B4861,"Entrée")-SUMIFS($E$5:E4861,$C$5:C4861,C4861,$B$5:B4861,"Sortie"),6),""))</f>
        <v/>
      </c>
      <c r="L4861" s="39" t="str">
        <f>IF(COUNTA(A4861:C4861,E4861)=0,"",IF(COUNTA(A4861:C4861,E4861)&lt;4,"Ligne incomplète",IF(NOT(ISNUMBER(A4861)),"Date invalide",IF(AND(B4861&lt;&gt;"Entrée",B4861&lt;&gt;"Sortie"),"Type inconnu",IF(ISNA(MATCH(C4861,art_ref,0)),"Référence inconnue",IF(OR(NOT(ISNUMBER(E4861)),N(E4861)&lt;=0),"Quantité invalide",IF(K4861&lt;0,"Stock négatif",IF(AND(ISNUMBER(A4860),A4861&lt;A4860),"Date hors ordre","OK"))))))))</f>
        <v/>
      </c>
      <c r="M4861" s="39" t="str">
        <f>IF(C4861="","",C4861&amp;"#"&amp;COUNTIF($C$5:C4861,C4861))</f>
        <v/>
      </c>
    </row>
    <row r="4862">
      <c r="A4862" s="41" t="n"/>
      <c r="B4862" s="37" t="n"/>
      <c r="C4862" s="37" t="n"/>
      <c r="D4862" s="39" t="str">
        <f>IF(C4862="","",IFERROR(INDEX(art_des,MATCH(C4862,art_ref,0))&amp;"","Référence inconnue"))</f>
        <v/>
      </c>
      <c r="E4862" s="37" t="n"/>
      <c r="F4862" s="39" t="str">
        <f>IF(C4862="","",IFERROR(INDEX(art_unit,MATCH(C4862,art_ref,0))&amp;"",""))</f>
        <v/>
      </c>
      <c r="G4862" s="37" t="n"/>
      <c r="H4862" s="37" t="n"/>
      <c r="I4862" s="37" t="n"/>
      <c r="J4862" s="40" t="str">
        <f>IF(OR(C4862="",NOT(ISNUMBER(E4862))),"",IFERROR(E4862*N(INDEX(art_price,MATCH(C4862,art_ref,0))),""))</f>
        <v/>
      </c>
      <c r="K4862" s="39" t="str">
        <f>IF(OR(C4862="",NOT(ISNUMBER(E4862))),"",IFERROR(ROUND(N(INDEX(art_init,MATCH(C4862,art_ref,0)))+SUMIFS($E$5:E4862,$C$5:C4862,C4862,$B$5:B4862,"Entrée")-SUMIFS($E$5:E4862,$C$5:C4862,C4862,$B$5:B4862,"Sortie"),6),""))</f>
        <v/>
      </c>
      <c r="L4862" s="39" t="str">
        <f>IF(COUNTA(A4862:C4862,E4862)=0,"",IF(COUNTA(A4862:C4862,E4862)&lt;4,"Ligne incomplète",IF(NOT(ISNUMBER(A4862)),"Date invalide",IF(AND(B4862&lt;&gt;"Entrée",B4862&lt;&gt;"Sortie"),"Type inconnu",IF(ISNA(MATCH(C4862,art_ref,0)),"Référence inconnue",IF(OR(NOT(ISNUMBER(E4862)),N(E4862)&lt;=0),"Quantité invalide",IF(K4862&lt;0,"Stock négatif",IF(AND(ISNUMBER(A4861),A4862&lt;A4861),"Date hors ordre","OK"))))))))</f>
        <v/>
      </c>
      <c r="M4862" s="39" t="str">
        <f>IF(C4862="","",C4862&amp;"#"&amp;COUNTIF($C$5:C4862,C4862))</f>
        <v/>
      </c>
    </row>
    <row r="4863">
      <c r="A4863" s="41" t="n"/>
      <c r="B4863" s="37" t="n"/>
      <c r="C4863" s="37" t="n"/>
      <c r="D4863" s="39" t="str">
        <f>IF(C4863="","",IFERROR(INDEX(art_des,MATCH(C4863,art_ref,0))&amp;"","Référence inconnue"))</f>
        <v/>
      </c>
      <c r="E4863" s="37" t="n"/>
      <c r="F4863" s="39" t="str">
        <f>IF(C4863="","",IFERROR(INDEX(art_unit,MATCH(C4863,art_ref,0))&amp;"",""))</f>
        <v/>
      </c>
      <c r="G4863" s="37" t="n"/>
      <c r="H4863" s="37" t="n"/>
      <c r="I4863" s="37" t="n"/>
      <c r="J4863" s="40" t="str">
        <f>IF(OR(C4863="",NOT(ISNUMBER(E4863))),"",IFERROR(E4863*N(INDEX(art_price,MATCH(C4863,art_ref,0))),""))</f>
        <v/>
      </c>
      <c r="K4863" s="39" t="str">
        <f>IF(OR(C4863="",NOT(ISNUMBER(E4863))),"",IFERROR(ROUND(N(INDEX(art_init,MATCH(C4863,art_ref,0)))+SUMIFS($E$5:E4863,$C$5:C4863,C4863,$B$5:B4863,"Entrée")-SUMIFS($E$5:E4863,$C$5:C4863,C4863,$B$5:B4863,"Sortie"),6),""))</f>
        <v/>
      </c>
      <c r="L4863" s="39" t="str">
        <f>IF(COUNTA(A4863:C4863,E4863)=0,"",IF(COUNTA(A4863:C4863,E4863)&lt;4,"Ligne incomplète",IF(NOT(ISNUMBER(A4863)),"Date invalide",IF(AND(B4863&lt;&gt;"Entrée",B4863&lt;&gt;"Sortie"),"Type inconnu",IF(ISNA(MATCH(C4863,art_ref,0)),"Référence inconnue",IF(OR(NOT(ISNUMBER(E4863)),N(E4863)&lt;=0),"Quantité invalide",IF(K4863&lt;0,"Stock négatif",IF(AND(ISNUMBER(A4862),A4863&lt;A4862),"Date hors ordre","OK"))))))))</f>
        <v/>
      </c>
      <c r="M4863" s="39" t="str">
        <f>IF(C4863="","",C4863&amp;"#"&amp;COUNTIF($C$5:C4863,C4863))</f>
        <v/>
      </c>
    </row>
    <row r="4864">
      <c r="A4864" s="41" t="n"/>
      <c r="B4864" s="37" t="n"/>
      <c r="C4864" s="37" t="n"/>
      <c r="D4864" s="39" t="str">
        <f>IF(C4864="","",IFERROR(INDEX(art_des,MATCH(C4864,art_ref,0))&amp;"","Référence inconnue"))</f>
        <v/>
      </c>
      <c r="E4864" s="37" t="n"/>
      <c r="F4864" s="39" t="str">
        <f>IF(C4864="","",IFERROR(INDEX(art_unit,MATCH(C4864,art_ref,0))&amp;"",""))</f>
        <v/>
      </c>
      <c r="G4864" s="37" t="n"/>
      <c r="H4864" s="37" t="n"/>
      <c r="I4864" s="37" t="n"/>
      <c r="J4864" s="40" t="str">
        <f>IF(OR(C4864="",NOT(ISNUMBER(E4864))),"",IFERROR(E4864*N(INDEX(art_price,MATCH(C4864,art_ref,0))),""))</f>
        <v/>
      </c>
      <c r="K4864" s="39" t="str">
        <f>IF(OR(C4864="",NOT(ISNUMBER(E4864))),"",IFERROR(ROUND(N(INDEX(art_init,MATCH(C4864,art_ref,0)))+SUMIFS($E$5:E4864,$C$5:C4864,C4864,$B$5:B4864,"Entrée")-SUMIFS($E$5:E4864,$C$5:C4864,C4864,$B$5:B4864,"Sortie"),6),""))</f>
        <v/>
      </c>
      <c r="L4864" s="39" t="str">
        <f>IF(COUNTA(A4864:C4864,E4864)=0,"",IF(COUNTA(A4864:C4864,E4864)&lt;4,"Ligne incomplète",IF(NOT(ISNUMBER(A4864)),"Date invalide",IF(AND(B4864&lt;&gt;"Entrée",B4864&lt;&gt;"Sortie"),"Type inconnu",IF(ISNA(MATCH(C4864,art_ref,0)),"Référence inconnue",IF(OR(NOT(ISNUMBER(E4864)),N(E4864)&lt;=0),"Quantité invalide",IF(K4864&lt;0,"Stock négatif",IF(AND(ISNUMBER(A4863),A4864&lt;A4863),"Date hors ordre","OK"))))))))</f>
        <v/>
      </c>
      <c r="M4864" s="39" t="str">
        <f>IF(C4864="","",C4864&amp;"#"&amp;COUNTIF($C$5:C4864,C4864))</f>
        <v/>
      </c>
    </row>
    <row r="4865">
      <c r="A4865" s="41" t="n"/>
      <c r="B4865" s="37" t="n"/>
      <c r="C4865" s="37" t="n"/>
      <c r="D4865" s="39" t="str">
        <f>IF(C4865="","",IFERROR(INDEX(art_des,MATCH(C4865,art_ref,0))&amp;"","Référence inconnue"))</f>
        <v/>
      </c>
      <c r="E4865" s="37" t="n"/>
      <c r="F4865" s="39" t="str">
        <f>IF(C4865="","",IFERROR(INDEX(art_unit,MATCH(C4865,art_ref,0))&amp;"",""))</f>
        <v/>
      </c>
      <c r="G4865" s="37" t="n"/>
      <c r="H4865" s="37" t="n"/>
      <c r="I4865" s="37" t="n"/>
      <c r="J4865" s="40" t="str">
        <f>IF(OR(C4865="",NOT(ISNUMBER(E4865))),"",IFERROR(E4865*N(INDEX(art_price,MATCH(C4865,art_ref,0))),""))</f>
        <v/>
      </c>
      <c r="K4865" s="39" t="str">
        <f>IF(OR(C4865="",NOT(ISNUMBER(E4865))),"",IFERROR(ROUND(N(INDEX(art_init,MATCH(C4865,art_ref,0)))+SUMIFS($E$5:E4865,$C$5:C4865,C4865,$B$5:B4865,"Entrée")-SUMIFS($E$5:E4865,$C$5:C4865,C4865,$B$5:B4865,"Sortie"),6),""))</f>
        <v/>
      </c>
      <c r="L4865" s="39" t="str">
        <f>IF(COUNTA(A4865:C4865,E4865)=0,"",IF(COUNTA(A4865:C4865,E4865)&lt;4,"Ligne incomplète",IF(NOT(ISNUMBER(A4865)),"Date invalide",IF(AND(B4865&lt;&gt;"Entrée",B4865&lt;&gt;"Sortie"),"Type inconnu",IF(ISNA(MATCH(C4865,art_ref,0)),"Référence inconnue",IF(OR(NOT(ISNUMBER(E4865)),N(E4865)&lt;=0),"Quantité invalide",IF(K4865&lt;0,"Stock négatif",IF(AND(ISNUMBER(A4864),A4865&lt;A4864),"Date hors ordre","OK"))))))))</f>
        <v/>
      </c>
      <c r="M4865" s="39" t="str">
        <f>IF(C4865="","",C4865&amp;"#"&amp;COUNTIF($C$5:C4865,C4865))</f>
        <v/>
      </c>
    </row>
    <row r="4866">
      <c r="A4866" s="41" t="n"/>
      <c r="B4866" s="37" t="n"/>
      <c r="C4866" s="37" t="n"/>
      <c r="D4866" s="39" t="str">
        <f>IF(C4866="","",IFERROR(INDEX(art_des,MATCH(C4866,art_ref,0))&amp;"","Référence inconnue"))</f>
        <v/>
      </c>
      <c r="E4866" s="37" t="n"/>
      <c r="F4866" s="39" t="str">
        <f>IF(C4866="","",IFERROR(INDEX(art_unit,MATCH(C4866,art_ref,0))&amp;"",""))</f>
        <v/>
      </c>
      <c r="G4866" s="37" t="n"/>
      <c r="H4866" s="37" t="n"/>
      <c r="I4866" s="37" t="n"/>
      <c r="J4866" s="40" t="str">
        <f>IF(OR(C4866="",NOT(ISNUMBER(E4866))),"",IFERROR(E4866*N(INDEX(art_price,MATCH(C4866,art_ref,0))),""))</f>
        <v/>
      </c>
      <c r="K4866" s="39" t="str">
        <f>IF(OR(C4866="",NOT(ISNUMBER(E4866))),"",IFERROR(ROUND(N(INDEX(art_init,MATCH(C4866,art_ref,0)))+SUMIFS($E$5:E4866,$C$5:C4866,C4866,$B$5:B4866,"Entrée")-SUMIFS($E$5:E4866,$C$5:C4866,C4866,$B$5:B4866,"Sortie"),6),""))</f>
        <v/>
      </c>
      <c r="L4866" s="39" t="str">
        <f>IF(COUNTA(A4866:C4866,E4866)=0,"",IF(COUNTA(A4866:C4866,E4866)&lt;4,"Ligne incomplète",IF(NOT(ISNUMBER(A4866)),"Date invalide",IF(AND(B4866&lt;&gt;"Entrée",B4866&lt;&gt;"Sortie"),"Type inconnu",IF(ISNA(MATCH(C4866,art_ref,0)),"Référence inconnue",IF(OR(NOT(ISNUMBER(E4866)),N(E4866)&lt;=0),"Quantité invalide",IF(K4866&lt;0,"Stock négatif",IF(AND(ISNUMBER(A4865),A4866&lt;A4865),"Date hors ordre","OK"))))))))</f>
        <v/>
      </c>
      <c r="M4866" s="39" t="str">
        <f>IF(C4866="","",C4866&amp;"#"&amp;COUNTIF($C$5:C4866,C4866))</f>
        <v/>
      </c>
    </row>
    <row r="4867">
      <c r="A4867" s="41" t="n"/>
      <c r="B4867" s="37" t="n"/>
      <c r="C4867" s="37" t="n"/>
      <c r="D4867" s="39" t="str">
        <f>IF(C4867="","",IFERROR(INDEX(art_des,MATCH(C4867,art_ref,0))&amp;"","Référence inconnue"))</f>
        <v/>
      </c>
      <c r="E4867" s="37" t="n"/>
      <c r="F4867" s="39" t="str">
        <f>IF(C4867="","",IFERROR(INDEX(art_unit,MATCH(C4867,art_ref,0))&amp;"",""))</f>
        <v/>
      </c>
      <c r="G4867" s="37" t="n"/>
      <c r="H4867" s="37" t="n"/>
      <c r="I4867" s="37" t="n"/>
      <c r="J4867" s="40" t="str">
        <f>IF(OR(C4867="",NOT(ISNUMBER(E4867))),"",IFERROR(E4867*N(INDEX(art_price,MATCH(C4867,art_ref,0))),""))</f>
        <v/>
      </c>
      <c r="K4867" s="39" t="str">
        <f>IF(OR(C4867="",NOT(ISNUMBER(E4867))),"",IFERROR(ROUND(N(INDEX(art_init,MATCH(C4867,art_ref,0)))+SUMIFS($E$5:E4867,$C$5:C4867,C4867,$B$5:B4867,"Entrée")-SUMIFS($E$5:E4867,$C$5:C4867,C4867,$B$5:B4867,"Sortie"),6),""))</f>
        <v/>
      </c>
      <c r="L4867" s="39" t="str">
        <f>IF(COUNTA(A4867:C4867,E4867)=0,"",IF(COUNTA(A4867:C4867,E4867)&lt;4,"Ligne incomplète",IF(NOT(ISNUMBER(A4867)),"Date invalide",IF(AND(B4867&lt;&gt;"Entrée",B4867&lt;&gt;"Sortie"),"Type inconnu",IF(ISNA(MATCH(C4867,art_ref,0)),"Référence inconnue",IF(OR(NOT(ISNUMBER(E4867)),N(E4867)&lt;=0),"Quantité invalide",IF(K4867&lt;0,"Stock négatif",IF(AND(ISNUMBER(A4866),A4867&lt;A4866),"Date hors ordre","OK"))))))))</f>
        <v/>
      </c>
      <c r="M4867" s="39" t="str">
        <f>IF(C4867="","",C4867&amp;"#"&amp;COUNTIF($C$5:C4867,C4867))</f>
        <v/>
      </c>
    </row>
    <row r="4868">
      <c r="A4868" s="41" t="n"/>
      <c r="B4868" s="37" t="n"/>
      <c r="C4868" s="37" t="n"/>
      <c r="D4868" s="39" t="str">
        <f>IF(C4868="","",IFERROR(INDEX(art_des,MATCH(C4868,art_ref,0))&amp;"","Référence inconnue"))</f>
        <v/>
      </c>
      <c r="E4868" s="37" t="n"/>
      <c r="F4868" s="39" t="str">
        <f>IF(C4868="","",IFERROR(INDEX(art_unit,MATCH(C4868,art_ref,0))&amp;"",""))</f>
        <v/>
      </c>
      <c r="G4868" s="37" t="n"/>
      <c r="H4868" s="37" t="n"/>
      <c r="I4868" s="37" t="n"/>
      <c r="J4868" s="40" t="str">
        <f>IF(OR(C4868="",NOT(ISNUMBER(E4868))),"",IFERROR(E4868*N(INDEX(art_price,MATCH(C4868,art_ref,0))),""))</f>
        <v/>
      </c>
      <c r="K4868" s="39" t="str">
        <f>IF(OR(C4868="",NOT(ISNUMBER(E4868))),"",IFERROR(ROUND(N(INDEX(art_init,MATCH(C4868,art_ref,0)))+SUMIFS($E$5:E4868,$C$5:C4868,C4868,$B$5:B4868,"Entrée")-SUMIFS($E$5:E4868,$C$5:C4868,C4868,$B$5:B4868,"Sortie"),6),""))</f>
        <v/>
      </c>
      <c r="L4868" s="39" t="str">
        <f>IF(COUNTA(A4868:C4868,E4868)=0,"",IF(COUNTA(A4868:C4868,E4868)&lt;4,"Ligne incomplète",IF(NOT(ISNUMBER(A4868)),"Date invalide",IF(AND(B4868&lt;&gt;"Entrée",B4868&lt;&gt;"Sortie"),"Type inconnu",IF(ISNA(MATCH(C4868,art_ref,0)),"Référence inconnue",IF(OR(NOT(ISNUMBER(E4868)),N(E4868)&lt;=0),"Quantité invalide",IF(K4868&lt;0,"Stock négatif",IF(AND(ISNUMBER(A4867),A4868&lt;A4867),"Date hors ordre","OK"))))))))</f>
        <v/>
      </c>
      <c r="M4868" s="39" t="str">
        <f>IF(C4868="","",C4868&amp;"#"&amp;COUNTIF($C$5:C4868,C4868))</f>
        <v/>
      </c>
    </row>
    <row r="4869">
      <c r="A4869" s="41" t="n"/>
      <c r="B4869" s="37" t="n"/>
      <c r="C4869" s="37" t="n"/>
      <c r="D4869" s="39" t="str">
        <f>IF(C4869="","",IFERROR(INDEX(art_des,MATCH(C4869,art_ref,0))&amp;"","Référence inconnue"))</f>
        <v/>
      </c>
      <c r="E4869" s="37" t="n"/>
      <c r="F4869" s="39" t="str">
        <f>IF(C4869="","",IFERROR(INDEX(art_unit,MATCH(C4869,art_ref,0))&amp;"",""))</f>
        <v/>
      </c>
      <c r="G4869" s="37" t="n"/>
      <c r="H4869" s="37" t="n"/>
      <c r="I4869" s="37" t="n"/>
      <c r="J4869" s="40" t="str">
        <f>IF(OR(C4869="",NOT(ISNUMBER(E4869))),"",IFERROR(E4869*N(INDEX(art_price,MATCH(C4869,art_ref,0))),""))</f>
        <v/>
      </c>
      <c r="K4869" s="39" t="str">
        <f>IF(OR(C4869="",NOT(ISNUMBER(E4869))),"",IFERROR(ROUND(N(INDEX(art_init,MATCH(C4869,art_ref,0)))+SUMIFS($E$5:E4869,$C$5:C4869,C4869,$B$5:B4869,"Entrée")-SUMIFS($E$5:E4869,$C$5:C4869,C4869,$B$5:B4869,"Sortie"),6),""))</f>
        <v/>
      </c>
      <c r="L4869" s="39" t="str">
        <f>IF(COUNTA(A4869:C4869,E4869)=0,"",IF(COUNTA(A4869:C4869,E4869)&lt;4,"Ligne incomplète",IF(NOT(ISNUMBER(A4869)),"Date invalide",IF(AND(B4869&lt;&gt;"Entrée",B4869&lt;&gt;"Sortie"),"Type inconnu",IF(ISNA(MATCH(C4869,art_ref,0)),"Référence inconnue",IF(OR(NOT(ISNUMBER(E4869)),N(E4869)&lt;=0),"Quantité invalide",IF(K4869&lt;0,"Stock négatif",IF(AND(ISNUMBER(A4868),A4869&lt;A4868),"Date hors ordre","OK"))))))))</f>
        <v/>
      </c>
      <c r="M4869" s="39" t="str">
        <f>IF(C4869="","",C4869&amp;"#"&amp;COUNTIF($C$5:C4869,C4869))</f>
        <v/>
      </c>
    </row>
    <row r="4870">
      <c r="A4870" s="41" t="n"/>
      <c r="B4870" s="37" t="n"/>
      <c r="C4870" s="37" t="n"/>
      <c r="D4870" s="39" t="str">
        <f>IF(C4870="","",IFERROR(INDEX(art_des,MATCH(C4870,art_ref,0))&amp;"","Référence inconnue"))</f>
        <v/>
      </c>
      <c r="E4870" s="37" t="n"/>
      <c r="F4870" s="39" t="str">
        <f>IF(C4870="","",IFERROR(INDEX(art_unit,MATCH(C4870,art_ref,0))&amp;"",""))</f>
        <v/>
      </c>
      <c r="G4870" s="37" t="n"/>
      <c r="H4870" s="37" t="n"/>
      <c r="I4870" s="37" t="n"/>
      <c r="J4870" s="40" t="str">
        <f>IF(OR(C4870="",NOT(ISNUMBER(E4870))),"",IFERROR(E4870*N(INDEX(art_price,MATCH(C4870,art_ref,0))),""))</f>
        <v/>
      </c>
      <c r="K4870" s="39" t="str">
        <f>IF(OR(C4870="",NOT(ISNUMBER(E4870))),"",IFERROR(ROUND(N(INDEX(art_init,MATCH(C4870,art_ref,0)))+SUMIFS($E$5:E4870,$C$5:C4870,C4870,$B$5:B4870,"Entrée")-SUMIFS($E$5:E4870,$C$5:C4870,C4870,$B$5:B4870,"Sortie"),6),""))</f>
        <v/>
      </c>
      <c r="L4870" s="39" t="str">
        <f>IF(COUNTA(A4870:C4870,E4870)=0,"",IF(COUNTA(A4870:C4870,E4870)&lt;4,"Ligne incomplète",IF(NOT(ISNUMBER(A4870)),"Date invalide",IF(AND(B4870&lt;&gt;"Entrée",B4870&lt;&gt;"Sortie"),"Type inconnu",IF(ISNA(MATCH(C4870,art_ref,0)),"Référence inconnue",IF(OR(NOT(ISNUMBER(E4870)),N(E4870)&lt;=0),"Quantité invalide",IF(K4870&lt;0,"Stock négatif",IF(AND(ISNUMBER(A4869),A4870&lt;A4869),"Date hors ordre","OK"))))))))</f>
        <v/>
      </c>
      <c r="M4870" s="39" t="str">
        <f>IF(C4870="","",C4870&amp;"#"&amp;COUNTIF($C$5:C4870,C4870))</f>
        <v/>
      </c>
    </row>
    <row r="4871">
      <c r="A4871" s="41" t="n"/>
      <c r="B4871" s="37" t="n"/>
      <c r="C4871" s="37" t="n"/>
      <c r="D4871" s="39" t="str">
        <f>IF(C4871="","",IFERROR(INDEX(art_des,MATCH(C4871,art_ref,0))&amp;"","Référence inconnue"))</f>
        <v/>
      </c>
      <c r="E4871" s="37" t="n"/>
      <c r="F4871" s="39" t="str">
        <f>IF(C4871="","",IFERROR(INDEX(art_unit,MATCH(C4871,art_ref,0))&amp;"",""))</f>
        <v/>
      </c>
      <c r="G4871" s="37" t="n"/>
      <c r="H4871" s="37" t="n"/>
      <c r="I4871" s="37" t="n"/>
      <c r="J4871" s="40" t="str">
        <f>IF(OR(C4871="",NOT(ISNUMBER(E4871))),"",IFERROR(E4871*N(INDEX(art_price,MATCH(C4871,art_ref,0))),""))</f>
        <v/>
      </c>
      <c r="K4871" s="39" t="str">
        <f>IF(OR(C4871="",NOT(ISNUMBER(E4871))),"",IFERROR(ROUND(N(INDEX(art_init,MATCH(C4871,art_ref,0)))+SUMIFS($E$5:E4871,$C$5:C4871,C4871,$B$5:B4871,"Entrée")-SUMIFS($E$5:E4871,$C$5:C4871,C4871,$B$5:B4871,"Sortie"),6),""))</f>
        <v/>
      </c>
      <c r="L4871" s="39" t="str">
        <f>IF(COUNTA(A4871:C4871,E4871)=0,"",IF(COUNTA(A4871:C4871,E4871)&lt;4,"Ligne incomplète",IF(NOT(ISNUMBER(A4871)),"Date invalide",IF(AND(B4871&lt;&gt;"Entrée",B4871&lt;&gt;"Sortie"),"Type inconnu",IF(ISNA(MATCH(C4871,art_ref,0)),"Référence inconnue",IF(OR(NOT(ISNUMBER(E4871)),N(E4871)&lt;=0),"Quantité invalide",IF(K4871&lt;0,"Stock négatif",IF(AND(ISNUMBER(A4870),A4871&lt;A4870),"Date hors ordre","OK"))))))))</f>
        <v/>
      </c>
      <c r="M4871" s="39" t="str">
        <f>IF(C4871="","",C4871&amp;"#"&amp;COUNTIF($C$5:C4871,C4871))</f>
        <v/>
      </c>
    </row>
    <row r="4872">
      <c r="A4872" s="41" t="n"/>
      <c r="B4872" s="37" t="n"/>
      <c r="C4872" s="37" t="n"/>
      <c r="D4872" s="39" t="str">
        <f>IF(C4872="","",IFERROR(INDEX(art_des,MATCH(C4872,art_ref,0))&amp;"","Référence inconnue"))</f>
        <v/>
      </c>
      <c r="E4872" s="37" t="n"/>
      <c r="F4872" s="39" t="str">
        <f>IF(C4872="","",IFERROR(INDEX(art_unit,MATCH(C4872,art_ref,0))&amp;"",""))</f>
        <v/>
      </c>
      <c r="G4872" s="37" t="n"/>
      <c r="H4872" s="37" t="n"/>
      <c r="I4872" s="37" t="n"/>
      <c r="J4872" s="40" t="str">
        <f>IF(OR(C4872="",NOT(ISNUMBER(E4872))),"",IFERROR(E4872*N(INDEX(art_price,MATCH(C4872,art_ref,0))),""))</f>
        <v/>
      </c>
      <c r="K4872" s="39" t="str">
        <f>IF(OR(C4872="",NOT(ISNUMBER(E4872))),"",IFERROR(ROUND(N(INDEX(art_init,MATCH(C4872,art_ref,0)))+SUMIFS($E$5:E4872,$C$5:C4872,C4872,$B$5:B4872,"Entrée")-SUMIFS($E$5:E4872,$C$5:C4872,C4872,$B$5:B4872,"Sortie"),6),""))</f>
        <v/>
      </c>
      <c r="L4872" s="39" t="str">
        <f>IF(COUNTA(A4872:C4872,E4872)=0,"",IF(COUNTA(A4872:C4872,E4872)&lt;4,"Ligne incomplète",IF(NOT(ISNUMBER(A4872)),"Date invalide",IF(AND(B4872&lt;&gt;"Entrée",B4872&lt;&gt;"Sortie"),"Type inconnu",IF(ISNA(MATCH(C4872,art_ref,0)),"Référence inconnue",IF(OR(NOT(ISNUMBER(E4872)),N(E4872)&lt;=0),"Quantité invalide",IF(K4872&lt;0,"Stock négatif",IF(AND(ISNUMBER(A4871),A4872&lt;A4871),"Date hors ordre","OK"))))))))</f>
        <v/>
      </c>
      <c r="M4872" s="39" t="str">
        <f>IF(C4872="","",C4872&amp;"#"&amp;COUNTIF($C$5:C4872,C4872))</f>
        <v/>
      </c>
    </row>
    <row r="4873">
      <c r="A4873" s="41" t="n"/>
      <c r="B4873" s="37" t="n"/>
      <c r="C4873" s="37" t="n"/>
      <c r="D4873" s="39" t="str">
        <f>IF(C4873="","",IFERROR(INDEX(art_des,MATCH(C4873,art_ref,0))&amp;"","Référence inconnue"))</f>
        <v/>
      </c>
      <c r="E4873" s="37" t="n"/>
      <c r="F4873" s="39" t="str">
        <f>IF(C4873="","",IFERROR(INDEX(art_unit,MATCH(C4873,art_ref,0))&amp;"",""))</f>
        <v/>
      </c>
      <c r="G4873" s="37" t="n"/>
      <c r="H4873" s="37" t="n"/>
      <c r="I4873" s="37" t="n"/>
      <c r="J4873" s="40" t="str">
        <f>IF(OR(C4873="",NOT(ISNUMBER(E4873))),"",IFERROR(E4873*N(INDEX(art_price,MATCH(C4873,art_ref,0))),""))</f>
        <v/>
      </c>
      <c r="K4873" s="39" t="str">
        <f>IF(OR(C4873="",NOT(ISNUMBER(E4873))),"",IFERROR(ROUND(N(INDEX(art_init,MATCH(C4873,art_ref,0)))+SUMIFS($E$5:E4873,$C$5:C4873,C4873,$B$5:B4873,"Entrée")-SUMIFS($E$5:E4873,$C$5:C4873,C4873,$B$5:B4873,"Sortie"),6),""))</f>
        <v/>
      </c>
      <c r="L4873" s="39" t="str">
        <f>IF(COUNTA(A4873:C4873,E4873)=0,"",IF(COUNTA(A4873:C4873,E4873)&lt;4,"Ligne incomplète",IF(NOT(ISNUMBER(A4873)),"Date invalide",IF(AND(B4873&lt;&gt;"Entrée",B4873&lt;&gt;"Sortie"),"Type inconnu",IF(ISNA(MATCH(C4873,art_ref,0)),"Référence inconnue",IF(OR(NOT(ISNUMBER(E4873)),N(E4873)&lt;=0),"Quantité invalide",IF(K4873&lt;0,"Stock négatif",IF(AND(ISNUMBER(A4872),A4873&lt;A4872),"Date hors ordre","OK"))))))))</f>
        <v/>
      </c>
      <c r="M4873" s="39" t="str">
        <f>IF(C4873="","",C4873&amp;"#"&amp;COUNTIF($C$5:C4873,C4873))</f>
        <v/>
      </c>
    </row>
    <row r="4874">
      <c r="A4874" s="41" t="n"/>
      <c r="B4874" s="37" t="n"/>
      <c r="C4874" s="37" t="n"/>
      <c r="D4874" s="39" t="str">
        <f>IF(C4874="","",IFERROR(INDEX(art_des,MATCH(C4874,art_ref,0))&amp;"","Référence inconnue"))</f>
        <v/>
      </c>
      <c r="E4874" s="37" t="n"/>
      <c r="F4874" s="39" t="str">
        <f>IF(C4874="","",IFERROR(INDEX(art_unit,MATCH(C4874,art_ref,0))&amp;"",""))</f>
        <v/>
      </c>
      <c r="G4874" s="37" t="n"/>
      <c r="H4874" s="37" t="n"/>
      <c r="I4874" s="37" t="n"/>
      <c r="J4874" s="40" t="str">
        <f>IF(OR(C4874="",NOT(ISNUMBER(E4874))),"",IFERROR(E4874*N(INDEX(art_price,MATCH(C4874,art_ref,0))),""))</f>
        <v/>
      </c>
      <c r="K4874" s="39" t="str">
        <f>IF(OR(C4874="",NOT(ISNUMBER(E4874))),"",IFERROR(ROUND(N(INDEX(art_init,MATCH(C4874,art_ref,0)))+SUMIFS($E$5:E4874,$C$5:C4874,C4874,$B$5:B4874,"Entrée")-SUMIFS($E$5:E4874,$C$5:C4874,C4874,$B$5:B4874,"Sortie"),6),""))</f>
        <v/>
      </c>
      <c r="L4874" s="39" t="str">
        <f>IF(COUNTA(A4874:C4874,E4874)=0,"",IF(COUNTA(A4874:C4874,E4874)&lt;4,"Ligne incomplète",IF(NOT(ISNUMBER(A4874)),"Date invalide",IF(AND(B4874&lt;&gt;"Entrée",B4874&lt;&gt;"Sortie"),"Type inconnu",IF(ISNA(MATCH(C4874,art_ref,0)),"Référence inconnue",IF(OR(NOT(ISNUMBER(E4874)),N(E4874)&lt;=0),"Quantité invalide",IF(K4874&lt;0,"Stock négatif",IF(AND(ISNUMBER(A4873),A4874&lt;A4873),"Date hors ordre","OK"))))))))</f>
        <v/>
      </c>
      <c r="M4874" s="39" t="str">
        <f>IF(C4874="","",C4874&amp;"#"&amp;COUNTIF($C$5:C4874,C4874))</f>
        <v/>
      </c>
    </row>
    <row r="4875">
      <c r="A4875" s="41" t="n"/>
      <c r="B4875" s="37" t="n"/>
      <c r="C4875" s="37" t="n"/>
      <c r="D4875" s="39" t="str">
        <f>IF(C4875="","",IFERROR(INDEX(art_des,MATCH(C4875,art_ref,0))&amp;"","Référence inconnue"))</f>
        <v/>
      </c>
      <c r="E4875" s="37" t="n"/>
      <c r="F4875" s="39" t="str">
        <f>IF(C4875="","",IFERROR(INDEX(art_unit,MATCH(C4875,art_ref,0))&amp;"",""))</f>
        <v/>
      </c>
      <c r="G4875" s="37" t="n"/>
      <c r="H4875" s="37" t="n"/>
      <c r="I4875" s="37" t="n"/>
      <c r="J4875" s="40" t="str">
        <f>IF(OR(C4875="",NOT(ISNUMBER(E4875))),"",IFERROR(E4875*N(INDEX(art_price,MATCH(C4875,art_ref,0))),""))</f>
        <v/>
      </c>
      <c r="K4875" s="39" t="str">
        <f>IF(OR(C4875="",NOT(ISNUMBER(E4875))),"",IFERROR(ROUND(N(INDEX(art_init,MATCH(C4875,art_ref,0)))+SUMIFS($E$5:E4875,$C$5:C4875,C4875,$B$5:B4875,"Entrée")-SUMIFS($E$5:E4875,$C$5:C4875,C4875,$B$5:B4875,"Sortie"),6),""))</f>
        <v/>
      </c>
      <c r="L4875" s="39" t="str">
        <f>IF(COUNTA(A4875:C4875,E4875)=0,"",IF(COUNTA(A4875:C4875,E4875)&lt;4,"Ligne incomplète",IF(NOT(ISNUMBER(A4875)),"Date invalide",IF(AND(B4875&lt;&gt;"Entrée",B4875&lt;&gt;"Sortie"),"Type inconnu",IF(ISNA(MATCH(C4875,art_ref,0)),"Référence inconnue",IF(OR(NOT(ISNUMBER(E4875)),N(E4875)&lt;=0),"Quantité invalide",IF(K4875&lt;0,"Stock négatif",IF(AND(ISNUMBER(A4874),A4875&lt;A4874),"Date hors ordre","OK"))))))))</f>
        <v/>
      </c>
      <c r="M4875" s="39" t="str">
        <f>IF(C4875="","",C4875&amp;"#"&amp;COUNTIF($C$5:C4875,C4875))</f>
        <v/>
      </c>
    </row>
    <row r="4876">
      <c r="A4876" s="41" t="n"/>
      <c r="B4876" s="37" t="n"/>
      <c r="C4876" s="37" t="n"/>
      <c r="D4876" s="39" t="str">
        <f>IF(C4876="","",IFERROR(INDEX(art_des,MATCH(C4876,art_ref,0))&amp;"","Référence inconnue"))</f>
        <v/>
      </c>
      <c r="E4876" s="37" t="n"/>
      <c r="F4876" s="39" t="str">
        <f>IF(C4876="","",IFERROR(INDEX(art_unit,MATCH(C4876,art_ref,0))&amp;"",""))</f>
        <v/>
      </c>
      <c r="G4876" s="37" t="n"/>
      <c r="H4876" s="37" t="n"/>
      <c r="I4876" s="37" t="n"/>
      <c r="J4876" s="40" t="str">
        <f>IF(OR(C4876="",NOT(ISNUMBER(E4876))),"",IFERROR(E4876*N(INDEX(art_price,MATCH(C4876,art_ref,0))),""))</f>
        <v/>
      </c>
      <c r="K4876" s="39" t="str">
        <f>IF(OR(C4876="",NOT(ISNUMBER(E4876))),"",IFERROR(ROUND(N(INDEX(art_init,MATCH(C4876,art_ref,0)))+SUMIFS($E$5:E4876,$C$5:C4876,C4876,$B$5:B4876,"Entrée")-SUMIFS($E$5:E4876,$C$5:C4876,C4876,$B$5:B4876,"Sortie"),6),""))</f>
        <v/>
      </c>
      <c r="L4876" s="39" t="str">
        <f>IF(COUNTA(A4876:C4876,E4876)=0,"",IF(COUNTA(A4876:C4876,E4876)&lt;4,"Ligne incomplète",IF(NOT(ISNUMBER(A4876)),"Date invalide",IF(AND(B4876&lt;&gt;"Entrée",B4876&lt;&gt;"Sortie"),"Type inconnu",IF(ISNA(MATCH(C4876,art_ref,0)),"Référence inconnue",IF(OR(NOT(ISNUMBER(E4876)),N(E4876)&lt;=0),"Quantité invalide",IF(K4876&lt;0,"Stock négatif",IF(AND(ISNUMBER(A4875),A4876&lt;A4875),"Date hors ordre","OK"))))))))</f>
        <v/>
      </c>
      <c r="M4876" s="39" t="str">
        <f>IF(C4876="","",C4876&amp;"#"&amp;COUNTIF($C$5:C4876,C4876))</f>
        <v/>
      </c>
    </row>
    <row r="4877">
      <c r="A4877" s="41" t="n"/>
      <c r="B4877" s="37" t="n"/>
      <c r="C4877" s="37" t="n"/>
      <c r="D4877" s="39" t="str">
        <f>IF(C4877="","",IFERROR(INDEX(art_des,MATCH(C4877,art_ref,0))&amp;"","Référence inconnue"))</f>
        <v/>
      </c>
      <c r="E4877" s="37" t="n"/>
      <c r="F4877" s="39" t="str">
        <f>IF(C4877="","",IFERROR(INDEX(art_unit,MATCH(C4877,art_ref,0))&amp;"",""))</f>
        <v/>
      </c>
      <c r="G4877" s="37" t="n"/>
      <c r="H4877" s="37" t="n"/>
      <c r="I4877" s="37" t="n"/>
      <c r="J4877" s="40" t="str">
        <f>IF(OR(C4877="",NOT(ISNUMBER(E4877))),"",IFERROR(E4877*N(INDEX(art_price,MATCH(C4877,art_ref,0))),""))</f>
        <v/>
      </c>
      <c r="K4877" s="39" t="str">
        <f>IF(OR(C4877="",NOT(ISNUMBER(E4877))),"",IFERROR(ROUND(N(INDEX(art_init,MATCH(C4877,art_ref,0)))+SUMIFS($E$5:E4877,$C$5:C4877,C4877,$B$5:B4877,"Entrée")-SUMIFS($E$5:E4877,$C$5:C4877,C4877,$B$5:B4877,"Sortie"),6),""))</f>
        <v/>
      </c>
      <c r="L4877" s="39" t="str">
        <f>IF(COUNTA(A4877:C4877,E4877)=0,"",IF(COUNTA(A4877:C4877,E4877)&lt;4,"Ligne incomplète",IF(NOT(ISNUMBER(A4877)),"Date invalide",IF(AND(B4877&lt;&gt;"Entrée",B4877&lt;&gt;"Sortie"),"Type inconnu",IF(ISNA(MATCH(C4877,art_ref,0)),"Référence inconnue",IF(OR(NOT(ISNUMBER(E4877)),N(E4877)&lt;=0),"Quantité invalide",IF(K4877&lt;0,"Stock négatif",IF(AND(ISNUMBER(A4876),A4877&lt;A4876),"Date hors ordre","OK"))))))))</f>
        <v/>
      </c>
      <c r="M4877" s="39" t="str">
        <f>IF(C4877="","",C4877&amp;"#"&amp;COUNTIF($C$5:C4877,C4877))</f>
        <v/>
      </c>
    </row>
    <row r="4878">
      <c r="A4878" s="41" t="n"/>
      <c r="B4878" s="37" t="n"/>
      <c r="C4878" s="37" t="n"/>
      <c r="D4878" s="39" t="str">
        <f>IF(C4878="","",IFERROR(INDEX(art_des,MATCH(C4878,art_ref,0))&amp;"","Référence inconnue"))</f>
        <v/>
      </c>
      <c r="E4878" s="37" t="n"/>
      <c r="F4878" s="39" t="str">
        <f>IF(C4878="","",IFERROR(INDEX(art_unit,MATCH(C4878,art_ref,0))&amp;"",""))</f>
        <v/>
      </c>
      <c r="G4878" s="37" t="n"/>
      <c r="H4878" s="37" t="n"/>
      <c r="I4878" s="37" t="n"/>
      <c r="J4878" s="40" t="str">
        <f>IF(OR(C4878="",NOT(ISNUMBER(E4878))),"",IFERROR(E4878*N(INDEX(art_price,MATCH(C4878,art_ref,0))),""))</f>
        <v/>
      </c>
      <c r="K4878" s="39" t="str">
        <f>IF(OR(C4878="",NOT(ISNUMBER(E4878))),"",IFERROR(ROUND(N(INDEX(art_init,MATCH(C4878,art_ref,0)))+SUMIFS($E$5:E4878,$C$5:C4878,C4878,$B$5:B4878,"Entrée")-SUMIFS($E$5:E4878,$C$5:C4878,C4878,$B$5:B4878,"Sortie"),6),""))</f>
        <v/>
      </c>
      <c r="L4878" s="39" t="str">
        <f>IF(COUNTA(A4878:C4878,E4878)=0,"",IF(COUNTA(A4878:C4878,E4878)&lt;4,"Ligne incomplète",IF(NOT(ISNUMBER(A4878)),"Date invalide",IF(AND(B4878&lt;&gt;"Entrée",B4878&lt;&gt;"Sortie"),"Type inconnu",IF(ISNA(MATCH(C4878,art_ref,0)),"Référence inconnue",IF(OR(NOT(ISNUMBER(E4878)),N(E4878)&lt;=0),"Quantité invalide",IF(K4878&lt;0,"Stock négatif",IF(AND(ISNUMBER(A4877),A4878&lt;A4877),"Date hors ordre","OK"))))))))</f>
        <v/>
      </c>
      <c r="M4878" s="39" t="str">
        <f>IF(C4878="","",C4878&amp;"#"&amp;COUNTIF($C$5:C4878,C4878))</f>
        <v/>
      </c>
    </row>
    <row r="4879">
      <c r="A4879" s="41" t="n"/>
      <c r="B4879" s="37" t="n"/>
      <c r="C4879" s="37" t="n"/>
      <c r="D4879" s="39" t="str">
        <f>IF(C4879="","",IFERROR(INDEX(art_des,MATCH(C4879,art_ref,0))&amp;"","Référence inconnue"))</f>
        <v/>
      </c>
      <c r="E4879" s="37" t="n"/>
      <c r="F4879" s="39" t="str">
        <f>IF(C4879="","",IFERROR(INDEX(art_unit,MATCH(C4879,art_ref,0))&amp;"",""))</f>
        <v/>
      </c>
      <c r="G4879" s="37" t="n"/>
      <c r="H4879" s="37" t="n"/>
      <c r="I4879" s="37" t="n"/>
      <c r="J4879" s="40" t="str">
        <f>IF(OR(C4879="",NOT(ISNUMBER(E4879))),"",IFERROR(E4879*N(INDEX(art_price,MATCH(C4879,art_ref,0))),""))</f>
        <v/>
      </c>
      <c r="K4879" s="39" t="str">
        <f>IF(OR(C4879="",NOT(ISNUMBER(E4879))),"",IFERROR(ROUND(N(INDEX(art_init,MATCH(C4879,art_ref,0)))+SUMIFS($E$5:E4879,$C$5:C4879,C4879,$B$5:B4879,"Entrée")-SUMIFS($E$5:E4879,$C$5:C4879,C4879,$B$5:B4879,"Sortie"),6),""))</f>
        <v/>
      </c>
      <c r="L4879" s="39" t="str">
        <f>IF(COUNTA(A4879:C4879,E4879)=0,"",IF(COUNTA(A4879:C4879,E4879)&lt;4,"Ligne incomplète",IF(NOT(ISNUMBER(A4879)),"Date invalide",IF(AND(B4879&lt;&gt;"Entrée",B4879&lt;&gt;"Sortie"),"Type inconnu",IF(ISNA(MATCH(C4879,art_ref,0)),"Référence inconnue",IF(OR(NOT(ISNUMBER(E4879)),N(E4879)&lt;=0),"Quantité invalide",IF(K4879&lt;0,"Stock négatif",IF(AND(ISNUMBER(A4878),A4879&lt;A4878),"Date hors ordre","OK"))))))))</f>
        <v/>
      </c>
      <c r="M4879" s="39" t="str">
        <f>IF(C4879="","",C4879&amp;"#"&amp;COUNTIF($C$5:C4879,C4879))</f>
        <v/>
      </c>
    </row>
    <row r="4880">
      <c r="A4880" s="41" t="n"/>
      <c r="B4880" s="37" t="n"/>
      <c r="C4880" s="37" t="n"/>
      <c r="D4880" s="39" t="str">
        <f>IF(C4880="","",IFERROR(INDEX(art_des,MATCH(C4880,art_ref,0))&amp;"","Référence inconnue"))</f>
        <v/>
      </c>
      <c r="E4880" s="37" t="n"/>
      <c r="F4880" s="39" t="str">
        <f>IF(C4880="","",IFERROR(INDEX(art_unit,MATCH(C4880,art_ref,0))&amp;"",""))</f>
        <v/>
      </c>
      <c r="G4880" s="37" t="n"/>
      <c r="H4880" s="37" t="n"/>
      <c r="I4880" s="37" t="n"/>
      <c r="J4880" s="40" t="str">
        <f>IF(OR(C4880="",NOT(ISNUMBER(E4880))),"",IFERROR(E4880*N(INDEX(art_price,MATCH(C4880,art_ref,0))),""))</f>
        <v/>
      </c>
      <c r="K4880" s="39" t="str">
        <f>IF(OR(C4880="",NOT(ISNUMBER(E4880))),"",IFERROR(ROUND(N(INDEX(art_init,MATCH(C4880,art_ref,0)))+SUMIFS($E$5:E4880,$C$5:C4880,C4880,$B$5:B4880,"Entrée")-SUMIFS($E$5:E4880,$C$5:C4880,C4880,$B$5:B4880,"Sortie"),6),""))</f>
        <v/>
      </c>
      <c r="L4880" s="39" t="str">
        <f>IF(COUNTA(A4880:C4880,E4880)=0,"",IF(COUNTA(A4880:C4880,E4880)&lt;4,"Ligne incomplète",IF(NOT(ISNUMBER(A4880)),"Date invalide",IF(AND(B4880&lt;&gt;"Entrée",B4880&lt;&gt;"Sortie"),"Type inconnu",IF(ISNA(MATCH(C4880,art_ref,0)),"Référence inconnue",IF(OR(NOT(ISNUMBER(E4880)),N(E4880)&lt;=0),"Quantité invalide",IF(K4880&lt;0,"Stock négatif",IF(AND(ISNUMBER(A4879),A4880&lt;A4879),"Date hors ordre","OK"))))))))</f>
        <v/>
      </c>
      <c r="M4880" s="39" t="str">
        <f>IF(C4880="","",C4880&amp;"#"&amp;COUNTIF($C$5:C4880,C4880))</f>
        <v/>
      </c>
    </row>
    <row r="4881">
      <c r="A4881" s="41" t="n"/>
      <c r="B4881" s="37" t="n"/>
      <c r="C4881" s="37" t="n"/>
      <c r="D4881" s="39" t="str">
        <f>IF(C4881="","",IFERROR(INDEX(art_des,MATCH(C4881,art_ref,0))&amp;"","Référence inconnue"))</f>
        <v/>
      </c>
      <c r="E4881" s="37" t="n"/>
      <c r="F4881" s="39" t="str">
        <f>IF(C4881="","",IFERROR(INDEX(art_unit,MATCH(C4881,art_ref,0))&amp;"",""))</f>
        <v/>
      </c>
      <c r="G4881" s="37" t="n"/>
      <c r="H4881" s="37" t="n"/>
      <c r="I4881" s="37" t="n"/>
      <c r="J4881" s="40" t="str">
        <f>IF(OR(C4881="",NOT(ISNUMBER(E4881))),"",IFERROR(E4881*N(INDEX(art_price,MATCH(C4881,art_ref,0))),""))</f>
        <v/>
      </c>
      <c r="K4881" s="39" t="str">
        <f>IF(OR(C4881="",NOT(ISNUMBER(E4881))),"",IFERROR(ROUND(N(INDEX(art_init,MATCH(C4881,art_ref,0)))+SUMIFS($E$5:E4881,$C$5:C4881,C4881,$B$5:B4881,"Entrée")-SUMIFS($E$5:E4881,$C$5:C4881,C4881,$B$5:B4881,"Sortie"),6),""))</f>
        <v/>
      </c>
      <c r="L4881" s="39" t="str">
        <f>IF(COUNTA(A4881:C4881,E4881)=0,"",IF(COUNTA(A4881:C4881,E4881)&lt;4,"Ligne incomplète",IF(NOT(ISNUMBER(A4881)),"Date invalide",IF(AND(B4881&lt;&gt;"Entrée",B4881&lt;&gt;"Sortie"),"Type inconnu",IF(ISNA(MATCH(C4881,art_ref,0)),"Référence inconnue",IF(OR(NOT(ISNUMBER(E4881)),N(E4881)&lt;=0),"Quantité invalide",IF(K4881&lt;0,"Stock négatif",IF(AND(ISNUMBER(A4880),A4881&lt;A4880),"Date hors ordre","OK"))))))))</f>
        <v/>
      </c>
      <c r="M4881" s="39" t="str">
        <f>IF(C4881="","",C4881&amp;"#"&amp;COUNTIF($C$5:C4881,C4881))</f>
        <v/>
      </c>
    </row>
    <row r="4882">
      <c r="A4882" s="41" t="n"/>
      <c r="B4882" s="37" t="n"/>
      <c r="C4882" s="37" t="n"/>
      <c r="D4882" s="39" t="str">
        <f>IF(C4882="","",IFERROR(INDEX(art_des,MATCH(C4882,art_ref,0))&amp;"","Référence inconnue"))</f>
        <v/>
      </c>
      <c r="E4882" s="37" t="n"/>
      <c r="F4882" s="39" t="str">
        <f>IF(C4882="","",IFERROR(INDEX(art_unit,MATCH(C4882,art_ref,0))&amp;"",""))</f>
        <v/>
      </c>
      <c r="G4882" s="37" t="n"/>
      <c r="H4882" s="37" t="n"/>
      <c r="I4882" s="37" t="n"/>
      <c r="J4882" s="40" t="str">
        <f>IF(OR(C4882="",NOT(ISNUMBER(E4882))),"",IFERROR(E4882*N(INDEX(art_price,MATCH(C4882,art_ref,0))),""))</f>
        <v/>
      </c>
      <c r="K4882" s="39" t="str">
        <f>IF(OR(C4882="",NOT(ISNUMBER(E4882))),"",IFERROR(ROUND(N(INDEX(art_init,MATCH(C4882,art_ref,0)))+SUMIFS($E$5:E4882,$C$5:C4882,C4882,$B$5:B4882,"Entrée")-SUMIFS($E$5:E4882,$C$5:C4882,C4882,$B$5:B4882,"Sortie"),6),""))</f>
        <v/>
      </c>
      <c r="L4882" s="39" t="str">
        <f>IF(COUNTA(A4882:C4882,E4882)=0,"",IF(COUNTA(A4882:C4882,E4882)&lt;4,"Ligne incomplète",IF(NOT(ISNUMBER(A4882)),"Date invalide",IF(AND(B4882&lt;&gt;"Entrée",B4882&lt;&gt;"Sortie"),"Type inconnu",IF(ISNA(MATCH(C4882,art_ref,0)),"Référence inconnue",IF(OR(NOT(ISNUMBER(E4882)),N(E4882)&lt;=0),"Quantité invalide",IF(K4882&lt;0,"Stock négatif",IF(AND(ISNUMBER(A4881),A4882&lt;A4881),"Date hors ordre","OK"))))))))</f>
        <v/>
      </c>
      <c r="M4882" s="39" t="str">
        <f>IF(C4882="","",C4882&amp;"#"&amp;COUNTIF($C$5:C4882,C4882))</f>
        <v/>
      </c>
    </row>
    <row r="4883">
      <c r="A4883" s="41" t="n"/>
      <c r="B4883" s="37" t="n"/>
      <c r="C4883" s="37" t="n"/>
      <c r="D4883" s="39" t="str">
        <f>IF(C4883="","",IFERROR(INDEX(art_des,MATCH(C4883,art_ref,0))&amp;"","Référence inconnue"))</f>
        <v/>
      </c>
      <c r="E4883" s="37" t="n"/>
      <c r="F4883" s="39" t="str">
        <f>IF(C4883="","",IFERROR(INDEX(art_unit,MATCH(C4883,art_ref,0))&amp;"",""))</f>
        <v/>
      </c>
      <c r="G4883" s="37" t="n"/>
      <c r="H4883" s="37" t="n"/>
      <c r="I4883" s="37" t="n"/>
      <c r="J4883" s="40" t="str">
        <f>IF(OR(C4883="",NOT(ISNUMBER(E4883))),"",IFERROR(E4883*N(INDEX(art_price,MATCH(C4883,art_ref,0))),""))</f>
        <v/>
      </c>
      <c r="K4883" s="39" t="str">
        <f>IF(OR(C4883="",NOT(ISNUMBER(E4883))),"",IFERROR(ROUND(N(INDEX(art_init,MATCH(C4883,art_ref,0)))+SUMIFS($E$5:E4883,$C$5:C4883,C4883,$B$5:B4883,"Entrée")-SUMIFS($E$5:E4883,$C$5:C4883,C4883,$B$5:B4883,"Sortie"),6),""))</f>
        <v/>
      </c>
      <c r="L4883" s="39" t="str">
        <f>IF(COUNTA(A4883:C4883,E4883)=0,"",IF(COUNTA(A4883:C4883,E4883)&lt;4,"Ligne incomplète",IF(NOT(ISNUMBER(A4883)),"Date invalide",IF(AND(B4883&lt;&gt;"Entrée",B4883&lt;&gt;"Sortie"),"Type inconnu",IF(ISNA(MATCH(C4883,art_ref,0)),"Référence inconnue",IF(OR(NOT(ISNUMBER(E4883)),N(E4883)&lt;=0),"Quantité invalide",IF(K4883&lt;0,"Stock négatif",IF(AND(ISNUMBER(A4882),A4883&lt;A4882),"Date hors ordre","OK"))))))))</f>
        <v/>
      </c>
      <c r="M4883" s="39" t="str">
        <f>IF(C4883="","",C4883&amp;"#"&amp;COUNTIF($C$5:C4883,C4883))</f>
        <v/>
      </c>
    </row>
    <row r="4884">
      <c r="A4884" s="41" t="n"/>
      <c r="B4884" s="37" t="n"/>
      <c r="C4884" s="37" t="n"/>
      <c r="D4884" s="39" t="str">
        <f>IF(C4884="","",IFERROR(INDEX(art_des,MATCH(C4884,art_ref,0))&amp;"","Référence inconnue"))</f>
        <v/>
      </c>
      <c r="E4884" s="37" t="n"/>
      <c r="F4884" s="39" t="str">
        <f>IF(C4884="","",IFERROR(INDEX(art_unit,MATCH(C4884,art_ref,0))&amp;"",""))</f>
        <v/>
      </c>
      <c r="G4884" s="37" t="n"/>
      <c r="H4884" s="37" t="n"/>
      <c r="I4884" s="37" t="n"/>
      <c r="J4884" s="40" t="str">
        <f>IF(OR(C4884="",NOT(ISNUMBER(E4884))),"",IFERROR(E4884*N(INDEX(art_price,MATCH(C4884,art_ref,0))),""))</f>
        <v/>
      </c>
      <c r="K4884" s="39" t="str">
        <f>IF(OR(C4884="",NOT(ISNUMBER(E4884))),"",IFERROR(ROUND(N(INDEX(art_init,MATCH(C4884,art_ref,0)))+SUMIFS($E$5:E4884,$C$5:C4884,C4884,$B$5:B4884,"Entrée")-SUMIFS($E$5:E4884,$C$5:C4884,C4884,$B$5:B4884,"Sortie"),6),""))</f>
        <v/>
      </c>
      <c r="L4884" s="39" t="str">
        <f>IF(COUNTA(A4884:C4884,E4884)=0,"",IF(COUNTA(A4884:C4884,E4884)&lt;4,"Ligne incomplète",IF(NOT(ISNUMBER(A4884)),"Date invalide",IF(AND(B4884&lt;&gt;"Entrée",B4884&lt;&gt;"Sortie"),"Type inconnu",IF(ISNA(MATCH(C4884,art_ref,0)),"Référence inconnue",IF(OR(NOT(ISNUMBER(E4884)),N(E4884)&lt;=0),"Quantité invalide",IF(K4884&lt;0,"Stock négatif",IF(AND(ISNUMBER(A4883),A4884&lt;A4883),"Date hors ordre","OK"))))))))</f>
        <v/>
      </c>
      <c r="M4884" s="39" t="str">
        <f>IF(C4884="","",C4884&amp;"#"&amp;COUNTIF($C$5:C4884,C4884))</f>
        <v/>
      </c>
    </row>
    <row r="4885">
      <c r="A4885" s="41" t="n"/>
      <c r="B4885" s="37" t="n"/>
      <c r="C4885" s="37" t="n"/>
      <c r="D4885" s="39" t="str">
        <f>IF(C4885="","",IFERROR(INDEX(art_des,MATCH(C4885,art_ref,0))&amp;"","Référence inconnue"))</f>
        <v/>
      </c>
      <c r="E4885" s="37" t="n"/>
      <c r="F4885" s="39" t="str">
        <f>IF(C4885="","",IFERROR(INDEX(art_unit,MATCH(C4885,art_ref,0))&amp;"",""))</f>
        <v/>
      </c>
      <c r="G4885" s="37" t="n"/>
      <c r="H4885" s="37" t="n"/>
      <c r="I4885" s="37" t="n"/>
      <c r="J4885" s="40" t="str">
        <f>IF(OR(C4885="",NOT(ISNUMBER(E4885))),"",IFERROR(E4885*N(INDEX(art_price,MATCH(C4885,art_ref,0))),""))</f>
        <v/>
      </c>
      <c r="K4885" s="39" t="str">
        <f>IF(OR(C4885="",NOT(ISNUMBER(E4885))),"",IFERROR(ROUND(N(INDEX(art_init,MATCH(C4885,art_ref,0)))+SUMIFS($E$5:E4885,$C$5:C4885,C4885,$B$5:B4885,"Entrée")-SUMIFS($E$5:E4885,$C$5:C4885,C4885,$B$5:B4885,"Sortie"),6),""))</f>
        <v/>
      </c>
      <c r="L4885" s="39" t="str">
        <f>IF(COUNTA(A4885:C4885,E4885)=0,"",IF(COUNTA(A4885:C4885,E4885)&lt;4,"Ligne incomplète",IF(NOT(ISNUMBER(A4885)),"Date invalide",IF(AND(B4885&lt;&gt;"Entrée",B4885&lt;&gt;"Sortie"),"Type inconnu",IF(ISNA(MATCH(C4885,art_ref,0)),"Référence inconnue",IF(OR(NOT(ISNUMBER(E4885)),N(E4885)&lt;=0),"Quantité invalide",IF(K4885&lt;0,"Stock négatif",IF(AND(ISNUMBER(A4884),A4885&lt;A4884),"Date hors ordre","OK"))))))))</f>
        <v/>
      </c>
      <c r="M4885" s="39" t="str">
        <f>IF(C4885="","",C4885&amp;"#"&amp;COUNTIF($C$5:C4885,C4885))</f>
        <v/>
      </c>
    </row>
    <row r="4886">
      <c r="A4886" s="41" t="n"/>
      <c r="B4886" s="37" t="n"/>
      <c r="C4886" s="37" t="n"/>
      <c r="D4886" s="39" t="str">
        <f>IF(C4886="","",IFERROR(INDEX(art_des,MATCH(C4886,art_ref,0))&amp;"","Référence inconnue"))</f>
        <v/>
      </c>
      <c r="E4886" s="37" t="n"/>
      <c r="F4886" s="39" t="str">
        <f>IF(C4886="","",IFERROR(INDEX(art_unit,MATCH(C4886,art_ref,0))&amp;"",""))</f>
        <v/>
      </c>
      <c r="G4886" s="37" t="n"/>
      <c r="H4886" s="37" t="n"/>
      <c r="I4886" s="37" t="n"/>
      <c r="J4886" s="40" t="str">
        <f>IF(OR(C4886="",NOT(ISNUMBER(E4886))),"",IFERROR(E4886*N(INDEX(art_price,MATCH(C4886,art_ref,0))),""))</f>
        <v/>
      </c>
      <c r="K4886" s="39" t="str">
        <f>IF(OR(C4886="",NOT(ISNUMBER(E4886))),"",IFERROR(ROUND(N(INDEX(art_init,MATCH(C4886,art_ref,0)))+SUMIFS($E$5:E4886,$C$5:C4886,C4886,$B$5:B4886,"Entrée")-SUMIFS($E$5:E4886,$C$5:C4886,C4886,$B$5:B4886,"Sortie"),6),""))</f>
        <v/>
      </c>
      <c r="L4886" s="39" t="str">
        <f>IF(COUNTA(A4886:C4886,E4886)=0,"",IF(COUNTA(A4886:C4886,E4886)&lt;4,"Ligne incomplète",IF(NOT(ISNUMBER(A4886)),"Date invalide",IF(AND(B4886&lt;&gt;"Entrée",B4886&lt;&gt;"Sortie"),"Type inconnu",IF(ISNA(MATCH(C4886,art_ref,0)),"Référence inconnue",IF(OR(NOT(ISNUMBER(E4886)),N(E4886)&lt;=0),"Quantité invalide",IF(K4886&lt;0,"Stock négatif",IF(AND(ISNUMBER(A4885),A4886&lt;A4885),"Date hors ordre","OK"))))))))</f>
        <v/>
      </c>
      <c r="M4886" s="39" t="str">
        <f>IF(C4886="","",C4886&amp;"#"&amp;COUNTIF($C$5:C4886,C4886))</f>
        <v/>
      </c>
    </row>
    <row r="4887">
      <c r="A4887" s="41" t="n"/>
      <c r="B4887" s="37" t="n"/>
      <c r="C4887" s="37" t="n"/>
      <c r="D4887" s="39" t="str">
        <f>IF(C4887="","",IFERROR(INDEX(art_des,MATCH(C4887,art_ref,0))&amp;"","Référence inconnue"))</f>
        <v/>
      </c>
      <c r="E4887" s="37" t="n"/>
      <c r="F4887" s="39" t="str">
        <f>IF(C4887="","",IFERROR(INDEX(art_unit,MATCH(C4887,art_ref,0))&amp;"",""))</f>
        <v/>
      </c>
      <c r="G4887" s="37" t="n"/>
      <c r="H4887" s="37" t="n"/>
      <c r="I4887" s="37" t="n"/>
      <c r="J4887" s="40" t="str">
        <f>IF(OR(C4887="",NOT(ISNUMBER(E4887))),"",IFERROR(E4887*N(INDEX(art_price,MATCH(C4887,art_ref,0))),""))</f>
        <v/>
      </c>
      <c r="K4887" s="39" t="str">
        <f>IF(OR(C4887="",NOT(ISNUMBER(E4887))),"",IFERROR(ROUND(N(INDEX(art_init,MATCH(C4887,art_ref,0)))+SUMIFS($E$5:E4887,$C$5:C4887,C4887,$B$5:B4887,"Entrée")-SUMIFS($E$5:E4887,$C$5:C4887,C4887,$B$5:B4887,"Sortie"),6),""))</f>
        <v/>
      </c>
      <c r="L4887" s="39" t="str">
        <f>IF(COUNTA(A4887:C4887,E4887)=0,"",IF(COUNTA(A4887:C4887,E4887)&lt;4,"Ligne incomplète",IF(NOT(ISNUMBER(A4887)),"Date invalide",IF(AND(B4887&lt;&gt;"Entrée",B4887&lt;&gt;"Sortie"),"Type inconnu",IF(ISNA(MATCH(C4887,art_ref,0)),"Référence inconnue",IF(OR(NOT(ISNUMBER(E4887)),N(E4887)&lt;=0),"Quantité invalide",IF(K4887&lt;0,"Stock négatif",IF(AND(ISNUMBER(A4886),A4887&lt;A4886),"Date hors ordre","OK"))))))))</f>
        <v/>
      </c>
      <c r="M4887" s="39" t="str">
        <f>IF(C4887="","",C4887&amp;"#"&amp;COUNTIF($C$5:C4887,C4887))</f>
        <v/>
      </c>
    </row>
    <row r="4888">
      <c r="A4888" s="41" t="n"/>
      <c r="B4888" s="37" t="n"/>
      <c r="C4888" s="37" t="n"/>
      <c r="D4888" s="39" t="str">
        <f>IF(C4888="","",IFERROR(INDEX(art_des,MATCH(C4888,art_ref,0))&amp;"","Référence inconnue"))</f>
        <v/>
      </c>
      <c r="E4888" s="37" t="n"/>
      <c r="F4888" s="39" t="str">
        <f>IF(C4888="","",IFERROR(INDEX(art_unit,MATCH(C4888,art_ref,0))&amp;"",""))</f>
        <v/>
      </c>
      <c r="G4888" s="37" t="n"/>
      <c r="H4888" s="37" t="n"/>
      <c r="I4888" s="37" t="n"/>
      <c r="J4888" s="40" t="str">
        <f>IF(OR(C4888="",NOT(ISNUMBER(E4888))),"",IFERROR(E4888*N(INDEX(art_price,MATCH(C4888,art_ref,0))),""))</f>
        <v/>
      </c>
      <c r="K4888" s="39" t="str">
        <f>IF(OR(C4888="",NOT(ISNUMBER(E4888))),"",IFERROR(ROUND(N(INDEX(art_init,MATCH(C4888,art_ref,0)))+SUMIFS($E$5:E4888,$C$5:C4888,C4888,$B$5:B4888,"Entrée")-SUMIFS($E$5:E4888,$C$5:C4888,C4888,$B$5:B4888,"Sortie"),6),""))</f>
        <v/>
      </c>
      <c r="L4888" s="39" t="str">
        <f>IF(COUNTA(A4888:C4888,E4888)=0,"",IF(COUNTA(A4888:C4888,E4888)&lt;4,"Ligne incomplète",IF(NOT(ISNUMBER(A4888)),"Date invalide",IF(AND(B4888&lt;&gt;"Entrée",B4888&lt;&gt;"Sortie"),"Type inconnu",IF(ISNA(MATCH(C4888,art_ref,0)),"Référence inconnue",IF(OR(NOT(ISNUMBER(E4888)),N(E4888)&lt;=0),"Quantité invalide",IF(K4888&lt;0,"Stock négatif",IF(AND(ISNUMBER(A4887),A4888&lt;A4887),"Date hors ordre","OK"))))))))</f>
        <v/>
      </c>
      <c r="M4888" s="39" t="str">
        <f>IF(C4888="","",C4888&amp;"#"&amp;COUNTIF($C$5:C4888,C4888))</f>
        <v/>
      </c>
    </row>
    <row r="4889">
      <c r="A4889" s="41" t="n"/>
      <c r="B4889" s="37" t="n"/>
      <c r="C4889" s="37" t="n"/>
      <c r="D4889" s="39" t="str">
        <f>IF(C4889="","",IFERROR(INDEX(art_des,MATCH(C4889,art_ref,0))&amp;"","Référence inconnue"))</f>
        <v/>
      </c>
      <c r="E4889" s="37" t="n"/>
      <c r="F4889" s="39" t="str">
        <f>IF(C4889="","",IFERROR(INDEX(art_unit,MATCH(C4889,art_ref,0))&amp;"",""))</f>
        <v/>
      </c>
      <c r="G4889" s="37" t="n"/>
      <c r="H4889" s="37" t="n"/>
      <c r="I4889" s="37" t="n"/>
      <c r="J4889" s="40" t="str">
        <f>IF(OR(C4889="",NOT(ISNUMBER(E4889))),"",IFERROR(E4889*N(INDEX(art_price,MATCH(C4889,art_ref,0))),""))</f>
        <v/>
      </c>
      <c r="K4889" s="39" t="str">
        <f>IF(OR(C4889="",NOT(ISNUMBER(E4889))),"",IFERROR(ROUND(N(INDEX(art_init,MATCH(C4889,art_ref,0)))+SUMIFS($E$5:E4889,$C$5:C4889,C4889,$B$5:B4889,"Entrée")-SUMIFS($E$5:E4889,$C$5:C4889,C4889,$B$5:B4889,"Sortie"),6),""))</f>
        <v/>
      </c>
      <c r="L4889" s="39" t="str">
        <f>IF(COUNTA(A4889:C4889,E4889)=0,"",IF(COUNTA(A4889:C4889,E4889)&lt;4,"Ligne incomplète",IF(NOT(ISNUMBER(A4889)),"Date invalide",IF(AND(B4889&lt;&gt;"Entrée",B4889&lt;&gt;"Sortie"),"Type inconnu",IF(ISNA(MATCH(C4889,art_ref,0)),"Référence inconnue",IF(OR(NOT(ISNUMBER(E4889)),N(E4889)&lt;=0),"Quantité invalide",IF(K4889&lt;0,"Stock négatif",IF(AND(ISNUMBER(A4888),A4889&lt;A4888),"Date hors ordre","OK"))))))))</f>
        <v/>
      </c>
      <c r="M4889" s="39" t="str">
        <f>IF(C4889="","",C4889&amp;"#"&amp;COUNTIF($C$5:C4889,C4889))</f>
        <v/>
      </c>
    </row>
    <row r="4890">
      <c r="A4890" s="41" t="n"/>
      <c r="B4890" s="37" t="n"/>
      <c r="C4890" s="37" t="n"/>
      <c r="D4890" s="39" t="str">
        <f>IF(C4890="","",IFERROR(INDEX(art_des,MATCH(C4890,art_ref,0))&amp;"","Référence inconnue"))</f>
        <v/>
      </c>
      <c r="E4890" s="37" t="n"/>
      <c r="F4890" s="39" t="str">
        <f>IF(C4890="","",IFERROR(INDEX(art_unit,MATCH(C4890,art_ref,0))&amp;"",""))</f>
        <v/>
      </c>
      <c r="G4890" s="37" t="n"/>
      <c r="H4890" s="37" t="n"/>
      <c r="I4890" s="37" t="n"/>
      <c r="J4890" s="40" t="str">
        <f>IF(OR(C4890="",NOT(ISNUMBER(E4890))),"",IFERROR(E4890*N(INDEX(art_price,MATCH(C4890,art_ref,0))),""))</f>
        <v/>
      </c>
      <c r="K4890" s="39" t="str">
        <f>IF(OR(C4890="",NOT(ISNUMBER(E4890))),"",IFERROR(ROUND(N(INDEX(art_init,MATCH(C4890,art_ref,0)))+SUMIFS($E$5:E4890,$C$5:C4890,C4890,$B$5:B4890,"Entrée")-SUMIFS($E$5:E4890,$C$5:C4890,C4890,$B$5:B4890,"Sortie"),6),""))</f>
        <v/>
      </c>
      <c r="L4890" s="39" t="str">
        <f>IF(COUNTA(A4890:C4890,E4890)=0,"",IF(COUNTA(A4890:C4890,E4890)&lt;4,"Ligne incomplète",IF(NOT(ISNUMBER(A4890)),"Date invalide",IF(AND(B4890&lt;&gt;"Entrée",B4890&lt;&gt;"Sortie"),"Type inconnu",IF(ISNA(MATCH(C4890,art_ref,0)),"Référence inconnue",IF(OR(NOT(ISNUMBER(E4890)),N(E4890)&lt;=0),"Quantité invalide",IF(K4890&lt;0,"Stock négatif",IF(AND(ISNUMBER(A4889),A4890&lt;A4889),"Date hors ordre","OK"))))))))</f>
        <v/>
      </c>
      <c r="M4890" s="39" t="str">
        <f>IF(C4890="","",C4890&amp;"#"&amp;COUNTIF($C$5:C4890,C4890))</f>
        <v/>
      </c>
    </row>
    <row r="4891">
      <c r="A4891" s="41" t="n"/>
      <c r="B4891" s="37" t="n"/>
      <c r="C4891" s="37" t="n"/>
      <c r="D4891" s="39" t="str">
        <f>IF(C4891="","",IFERROR(INDEX(art_des,MATCH(C4891,art_ref,0))&amp;"","Référence inconnue"))</f>
        <v/>
      </c>
      <c r="E4891" s="37" t="n"/>
      <c r="F4891" s="39" t="str">
        <f>IF(C4891="","",IFERROR(INDEX(art_unit,MATCH(C4891,art_ref,0))&amp;"",""))</f>
        <v/>
      </c>
      <c r="G4891" s="37" t="n"/>
      <c r="H4891" s="37" t="n"/>
      <c r="I4891" s="37" t="n"/>
      <c r="J4891" s="40" t="str">
        <f>IF(OR(C4891="",NOT(ISNUMBER(E4891))),"",IFERROR(E4891*N(INDEX(art_price,MATCH(C4891,art_ref,0))),""))</f>
        <v/>
      </c>
      <c r="K4891" s="39" t="str">
        <f>IF(OR(C4891="",NOT(ISNUMBER(E4891))),"",IFERROR(ROUND(N(INDEX(art_init,MATCH(C4891,art_ref,0)))+SUMIFS($E$5:E4891,$C$5:C4891,C4891,$B$5:B4891,"Entrée")-SUMIFS($E$5:E4891,$C$5:C4891,C4891,$B$5:B4891,"Sortie"),6),""))</f>
        <v/>
      </c>
      <c r="L4891" s="39" t="str">
        <f>IF(COUNTA(A4891:C4891,E4891)=0,"",IF(COUNTA(A4891:C4891,E4891)&lt;4,"Ligne incomplète",IF(NOT(ISNUMBER(A4891)),"Date invalide",IF(AND(B4891&lt;&gt;"Entrée",B4891&lt;&gt;"Sortie"),"Type inconnu",IF(ISNA(MATCH(C4891,art_ref,0)),"Référence inconnue",IF(OR(NOT(ISNUMBER(E4891)),N(E4891)&lt;=0),"Quantité invalide",IF(K4891&lt;0,"Stock négatif",IF(AND(ISNUMBER(A4890),A4891&lt;A4890),"Date hors ordre","OK"))))))))</f>
        <v/>
      </c>
      <c r="M4891" s="39" t="str">
        <f>IF(C4891="","",C4891&amp;"#"&amp;COUNTIF($C$5:C4891,C4891))</f>
        <v/>
      </c>
    </row>
    <row r="4892">
      <c r="A4892" s="41" t="n"/>
      <c r="B4892" s="37" t="n"/>
      <c r="C4892" s="37" t="n"/>
      <c r="D4892" s="39" t="str">
        <f>IF(C4892="","",IFERROR(INDEX(art_des,MATCH(C4892,art_ref,0))&amp;"","Référence inconnue"))</f>
        <v/>
      </c>
      <c r="E4892" s="37" t="n"/>
      <c r="F4892" s="39" t="str">
        <f>IF(C4892="","",IFERROR(INDEX(art_unit,MATCH(C4892,art_ref,0))&amp;"",""))</f>
        <v/>
      </c>
      <c r="G4892" s="37" t="n"/>
      <c r="H4892" s="37" t="n"/>
      <c r="I4892" s="37" t="n"/>
      <c r="J4892" s="40" t="str">
        <f>IF(OR(C4892="",NOT(ISNUMBER(E4892))),"",IFERROR(E4892*N(INDEX(art_price,MATCH(C4892,art_ref,0))),""))</f>
        <v/>
      </c>
      <c r="K4892" s="39" t="str">
        <f>IF(OR(C4892="",NOT(ISNUMBER(E4892))),"",IFERROR(ROUND(N(INDEX(art_init,MATCH(C4892,art_ref,0)))+SUMIFS($E$5:E4892,$C$5:C4892,C4892,$B$5:B4892,"Entrée")-SUMIFS($E$5:E4892,$C$5:C4892,C4892,$B$5:B4892,"Sortie"),6),""))</f>
        <v/>
      </c>
      <c r="L4892" s="39" t="str">
        <f>IF(COUNTA(A4892:C4892,E4892)=0,"",IF(COUNTA(A4892:C4892,E4892)&lt;4,"Ligne incomplète",IF(NOT(ISNUMBER(A4892)),"Date invalide",IF(AND(B4892&lt;&gt;"Entrée",B4892&lt;&gt;"Sortie"),"Type inconnu",IF(ISNA(MATCH(C4892,art_ref,0)),"Référence inconnue",IF(OR(NOT(ISNUMBER(E4892)),N(E4892)&lt;=0),"Quantité invalide",IF(K4892&lt;0,"Stock négatif",IF(AND(ISNUMBER(A4891),A4892&lt;A4891),"Date hors ordre","OK"))))))))</f>
        <v/>
      </c>
      <c r="M4892" s="39" t="str">
        <f>IF(C4892="","",C4892&amp;"#"&amp;COUNTIF($C$5:C4892,C4892))</f>
        <v/>
      </c>
    </row>
    <row r="4893">
      <c r="A4893" s="41" t="n"/>
      <c r="B4893" s="37" t="n"/>
      <c r="C4893" s="37" t="n"/>
      <c r="D4893" s="39" t="str">
        <f>IF(C4893="","",IFERROR(INDEX(art_des,MATCH(C4893,art_ref,0))&amp;"","Référence inconnue"))</f>
        <v/>
      </c>
      <c r="E4893" s="37" t="n"/>
      <c r="F4893" s="39" t="str">
        <f>IF(C4893="","",IFERROR(INDEX(art_unit,MATCH(C4893,art_ref,0))&amp;"",""))</f>
        <v/>
      </c>
      <c r="G4893" s="37" t="n"/>
      <c r="H4893" s="37" t="n"/>
      <c r="I4893" s="37" t="n"/>
      <c r="J4893" s="40" t="str">
        <f>IF(OR(C4893="",NOT(ISNUMBER(E4893))),"",IFERROR(E4893*N(INDEX(art_price,MATCH(C4893,art_ref,0))),""))</f>
        <v/>
      </c>
      <c r="K4893" s="39" t="str">
        <f>IF(OR(C4893="",NOT(ISNUMBER(E4893))),"",IFERROR(ROUND(N(INDEX(art_init,MATCH(C4893,art_ref,0)))+SUMIFS($E$5:E4893,$C$5:C4893,C4893,$B$5:B4893,"Entrée")-SUMIFS($E$5:E4893,$C$5:C4893,C4893,$B$5:B4893,"Sortie"),6),""))</f>
        <v/>
      </c>
      <c r="L4893" s="39" t="str">
        <f>IF(COUNTA(A4893:C4893,E4893)=0,"",IF(COUNTA(A4893:C4893,E4893)&lt;4,"Ligne incomplète",IF(NOT(ISNUMBER(A4893)),"Date invalide",IF(AND(B4893&lt;&gt;"Entrée",B4893&lt;&gt;"Sortie"),"Type inconnu",IF(ISNA(MATCH(C4893,art_ref,0)),"Référence inconnue",IF(OR(NOT(ISNUMBER(E4893)),N(E4893)&lt;=0),"Quantité invalide",IF(K4893&lt;0,"Stock négatif",IF(AND(ISNUMBER(A4892),A4893&lt;A4892),"Date hors ordre","OK"))))))))</f>
        <v/>
      </c>
      <c r="M4893" s="39" t="str">
        <f>IF(C4893="","",C4893&amp;"#"&amp;COUNTIF($C$5:C4893,C4893))</f>
        <v/>
      </c>
    </row>
    <row r="4894">
      <c r="A4894" s="41" t="n"/>
      <c r="B4894" s="37" t="n"/>
      <c r="C4894" s="37" t="n"/>
      <c r="D4894" s="39" t="str">
        <f>IF(C4894="","",IFERROR(INDEX(art_des,MATCH(C4894,art_ref,0))&amp;"","Référence inconnue"))</f>
        <v/>
      </c>
      <c r="E4894" s="37" t="n"/>
      <c r="F4894" s="39" t="str">
        <f>IF(C4894="","",IFERROR(INDEX(art_unit,MATCH(C4894,art_ref,0))&amp;"",""))</f>
        <v/>
      </c>
      <c r="G4894" s="37" t="n"/>
      <c r="H4894" s="37" t="n"/>
      <c r="I4894" s="37" t="n"/>
      <c r="J4894" s="40" t="str">
        <f>IF(OR(C4894="",NOT(ISNUMBER(E4894))),"",IFERROR(E4894*N(INDEX(art_price,MATCH(C4894,art_ref,0))),""))</f>
        <v/>
      </c>
      <c r="K4894" s="39" t="str">
        <f>IF(OR(C4894="",NOT(ISNUMBER(E4894))),"",IFERROR(ROUND(N(INDEX(art_init,MATCH(C4894,art_ref,0)))+SUMIFS($E$5:E4894,$C$5:C4894,C4894,$B$5:B4894,"Entrée")-SUMIFS($E$5:E4894,$C$5:C4894,C4894,$B$5:B4894,"Sortie"),6),""))</f>
        <v/>
      </c>
      <c r="L4894" s="39" t="str">
        <f>IF(COUNTA(A4894:C4894,E4894)=0,"",IF(COUNTA(A4894:C4894,E4894)&lt;4,"Ligne incomplète",IF(NOT(ISNUMBER(A4894)),"Date invalide",IF(AND(B4894&lt;&gt;"Entrée",B4894&lt;&gt;"Sortie"),"Type inconnu",IF(ISNA(MATCH(C4894,art_ref,0)),"Référence inconnue",IF(OR(NOT(ISNUMBER(E4894)),N(E4894)&lt;=0),"Quantité invalide",IF(K4894&lt;0,"Stock négatif",IF(AND(ISNUMBER(A4893),A4894&lt;A4893),"Date hors ordre","OK"))))))))</f>
        <v/>
      </c>
      <c r="M4894" s="39" t="str">
        <f>IF(C4894="","",C4894&amp;"#"&amp;COUNTIF($C$5:C4894,C4894))</f>
        <v/>
      </c>
    </row>
    <row r="4895">
      <c r="A4895" s="41" t="n"/>
      <c r="B4895" s="37" t="n"/>
      <c r="C4895" s="37" t="n"/>
      <c r="D4895" s="39" t="str">
        <f>IF(C4895="","",IFERROR(INDEX(art_des,MATCH(C4895,art_ref,0))&amp;"","Référence inconnue"))</f>
        <v/>
      </c>
      <c r="E4895" s="37" t="n"/>
      <c r="F4895" s="39" t="str">
        <f>IF(C4895="","",IFERROR(INDEX(art_unit,MATCH(C4895,art_ref,0))&amp;"",""))</f>
        <v/>
      </c>
      <c r="G4895" s="37" t="n"/>
      <c r="H4895" s="37" t="n"/>
      <c r="I4895" s="37" t="n"/>
      <c r="J4895" s="40" t="str">
        <f>IF(OR(C4895="",NOT(ISNUMBER(E4895))),"",IFERROR(E4895*N(INDEX(art_price,MATCH(C4895,art_ref,0))),""))</f>
        <v/>
      </c>
      <c r="K4895" s="39" t="str">
        <f>IF(OR(C4895="",NOT(ISNUMBER(E4895))),"",IFERROR(ROUND(N(INDEX(art_init,MATCH(C4895,art_ref,0)))+SUMIFS($E$5:E4895,$C$5:C4895,C4895,$B$5:B4895,"Entrée")-SUMIFS($E$5:E4895,$C$5:C4895,C4895,$B$5:B4895,"Sortie"),6),""))</f>
        <v/>
      </c>
      <c r="L4895" s="39" t="str">
        <f>IF(COUNTA(A4895:C4895,E4895)=0,"",IF(COUNTA(A4895:C4895,E4895)&lt;4,"Ligne incomplète",IF(NOT(ISNUMBER(A4895)),"Date invalide",IF(AND(B4895&lt;&gt;"Entrée",B4895&lt;&gt;"Sortie"),"Type inconnu",IF(ISNA(MATCH(C4895,art_ref,0)),"Référence inconnue",IF(OR(NOT(ISNUMBER(E4895)),N(E4895)&lt;=0),"Quantité invalide",IF(K4895&lt;0,"Stock négatif",IF(AND(ISNUMBER(A4894),A4895&lt;A4894),"Date hors ordre","OK"))))))))</f>
        <v/>
      </c>
      <c r="M4895" s="39" t="str">
        <f>IF(C4895="","",C4895&amp;"#"&amp;COUNTIF($C$5:C4895,C4895))</f>
        <v/>
      </c>
    </row>
    <row r="4896">
      <c r="A4896" s="41" t="n"/>
      <c r="B4896" s="37" t="n"/>
      <c r="C4896" s="37" t="n"/>
      <c r="D4896" s="39" t="str">
        <f>IF(C4896="","",IFERROR(INDEX(art_des,MATCH(C4896,art_ref,0))&amp;"","Référence inconnue"))</f>
        <v/>
      </c>
      <c r="E4896" s="37" t="n"/>
      <c r="F4896" s="39" t="str">
        <f>IF(C4896="","",IFERROR(INDEX(art_unit,MATCH(C4896,art_ref,0))&amp;"",""))</f>
        <v/>
      </c>
      <c r="G4896" s="37" t="n"/>
      <c r="H4896" s="37" t="n"/>
      <c r="I4896" s="37" t="n"/>
      <c r="J4896" s="40" t="str">
        <f>IF(OR(C4896="",NOT(ISNUMBER(E4896))),"",IFERROR(E4896*N(INDEX(art_price,MATCH(C4896,art_ref,0))),""))</f>
        <v/>
      </c>
      <c r="K4896" s="39" t="str">
        <f>IF(OR(C4896="",NOT(ISNUMBER(E4896))),"",IFERROR(ROUND(N(INDEX(art_init,MATCH(C4896,art_ref,0)))+SUMIFS($E$5:E4896,$C$5:C4896,C4896,$B$5:B4896,"Entrée")-SUMIFS($E$5:E4896,$C$5:C4896,C4896,$B$5:B4896,"Sortie"),6),""))</f>
        <v/>
      </c>
      <c r="L4896" s="39" t="str">
        <f>IF(COUNTA(A4896:C4896,E4896)=0,"",IF(COUNTA(A4896:C4896,E4896)&lt;4,"Ligne incomplète",IF(NOT(ISNUMBER(A4896)),"Date invalide",IF(AND(B4896&lt;&gt;"Entrée",B4896&lt;&gt;"Sortie"),"Type inconnu",IF(ISNA(MATCH(C4896,art_ref,0)),"Référence inconnue",IF(OR(NOT(ISNUMBER(E4896)),N(E4896)&lt;=0),"Quantité invalide",IF(K4896&lt;0,"Stock négatif",IF(AND(ISNUMBER(A4895),A4896&lt;A4895),"Date hors ordre","OK"))))))))</f>
        <v/>
      </c>
      <c r="M4896" s="39" t="str">
        <f>IF(C4896="","",C4896&amp;"#"&amp;COUNTIF($C$5:C4896,C4896))</f>
        <v/>
      </c>
    </row>
    <row r="4897">
      <c r="A4897" s="41" t="n"/>
      <c r="B4897" s="37" t="n"/>
      <c r="C4897" s="37" t="n"/>
      <c r="D4897" s="39" t="str">
        <f>IF(C4897="","",IFERROR(INDEX(art_des,MATCH(C4897,art_ref,0))&amp;"","Référence inconnue"))</f>
        <v/>
      </c>
      <c r="E4897" s="37" t="n"/>
      <c r="F4897" s="39" t="str">
        <f>IF(C4897="","",IFERROR(INDEX(art_unit,MATCH(C4897,art_ref,0))&amp;"",""))</f>
        <v/>
      </c>
      <c r="G4897" s="37" t="n"/>
      <c r="H4897" s="37" t="n"/>
      <c r="I4897" s="37" t="n"/>
      <c r="J4897" s="40" t="str">
        <f>IF(OR(C4897="",NOT(ISNUMBER(E4897))),"",IFERROR(E4897*N(INDEX(art_price,MATCH(C4897,art_ref,0))),""))</f>
        <v/>
      </c>
      <c r="K4897" s="39" t="str">
        <f>IF(OR(C4897="",NOT(ISNUMBER(E4897))),"",IFERROR(ROUND(N(INDEX(art_init,MATCH(C4897,art_ref,0)))+SUMIFS($E$5:E4897,$C$5:C4897,C4897,$B$5:B4897,"Entrée")-SUMIFS($E$5:E4897,$C$5:C4897,C4897,$B$5:B4897,"Sortie"),6),""))</f>
        <v/>
      </c>
      <c r="L4897" s="39" t="str">
        <f>IF(COUNTA(A4897:C4897,E4897)=0,"",IF(COUNTA(A4897:C4897,E4897)&lt;4,"Ligne incomplète",IF(NOT(ISNUMBER(A4897)),"Date invalide",IF(AND(B4897&lt;&gt;"Entrée",B4897&lt;&gt;"Sortie"),"Type inconnu",IF(ISNA(MATCH(C4897,art_ref,0)),"Référence inconnue",IF(OR(NOT(ISNUMBER(E4897)),N(E4897)&lt;=0),"Quantité invalide",IF(K4897&lt;0,"Stock négatif",IF(AND(ISNUMBER(A4896),A4897&lt;A4896),"Date hors ordre","OK"))))))))</f>
        <v/>
      </c>
      <c r="M4897" s="39" t="str">
        <f>IF(C4897="","",C4897&amp;"#"&amp;COUNTIF($C$5:C4897,C4897))</f>
        <v/>
      </c>
    </row>
    <row r="4898">
      <c r="A4898" s="41" t="n"/>
      <c r="B4898" s="37" t="n"/>
      <c r="C4898" s="37" t="n"/>
      <c r="D4898" s="39" t="str">
        <f>IF(C4898="","",IFERROR(INDEX(art_des,MATCH(C4898,art_ref,0))&amp;"","Référence inconnue"))</f>
        <v/>
      </c>
      <c r="E4898" s="37" t="n"/>
      <c r="F4898" s="39" t="str">
        <f>IF(C4898="","",IFERROR(INDEX(art_unit,MATCH(C4898,art_ref,0))&amp;"",""))</f>
        <v/>
      </c>
      <c r="G4898" s="37" t="n"/>
      <c r="H4898" s="37" t="n"/>
      <c r="I4898" s="37" t="n"/>
      <c r="J4898" s="40" t="str">
        <f>IF(OR(C4898="",NOT(ISNUMBER(E4898))),"",IFERROR(E4898*N(INDEX(art_price,MATCH(C4898,art_ref,0))),""))</f>
        <v/>
      </c>
      <c r="K4898" s="39" t="str">
        <f>IF(OR(C4898="",NOT(ISNUMBER(E4898))),"",IFERROR(ROUND(N(INDEX(art_init,MATCH(C4898,art_ref,0)))+SUMIFS($E$5:E4898,$C$5:C4898,C4898,$B$5:B4898,"Entrée")-SUMIFS($E$5:E4898,$C$5:C4898,C4898,$B$5:B4898,"Sortie"),6),""))</f>
        <v/>
      </c>
      <c r="L4898" s="39" t="str">
        <f>IF(COUNTA(A4898:C4898,E4898)=0,"",IF(COUNTA(A4898:C4898,E4898)&lt;4,"Ligne incomplète",IF(NOT(ISNUMBER(A4898)),"Date invalide",IF(AND(B4898&lt;&gt;"Entrée",B4898&lt;&gt;"Sortie"),"Type inconnu",IF(ISNA(MATCH(C4898,art_ref,0)),"Référence inconnue",IF(OR(NOT(ISNUMBER(E4898)),N(E4898)&lt;=0),"Quantité invalide",IF(K4898&lt;0,"Stock négatif",IF(AND(ISNUMBER(A4897),A4898&lt;A4897),"Date hors ordre","OK"))))))))</f>
        <v/>
      </c>
      <c r="M4898" s="39" t="str">
        <f>IF(C4898="","",C4898&amp;"#"&amp;COUNTIF($C$5:C4898,C4898))</f>
        <v/>
      </c>
    </row>
    <row r="4899">
      <c r="A4899" s="41" t="n"/>
      <c r="B4899" s="37" t="n"/>
      <c r="C4899" s="37" t="n"/>
      <c r="D4899" s="39" t="str">
        <f>IF(C4899="","",IFERROR(INDEX(art_des,MATCH(C4899,art_ref,0))&amp;"","Référence inconnue"))</f>
        <v/>
      </c>
      <c r="E4899" s="37" t="n"/>
      <c r="F4899" s="39" t="str">
        <f>IF(C4899="","",IFERROR(INDEX(art_unit,MATCH(C4899,art_ref,0))&amp;"",""))</f>
        <v/>
      </c>
      <c r="G4899" s="37" t="n"/>
      <c r="H4899" s="37" t="n"/>
      <c r="I4899" s="37" t="n"/>
      <c r="J4899" s="40" t="str">
        <f>IF(OR(C4899="",NOT(ISNUMBER(E4899))),"",IFERROR(E4899*N(INDEX(art_price,MATCH(C4899,art_ref,0))),""))</f>
        <v/>
      </c>
      <c r="K4899" s="39" t="str">
        <f>IF(OR(C4899="",NOT(ISNUMBER(E4899))),"",IFERROR(ROUND(N(INDEX(art_init,MATCH(C4899,art_ref,0)))+SUMIFS($E$5:E4899,$C$5:C4899,C4899,$B$5:B4899,"Entrée")-SUMIFS($E$5:E4899,$C$5:C4899,C4899,$B$5:B4899,"Sortie"),6),""))</f>
        <v/>
      </c>
      <c r="L4899" s="39" t="str">
        <f>IF(COUNTA(A4899:C4899,E4899)=0,"",IF(COUNTA(A4899:C4899,E4899)&lt;4,"Ligne incomplète",IF(NOT(ISNUMBER(A4899)),"Date invalide",IF(AND(B4899&lt;&gt;"Entrée",B4899&lt;&gt;"Sortie"),"Type inconnu",IF(ISNA(MATCH(C4899,art_ref,0)),"Référence inconnue",IF(OR(NOT(ISNUMBER(E4899)),N(E4899)&lt;=0),"Quantité invalide",IF(K4899&lt;0,"Stock négatif",IF(AND(ISNUMBER(A4898),A4899&lt;A4898),"Date hors ordre","OK"))))))))</f>
        <v/>
      </c>
      <c r="M4899" s="39" t="str">
        <f>IF(C4899="","",C4899&amp;"#"&amp;COUNTIF($C$5:C4899,C4899))</f>
        <v/>
      </c>
    </row>
    <row r="4900">
      <c r="A4900" s="41" t="n"/>
      <c r="B4900" s="37" t="n"/>
      <c r="C4900" s="37" t="n"/>
      <c r="D4900" s="39" t="str">
        <f>IF(C4900="","",IFERROR(INDEX(art_des,MATCH(C4900,art_ref,0))&amp;"","Référence inconnue"))</f>
        <v/>
      </c>
      <c r="E4900" s="37" t="n"/>
      <c r="F4900" s="39" t="str">
        <f>IF(C4900="","",IFERROR(INDEX(art_unit,MATCH(C4900,art_ref,0))&amp;"",""))</f>
        <v/>
      </c>
      <c r="G4900" s="37" t="n"/>
      <c r="H4900" s="37" t="n"/>
      <c r="I4900" s="37" t="n"/>
      <c r="J4900" s="40" t="str">
        <f>IF(OR(C4900="",NOT(ISNUMBER(E4900))),"",IFERROR(E4900*N(INDEX(art_price,MATCH(C4900,art_ref,0))),""))</f>
        <v/>
      </c>
      <c r="K4900" s="39" t="str">
        <f>IF(OR(C4900="",NOT(ISNUMBER(E4900))),"",IFERROR(ROUND(N(INDEX(art_init,MATCH(C4900,art_ref,0)))+SUMIFS($E$5:E4900,$C$5:C4900,C4900,$B$5:B4900,"Entrée")-SUMIFS($E$5:E4900,$C$5:C4900,C4900,$B$5:B4900,"Sortie"),6),""))</f>
        <v/>
      </c>
      <c r="L4900" s="39" t="str">
        <f>IF(COUNTA(A4900:C4900,E4900)=0,"",IF(COUNTA(A4900:C4900,E4900)&lt;4,"Ligne incomplète",IF(NOT(ISNUMBER(A4900)),"Date invalide",IF(AND(B4900&lt;&gt;"Entrée",B4900&lt;&gt;"Sortie"),"Type inconnu",IF(ISNA(MATCH(C4900,art_ref,0)),"Référence inconnue",IF(OR(NOT(ISNUMBER(E4900)),N(E4900)&lt;=0),"Quantité invalide",IF(K4900&lt;0,"Stock négatif",IF(AND(ISNUMBER(A4899),A4900&lt;A4899),"Date hors ordre","OK"))))))))</f>
        <v/>
      </c>
      <c r="M4900" s="39" t="str">
        <f>IF(C4900="","",C4900&amp;"#"&amp;COUNTIF($C$5:C4900,C4900))</f>
        <v/>
      </c>
    </row>
    <row r="4901">
      <c r="A4901" s="41" t="n"/>
      <c r="B4901" s="37" t="n"/>
      <c r="C4901" s="37" t="n"/>
      <c r="D4901" s="39" t="str">
        <f>IF(C4901="","",IFERROR(INDEX(art_des,MATCH(C4901,art_ref,0))&amp;"","Référence inconnue"))</f>
        <v/>
      </c>
      <c r="E4901" s="37" t="n"/>
      <c r="F4901" s="39" t="str">
        <f>IF(C4901="","",IFERROR(INDEX(art_unit,MATCH(C4901,art_ref,0))&amp;"",""))</f>
        <v/>
      </c>
      <c r="G4901" s="37" t="n"/>
      <c r="H4901" s="37" t="n"/>
      <c r="I4901" s="37" t="n"/>
      <c r="J4901" s="40" t="str">
        <f>IF(OR(C4901="",NOT(ISNUMBER(E4901))),"",IFERROR(E4901*N(INDEX(art_price,MATCH(C4901,art_ref,0))),""))</f>
        <v/>
      </c>
      <c r="K4901" s="39" t="str">
        <f>IF(OR(C4901="",NOT(ISNUMBER(E4901))),"",IFERROR(ROUND(N(INDEX(art_init,MATCH(C4901,art_ref,0)))+SUMIFS($E$5:E4901,$C$5:C4901,C4901,$B$5:B4901,"Entrée")-SUMIFS($E$5:E4901,$C$5:C4901,C4901,$B$5:B4901,"Sortie"),6),""))</f>
        <v/>
      </c>
      <c r="L4901" s="39" t="str">
        <f>IF(COUNTA(A4901:C4901,E4901)=0,"",IF(COUNTA(A4901:C4901,E4901)&lt;4,"Ligne incomplète",IF(NOT(ISNUMBER(A4901)),"Date invalide",IF(AND(B4901&lt;&gt;"Entrée",B4901&lt;&gt;"Sortie"),"Type inconnu",IF(ISNA(MATCH(C4901,art_ref,0)),"Référence inconnue",IF(OR(NOT(ISNUMBER(E4901)),N(E4901)&lt;=0),"Quantité invalide",IF(K4901&lt;0,"Stock négatif",IF(AND(ISNUMBER(A4900),A4901&lt;A4900),"Date hors ordre","OK"))))))))</f>
        <v/>
      </c>
      <c r="M4901" s="39" t="str">
        <f>IF(C4901="","",C4901&amp;"#"&amp;COUNTIF($C$5:C4901,C4901))</f>
        <v/>
      </c>
    </row>
    <row r="4902">
      <c r="A4902" s="41" t="n"/>
      <c r="B4902" s="37" t="n"/>
      <c r="C4902" s="37" t="n"/>
      <c r="D4902" s="39" t="str">
        <f>IF(C4902="","",IFERROR(INDEX(art_des,MATCH(C4902,art_ref,0))&amp;"","Référence inconnue"))</f>
        <v/>
      </c>
      <c r="E4902" s="37" t="n"/>
      <c r="F4902" s="39" t="str">
        <f>IF(C4902="","",IFERROR(INDEX(art_unit,MATCH(C4902,art_ref,0))&amp;"",""))</f>
        <v/>
      </c>
      <c r="G4902" s="37" t="n"/>
      <c r="H4902" s="37" t="n"/>
      <c r="I4902" s="37" t="n"/>
      <c r="J4902" s="40" t="str">
        <f>IF(OR(C4902="",NOT(ISNUMBER(E4902))),"",IFERROR(E4902*N(INDEX(art_price,MATCH(C4902,art_ref,0))),""))</f>
        <v/>
      </c>
      <c r="K4902" s="39" t="str">
        <f>IF(OR(C4902="",NOT(ISNUMBER(E4902))),"",IFERROR(ROUND(N(INDEX(art_init,MATCH(C4902,art_ref,0)))+SUMIFS($E$5:E4902,$C$5:C4902,C4902,$B$5:B4902,"Entrée")-SUMIFS($E$5:E4902,$C$5:C4902,C4902,$B$5:B4902,"Sortie"),6),""))</f>
        <v/>
      </c>
      <c r="L4902" s="39" t="str">
        <f>IF(COUNTA(A4902:C4902,E4902)=0,"",IF(COUNTA(A4902:C4902,E4902)&lt;4,"Ligne incomplète",IF(NOT(ISNUMBER(A4902)),"Date invalide",IF(AND(B4902&lt;&gt;"Entrée",B4902&lt;&gt;"Sortie"),"Type inconnu",IF(ISNA(MATCH(C4902,art_ref,0)),"Référence inconnue",IF(OR(NOT(ISNUMBER(E4902)),N(E4902)&lt;=0),"Quantité invalide",IF(K4902&lt;0,"Stock négatif",IF(AND(ISNUMBER(A4901),A4902&lt;A4901),"Date hors ordre","OK"))))))))</f>
        <v/>
      </c>
      <c r="M4902" s="39" t="str">
        <f>IF(C4902="","",C4902&amp;"#"&amp;COUNTIF($C$5:C4902,C4902))</f>
        <v/>
      </c>
    </row>
    <row r="4903">
      <c r="A4903" s="41" t="n"/>
      <c r="B4903" s="37" t="n"/>
      <c r="C4903" s="37" t="n"/>
      <c r="D4903" s="39" t="str">
        <f>IF(C4903="","",IFERROR(INDEX(art_des,MATCH(C4903,art_ref,0))&amp;"","Référence inconnue"))</f>
        <v/>
      </c>
      <c r="E4903" s="37" t="n"/>
      <c r="F4903" s="39" t="str">
        <f>IF(C4903="","",IFERROR(INDEX(art_unit,MATCH(C4903,art_ref,0))&amp;"",""))</f>
        <v/>
      </c>
      <c r="G4903" s="37" t="n"/>
      <c r="H4903" s="37" t="n"/>
      <c r="I4903" s="37" t="n"/>
      <c r="J4903" s="40" t="str">
        <f>IF(OR(C4903="",NOT(ISNUMBER(E4903))),"",IFERROR(E4903*N(INDEX(art_price,MATCH(C4903,art_ref,0))),""))</f>
        <v/>
      </c>
      <c r="K4903" s="39" t="str">
        <f>IF(OR(C4903="",NOT(ISNUMBER(E4903))),"",IFERROR(ROUND(N(INDEX(art_init,MATCH(C4903,art_ref,0)))+SUMIFS($E$5:E4903,$C$5:C4903,C4903,$B$5:B4903,"Entrée")-SUMIFS($E$5:E4903,$C$5:C4903,C4903,$B$5:B4903,"Sortie"),6),""))</f>
        <v/>
      </c>
      <c r="L4903" s="39" t="str">
        <f>IF(COUNTA(A4903:C4903,E4903)=0,"",IF(COUNTA(A4903:C4903,E4903)&lt;4,"Ligne incomplète",IF(NOT(ISNUMBER(A4903)),"Date invalide",IF(AND(B4903&lt;&gt;"Entrée",B4903&lt;&gt;"Sortie"),"Type inconnu",IF(ISNA(MATCH(C4903,art_ref,0)),"Référence inconnue",IF(OR(NOT(ISNUMBER(E4903)),N(E4903)&lt;=0),"Quantité invalide",IF(K4903&lt;0,"Stock négatif",IF(AND(ISNUMBER(A4902),A4903&lt;A4902),"Date hors ordre","OK"))))))))</f>
        <v/>
      </c>
      <c r="M4903" s="39" t="str">
        <f>IF(C4903="","",C4903&amp;"#"&amp;COUNTIF($C$5:C4903,C4903))</f>
        <v/>
      </c>
    </row>
    <row r="4904">
      <c r="A4904" s="41" t="n"/>
      <c r="B4904" s="37" t="n"/>
      <c r="C4904" s="37" t="n"/>
      <c r="D4904" s="39" t="str">
        <f>IF(C4904="","",IFERROR(INDEX(art_des,MATCH(C4904,art_ref,0))&amp;"","Référence inconnue"))</f>
        <v/>
      </c>
      <c r="E4904" s="37" t="n"/>
      <c r="F4904" s="39" t="str">
        <f>IF(C4904="","",IFERROR(INDEX(art_unit,MATCH(C4904,art_ref,0))&amp;"",""))</f>
        <v/>
      </c>
      <c r="G4904" s="37" t="n"/>
      <c r="H4904" s="37" t="n"/>
      <c r="I4904" s="37" t="n"/>
      <c r="J4904" s="40" t="str">
        <f>IF(OR(C4904="",NOT(ISNUMBER(E4904))),"",IFERROR(E4904*N(INDEX(art_price,MATCH(C4904,art_ref,0))),""))</f>
        <v/>
      </c>
      <c r="K4904" s="39" t="str">
        <f>IF(OR(C4904="",NOT(ISNUMBER(E4904))),"",IFERROR(ROUND(N(INDEX(art_init,MATCH(C4904,art_ref,0)))+SUMIFS($E$5:E4904,$C$5:C4904,C4904,$B$5:B4904,"Entrée")-SUMIFS($E$5:E4904,$C$5:C4904,C4904,$B$5:B4904,"Sortie"),6),""))</f>
        <v/>
      </c>
      <c r="L4904" s="39" t="str">
        <f>IF(COUNTA(A4904:C4904,E4904)=0,"",IF(COUNTA(A4904:C4904,E4904)&lt;4,"Ligne incomplète",IF(NOT(ISNUMBER(A4904)),"Date invalide",IF(AND(B4904&lt;&gt;"Entrée",B4904&lt;&gt;"Sortie"),"Type inconnu",IF(ISNA(MATCH(C4904,art_ref,0)),"Référence inconnue",IF(OR(NOT(ISNUMBER(E4904)),N(E4904)&lt;=0),"Quantité invalide",IF(K4904&lt;0,"Stock négatif",IF(AND(ISNUMBER(A4903),A4904&lt;A4903),"Date hors ordre","OK"))))))))</f>
        <v/>
      </c>
      <c r="M4904" s="39" t="str">
        <f>IF(C4904="","",C4904&amp;"#"&amp;COUNTIF($C$5:C4904,C4904))</f>
        <v/>
      </c>
    </row>
    <row r="4905">
      <c r="A4905" s="41" t="n"/>
      <c r="B4905" s="37" t="n"/>
      <c r="C4905" s="37" t="n"/>
      <c r="D4905" s="39" t="str">
        <f>IF(C4905="","",IFERROR(INDEX(art_des,MATCH(C4905,art_ref,0))&amp;"","Référence inconnue"))</f>
        <v/>
      </c>
      <c r="E4905" s="37" t="n"/>
      <c r="F4905" s="39" t="str">
        <f>IF(C4905="","",IFERROR(INDEX(art_unit,MATCH(C4905,art_ref,0))&amp;"",""))</f>
        <v/>
      </c>
      <c r="G4905" s="37" t="n"/>
      <c r="H4905" s="37" t="n"/>
      <c r="I4905" s="37" t="n"/>
      <c r="J4905" s="40" t="str">
        <f>IF(OR(C4905="",NOT(ISNUMBER(E4905))),"",IFERROR(E4905*N(INDEX(art_price,MATCH(C4905,art_ref,0))),""))</f>
        <v/>
      </c>
      <c r="K4905" s="39" t="str">
        <f>IF(OR(C4905="",NOT(ISNUMBER(E4905))),"",IFERROR(ROUND(N(INDEX(art_init,MATCH(C4905,art_ref,0)))+SUMIFS($E$5:E4905,$C$5:C4905,C4905,$B$5:B4905,"Entrée")-SUMIFS($E$5:E4905,$C$5:C4905,C4905,$B$5:B4905,"Sortie"),6),""))</f>
        <v/>
      </c>
      <c r="L4905" s="39" t="str">
        <f>IF(COUNTA(A4905:C4905,E4905)=0,"",IF(COUNTA(A4905:C4905,E4905)&lt;4,"Ligne incomplète",IF(NOT(ISNUMBER(A4905)),"Date invalide",IF(AND(B4905&lt;&gt;"Entrée",B4905&lt;&gt;"Sortie"),"Type inconnu",IF(ISNA(MATCH(C4905,art_ref,0)),"Référence inconnue",IF(OR(NOT(ISNUMBER(E4905)),N(E4905)&lt;=0),"Quantité invalide",IF(K4905&lt;0,"Stock négatif",IF(AND(ISNUMBER(A4904),A4905&lt;A4904),"Date hors ordre","OK"))))))))</f>
        <v/>
      </c>
      <c r="M4905" s="39" t="str">
        <f>IF(C4905="","",C4905&amp;"#"&amp;COUNTIF($C$5:C4905,C4905))</f>
        <v/>
      </c>
    </row>
    <row r="4906">
      <c r="A4906" s="41" t="n"/>
      <c r="B4906" s="37" t="n"/>
      <c r="C4906" s="37" t="n"/>
      <c r="D4906" s="39" t="str">
        <f>IF(C4906="","",IFERROR(INDEX(art_des,MATCH(C4906,art_ref,0))&amp;"","Référence inconnue"))</f>
        <v/>
      </c>
      <c r="E4906" s="37" t="n"/>
      <c r="F4906" s="39" t="str">
        <f>IF(C4906="","",IFERROR(INDEX(art_unit,MATCH(C4906,art_ref,0))&amp;"",""))</f>
        <v/>
      </c>
      <c r="G4906" s="37" t="n"/>
      <c r="H4906" s="37" t="n"/>
      <c r="I4906" s="37" t="n"/>
      <c r="J4906" s="40" t="str">
        <f>IF(OR(C4906="",NOT(ISNUMBER(E4906))),"",IFERROR(E4906*N(INDEX(art_price,MATCH(C4906,art_ref,0))),""))</f>
        <v/>
      </c>
      <c r="K4906" s="39" t="str">
        <f>IF(OR(C4906="",NOT(ISNUMBER(E4906))),"",IFERROR(ROUND(N(INDEX(art_init,MATCH(C4906,art_ref,0)))+SUMIFS($E$5:E4906,$C$5:C4906,C4906,$B$5:B4906,"Entrée")-SUMIFS($E$5:E4906,$C$5:C4906,C4906,$B$5:B4906,"Sortie"),6),""))</f>
        <v/>
      </c>
      <c r="L4906" s="39" t="str">
        <f>IF(COUNTA(A4906:C4906,E4906)=0,"",IF(COUNTA(A4906:C4906,E4906)&lt;4,"Ligne incomplète",IF(NOT(ISNUMBER(A4906)),"Date invalide",IF(AND(B4906&lt;&gt;"Entrée",B4906&lt;&gt;"Sortie"),"Type inconnu",IF(ISNA(MATCH(C4906,art_ref,0)),"Référence inconnue",IF(OR(NOT(ISNUMBER(E4906)),N(E4906)&lt;=0),"Quantité invalide",IF(K4906&lt;0,"Stock négatif",IF(AND(ISNUMBER(A4905),A4906&lt;A4905),"Date hors ordre","OK"))))))))</f>
        <v/>
      </c>
      <c r="M4906" s="39" t="str">
        <f>IF(C4906="","",C4906&amp;"#"&amp;COUNTIF($C$5:C4906,C4906))</f>
        <v/>
      </c>
    </row>
    <row r="4907">
      <c r="A4907" s="41" t="n"/>
      <c r="B4907" s="37" t="n"/>
      <c r="C4907" s="37" t="n"/>
      <c r="D4907" s="39" t="str">
        <f>IF(C4907="","",IFERROR(INDEX(art_des,MATCH(C4907,art_ref,0))&amp;"","Référence inconnue"))</f>
        <v/>
      </c>
      <c r="E4907" s="37" t="n"/>
      <c r="F4907" s="39" t="str">
        <f>IF(C4907="","",IFERROR(INDEX(art_unit,MATCH(C4907,art_ref,0))&amp;"",""))</f>
        <v/>
      </c>
      <c r="G4907" s="37" t="n"/>
      <c r="H4907" s="37" t="n"/>
      <c r="I4907" s="37" t="n"/>
      <c r="J4907" s="40" t="str">
        <f>IF(OR(C4907="",NOT(ISNUMBER(E4907))),"",IFERROR(E4907*N(INDEX(art_price,MATCH(C4907,art_ref,0))),""))</f>
        <v/>
      </c>
      <c r="K4907" s="39" t="str">
        <f>IF(OR(C4907="",NOT(ISNUMBER(E4907))),"",IFERROR(ROUND(N(INDEX(art_init,MATCH(C4907,art_ref,0)))+SUMIFS($E$5:E4907,$C$5:C4907,C4907,$B$5:B4907,"Entrée")-SUMIFS($E$5:E4907,$C$5:C4907,C4907,$B$5:B4907,"Sortie"),6),""))</f>
        <v/>
      </c>
      <c r="L4907" s="39" t="str">
        <f>IF(COUNTA(A4907:C4907,E4907)=0,"",IF(COUNTA(A4907:C4907,E4907)&lt;4,"Ligne incomplète",IF(NOT(ISNUMBER(A4907)),"Date invalide",IF(AND(B4907&lt;&gt;"Entrée",B4907&lt;&gt;"Sortie"),"Type inconnu",IF(ISNA(MATCH(C4907,art_ref,0)),"Référence inconnue",IF(OR(NOT(ISNUMBER(E4907)),N(E4907)&lt;=0),"Quantité invalide",IF(K4907&lt;0,"Stock négatif",IF(AND(ISNUMBER(A4906),A4907&lt;A4906),"Date hors ordre","OK"))))))))</f>
        <v/>
      </c>
      <c r="M4907" s="39" t="str">
        <f>IF(C4907="","",C4907&amp;"#"&amp;COUNTIF($C$5:C4907,C4907))</f>
        <v/>
      </c>
    </row>
    <row r="4908">
      <c r="A4908" s="41" t="n"/>
      <c r="B4908" s="37" t="n"/>
      <c r="C4908" s="37" t="n"/>
      <c r="D4908" s="39" t="str">
        <f>IF(C4908="","",IFERROR(INDEX(art_des,MATCH(C4908,art_ref,0))&amp;"","Référence inconnue"))</f>
        <v/>
      </c>
      <c r="E4908" s="37" t="n"/>
      <c r="F4908" s="39" t="str">
        <f>IF(C4908="","",IFERROR(INDEX(art_unit,MATCH(C4908,art_ref,0))&amp;"",""))</f>
        <v/>
      </c>
      <c r="G4908" s="37" t="n"/>
      <c r="H4908" s="37" t="n"/>
      <c r="I4908" s="37" t="n"/>
      <c r="J4908" s="40" t="str">
        <f>IF(OR(C4908="",NOT(ISNUMBER(E4908))),"",IFERROR(E4908*N(INDEX(art_price,MATCH(C4908,art_ref,0))),""))</f>
        <v/>
      </c>
      <c r="K4908" s="39" t="str">
        <f>IF(OR(C4908="",NOT(ISNUMBER(E4908))),"",IFERROR(ROUND(N(INDEX(art_init,MATCH(C4908,art_ref,0)))+SUMIFS($E$5:E4908,$C$5:C4908,C4908,$B$5:B4908,"Entrée")-SUMIFS($E$5:E4908,$C$5:C4908,C4908,$B$5:B4908,"Sortie"),6),""))</f>
        <v/>
      </c>
      <c r="L4908" s="39" t="str">
        <f>IF(COUNTA(A4908:C4908,E4908)=0,"",IF(COUNTA(A4908:C4908,E4908)&lt;4,"Ligne incomplète",IF(NOT(ISNUMBER(A4908)),"Date invalide",IF(AND(B4908&lt;&gt;"Entrée",B4908&lt;&gt;"Sortie"),"Type inconnu",IF(ISNA(MATCH(C4908,art_ref,0)),"Référence inconnue",IF(OR(NOT(ISNUMBER(E4908)),N(E4908)&lt;=0),"Quantité invalide",IF(K4908&lt;0,"Stock négatif",IF(AND(ISNUMBER(A4907),A4908&lt;A4907),"Date hors ordre","OK"))))))))</f>
        <v/>
      </c>
      <c r="M4908" s="39" t="str">
        <f>IF(C4908="","",C4908&amp;"#"&amp;COUNTIF($C$5:C4908,C4908))</f>
        <v/>
      </c>
    </row>
    <row r="4909">
      <c r="A4909" s="41" t="n"/>
      <c r="B4909" s="37" t="n"/>
      <c r="C4909" s="37" t="n"/>
      <c r="D4909" s="39" t="str">
        <f>IF(C4909="","",IFERROR(INDEX(art_des,MATCH(C4909,art_ref,0))&amp;"","Référence inconnue"))</f>
        <v/>
      </c>
      <c r="E4909" s="37" t="n"/>
      <c r="F4909" s="39" t="str">
        <f>IF(C4909="","",IFERROR(INDEX(art_unit,MATCH(C4909,art_ref,0))&amp;"",""))</f>
        <v/>
      </c>
      <c r="G4909" s="37" t="n"/>
      <c r="H4909" s="37" t="n"/>
      <c r="I4909" s="37" t="n"/>
      <c r="J4909" s="40" t="str">
        <f>IF(OR(C4909="",NOT(ISNUMBER(E4909))),"",IFERROR(E4909*N(INDEX(art_price,MATCH(C4909,art_ref,0))),""))</f>
        <v/>
      </c>
      <c r="K4909" s="39" t="str">
        <f>IF(OR(C4909="",NOT(ISNUMBER(E4909))),"",IFERROR(ROUND(N(INDEX(art_init,MATCH(C4909,art_ref,0)))+SUMIFS($E$5:E4909,$C$5:C4909,C4909,$B$5:B4909,"Entrée")-SUMIFS($E$5:E4909,$C$5:C4909,C4909,$B$5:B4909,"Sortie"),6),""))</f>
        <v/>
      </c>
      <c r="L4909" s="39" t="str">
        <f>IF(COUNTA(A4909:C4909,E4909)=0,"",IF(COUNTA(A4909:C4909,E4909)&lt;4,"Ligne incomplète",IF(NOT(ISNUMBER(A4909)),"Date invalide",IF(AND(B4909&lt;&gt;"Entrée",B4909&lt;&gt;"Sortie"),"Type inconnu",IF(ISNA(MATCH(C4909,art_ref,0)),"Référence inconnue",IF(OR(NOT(ISNUMBER(E4909)),N(E4909)&lt;=0),"Quantité invalide",IF(K4909&lt;0,"Stock négatif",IF(AND(ISNUMBER(A4908),A4909&lt;A4908),"Date hors ordre","OK"))))))))</f>
        <v/>
      </c>
      <c r="M4909" s="39" t="str">
        <f>IF(C4909="","",C4909&amp;"#"&amp;COUNTIF($C$5:C4909,C4909))</f>
        <v/>
      </c>
    </row>
    <row r="4910">
      <c r="A4910" s="41" t="n"/>
      <c r="B4910" s="37" t="n"/>
      <c r="C4910" s="37" t="n"/>
      <c r="D4910" s="39" t="str">
        <f>IF(C4910="","",IFERROR(INDEX(art_des,MATCH(C4910,art_ref,0))&amp;"","Référence inconnue"))</f>
        <v/>
      </c>
      <c r="E4910" s="37" t="n"/>
      <c r="F4910" s="39" t="str">
        <f>IF(C4910="","",IFERROR(INDEX(art_unit,MATCH(C4910,art_ref,0))&amp;"",""))</f>
        <v/>
      </c>
      <c r="G4910" s="37" t="n"/>
      <c r="H4910" s="37" t="n"/>
      <c r="I4910" s="37" t="n"/>
      <c r="J4910" s="40" t="str">
        <f>IF(OR(C4910="",NOT(ISNUMBER(E4910))),"",IFERROR(E4910*N(INDEX(art_price,MATCH(C4910,art_ref,0))),""))</f>
        <v/>
      </c>
      <c r="K4910" s="39" t="str">
        <f>IF(OR(C4910="",NOT(ISNUMBER(E4910))),"",IFERROR(ROUND(N(INDEX(art_init,MATCH(C4910,art_ref,0)))+SUMIFS($E$5:E4910,$C$5:C4910,C4910,$B$5:B4910,"Entrée")-SUMIFS($E$5:E4910,$C$5:C4910,C4910,$B$5:B4910,"Sortie"),6),""))</f>
        <v/>
      </c>
      <c r="L4910" s="39" t="str">
        <f>IF(COUNTA(A4910:C4910,E4910)=0,"",IF(COUNTA(A4910:C4910,E4910)&lt;4,"Ligne incomplète",IF(NOT(ISNUMBER(A4910)),"Date invalide",IF(AND(B4910&lt;&gt;"Entrée",B4910&lt;&gt;"Sortie"),"Type inconnu",IF(ISNA(MATCH(C4910,art_ref,0)),"Référence inconnue",IF(OR(NOT(ISNUMBER(E4910)),N(E4910)&lt;=0),"Quantité invalide",IF(K4910&lt;0,"Stock négatif",IF(AND(ISNUMBER(A4909),A4910&lt;A4909),"Date hors ordre","OK"))))))))</f>
        <v/>
      </c>
      <c r="M4910" s="39" t="str">
        <f>IF(C4910="","",C4910&amp;"#"&amp;COUNTIF($C$5:C4910,C4910))</f>
        <v/>
      </c>
    </row>
    <row r="4911">
      <c r="A4911" s="41" t="n"/>
      <c r="B4911" s="37" t="n"/>
      <c r="C4911" s="37" t="n"/>
      <c r="D4911" s="39" t="str">
        <f>IF(C4911="","",IFERROR(INDEX(art_des,MATCH(C4911,art_ref,0))&amp;"","Référence inconnue"))</f>
        <v/>
      </c>
      <c r="E4911" s="37" t="n"/>
      <c r="F4911" s="39" t="str">
        <f>IF(C4911="","",IFERROR(INDEX(art_unit,MATCH(C4911,art_ref,0))&amp;"",""))</f>
        <v/>
      </c>
      <c r="G4911" s="37" t="n"/>
      <c r="H4911" s="37" t="n"/>
      <c r="I4911" s="37" t="n"/>
      <c r="J4911" s="40" t="str">
        <f>IF(OR(C4911="",NOT(ISNUMBER(E4911))),"",IFERROR(E4911*N(INDEX(art_price,MATCH(C4911,art_ref,0))),""))</f>
        <v/>
      </c>
      <c r="K4911" s="39" t="str">
        <f>IF(OR(C4911="",NOT(ISNUMBER(E4911))),"",IFERROR(ROUND(N(INDEX(art_init,MATCH(C4911,art_ref,0)))+SUMIFS($E$5:E4911,$C$5:C4911,C4911,$B$5:B4911,"Entrée")-SUMIFS($E$5:E4911,$C$5:C4911,C4911,$B$5:B4911,"Sortie"),6),""))</f>
        <v/>
      </c>
      <c r="L4911" s="39" t="str">
        <f>IF(COUNTA(A4911:C4911,E4911)=0,"",IF(COUNTA(A4911:C4911,E4911)&lt;4,"Ligne incomplète",IF(NOT(ISNUMBER(A4911)),"Date invalide",IF(AND(B4911&lt;&gt;"Entrée",B4911&lt;&gt;"Sortie"),"Type inconnu",IF(ISNA(MATCH(C4911,art_ref,0)),"Référence inconnue",IF(OR(NOT(ISNUMBER(E4911)),N(E4911)&lt;=0),"Quantité invalide",IF(K4911&lt;0,"Stock négatif",IF(AND(ISNUMBER(A4910),A4911&lt;A4910),"Date hors ordre","OK"))))))))</f>
        <v/>
      </c>
      <c r="M4911" s="39" t="str">
        <f>IF(C4911="","",C4911&amp;"#"&amp;COUNTIF($C$5:C4911,C4911))</f>
        <v/>
      </c>
    </row>
    <row r="4912">
      <c r="A4912" s="41" t="n"/>
      <c r="B4912" s="37" t="n"/>
      <c r="C4912" s="37" t="n"/>
      <c r="D4912" s="39" t="str">
        <f>IF(C4912="","",IFERROR(INDEX(art_des,MATCH(C4912,art_ref,0))&amp;"","Référence inconnue"))</f>
        <v/>
      </c>
      <c r="E4912" s="37" t="n"/>
      <c r="F4912" s="39" t="str">
        <f>IF(C4912="","",IFERROR(INDEX(art_unit,MATCH(C4912,art_ref,0))&amp;"",""))</f>
        <v/>
      </c>
      <c r="G4912" s="37" t="n"/>
      <c r="H4912" s="37" t="n"/>
      <c r="I4912" s="37" t="n"/>
      <c r="J4912" s="40" t="str">
        <f>IF(OR(C4912="",NOT(ISNUMBER(E4912))),"",IFERROR(E4912*N(INDEX(art_price,MATCH(C4912,art_ref,0))),""))</f>
        <v/>
      </c>
      <c r="K4912" s="39" t="str">
        <f>IF(OR(C4912="",NOT(ISNUMBER(E4912))),"",IFERROR(ROUND(N(INDEX(art_init,MATCH(C4912,art_ref,0)))+SUMIFS($E$5:E4912,$C$5:C4912,C4912,$B$5:B4912,"Entrée")-SUMIFS($E$5:E4912,$C$5:C4912,C4912,$B$5:B4912,"Sortie"),6),""))</f>
        <v/>
      </c>
      <c r="L4912" s="39" t="str">
        <f>IF(COUNTA(A4912:C4912,E4912)=0,"",IF(COUNTA(A4912:C4912,E4912)&lt;4,"Ligne incomplète",IF(NOT(ISNUMBER(A4912)),"Date invalide",IF(AND(B4912&lt;&gt;"Entrée",B4912&lt;&gt;"Sortie"),"Type inconnu",IF(ISNA(MATCH(C4912,art_ref,0)),"Référence inconnue",IF(OR(NOT(ISNUMBER(E4912)),N(E4912)&lt;=0),"Quantité invalide",IF(K4912&lt;0,"Stock négatif",IF(AND(ISNUMBER(A4911),A4912&lt;A4911),"Date hors ordre","OK"))))))))</f>
        <v/>
      </c>
      <c r="M4912" s="39" t="str">
        <f>IF(C4912="","",C4912&amp;"#"&amp;COUNTIF($C$5:C4912,C4912))</f>
        <v/>
      </c>
    </row>
    <row r="4913">
      <c r="A4913" s="41" t="n"/>
      <c r="B4913" s="37" t="n"/>
      <c r="C4913" s="37" t="n"/>
      <c r="D4913" s="39" t="str">
        <f>IF(C4913="","",IFERROR(INDEX(art_des,MATCH(C4913,art_ref,0))&amp;"","Référence inconnue"))</f>
        <v/>
      </c>
      <c r="E4913" s="37" t="n"/>
      <c r="F4913" s="39" t="str">
        <f>IF(C4913="","",IFERROR(INDEX(art_unit,MATCH(C4913,art_ref,0))&amp;"",""))</f>
        <v/>
      </c>
      <c r="G4913" s="37" t="n"/>
      <c r="H4913" s="37" t="n"/>
      <c r="I4913" s="37" t="n"/>
      <c r="J4913" s="40" t="str">
        <f>IF(OR(C4913="",NOT(ISNUMBER(E4913))),"",IFERROR(E4913*N(INDEX(art_price,MATCH(C4913,art_ref,0))),""))</f>
        <v/>
      </c>
      <c r="K4913" s="39" t="str">
        <f>IF(OR(C4913="",NOT(ISNUMBER(E4913))),"",IFERROR(ROUND(N(INDEX(art_init,MATCH(C4913,art_ref,0)))+SUMIFS($E$5:E4913,$C$5:C4913,C4913,$B$5:B4913,"Entrée")-SUMIFS($E$5:E4913,$C$5:C4913,C4913,$B$5:B4913,"Sortie"),6),""))</f>
        <v/>
      </c>
      <c r="L4913" s="39" t="str">
        <f>IF(COUNTA(A4913:C4913,E4913)=0,"",IF(COUNTA(A4913:C4913,E4913)&lt;4,"Ligne incomplète",IF(NOT(ISNUMBER(A4913)),"Date invalide",IF(AND(B4913&lt;&gt;"Entrée",B4913&lt;&gt;"Sortie"),"Type inconnu",IF(ISNA(MATCH(C4913,art_ref,0)),"Référence inconnue",IF(OR(NOT(ISNUMBER(E4913)),N(E4913)&lt;=0),"Quantité invalide",IF(K4913&lt;0,"Stock négatif",IF(AND(ISNUMBER(A4912),A4913&lt;A4912),"Date hors ordre","OK"))))))))</f>
        <v/>
      </c>
      <c r="M4913" s="39" t="str">
        <f>IF(C4913="","",C4913&amp;"#"&amp;COUNTIF($C$5:C4913,C4913))</f>
        <v/>
      </c>
    </row>
    <row r="4914">
      <c r="A4914" s="41" t="n"/>
      <c r="B4914" s="37" t="n"/>
      <c r="C4914" s="37" t="n"/>
      <c r="D4914" s="39" t="str">
        <f>IF(C4914="","",IFERROR(INDEX(art_des,MATCH(C4914,art_ref,0))&amp;"","Référence inconnue"))</f>
        <v/>
      </c>
      <c r="E4914" s="37" t="n"/>
      <c r="F4914" s="39" t="str">
        <f>IF(C4914="","",IFERROR(INDEX(art_unit,MATCH(C4914,art_ref,0))&amp;"",""))</f>
        <v/>
      </c>
      <c r="G4914" s="37" t="n"/>
      <c r="H4914" s="37" t="n"/>
      <c r="I4914" s="37" t="n"/>
      <c r="J4914" s="40" t="str">
        <f>IF(OR(C4914="",NOT(ISNUMBER(E4914))),"",IFERROR(E4914*N(INDEX(art_price,MATCH(C4914,art_ref,0))),""))</f>
        <v/>
      </c>
      <c r="K4914" s="39" t="str">
        <f>IF(OR(C4914="",NOT(ISNUMBER(E4914))),"",IFERROR(ROUND(N(INDEX(art_init,MATCH(C4914,art_ref,0)))+SUMIFS($E$5:E4914,$C$5:C4914,C4914,$B$5:B4914,"Entrée")-SUMIFS($E$5:E4914,$C$5:C4914,C4914,$B$5:B4914,"Sortie"),6),""))</f>
        <v/>
      </c>
      <c r="L4914" s="39" t="str">
        <f>IF(COUNTA(A4914:C4914,E4914)=0,"",IF(COUNTA(A4914:C4914,E4914)&lt;4,"Ligne incomplète",IF(NOT(ISNUMBER(A4914)),"Date invalide",IF(AND(B4914&lt;&gt;"Entrée",B4914&lt;&gt;"Sortie"),"Type inconnu",IF(ISNA(MATCH(C4914,art_ref,0)),"Référence inconnue",IF(OR(NOT(ISNUMBER(E4914)),N(E4914)&lt;=0),"Quantité invalide",IF(K4914&lt;0,"Stock négatif",IF(AND(ISNUMBER(A4913),A4914&lt;A4913),"Date hors ordre","OK"))))))))</f>
        <v/>
      </c>
      <c r="M4914" s="39" t="str">
        <f>IF(C4914="","",C4914&amp;"#"&amp;COUNTIF($C$5:C4914,C4914))</f>
        <v/>
      </c>
    </row>
    <row r="4915">
      <c r="A4915" s="41" t="n"/>
      <c r="B4915" s="37" t="n"/>
      <c r="C4915" s="37" t="n"/>
      <c r="D4915" s="39" t="str">
        <f>IF(C4915="","",IFERROR(INDEX(art_des,MATCH(C4915,art_ref,0))&amp;"","Référence inconnue"))</f>
        <v/>
      </c>
      <c r="E4915" s="37" t="n"/>
      <c r="F4915" s="39" t="str">
        <f>IF(C4915="","",IFERROR(INDEX(art_unit,MATCH(C4915,art_ref,0))&amp;"",""))</f>
        <v/>
      </c>
      <c r="G4915" s="37" t="n"/>
      <c r="H4915" s="37" t="n"/>
      <c r="I4915" s="37" t="n"/>
      <c r="J4915" s="40" t="str">
        <f>IF(OR(C4915="",NOT(ISNUMBER(E4915))),"",IFERROR(E4915*N(INDEX(art_price,MATCH(C4915,art_ref,0))),""))</f>
        <v/>
      </c>
      <c r="K4915" s="39" t="str">
        <f>IF(OR(C4915="",NOT(ISNUMBER(E4915))),"",IFERROR(ROUND(N(INDEX(art_init,MATCH(C4915,art_ref,0)))+SUMIFS($E$5:E4915,$C$5:C4915,C4915,$B$5:B4915,"Entrée")-SUMIFS($E$5:E4915,$C$5:C4915,C4915,$B$5:B4915,"Sortie"),6),""))</f>
        <v/>
      </c>
      <c r="L4915" s="39" t="str">
        <f>IF(COUNTA(A4915:C4915,E4915)=0,"",IF(COUNTA(A4915:C4915,E4915)&lt;4,"Ligne incomplète",IF(NOT(ISNUMBER(A4915)),"Date invalide",IF(AND(B4915&lt;&gt;"Entrée",B4915&lt;&gt;"Sortie"),"Type inconnu",IF(ISNA(MATCH(C4915,art_ref,0)),"Référence inconnue",IF(OR(NOT(ISNUMBER(E4915)),N(E4915)&lt;=0),"Quantité invalide",IF(K4915&lt;0,"Stock négatif",IF(AND(ISNUMBER(A4914),A4915&lt;A4914),"Date hors ordre","OK"))))))))</f>
        <v/>
      </c>
      <c r="M4915" s="39" t="str">
        <f>IF(C4915="","",C4915&amp;"#"&amp;COUNTIF($C$5:C4915,C4915))</f>
        <v/>
      </c>
    </row>
    <row r="4916">
      <c r="A4916" s="41" t="n"/>
      <c r="B4916" s="37" t="n"/>
      <c r="C4916" s="37" t="n"/>
      <c r="D4916" s="39" t="str">
        <f>IF(C4916="","",IFERROR(INDEX(art_des,MATCH(C4916,art_ref,0))&amp;"","Référence inconnue"))</f>
        <v/>
      </c>
      <c r="E4916" s="37" t="n"/>
      <c r="F4916" s="39" t="str">
        <f>IF(C4916="","",IFERROR(INDEX(art_unit,MATCH(C4916,art_ref,0))&amp;"",""))</f>
        <v/>
      </c>
      <c r="G4916" s="37" t="n"/>
      <c r="H4916" s="37" t="n"/>
      <c r="I4916" s="37" t="n"/>
      <c r="J4916" s="40" t="str">
        <f>IF(OR(C4916="",NOT(ISNUMBER(E4916))),"",IFERROR(E4916*N(INDEX(art_price,MATCH(C4916,art_ref,0))),""))</f>
        <v/>
      </c>
      <c r="K4916" s="39" t="str">
        <f>IF(OR(C4916="",NOT(ISNUMBER(E4916))),"",IFERROR(ROUND(N(INDEX(art_init,MATCH(C4916,art_ref,0)))+SUMIFS($E$5:E4916,$C$5:C4916,C4916,$B$5:B4916,"Entrée")-SUMIFS($E$5:E4916,$C$5:C4916,C4916,$B$5:B4916,"Sortie"),6),""))</f>
        <v/>
      </c>
      <c r="L4916" s="39" t="str">
        <f>IF(COUNTA(A4916:C4916,E4916)=0,"",IF(COUNTA(A4916:C4916,E4916)&lt;4,"Ligne incomplète",IF(NOT(ISNUMBER(A4916)),"Date invalide",IF(AND(B4916&lt;&gt;"Entrée",B4916&lt;&gt;"Sortie"),"Type inconnu",IF(ISNA(MATCH(C4916,art_ref,0)),"Référence inconnue",IF(OR(NOT(ISNUMBER(E4916)),N(E4916)&lt;=0),"Quantité invalide",IF(K4916&lt;0,"Stock négatif",IF(AND(ISNUMBER(A4915),A4916&lt;A4915),"Date hors ordre","OK"))))))))</f>
        <v/>
      </c>
      <c r="M4916" s="39" t="str">
        <f>IF(C4916="","",C4916&amp;"#"&amp;COUNTIF($C$5:C4916,C4916))</f>
        <v/>
      </c>
    </row>
    <row r="4917">
      <c r="A4917" s="41" t="n"/>
      <c r="B4917" s="37" t="n"/>
      <c r="C4917" s="37" t="n"/>
      <c r="D4917" s="39" t="str">
        <f>IF(C4917="","",IFERROR(INDEX(art_des,MATCH(C4917,art_ref,0))&amp;"","Référence inconnue"))</f>
        <v/>
      </c>
      <c r="E4917" s="37" t="n"/>
      <c r="F4917" s="39" t="str">
        <f>IF(C4917="","",IFERROR(INDEX(art_unit,MATCH(C4917,art_ref,0))&amp;"",""))</f>
        <v/>
      </c>
      <c r="G4917" s="37" t="n"/>
      <c r="H4917" s="37" t="n"/>
      <c r="I4917" s="37" t="n"/>
      <c r="J4917" s="40" t="str">
        <f>IF(OR(C4917="",NOT(ISNUMBER(E4917))),"",IFERROR(E4917*N(INDEX(art_price,MATCH(C4917,art_ref,0))),""))</f>
        <v/>
      </c>
      <c r="K4917" s="39" t="str">
        <f>IF(OR(C4917="",NOT(ISNUMBER(E4917))),"",IFERROR(ROUND(N(INDEX(art_init,MATCH(C4917,art_ref,0)))+SUMIFS($E$5:E4917,$C$5:C4917,C4917,$B$5:B4917,"Entrée")-SUMIFS($E$5:E4917,$C$5:C4917,C4917,$B$5:B4917,"Sortie"),6),""))</f>
        <v/>
      </c>
      <c r="L4917" s="39" t="str">
        <f>IF(COUNTA(A4917:C4917,E4917)=0,"",IF(COUNTA(A4917:C4917,E4917)&lt;4,"Ligne incomplète",IF(NOT(ISNUMBER(A4917)),"Date invalide",IF(AND(B4917&lt;&gt;"Entrée",B4917&lt;&gt;"Sortie"),"Type inconnu",IF(ISNA(MATCH(C4917,art_ref,0)),"Référence inconnue",IF(OR(NOT(ISNUMBER(E4917)),N(E4917)&lt;=0),"Quantité invalide",IF(K4917&lt;0,"Stock négatif",IF(AND(ISNUMBER(A4916),A4917&lt;A4916),"Date hors ordre","OK"))))))))</f>
        <v/>
      </c>
      <c r="M4917" s="39" t="str">
        <f>IF(C4917="","",C4917&amp;"#"&amp;COUNTIF($C$5:C4917,C4917))</f>
        <v/>
      </c>
    </row>
    <row r="4918">
      <c r="A4918" s="41" t="n"/>
      <c r="B4918" s="37" t="n"/>
      <c r="C4918" s="37" t="n"/>
      <c r="D4918" s="39" t="str">
        <f>IF(C4918="","",IFERROR(INDEX(art_des,MATCH(C4918,art_ref,0))&amp;"","Référence inconnue"))</f>
        <v/>
      </c>
      <c r="E4918" s="37" t="n"/>
      <c r="F4918" s="39" t="str">
        <f>IF(C4918="","",IFERROR(INDEX(art_unit,MATCH(C4918,art_ref,0))&amp;"",""))</f>
        <v/>
      </c>
      <c r="G4918" s="37" t="n"/>
      <c r="H4918" s="37" t="n"/>
      <c r="I4918" s="37" t="n"/>
      <c r="J4918" s="40" t="str">
        <f>IF(OR(C4918="",NOT(ISNUMBER(E4918))),"",IFERROR(E4918*N(INDEX(art_price,MATCH(C4918,art_ref,0))),""))</f>
        <v/>
      </c>
      <c r="K4918" s="39" t="str">
        <f>IF(OR(C4918="",NOT(ISNUMBER(E4918))),"",IFERROR(ROUND(N(INDEX(art_init,MATCH(C4918,art_ref,0)))+SUMIFS($E$5:E4918,$C$5:C4918,C4918,$B$5:B4918,"Entrée")-SUMIFS($E$5:E4918,$C$5:C4918,C4918,$B$5:B4918,"Sortie"),6),""))</f>
        <v/>
      </c>
      <c r="L4918" s="39" t="str">
        <f>IF(COUNTA(A4918:C4918,E4918)=0,"",IF(COUNTA(A4918:C4918,E4918)&lt;4,"Ligne incomplète",IF(NOT(ISNUMBER(A4918)),"Date invalide",IF(AND(B4918&lt;&gt;"Entrée",B4918&lt;&gt;"Sortie"),"Type inconnu",IF(ISNA(MATCH(C4918,art_ref,0)),"Référence inconnue",IF(OR(NOT(ISNUMBER(E4918)),N(E4918)&lt;=0),"Quantité invalide",IF(K4918&lt;0,"Stock négatif",IF(AND(ISNUMBER(A4917),A4918&lt;A4917),"Date hors ordre","OK"))))))))</f>
        <v/>
      </c>
      <c r="M4918" s="39" t="str">
        <f>IF(C4918="","",C4918&amp;"#"&amp;COUNTIF($C$5:C4918,C4918))</f>
        <v/>
      </c>
    </row>
    <row r="4919">
      <c r="A4919" s="41" t="n"/>
      <c r="B4919" s="37" t="n"/>
      <c r="C4919" s="37" t="n"/>
      <c r="D4919" s="39" t="str">
        <f>IF(C4919="","",IFERROR(INDEX(art_des,MATCH(C4919,art_ref,0))&amp;"","Référence inconnue"))</f>
        <v/>
      </c>
      <c r="E4919" s="37" t="n"/>
      <c r="F4919" s="39" t="str">
        <f>IF(C4919="","",IFERROR(INDEX(art_unit,MATCH(C4919,art_ref,0))&amp;"",""))</f>
        <v/>
      </c>
      <c r="G4919" s="37" t="n"/>
      <c r="H4919" s="37" t="n"/>
      <c r="I4919" s="37" t="n"/>
      <c r="J4919" s="40" t="str">
        <f>IF(OR(C4919="",NOT(ISNUMBER(E4919))),"",IFERROR(E4919*N(INDEX(art_price,MATCH(C4919,art_ref,0))),""))</f>
        <v/>
      </c>
      <c r="K4919" s="39" t="str">
        <f>IF(OR(C4919="",NOT(ISNUMBER(E4919))),"",IFERROR(ROUND(N(INDEX(art_init,MATCH(C4919,art_ref,0)))+SUMIFS($E$5:E4919,$C$5:C4919,C4919,$B$5:B4919,"Entrée")-SUMIFS($E$5:E4919,$C$5:C4919,C4919,$B$5:B4919,"Sortie"),6),""))</f>
        <v/>
      </c>
      <c r="L4919" s="39" t="str">
        <f>IF(COUNTA(A4919:C4919,E4919)=0,"",IF(COUNTA(A4919:C4919,E4919)&lt;4,"Ligne incomplète",IF(NOT(ISNUMBER(A4919)),"Date invalide",IF(AND(B4919&lt;&gt;"Entrée",B4919&lt;&gt;"Sortie"),"Type inconnu",IF(ISNA(MATCH(C4919,art_ref,0)),"Référence inconnue",IF(OR(NOT(ISNUMBER(E4919)),N(E4919)&lt;=0),"Quantité invalide",IF(K4919&lt;0,"Stock négatif",IF(AND(ISNUMBER(A4918),A4919&lt;A4918),"Date hors ordre","OK"))))))))</f>
        <v/>
      </c>
      <c r="M4919" s="39" t="str">
        <f>IF(C4919="","",C4919&amp;"#"&amp;COUNTIF($C$5:C4919,C4919))</f>
        <v/>
      </c>
    </row>
    <row r="4920">
      <c r="A4920" s="41" t="n"/>
      <c r="B4920" s="37" t="n"/>
      <c r="C4920" s="37" t="n"/>
      <c r="D4920" s="39" t="str">
        <f>IF(C4920="","",IFERROR(INDEX(art_des,MATCH(C4920,art_ref,0))&amp;"","Référence inconnue"))</f>
        <v/>
      </c>
      <c r="E4920" s="37" t="n"/>
      <c r="F4920" s="39" t="str">
        <f>IF(C4920="","",IFERROR(INDEX(art_unit,MATCH(C4920,art_ref,0))&amp;"",""))</f>
        <v/>
      </c>
      <c r="G4920" s="37" t="n"/>
      <c r="H4920" s="37" t="n"/>
      <c r="I4920" s="37" t="n"/>
      <c r="J4920" s="40" t="str">
        <f>IF(OR(C4920="",NOT(ISNUMBER(E4920))),"",IFERROR(E4920*N(INDEX(art_price,MATCH(C4920,art_ref,0))),""))</f>
        <v/>
      </c>
      <c r="K4920" s="39" t="str">
        <f>IF(OR(C4920="",NOT(ISNUMBER(E4920))),"",IFERROR(ROUND(N(INDEX(art_init,MATCH(C4920,art_ref,0)))+SUMIFS($E$5:E4920,$C$5:C4920,C4920,$B$5:B4920,"Entrée")-SUMIFS($E$5:E4920,$C$5:C4920,C4920,$B$5:B4920,"Sortie"),6),""))</f>
        <v/>
      </c>
      <c r="L4920" s="39" t="str">
        <f>IF(COUNTA(A4920:C4920,E4920)=0,"",IF(COUNTA(A4920:C4920,E4920)&lt;4,"Ligne incomplète",IF(NOT(ISNUMBER(A4920)),"Date invalide",IF(AND(B4920&lt;&gt;"Entrée",B4920&lt;&gt;"Sortie"),"Type inconnu",IF(ISNA(MATCH(C4920,art_ref,0)),"Référence inconnue",IF(OR(NOT(ISNUMBER(E4920)),N(E4920)&lt;=0),"Quantité invalide",IF(K4920&lt;0,"Stock négatif",IF(AND(ISNUMBER(A4919),A4920&lt;A4919),"Date hors ordre","OK"))))))))</f>
        <v/>
      </c>
      <c r="M4920" s="39" t="str">
        <f>IF(C4920="","",C4920&amp;"#"&amp;COUNTIF($C$5:C4920,C4920))</f>
        <v/>
      </c>
    </row>
    <row r="4921">
      <c r="A4921" s="41" t="n"/>
      <c r="B4921" s="37" t="n"/>
      <c r="C4921" s="37" t="n"/>
      <c r="D4921" s="39" t="str">
        <f>IF(C4921="","",IFERROR(INDEX(art_des,MATCH(C4921,art_ref,0))&amp;"","Référence inconnue"))</f>
        <v/>
      </c>
      <c r="E4921" s="37" t="n"/>
      <c r="F4921" s="39" t="str">
        <f>IF(C4921="","",IFERROR(INDEX(art_unit,MATCH(C4921,art_ref,0))&amp;"",""))</f>
        <v/>
      </c>
      <c r="G4921" s="37" t="n"/>
      <c r="H4921" s="37" t="n"/>
      <c r="I4921" s="37" t="n"/>
      <c r="J4921" s="40" t="str">
        <f>IF(OR(C4921="",NOT(ISNUMBER(E4921))),"",IFERROR(E4921*N(INDEX(art_price,MATCH(C4921,art_ref,0))),""))</f>
        <v/>
      </c>
      <c r="K4921" s="39" t="str">
        <f>IF(OR(C4921="",NOT(ISNUMBER(E4921))),"",IFERROR(ROUND(N(INDEX(art_init,MATCH(C4921,art_ref,0)))+SUMIFS($E$5:E4921,$C$5:C4921,C4921,$B$5:B4921,"Entrée")-SUMIFS($E$5:E4921,$C$5:C4921,C4921,$B$5:B4921,"Sortie"),6),""))</f>
        <v/>
      </c>
      <c r="L4921" s="39" t="str">
        <f>IF(COUNTA(A4921:C4921,E4921)=0,"",IF(COUNTA(A4921:C4921,E4921)&lt;4,"Ligne incomplète",IF(NOT(ISNUMBER(A4921)),"Date invalide",IF(AND(B4921&lt;&gt;"Entrée",B4921&lt;&gt;"Sortie"),"Type inconnu",IF(ISNA(MATCH(C4921,art_ref,0)),"Référence inconnue",IF(OR(NOT(ISNUMBER(E4921)),N(E4921)&lt;=0),"Quantité invalide",IF(K4921&lt;0,"Stock négatif",IF(AND(ISNUMBER(A4920),A4921&lt;A4920),"Date hors ordre","OK"))))))))</f>
        <v/>
      </c>
      <c r="M4921" s="39" t="str">
        <f>IF(C4921="","",C4921&amp;"#"&amp;COUNTIF($C$5:C4921,C4921))</f>
        <v/>
      </c>
    </row>
    <row r="4922">
      <c r="A4922" s="41" t="n"/>
      <c r="B4922" s="37" t="n"/>
      <c r="C4922" s="37" t="n"/>
      <c r="D4922" s="39" t="str">
        <f>IF(C4922="","",IFERROR(INDEX(art_des,MATCH(C4922,art_ref,0))&amp;"","Référence inconnue"))</f>
        <v/>
      </c>
      <c r="E4922" s="37" t="n"/>
      <c r="F4922" s="39" t="str">
        <f>IF(C4922="","",IFERROR(INDEX(art_unit,MATCH(C4922,art_ref,0))&amp;"",""))</f>
        <v/>
      </c>
      <c r="G4922" s="37" t="n"/>
      <c r="H4922" s="37" t="n"/>
      <c r="I4922" s="37" t="n"/>
      <c r="J4922" s="40" t="str">
        <f>IF(OR(C4922="",NOT(ISNUMBER(E4922))),"",IFERROR(E4922*N(INDEX(art_price,MATCH(C4922,art_ref,0))),""))</f>
        <v/>
      </c>
      <c r="K4922" s="39" t="str">
        <f>IF(OR(C4922="",NOT(ISNUMBER(E4922))),"",IFERROR(ROUND(N(INDEX(art_init,MATCH(C4922,art_ref,0)))+SUMIFS($E$5:E4922,$C$5:C4922,C4922,$B$5:B4922,"Entrée")-SUMIFS($E$5:E4922,$C$5:C4922,C4922,$B$5:B4922,"Sortie"),6),""))</f>
        <v/>
      </c>
      <c r="L4922" s="39" t="str">
        <f>IF(COUNTA(A4922:C4922,E4922)=0,"",IF(COUNTA(A4922:C4922,E4922)&lt;4,"Ligne incomplète",IF(NOT(ISNUMBER(A4922)),"Date invalide",IF(AND(B4922&lt;&gt;"Entrée",B4922&lt;&gt;"Sortie"),"Type inconnu",IF(ISNA(MATCH(C4922,art_ref,0)),"Référence inconnue",IF(OR(NOT(ISNUMBER(E4922)),N(E4922)&lt;=0),"Quantité invalide",IF(K4922&lt;0,"Stock négatif",IF(AND(ISNUMBER(A4921),A4922&lt;A4921),"Date hors ordre","OK"))))))))</f>
        <v/>
      </c>
      <c r="M4922" s="39" t="str">
        <f>IF(C4922="","",C4922&amp;"#"&amp;COUNTIF($C$5:C4922,C4922))</f>
        <v/>
      </c>
    </row>
    <row r="4923">
      <c r="A4923" s="41" t="n"/>
      <c r="B4923" s="37" t="n"/>
      <c r="C4923" s="37" t="n"/>
      <c r="D4923" s="39" t="str">
        <f>IF(C4923="","",IFERROR(INDEX(art_des,MATCH(C4923,art_ref,0))&amp;"","Référence inconnue"))</f>
        <v/>
      </c>
      <c r="E4923" s="37" t="n"/>
      <c r="F4923" s="39" t="str">
        <f>IF(C4923="","",IFERROR(INDEX(art_unit,MATCH(C4923,art_ref,0))&amp;"",""))</f>
        <v/>
      </c>
      <c r="G4923" s="37" t="n"/>
      <c r="H4923" s="37" t="n"/>
      <c r="I4923" s="37" t="n"/>
      <c r="J4923" s="40" t="str">
        <f>IF(OR(C4923="",NOT(ISNUMBER(E4923))),"",IFERROR(E4923*N(INDEX(art_price,MATCH(C4923,art_ref,0))),""))</f>
        <v/>
      </c>
      <c r="K4923" s="39" t="str">
        <f>IF(OR(C4923="",NOT(ISNUMBER(E4923))),"",IFERROR(ROUND(N(INDEX(art_init,MATCH(C4923,art_ref,0)))+SUMIFS($E$5:E4923,$C$5:C4923,C4923,$B$5:B4923,"Entrée")-SUMIFS($E$5:E4923,$C$5:C4923,C4923,$B$5:B4923,"Sortie"),6),""))</f>
        <v/>
      </c>
      <c r="L4923" s="39" t="str">
        <f>IF(COUNTA(A4923:C4923,E4923)=0,"",IF(COUNTA(A4923:C4923,E4923)&lt;4,"Ligne incomplète",IF(NOT(ISNUMBER(A4923)),"Date invalide",IF(AND(B4923&lt;&gt;"Entrée",B4923&lt;&gt;"Sortie"),"Type inconnu",IF(ISNA(MATCH(C4923,art_ref,0)),"Référence inconnue",IF(OR(NOT(ISNUMBER(E4923)),N(E4923)&lt;=0),"Quantité invalide",IF(K4923&lt;0,"Stock négatif",IF(AND(ISNUMBER(A4922),A4923&lt;A4922),"Date hors ordre","OK"))))))))</f>
        <v/>
      </c>
      <c r="M4923" s="39" t="str">
        <f>IF(C4923="","",C4923&amp;"#"&amp;COUNTIF($C$5:C4923,C4923))</f>
        <v/>
      </c>
    </row>
    <row r="4924">
      <c r="A4924" s="41" t="n"/>
      <c r="B4924" s="37" t="n"/>
      <c r="C4924" s="37" t="n"/>
      <c r="D4924" s="39" t="str">
        <f>IF(C4924="","",IFERROR(INDEX(art_des,MATCH(C4924,art_ref,0))&amp;"","Référence inconnue"))</f>
        <v/>
      </c>
      <c r="E4924" s="37" t="n"/>
      <c r="F4924" s="39" t="str">
        <f>IF(C4924="","",IFERROR(INDEX(art_unit,MATCH(C4924,art_ref,0))&amp;"",""))</f>
        <v/>
      </c>
      <c r="G4924" s="37" t="n"/>
      <c r="H4924" s="37" t="n"/>
      <c r="I4924" s="37" t="n"/>
      <c r="J4924" s="40" t="str">
        <f>IF(OR(C4924="",NOT(ISNUMBER(E4924))),"",IFERROR(E4924*N(INDEX(art_price,MATCH(C4924,art_ref,0))),""))</f>
        <v/>
      </c>
      <c r="K4924" s="39" t="str">
        <f>IF(OR(C4924="",NOT(ISNUMBER(E4924))),"",IFERROR(ROUND(N(INDEX(art_init,MATCH(C4924,art_ref,0)))+SUMIFS($E$5:E4924,$C$5:C4924,C4924,$B$5:B4924,"Entrée")-SUMIFS($E$5:E4924,$C$5:C4924,C4924,$B$5:B4924,"Sortie"),6),""))</f>
        <v/>
      </c>
      <c r="L4924" s="39" t="str">
        <f>IF(COUNTA(A4924:C4924,E4924)=0,"",IF(COUNTA(A4924:C4924,E4924)&lt;4,"Ligne incomplète",IF(NOT(ISNUMBER(A4924)),"Date invalide",IF(AND(B4924&lt;&gt;"Entrée",B4924&lt;&gt;"Sortie"),"Type inconnu",IF(ISNA(MATCH(C4924,art_ref,0)),"Référence inconnue",IF(OR(NOT(ISNUMBER(E4924)),N(E4924)&lt;=0),"Quantité invalide",IF(K4924&lt;0,"Stock négatif",IF(AND(ISNUMBER(A4923),A4924&lt;A4923),"Date hors ordre","OK"))))))))</f>
        <v/>
      </c>
      <c r="M4924" s="39" t="str">
        <f>IF(C4924="","",C4924&amp;"#"&amp;COUNTIF($C$5:C4924,C4924))</f>
        <v/>
      </c>
    </row>
    <row r="4925">
      <c r="A4925" s="41" t="n"/>
      <c r="B4925" s="37" t="n"/>
      <c r="C4925" s="37" t="n"/>
      <c r="D4925" s="39" t="str">
        <f>IF(C4925="","",IFERROR(INDEX(art_des,MATCH(C4925,art_ref,0))&amp;"","Référence inconnue"))</f>
        <v/>
      </c>
      <c r="E4925" s="37" t="n"/>
      <c r="F4925" s="39" t="str">
        <f>IF(C4925="","",IFERROR(INDEX(art_unit,MATCH(C4925,art_ref,0))&amp;"",""))</f>
        <v/>
      </c>
      <c r="G4925" s="37" t="n"/>
      <c r="H4925" s="37" t="n"/>
      <c r="I4925" s="37" t="n"/>
      <c r="J4925" s="40" t="str">
        <f>IF(OR(C4925="",NOT(ISNUMBER(E4925))),"",IFERROR(E4925*N(INDEX(art_price,MATCH(C4925,art_ref,0))),""))</f>
        <v/>
      </c>
      <c r="K4925" s="39" t="str">
        <f>IF(OR(C4925="",NOT(ISNUMBER(E4925))),"",IFERROR(ROUND(N(INDEX(art_init,MATCH(C4925,art_ref,0)))+SUMIFS($E$5:E4925,$C$5:C4925,C4925,$B$5:B4925,"Entrée")-SUMIFS($E$5:E4925,$C$5:C4925,C4925,$B$5:B4925,"Sortie"),6),""))</f>
        <v/>
      </c>
      <c r="L4925" s="39" t="str">
        <f>IF(COUNTA(A4925:C4925,E4925)=0,"",IF(COUNTA(A4925:C4925,E4925)&lt;4,"Ligne incomplète",IF(NOT(ISNUMBER(A4925)),"Date invalide",IF(AND(B4925&lt;&gt;"Entrée",B4925&lt;&gt;"Sortie"),"Type inconnu",IF(ISNA(MATCH(C4925,art_ref,0)),"Référence inconnue",IF(OR(NOT(ISNUMBER(E4925)),N(E4925)&lt;=0),"Quantité invalide",IF(K4925&lt;0,"Stock négatif",IF(AND(ISNUMBER(A4924),A4925&lt;A4924),"Date hors ordre","OK"))))))))</f>
        <v/>
      </c>
      <c r="M4925" s="39" t="str">
        <f>IF(C4925="","",C4925&amp;"#"&amp;COUNTIF($C$5:C4925,C4925))</f>
        <v/>
      </c>
    </row>
    <row r="4926">
      <c r="A4926" s="41" t="n"/>
      <c r="B4926" s="37" t="n"/>
      <c r="C4926" s="37" t="n"/>
      <c r="D4926" s="39" t="str">
        <f>IF(C4926="","",IFERROR(INDEX(art_des,MATCH(C4926,art_ref,0))&amp;"","Référence inconnue"))</f>
        <v/>
      </c>
      <c r="E4926" s="37" t="n"/>
      <c r="F4926" s="39" t="str">
        <f>IF(C4926="","",IFERROR(INDEX(art_unit,MATCH(C4926,art_ref,0))&amp;"",""))</f>
        <v/>
      </c>
      <c r="G4926" s="37" t="n"/>
      <c r="H4926" s="37" t="n"/>
      <c r="I4926" s="37" t="n"/>
      <c r="J4926" s="40" t="str">
        <f>IF(OR(C4926="",NOT(ISNUMBER(E4926))),"",IFERROR(E4926*N(INDEX(art_price,MATCH(C4926,art_ref,0))),""))</f>
        <v/>
      </c>
      <c r="K4926" s="39" t="str">
        <f>IF(OR(C4926="",NOT(ISNUMBER(E4926))),"",IFERROR(ROUND(N(INDEX(art_init,MATCH(C4926,art_ref,0)))+SUMIFS($E$5:E4926,$C$5:C4926,C4926,$B$5:B4926,"Entrée")-SUMIFS($E$5:E4926,$C$5:C4926,C4926,$B$5:B4926,"Sortie"),6),""))</f>
        <v/>
      </c>
      <c r="L4926" s="39" t="str">
        <f>IF(COUNTA(A4926:C4926,E4926)=0,"",IF(COUNTA(A4926:C4926,E4926)&lt;4,"Ligne incomplète",IF(NOT(ISNUMBER(A4926)),"Date invalide",IF(AND(B4926&lt;&gt;"Entrée",B4926&lt;&gt;"Sortie"),"Type inconnu",IF(ISNA(MATCH(C4926,art_ref,0)),"Référence inconnue",IF(OR(NOT(ISNUMBER(E4926)),N(E4926)&lt;=0),"Quantité invalide",IF(K4926&lt;0,"Stock négatif",IF(AND(ISNUMBER(A4925),A4926&lt;A4925),"Date hors ordre","OK"))))))))</f>
        <v/>
      </c>
      <c r="M4926" s="39" t="str">
        <f>IF(C4926="","",C4926&amp;"#"&amp;COUNTIF($C$5:C4926,C4926))</f>
        <v/>
      </c>
    </row>
    <row r="4927">
      <c r="A4927" s="41" t="n"/>
      <c r="B4927" s="37" t="n"/>
      <c r="C4927" s="37" t="n"/>
      <c r="D4927" s="39" t="str">
        <f>IF(C4927="","",IFERROR(INDEX(art_des,MATCH(C4927,art_ref,0))&amp;"","Référence inconnue"))</f>
        <v/>
      </c>
      <c r="E4927" s="37" t="n"/>
      <c r="F4927" s="39" t="str">
        <f>IF(C4927="","",IFERROR(INDEX(art_unit,MATCH(C4927,art_ref,0))&amp;"",""))</f>
        <v/>
      </c>
      <c r="G4927" s="37" t="n"/>
      <c r="H4927" s="37" t="n"/>
      <c r="I4927" s="37" t="n"/>
      <c r="J4927" s="40" t="str">
        <f>IF(OR(C4927="",NOT(ISNUMBER(E4927))),"",IFERROR(E4927*N(INDEX(art_price,MATCH(C4927,art_ref,0))),""))</f>
        <v/>
      </c>
      <c r="K4927" s="39" t="str">
        <f>IF(OR(C4927="",NOT(ISNUMBER(E4927))),"",IFERROR(ROUND(N(INDEX(art_init,MATCH(C4927,art_ref,0)))+SUMIFS($E$5:E4927,$C$5:C4927,C4927,$B$5:B4927,"Entrée")-SUMIFS($E$5:E4927,$C$5:C4927,C4927,$B$5:B4927,"Sortie"),6),""))</f>
        <v/>
      </c>
      <c r="L4927" s="39" t="str">
        <f>IF(COUNTA(A4927:C4927,E4927)=0,"",IF(COUNTA(A4927:C4927,E4927)&lt;4,"Ligne incomplète",IF(NOT(ISNUMBER(A4927)),"Date invalide",IF(AND(B4927&lt;&gt;"Entrée",B4927&lt;&gt;"Sortie"),"Type inconnu",IF(ISNA(MATCH(C4927,art_ref,0)),"Référence inconnue",IF(OR(NOT(ISNUMBER(E4927)),N(E4927)&lt;=0),"Quantité invalide",IF(K4927&lt;0,"Stock négatif",IF(AND(ISNUMBER(A4926),A4927&lt;A4926),"Date hors ordre","OK"))))))))</f>
        <v/>
      </c>
      <c r="M4927" s="39" t="str">
        <f>IF(C4927="","",C4927&amp;"#"&amp;COUNTIF($C$5:C4927,C4927))</f>
        <v/>
      </c>
    </row>
    <row r="4928">
      <c r="A4928" s="41" t="n"/>
      <c r="B4928" s="37" t="n"/>
      <c r="C4928" s="37" t="n"/>
      <c r="D4928" s="39" t="str">
        <f>IF(C4928="","",IFERROR(INDEX(art_des,MATCH(C4928,art_ref,0))&amp;"","Référence inconnue"))</f>
        <v/>
      </c>
      <c r="E4928" s="37" t="n"/>
      <c r="F4928" s="39" t="str">
        <f>IF(C4928="","",IFERROR(INDEX(art_unit,MATCH(C4928,art_ref,0))&amp;"",""))</f>
        <v/>
      </c>
      <c r="G4928" s="37" t="n"/>
      <c r="H4928" s="37" t="n"/>
      <c r="I4928" s="37" t="n"/>
      <c r="J4928" s="40" t="str">
        <f>IF(OR(C4928="",NOT(ISNUMBER(E4928))),"",IFERROR(E4928*N(INDEX(art_price,MATCH(C4928,art_ref,0))),""))</f>
        <v/>
      </c>
      <c r="K4928" s="39" t="str">
        <f>IF(OR(C4928="",NOT(ISNUMBER(E4928))),"",IFERROR(ROUND(N(INDEX(art_init,MATCH(C4928,art_ref,0)))+SUMIFS($E$5:E4928,$C$5:C4928,C4928,$B$5:B4928,"Entrée")-SUMIFS($E$5:E4928,$C$5:C4928,C4928,$B$5:B4928,"Sortie"),6),""))</f>
        <v/>
      </c>
      <c r="L4928" s="39" t="str">
        <f>IF(COUNTA(A4928:C4928,E4928)=0,"",IF(COUNTA(A4928:C4928,E4928)&lt;4,"Ligne incomplète",IF(NOT(ISNUMBER(A4928)),"Date invalide",IF(AND(B4928&lt;&gt;"Entrée",B4928&lt;&gt;"Sortie"),"Type inconnu",IF(ISNA(MATCH(C4928,art_ref,0)),"Référence inconnue",IF(OR(NOT(ISNUMBER(E4928)),N(E4928)&lt;=0),"Quantité invalide",IF(K4928&lt;0,"Stock négatif",IF(AND(ISNUMBER(A4927),A4928&lt;A4927),"Date hors ordre","OK"))))))))</f>
        <v/>
      </c>
      <c r="M4928" s="39" t="str">
        <f>IF(C4928="","",C4928&amp;"#"&amp;COUNTIF($C$5:C4928,C4928))</f>
        <v/>
      </c>
    </row>
    <row r="4929">
      <c r="A4929" s="41" t="n"/>
      <c r="B4929" s="37" t="n"/>
      <c r="C4929" s="37" t="n"/>
      <c r="D4929" s="39" t="str">
        <f>IF(C4929="","",IFERROR(INDEX(art_des,MATCH(C4929,art_ref,0))&amp;"","Référence inconnue"))</f>
        <v/>
      </c>
      <c r="E4929" s="37" t="n"/>
      <c r="F4929" s="39" t="str">
        <f>IF(C4929="","",IFERROR(INDEX(art_unit,MATCH(C4929,art_ref,0))&amp;"",""))</f>
        <v/>
      </c>
      <c r="G4929" s="37" t="n"/>
      <c r="H4929" s="37" t="n"/>
      <c r="I4929" s="37" t="n"/>
      <c r="J4929" s="40" t="str">
        <f>IF(OR(C4929="",NOT(ISNUMBER(E4929))),"",IFERROR(E4929*N(INDEX(art_price,MATCH(C4929,art_ref,0))),""))</f>
        <v/>
      </c>
      <c r="K4929" s="39" t="str">
        <f>IF(OR(C4929="",NOT(ISNUMBER(E4929))),"",IFERROR(ROUND(N(INDEX(art_init,MATCH(C4929,art_ref,0)))+SUMIFS($E$5:E4929,$C$5:C4929,C4929,$B$5:B4929,"Entrée")-SUMIFS($E$5:E4929,$C$5:C4929,C4929,$B$5:B4929,"Sortie"),6),""))</f>
        <v/>
      </c>
      <c r="L4929" s="39" t="str">
        <f>IF(COUNTA(A4929:C4929,E4929)=0,"",IF(COUNTA(A4929:C4929,E4929)&lt;4,"Ligne incomplète",IF(NOT(ISNUMBER(A4929)),"Date invalide",IF(AND(B4929&lt;&gt;"Entrée",B4929&lt;&gt;"Sortie"),"Type inconnu",IF(ISNA(MATCH(C4929,art_ref,0)),"Référence inconnue",IF(OR(NOT(ISNUMBER(E4929)),N(E4929)&lt;=0),"Quantité invalide",IF(K4929&lt;0,"Stock négatif",IF(AND(ISNUMBER(A4928),A4929&lt;A4928),"Date hors ordre","OK"))))))))</f>
        <v/>
      </c>
      <c r="M4929" s="39" t="str">
        <f>IF(C4929="","",C4929&amp;"#"&amp;COUNTIF($C$5:C4929,C4929))</f>
        <v/>
      </c>
    </row>
    <row r="4930">
      <c r="A4930" s="41" t="n"/>
      <c r="B4930" s="37" t="n"/>
      <c r="C4930" s="37" t="n"/>
      <c r="D4930" s="39" t="str">
        <f>IF(C4930="","",IFERROR(INDEX(art_des,MATCH(C4930,art_ref,0))&amp;"","Référence inconnue"))</f>
        <v/>
      </c>
      <c r="E4930" s="37" t="n"/>
      <c r="F4930" s="39" t="str">
        <f>IF(C4930="","",IFERROR(INDEX(art_unit,MATCH(C4930,art_ref,0))&amp;"",""))</f>
        <v/>
      </c>
      <c r="G4930" s="37" t="n"/>
      <c r="H4930" s="37" t="n"/>
      <c r="I4930" s="37" t="n"/>
      <c r="J4930" s="40" t="str">
        <f>IF(OR(C4930="",NOT(ISNUMBER(E4930))),"",IFERROR(E4930*N(INDEX(art_price,MATCH(C4930,art_ref,0))),""))</f>
        <v/>
      </c>
      <c r="K4930" s="39" t="str">
        <f>IF(OR(C4930="",NOT(ISNUMBER(E4930))),"",IFERROR(ROUND(N(INDEX(art_init,MATCH(C4930,art_ref,0)))+SUMIFS($E$5:E4930,$C$5:C4930,C4930,$B$5:B4930,"Entrée")-SUMIFS($E$5:E4930,$C$5:C4930,C4930,$B$5:B4930,"Sortie"),6),""))</f>
        <v/>
      </c>
      <c r="L4930" s="39" t="str">
        <f>IF(COUNTA(A4930:C4930,E4930)=0,"",IF(COUNTA(A4930:C4930,E4930)&lt;4,"Ligne incomplète",IF(NOT(ISNUMBER(A4930)),"Date invalide",IF(AND(B4930&lt;&gt;"Entrée",B4930&lt;&gt;"Sortie"),"Type inconnu",IF(ISNA(MATCH(C4930,art_ref,0)),"Référence inconnue",IF(OR(NOT(ISNUMBER(E4930)),N(E4930)&lt;=0),"Quantité invalide",IF(K4930&lt;0,"Stock négatif",IF(AND(ISNUMBER(A4929),A4930&lt;A4929),"Date hors ordre","OK"))))))))</f>
        <v/>
      </c>
      <c r="M4930" s="39" t="str">
        <f>IF(C4930="","",C4930&amp;"#"&amp;COUNTIF($C$5:C4930,C4930))</f>
        <v/>
      </c>
    </row>
    <row r="4931">
      <c r="A4931" s="41" t="n"/>
      <c r="B4931" s="37" t="n"/>
      <c r="C4931" s="37" t="n"/>
      <c r="D4931" s="39" t="str">
        <f>IF(C4931="","",IFERROR(INDEX(art_des,MATCH(C4931,art_ref,0))&amp;"","Référence inconnue"))</f>
        <v/>
      </c>
      <c r="E4931" s="37" t="n"/>
      <c r="F4931" s="39" t="str">
        <f>IF(C4931="","",IFERROR(INDEX(art_unit,MATCH(C4931,art_ref,0))&amp;"",""))</f>
        <v/>
      </c>
      <c r="G4931" s="37" t="n"/>
      <c r="H4931" s="37" t="n"/>
      <c r="I4931" s="37" t="n"/>
      <c r="J4931" s="40" t="str">
        <f>IF(OR(C4931="",NOT(ISNUMBER(E4931))),"",IFERROR(E4931*N(INDEX(art_price,MATCH(C4931,art_ref,0))),""))</f>
        <v/>
      </c>
      <c r="K4931" s="39" t="str">
        <f>IF(OR(C4931="",NOT(ISNUMBER(E4931))),"",IFERROR(ROUND(N(INDEX(art_init,MATCH(C4931,art_ref,0)))+SUMIFS($E$5:E4931,$C$5:C4931,C4931,$B$5:B4931,"Entrée")-SUMIFS($E$5:E4931,$C$5:C4931,C4931,$B$5:B4931,"Sortie"),6),""))</f>
        <v/>
      </c>
      <c r="L4931" s="39" t="str">
        <f>IF(COUNTA(A4931:C4931,E4931)=0,"",IF(COUNTA(A4931:C4931,E4931)&lt;4,"Ligne incomplète",IF(NOT(ISNUMBER(A4931)),"Date invalide",IF(AND(B4931&lt;&gt;"Entrée",B4931&lt;&gt;"Sortie"),"Type inconnu",IF(ISNA(MATCH(C4931,art_ref,0)),"Référence inconnue",IF(OR(NOT(ISNUMBER(E4931)),N(E4931)&lt;=0),"Quantité invalide",IF(K4931&lt;0,"Stock négatif",IF(AND(ISNUMBER(A4930),A4931&lt;A4930),"Date hors ordre","OK"))))))))</f>
        <v/>
      </c>
      <c r="M4931" s="39" t="str">
        <f>IF(C4931="","",C4931&amp;"#"&amp;COUNTIF($C$5:C4931,C4931))</f>
        <v/>
      </c>
    </row>
    <row r="4932">
      <c r="A4932" s="41" t="n"/>
      <c r="B4932" s="37" t="n"/>
      <c r="C4932" s="37" t="n"/>
      <c r="D4932" s="39" t="str">
        <f>IF(C4932="","",IFERROR(INDEX(art_des,MATCH(C4932,art_ref,0))&amp;"","Référence inconnue"))</f>
        <v/>
      </c>
      <c r="E4932" s="37" t="n"/>
      <c r="F4932" s="39" t="str">
        <f>IF(C4932="","",IFERROR(INDEX(art_unit,MATCH(C4932,art_ref,0))&amp;"",""))</f>
        <v/>
      </c>
      <c r="G4932" s="37" t="n"/>
      <c r="H4932" s="37" t="n"/>
      <c r="I4932" s="37" t="n"/>
      <c r="J4932" s="40" t="str">
        <f>IF(OR(C4932="",NOT(ISNUMBER(E4932))),"",IFERROR(E4932*N(INDEX(art_price,MATCH(C4932,art_ref,0))),""))</f>
        <v/>
      </c>
      <c r="K4932" s="39" t="str">
        <f>IF(OR(C4932="",NOT(ISNUMBER(E4932))),"",IFERROR(ROUND(N(INDEX(art_init,MATCH(C4932,art_ref,0)))+SUMIFS($E$5:E4932,$C$5:C4932,C4932,$B$5:B4932,"Entrée")-SUMIFS($E$5:E4932,$C$5:C4932,C4932,$B$5:B4932,"Sortie"),6),""))</f>
        <v/>
      </c>
      <c r="L4932" s="39" t="str">
        <f>IF(COUNTA(A4932:C4932,E4932)=0,"",IF(COUNTA(A4932:C4932,E4932)&lt;4,"Ligne incomplète",IF(NOT(ISNUMBER(A4932)),"Date invalide",IF(AND(B4932&lt;&gt;"Entrée",B4932&lt;&gt;"Sortie"),"Type inconnu",IF(ISNA(MATCH(C4932,art_ref,0)),"Référence inconnue",IF(OR(NOT(ISNUMBER(E4932)),N(E4932)&lt;=0),"Quantité invalide",IF(K4932&lt;0,"Stock négatif",IF(AND(ISNUMBER(A4931),A4932&lt;A4931),"Date hors ordre","OK"))))))))</f>
        <v/>
      </c>
      <c r="M4932" s="39" t="str">
        <f>IF(C4932="","",C4932&amp;"#"&amp;COUNTIF($C$5:C4932,C4932))</f>
        <v/>
      </c>
    </row>
    <row r="4933">
      <c r="A4933" s="41" t="n"/>
      <c r="B4933" s="37" t="n"/>
      <c r="C4933" s="37" t="n"/>
      <c r="D4933" s="39" t="str">
        <f>IF(C4933="","",IFERROR(INDEX(art_des,MATCH(C4933,art_ref,0))&amp;"","Référence inconnue"))</f>
        <v/>
      </c>
      <c r="E4933" s="37" t="n"/>
      <c r="F4933" s="39" t="str">
        <f>IF(C4933="","",IFERROR(INDEX(art_unit,MATCH(C4933,art_ref,0))&amp;"",""))</f>
        <v/>
      </c>
      <c r="G4933" s="37" t="n"/>
      <c r="H4933" s="37" t="n"/>
      <c r="I4933" s="37" t="n"/>
      <c r="J4933" s="40" t="str">
        <f>IF(OR(C4933="",NOT(ISNUMBER(E4933))),"",IFERROR(E4933*N(INDEX(art_price,MATCH(C4933,art_ref,0))),""))</f>
        <v/>
      </c>
      <c r="K4933" s="39" t="str">
        <f>IF(OR(C4933="",NOT(ISNUMBER(E4933))),"",IFERROR(ROUND(N(INDEX(art_init,MATCH(C4933,art_ref,0)))+SUMIFS($E$5:E4933,$C$5:C4933,C4933,$B$5:B4933,"Entrée")-SUMIFS($E$5:E4933,$C$5:C4933,C4933,$B$5:B4933,"Sortie"),6),""))</f>
        <v/>
      </c>
      <c r="L4933" s="39" t="str">
        <f>IF(COUNTA(A4933:C4933,E4933)=0,"",IF(COUNTA(A4933:C4933,E4933)&lt;4,"Ligne incomplète",IF(NOT(ISNUMBER(A4933)),"Date invalide",IF(AND(B4933&lt;&gt;"Entrée",B4933&lt;&gt;"Sortie"),"Type inconnu",IF(ISNA(MATCH(C4933,art_ref,0)),"Référence inconnue",IF(OR(NOT(ISNUMBER(E4933)),N(E4933)&lt;=0),"Quantité invalide",IF(K4933&lt;0,"Stock négatif",IF(AND(ISNUMBER(A4932),A4933&lt;A4932),"Date hors ordre","OK"))))))))</f>
        <v/>
      </c>
      <c r="M4933" s="39" t="str">
        <f>IF(C4933="","",C4933&amp;"#"&amp;COUNTIF($C$5:C4933,C4933))</f>
        <v/>
      </c>
    </row>
    <row r="4934">
      <c r="A4934" s="41" t="n"/>
      <c r="B4934" s="37" t="n"/>
      <c r="C4934" s="37" t="n"/>
      <c r="D4934" s="39" t="str">
        <f>IF(C4934="","",IFERROR(INDEX(art_des,MATCH(C4934,art_ref,0))&amp;"","Référence inconnue"))</f>
        <v/>
      </c>
      <c r="E4934" s="37" t="n"/>
      <c r="F4934" s="39" t="str">
        <f>IF(C4934="","",IFERROR(INDEX(art_unit,MATCH(C4934,art_ref,0))&amp;"",""))</f>
        <v/>
      </c>
      <c r="G4934" s="37" t="n"/>
      <c r="H4934" s="37" t="n"/>
      <c r="I4934" s="37" t="n"/>
      <c r="J4934" s="40" t="str">
        <f>IF(OR(C4934="",NOT(ISNUMBER(E4934))),"",IFERROR(E4934*N(INDEX(art_price,MATCH(C4934,art_ref,0))),""))</f>
        <v/>
      </c>
      <c r="K4934" s="39" t="str">
        <f>IF(OR(C4934="",NOT(ISNUMBER(E4934))),"",IFERROR(ROUND(N(INDEX(art_init,MATCH(C4934,art_ref,0)))+SUMIFS($E$5:E4934,$C$5:C4934,C4934,$B$5:B4934,"Entrée")-SUMIFS($E$5:E4934,$C$5:C4934,C4934,$B$5:B4934,"Sortie"),6),""))</f>
        <v/>
      </c>
      <c r="L4934" s="39" t="str">
        <f>IF(COUNTA(A4934:C4934,E4934)=0,"",IF(COUNTA(A4934:C4934,E4934)&lt;4,"Ligne incomplète",IF(NOT(ISNUMBER(A4934)),"Date invalide",IF(AND(B4934&lt;&gt;"Entrée",B4934&lt;&gt;"Sortie"),"Type inconnu",IF(ISNA(MATCH(C4934,art_ref,0)),"Référence inconnue",IF(OR(NOT(ISNUMBER(E4934)),N(E4934)&lt;=0),"Quantité invalide",IF(K4934&lt;0,"Stock négatif",IF(AND(ISNUMBER(A4933),A4934&lt;A4933),"Date hors ordre","OK"))))))))</f>
        <v/>
      </c>
      <c r="M4934" s="39" t="str">
        <f>IF(C4934="","",C4934&amp;"#"&amp;COUNTIF($C$5:C4934,C4934))</f>
        <v/>
      </c>
    </row>
    <row r="4935">
      <c r="A4935" s="41" t="n"/>
      <c r="B4935" s="37" t="n"/>
      <c r="C4935" s="37" t="n"/>
      <c r="D4935" s="39" t="str">
        <f>IF(C4935="","",IFERROR(INDEX(art_des,MATCH(C4935,art_ref,0))&amp;"","Référence inconnue"))</f>
        <v/>
      </c>
      <c r="E4935" s="37" t="n"/>
      <c r="F4935" s="39" t="str">
        <f>IF(C4935="","",IFERROR(INDEX(art_unit,MATCH(C4935,art_ref,0))&amp;"",""))</f>
        <v/>
      </c>
      <c r="G4935" s="37" t="n"/>
      <c r="H4935" s="37" t="n"/>
      <c r="I4935" s="37" t="n"/>
      <c r="J4935" s="40" t="str">
        <f>IF(OR(C4935="",NOT(ISNUMBER(E4935))),"",IFERROR(E4935*N(INDEX(art_price,MATCH(C4935,art_ref,0))),""))</f>
        <v/>
      </c>
      <c r="K4935" s="39" t="str">
        <f>IF(OR(C4935="",NOT(ISNUMBER(E4935))),"",IFERROR(ROUND(N(INDEX(art_init,MATCH(C4935,art_ref,0)))+SUMIFS($E$5:E4935,$C$5:C4935,C4935,$B$5:B4935,"Entrée")-SUMIFS($E$5:E4935,$C$5:C4935,C4935,$B$5:B4935,"Sortie"),6),""))</f>
        <v/>
      </c>
      <c r="L4935" s="39" t="str">
        <f>IF(COUNTA(A4935:C4935,E4935)=0,"",IF(COUNTA(A4935:C4935,E4935)&lt;4,"Ligne incomplète",IF(NOT(ISNUMBER(A4935)),"Date invalide",IF(AND(B4935&lt;&gt;"Entrée",B4935&lt;&gt;"Sortie"),"Type inconnu",IF(ISNA(MATCH(C4935,art_ref,0)),"Référence inconnue",IF(OR(NOT(ISNUMBER(E4935)),N(E4935)&lt;=0),"Quantité invalide",IF(K4935&lt;0,"Stock négatif",IF(AND(ISNUMBER(A4934),A4935&lt;A4934),"Date hors ordre","OK"))))))))</f>
        <v/>
      </c>
      <c r="M4935" s="39" t="str">
        <f>IF(C4935="","",C4935&amp;"#"&amp;COUNTIF($C$5:C4935,C4935))</f>
        <v/>
      </c>
    </row>
    <row r="4936">
      <c r="A4936" s="41" t="n"/>
      <c r="B4936" s="37" t="n"/>
      <c r="C4936" s="37" t="n"/>
      <c r="D4936" s="39" t="str">
        <f>IF(C4936="","",IFERROR(INDEX(art_des,MATCH(C4936,art_ref,0))&amp;"","Référence inconnue"))</f>
        <v/>
      </c>
      <c r="E4936" s="37" t="n"/>
      <c r="F4936" s="39" t="str">
        <f>IF(C4936="","",IFERROR(INDEX(art_unit,MATCH(C4936,art_ref,0))&amp;"",""))</f>
        <v/>
      </c>
      <c r="G4936" s="37" t="n"/>
      <c r="H4936" s="37" t="n"/>
      <c r="I4936" s="37" t="n"/>
      <c r="J4936" s="40" t="str">
        <f>IF(OR(C4936="",NOT(ISNUMBER(E4936))),"",IFERROR(E4936*N(INDEX(art_price,MATCH(C4936,art_ref,0))),""))</f>
        <v/>
      </c>
      <c r="K4936" s="39" t="str">
        <f>IF(OR(C4936="",NOT(ISNUMBER(E4936))),"",IFERROR(ROUND(N(INDEX(art_init,MATCH(C4936,art_ref,0)))+SUMIFS($E$5:E4936,$C$5:C4936,C4936,$B$5:B4936,"Entrée")-SUMIFS($E$5:E4936,$C$5:C4936,C4936,$B$5:B4936,"Sortie"),6),""))</f>
        <v/>
      </c>
      <c r="L4936" s="39" t="str">
        <f>IF(COUNTA(A4936:C4936,E4936)=0,"",IF(COUNTA(A4936:C4936,E4936)&lt;4,"Ligne incomplète",IF(NOT(ISNUMBER(A4936)),"Date invalide",IF(AND(B4936&lt;&gt;"Entrée",B4936&lt;&gt;"Sortie"),"Type inconnu",IF(ISNA(MATCH(C4936,art_ref,0)),"Référence inconnue",IF(OR(NOT(ISNUMBER(E4936)),N(E4936)&lt;=0),"Quantité invalide",IF(K4936&lt;0,"Stock négatif",IF(AND(ISNUMBER(A4935),A4936&lt;A4935),"Date hors ordre","OK"))))))))</f>
        <v/>
      </c>
      <c r="M4936" s="39" t="str">
        <f>IF(C4936="","",C4936&amp;"#"&amp;COUNTIF($C$5:C4936,C4936))</f>
        <v/>
      </c>
    </row>
    <row r="4937">
      <c r="A4937" s="41" t="n"/>
      <c r="B4937" s="37" t="n"/>
      <c r="C4937" s="37" t="n"/>
      <c r="D4937" s="39" t="str">
        <f>IF(C4937="","",IFERROR(INDEX(art_des,MATCH(C4937,art_ref,0))&amp;"","Référence inconnue"))</f>
        <v/>
      </c>
      <c r="E4937" s="37" t="n"/>
      <c r="F4937" s="39" t="str">
        <f>IF(C4937="","",IFERROR(INDEX(art_unit,MATCH(C4937,art_ref,0))&amp;"",""))</f>
        <v/>
      </c>
      <c r="G4937" s="37" t="n"/>
      <c r="H4937" s="37" t="n"/>
      <c r="I4937" s="37" t="n"/>
      <c r="J4937" s="40" t="str">
        <f>IF(OR(C4937="",NOT(ISNUMBER(E4937))),"",IFERROR(E4937*N(INDEX(art_price,MATCH(C4937,art_ref,0))),""))</f>
        <v/>
      </c>
      <c r="K4937" s="39" t="str">
        <f>IF(OR(C4937="",NOT(ISNUMBER(E4937))),"",IFERROR(ROUND(N(INDEX(art_init,MATCH(C4937,art_ref,0)))+SUMIFS($E$5:E4937,$C$5:C4937,C4937,$B$5:B4937,"Entrée")-SUMIFS($E$5:E4937,$C$5:C4937,C4937,$B$5:B4937,"Sortie"),6),""))</f>
        <v/>
      </c>
      <c r="L4937" s="39" t="str">
        <f>IF(COUNTA(A4937:C4937,E4937)=0,"",IF(COUNTA(A4937:C4937,E4937)&lt;4,"Ligne incomplète",IF(NOT(ISNUMBER(A4937)),"Date invalide",IF(AND(B4937&lt;&gt;"Entrée",B4937&lt;&gt;"Sortie"),"Type inconnu",IF(ISNA(MATCH(C4937,art_ref,0)),"Référence inconnue",IF(OR(NOT(ISNUMBER(E4937)),N(E4937)&lt;=0),"Quantité invalide",IF(K4937&lt;0,"Stock négatif",IF(AND(ISNUMBER(A4936),A4937&lt;A4936),"Date hors ordre","OK"))))))))</f>
        <v/>
      </c>
      <c r="M4937" s="39" t="str">
        <f>IF(C4937="","",C4937&amp;"#"&amp;COUNTIF($C$5:C4937,C4937))</f>
        <v/>
      </c>
    </row>
    <row r="4938">
      <c r="A4938" s="41" t="n"/>
      <c r="B4938" s="37" t="n"/>
      <c r="C4938" s="37" t="n"/>
      <c r="D4938" s="39" t="str">
        <f>IF(C4938="","",IFERROR(INDEX(art_des,MATCH(C4938,art_ref,0))&amp;"","Référence inconnue"))</f>
        <v/>
      </c>
      <c r="E4938" s="37" t="n"/>
      <c r="F4938" s="39" t="str">
        <f>IF(C4938="","",IFERROR(INDEX(art_unit,MATCH(C4938,art_ref,0))&amp;"",""))</f>
        <v/>
      </c>
      <c r="G4938" s="37" t="n"/>
      <c r="H4938" s="37" t="n"/>
      <c r="I4938" s="37" t="n"/>
      <c r="J4938" s="40" t="str">
        <f>IF(OR(C4938="",NOT(ISNUMBER(E4938))),"",IFERROR(E4938*N(INDEX(art_price,MATCH(C4938,art_ref,0))),""))</f>
        <v/>
      </c>
      <c r="K4938" s="39" t="str">
        <f>IF(OR(C4938="",NOT(ISNUMBER(E4938))),"",IFERROR(ROUND(N(INDEX(art_init,MATCH(C4938,art_ref,0)))+SUMIFS($E$5:E4938,$C$5:C4938,C4938,$B$5:B4938,"Entrée")-SUMIFS($E$5:E4938,$C$5:C4938,C4938,$B$5:B4938,"Sortie"),6),""))</f>
        <v/>
      </c>
      <c r="L4938" s="39" t="str">
        <f>IF(COUNTA(A4938:C4938,E4938)=0,"",IF(COUNTA(A4938:C4938,E4938)&lt;4,"Ligne incomplète",IF(NOT(ISNUMBER(A4938)),"Date invalide",IF(AND(B4938&lt;&gt;"Entrée",B4938&lt;&gt;"Sortie"),"Type inconnu",IF(ISNA(MATCH(C4938,art_ref,0)),"Référence inconnue",IF(OR(NOT(ISNUMBER(E4938)),N(E4938)&lt;=0),"Quantité invalide",IF(K4938&lt;0,"Stock négatif",IF(AND(ISNUMBER(A4937),A4938&lt;A4937),"Date hors ordre","OK"))))))))</f>
        <v/>
      </c>
      <c r="M4938" s="39" t="str">
        <f>IF(C4938="","",C4938&amp;"#"&amp;COUNTIF($C$5:C4938,C4938))</f>
        <v/>
      </c>
    </row>
    <row r="4939">
      <c r="A4939" s="41" t="n"/>
      <c r="B4939" s="37" t="n"/>
      <c r="C4939" s="37" t="n"/>
      <c r="D4939" s="39" t="str">
        <f>IF(C4939="","",IFERROR(INDEX(art_des,MATCH(C4939,art_ref,0))&amp;"","Référence inconnue"))</f>
        <v/>
      </c>
      <c r="E4939" s="37" t="n"/>
      <c r="F4939" s="39" t="str">
        <f>IF(C4939="","",IFERROR(INDEX(art_unit,MATCH(C4939,art_ref,0))&amp;"",""))</f>
        <v/>
      </c>
      <c r="G4939" s="37" t="n"/>
      <c r="H4939" s="37" t="n"/>
      <c r="I4939" s="37" t="n"/>
      <c r="J4939" s="40" t="str">
        <f>IF(OR(C4939="",NOT(ISNUMBER(E4939))),"",IFERROR(E4939*N(INDEX(art_price,MATCH(C4939,art_ref,0))),""))</f>
        <v/>
      </c>
      <c r="K4939" s="39" t="str">
        <f>IF(OR(C4939="",NOT(ISNUMBER(E4939))),"",IFERROR(ROUND(N(INDEX(art_init,MATCH(C4939,art_ref,0)))+SUMIFS($E$5:E4939,$C$5:C4939,C4939,$B$5:B4939,"Entrée")-SUMIFS($E$5:E4939,$C$5:C4939,C4939,$B$5:B4939,"Sortie"),6),""))</f>
        <v/>
      </c>
      <c r="L4939" s="39" t="str">
        <f>IF(COUNTA(A4939:C4939,E4939)=0,"",IF(COUNTA(A4939:C4939,E4939)&lt;4,"Ligne incomplète",IF(NOT(ISNUMBER(A4939)),"Date invalide",IF(AND(B4939&lt;&gt;"Entrée",B4939&lt;&gt;"Sortie"),"Type inconnu",IF(ISNA(MATCH(C4939,art_ref,0)),"Référence inconnue",IF(OR(NOT(ISNUMBER(E4939)),N(E4939)&lt;=0),"Quantité invalide",IF(K4939&lt;0,"Stock négatif",IF(AND(ISNUMBER(A4938),A4939&lt;A4938),"Date hors ordre","OK"))))))))</f>
        <v/>
      </c>
      <c r="M4939" s="39" t="str">
        <f>IF(C4939="","",C4939&amp;"#"&amp;COUNTIF($C$5:C4939,C4939))</f>
        <v/>
      </c>
    </row>
    <row r="4940">
      <c r="A4940" s="41" t="n"/>
      <c r="B4940" s="37" t="n"/>
      <c r="C4940" s="37" t="n"/>
      <c r="D4940" s="39" t="str">
        <f>IF(C4940="","",IFERROR(INDEX(art_des,MATCH(C4940,art_ref,0))&amp;"","Référence inconnue"))</f>
        <v/>
      </c>
      <c r="E4940" s="37" t="n"/>
      <c r="F4940" s="39" t="str">
        <f>IF(C4940="","",IFERROR(INDEX(art_unit,MATCH(C4940,art_ref,0))&amp;"",""))</f>
        <v/>
      </c>
      <c r="G4940" s="37" t="n"/>
      <c r="H4940" s="37" t="n"/>
      <c r="I4940" s="37" t="n"/>
      <c r="J4940" s="40" t="str">
        <f>IF(OR(C4940="",NOT(ISNUMBER(E4940))),"",IFERROR(E4940*N(INDEX(art_price,MATCH(C4940,art_ref,0))),""))</f>
        <v/>
      </c>
      <c r="K4940" s="39" t="str">
        <f>IF(OR(C4940="",NOT(ISNUMBER(E4940))),"",IFERROR(ROUND(N(INDEX(art_init,MATCH(C4940,art_ref,0)))+SUMIFS($E$5:E4940,$C$5:C4940,C4940,$B$5:B4940,"Entrée")-SUMIFS($E$5:E4940,$C$5:C4940,C4940,$B$5:B4940,"Sortie"),6),""))</f>
        <v/>
      </c>
      <c r="L4940" s="39" t="str">
        <f>IF(COUNTA(A4940:C4940,E4940)=0,"",IF(COUNTA(A4940:C4940,E4940)&lt;4,"Ligne incomplète",IF(NOT(ISNUMBER(A4940)),"Date invalide",IF(AND(B4940&lt;&gt;"Entrée",B4940&lt;&gt;"Sortie"),"Type inconnu",IF(ISNA(MATCH(C4940,art_ref,0)),"Référence inconnue",IF(OR(NOT(ISNUMBER(E4940)),N(E4940)&lt;=0),"Quantité invalide",IF(K4940&lt;0,"Stock négatif",IF(AND(ISNUMBER(A4939),A4940&lt;A4939),"Date hors ordre","OK"))))))))</f>
        <v/>
      </c>
      <c r="M4940" s="39" t="str">
        <f>IF(C4940="","",C4940&amp;"#"&amp;COUNTIF($C$5:C4940,C4940))</f>
        <v/>
      </c>
    </row>
    <row r="4941">
      <c r="A4941" s="41" t="n"/>
      <c r="B4941" s="37" t="n"/>
      <c r="C4941" s="37" t="n"/>
      <c r="D4941" s="39" t="str">
        <f>IF(C4941="","",IFERROR(INDEX(art_des,MATCH(C4941,art_ref,0))&amp;"","Référence inconnue"))</f>
        <v/>
      </c>
      <c r="E4941" s="37" t="n"/>
      <c r="F4941" s="39" t="str">
        <f>IF(C4941="","",IFERROR(INDEX(art_unit,MATCH(C4941,art_ref,0))&amp;"",""))</f>
        <v/>
      </c>
      <c r="G4941" s="37" t="n"/>
      <c r="H4941" s="37" t="n"/>
      <c r="I4941" s="37" t="n"/>
      <c r="J4941" s="40" t="str">
        <f>IF(OR(C4941="",NOT(ISNUMBER(E4941))),"",IFERROR(E4941*N(INDEX(art_price,MATCH(C4941,art_ref,0))),""))</f>
        <v/>
      </c>
      <c r="K4941" s="39" t="str">
        <f>IF(OR(C4941="",NOT(ISNUMBER(E4941))),"",IFERROR(ROUND(N(INDEX(art_init,MATCH(C4941,art_ref,0)))+SUMIFS($E$5:E4941,$C$5:C4941,C4941,$B$5:B4941,"Entrée")-SUMIFS($E$5:E4941,$C$5:C4941,C4941,$B$5:B4941,"Sortie"),6),""))</f>
        <v/>
      </c>
      <c r="L4941" s="39" t="str">
        <f>IF(COUNTA(A4941:C4941,E4941)=0,"",IF(COUNTA(A4941:C4941,E4941)&lt;4,"Ligne incomplète",IF(NOT(ISNUMBER(A4941)),"Date invalide",IF(AND(B4941&lt;&gt;"Entrée",B4941&lt;&gt;"Sortie"),"Type inconnu",IF(ISNA(MATCH(C4941,art_ref,0)),"Référence inconnue",IF(OR(NOT(ISNUMBER(E4941)),N(E4941)&lt;=0),"Quantité invalide",IF(K4941&lt;0,"Stock négatif",IF(AND(ISNUMBER(A4940),A4941&lt;A4940),"Date hors ordre","OK"))))))))</f>
        <v/>
      </c>
      <c r="M4941" s="39" t="str">
        <f>IF(C4941="","",C4941&amp;"#"&amp;COUNTIF($C$5:C4941,C4941))</f>
        <v/>
      </c>
    </row>
    <row r="4942">
      <c r="A4942" s="41" t="n"/>
      <c r="B4942" s="37" t="n"/>
      <c r="C4942" s="37" t="n"/>
      <c r="D4942" s="39" t="str">
        <f>IF(C4942="","",IFERROR(INDEX(art_des,MATCH(C4942,art_ref,0))&amp;"","Référence inconnue"))</f>
        <v/>
      </c>
      <c r="E4942" s="37" t="n"/>
      <c r="F4942" s="39" t="str">
        <f>IF(C4942="","",IFERROR(INDEX(art_unit,MATCH(C4942,art_ref,0))&amp;"",""))</f>
        <v/>
      </c>
      <c r="G4942" s="37" t="n"/>
      <c r="H4942" s="37" t="n"/>
      <c r="I4942" s="37" t="n"/>
      <c r="J4942" s="40" t="str">
        <f>IF(OR(C4942="",NOT(ISNUMBER(E4942))),"",IFERROR(E4942*N(INDEX(art_price,MATCH(C4942,art_ref,0))),""))</f>
        <v/>
      </c>
      <c r="K4942" s="39" t="str">
        <f>IF(OR(C4942="",NOT(ISNUMBER(E4942))),"",IFERROR(ROUND(N(INDEX(art_init,MATCH(C4942,art_ref,0)))+SUMIFS($E$5:E4942,$C$5:C4942,C4942,$B$5:B4942,"Entrée")-SUMIFS($E$5:E4942,$C$5:C4942,C4942,$B$5:B4942,"Sortie"),6),""))</f>
        <v/>
      </c>
      <c r="L4942" s="39" t="str">
        <f>IF(COUNTA(A4942:C4942,E4942)=0,"",IF(COUNTA(A4942:C4942,E4942)&lt;4,"Ligne incomplète",IF(NOT(ISNUMBER(A4942)),"Date invalide",IF(AND(B4942&lt;&gt;"Entrée",B4942&lt;&gt;"Sortie"),"Type inconnu",IF(ISNA(MATCH(C4942,art_ref,0)),"Référence inconnue",IF(OR(NOT(ISNUMBER(E4942)),N(E4942)&lt;=0),"Quantité invalide",IF(K4942&lt;0,"Stock négatif",IF(AND(ISNUMBER(A4941),A4942&lt;A4941),"Date hors ordre","OK"))))))))</f>
        <v/>
      </c>
      <c r="M4942" s="39" t="str">
        <f>IF(C4942="","",C4942&amp;"#"&amp;COUNTIF($C$5:C4942,C4942))</f>
        <v/>
      </c>
    </row>
    <row r="4943">
      <c r="A4943" s="41" t="n"/>
      <c r="B4943" s="37" t="n"/>
      <c r="C4943" s="37" t="n"/>
      <c r="D4943" s="39" t="str">
        <f>IF(C4943="","",IFERROR(INDEX(art_des,MATCH(C4943,art_ref,0))&amp;"","Référence inconnue"))</f>
        <v/>
      </c>
      <c r="E4943" s="37" t="n"/>
      <c r="F4943" s="39" t="str">
        <f>IF(C4943="","",IFERROR(INDEX(art_unit,MATCH(C4943,art_ref,0))&amp;"",""))</f>
        <v/>
      </c>
      <c r="G4943" s="37" t="n"/>
      <c r="H4943" s="37" t="n"/>
      <c r="I4943" s="37" t="n"/>
      <c r="J4943" s="40" t="str">
        <f>IF(OR(C4943="",NOT(ISNUMBER(E4943))),"",IFERROR(E4943*N(INDEX(art_price,MATCH(C4943,art_ref,0))),""))</f>
        <v/>
      </c>
      <c r="K4943" s="39" t="str">
        <f>IF(OR(C4943="",NOT(ISNUMBER(E4943))),"",IFERROR(ROUND(N(INDEX(art_init,MATCH(C4943,art_ref,0)))+SUMIFS($E$5:E4943,$C$5:C4943,C4943,$B$5:B4943,"Entrée")-SUMIFS($E$5:E4943,$C$5:C4943,C4943,$B$5:B4943,"Sortie"),6),""))</f>
        <v/>
      </c>
      <c r="L4943" s="39" t="str">
        <f>IF(COUNTA(A4943:C4943,E4943)=0,"",IF(COUNTA(A4943:C4943,E4943)&lt;4,"Ligne incomplète",IF(NOT(ISNUMBER(A4943)),"Date invalide",IF(AND(B4943&lt;&gt;"Entrée",B4943&lt;&gt;"Sortie"),"Type inconnu",IF(ISNA(MATCH(C4943,art_ref,0)),"Référence inconnue",IF(OR(NOT(ISNUMBER(E4943)),N(E4943)&lt;=0),"Quantité invalide",IF(K4943&lt;0,"Stock négatif",IF(AND(ISNUMBER(A4942),A4943&lt;A4942),"Date hors ordre","OK"))))))))</f>
        <v/>
      </c>
      <c r="M4943" s="39" t="str">
        <f>IF(C4943="","",C4943&amp;"#"&amp;COUNTIF($C$5:C4943,C4943))</f>
        <v/>
      </c>
    </row>
    <row r="4944">
      <c r="A4944" s="41" t="n"/>
      <c r="B4944" s="37" t="n"/>
      <c r="C4944" s="37" t="n"/>
      <c r="D4944" s="39" t="str">
        <f>IF(C4944="","",IFERROR(INDEX(art_des,MATCH(C4944,art_ref,0))&amp;"","Référence inconnue"))</f>
        <v/>
      </c>
      <c r="E4944" s="37" t="n"/>
      <c r="F4944" s="39" t="str">
        <f>IF(C4944="","",IFERROR(INDEX(art_unit,MATCH(C4944,art_ref,0))&amp;"",""))</f>
        <v/>
      </c>
      <c r="G4944" s="37" t="n"/>
      <c r="H4944" s="37" t="n"/>
      <c r="I4944" s="37" t="n"/>
      <c r="J4944" s="40" t="str">
        <f>IF(OR(C4944="",NOT(ISNUMBER(E4944))),"",IFERROR(E4944*N(INDEX(art_price,MATCH(C4944,art_ref,0))),""))</f>
        <v/>
      </c>
      <c r="K4944" s="39" t="str">
        <f>IF(OR(C4944="",NOT(ISNUMBER(E4944))),"",IFERROR(ROUND(N(INDEX(art_init,MATCH(C4944,art_ref,0)))+SUMIFS($E$5:E4944,$C$5:C4944,C4944,$B$5:B4944,"Entrée")-SUMIFS($E$5:E4944,$C$5:C4944,C4944,$B$5:B4944,"Sortie"),6),""))</f>
        <v/>
      </c>
      <c r="L4944" s="39" t="str">
        <f>IF(COUNTA(A4944:C4944,E4944)=0,"",IF(COUNTA(A4944:C4944,E4944)&lt;4,"Ligne incomplète",IF(NOT(ISNUMBER(A4944)),"Date invalide",IF(AND(B4944&lt;&gt;"Entrée",B4944&lt;&gt;"Sortie"),"Type inconnu",IF(ISNA(MATCH(C4944,art_ref,0)),"Référence inconnue",IF(OR(NOT(ISNUMBER(E4944)),N(E4944)&lt;=0),"Quantité invalide",IF(K4944&lt;0,"Stock négatif",IF(AND(ISNUMBER(A4943),A4944&lt;A4943),"Date hors ordre","OK"))))))))</f>
        <v/>
      </c>
      <c r="M4944" s="39" t="str">
        <f>IF(C4944="","",C4944&amp;"#"&amp;COUNTIF($C$5:C4944,C4944))</f>
        <v/>
      </c>
    </row>
    <row r="4945">
      <c r="A4945" s="41" t="n"/>
      <c r="B4945" s="37" t="n"/>
      <c r="C4945" s="37" t="n"/>
      <c r="D4945" s="39" t="str">
        <f>IF(C4945="","",IFERROR(INDEX(art_des,MATCH(C4945,art_ref,0))&amp;"","Référence inconnue"))</f>
        <v/>
      </c>
      <c r="E4945" s="37" t="n"/>
      <c r="F4945" s="39" t="str">
        <f>IF(C4945="","",IFERROR(INDEX(art_unit,MATCH(C4945,art_ref,0))&amp;"",""))</f>
        <v/>
      </c>
      <c r="G4945" s="37" t="n"/>
      <c r="H4945" s="37" t="n"/>
      <c r="I4945" s="37" t="n"/>
      <c r="J4945" s="40" t="str">
        <f>IF(OR(C4945="",NOT(ISNUMBER(E4945))),"",IFERROR(E4945*N(INDEX(art_price,MATCH(C4945,art_ref,0))),""))</f>
        <v/>
      </c>
      <c r="K4945" s="39" t="str">
        <f>IF(OR(C4945="",NOT(ISNUMBER(E4945))),"",IFERROR(ROUND(N(INDEX(art_init,MATCH(C4945,art_ref,0)))+SUMIFS($E$5:E4945,$C$5:C4945,C4945,$B$5:B4945,"Entrée")-SUMIFS($E$5:E4945,$C$5:C4945,C4945,$B$5:B4945,"Sortie"),6),""))</f>
        <v/>
      </c>
      <c r="L4945" s="39" t="str">
        <f>IF(COUNTA(A4945:C4945,E4945)=0,"",IF(COUNTA(A4945:C4945,E4945)&lt;4,"Ligne incomplète",IF(NOT(ISNUMBER(A4945)),"Date invalide",IF(AND(B4945&lt;&gt;"Entrée",B4945&lt;&gt;"Sortie"),"Type inconnu",IF(ISNA(MATCH(C4945,art_ref,0)),"Référence inconnue",IF(OR(NOT(ISNUMBER(E4945)),N(E4945)&lt;=0),"Quantité invalide",IF(K4945&lt;0,"Stock négatif",IF(AND(ISNUMBER(A4944),A4945&lt;A4944),"Date hors ordre","OK"))))))))</f>
        <v/>
      </c>
      <c r="M4945" s="39" t="str">
        <f>IF(C4945="","",C4945&amp;"#"&amp;COUNTIF($C$5:C4945,C4945))</f>
        <v/>
      </c>
    </row>
    <row r="4946">
      <c r="A4946" s="41" t="n"/>
      <c r="B4946" s="37" t="n"/>
      <c r="C4946" s="37" t="n"/>
      <c r="D4946" s="39" t="str">
        <f>IF(C4946="","",IFERROR(INDEX(art_des,MATCH(C4946,art_ref,0))&amp;"","Référence inconnue"))</f>
        <v/>
      </c>
      <c r="E4946" s="37" t="n"/>
      <c r="F4946" s="39" t="str">
        <f>IF(C4946="","",IFERROR(INDEX(art_unit,MATCH(C4946,art_ref,0))&amp;"",""))</f>
        <v/>
      </c>
      <c r="G4946" s="37" t="n"/>
      <c r="H4946" s="37" t="n"/>
      <c r="I4946" s="37" t="n"/>
      <c r="J4946" s="40" t="str">
        <f>IF(OR(C4946="",NOT(ISNUMBER(E4946))),"",IFERROR(E4946*N(INDEX(art_price,MATCH(C4946,art_ref,0))),""))</f>
        <v/>
      </c>
      <c r="K4946" s="39" t="str">
        <f>IF(OR(C4946="",NOT(ISNUMBER(E4946))),"",IFERROR(ROUND(N(INDEX(art_init,MATCH(C4946,art_ref,0)))+SUMIFS($E$5:E4946,$C$5:C4946,C4946,$B$5:B4946,"Entrée")-SUMIFS($E$5:E4946,$C$5:C4946,C4946,$B$5:B4946,"Sortie"),6),""))</f>
        <v/>
      </c>
      <c r="L4946" s="39" t="str">
        <f>IF(COUNTA(A4946:C4946,E4946)=0,"",IF(COUNTA(A4946:C4946,E4946)&lt;4,"Ligne incomplète",IF(NOT(ISNUMBER(A4946)),"Date invalide",IF(AND(B4946&lt;&gt;"Entrée",B4946&lt;&gt;"Sortie"),"Type inconnu",IF(ISNA(MATCH(C4946,art_ref,0)),"Référence inconnue",IF(OR(NOT(ISNUMBER(E4946)),N(E4946)&lt;=0),"Quantité invalide",IF(K4946&lt;0,"Stock négatif",IF(AND(ISNUMBER(A4945),A4946&lt;A4945),"Date hors ordre","OK"))))))))</f>
        <v/>
      </c>
      <c r="M4946" s="39" t="str">
        <f>IF(C4946="","",C4946&amp;"#"&amp;COUNTIF($C$5:C4946,C4946))</f>
        <v/>
      </c>
    </row>
    <row r="4947">
      <c r="A4947" s="41" t="n"/>
      <c r="B4947" s="37" t="n"/>
      <c r="C4947" s="37" t="n"/>
      <c r="D4947" s="39" t="str">
        <f>IF(C4947="","",IFERROR(INDEX(art_des,MATCH(C4947,art_ref,0))&amp;"","Référence inconnue"))</f>
        <v/>
      </c>
      <c r="E4947" s="37" t="n"/>
      <c r="F4947" s="39" t="str">
        <f>IF(C4947="","",IFERROR(INDEX(art_unit,MATCH(C4947,art_ref,0))&amp;"",""))</f>
        <v/>
      </c>
      <c r="G4947" s="37" t="n"/>
      <c r="H4947" s="37" t="n"/>
      <c r="I4947" s="37" t="n"/>
      <c r="J4947" s="40" t="str">
        <f>IF(OR(C4947="",NOT(ISNUMBER(E4947))),"",IFERROR(E4947*N(INDEX(art_price,MATCH(C4947,art_ref,0))),""))</f>
        <v/>
      </c>
      <c r="K4947" s="39" t="str">
        <f>IF(OR(C4947="",NOT(ISNUMBER(E4947))),"",IFERROR(ROUND(N(INDEX(art_init,MATCH(C4947,art_ref,0)))+SUMIFS($E$5:E4947,$C$5:C4947,C4947,$B$5:B4947,"Entrée")-SUMIFS($E$5:E4947,$C$5:C4947,C4947,$B$5:B4947,"Sortie"),6),""))</f>
        <v/>
      </c>
      <c r="L4947" s="39" t="str">
        <f>IF(COUNTA(A4947:C4947,E4947)=0,"",IF(COUNTA(A4947:C4947,E4947)&lt;4,"Ligne incomplète",IF(NOT(ISNUMBER(A4947)),"Date invalide",IF(AND(B4947&lt;&gt;"Entrée",B4947&lt;&gt;"Sortie"),"Type inconnu",IF(ISNA(MATCH(C4947,art_ref,0)),"Référence inconnue",IF(OR(NOT(ISNUMBER(E4947)),N(E4947)&lt;=0),"Quantité invalide",IF(K4947&lt;0,"Stock négatif",IF(AND(ISNUMBER(A4946),A4947&lt;A4946),"Date hors ordre","OK"))))))))</f>
        <v/>
      </c>
      <c r="M4947" s="39" t="str">
        <f>IF(C4947="","",C4947&amp;"#"&amp;COUNTIF($C$5:C4947,C4947))</f>
        <v/>
      </c>
    </row>
    <row r="4948">
      <c r="A4948" s="41" t="n"/>
      <c r="B4948" s="37" t="n"/>
      <c r="C4948" s="37" t="n"/>
      <c r="D4948" s="39" t="str">
        <f>IF(C4948="","",IFERROR(INDEX(art_des,MATCH(C4948,art_ref,0))&amp;"","Référence inconnue"))</f>
        <v/>
      </c>
      <c r="E4948" s="37" t="n"/>
      <c r="F4948" s="39" t="str">
        <f>IF(C4948="","",IFERROR(INDEX(art_unit,MATCH(C4948,art_ref,0))&amp;"",""))</f>
        <v/>
      </c>
      <c r="G4948" s="37" t="n"/>
      <c r="H4948" s="37" t="n"/>
      <c r="I4948" s="37" t="n"/>
      <c r="J4948" s="40" t="str">
        <f>IF(OR(C4948="",NOT(ISNUMBER(E4948))),"",IFERROR(E4948*N(INDEX(art_price,MATCH(C4948,art_ref,0))),""))</f>
        <v/>
      </c>
      <c r="K4948" s="39" t="str">
        <f>IF(OR(C4948="",NOT(ISNUMBER(E4948))),"",IFERROR(ROUND(N(INDEX(art_init,MATCH(C4948,art_ref,0)))+SUMIFS($E$5:E4948,$C$5:C4948,C4948,$B$5:B4948,"Entrée")-SUMIFS($E$5:E4948,$C$5:C4948,C4948,$B$5:B4948,"Sortie"),6),""))</f>
        <v/>
      </c>
      <c r="L4948" s="39" t="str">
        <f>IF(COUNTA(A4948:C4948,E4948)=0,"",IF(COUNTA(A4948:C4948,E4948)&lt;4,"Ligne incomplète",IF(NOT(ISNUMBER(A4948)),"Date invalide",IF(AND(B4948&lt;&gt;"Entrée",B4948&lt;&gt;"Sortie"),"Type inconnu",IF(ISNA(MATCH(C4948,art_ref,0)),"Référence inconnue",IF(OR(NOT(ISNUMBER(E4948)),N(E4948)&lt;=0),"Quantité invalide",IF(K4948&lt;0,"Stock négatif",IF(AND(ISNUMBER(A4947),A4948&lt;A4947),"Date hors ordre","OK"))))))))</f>
        <v/>
      </c>
      <c r="M4948" s="39" t="str">
        <f>IF(C4948="","",C4948&amp;"#"&amp;COUNTIF($C$5:C4948,C4948))</f>
        <v/>
      </c>
    </row>
    <row r="4949">
      <c r="A4949" s="41" t="n"/>
      <c r="B4949" s="37" t="n"/>
      <c r="C4949" s="37" t="n"/>
      <c r="D4949" s="39" t="str">
        <f>IF(C4949="","",IFERROR(INDEX(art_des,MATCH(C4949,art_ref,0))&amp;"","Référence inconnue"))</f>
        <v/>
      </c>
      <c r="E4949" s="37" t="n"/>
      <c r="F4949" s="39" t="str">
        <f>IF(C4949="","",IFERROR(INDEX(art_unit,MATCH(C4949,art_ref,0))&amp;"",""))</f>
        <v/>
      </c>
      <c r="G4949" s="37" t="n"/>
      <c r="H4949" s="37" t="n"/>
      <c r="I4949" s="37" t="n"/>
      <c r="J4949" s="40" t="str">
        <f>IF(OR(C4949="",NOT(ISNUMBER(E4949))),"",IFERROR(E4949*N(INDEX(art_price,MATCH(C4949,art_ref,0))),""))</f>
        <v/>
      </c>
      <c r="K4949" s="39" t="str">
        <f>IF(OR(C4949="",NOT(ISNUMBER(E4949))),"",IFERROR(ROUND(N(INDEX(art_init,MATCH(C4949,art_ref,0)))+SUMIFS($E$5:E4949,$C$5:C4949,C4949,$B$5:B4949,"Entrée")-SUMIFS($E$5:E4949,$C$5:C4949,C4949,$B$5:B4949,"Sortie"),6),""))</f>
        <v/>
      </c>
      <c r="L4949" s="39" t="str">
        <f>IF(COUNTA(A4949:C4949,E4949)=0,"",IF(COUNTA(A4949:C4949,E4949)&lt;4,"Ligne incomplète",IF(NOT(ISNUMBER(A4949)),"Date invalide",IF(AND(B4949&lt;&gt;"Entrée",B4949&lt;&gt;"Sortie"),"Type inconnu",IF(ISNA(MATCH(C4949,art_ref,0)),"Référence inconnue",IF(OR(NOT(ISNUMBER(E4949)),N(E4949)&lt;=0),"Quantité invalide",IF(K4949&lt;0,"Stock négatif",IF(AND(ISNUMBER(A4948),A4949&lt;A4948),"Date hors ordre","OK"))))))))</f>
        <v/>
      </c>
      <c r="M4949" s="39" t="str">
        <f>IF(C4949="","",C4949&amp;"#"&amp;COUNTIF($C$5:C4949,C4949))</f>
        <v/>
      </c>
    </row>
    <row r="4950">
      <c r="A4950" s="41" t="n"/>
      <c r="B4950" s="37" t="n"/>
      <c r="C4950" s="37" t="n"/>
      <c r="D4950" s="39" t="str">
        <f>IF(C4950="","",IFERROR(INDEX(art_des,MATCH(C4950,art_ref,0))&amp;"","Référence inconnue"))</f>
        <v/>
      </c>
      <c r="E4950" s="37" t="n"/>
      <c r="F4950" s="39" t="str">
        <f>IF(C4950="","",IFERROR(INDEX(art_unit,MATCH(C4950,art_ref,0))&amp;"",""))</f>
        <v/>
      </c>
      <c r="G4950" s="37" t="n"/>
      <c r="H4950" s="37" t="n"/>
      <c r="I4950" s="37" t="n"/>
      <c r="J4950" s="40" t="str">
        <f>IF(OR(C4950="",NOT(ISNUMBER(E4950))),"",IFERROR(E4950*N(INDEX(art_price,MATCH(C4950,art_ref,0))),""))</f>
        <v/>
      </c>
      <c r="K4950" s="39" t="str">
        <f>IF(OR(C4950="",NOT(ISNUMBER(E4950))),"",IFERROR(ROUND(N(INDEX(art_init,MATCH(C4950,art_ref,0)))+SUMIFS($E$5:E4950,$C$5:C4950,C4950,$B$5:B4950,"Entrée")-SUMIFS($E$5:E4950,$C$5:C4950,C4950,$B$5:B4950,"Sortie"),6),""))</f>
        <v/>
      </c>
      <c r="L4950" s="39" t="str">
        <f>IF(COUNTA(A4950:C4950,E4950)=0,"",IF(COUNTA(A4950:C4950,E4950)&lt;4,"Ligne incomplète",IF(NOT(ISNUMBER(A4950)),"Date invalide",IF(AND(B4950&lt;&gt;"Entrée",B4950&lt;&gt;"Sortie"),"Type inconnu",IF(ISNA(MATCH(C4950,art_ref,0)),"Référence inconnue",IF(OR(NOT(ISNUMBER(E4950)),N(E4950)&lt;=0),"Quantité invalide",IF(K4950&lt;0,"Stock négatif",IF(AND(ISNUMBER(A4949),A4950&lt;A4949),"Date hors ordre","OK"))))))))</f>
        <v/>
      </c>
      <c r="M4950" s="39" t="str">
        <f>IF(C4950="","",C4950&amp;"#"&amp;COUNTIF($C$5:C4950,C4950))</f>
        <v/>
      </c>
    </row>
    <row r="4951">
      <c r="A4951" s="41" t="n"/>
      <c r="B4951" s="37" t="n"/>
      <c r="C4951" s="37" t="n"/>
      <c r="D4951" s="39" t="str">
        <f>IF(C4951="","",IFERROR(INDEX(art_des,MATCH(C4951,art_ref,0))&amp;"","Référence inconnue"))</f>
        <v/>
      </c>
      <c r="E4951" s="37" t="n"/>
      <c r="F4951" s="39" t="str">
        <f>IF(C4951="","",IFERROR(INDEX(art_unit,MATCH(C4951,art_ref,0))&amp;"",""))</f>
        <v/>
      </c>
      <c r="G4951" s="37" t="n"/>
      <c r="H4951" s="37" t="n"/>
      <c r="I4951" s="37" t="n"/>
      <c r="J4951" s="40" t="str">
        <f>IF(OR(C4951="",NOT(ISNUMBER(E4951))),"",IFERROR(E4951*N(INDEX(art_price,MATCH(C4951,art_ref,0))),""))</f>
        <v/>
      </c>
      <c r="K4951" s="39" t="str">
        <f>IF(OR(C4951="",NOT(ISNUMBER(E4951))),"",IFERROR(ROUND(N(INDEX(art_init,MATCH(C4951,art_ref,0)))+SUMIFS($E$5:E4951,$C$5:C4951,C4951,$B$5:B4951,"Entrée")-SUMIFS($E$5:E4951,$C$5:C4951,C4951,$B$5:B4951,"Sortie"),6),""))</f>
        <v/>
      </c>
      <c r="L4951" s="39" t="str">
        <f>IF(COUNTA(A4951:C4951,E4951)=0,"",IF(COUNTA(A4951:C4951,E4951)&lt;4,"Ligne incomplète",IF(NOT(ISNUMBER(A4951)),"Date invalide",IF(AND(B4951&lt;&gt;"Entrée",B4951&lt;&gt;"Sortie"),"Type inconnu",IF(ISNA(MATCH(C4951,art_ref,0)),"Référence inconnue",IF(OR(NOT(ISNUMBER(E4951)),N(E4951)&lt;=0),"Quantité invalide",IF(K4951&lt;0,"Stock négatif",IF(AND(ISNUMBER(A4950),A4951&lt;A4950),"Date hors ordre","OK"))))))))</f>
        <v/>
      </c>
      <c r="M4951" s="39" t="str">
        <f>IF(C4951="","",C4951&amp;"#"&amp;COUNTIF($C$5:C4951,C4951))</f>
        <v/>
      </c>
    </row>
    <row r="4952">
      <c r="A4952" s="41" t="n"/>
      <c r="B4952" s="37" t="n"/>
      <c r="C4952" s="37" t="n"/>
      <c r="D4952" s="39" t="str">
        <f>IF(C4952="","",IFERROR(INDEX(art_des,MATCH(C4952,art_ref,0))&amp;"","Référence inconnue"))</f>
        <v/>
      </c>
      <c r="E4952" s="37" t="n"/>
      <c r="F4952" s="39" t="str">
        <f>IF(C4952="","",IFERROR(INDEX(art_unit,MATCH(C4952,art_ref,0))&amp;"",""))</f>
        <v/>
      </c>
      <c r="G4952" s="37" t="n"/>
      <c r="H4952" s="37" t="n"/>
      <c r="I4952" s="37" t="n"/>
      <c r="J4952" s="40" t="str">
        <f>IF(OR(C4952="",NOT(ISNUMBER(E4952))),"",IFERROR(E4952*N(INDEX(art_price,MATCH(C4952,art_ref,0))),""))</f>
        <v/>
      </c>
      <c r="K4952" s="39" t="str">
        <f>IF(OR(C4952="",NOT(ISNUMBER(E4952))),"",IFERROR(ROUND(N(INDEX(art_init,MATCH(C4952,art_ref,0)))+SUMIFS($E$5:E4952,$C$5:C4952,C4952,$B$5:B4952,"Entrée")-SUMIFS($E$5:E4952,$C$5:C4952,C4952,$B$5:B4952,"Sortie"),6),""))</f>
        <v/>
      </c>
      <c r="L4952" s="39" t="str">
        <f>IF(COUNTA(A4952:C4952,E4952)=0,"",IF(COUNTA(A4952:C4952,E4952)&lt;4,"Ligne incomplète",IF(NOT(ISNUMBER(A4952)),"Date invalide",IF(AND(B4952&lt;&gt;"Entrée",B4952&lt;&gt;"Sortie"),"Type inconnu",IF(ISNA(MATCH(C4952,art_ref,0)),"Référence inconnue",IF(OR(NOT(ISNUMBER(E4952)),N(E4952)&lt;=0),"Quantité invalide",IF(K4952&lt;0,"Stock négatif",IF(AND(ISNUMBER(A4951),A4952&lt;A4951),"Date hors ordre","OK"))))))))</f>
        <v/>
      </c>
      <c r="M4952" s="39" t="str">
        <f>IF(C4952="","",C4952&amp;"#"&amp;COUNTIF($C$5:C4952,C4952))</f>
        <v/>
      </c>
    </row>
    <row r="4953">
      <c r="A4953" s="41" t="n"/>
      <c r="B4953" s="37" t="n"/>
      <c r="C4953" s="37" t="n"/>
      <c r="D4953" s="39" t="str">
        <f>IF(C4953="","",IFERROR(INDEX(art_des,MATCH(C4953,art_ref,0))&amp;"","Référence inconnue"))</f>
        <v/>
      </c>
      <c r="E4953" s="37" t="n"/>
      <c r="F4953" s="39" t="str">
        <f>IF(C4953="","",IFERROR(INDEX(art_unit,MATCH(C4953,art_ref,0))&amp;"",""))</f>
        <v/>
      </c>
      <c r="G4953" s="37" t="n"/>
      <c r="H4953" s="37" t="n"/>
      <c r="I4953" s="37" t="n"/>
      <c r="J4953" s="40" t="str">
        <f>IF(OR(C4953="",NOT(ISNUMBER(E4953))),"",IFERROR(E4953*N(INDEX(art_price,MATCH(C4953,art_ref,0))),""))</f>
        <v/>
      </c>
      <c r="K4953" s="39" t="str">
        <f>IF(OR(C4953="",NOT(ISNUMBER(E4953))),"",IFERROR(ROUND(N(INDEX(art_init,MATCH(C4953,art_ref,0)))+SUMIFS($E$5:E4953,$C$5:C4953,C4953,$B$5:B4953,"Entrée")-SUMIFS($E$5:E4953,$C$5:C4953,C4953,$B$5:B4953,"Sortie"),6),""))</f>
        <v/>
      </c>
      <c r="L4953" s="39" t="str">
        <f>IF(COUNTA(A4953:C4953,E4953)=0,"",IF(COUNTA(A4953:C4953,E4953)&lt;4,"Ligne incomplète",IF(NOT(ISNUMBER(A4953)),"Date invalide",IF(AND(B4953&lt;&gt;"Entrée",B4953&lt;&gt;"Sortie"),"Type inconnu",IF(ISNA(MATCH(C4953,art_ref,0)),"Référence inconnue",IF(OR(NOT(ISNUMBER(E4953)),N(E4953)&lt;=0),"Quantité invalide",IF(K4953&lt;0,"Stock négatif",IF(AND(ISNUMBER(A4952),A4953&lt;A4952),"Date hors ordre","OK"))))))))</f>
        <v/>
      </c>
      <c r="M4953" s="39" t="str">
        <f>IF(C4953="","",C4953&amp;"#"&amp;COUNTIF($C$5:C4953,C4953))</f>
        <v/>
      </c>
    </row>
    <row r="4954">
      <c r="A4954" s="41" t="n"/>
      <c r="B4954" s="37" t="n"/>
      <c r="C4954" s="37" t="n"/>
      <c r="D4954" s="39" t="str">
        <f>IF(C4954="","",IFERROR(INDEX(art_des,MATCH(C4954,art_ref,0))&amp;"","Référence inconnue"))</f>
        <v/>
      </c>
      <c r="E4954" s="37" t="n"/>
      <c r="F4954" s="39" t="str">
        <f>IF(C4954="","",IFERROR(INDEX(art_unit,MATCH(C4954,art_ref,0))&amp;"",""))</f>
        <v/>
      </c>
      <c r="G4954" s="37" t="n"/>
      <c r="H4954" s="37" t="n"/>
      <c r="I4954" s="37" t="n"/>
      <c r="J4954" s="40" t="str">
        <f>IF(OR(C4954="",NOT(ISNUMBER(E4954))),"",IFERROR(E4954*N(INDEX(art_price,MATCH(C4954,art_ref,0))),""))</f>
        <v/>
      </c>
      <c r="K4954" s="39" t="str">
        <f>IF(OR(C4954="",NOT(ISNUMBER(E4954))),"",IFERROR(ROUND(N(INDEX(art_init,MATCH(C4954,art_ref,0)))+SUMIFS($E$5:E4954,$C$5:C4954,C4954,$B$5:B4954,"Entrée")-SUMIFS($E$5:E4954,$C$5:C4954,C4954,$B$5:B4954,"Sortie"),6),""))</f>
        <v/>
      </c>
      <c r="L4954" s="39" t="str">
        <f>IF(COUNTA(A4954:C4954,E4954)=0,"",IF(COUNTA(A4954:C4954,E4954)&lt;4,"Ligne incomplète",IF(NOT(ISNUMBER(A4954)),"Date invalide",IF(AND(B4954&lt;&gt;"Entrée",B4954&lt;&gt;"Sortie"),"Type inconnu",IF(ISNA(MATCH(C4954,art_ref,0)),"Référence inconnue",IF(OR(NOT(ISNUMBER(E4954)),N(E4954)&lt;=0),"Quantité invalide",IF(K4954&lt;0,"Stock négatif",IF(AND(ISNUMBER(A4953),A4954&lt;A4953),"Date hors ordre","OK"))))))))</f>
        <v/>
      </c>
      <c r="M4954" s="39" t="str">
        <f>IF(C4954="","",C4954&amp;"#"&amp;COUNTIF($C$5:C4954,C4954))</f>
        <v/>
      </c>
    </row>
    <row r="4955">
      <c r="A4955" s="41" t="n"/>
      <c r="B4955" s="37" t="n"/>
      <c r="C4955" s="37" t="n"/>
      <c r="D4955" s="39" t="str">
        <f>IF(C4955="","",IFERROR(INDEX(art_des,MATCH(C4955,art_ref,0))&amp;"","Référence inconnue"))</f>
        <v/>
      </c>
      <c r="E4955" s="37" t="n"/>
      <c r="F4955" s="39" t="str">
        <f>IF(C4955="","",IFERROR(INDEX(art_unit,MATCH(C4955,art_ref,0))&amp;"",""))</f>
        <v/>
      </c>
      <c r="G4955" s="37" t="n"/>
      <c r="H4955" s="37" t="n"/>
      <c r="I4955" s="37" t="n"/>
      <c r="J4955" s="40" t="str">
        <f>IF(OR(C4955="",NOT(ISNUMBER(E4955))),"",IFERROR(E4955*N(INDEX(art_price,MATCH(C4955,art_ref,0))),""))</f>
        <v/>
      </c>
      <c r="K4955" s="39" t="str">
        <f>IF(OR(C4955="",NOT(ISNUMBER(E4955))),"",IFERROR(ROUND(N(INDEX(art_init,MATCH(C4955,art_ref,0)))+SUMIFS($E$5:E4955,$C$5:C4955,C4955,$B$5:B4955,"Entrée")-SUMIFS($E$5:E4955,$C$5:C4955,C4955,$B$5:B4955,"Sortie"),6),""))</f>
        <v/>
      </c>
      <c r="L4955" s="39" t="str">
        <f>IF(COUNTA(A4955:C4955,E4955)=0,"",IF(COUNTA(A4955:C4955,E4955)&lt;4,"Ligne incomplète",IF(NOT(ISNUMBER(A4955)),"Date invalide",IF(AND(B4955&lt;&gt;"Entrée",B4955&lt;&gt;"Sortie"),"Type inconnu",IF(ISNA(MATCH(C4955,art_ref,0)),"Référence inconnue",IF(OR(NOT(ISNUMBER(E4955)),N(E4955)&lt;=0),"Quantité invalide",IF(K4955&lt;0,"Stock négatif",IF(AND(ISNUMBER(A4954),A4955&lt;A4954),"Date hors ordre","OK"))))))))</f>
        <v/>
      </c>
      <c r="M4955" s="39" t="str">
        <f>IF(C4955="","",C4955&amp;"#"&amp;COUNTIF($C$5:C4955,C4955))</f>
        <v/>
      </c>
    </row>
    <row r="4956">
      <c r="A4956" s="41" t="n"/>
      <c r="B4956" s="37" t="n"/>
      <c r="C4956" s="37" t="n"/>
      <c r="D4956" s="39" t="str">
        <f>IF(C4956="","",IFERROR(INDEX(art_des,MATCH(C4956,art_ref,0))&amp;"","Référence inconnue"))</f>
        <v/>
      </c>
      <c r="E4956" s="37" t="n"/>
      <c r="F4956" s="39" t="str">
        <f>IF(C4956="","",IFERROR(INDEX(art_unit,MATCH(C4956,art_ref,0))&amp;"",""))</f>
        <v/>
      </c>
      <c r="G4956" s="37" t="n"/>
      <c r="H4956" s="37" t="n"/>
      <c r="I4956" s="37" t="n"/>
      <c r="J4956" s="40" t="str">
        <f>IF(OR(C4956="",NOT(ISNUMBER(E4956))),"",IFERROR(E4956*N(INDEX(art_price,MATCH(C4956,art_ref,0))),""))</f>
        <v/>
      </c>
      <c r="K4956" s="39" t="str">
        <f>IF(OR(C4956="",NOT(ISNUMBER(E4956))),"",IFERROR(ROUND(N(INDEX(art_init,MATCH(C4956,art_ref,0)))+SUMIFS($E$5:E4956,$C$5:C4956,C4956,$B$5:B4956,"Entrée")-SUMIFS($E$5:E4956,$C$5:C4956,C4956,$B$5:B4956,"Sortie"),6),""))</f>
        <v/>
      </c>
      <c r="L4956" s="39" t="str">
        <f>IF(COUNTA(A4956:C4956,E4956)=0,"",IF(COUNTA(A4956:C4956,E4956)&lt;4,"Ligne incomplète",IF(NOT(ISNUMBER(A4956)),"Date invalide",IF(AND(B4956&lt;&gt;"Entrée",B4956&lt;&gt;"Sortie"),"Type inconnu",IF(ISNA(MATCH(C4956,art_ref,0)),"Référence inconnue",IF(OR(NOT(ISNUMBER(E4956)),N(E4956)&lt;=0),"Quantité invalide",IF(K4956&lt;0,"Stock négatif",IF(AND(ISNUMBER(A4955),A4956&lt;A4955),"Date hors ordre","OK"))))))))</f>
        <v/>
      </c>
      <c r="M4956" s="39" t="str">
        <f>IF(C4956="","",C4956&amp;"#"&amp;COUNTIF($C$5:C4956,C4956))</f>
        <v/>
      </c>
    </row>
    <row r="4957">
      <c r="A4957" s="41" t="n"/>
      <c r="B4957" s="37" t="n"/>
      <c r="C4957" s="37" t="n"/>
      <c r="D4957" s="39" t="str">
        <f>IF(C4957="","",IFERROR(INDEX(art_des,MATCH(C4957,art_ref,0))&amp;"","Référence inconnue"))</f>
        <v/>
      </c>
      <c r="E4957" s="37" t="n"/>
      <c r="F4957" s="39" t="str">
        <f>IF(C4957="","",IFERROR(INDEX(art_unit,MATCH(C4957,art_ref,0))&amp;"",""))</f>
        <v/>
      </c>
      <c r="G4957" s="37" t="n"/>
      <c r="H4957" s="37" t="n"/>
      <c r="I4957" s="37" t="n"/>
      <c r="J4957" s="40" t="str">
        <f>IF(OR(C4957="",NOT(ISNUMBER(E4957))),"",IFERROR(E4957*N(INDEX(art_price,MATCH(C4957,art_ref,0))),""))</f>
        <v/>
      </c>
      <c r="K4957" s="39" t="str">
        <f>IF(OR(C4957="",NOT(ISNUMBER(E4957))),"",IFERROR(ROUND(N(INDEX(art_init,MATCH(C4957,art_ref,0)))+SUMIFS($E$5:E4957,$C$5:C4957,C4957,$B$5:B4957,"Entrée")-SUMIFS($E$5:E4957,$C$5:C4957,C4957,$B$5:B4957,"Sortie"),6),""))</f>
        <v/>
      </c>
      <c r="L4957" s="39" t="str">
        <f>IF(COUNTA(A4957:C4957,E4957)=0,"",IF(COUNTA(A4957:C4957,E4957)&lt;4,"Ligne incomplète",IF(NOT(ISNUMBER(A4957)),"Date invalide",IF(AND(B4957&lt;&gt;"Entrée",B4957&lt;&gt;"Sortie"),"Type inconnu",IF(ISNA(MATCH(C4957,art_ref,0)),"Référence inconnue",IF(OR(NOT(ISNUMBER(E4957)),N(E4957)&lt;=0),"Quantité invalide",IF(K4957&lt;0,"Stock négatif",IF(AND(ISNUMBER(A4956),A4957&lt;A4956),"Date hors ordre","OK"))))))))</f>
        <v/>
      </c>
      <c r="M4957" s="39" t="str">
        <f>IF(C4957="","",C4957&amp;"#"&amp;COUNTIF($C$5:C4957,C4957))</f>
        <v/>
      </c>
    </row>
    <row r="4958">
      <c r="A4958" s="41" t="n"/>
      <c r="B4958" s="37" t="n"/>
      <c r="C4958" s="37" t="n"/>
      <c r="D4958" s="39" t="str">
        <f>IF(C4958="","",IFERROR(INDEX(art_des,MATCH(C4958,art_ref,0))&amp;"","Référence inconnue"))</f>
        <v/>
      </c>
      <c r="E4958" s="37" t="n"/>
      <c r="F4958" s="39" t="str">
        <f>IF(C4958="","",IFERROR(INDEX(art_unit,MATCH(C4958,art_ref,0))&amp;"",""))</f>
        <v/>
      </c>
      <c r="G4958" s="37" t="n"/>
      <c r="H4958" s="37" t="n"/>
      <c r="I4958" s="37" t="n"/>
      <c r="J4958" s="40" t="str">
        <f>IF(OR(C4958="",NOT(ISNUMBER(E4958))),"",IFERROR(E4958*N(INDEX(art_price,MATCH(C4958,art_ref,0))),""))</f>
        <v/>
      </c>
      <c r="K4958" s="39" t="str">
        <f>IF(OR(C4958="",NOT(ISNUMBER(E4958))),"",IFERROR(ROUND(N(INDEX(art_init,MATCH(C4958,art_ref,0)))+SUMIFS($E$5:E4958,$C$5:C4958,C4958,$B$5:B4958,"Entrée")-SUMIFS($E$5:E4958,$C$5:C4958,C4958,$B$5:B4958,"Sortie"),6),""))</f>
        <v/>
      </c>
      <c r="L4958" s="39" t="str">
        <f>IF(COUNTA(A4958:C4958,E4958)=0,"",IF(COUNTA(A4958:C4958,E4958)&lt;4,"Ligne incomplète",IF(NOT(ISNUMBER(A4958)),"Date invalide",IF(AND(B4958&lt;&gt;"Entrée",B4958&lt;&gt;"Sortie"),"Type inconnu",IF(ISNA(MATCH(C4958,art_ref,0)),"Référence inconnue",IF(OR(NOT(ISNUMBER(E4958)),N(E4958)&lt;=0),"Quantité invalide",IF(K4958&lt;0,"Stock négatif",IF(AND(ISNUMBER(A4957),A4958&lt;A4957),"Date hors ordre","OK"))))))))</f>
        <v/>
      </c>
      <c r="M4958" s="39" t="str">
        <f>IF(C4958="","",C4958&amp;"#"&amp;COUNTIF($C$5:C4958,C4958))</f>
        <v/>
      </c>
    </row>
    <row r="4959">
      <c r="A4959" s="41" t="n"/>
      <c r="B4959" s="37" t="n"/>
      <c r="C4959" s="37" t="n"/>
      <c r="D4959" s="39" t="str">
        <f>IF(C4959="","",IFERROR(INDEX(art_des,MATCH(C4959,art_ref,0))&amp;"","Référence inconnue"))</f>
        <v/>
      </c>
      <c r="E4959" s="37" t="n"/>
      <c r="F4959" s="39" t="str">
        <f>IF(C4959="","",IFERROR(INDEX(art_unit,MATCH(C4959,art_ref,0))&amp;"",""))</f>
        <v/>
      </c>
      <c r="G4959" s="37" t="n"/>
      <c r="H4959" s="37" t="n"/>
      <c r="I4959" s="37" t="n"/>
      <c r="J4959" s="40" t="str">
        <f>IF(OR(C4959="",NOT(ISNUMBER(E4959))),"",IFERROR(E4959*N(INDEX(art_price,MATCH(C4959,art_ref,0))),""))</f>
        <v/>
      </c>
      <c r="K4959" s="39" t="str">
        <f>IF(OR(C4959="",NOT(ISNUMBER(E4959))),"",IFERROR(ROUND(N(INDEX(art_init,MATCH(C4959,art_ref,0)))+SUMIFS($E$5:E4959,$C$5:C4959,C4959,$B$5:B4959,"Entrée")-SUMIFS($E$5:E4959,$C$5:C4959,C4959,$B$5:B4959,"Sortie"),6),""))</f>
        <v/>
      </c>
      <c r="L4959" s="39" t="str">
        <f>IF(COUNTA(A4959:C4959,E4959)=0,"",IF(COUNTA(A4959:C4959,E4959)&lt;4,"Ligne incomplète",IF(NOT(ISNUMBER(A4959)),"Date invalide",IF(AND(B4959&lt;&gt;"Entrée",B4959&lt;&gt;"Sortie"),"Type inconnu",IF(ISNA(MATCH(C4959,art_ref,0)),"Référence inconnue",IF(OR(NOT(ISNUMBER(E4959)),N(E4959)&lt;=0),"Quantité invalide",IF(K4959&lt;0,"Stock négatif",IF(AND(ISNUMBER(A4958),A4959&lt;A4958),"Date hors ordre","OK"))))))))</f>
        <v/>
      </c>
      <c r="M4959" s="39" t="str">
        <f>IF(C4959="","",C4959&amp;"#"&amp;COUNTIF($C$5:C4959,C4959))</f>
        <v/>
      </c>
    </row>
    <row r="4960">
      <c r="A4960" s="41" t="n"/>
      <c r="B4960" s="37" t="n"/>
      <c r="C4960" s="37" t="n"/>
      <c r="D4960" s="39" t="str">
        <f>IF(C4960="","",IFERROR(INDEX(art_des,MATCH(C4960,art_ref,0))&amp;"","Référence inconnue"))</f>
        <v/>
      </c>
      <c r="E4960" s="37" t="n"/>
      <c r="F4960" s="39" t="str">
        <f>IF(C4960="","",IFERROR(INDEX(art_unit,MATCH(C4960,art_ref,0))&amp;"",""))</f>
        <v/>
      </c>
      <c r="G4960" s="37" t="n"/>
      <c r="H4960" s="37" t="n"/>
      <c r="I4960" s="37" t="n"/>
      <c r="J4960" s="40" t="str">
        <f>IF(OR(C4960="",NOT(ISNUMBER(E4960))),"",IFERROR(E4960*N(INDEX(art_price,MATCH(C4960,art_ref,0))),""))</f>
        <v/>
      </c>
      <c r="K4960" s="39" t="str">
        <f>IF(OR(C4960="",NOT(ISNUMBER(E4960))),"",IFERROR(ROUND(N(INDEX(art_init,MATCH(C4960,art_ref,0)))+SUMIFS($E$5:E4960,$C$5:C4960,C4960,$B$5:B4960,"Entrée")-SUMIFS($E$5:E4960,$C$5:C4960,C4960,$B$5:B4960,"Sortie"),6),""))</f>
        <v/>
      </c>
      <c r="L4960" s="39" t="str">
        <f>IF(COUNTA(A4960:C4960,E4960)=0,"",IF(COUNTA(A4960:C4960,E4960)&lt;4,"Ligne incomplète",IF(NOT(ISNUMBER(A4960)),"Date invalide",IF(AND(B4960&lt;&gt;"Entrée",B4960&lt;&gt;"Sortie"),"Type inconnu",IF(ISNA(MATCH(C4960,art_ref,0)),"Référence inconnue",IF(OR(NOT(ISNUMBER(E4960)),N(E4960)&lt;=0),"Quantité invalide",IF(K4960&lt;0,"Stock négatif",IF(AND(ISNUMBER(A4959),A4960&lt;A4959),"Date hors ordre","OK"))))))))</f>
        <v/>
      </c>
      <c r="M4960" s="39" t="str">
        <f>IF(C4960="","",C4960&amp;"#"&amp;COUNTIF($C$5:C4960,C4960))</f>
        <v/>
      </c>
    </row>
    <row r="4961">
      <c r="A4961" s="41" t="n"/>
      <c r="B4961" s="37" t="n"/>
      <c r="C4961" s="37" t="n"/>
      <c r="D4961" s="39" t="str">
        <f>IF(C4961="","",IFERROR(INDEX(art_des,MATCH(C4961,art_ref,0))&amp;"","Référence inconnue"))</f>
        <v/>
      </c>
      <c r="E4961" s="37" t="n"/>
      <c r="F4961" s="39" t="str">
        <f>IF(C4961="","",IFERROR(INDEX(art_unit,MATCH(C4961,art_ref,0))&amp;"",""))</f>
        <v/>
      </c>
      <c r="G4961" s="37" t="n"/>
      <c r="H4961" s="37" t="n"/>
      <c r="I4961" s="37" t="n"/>
      <c r="J4961" s="40" t="str">
        <f>IF(OR(C4961="",NOT(ISNUMBER(E4961))),"",IFERROR(E4961*N(INDEX(art_price,MATCH(C4961,art_ref,0))),""))</f>
        <v/>
      </c>
      <c r="K4961" s="39" t="str">
        <f>IF(OR(C4961="",NOT(ISNUMBER(E4961))),"",IFERROR(ROUND(N(INDEX(art_init,MATCH(C4961,art_ref,0)))+SUMIFS($E$5:E4961,$C$5:C4961,C4961,$B$5:B4961,"Entrée")-SUMIFS($E$5:E4961,$C$5:C4961,C4961,$B$5:B4961,"Sortie"),6),""))</f>
        <v/>
      </c>
      <c r="L4961" s="39" t="str">
        <f>IF(COUNTA(A4961:C4961,E4961)=0,"",IF(COUNTA(A4961:C4961,E4961)&lt;4,"Ligne incomplète",IF(NOT(ISNUMBER(A4961)),"Date invalide",IF(AND(B4961&lt;&gt;"Entrée",B4961&lt;&gt;"Sortie"),"Type inconnu",IF(ISNA(MATCH(C4961,art_ref,0)),"Référence inconnue",IF(OR(NOT(ISNUMBER(E4961)),N(E4961)&lt;=0),"Quantité invalide",IF(K4961&lt;0,"Stock négatif",IF(AND(ISNUMBER(A4960),A4961&lt;A4960),"Date hors ordre","OK"))))))))</f>
        <v/>
      </c>
      <c r="M4961" s="39" t="str">
        <f>IF(C4961="","",C4961&amp;"#"&amp;COUNTIF($C$5:C4961,C4961))</f>
        <v/>
      </c>
    </row>
    <row r="4962">
      <c r="A4962" s="41" t="n"/>
      <c r="B4962" s="37" t="n"/>
      <c r="C4962" s="37" t="n"/>
      <c r="D4962" s="39" t="str">
        <f>IF(C4962="","",IFERROR(INDEX(art_des,MATCH(C4962,art_ref,0))&amp;"","Référence inconnue"))</f>
        <v/>
      </c>
      <c r="E4962" s="37" t="n"/>
      <c r="F4962" s="39" t="str">
        <f>IF(C4962="","",IFERROR(INDEX(art_unit,MATCH(C4962,art_ref,0))&amp;"",""))</f>
        <v/>
      </c>
      <c r="G4962" s="37" t="n"/>
      <c r="H4962" s="37" t="n"/>
      <c r="I4962" s="37" t="n"/>
      <c r="J4962" s="40" t="str">
        <f>IF(OR(C4962="",NOT(ISNUMBER(E4962))),"",IFERROR(E4962*N(INDEX(art_price,MATCH(C4962,art_ref,0))),""))</f>
        <v/>
      </c>
      <c r="K4962" s="39" t="str">
        <f>IF(OR(C4962="",NOT(ISNUMBER(E4962))),"",IFERROR(ROUND(N(INDEX(art_init,MATCH(C4962,art_ref,0)))+SUMIFS($E$5:E4962,$C$5:C4962,C4962,$B$5:B4962,"Entrée")-SUMIFS($E$5:E4962,$C$5:C4962,C4962,$B$5:B4962,"Sortie"),6),""))</f>
        <v/>
      </c>
      <c r="L4962" s="39" t="str">
        <f>IF(COUNTA(A4962:C4962,E4962)=0,"",IF(COUNTA(A4962:C4962,E4962)&lt;4,"Ligne incomplète",IF(NOT(ISNUMBER(A4962)),"Date invalide",IF(AND(B4962&lt;&gt;"Entrée",B4962&lt;&gt;"Sortie"),"Type inconnu",IF(ISNA(MATCH(C4962,art_ref,0)),"Référence inconnue",IF(OR(NOT(ISNUMBER(E4962)),N(E4962)&lt;=0),"Quantité invalide",IF(K4962&lt;0,"Stock négatif",IF(AND(ISNUMBER(A4961),A4962&lt;A4961),"Date hors ordre","OK"))))))))</f>
        <v/>
      </c>
      <c r="M4962" s="39" t="str">
        <f>IF(C4962="","",C4962&amp;"#"&amp;COUNTIF($C$5:C4962,C4962))</f>
        <v/>
      </c>
    </row>
    <row r="4963">
      <c r="A4963" s="41" t="n"/>
      <c r="B4963" s="37" t="n"/>
      <c r="C4963" s="37" t="n"/>
      <c r="D4963" s="39" t="str">
        <f>IF(C4963="","",IFERROR(INDEX(art_des,MATCH(C4963,art_ref,0))&amp;"","Référence inconnue"))</f>
        <v/>
      </c>
      <c r="E4963" s="37" t="n"/>
      <c r="F4963" s="39" t="str">
        <f>IF(C4963="","",IFERROR(INDEX(art_unit,MATCH(C4963,art_ref,0))&amp;"",""))</f>
        <v/>
      </c>
      <c r="G4963" s="37" t="n"/>
      <c r="H4963" s="37" t="n"/>
      <c r="I4963" s="37" t="n"/>
      <c r="J4963" s="40" t="str">
        <f>IF(OR(C4963="",NOT(ISNUMBER(E4963))),"",IFERROR(E4963*N(INDEX(art_price,MATCH(C4963,art_ref,0))),""))</f>
        <v/>
      </c>
      <c r="K4963" s="39" t="str">
        <f>IF(OR(C4963="",NOT(ISNUMBER(E4963))),"",IFERROR(ROUND(N(INDEX(art_init,MATCH(C4963,art_ref,0)))+SUMIFS($E$5:E4963,$C$5:C4963,C4963,$B$5:B4963,"Entrée")-SUMIFS($E$5:E4963,$C$5:C4963,C4963,$B$5:B4963,"Sortie"),6),""))</f>
        <v/>
      </c>
      <c r="L4963" s="39" t="str">
        <f>IF(COUNTA(A4963:C4963,E4963)=0,"",IF(COUNTA(A4963:C4963,E4963)&lt;4,"Ligne incomplète",IF(NOT(ISNUMBER(A4963)),"Date invalide",IF(AND(B4963&lt;&gt;"Entrée",B4963&lt;&gt;"Sortie"),"Type inconnu",IF(ISNA(MATCH(C4963,art_ref,0)),"Référence inconnue",IF(OR(NOT(ISNUMBER(E4963)),N(E4963)&lt;=0),"Quantité invalide",IF(K4963&lt;0,"Stock négatif",IF(AND(ISNUMBER(A4962),A4963&lt;A4962),"Date hors ordre","OK"))))))))</f>
        <v/>
      </c>
      <c r="M4963" s="39" t="str">
        <f>IF(C4963="","",C4963&amp;"#"&amp;COUNTIF($C$5:C4963,C4963))</f>
        <v/>
      </c>
    </row>
    <row r="4964">
      <c r="A4964" s="41" t="n"/>
      <c r="B4964" s="37" t="n"/>
      <c r="C4964" s="37" t="n"/>
      <c r="D4964" s="39" t="str">
        <f>IF(C4964="","",IFERROR(INDEX(art_des,MATCH(C4964,art_ref,0))&amp;"","Référence inconnue"))</f>
        <v/>
      </c>
      <c r="E4964" s="37" t="n"/>
      <c r="F4964" s="39" t="str">
        <f>IF(C4964="","",IFERROR(INDEX(art_unit,MATCH(C4964,art_ref,0))&amp;"",""))</f>
        <v/>
      </c>
      <c r="G4964" s="37" t="n"/>
      <c r="H4964" s="37" t="n"/>
      <c r="I4964" s="37" t="n"/>
      <c r="J4964" s="40" t="str">
        <f>IF(OR(C4964="",NOT(ISNUMBER(E4964))),"",IFERROR(E4964*N(INDEX(art_price,MATCH(C4964,art_ref,0))),""))</f>
        <v/>
      </c>
      <c r="K4964" s="39" t="str">
        <f>IF(OR(C4964="",NOT(ISNUMBER(E4964))),"",IFERROR(ROUND(N(INDEX(art_init,MATCH(C4964,art_ref,0)))+SUMIFS($E$5:E4964,$C$5:C4964,C4964,$B$5:B4964,"Entrée")-SUMIFS($E$5:E4964,$C$5:C4964,C4964,$B$5:B4964,"Sortie"),6),""))</f>
        <v/>
      </c>
      <c r="L4964" s="39" t="str">
        <f>IF(COUNTA(A4964:C4964,E4964)=0,"",IF(COUNTA(A4964:C4964,E4964)&lt;4,"Ligne incomplète",IF(NOT(ISNUMBER(A4964)),"Date invalide",IF(AND(B4964&lt;&gt;"Entrée",B4964&lt;&gt;"Sortie"),"Type inconnu",IF(ISNA(MATCH(C4964,art_ref,0)),"Référence inconnue",IF(OR(NOT(ISNUMBER(E4964)),N(E4964)&lt;=0),"Quantité invalide",IF(K4964&lt;0,"Stock négatif",IF(AND(ISNUMBER(A4963),A4964&lt;A4963),"Date hors ordre","OK"))))))))</f>
        <v/>
      </c>
      <c r="M4964" s="39" t="str">
        <f>IF(C4964="","",C4964&amp;"#"&amp;COUNTIF($C$5:C4964,C4964))</f>
        <v/>
      </c>
    </row>
    <row r="4965">
      <c r="A4965" s="41" t="n"/>
      <c r="B4965" s="37" t="n"/>
      <c r="C4965" s="37" t="n"/>
      <c r="D4965" s="39" t="str">
        <f>IF(C4965="","",IFERROR(INDEX(art_des,MATCH(C4965,art_ref,0))&amp;"","Référence inconnue"))</f>
        <v/>
      </c>
      <c r="E4965" s="37" t="n"/>
      <c r="F4965" s="39" t="str">
        <f>IF(C4965="","",IFERROR(INDEX(art_unit,MATCH(C4965,art_ref,0))&amp;"",""))</f>
        <v/>
      </c>
      <c r="G4965" s="37" t="n"/>
      <c r="H4965" s="37" t="n"/>
      <c r="I4965" s="37" t="n"/>
      <c r="J4965" s="40" t="str">
        <f>IF(OR(C4965="",NOT(ISNUMBER(E4965))),"",IFERROR(E4965*N(INDEX(art_price,MATCH(C4965,art_ref,0))),""))</f>
        <v/>
      </c>
      <c r="K4965" s="39" t="str">
        <f>IF(OR(C4965="",NOT(ISNUMBER(E4965))),"",IFERROR(ROUND(N(INDEX(art_init,MATCH(C4965,art_ref,0)))+SUMIFS($E$5:E4965,$C$5:C4965,C4965,$B$5:B4965,"Entrée")-SUMIFS($E$5:E4965,$C$5:C4965,C4965,$B$5:B4965,"Sortie"),6),""))</f>
        <v/>
      </c>
      <c r="L4965" s="39" t="str">
        <f>IF(COUNTA(A4965:C4965,E4965)=0,"",IF(COUNTA(A4965:C4965,E4965)&lt;4,"Ligne incomplète",IF(NOT(ISNUMBER(A4965)),"Date invalide",IF(AND(B4965&lt;&gt;"Entrée",B4965&lt;&gt;"Sortie"),"Type inconnu",IF(ISNA(MATCH(C4965,art_ref,0)),"Référence inconnue",IF(OR(NOT(ISNUMBER(E4965)),N(E4965)&lt;=0),"Quantité invalide",IF(K4965&lt;0,"Stock négatif",IF(AND(ISNUMBER(A4964),A4965&lt;A4964),"Date hors ordre","OK"))))))))</f>
        <v/>
      </c>
      <c r="M4965" s="39" t="str">
        <f>IF(C4965="","",C4965&amp;"#"&amp;COUNTIF($C$5:C4965,C4965))</f>
        <v/>
      </c>
    </row>
    <row r="4966">
      <c r="A4966" s="41" t="n"/>
      <c r="B4966" s="37" t="n"/>
      <c r="C4966" s="37" t="n"/>
      <c r="D4966" s="39" t="str">
        <f>IF(C4966="","",IFERROR(INDEX(art_des,MATCH(C4966,art_ref,0))&amp;"","Référence inconnue"))</f>
        <v/>
      </c>
      <c r="E4966" s="37" t="n"/>
      <c r="F4966" s="39" t="str">
        <f>IF(C4966="","",IFERROR(INDEX(art_unit,MATCH(C4966,art_ref,0))&amp;"",""))</f>
        <v/>
      </c>
      <c r="G4966" s="37" t="n"/>
      <c r="H4966" s="37" t="n"/>
      <c r="I4966" s="37" t="n"/>
      <c r="J4966" s="40" t="str">
        <f>IF(OR(C4966="",NOT(ISNUMBER(E4966))),"",IFERROR(E4966*N(INDEX(art_price,MATCH(C4966,art_ref,0))),""))</f>
        <v/>
      </c>
      <c r="K4966" s="39" t="str">
        <f>IF(OR(C4966="",NOT(ISNUMBER(E4966))),"",IFERROR(ROUND(N(INDEX(art_init,MATCH(C4966,art_ref,0)))+SUMIFS($E$5:E4966,$C$5:C4966,C4966,$B$5:B4966,"Entrée")-SUMIFS($E$5:E4966,$C$5:C4966,C4966,$B$5:B4966,"Sortie"),6),""))</f>
        <v/>
      </c>
      <c r="L4966" s="39" t="str">
        <f>IF(COUNTA(A4966:C4966,E4966)=0,"",IF(COUNTA(A4966:C4966,E4966)&lt;4,"Ligne incomplète",IF(NOT(ISNUMBER(A4966)),"Date invalide",IF(AND(B4966&lt;&gt;"Entrée",B4966&lt;&gt;"Sortie"),"Type inconnu",IF(ISNA(MATCH(C4966,art_ref,0)),"Référence inconnue",IF(OR(NOT(ISNUMBER(E4966)),N(E4966)&lt;=0),"Quantité invalide",IF(K4966&lt;0,"Stock négatif",IF(AND(ISNUMBER(A4965),A4966&lt;A4965),"Date hors ordre","OK"))))))))</f>
        <v/>
      </c>
      <c r="M4966" s="39" t="str">
        <f>IF(C4966="","",C4966&amp;"#"&amp;COUNTIF($C$5:C4966,C4966))</f>
        <v/>
      </c>
    </row>
    <row r="4967">
      <c r="A4967" s="41" t="n"/>
      <c r="B4967" s="37" t="n"/>
      <c r="C4967" s="37" t="n"/>
      <c r="D4967" s="39" t="str">
        <f>IF(C4967="","",IFERROR(INDEX(art_des,MATCH(C4967,art_ref,0))&amp;"","Référence inconnue"))</f>
        <v/>
      </c>
      <c r="E4967" s="37" t="n"/>
      <c r="F4967" s="39" t="str">
        <f>IF(C4967="","",IFERROR(INDEX(art_unit,MATCH(C4967,art_ref,0))&amp;"",""))</f>
        <v/>
      </c>
      <c r="G4967" s="37" t="n"/>
      <c r="H4967" s="37" t="n"/>
      <c r="I4967" s="37" t="n"/>
      <c r="J4967" s="40" t="str">
        <f>IF(OR(C4967="",NOT(ISNUMBER(E4967))),"",IFERROR(E4967*N(INDEX(art_price,MATCH(C4967,art_ref,0))),""))</f>
        <v/>
      </c>
      <c r="K4967" s="39" t="str">
        <f>IF(OR(C4967="",NOT(ISNUMBER(E4967))),"",IFERROR(ROUND(N(INDEX(art_init,MATCH(C4967,art_ref,0)))+SUMIFS($E$5:E4967,$C$5:C4967,C4967,$B$5:B4967,"Entrée")-SUMIFS($E$5:E4967,$C$5:C4967,C4967,$B$5:B4967,"Sortie"),6),""))</f>
        <v/>
      </c>
      <c r="L4967" s="39" t="str">
        <f>IF(COUNTA(A4967:C4967,E4967)=0,"",IF(COUNTA(A4967:C4967,E4967)&lt;4,"Ligne incomplète",IF(NOT(ISNUMBER(A4967)),"Date invalide",IF(AND(B4967&lt;&gt;"Entrée",B4967&lt;&gt;"Sortie"),"Type inconnu",IF(ISNA(MATCH(C4967,art_ref,0)),"Référence inconnue",IF(OR(NOT(ISNUMBER(E4967)),N(E4967)&lt;=0),"Quantité invalide",IF(K4967&lt;0,"Stock négatif",IF(AND(ISNUMBER(A4966),A4967&lt;A4966),"Date hors ordre","OK"))))))))</f>
        <v/>
      </c>
      <c r="M4967" s="39" t="str">
        <f>IF(C4967="","",C4967&amp;"#"&amp;COUNTIF($C$5:C4967,C4967))</f>
        <v/>
      </c>
    </row>
    <row r="4968">
      <c r="A4968" s="41" t="n"/>
      <c r="B4968" s="37" t="n"/>
      <c r="C4968" s="37" t="n"/>
      <c r="D4968" s="39" t="str">
        <f>IF(C4968="","",IFERROR(INDEX(art_des,MATCH(C4968,art_ref,0))&amp;"","Référence inconnue"))</f>
        <v/>
      </c>
      <c r="E4968" s="37" t="n"/>
      <c r="F4968" s="39" t="str">
        <f>IF(C4968="","",IFERROR(INDEX(art_unit,MATCH(C4968,art_ref,0))&amp;"",""))</f>
        <v/>
      </c>
      <c r="G4968" s="37" t="n"/>
      <c r="H4968" s="37" t="n"/>
      <c r="I4968" s="37" t="n"/>
      <c r="J4968" s="40" t="str">
        <f>IF(OR(C4968="",NOT(ISNUMBER(E4968))),"",IFERROR(E4968*N(INDEX(art_price,MATCH(C4968,art_ref,0))),""))</f>
        <v/>
      </c>
      <c r="K4968" s="39" t="str">
        <f>IF(OR(C4968="",NOT(ISNUMBER(E4968))),"",IFERROR(ROUND(N(INDEX(art_init,MATCH(C4968,art_ref,0)))+SUMIFS($E$5:E4968,$C$5:C4968,C4968,$B$5:B4968,"Entrée")-SUMIFS($E$5:E4968,$C$5:C4968,C4968,$B$5:B4968,"Sortie"),6),""))</f>
        <v/>
      </c>
      <c r="L4968" s="39" t="str">
        <f>IF(COUNTA(A4968:C4968,E4968)=0,"",IF(COUNTA(A4968:C4968,E4968)&lt;4,"Ligne incomplète",IF(NOT(ISNUMBER(A4968)),"Date invalide",IF(AND(B4968&lt;&gt;"Entrée",B4968&lt;&gt;"Sortie"),"Type inconnu",IF(ISNA(MATCH(C4968,art_ref,0)),"Référence inconnue",IF(OR(NOT(ISNUMBER(E4968)),N(E4968)&lt;=0),"Quantité invalide",IF(K4968&lt;0,"Stock négatif",IF(AND(ISNUMBER(A4967),A4968&lt;A4967),"Date hors ordre","OK"))))))))</f>
        <v/>
      </c>
      <c r="M4968" s="39" t="str">
        <f>IF(C4968="","",C4968&amp;"#"&amp;COUNTIF($C$5:C4968,C4968))</f>
        <v/>
      </c>
    </row>
    <row r="4969">
      <c r="A4969" s="41" t="n"/>
      <c r="B4969" s="37" t="n"/>
      <c r="C4969" s="37" t="n"/>
      <c r="D4969" s="39" t="str">
        <f>IF(C4969="","",IFERROR(INDEX(art_des,MATCH(C4969,art_ref,0))&amp;"","Référence inconnue"))</f>
        <v/>
      </c>
      <c r="E4969" s="37" t="n"/>
      <c r="F4969" s="39" t="str">
        <f>IF(C4969="","",IFERROR(INDEX(art_unit,MATCH(C4969,art_ref,0))&amp;"",""))</f>
        <v/>
      </c>
      <c r="G4969" s="37" t="n"/>
      <c r="H4969" s="37" t="n"/>
      <c r="I4969" s="37" t="n"/>
      <c r="J4969" s="40" t="str">
        <f>IF(OR(C4969="",NOT(ISNUMBER(E4969))),"",IFERROR(E4969*N(INDEX(art_price,MATCH(C4969,art_ref,0))),""))</f>
        <v/>
      </c>
      <c r="K4969" s="39" t="str">
        <f>IF(OR(C4969="",NOT(ISNUMBER(E4969))),"",IFERROR(ROUND(N(INDEX(art_init,MATCH(C4969,art_ref,0)))+SUMIFS($E$5:E4969,$C$5:C4969,C4969,$B$5:B4969,"Entrée")-SUMIFS($E$5:E4969,$C$5:C4969,C4969,$B$5:B4969,"Sortie"),6),""))</f>
        <v/>
      </c>
      <c r="L4969" s="39" t="str">
        <f>IF(COUNTA(A4969:C4969,E4969)=0,"",IF(COUNTA(A4969:C4969,E4969)&lt;4,"Ligne incomplète",IF(NOT(ISNUMBER(A4969)),"Date invalide",IF(AND(B4969&lt;&gt;"Entrée",B4969&lt;&gt;"Sortie"),"Type inconnu",IF(ISNA(MATCH(C4969,art_ref,0)),"Référence inconnue",IF(OR(NOT(ISNUMBER(E4969)),N(E4969)&lt;=0),"Quantité invalide",IF(K4969&lt;0,"Stock négatif",IF(AND(ISNUMBER(A4968),A4969&lt;A4968),"Date hors ordre","OK"))))))))</f>
        <v/>
      </c>
      <c r="M4969" s="39" t="str">
        <f>IF(C4969="","",C4969&amp;"#"&amp;COUNTIF($C$5:C4969,C4969))</f>
        <v/>
      </c>
    </row>
    <row r="4970">
      <c r="A4970" s="41" t="n"/>
      <c r="B4970" s="37" t="n"/>
      <c r="C4970" s="37" t="n"/>
      <c r="D4970" s="39" t="str">
        <f>IF(C4970="","",IFERROR(INDEX(art_des,MATCH(C4970,art_ref,0))&amp;"","Référence inconnue"))</f>
        <v/>
      </c>
      <c r="E4970" s="37" t="n"/>
      <c r="F4970" s="39" t="str">
        <f>IF(C4970="","",IFERROR(INDEX(art_unit,MATCH(C4970,art_ref,0))&amp;"",""))</f>
        <v/>
      </c>
      <c r="G4970" s="37" t="n"/>
      <c r="H4970" s="37" t="n"/>
      <c r="I4970" s="37" t="n"/>
      <c r="J4970" s="40" t="str">
        <f>IF(OR(C4970="",NOT(ISNUMBER(E4970))),"",IFERROR(E4970*N(INDEX(art_price,MATCH(C4970,art_ref,0))),""))</f>
        <v/>
      </c>
      <c r="K4970" s="39" t="str">
        <f>IF(OR(C4970="",NOT(ISNUMBER(E4970))),"",IFERROR(ROUND(N(INDEX(art_init,MATCH(C4970,art_ref,0)))+SUMIFS($E$5:E4970,$C$5:C4970,C4970,$B$5:B4970,"Entrée")-SUMIFS($E$5:E4970,$C$5:C4970,C4970,$B$5:B4970,"Sortie"),6),""))</f>
        <v/>
      </c>
      <c r="L4970" s="39" t="str">
        <f>IF(COUNTA(A4970:C4970,E4970)=0,"",IF(COUNTA(A4970:C4970,E4970)&lt;4,"Ligne incomplète",IF(NOT(ISNUMBER(A4970)),"Date invalide",IF(AND(B4970&lt;&gt;"Entrée",B4970&lt;&gt;"Sortie"),"Type inconnu",IF(ISNA(MATCH(C4970,art_ref,0)),"Référence inconnue",IF(OR(NOT(ISNUMBER(E4970)),N(E4970)&lt;=0),"Quantité invalide",IF(K4970&lt;0,"Stock négatif",IF(AND(ISNUMBER(A4969),A4970&lt;A4969),"Date hors ordre","OK"))))))))</f>
        <v/>
      </c>
      <c r="M4970" s="39" t="str">
        <f>IF(C4970="","",C4970&amp;"#"&amp;COUNTIF($C$5:C4970,C4970))</f>
        <v/>
      </c>
    </row>
    <row r="4971">
      <c r="A4971" s="41" t="n"/>
      <c r="B4971" s="37" t="n"/>
      <c r="C4971" s="37" t="n"/>
      <c r="D4971" s="39" t="str">
        <f>IF(C4971="","",IFERROR(INDEX(art_des,MATCH(C4971,art_ref,0))&amp;"","Référence inconnue"))</f>
        <v/>
      </c>
      <c r="E4971" s="37" t="n"/>
      <c r="F4971" s="39" t="str">
        <f>IF(C4971="","",IFERROR(INDEX(art_unit,MATCH(C4971,art_ref,0))&amp;"",""))</f>
        <v/>
      </c>
      <c r="G4971" s="37" t="n"/>
      <c r="H4971" s="37" t="n"/>
      <c r="I4971" s="37" t="n"/>
      <c r="J4971" s="40" t="str">
        <f>IF(OR(C4971="",NOT(ISNUMBER(E4971))),"",IFERROR(E4971*N(INDEX(art_price,MATCH(C4971,art_ref,0))),""))</f>
        <v/>
      </c>
      <c r="K4971" s="39" t="str">
        <f>IF(OR(C4971="",NOT(ISNUMBER(E4971))),"",IFERROR(ROUND(N(INDEX(art_init,MATCH(C4971,art_ref,0)))+SUMIFS($E$5:E4971,$C$5:C4971,C4971,$B$5:B4971,"Entrée")-SUMIFS($E$5:E4971,$C$5:C4971,C4971,$B$5:B4971,"Sortie"),6),""))</f>
        <v/>
      </c>
      <c r="L4971" s="39" t="str">
        <f>IF(COUNTA(A4971:C4971,E4971)=0,"",IF(COUNTA(A4971:C4971,E4971)&lt;4,"Ligne incomplète",IF(NOT(ISNUMBER(A4971)),"Date invalide",IF(AND(B4971&lt;&gt;"Entrée",B4971&lt;&gt;"Sortie"),"Type inconnu",IF(ISNA(MATCH(C4971,art_ref,0)),"Référence inconnue",IF(OR(NOT(ISNUMBER(E4971)),N(E4971)&lt;=0),"Quantité invalide",IF(K4971&lt;0,"Stock négatif",IF(AND(ISNUMBER(A4970),A4971&lt;A4970),"Date hors ordre","OK"))))))))</f>
        <v/>
      </c>
      <c r="M4971" s="39" t="str">
        <f>IF(C4971="","",C4971&amp;"#"&amp;COUNTIF($C$5:C4971,C4971))</f>
        <v/>
      </c>
    </row>
    <row r="4972">
      <c r="A4972" s="41" t="n"/>
      <c r="B4972" s="37" t="n"/>
      <c r="C4972" s="37" t="n"/>
      <c r="D4972" s="39" t="str">
        <f>IF(C4972="","",IFERROR(INDEX(art_des,MATCH(C4972,art_ref,0))&amp;"","Référence inconnue"))</f>
        <v/>
      </c>
      <c r="E4972" s="37" t="n"/>
      <c r="F4972" s="39" t="str">
        <f>IF(C4972="","",IFERROR(INDEX(art_unit,MATCH(C4972,art_ref,0))&amp;"",""))</f>
        <v/>
      </c>
      <c r="G4972" s="37" t="n"/>
      <c r="H4972" s="37" t="n"/>
      <c r="I4972" s="37" t="n"/>
      <c r="J4972" s="40" t="str">
        <f>IF(OR(C4972="",NOT(ISNUMBER(E4972))),"",IFERROR(E4972*N(INDEX(art_price,MATCH(C4972,art_ref,0))),""))</f>
        <v/>
      </c>
      <c r="K4972" s="39" t="str">
        <f>IF(OR(C4972="",NOT(ISNUMBER(E4972))),"",IFERROR(ROUND(N(INDEX(art_init,MATCH(C4972,art_ref,0)))+SUMIFS($E$5:E4972,$C$5:C4972,C4972,$B$5:B4972,"Entrée")-SUMIFS($E$5:E4972,$C$5:C4972,C4972,$B$5:B4972,"Sortie"),6),""))</f>
        <v/>
      </c>
      <c r="L4972" s="39" t="str">
        <f>IF(COUNTA(A4972:C4972,E4972)=0,"",IF(COUNTA(A4972:C4972,E4972)&lt;4,"Ligne incomplète",IF(NOT(ISNUMBER(A4972)),"Date invalide",IF(AND(B4972&lt;&gt;"Entrée",B4972&lt;&gt;"Sortie"),"Type inconnu",IF(ISNA(MATCH(C4972,art_ref,0)),"Référence inconnue",IF(OR(NOT(ISNUMBER(E4972)),N(E4972)&lt;=0),"Quantité invalide",IF(K4972&lt;0,"Stock négatif",IF(AND(ISNUMBER(A4971),A4972&lt;A4971),"Date hors ordre","OK"))))))))</f>
        <v/>
      </c>
      <c r="M4972" s="39" t="str">
        <f>IF(C4972="","",C4972&amp;"#"&amp;COUNTIF($C$5:C4972,C4972))</f>
        <v/>
      </c>
    </row>
    <row r="4973">
      <c r="A4973" s="41" t="n"/>
      <c r="B4973" s="37" t="n"/>
      <c r="C4973" s="37" t="n"/>
      <c r="D4973" s="39" t="str">
        <f>IF(C4973="","",IFERROR(INDEX(art_des,MATCH(C4973,art_ref,0))&amp;"","Référence inconnue"))</f>
        <v/>
      </c>
      <c r="E4973" s="37" t="n"/>
      <c r="F4973" s="39" t="str">
        <f>IF(C4973="","",IFERROR(INDEX(art_unit,MATCH(C4973,art_ref,0))&amp;"",""))</f>
        <v/>
      </c>
      <c r="G4973" s="37" t="n"/>
      <c r="H4973" s="37" t="n"/>
      <c r="I4973" s="37" t="n"/>
      <c r="J4973" s="40" t="str">
        <f>IF(OR(C4973="",NOT(ISNUMBER(E4973))),"",IFERROR(E4973*N(INDEX(art_price,MATCH(C4973,art_ref,0))),""))</f>
        <v/>
      </c>
      <c r="K4973" s="39" t="str">
        <f>IF(OR(C4973="",NOT(ISNUMBER(E4973))),"",IFERROR(ROUND(N(INDEX(art_init,MATCH(C4973,art_ref,0)))+SUMIFS($E$5:E4973,$C$5:C4973,C4973,$B$5:B4973,"Entrée")-SUMIFS($E$5:E4973,$C$5:C4973,C4973,$B$5:B4973,"Sortie"),6),""))</f>
        <v/>
      </c>
      <c r="L4973" s="39" t="str">
        <f>IF(COUNTA(A4973:C4973,E4973)=0,"",IF(COUNTA(A4973:C4973,E4973)&lt;4,"Ligne incomplète",IF(NOT(ISNUMBER(A4973)),"Date invalide",IF(AND(B4973&lt;&gt;"Entrée",B4973&lt;&gt;"Sortie"),"Type inconnu",IF(ISNA(MATCH(C4973,art_ref,0)),"Référence inconnue",IF(OR(NOT(ISNUMBER(E4973)),N(E4973)&lt;=0),"Quantité invalide",IF(K4973&lt;0,"Stock négatif",IF(AND(ISNUMBER(A4972),A4973&lt;A4972),"Date hors ordre","OK"))))))))</f>
        <v/>
      </c>
      <c r="M4973" s="39" t="str">
        <f>IF(C4973="","",C4973&amp;"#"&amp;COUNTIF($C$5:C4973,C4973))</f>
        <v/>
      </c>
    </row>
    <row r="4974">
      <c r="A4974" s="41" t="n"/>
      <c r="B4974" s="37" t="n"/>
      <c r="C4974" s="37" t="n"/>
      <c r="D4974" s="39" t="str">
        <f>IF(C4974="","",IFERROR(INDEX(art_des,MATCH(C4974,art_ref,0))&amp;"","Référence inconnue"))</f>
        <v/>
      </c>
      <c r="E4974" s="37" t="n"/>
      <c r="F4974" s="39" t="str">
        <f>IF(C4974="","",IFERROR(INDEX(art_unit,MATCH(C4974,art_ref,0))&amp;"",""))</f>
        <v/>
      </c>
      <c r="G4974" s="37" t="n"/>
      <c r="H4974" s="37" t="n"/>
      <c r="I4974" s="37" t="n"/>
      <c r="J4974" s="40" t="str">
        <f>IF(OR(C4974="",NOT(ISNUMBER(E4974))),"",IFERROR(E4974*N(INDEX(art_price,MATCH(C4974,art_ref,0))),""))</f>
        <v/>
      </c>
      <c r="K4974" s="39" t="str">
        <f>IF(OR(C4974="",NOT(ISNUMBER(E4974))),"",IFERROR(ROUND(N(INDEX(art_init,MATCH(C4974,art_ref,0)))+SUMIFS($E$5:E4974,$C$5:C4974,C4974,$B$5:B4974,"Entrée")-SUMIFS($E$5:E4974,$C$5:C4974,C4974,$B$5:B4974,"Sortie"),6),""))</f>
        <v/>
      </c>
      <c r="L4974" s="39" t="str">
        <f>IF(COUNTA(A4974:C4974,E4974)=0,"",IF(COUNTA(A4974:C4974,E4974)&lt;4,"Ligne incomplète",IF(NOT(ISNUMBER(A4974)),"Date invalide",IF(AND(B4974&lt;&gt;"Entrée",B4974&lt;&gt;"Sortie"),"Type inconnu",IF(ISNA(MATCH(C4974,art_ref,0)),"Référence inconnue",IF(OR(NOT(ISNUMBER(E4974)),N(E4974)&lt;=0),"Quantité invalide",IF(K4974&lt;0,"Stock négatif",IF(AND(ISNUMBER(A4973),A4974&lt;A4973),"Date hors ordre","OK"))))))))</f>
        <v/>
      </c>
      <c r="M4974" s="39" t="str">
        <f>IF(C4974="","",C4974&amp;"#"&amp;COUNTIF($C$5:C4974,C4974))</f>
        <v/>
      </c>
    </row>
    <row r="4975">
      <c r="A4975" s="41" t="n"/>
      <c r="B4975" s="37" t="n"/>
      <c r="C4975" s="37" t="n"/>
      <c r="D4975" s="39" t="str">
        <f>IF(C4975="","",IFERROR(INDEX(art_des,MATCH(C4975,art_ref,0))&amp;"","Référence inconnue"))</f>
        <v/>
      </c>
      <c r="E4975" s="37" t="n"/>
      <c r="F4975" s="39" t="str">
        <f>IF(C4975="","",IFERROR(INDEX(art_unit,MATCH(C4975,art_ref,0))&amp;"",""))</f>
        <v/>
      </c>
      <c r="G4975" s="37" t="n"/>
      <c r="H4975" s="37" t="n"/>
      <c r="I4975" s="37" t="n"/>
      <c r="J4975" s="40" t="str">
        <f>IF(OR(C4975="",NOT(ISNUMBER(E4975))),"",IFERROR(E4975*N(INDEX(art_price,MATCH(C4975,art_ref,0))),""))</f>
        <v/>
      </c>
      <c r="K4975" s="39" t="str">
        <f>IF(OR(C4975="",NOT(ISNUMBER(E4975))),"",IFERROR(ROUND(N(INDEX(art_init,MATCH(C4975,art_ref,0)))+SUMIFS($E$5:E4975,$C$5:C4975,C4975,$B$5:B4975,"Entrée")-SUMIFS($E$5:E4975,$C$5:C4975,C4975,$B$5:B4975,"Sortie"),6),""))</f>
        <v/>
      </c>
      <c r="L4975" s="39" t="str">
        <f>IF(COUNTA(A4975:C4975,E4975)=0,"",IF(COUNTA(A4975:C4975,E4975)&lt;4,"Ligne incomplète",IF(NOT(ISNUMBER(A4975)),"Date invalide",IF(AND(B4975&lt;&gt;"Entrée",B4975&lt;&gt;"Sortie"),"Type inconnu",IF(ISNA(MATCH(C4975,art_ref,0)),"Référence inconnue",IF(OR(NOT(ISNUMBER(E4975)),N(E4975)&lt;=0),"Quantité invalide",IF(K4975&lt;0,"Stock négatif",IF(AND(ISNUMBER(A4974),A4975&lt;A4974),"Date hors ordre","OK"))))))))</f>
        <v/>
      </c>
      <c r="M4975" s="39" t="str">
        <f>IF(C4975="","",C4975&amp;"#"&amp;COUNTIF($C$5:C4975,C4975))</f>
        <v/>
      </c>
    </row>
    <row r="4976">
      <c r="A4976" s="41" t="n"/>
      <c r="B4976" s="37" t="n"/>
      <c r="C4976" s="37" t="n"/>
      <c r="D4976" s="39" t="str">
        <f>IF(C4976="","",IFERROR(INDEX(art_des,MATCH(C4976,art_ref,0))&amp;"","Référence inconnue"))</f>
        <v/>
      </c>
      <c r="E4976" s="37" t="n"/>
      <c r="F4976" s="39" t="str">
        <f>IF(C4976="","",IFERROR(INDEX(art_unit,MATCH(C4976,art_ref,0))&amp;"",""))</f>
        <v/>
      </c>
      <c r="G4976" s="37" t="n"/>
      <c r="H4976" s="37" t="n"/>
      <c r="I4976" s="37" t="n"/>
      <c r="J4976" s="40" t="str">
        <f>IF(OR(C4976="",NOT(ISNUMBER(E4976))),"",IFERROR(E4976*N(INDEX(art_price,MATCH(C4976,art_ref,0))),""))</f>
        <v/>
      </c>
      <c r="K4976" s="39" t="str">
        <f>IF(OR(C4976="",NOT(ISNUMBER(E4976))),"",IFERROR(ROUND(N(INDEX(art_init,MATCH(C4976,art_ref,0)))+SUMIFS($E$5:E4976,$C$5:C4976,C4976,$B$5:B4976,"Entrée")-SUMIFS($E$5:E4976,$C$5:C4976,C4976,$B$5:B4976,"Sortie"),6),""))</f>
        <v/>
      </c>
      <c r="L4976" s="39" t="str">
        <f>IF(COUNTA(A4976:C4976,E4976)=0,"",IF(COUNTA(A4976:C4976,E4976)&lt;4,"Ligne incomplète",IF(NOT(ISNUMBER(A4976)),"Date invalide",IF(AND(B4976&lt;&gt;"Entrée",B4976&lt;&gt;"Sortie"),"Type inconnu",IF(ISNA(MATCH(C4976,art_ref,0)),"Référence inconnue",IF(OR(NOT(ISNUMBER(E4976)),N(E4976)&lt;=0),"Quantité invalide",IF(K4976&lt;0,"Stock négatif",IF(AND(ISNUMBER(A4975),A4976&lt;A4975),"Date hors ordre","OK"))))))))</f>
        <v/>
      </c>
      <c r="M4976" s="39" t="str">
        <f>IF(C4976="","",C4976&amp;"#"&amp;COUNTIF($C$5:C4976,C4976))</f>
        <v/>
      </c>
    </row>
    <row r="4977">
      <c r="A4977" s="41" t="n"/>
      <c r="B4977" s="37" t="n"/>
      <c r="C4977" s="37" t="n"/>
      <c r="D4977" s="39" t="str">
        <f>IF(C4977="","",IFERROR(INDEX(art_des,MATCH(C4977,art_ref,0))&amp;"","Référence inconnue"))</f>
        <v/>
      </c>
      <c r="E4977" s="37" t="n"/>
      <c r="F4977" s="39" t="str">
        <f>IF(C4977="","",IFERROR(INDEX(art_unit,MATCH(C4977,art_ref,0))&amp;"",""))</f>
        <v/>
      </c>
      <c r="G4977" s="37" t="n"/>
      <c r="H4977" s="37" t="n"/>
      <c r="I4977" s="37" t="n"/>
      <c r="J4977" s="40" t="str">
        <f>IF(OR(C4977="",NOT(ISNUMBER(E4977))),"",IFERROR(E4977*N(INDEX(art_price,MATCH(C4977,art_ref,0))),""))</f>
        <v/>
      </c>
      <c r="K4977" s="39" t="str">
        <f>IF(OR(C4977="",NOT(ISNUMBER(E4977))),"",IFERROR(ROUND(N(INDEX(art_init,MATCH(C4977,art_ref,0)))+SUMIFS($E$5:E4977,$C$5:C4977,C4977,$B$5:B4977,"Entrée")-SUMIFS($E$5:E4977,$C$5:C4977,C4977,$B$5:B4977,"Sortie"),6),""))</f>
        <v/>
      </c>
      <c r="L4977" s="39" t="str">
        <f>IF(COUNTA(A4977:C4977,E4977)=0,"",IF(COUNTA(A4977:C4977,E4977)&lt;4,"Ligne incomplète",IF(NOT(ISNUMBER(A4977)),"Date invalide",IF(AND(B4977&lt;&gt;"Entrée",B4977&lt;&gt;"Sortie"),"Type inconnu",IF(ISNA(MATCH(C4977,art_ref,0)),"Référence inconnue",IF(OR(NOT(ISNUMBER(E4977)),N(E4977)&lt;=0),"Quantité invalide",IF(K4977&lt;0,"Stock négatif",IF(AND(ISNUMBER(A4976),A4977&lt;A4976),"Date hors ordre","OK"))))))))</f>
        <v/>
      </c>
      <c r="M4977" s="39" t="str">
        <f>IF(C4977="","",C4977&amp;"#"&amp;COUNTIF($C$5:C4977,C4977))</f>
        <v/>
      </c>
    </row>
    <row r="4978">
      <c r="A4978" s="41" t="n"/>
      <c r="B4978" s="37" t="n"/>
      <c r="C4978" s="37" t="n"/>
      <c r="D4978" s="39" t="str">
        <f>IF(C4978="","",IFERROR(INDEX(art_des,MATCH(C4978,art_ref,0))&amp;"","Référence inconnue"))</f>
        <v/>
      </c>
      <c r="E4978" s="37" t="n"/>
      <c r="F4978" s="39" t="str">
        <f>IF(C4978="","",IFERROR(INDEX(art_unit,MATCH(C4978,art_ref,0))&amp;"",""))</f>
        <v/>
      </c>
      <c r="G4978" s="37" t="n"/>
      <c r="H4978" s="37" t="n"/>
      <c r="I4978" s="37" t="n"/>
      <c r="J4978" s="40" t="str">
        <f>IF(OR(C4978="",NOT(ISNUMBER(E4978))),"",IFERROR(E4978*N(INDEX(art_price,MATCH(C4978,art_ref,0))),""))</f>
        <v/>
      </c>
      <c r="K4978" s="39" t="str">
        <f>IF(OR(C4978="",NOT(ISNUMBER(E4978))),"",IFERROR(ROUND(N(INDEX(art_init,MATCH(C4978,art_ref,0)))+SUMIFS($E$5:E4978,$C$5:C4978,C4978,$B$5:B4978,"Entrée")-SUMIFS($E$5:E4978,$C$5:C4978,C4978,$B$5:B4978,"Sortie"),6),""))</f>
        <v/>
      </c>
      <c r="L4978" s="39" t="str">
        <f>IF(COUNTA(A4978:C4978,E4978)=0,"",IF(COUNTA(A4978:C4978,E4978)&lt;4,"Ligne incomplète",IF(NOT(ISNUMBER(A4978)),"Date invalide",IF(AND(B4978&lt;&gt;"Entrée",B4978&lt;&gt;"Sortie"),"Type inconnu",IF(ISNA(MATCH(C4978,art_ref,0)),"Référence inconnue",IF(OR(NOT(ISNUMBER(E4978)),N(E4978)&lt;=0),"Quantité invalide",IF(K4978&lt;0,"Stock négatif",IF(AND(ISNUMBER(A4977),A4978&lt;A4977),"Date hors ordre","OK"))))))))</f>
        <v/>
      </c>
      <c r="M4978" s="39" t="str">
        <f>IF(C4978="","",C4978&amp;"#"&amp;COUNTIF($C$5:C4978,C4978))</f>
        <v/>
      </c>
    </row>
    <row r="4979">
      <c r="A4979" s="41" t="n"/>
      <c r="B4979" s="37" t="n"/>
      <c r="C4979" s="37" t="n"/>
      <c r="D4979" s="39" t="str">
        <f>IF(C4979="","",IFERROR(INDEX(art_des,MATCH(C4979,art_ref,0))&amp;"","Référence inconnue"))</f>
        <v/>
      </c>
      <c r="E4979" s="37" t="n"/>
      <c r="F4979" s="39" t="str">
        <f>IF(C4979="","",IFERROR(INDEX(art_unit,MATCH(C4979,art_ref,0))&amp;"",""))</f>
        <v/>
      </c>
      <c r="G4979" s="37" t="n"/>
      <c r="H4979" s="37" t="n"/>
      <c r="I4979" s="37" t="n"/>
      <c r="J4979" s="40" t="str">
        <f>IF(OR(C4979="",NOT(ISNUMBER(E4979))),"",IFERROR(E4979*N(INDEX(art_price,MATCH(C4979,art_ref,0))),""))</f>
        <v/>
      </c>
      <c r="K4979" s="39" t="str">
        <f>IF(OR(C4979="",NOT(ISNUMBER(E4979))),"",IFERROR(ROUND(N(INDEX(art_init,MATCH(C4979,art_ref,0)))+SUMIFS($E$5:E4979,$C$5:C4979,C4979,$B$5:B4979,"Entrée")-SUMIFS($E$5:E4979,$C$5:C4979,C4979,$B$5:B4979,"Sortie"),6),""))</f>
        <v/>
      </c>
      <c r="L4979" s="39" t="str">
        <f>IF(COUNTA(A4979:C4979,E4979)=0,"",IF(COUNTA(A4979:C4979,E4979)&lt;4,"Ligne incomplète",IF(NOT(ISNUMBER(A4979)),"Date invalide",IF(AND(B4979&lt;&gt;"Entrée",B4979&lt;&gt;"Sortie"),"Type inconnu",IF(ISNA(MATCH(C4979,art_ref,0)),"Référence inconnue",IF(OR(NOT(ISNUMBER(E4979)),N(E4979)&lt;=0),"Quantité invalide",IF(K4979&lt;0,"Stock négatif",IF(AND(ISNUMBER(A4978),A4979&lt;A4978),"Date hors ordre","OK"))))))))</f>
        <v/>
      </c>
      <c r="M4979" s="39" t="str">
        <f>IF(C4979="","",C4979&amp;"#"&amp;COUNTIF($C$5:C4979,C4979))</f>
        <v/>
      </c>
    </row>
    <row r="4980">
      <c r="A4980" s="41" t="n"/>
      <c r="B4980" s="37" t="n"/>
      <c r="C4980" s="37" t="n"/>
      <c r="D4980" s="39" t="str">
        <f>IF(C4980="","",IFERROR(INDEX(art_des,MATCH(C4980,art_ref,0))&amp;"","Référence inconnue"))</f>
        <v/>
      </c>
      <c r="E4980" s="37" t="n"/>
      <c r="F4980" s="39" t="str">
        <f>IF(C4980="","",IFERROR(INDEX(art_unit,MATCH(C4980,art_ref,0))&amp;"",""))</f>
        <v/>
      </c>
      <c r="G4980" s="37" t="n"/>
      <c r="H4980" s="37" t="n"/>
      <c r="I4980" s="37" t="n"/>
      <c r="J4980" s="40" t="str">
        <f>IF(OR(C4980="",NOT(ISNUMBER(E4980))),"",IFERROR(E4980*N(INDEX(art_price,MATCH(C4980,art_ref,0))),""))</f>
        <v/>
      </c>
      <c r="K4980" s="39" t="str">
        <f>IF(OR(C4980="",NOT(ISNUMBER(E4980))),"",IFERROR(ROUND(N(INDEX(art_init,MATCH(C4980,art_ref,0)))+SUMIFS($E$5:E4980,$C$5:C4980,C4980,$B$5:B4980,"Entrée")-SUMIFS($E$5:E4980,$C$5:C4980,C4980,$B$5:B4980,"Sortie"),6),""))</f>
        <v/>
      </c>
      <c r="L4980" s="39" t="str">
        <f>IF(COUNTA(A4980:C4980,E4980)=0,"",IF(COUNTA(A4980:C4980,E4980)&lt;4,"Ligne incomplète",IF(NOT(ISNUMBER(A4980)),"Date invalide",IF(AND(B4980&lt;&gt;"Entrée",B4980&lt;&gt;"Sortie"),"Type inconnu",IF(ISNA(MATCH(C4980,art_ref,0)),"Référence inconnue",IF(OR(NOT(ISNUMBER(E4980)),N(E4980)&lt;=0),"Quantité invalide",IF(K4980&lt;0,"Stock négatif",IF(AND(ISNUMBER(A4979),A4980&lt;A4979),"Date hors ordre","OK"))))))))</f>
        <v/>
      </c>
      <c r="M4980" s="39" t="str">
        <f>IF(C4980="","",C4980&amp;"#"&amp;COUNTIF($C$5:C4980,C4980))</f>
        <v/>
      </c>
    </row>
    <row r="4981">
      <c r="A4981" s="41" t="n"/>
      <c r="B4981" s="37" t="n"/>
      <c r="C4981" s="37" t="n"/>
      <c r="D4981" s="39" t="str">
        <f>IF(C4981="","",IFERROR(INDEX(art_des,MATCH(C4981,art_ref,0))&amp;"","Référence inconnue"))</f>
        <v/>
      </c>
      <c r="E4981" s="37" t="n"/>
      <c r="F4981" s="39" t="str">
        <f>IF(C4981="","",IFERROR(INDEX(art_unit,MATCH(C4981,art_ref,0))&amp;"",""))</f>
        <v/>
      </c>
      <c r="G4981" s="37" t="n"/>
      <c r="H4981" s="37" t="n"/>
      <c r="I4981" s="37" t="n"/>
      <c r="J4981" s="40" t="str">
        <f>IF(OR(C4981="",NOT(ISNUMBER(E4981))),"",IFERROR(E4981*N(INDEX(art_price,MATCH(C4981,art_ref,0))),""))</f>
        <v/>
      </c>
      <c r="K4981" s="39" t="str">
        <f>IF(OR(C4981="",NOT(ISNUMBER(E4981))),"",IFERROR(ROUND(N(INDEX(art_init,MATCH(C4981,art_ref,0)))+SUMIFS($E$5:E4981,$C$5:C4981,C4981,$B$5:B4981,"Entrée")-SUMIFS($E$5:E4981,$C$5:C4981,C4981,$B$5:B4981,"Sortie"),6),""))</f>
        <v/>
      </c>
      <c r="L4981" s="39" t="str">
        <f>IF(COUNTA(A4981:C4981,E4981)=0,"",IF(COUNTA(A4981:C4981,E4981)&lt;4,"Ligne incomplète",IF(NOT(ISNUMBER(A4981)),"Date invalide",IF(AND(B4981&lt;&gt;"Entrée",B4981&lt;&gt;"Sortie"),"Type inconnu",IF(ISNA(MATCH(C4981,art_ref,0)),"Référence inconnue",IF(OR(NOT(ISNUMBER(E4981)),N(E4981)&lt;=0),"Quantité invalide",IF(K4981&lt;0,"Stock négatif",IF(AND(ISNUMBER(A4980),A4981&lt;A4980),"Date hors ordre","OK"))))))))</f>
        <v/>
      </c>
      <c r="M4981" s="39" t="str">
        <f>IF(C4981="","",C4981&amp;"#"&amp;COUNTIF($C$5:C4981,C4981))</f>
        <v/>
      </c>
    </row>
    <row r="4982">
      <c r="A4982" s="41" t="n"/>
      <c r="B4982" s="37" t="n"/>
      <c r="C4982" s="37" t="n"/>
      <c r="D4982" s="39" t="str">
        <f>IF(C4982="","",IFERROR(INDEX(art_des,MATCH(C4982,art_ref,0))&amp;"","Référence inconnue"))</f>
        <v/>
      </c>
      <c r="E4982" s="37" t="n"/>
      <c r="F4982" s="39" t="str">
        <f>IF(C4982="","",IFERROR(INDEX(art_unit,MATCH(C4982,art_ref,0))&amp;"",""))</f>
        <v/>
      </c>
      <c r="G4982" s="37" t="n"/>
      <c r="H4982" s="37" t="n"/>
      <c r="I4982" s="37" t="n"/>
      <c r="J4982" s="40" t="str">
        <f>IF(OR(C4982="",NOT(ISNUMBER(E4982))),"",IFERROR(E4982*N(INDEX(art_price,MATCH(C4982,art_ref,0))),""))</f>
        <v/>
      </c>
      <c r="K4982" s="39" t="str">
        <f>IF(OR(C4982="",NOT(ISNUMBER(E4982))),"",IFERROR(ROUND(N(INDEX(art_init,MATCH(C4982,art_ref,0)))+SUMIFS($E$5:E4982,$C$5:C4982,C4982,$B$5:B4982,"Entrée")-SUMIFS($E$5:E4982,$C$5:C4982,C4982,$B$5:B4982,"Sortie"),6),""))</f>
        <v/>
      </c>
      <c r="L4982" s="39" t="str">
        <f>IF(COUNTA(A4982:C4982,E4982)=0,"",IF(COUNTA(A4982:C4982,E4982)&lt;4,"Ligne incomplète",IF(NOT(ISNUMBER(A4982)),"Date invalide",IF(AND(B4982&lt;&gt;"Entrée",B4982&lt;&gt;"Sortie"),"Type inconnu",IF(ISNA(MATCH(C4982,art_ref,0)),"Référence inconnue",IF(OR(NOT(ISNUMBER(E4982)),N(E4982)&lt;=0),"Quantité invalide",IF(K4982&lt;0,"Stock négatif",IF(AND(ISNUMBER(A4981),A4982&lt;A4981),"Date hors ordre","OK"))))))))</f>
        <v/>
      </c>
      <c r="M4982" s="39" t="str">
        <f>IF(C4982="","",C4982&amp;"#"&amp;COUNTIF($C$5:C4982,C4982))</f>
        <v/>
      </c>
    </row>
    <row r="4983">
      <c r="A4983" s="41" t="n"/>
      <c r="B4983" s="37" t="n"/>
      <c r="C4983" s="37" t="n"/>
      <c r="D4983" s="39" t="str">
        <f>IF(C4983="","",IFERROR(INDEX(art_des,MATCH(C4983,art_ref,0))&amp;"","Référence inconnue"))</f>
        <v/>
      </c>
      <c r="E4983" s="37" t="n"/>
      <c r="F4983" s="39" t="str">
        <f>IF(C4983="","",IFERROR(INDEX(art_unit,MATCH(C4983,art_ref,0))&amp;"",""))</f>
        <v/>
      </c>
      <c r="G4983" s="37" t="n"/>
      <c r="H4983" s="37" t="n"/>
      <c r="I4983" s="37" t="n"/>
      <c r="J4983" s="40" t="str">
        <f>IF(OR(C4983="",NOT(ISNUMBER(E4983))),"",IFERROR(E4983*N(INDEX(art_price,MATCH(C4983,art_ref,0))),""))</f>
        <v/>
      </c>
      <c r="K4983" s="39" t="str">
        <f>IF(OR(C4983="",NOT(ISNUMBER(E4983))),"",IFERROR(ROUND(N(INDEX(art_init,MATCH(C4983,art_ref,0)))+SUMIFS($E$5:E4983,$C$5:C4983,C4983,$B$5:B4983,"Entrée")-SUMIFS($E$5:E4983,$C$5:C4983,C4983,$B$5:B4983,"Sortie"),6),""))</f>
        <v/>
      </c>
      <c r="L4983" s="39" t="str">
        <f>IF(COUNTA(A4983:C4983,E4983)=0,"",IF(COUNTA(A4983:C4983,E4983)&lt;4,"Ligne incomplète",IF(NOT(ISNUMBER(A4983)),"Date invalide",IF(AND(B4983&lt;&gt;"Entrée",B4983&lt;&gt;"Sortie"),"Type inconnu",IF(ISNA(MATCH(C4983,art_ref,0)),"Référence inconnue",IF(OR(NOT(ISNUMBER(E4983)),N(E4983)&lt;=0),"Quantité invalide",IF(K4983&lt;0,"Stock négatif",IF(AND(ISNUMBER(A4982),A4983&lt;A4982),"Date hors ordre","OK"))))))))</f>
        <v/>
      </c>
      <c r="M4983" s="39" t="str">
        <f>IF(C4983="","",C4983&amp;"#"&amp;COUNTIF($C$5:C4983,C4983))</f>
        <v/>
      </c>
    </row>
    <row r="4984">
      <c r="A4984" s="41" t="n"/>
      <c r="B4984" s="37" t="n"/>
      <c r="C4984" s="37" t="n"/>
      <c r="D4984" s="39" t="str">
        <f>IF(C4984="","",IFERROR(INDEX(art_des,MATCH(C4984,art_ref,0))&amp;"","Référence inconnue"))</f>
        <v/>
      </c>
      <c r="E4984" s="37" t="n"/>
      <c r="F4984" s="39" t="str">
        <f>IF(C4984="","",IFERROR(INDEX(art_unit,MATCH(C4984,art_ref,0))&amp;"",""))</f>
        <v/>
      </c>
      <c r="G4984" s="37" t="n"/>
      <c r="H4984" s="37" t="n"/>
      <c r="I4984" s="37" t="n"/>
      <c r="J4984" s="40" t="str">
        <f>IF(OR(C4984="",NOT(ISNUMBER(E4984))),"",IFERROR(E4984*N(INDEX(art_price,MATCH(C4984,art_ref,0))),""))</f>
        <v/>
      </c>
      <c r="K4984" s="39" t="str">
        <f>IF(OR(C4984="",NOT(ISNUMBER(E4984))),"",IFERROR(ROUND(N(INDEX(art_init,MATCH(C4984,art_ref,0)))+SUMIFS($E$5:E4984,$C$5:C4984,C4984,$B$5:B4984,"Entrée")-SUMIFS($E$5:E4984,$C$5:C4984,C4984,$B$5:B4984,"Sortie"),6),""))</f>
        <v/>
      </c>
      <c r="L4984" s="39" t="str">
        <f>IF(COUNTA(A4984:C4984,E4984)=0,"",IF(COUNTA(A4984:C4984,E4984)&lt;4,"Ligne incomplète",IF(NOT(ISNUMBER(A4984)),"Date invalide",IF(AND(B4984&lt;&gt;"Entrée",B4984&lt;&gt;"Sortie"),"Type inconnu",IF(ISNA(MATCH(C4984,art_ref,0)),"Référence inconnue",IF(OR(NOT(ISNUMBER(E4984)),N(E4984)&lt;=0),"Quantité invalide",IF(K4984&lt;0,"Stock négatif",IF(AND(ISNUMBER(A4983),A4984&lt;A4983),"Date hors ordre","OK"))))))))</f>
        <v/>
      </c>
      <c r="M4984" s="39" t="str">
        <f>IF(C4984="","",C4984&amp;"#"&amp;COUNTIF($C$5:C4984,C4984))</f>
        <v/>
      </c>
    </row>
    <row r="4985">
      <c r="A4985" s="41" t="n"/>
      <c r="B4985" s="37" t="n"/>
      <c r="C4985" s="37" t="n"/>
      <c r="D4985" s="39" t="str">
        <f>IF(C4985="","",IFERROR(INDEX(art_des,MATCH(C4985,art_ref,0))&amp;"","Référence inconnue"))</f>
        <v/>
      </c>
      <c r="E4985" s="37" t="n"/>
      <c r="F4985" s="39" t="str">
        <f>IF(C4985="","",IFERROR(INDEX(art_unit,MATCH(C4985,art_ref,0))&amp;"",""))</f>
        <v/>
      </c>
      <c r="G4985" s="37" t="n"/>
      <c r="H4985" s="37" t="n"/>
      <c r="I4985" s="37" t="n"/>
      <c r="J4985" s="40" t="str">
        <f>IF(OR(C4985="",NOT(ISNUMBER(E4985))),"",IFERROR(E4985*N(INDEX(art_price,MATCH(C4985,art_ref,0))),""))</f>
        <v/>
      </c>
      <c r="K4985" s="39" t="str">
        <f>IF(OR(C4985="",NOT(ISNUMBER(E4985))),"",IFERROR(ROUND(N(INDEX(art_init,MATCH(C4985,art_ref,0)))+SUMIFS($E$5:E4985,$C$5:C4985,C4985,$B$5:B4985,"Entrée")-SUMIFS($E$5:E4985,$C$5:C4985,C4985,$B$5:B4985,"Sortie"),6),""))</f>
        <v/>
      </c>
      <c r="L4985" s="39" t="str">
        <f>IF(COUNTA(A4985:C4985,E4985)=0,"",IF(COUNTA(A4985:C4985,E4985)&lt;4,"Ligne incomplète",IF(NOT(ISNUMBER(A4985)),"Date invalide",IF(AND(B4985&lt;&gt;"Entrée",B4985&lt;&gt;"Sortie"),"Type inconnu",IF(ISNA(MATCH(C4985,art_ref,0)),"Référence inconnue",IF(OR(NOT(ISNUMBER(E4985)),N(E4985)&lt;=0),"Quantité invalide",IF(K4985&lt;0,"Stock négatif",IF(AND(ISNUMBER(A4984),A4985&lt;A4984),"Date hors ordre","OK"))))))))</f>
        <v/>
      </c>
      <c r="M4985" s="39" t="str">
        <f>IF(C4985="","",C4985&amp;"#"&amp;COUNTIF($C$5:C4985,C4985))</f>
        <v/>
      </c>
    </row>
    <row r="4986">
      <c r="A4986" s="41" t="n"/>
      <c r="B4986" s="37" t="n"/>
      <c r="C4986" s="37" t="n"/>
      <c r="D4986" s="39" t="str">
        <f>IF(C4986="","",IFERROR(INDEX(art_des,MATCH(C4986,art_ref,0))&amp;"","Référence inconnue"))</f>
        <v/>
      </c>
      <c r="E4986" s="37" t="n"/>
      <c r="F4986" s="39" t="str">
        <f>IF(C4986="","",IFERROR(INDEX(art_unit,MATCH(C4986,art_ref,0))&amp;"",""))</f>
        <v/>
      </c>
      <c r="G4986" s="37" t="n"/>
      <c r="H4986" s="37" t="n"/>
      <c r="I4986" s="37" t="n"/>
      <c r="J4986" s="40" t="str">
        <f>IF(OR(C4986="",NOT(ISNUMBER(E4986))),"",IFERROR(E4986*N(INDEX(art_price,MATCH(C4986,art_ref,0))),""))</f>
        <v/>
      </c>
      <c r="K4986" s="39" t="str">
        <f>IF(OR(C4986="",NOT(ISNUMBER(E4986))),"",IFERROR(ROUND(N(INDEX(art_init,MATCH(C4986,art_ref,0)))+SUMIFS($E$5:E4986,$C$5:C4986,C4986,$B$5:B4986,"Entrée")-SUMIFS($E$5:E4986,$C$5:C4986,C4986,$B$5:B4986,"Sortie"),6),""))</f>
        <v/>
      </c>
      <c r="L4986" s="39" t="str">
        <f>IF(COUNTA(A4986:C4986,E4986)=0,"",IF(COUNTA(A4986:C4986,E4986)&lt;4,"Ligne incomplète",IF(NOT(ISNUMBER(A4986)),"Date invalide",IF(AND(B4986&lt;&gt;"Entrée",B4986&lt;&gt;"Sortie"),"Type inconnu",IF(ISNA(MATCH(C4986,art_ref,0)),"Référence inconnue",IF(OR(NOT(ISNUMBER(E4986)),N(E4986)&lt;=0),"Quantité invalide",IF(K4986&lt;0,"Stock négatif",IF(AND(ISNUMBER(A4985),A4986&lt;A4985),"Date hors ordre","OK"))))))))</f>
        <v/>
      </c>
      <c r="M4986" s="39" t="str">
        <f>IF(C4986="","",C4986&amp;"#"&amp;COUNTIF($C$5:C4986,C4986))</f>
        <v/>
      </c>
    </row>
    <row r="4987">
      <c r="A4987" s="41" t="n"/>
      <c r="B4987" s="37" t="n"/>
      <c r="C4987" s="37" t="n"/>
      <c r="D4987" s="39" t="str">
        <f>IF(C4987="","",IFERROR(INDEX(art_des,MATCH(C4987,art_ref,0))&amp;"","Référence inconnue"))</f>
        <v/>
      </c>
      <c r="E4987" s="37" t="n"/>
      <c r="F4987" s="39" t="str">
        <f>IF(C4987="","",IFERROR(INDEX(art_unit,MATCH(C4987,art_ref,0))&amp;"",""))</f>
        <v/>
      </c>
      <c r="G4987" s="37" t="n"/>
      <c r="H4987" s="37" t="n"/>
      <c r="I4987" s="37" t="n"/>
      <c r="J4987" s="40" t="str">
        <f>IF(OR(C4987="",NOT(ISNUMBER(E4987))),"",IFERROR(E4987*N(INDEX(art_price,MATCH(C4987,art_ref,0))),""))</f>
        <v/>
      </c>
      <c r="K4987" s="39" t="str">
        <f>IF(OR(C4987="",NOT(ISNUMBER(E4987))),"",IFERROR(ROUND(N(INDEX(art_init,MATCH(C4987,art_ref,0)))+SUMIFS($E$5:E4987,$C$5:C4987,C4987,$B$5:B4987,"Entrée")-SUMIFS($E$5:E4987,$C$5:C4987,C4987,$B$5:B4987,"Sortie"),6),""))</f>
        <v/>
      </c>
      <c r="L4987" s="39" t="str">
        <f>IF(COUNTA(A4987:C4987,E4987)=0,"",IF(COUNTA(A4987:C4987,E4987)&lt;4,"Ligne incomplète",IF(NOT(ISNUMBER(A4987)),"Date invalide",IF(AND(B4987&lt;&gt;"Entrée",B4987&lt;&gt;"Sortie"),"Type inconnu",IF(ISNA(MATCH(C4987,art_ref,0)),"Référence inconnue",IF(OR(NOT(ISNUMBER(E4987)),N(E4987)&lt;=0),"Quantité invalide",IF(K4987&lt;0,"Stock négatif",IF(AND(ISNUMBER(A4986),A4987&lt;A4986),"Date hors ordre","OK"))))))))</f>
        <v/>
      </c>
      <c r="M4987" s="39" t="str">
        <f>IF(C4987="","",C4987&amp;"#"&amp;COUNTIF($C$5:C4987,C4987))</f>
        <v/>
      </c>
    </row>
    <row r="4988">
      <c r="A4988" s="41" t="n"/>
      <c r="B4988" s="37" t="n"/>
      <c r="C4988" s="37" t="n"/>
      <c r="D4988" s="39" t="str">
        <f>IF(C4988="","",IFERROR(INDEX(art_des,MATCH(C4988,art_ref,0))&amp;"","Référence inconnue"))</f>
        <v/>
      </c>
      <c r="E4988" s="37" t="n"/>
      <c r="F4988" s="39" t="str">
        <f>IF(C4988="","",IFERROR(INDEX(art_unit,MATCH(C4988,art_ref,0))&amp;"",""))</f>
        <v/>
      </c>
      <c r="G4988" s="37" t="n"/>
      <c r="H4988" s="37" t="n"/>
      <c r="I4988" s="37" t="n"/>
      <c r="J4988" s="40" t="str">
        <f>IF(OR(C4988="",NOT(ISNUMBER(E4988))),"",IFERROR(E4988*N(INDEX(art_price,MATCH(C4988,art_ref,0))),""))</f>
        <v/>
      </c>
      <c r="K4988" s="39" t="str">
        <f>IF(OR(C4988="",NOT(ISNUMBER(E4988))),"",IFERROR(ROUND(N(INDEX(art_init,MATCH(C4988,art_ref,0)))+SUMIFS($E$5:E4988,$C$5:C4988,C4988,$B$5:B4988,"Entrée")-SUMIFS($E$5:E4988,$C$5:C4988,C4988,$B$5:B4988,"Sortie"),6),""))</f>
        <v/>
      </c>
      <c r="L4988" s="39" t="str">
        <f>IF(COUNTA(A4988:C4988,E4988)=0,"",IF(COUNTA(A4988:C4988,E4988)&lt;4,"Ligne incomplète",IF(NOT(ISNUMBER(A4988)),"Date invalide",IF(AND(B4988&lt;&gt;"Entrée",B4988&lt;&gt;"Sortie"),"Type inconnu",IF(ISNA(MATCH(C4988,art_ref,0)),"Référence inconnue",IF(OR(NOT(ISNUMBER(E4988)),N(E4988)&lt;=0),"Quantité invalide",IF(K4988&lt;0,"Stock négatif",IF(AND(ISNUMBER(A4987),A4988&lt;A4987),"Date hors ordre","OK"))))))))</f>
        <v/>
      </c>
      <c r="M4988" s="39" t="str">
        <f>IF(C4988="","",C4988&amp;"#"&amp;COUNTIF($C$5:C4988,C4988))</f>
        <v/>
      </c>
    </row>
    <row r="4989">
      <c r="A4989" s="41" t="n"/>
      <c r="B4989" s="37" t="n"/>
      <c r="C4989" s="37" t="n"/>
      <c r="D4989" s="39" t="str">
        <f>IF(C4989="","",IFERROR(INDEX(art_des,MATCH(C4989,art_ref,0))&amp;"","Référence inconnue"))</f>
        <v/>
      </c>
      <c r="E4989" s="37" t="n"/>
      <c r="F4989" s="39" t="str">
        <f>IF(C4989="","",IFERROR(INDEX(art_unit,MATCH(C4989,art_ref,0))&amp;"",""))</f>
        <v/>
      </c>
      <c r="G4989" s="37" t="n"/>
      <c r="H4989" s="37" t="n"/>
      <c r="I4989" s="37" t="n"/>
      <c r="J4989" s="40" t="str">
        <f>IF(OR(C4989="",NOT(ISNUMBER(E4989))),"",IFERROR(E4989*N(INDEX(art_price,MATCH(C4989,art_ref,0))),""))</f>
        <v/>
      </c>
      <c r="K4989" s="39" t="str">
        <f>IF(OR(C4989="",NOT(ISNUMBER(E4989))),"",IFERROR(ROUND(N(INDEX(art_init,MATCH(C4989,art_ref,0)))+SUMIFS($E$5:E4989,$C$5:C4989,C4989,$B$5:B4989,"Entrée")-SUMIFS($E$5:E4989,$C$5:C4989,C4989,$B$5:B4989,"Sortie"),6),""))</f>
        <v/>
      </c>
      <c r="L4989" s="39" t="str">
        <f>IF(COUNTA(A4989:C4989,E4989)=0,"",IF(COUNTA(A4989:C4989,E4989)&lt;4,"Ligne incomplète",IF(NOT(ISNUMBER(A4989)),"Date invalide",IF(AND(B4989&lt;&gt;"Entrée",B4989&lt;&gt;"Sortie"),"Type inconnu",IF(ISNA(MATCH(C4989,art_ref,0)),"Référence inconnue",IF(OR(NOT(ISNUMBER(E4989)),N(E4989)&lt;=0),"Quantité invalide",IF(K4989&lt;0,"Stock négatif",IF(AND(ISNUMBER(A4988),A4989&lt;A4988),"Date hors ordre","OK"))))))))</f>
        <v/>
      </c>
      <c r="M4989" s="39" t="str">
        <f>IF(C4989="","",C4989&amp;"#"&amp;COUNTIF($C$5:C4989,C4989))</f>
        <v/>
      </c>
    </row>
    <row r="4990">
      <c r="A4990" s="41" t="n"/>
      <c r="B4990" s="37" t="n"/>
      <c r="C4990" s="37" t="n"/>
      <c r="D4990" s="39" t="str">
        <f>IF(C4990="","",IFERROR(INDEX(art_des,MATCH(C4990,art_ref,0))&amp;"","Référence inconnue"))</f>
        <v/>
      </c>
      <c r="E4990" s="37" t="n"/>
      <c r="F4990" s="39" t="str">
        <f>IF(C4990="","",IFERROR(INDEX(art_unit,MATCH(C4990,art_ref,0))&amp;"",""))</f>
        <v/>
      </c>
      <c r="G4990" s="37" t="n"/>
      <c r="H4990" s="37" t="n"/>
      <c r="I4990" s="37" t="n"/>
      <c r="J4990" s="40" t="str">
        <f>IF(OR(C4990="",NOT(ISNUMBER(E4990))),"",IFERROR(E4990*N(INDEX(art_price,MATCH(C4990,art_ref,0))),""))</f>
        <v/>
      </c>
      <c r="K4990" s="39" t="str">
        <f>IF(OR(C4990="",NOT(ISNUMBER(E4990))),"",IFERROR(ROUND(N(INDEX(art_init,MATCH(C4990,art_ref,0)))+SUMIFS($E$5:E4990,$C$5:C4990,C4990,$B$5:B4990,"Entrée")-SUMIFS($E$5:E4990,$C$5:C4990,C4990,$B$5:B4990,"Sortie"),6),""))</f>
        <v/>
      </c>
      <c r="L4990" s="39" t="str">
        <f>IF(COUNTA(A4990:C4990,E4990)=0,"",IF(COUNTA(A4990:C4990,E4990)&lt;4,"Ligne incomplète",IF(NOT(ISNUMBER(A4990)),"Date invalide",IF(AND(B4990&lt;&gt;"Entrée",B4990&lt;&gt;"Sortie"),"Type inconnu",IF(ISNA(MATCH(C4990,art_ref,0)),"Référence inconnue",IF(OR(NOT(ISNUMBER(E4990)),N(E4990)&lt;=0),"Quantité invalide",IF(K4990&lt;0,"Stock négatif",IF(AND(ISNUMBER(A4989),A4990&lt;A4989),"Date hors ordre","OK"))))))))</f>
        <v/>
      </c>
      <c r="M4990" s="39" t="str">
        <f>IF(C4990="","",C4990&amp;"#"&amp;COUNTIF($C$5:C4990,C4990))</f>
        <v/>
      </c>
    </row>
    <row r="4991">
      <c r="A4991" s="41" t="n"/>
      <c r="B4991" s="37" t="n"/>
      <c r="C4991" s="37" t="n"/>
      <c r="D4991" s="39" t="str">
        <f>IF(C4991="","",IFERROR(INDEX(art_des,MATCH(C4991,art_ref,0))&amp;"","Référence inconnue"))</f>
        <v/>
      </c>
      <c r="E4991" s="37" t="n"/>
      <c r="F4991" s="39" t="str">
        <f>IF(C4991="","",IFERROR(INDEX(art_unit,MATCH(C4991,art_ref,0))&amp;"",""))</f>
        <v/>
      </c>
      <c r="G4991" s="37" t="n"/>
      <c r="H4991" s="37" t="n"/>
      <c r="I4991" s="37" t="n"/>
      <c r="J4991" s="40" t="str">
        <f>IF(OR(C4991="",NOT(ISNUMBER(E4991))),"",IFERROR(E4991*N(INDEX(art_price,MATCH(C4991,art_ref,0))),""))</f>
        <v/>
      </c>
      <c r="K4991" s="39" t="str">
        <f>IF(OR(C4991="",NOT(ISNUMBER(E4991))),"",IFERROR(ROUND(N(INDEX(art_init,MATCH(C4991,art_ref,0)))+SUMIFS($E$5:E4991,$C$5:C4991,C4991,$B$5:B4991,"Entrée")-SUMIFS($E$5:E4991,$C$5:C4991,C4991,$B$5:B4991,"Sortie"),6),""))</f>
        <v/>
      </c>
      <c r="L4991" s="39" t="str">
        <f>IF(COUNTA(A4991:C4991,E4991)=0,"",IF(COUNTA(A4991:C4991,E4991)&lt;4,"Ligne incomplète",IF(NOT(ISNUMBER(A4991)),"Date invalide",IF(AND(B4991&lt;&gt;"Entrée",B4991&lt;&gt;"Sortie"),"Type inconnu",IF(ISNA(MATCH(C4991,art_ref,0)),"Référence inconnue",IF(OR(NOT(ISNUMBER(E4991)),N(E4991)&lt;=0),"Quantité invalide",IF(K4991&lt;0,"Stock négatif",IF(AND(ISNUMBER(A4990),A4991&lt;A4990),"Date hors ordre","OK"))))))))</f>
        <v/>
      </c>
      <c r="M4991" s="39" t="str">
        <f>IF(C4991="","",C4991&amp;"#"&amp;COUNTIF($C$5:C4991,C4991))</f>
        <v/>
      </c>
    </row>
    <row r="4992">
      <c r="A4992" s="41" t="n"/>
      <c r="B4992" s="37" t="n"/>
      <c r="C4992" s="37" t="n"/>
      <c r="D4992" s="39" t="str">
        <f>IF(C4992="","",IFERROR(INDEX(art_des,MATCH(C4992,art_ref,0))&amp;"","Référence inconnue"))</f>
        <v/>
      </c>
      <c r="E4992" s="37" t="n"/>
      <c r="F4992" s="39" t="str">
        <f>IF(C4992="","",IFERROR(INDEX(art_unit,MATCH(C4992,art_ref,0))&amp;"",""))</f>
        <v/>
      </c>
      <c r="G4992" s="37" t="n"/>
      <c r="H4992" s="37" t="n"/>
      <c r="I4992" s="37" t="n"/>
      <c r="J4992" s="40" t="str">
        <f>IF(OR(C4992="",NOT(ISNUMBER(E4992))),"",IFERROR(E4992*N(INDEX(art_price,MATCH(C4992,art_ref,0))),""))</f>
        <v/>
      </c>
      <c r="K4992" s="39" t="str">
        <f>IF(OR(C4992="",NOT(ISNUMBER(E4992))),"",IFERROR(ROUND(N(INDEX(art_init,MATCH(C4992,art_ref,0)))+SUMIFS($E$5:E4992,$C$5:C4992,C4992,$B$5:B4992,"Entrée")-SUMIFS($E$5:E4992,$C$5:C4992,C4992,$B$5:B4992,"Sortie"),6),""))</f>
        <v/>
      </c>
      <c r="L4992" s="39" t="str">
        <f>IF(COUNTA(A4992:C4992,E4992)=0,"",IF(COUNTA(A4992:C4992,E4992)&lt;4,"Ligne incomplète",IF(NOT(ISNUMBER(A4992)),"Date invalide",IF(AND(B4992&lt;&gt;"Entrée",B4992&lt;&gt;"Sortie"),"Type inconnu",IF(ISNA(MATCH(C4992,art_ref,0)),"Référence inconnue",IF(OR(NOT(ISNUMBER(E4992)),N(E4992)&lt;=0),"Quantité invalide",IF(K4992&lt;0,"Stock négatif",IF(AND(ISNUMBER(A4991),A4992&lt;A4991),"Date hors ordre","OK"))))))))</f>
        <v/>
      </c>
      <c r="M4992" s="39" t="str">
        <f>IF(C4992="","",C4992&amp;"#"&amp;COUNTIF($C$5:C4992,C4992))</f>
        <v/>
      </c>
    </row>
    <row r="4993">
      <c r="A4993" s="41" t="n"/>
      <c r="B4993" s="37" t="n"/>
      <c r="C4993" s="37" t="n"/>
      <c r="D4993" s="39" t="str">
        <f>IF(C4993="","",IFERROR(INDEX(art_des,MATCH(C4993,art_ref,0))&amp;"","Référence inconnue"))</f>
        <v/>
      </c>
      <c r="E4993" s="37" t="n"/>
      <c r="F4993" s="39" t="str">
        <f>IF(C4993="","",IFERROR(INDEX(art_unit,MATCH(C4993,art_ref,0))&amp;"",""))</f>
        <v/>
      </c>
      <c r="G4993" s="37" t="n"/>
      <c r="H4993" s="37" t="n"/>
      <c r="I4993" s="37" t="n"/>
      <c r="J4993" s="40" t="str">
        <f>IF(OR(C4993="",NOT(ISNUMBER(E4993))),"",IFERROR(E4993*N(INDEX(art_price,MATCH(C4993,art_ref,0))),""))</f>
        <v/>
      </c>
      <c r="K4993" s="39" t="str">
        <f>IF(OR(C4993="",NOT(ISNUMBER(E4993))),"",IFERROR(ROUND(N(INDEX(art_init,MATCH(C4993,art_ref,0)))+SUMIFS($E$5:E4993,$C$5:C4993,C4993,$B$5:B4993,"Entrée")-SUMIFS($E$5:E4993,$C$5:C4993,C4993,$B$5:B4993,"Sortie"),6),""))</f>
        <v/>
      </c>
      <c r="L4993" s="39" t="str">
        <f>IF(COUNTA(A4993:C4993,E4993)=0,"",IF(COUNTA(A4993:C4993,E4993)&lt;4,"Ligne incomplète",IF(NOT(ISNUMBER(A4993)),"Date invalide",IF(AND(B4993&lt;&gt;"Entrée",B4993&lt;&gt;"Sortie"),"Type inconnu",IF(ISNA(MATCH(C4993,art_ref,0)),"Référence inconnue",IF(OR(NOT(ISNUMBER(E4993)),N(E4993)&lt;=0),"Quantité invalide",IF(K4993&lt;0,"Stock négatif",IF(AND(ISNUMBER(A4992),A4993&lt;A4992),"Date hors ordre","OK"))))))))</f>
        <v/>
      </c>
      <c r="M4993" s="39" t="str">
        <f>IF(C4993="","",C4993&amp;"#"&amp;COUNTIF($C$5:C4993,C4993))</f>
        <v/>
      </c>
    </row>
    <row r="4994">
      <c r="A4994" s="41" t="n"/>
      <c r="B4994" s="37" t="n"/>
      <c r="C4994" s="37" t="n"/>
      <c r="D4994" s="39" t="str">
        <f>IF(C4994="","",IFERROR(INDEX(art_des,MATCH(C4994,art_ref,0))&amp;"","Référence inconnue"))</f>
        <v/>
      </c>
      <c r="E4994" s="37" t="n"/>
      <c r="F4994" s="39" t="str">
        <f>IF(C4994="","",IFERROR(INDEX(art_unit,MATCH(C4994,art_ref,0))&amp;"",""))</f>
        <v/>
      </c>
      <c r="G4994" s="37" t="n"/>
      <c r="H4994" s="37" t="n"/>
      <c r="I4994" s="37" t="n"/>
      <c r="J4994" s="40" t="str">
        <f>IF(OR(C4994="",NOT(ISNUMBER(E4994))),"",IFERROR(E4994*N(INDEX(art_price,MATCH(C4994,art_ref,0))),""))</f>
        <v/>
      </c>
      <c r="K4994" s="39" t="str">
        <f>IF(OR(C4994="",NOT(ISNUMBER(E4994))),"",IFERROR(ROUND(N(INDEX(art_init,MATCH(C4994,art_ref,0)))+SUMIFS($E$5:E4994,$C$5:C4994,C4994,$B$5:B4994,"Entrée")-SUMIFS($E$5:E4994,$C$5:C4994,C4994,$B$5:B4994,"Sortie"),6),""))</f>
        <v/>
      </c>
      <c r="L4994" s="39" t="str">
        <f>IF(COUNTA(A4994:C4994,E4994)=0,"",IF(COUNTA(A4994:C4994,E4994)&lt;4,"Ligne incomplète",IF(NOT(ISNUMBER(A4994)),"Date invalide",IF(AND(B4994&lt;&gt;"Entrée",B4994&lt;&gt;"Sortie"),"Type inconnu",IF(ISNA(MATCH(C4994,art_ref,0)),"Référence inconnue",IF(OR(NOT(ISNUMBER(E4994)),N(E4994)&lt;=0),"Quantité invalide",IF(K4994&lt;0,"Stock négatif",IF(AND(ISNUMBER(A4993),A4994&lt;A4993),"Date hors ordre","OK"))))))))</f>
        <v/>
      </c>
      <c r="M4994" s="39" t="str">
        <f>IF(C4994="","",C4994&amp;"#"&amp;COUNTIF($C$5:C4994,C4994))</f>
        <v/>
      </c>
    </row>
    <row r="4995">
      <c r="A4995" s="41" t="n"/>
      <c r="B4995" s="37" t="n"/>
      <c r="C4995" s="37" t="n"/>
      <c r="D4995" s="39" t="str">
        <f>IF(C4995="","",IFERROR(INDEX(art_des,MATCH(C4995,art_ref,0))&amp;"","Référence inconnue"))</f>
        <v/>
      </c>
      <c r="E4995" s="37" t="n"/>
      <c r="F4995" s="39" t="str">
        <f>IF(C4995="","",IFERROR(INDEX(art_unit,MATCH(C4995,art_ref,0))&amp;"",""))</f>
        <v/>
      </c>
      <c r="G4995" s="37" t="n"/>
      <c r="H4995" s="37" t="n"/>
      <c r="I4995" s="37" t="n"/>
      <c r="J4995" s="40" t="str">
        <f>IF(OR(C4995="",NOT(ISNUMBER(E4995))),"",IFERROR(E4995*N(INDEX(art_price,MATCH(C4995,art_ref,0))),""))</f>
        <v/>
      </c>
      <c r="K4995" s="39" t="str">
        <f>IF(OR(C4995="",NOT(ISNUMBER(E4995))),"",IFERROR(ROUND(N(INDEX(art_init,MATCH(C4995,art_ref,0)))+SUMIFS($E$5:E4995,$C$5:C4995,C4995,$B$5:B4995,"Entrée")-SUMIFS($E$5:E4995,$C$5:C4995,C4995,$B$5:B4995,"Sortie"),6),""))</f>
        <v/>
      </c>
      <c r="L4995" s="39" t="str">
        <f>IF(COUNTA(A4995:C4995,E4995)=0,"",IF(COUNTA(A4995:C4995,E4995)&lt;4,"Ligne incomplète",IF(NOT(ISNUMBER(A4995)),"Date invalide",IF(AND(B4995&lt;&gt;"Entrée",B4995&lt;&gt;"Sortie"),"Type inconnu",IF(ISNA(MATCH(C4995,art_ref,0)),"Référence inconnue",IF(OR(NOT(ISNUMBER(E4995)),N(E4995)&lt;=0),"Quantité invalide",IF(K4995&lt;0,"Stock négatif",IF(AND(ISNUMBER(A4994),A4995&lt;A4994),"Date hors ordre","OK"))))))))</f>
        <v/>
      </c>
      <c r="M4995" s="39" t="str">
        <f>IF(C4995="","",C4995&amp;"#"&amp;COUNTIF($C$5:C4995,C4995))</f>
        <v/>
      </c>
    </row>
    <row r="4996">
      <c r="A4996" s="41" t="n"/>
      <c r="B4996" s="37" t="n"/>
      <c r="C4996" s="37" t="n"/>
      <c r="D4996" s="39" t="str">
        <f>IF(C4996="","",IFERROR(INDEX(art_des,MATCH(C4996,art_ref,0))&amp;"","Référence inconnue"))</f>
        <v/>
      </c>
      <c r="E4996" s="37" t="n"/>
      <c r="F4996" s="39" t="str">
        <f>IF(C4996="","",IFERROR(INDEX(art_unit,MATCH(C4996,art_ref,0))&amp;"",""))</f>
        <v/>
      </c>
      <c r="G4996" s="37" t="n"/>
      <c r="H4996" s="37" t="n"/>
      <c r="I4996" s="37" t="n"/>
      <c r="J4996" s="40" t="str">
        <f>IF(OR(C4996="",NOT(ISNUMBER(E4996))),"",IFERROR(E4996*N(INDEX(art_price,MATCH(C4996,art_ref,0))),""))</f>
        <v/>
      </c>
      <c r="K4996" s="39" t="str">
        <f>IF(OR(C4996="",NOT(ISNUMBER(E4996))),"",IFERROR(ROUND(N(INDEX(art_init,MATCH(C4996,art_ref,0)))+SUMIFS($E$5:E4996,$C$5:C4996,C4996,$B$5:B4996,"Entrée")-SUMIFS($E$5:E4996,$C$5:C4996,C4996,$B$5:B4996,"Sortie"),6),""))</f>
        <v/>
      </c>
      <c r="L4996" s="39" t="str">
        <f>IF(COUNTA(A4996:C4996,E4996)=0,"",IF(COUNTA(A4996:C4996,E4996)&lt;4,"Ligne incomplète",IF(NOT(ISNUMBER(A4996)),"Date invalide",IF(AND(B4996&lt;&gt;"Entrée",B4996&lt;&gt;"Sortie"),"Type inconnu",IF(ISNA(MATCH(C4996,art_ref,0)),"Référence inconnue",IF(OR(NOT(ISNUMBER(E4996)),N(E4996)&lt;=0),"Quantité invalide",IF(K4996&lt;0,"Stock négatif",IF(AND(ISNUMBER(A4995),A4996&lt;A4995),"Date hors ordre","OK"))))))))</f>
        <v/>
      </c>
      <c r="M4996" s="39" t="str">
        <f>IF(C4996="","",C4996&amp;"#"&amp;COUNTIF($C$5:C4996,C4996))</f>
        <v/>
      </c>
    </row>
    <row r="4997">
      <c r="A4997" s="41" t="n"/>
      <c r="B4997" s="37" t="n"/>
      <c r="C4997" s="37" t="n"/>
      <c r="D4997" s="39" t="str">
        <f>IF(C4997="","",IFERROR(INDEX(art_des,MATCH(C4997,art_ref,0))&amp;"","Référence inconnue"))</f>
        <v/>
      </c>
      <c r="E4997" s="37" t="n"/>
      <c r="F4997" s="39" t="str">
        <f>IF(C4997="","",IFERROR(INDEX(art_unit,MATCH(C4997,art_ref,0))&amp;"",""))</f>
        <v/>
      </c>
      <c r="G4997" s="37" t="n"/>
      <c r="H4997" s="37" t="n"/>
      <c r="I4997" s="37" t="n"/>
      <c r="J4997" s="40" t="str">
        <f>IF(OR(C4997="",NOT(ISNUMBER(E4997))),"",IFERROR(E4997*N(INDEX(art_price,MATCH(C4997,art_ref,0))),""))</f>
        <v/>
      </c>
      <c r="K4997" s="39" t="str">
        <f>IF(OR(C4997="",NOT(ISNUMBER(E4997))),"",IFERROR(ROUND(N(INDEX(art_init,MATCH(C4997,art_ref,0)))+SUMIFS($E$5:E4997,$C$5:C4997,C4997,$B$5:B4997,"Entrée")-SUMIFS($E$5:E4997,$C$5:C4997,C4997,$B$5:B4997,"Sortie"),6),""))</f>
        <v/>
      </c>
      <c r="L4997" s="39" t="str">
        <f>IF(COUNTA(A4997:C4997,E4997)=0,"",IF(COUNTA(A4997:C4997,E4997)&lt;4,"Ligne incomplète",IF(NOT(ISNUMBER(A4997)),"Date invalide",IF(AND(B4997&lt;&gt;"Entrée",B4997&lt;&gt;"Sortie"),"Type inconnu",IF(ISNA(MATCH(C4997,art_ref,0)),"Référence inconnue",IF(OR(NOT(ISNUMBER(E4997)),N(E4997)&lt;=0),"Quantité invalide",IF(K4997&lt;0,"Stock négatif",IF(AND(ISNUMBER(A4996),A4997&lt;A4996),"Date hors ordre","OK"))))))))</f>
        <v/>
      </c>
      <c r="M4997" s="39" t="str">
        <f>IF(C4997="","",C4997&amp;"#"&amp;COUNTIF($C$5:C4997,C4997))</f>
        <v/>
      </c>
    </row>
    <row r="4998">
      <c r="A4998" s="41" t="n"/>
      <c r="B4998" s="37" t="n"/>
      <c r="C4998" s="37" t="n"/>
      <c r="D4998" s="39" t="str">
        <f>IF(C4998="","",IFERROR(INDEX(art_des,MATCH(C4998,art_ref,0))&amp;"","Référence inconnue"))</f>
        <v/>
      </c>
      <c r="E4998" s="37" t="n"/>
      <c r="F4998" s="39" t="str">
        <f>IF(C4998="","",IFERROR(INDEX(art_unit,MATCH(C4998,art_ref,0))&amp;"",""))</f>
        <v/>
      </c>
      <c r="G4998" s="37" t="n"/>
      <c r="H4998" s="37" t="n"/>
      <c r="I4998" s="37" t="n"/>
      <c r="J4998" s="40" t="str">
        <f>IF(OR(C4998="",NOT(ISNUMBER(E4998))),"",IFERROR(E4998*N(INDEX(art_price,MATCH(C4998,art_ref,0))),""))</f>
        <v/>
      </c>
      <c r="K4998" s="39" t="str">
        <f>IF(OR(C4998="",NOT(ISNUMBER(E4998))),"",IFERROR(ROUND(N(INDEX(art_init,MATCH(C4998,art_ref,0)))+SUMIFS($E$5:E4998,$C$5:C4998,C4998,$B$5:B4998,"Entrée")-SUMIFS($E$5:E4998,$C$5:C4998,C4998,$B$5:B4998,"Sortie"),6),""))</f>
        <v/>
      </c>
      <c r="L4998" s="39" t="str">
        <f>IF(COUNTA(A4998:C4998,E4998)=0,"",IF(COUNTA(A4998:C4998,E4998)&lt;4,"Ligne incomplète",IF(NOT(ISNUMBER(A4998)),"Date invalide",IF(AND(B4998&lt;&gt;"Entrée",B4998&lt;&gt;"Sortie"),"Type inconnu",IF(ISNA(MATCH(C4998,art_ref,0)),"Référence inconnue",IF(OR(NOT(ISNUMBER(E4998)),N(E4998)&lt;=0),"Quantité invalide",IF(K4998&lt;0,"Stock négatif",IF(AND(ISNUMBER(A4997),A4998&lt;A4997),"Date hors ordre","OK"))))))))</f>
        <v/>
      </c>
      <c r="M4998" s="39" t="str">
        <f>IF(C4998="","",C4998&amp;"#"&amp;COUNTIF($C$5:C4998,C4998))</f>
        <v/>
      </c>
    </row>
    <row r="4999">
      <c r="A4999" s="41" t="n"/>
      <c r="B4999" s="37" t="n"/>
      <c r="C4999" s="37" t="n"/>
      <c r="D4999" s="39" t="str">
        <f>IF(C4999="","",IFERROR(INDEX(art_des,MATCH(C4999,art_ref,0))&amp;"","Référence inconnue"))</f>
        <v/>
      </c>
      <c r="E4999" s="37" t="n"/>
      <c r="F4999" s="39" t="str">
        <f>IF(C4999="","",IFERROR(INDEX(art_unit,MATCH(C4999,art_ref,0))&amp;"",""))</f>
        <v/>
      </c>
      <c r="G4999" s="37" t="n"/>
      <c r="H4999" s="37" t="n"/>
      <c r="I4999" s="37" t="n"/>
      <c r="J4999" s="40" t="str">
        <f>IF(OR(C4999="",NOT(ISNUMBER(E4999))),"",IFERROR(E4999*N(INDEX(art_price,MATCH(C4999,art_ref,0))),""))</f>
        <v/>
      </c>
      <c r="K4999" s="39" t="str">
        <f>IF(OR(C4999="",NOT(ISNUMBER(E4999))),"",IFERROR(ROUND(N(INDEX(art_init,MATCH(C4999,art_ref,0)))+SUMIFS($E$5:E4999,$C$5:C4999,C4999,$B$5:B4999,"Entrée")-SUMIFS($E$5:E4999,$C$5:C4999,C4999,$B$5:B4999,"Sortie"),6),""))</f>
        <v/>
      </c>
      <c r="L4999" s="39" t="str">
        <f>IF(COUNTA(A4999:C4999,E4999)=0,"",IF(COUNTA(A4999:C4999,E4999)&lt;4,"Ligne incomplète",IF(NOT(ISNUMBER(A4999)),"Date invalide",IF(AND(B4999&lt;&gt;"Entrée",B4999&lt;&gt;"Sortie"),"Type inconnu",IF(ISNA(MATCH(C4999,art_ref,0)),"Référence inconnue",IF(OR(NOT(ISNUMBER(E4999)),N(E4999)&lt;=0),"Quantité invalide",IF(K4999&lt;0,"Stock négatif",IF(AND(ISNUMBER(A4998),A4999&lt;A4998),"Date hors ordre","OK"))))))))</f>
        <v/>
      </c>
      <c r="M4999" s="39" t="str">
        <f>IF(C4999="","",C4999&amp;"#"&amp;COUNTIF($C$5:C4999,C4999))</f>
        <v/>
      </c>
    </row>
    <row r="5000">
      <c r="A5000" s="41" t="n"/>
      <c r="B5000" s="37" t="n"/>
      <c r="C5000" s="37" t="n"/>
      <c r="D5000" s="39" t="str">
        <f>IF(C5000="","",IFERROR(INDEX(art_des,MATCH(C5000,art_ref,0))&amp;"","Référence inconnue"))</f>
        <v/>
      </c>
      <c r="E5000" s="37" t="n"/>
      <c r="F5000" s="39" t="str">
        <f>IF(C5000="","",IFERROR(INDEX(art_unit,MATCH(C5000,art_ref,0))&amp;"",""))</f>
        <v/>
      </c>
      <c r="G5000" s="37" t="n"/>
      <c r="H5000" s="37" t="n"/>
      <c r="I5000" s="37" t="n"/>
      <c r="J5000" s="40" t="str">
        <f>IF(OR(C5000="",NOT(ISNUMBER(E5000))),"",IFERROR(E5000*N(INDEX(art_price,MATCH(C5000,art_ref,0))),""))</f>
        <v/>
      </c>
      <c r="K5000" s="39" t="str">
        <f>IF(OR(C5000="",NOT(ISNUMBER(E5000))),"",IFERROR(ROUND(N(INDEX(art_init,MATCH(C5000,art_ref,0)))+SUMIFS($E$5:E5000,$C$5:C5000,C5000,$B$5:B5000,"Entrée")-SUMIFS($E$5:E5000,$C$5:C5000,C5000,$B$5:B5000,"Sortie"),6),""))</f>
        <v/>
      </c>
      <c r="L5000" s="39" t="str">
        <f>IF(COUNTA(A5000:C5000,E5000)=0,"",IF(COUNTA(A5000:C5000,E5000)&lt;4,"Ligne incomplète",IF(NOT(ISNUMBER(A5000)),"Date invalide",IF(AND(B5000&lt;&gt;"Entrée",B5000&lt;&gt;"Sortie"),"Type inconnu",IF(ISNA(MATCH(C5000,art_ref,0)),"Référence inconnue",IF(OR(NOT(ISNUMBER(E5000)),N(E5000)&lt;=0),"Quantité invalide",IF(K5000&lt;0,"Stock négatif",IF(AND(ISNUMBER(A4999),A5000&lt;A4999),"Date hors ordre","OK"))))))))</f>
        <v/>
      </c>
      <c r="M5000" s="39" t="str">
        <f>IF(C5000="","",C5000&amp;"#"&amp;COUNTIF($C$5:C5000,C5000))</f>
        <v/>
      </c>
    </row>
    <row r="5001">
      <c r="A5001" s="41" t="n"/>
      <c r="B5001" s="37" t="n"/>
      <c r="C5001" s="37" t="n"/>
      <c r="D5001" s="39" t="str">
        <f>IF(C5001="","",IFERROR(INDEX(art_des,MATCH(C5001,art_ref,0))&amp;"","Référence inconnue"))</f>
        <v/>
      </c>
      <c r="E5001" s="37" t="n"/>
      <c r="F5001" s="39" t="str">
        <f>IF(C5001="","",IFERROR(INDEX(art_unit,MATCH(C5001,art_ref,0))&amp;"",""))</f>
        <v/>
      </c>
      <c r="G5001" s="37" t="n"/>
      <c r="H5001" s="37" t="n"/>
      <c r="I5001" s="37" t="n"/>
      <c r="J5001" s="40" t="str">
        <f>IF(OR(C5001="",NOT(ISNUMBER(E5001))),"",IFERROR(E5001*N(INDEX(art_price,MATCH(C5001,art_ref,0))),""))</f>
        <v/>
      </c>
      <c r="K5001" s="39" t="str">
        <f>IF(OR(C5001="",NOT(ISNUMBER(E5001))),"",IFERROR(ROUND(N(INDEX(art_init,MATCH(C5001,art_ref,0)))+SUMIFS($E$5:E5001,$C$5:C5001,C5001,$B$5:B5001,"Entrée")-SUMIFS($E$5:E5001,$C$5:C5001,C5001,$B$5:B5001,"Sortie"),6),""))</f>
        <v/>
      </c>
      <c r="L5001" s="39" t="str">
        <f>IF(COUNTA(A5001:C5001,E5001)=0,"",IF(COUNTA(A5001:C5001,E5001)&lt;4,"Ligne incomplète",IF(NOT(ISNUMBER(A5001)),"Date invalide",IF(AND(B5001&lt;&gt;"Entrée",B5001&lt;&gt;"Sortie"),"Type inconnu",IF(ISNA(MATCH(C5001,art_ref,0)),"Référence inconnue",IF(OR(NOT(ISNUMBER(E5001)),N(E5001)&lt;=0),"Quantité invalide",IF(K5001&lt;0,"Stock négatif",IF(AND(ISNUMBER(A5000),A5001&lt;A5000),"Date hors ordre","OK"))))))))</f>
        <v/>
      </c>
      <c r="M5001" s="39" t="str">
        <f>IF(C5001="","",C5001&amp;"#"&amp;COUNTIF($C$5:C5001,C5001))</f>
        <v/>
      </c>
    </row>
    <row r="5002">
      <c r="A5002" s="41" t="n"/>
      <c r="B5002" s="37" t="n"/>
      <c r="C5002" s="37" t="n"/>
      <c r="D5002" s="39" t="str">
        <f>IF(C5002="","",IFERROR(INDEX(art_des,MATCH(C5002,art_ref,0))&amp;"","Référence inconnue"))</f>
        <v/>
      </c>
      <c r="E5002" s="37" t="n"/>
      <c r="F5002" s="39" t="str">
        <f>IF(C5002="","",IFERROR(INDEX(art_unit,MATCH(C5002,art_ref,0))&amp;"",""))</f>
        <v/>
      </c>
      <c r="G5002" s="37" t="n"/>
      <c r="H5002" s="37" t="n"/>
      <c r="I5002" s="37" t="n"/>
      <c r="J5002" s="40" t="str">
        <f>IF(OR(C5002="",NOT(ISNUMBER(E5002))),"",IFERROR(E5002*N(INDEX(art_price,MATCH(C5002,art_ref,0))),""))</f>
        <v/>
      </c>
      <c r="K5002" s="39" t="str">
        <f>IF(OR(C5002="",NOT(ISNUMBER(E5002))),"",IFERROR(ROUND(N(INDEX(art_init,MATCH(C5002,art_ref,0)))+SUMIFS($E$5:E5002,$C$5:C5002,C5002,$B$5:B5002,"Entrée")-SUMIFS($E$5:E5002,$C$5:C5002,C5002,$B$5:B5002,"Sortie"),6),""))</f>
        <v/>
      </c>
      <c r="L5002" s="39" t="str">
        <f>IF(COUNTA(A5002:C5002,E5002)=0,"",IF(COUNTA(A5002:C5002,E5002)&lt;4,"Ligne incomplète",IF(NOT(ISNUMBER(A5002)),"Date invalide",IF(AND(B5002&lt;&gt;"Entrée",B5002&lt;&gt;"Sortie"),"Type inconnu",IF(ISNA(MATCH(C5002,art_ref,0)),"Référence inconnue",IF(OR(NOT(ISNUMBER(E5002)),N(E5002)&lt;=0),"Quantité invalide",IF(K5002&lt;0,"Stock négatif",IF(AND(ISNUMBER(A5001),A5002&lt;A5001),"Date hors ordre","OK"))))))))</f>
        <v/>
      </c>
      <c r="M5002" s="39" t="str">
        <f>IF(C5002="","",C5002&amp;"#"&amp;COUNTIF($C$5:C5002,C5002))</f>
        <v/>
      </c>
    </row>
    <row r="5003">
      <c r="A5003" s="41" t="n"/>
      <c r="B5003" s="37" t="n"/>
      <c r="C5003" s="37" t="n"/>
      <c r="D5003" s="39" t="str">
        <f>IF(C5003="","",IFERROR(INDEX(art_des,MATCH(C5003,art_ref,0))&amp;"","Référence inconnue"))</f>
        <v/>
      </c>
      <c r="E5003" s="37" t="n"/>
      <c r="F5003" s="39" t="str">
        <f>IF(C5003="","",IFERROR(INDEX(art_unit,MATCH(C5003,art_ref,0))&amp;"",""))</f>
        <v/>
      </c>
      <c r="G5003" s="37" t="n"/>
      <c r="H5003" s="37" t="n"/>
      <c r="I5003" s="37" t="n"/>
      <c r="J5003" s="40" t="str">
        <f>IF(OR(C5003="",NOT(ISNUMBER(E5003))),"",IFERROR(E5003*N(INDEX(art_price,MATCH(C5003,art_ref,0))),""))</f>
        <v/>
      </c>
      <c r="K5003" s="39" t="str">
        <f>IF(OR(C5003="",NOT(ISNUMBER(E5003))),"",IFERROR(ROUND(N(INDEX(art_init,MATCH(C5003,art_ref,0)))+SUMIFS($E$5:E5003,$C$5:C5003,C5003,$B$5:B5003,"Entrée")-SUMIFS($E$5:E5003,$C$5:C5003,C5003,$B$5:B5003,"Sortie"),6),""))</f>
        <v/>
      </c>
      <c r="L5003" s="39" t="str">
        <f>IF(COUNTA(A5003:C5003,E5003)=0,"",IF(COUNTA(A5003:C5003,E5003)&lt;4,"Ligne incomplète",IF(NOT(ISNUMBER(A5003)),"Date invalide",IF(AND(B5003&lt;&gt;"Entrée",B5003&lt;&gt;"Sortie"),"Type inconnu",IF(ISNA(MATCH(C5003,art_ref,0)),"Référence inconnue",IF(OR(NOT(ISNUMBER(E5003)),N(E5003)&lt;=0),"Quantité invalide",IF(K5003&lt;0,"Stock négatif",IF(AND(ISNUMBER(A5002),A5003&lt;A5002),"Date hors ordre","OK"))))))))</f>
        <v/>
      </c>
      <c r="M5003" s="39" t="str">
        <f>IF(C5003="","",C5003&amp;"#"&amp;COUNTIF($C$5:C5003,C5003))</f>
        <v/>
      </c>
    </row>
    <row r="5004">
      <c r="A5004" s="41" t="n"/>
      <c r="B5004" s="37" t="n"/>
      <c r="C5004" s="37" t="n"/>
      <c r="D5004" s="39" t="str">
        <f>IF(C5004="","",IFERROR(INDEX(art_des,MATCH(C5004,art_ref,0))&amp;"","Référence inconnue"))</f>
        <v/>
      </c>
      <c r="E5004" s="37" t="n"/>
      <c r="F5004" s="39" t="str">
        <f>IF(C5004="","",IFERROR(INDEX(art_unit,MATCH(C5004,art_ref,0))&amp;"",""))</f>
        <v/>
      </c>
      <c r="G5004" s="37" t="n"/>
      <c r="H5004" s="37" t="n"/>
      <c r="I5004" s="37" t="n"/>
      <c r="J5004" s="40" t="str">
        <f>IF(OR(C5004="",NOT(ISNUMBER(E5004))),"",IFERROR(E5004*N(INDEX(art_price,MATCH(C5004,art_ref,0))),""))</f>
        <v/>
      </c>
      <c r="K5004" s="39" t="str">
        <f>IF(OR(C5004="",NOT(ISNUMBER(E5004))),"",IFERROR(ROUND(N(INDEX(art_init,MATCH(C5004,art_ref,0)))+SUMIFS($E$5:E5004,$C$5:C5004,C5004,$B$5:B5004,"Entrée")-SUMIFS($E$5:E5004,$C$5:C5004,C5004,$B$5:B5004,"Sortie"),6),""))</f>
        <v/>
      </c>
      <c r="L5004" s="39" t="str">
        <f>IF(COUNTA(A5004:C5004,E5004)=0,"",IF(COUNTA(A5004:C5004,E5004)&lt;4,"Ligne incomplète",IF(NOT(ISNUMBER(A5004)),"Date invalide",IF(AND(B5004&lt;&gt;"Entrée",B5004&lt;&gt;"Sortie"),"Type inconnu",IF(ISNA(MATCH(C5004,art_ref,0)),"Référence inconnue",IF(OR(NOT(ISNUMBER(E5004)),N(E5004)&lt;=0),"Quantité invalide",IF(K5004&lt;0,"Stock négatif",IF(AND(ISNUMBER(A5003),A5004&lt;A5003),"Date hors ordre","OK"))))))))</f>
        <v/>
      </c>
      <c r="M5004" s="39" t="str">
        <f>IF(C5004="","",C5004&amp;"#"&amp;COUNTIF($C$5:C5004,C5004))</f>
        <v/>
      </c>
    </row>
  </sheetData>
  <autoFilter ref="A4:L5004"/>
  <mergeCells count="1">
    <mergeCell ref="A2:L2"/>
  </mergeCells>
  <conditionalFormatting sqref="J5:J5004">
    <cfRule type="expression" priority="1" dxfId="0">
      <formula>p_currency="MAD"</formula>
    </cfRule>
    <cfRule type="expression" priority="2" dxfId="1">
      <formula>p_currency="EUR"</formula>
    </cfRule>
    <cfRule type="expression" priority="3" dxfId="2">
      <formula>p_currency="USD"</formula>
    </cfRule>
  </conditionalFormatting>
  <conditionalFormatting sqref="L5:L5004">
    <cfRule type="expression" priority="4" dxfId="6">
      <formula>$L5="OK"</formula>
    </cfRule>
    <cfRule type="expression" priority="5" dxfId="3">
      <formula>AND($L5&lt;&gt;"",$L5&lt;&gt;"OK")</formula>
    </cfRule>
  </conditionalFormatting>
  <conditionalFormatting sqref="B5:B5004">
    <cfRule type="expression" priority="6" dxfId="7">
      <formula>$B5="Entrée"</formula>
    </cfRule>
    <cfRule type="expression" priority="7" dxfId="8">
      <formula>$B5="Sortie"</formula>
    </cfRule>
  </conditionalFormatting>
  <conditionalFormatting sqref="K5:K5004">
    <cfRule type="expression" priority="8" dxfId="8">
      <formula>AND(ISNUMBER($K5),$K5&lt;0)</formula>
    </cfRule>
  </conditionalFormatting>
  <dataValidations count="6">
    <dataValidation sqref="A5:A5004" showDropDown="0" showInputMessage="1" showErrorMessage="1" allowBlank="1" errorTitle="Date invalide" error="Saisissez une date au format jj/mm/aaaa." promptTitle="Date" prompt="Date du mouvement, par exemple 15/10/2026. Raccourci : Ctrl + ; pour la date du jour." type="date" operator="between">
      <formula1>DATE(2000,1,1)</formula1>
      <formula2>DATE(2100,12,31)</formula2>
    </dataValidation>
    <dataValidation sqref="B5:B5004" showDropDown="0" showInputMessage="1" showErrorMessage="1" allowBlank="1" errorTitle="Type" error="Choisissez Entrée ou Sortie dans la liste." promptTitle="Type" prompt="Entrée : la quantité s'ajoute au stock. Sortie : elle se retire." type="list">
      <formula1>=lst_types</formula1>
    </dataValidation>
    <dataValidation sqref="C5:C5004" showDropDown="0" showInputMessage="1" showErrorMessage="1" allowBlank="1" errorTitle="Référence" error="Cette référence n'existe pas dans la feuille « Articles ». Créez d'abord l'article." promptTitle="Référence" prompt="Choisissez l'article (liste issue de la feuille « Articles »)." type="list">
      <formula1>=art_ref</formula1>
    </dataValidation>
    <dataValidation sqref="E5:E5004" showDropDown="0" showInputMessage="1" showErrorMessage="1" allowBlank="1" errorTitle="Quantité invalide" error="Saisissez un nombre supérieur à zéro." promptTitle="Quantité" prompt="Toujours positive : le type indique le sens du mouvement." type="decimal" operator="greaterThan">
      <formula1>0</formula1>
    </dataValidation>
    <dataValidation sqref="G5:G5004" showDropDown="0" showInputMessage="1" showErrorMessage="0" allowBlank="1" promptTitle="N° de document" prompt="Bon de livraison, bon de sortie, facture... pour retrouver la pièce justificative." type="textLength" operator="lessThanOrEqual">
      <formula1>255</formula1>
    </dataValidation>
    <dataValidation sqref="H5:H5004" showDropDown="0" showInputMessage="1" showErrorMessage="0" allowBlank="1" promptTitle="Tiers" prompt="Fournisseur pour une entrée, client ou service pour une sortie." type="textLength" operator="lessThanOrEqual">
      <formula1>255</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FF0E7490"/>
    <outlinePr summaryBelow="1" summaryRight="1"/>
    <pageSetUpPr fitToPage="1"/>
  </sheetPr>
  <dimension ref="B1:J310"/>
  <sheetViews>
    <sheetView showGridLines="0" tabSelected="0" zoomScale="100" workbookViewId="0">
      <pane ySplit="10" topLeftCell="A11" activePane="bottomLeft" state="frozen"/>
      <selection pane="bottomLeft" activeCell="A1" sqref="A1"/>
    </sheetView>
  </sheetViews>
  <sheetFormatPr baseColWidth="8" defaultRowHeight="15"/>
  <cols>
    <col width="2" customWidth="1" min="1" max="1"/>
    <col width="12" customWidth="1" min="2" max="2"/>
    <col width="9" customWidth="1" min="3" max="3"/>
    <col width="11" customWidth="1" min="4" max="4"/>
    <col width="11" customWidth="1" min="5" max="5"/>
    <col width="12" customWidth="1" min="6" max="6"/>
    <col width="16" customWidth="1" min="7" max="7"/>
    <col width="22" customWidth="1" min="8" max="8"/>
    <col width="30" customWidth="1" min="9" max="9"/>
    <col hidden="1" width="6" customWidth="1" min="10" max="10"/>
  </cols>
  <sheetData>
    <row r="1" ht="26" customHeight="1">
      <c r="B1" s="32" t="inlineStr">
        <is>
          <t>Fiche article : historique d'une référence</t>
        </is>
      </c>
    </row>
    <row r="2">
      <c r="B2" s="2" t="inlineStr">
        <is>
          <t>Choisissez une référence dans la case blanche. La fiche affiche ses 300 derniers mouvements, du plus ancien au plus récent.</t>
        </is>
      </c>
    </row>
    <row r="4">
      <c r="B4" s="42" t="inlineStr">
        <is>
          <t>Référence</t>
        </is>
      </c>
      <c r="C4" s="43" t="inlineStr">
        <is>
          <t>ROU-6204</t>
        </is>
      </c>
      <c r="D4" s="44" t="n"/>
      <c r="G4" s="45" t="inlineStr">
        <is>
          <t>Stock initial</t>
        </is>
      </c>
      <c r="H4" s="46">
        <f>IFERROR(N(INDEX(art_init,MATCH($C$4,art_ref,0))),"")</f>
        <v>120.0</v>
      </c>
      <c r="I4" s="2" t="str">
        <f>IF($C$4="","",COUNTIF(mv_ref,$C$4)&amp;" mouvement(s) enregistré(s)")</f>
        <v>23 mouvement(s) enregistré(s)</v>
      </c>
    </row>
    <row r="5">
      <c r="B5" s="47" t="inlineStr">
        <is>
          <t>Désignation</t>
        </is>
      </c>
      <c r="C5" s="42" t="str">
        <f>IF($C$4="","",IFERROR(INDEX(art_des,MATCH($C$4,art_ref,0))&amp;"","Référence inconnue"))</f>
        <v>Roulement à billes 6204 2RS</v>
      </c>
      <c r="G5" s="45" t="inlineStr">
        <is>
          <t>Stock actuel</t>
        </is>
      </c>
      <c r="H5" s="46">
        <f>IFERROR(INDEX(art_stock,MATCH($C$4,art_ref,0)),"")</f>
        <v>109.0</v>
      </c>
    </row>
    <row r="6">
      <c r="B6" s="47" t="inlineStr">
        <is>
          <t>Catégorie</t>
        </is>
      </c>
      <c r="C6" s="42" t="str">
        <f>IFERROR(INDEX(art_cat,MATCH($C$4,art_ref,0))&amp;"","")</f>
        <v>Pièces mécaniques</v>
      </c>
      <c r="G6" s="45" t="inlineStr">
        <is>
          <t>Seuil d'alerte</t>
        </is>
      </c>
      <c r="H6" s="46" t="str">
        <f>IFERROR(INDEX(art_min,MATCH($C$4,art_ref,0))&amp;"","")</f>
        <v>40</v>
      </c>
    </row>
    <row r="7">
      <c r="B7" s="47" t="inlineStr">
        <is>
          <t>Unité</t>
        </is>
      </c>
      <c r="C7" s="42" t="str">
        <f>IFERROR(INDEX(art_unit,MATCH($C$4,art_ref,0))&amp;"","")</f>
        <v>pièce</v>
      </c>
      <c r="G7" s="45" t="inlineStr">
        <is>
          <t>Statut</t>
        </is>
      </c>
      <c r="H7" s="46" t="str">
        <f>IFERROR(INDEX(art_status,MATCH($C$4,art_ref,0)),"")</f>
        <v>OK</v>
      </c>
    </row>
    <row r="8">
      <c r="B8" s="47" t="inlineStr">
        <is>
          <t>Emplacement</t>
        </is>
      </c>
      <c r="C8" s="42" t="str">
        <f>IFERROR(INDEX(art_loc,MATCH($C$4,art_ref,0))&amp;"","")</f>
        <v>Rayon B1</v>
      </c>
    </row>
    <row r="9">
      <c r="J9" s="48">
        <f>MAX(COUNTIF(mv_ref,$C$4)-300,0)</f>
        <v>0.0</v>
      </c>
    </row>
    <row r="10">
      <c r="B10" s="22" t="inlineStr">
        <is>
          <t>Date</t>
        </is>
      </c>
      <c r="C10" s="22" t="inlineStr">
        <is>
          <t>Type</t>
        </is>
      </c>
      <c r="D10" s="22" t="inlineStr">
        <is>
          <t>Entrée</t>
        </is>
      </c>
      <c r="E10" s="22" t="inlineStr">
        <is>
          <t>Sortie</t>
        </is>
      </c>
      <c r="F10" s="22" t="inlineStr">
        <is>
          <t>Stock après</t>
        </is>
      </c>
      <c r="G10" s="22" t="inlineStr">
        <is>
          <t>N° de document</t>
        </is>
      </c>
      <c r="H10" s="22" t="inlineStr">
        <is>
          <t>Tiers</t>
        </is>
      </c>
      <c r="I10" s="22" t="inlineStr">
        <is>
          <t>Commentaire</t>
        </is>
      </c>
      <c r="J10" s="22" t="inlineStr">
        <is>
          <t>n°</t>
        </is>
      </c>
    </row>
    <row r="11">
      <c r="B11" s="49">
        <f>IF($J11="","",INDEX('Mouvements'!$A$5:$A$5004,$J11))</f>
        <v>46032.0</v>
      </c>
      <c r="C11" s="50" t="str">
        <f>IF($J11="","",INDEX('Mouvements'!$B$5:$B$5004,$J11))</f>
        <v>Sortie</v>
      </c>
      <c r="D11" s="50" t="str">
        <f>IF($J11="","",IF(INDEX('Mouvements'!$B$5:$B$5004,$J11)="Entrée",INDEX('Mouvements'!$E$5:$E$5004,$J11),""))</f>
        <v/>
      </c>
      <c r="E11" s="50">
        <f>IF($J11="","",IF(INDEX('Mouvements'!$B$5:$B$5004,$J11)="Sortie",INDEX('Mouvements'!$E$5:$E$5004,$J11),""))</f>
        <v>17.0</v>
      </c>
      <c r="F11" s="50">
        <f>IF($J11="","",INDEX('Mouvements'!$K$5:$K$5004,$J11))</f>
        <v>103.0</v>
      </c>
      <c r="G11" s="50" t="str">
        <f>IF($J11="","",INDEX('Mouvements'!$G$5:$G$5004,$J11)&amp;"")</f>
        <v>BS-2026-0014</v>
      </c>
      <c r="H11" s="50" t="str">
        <f>IF($J11="","",INDEX('Mouvements'!$H$5:$H$5004,$J11)&amp;"")</f>
        <v>Atelier soudure</v>
      </c>
      <c r="I11" s="50" t="str">
        <f>IF($J11="","",INDEX('Mouvements'!$I$5:$I$5004,$J11)&amp;"")</f>
        <v/>
      </c>
      <c r="J11">
        <f>IF($C$4="","",IFERROR(MATCH($C$4&amp;"#"&amp;($J$9+1),mv_key,0),""))</f>
        <v>14.0</v>
      </c>
    </row>
    <row r="12">
      <c r="B12" s="49">
        <f>IF($J12="","",INDEX('Mouvements'!$A$5:$A$5004,$J12))</f>
        <v>46044.0</v>
      </c>
      <c r="C12" s="50" t="str">
        <f>IF($J12="","",INDEX('Mouvements'!$B$5:$B$5004,$J12))</f>
        <v>Sortie</v>
      </c>
      <c r="D12" s="50" t="str">
        <f>IF($J12="","",IF(INDEX('Mouvements'!$B$5:$B$5004,$J12)="Entrée",INDEX('Mouvements'!$E$5:$E$5004,$J12),""))</f>
        <v/>
      </c>
      <c r="E12" s="50">
        <f>IF($J12="","",IF(INDEX('Mouvements'!$B$5:$B$5004,$J12)="Sortie",INDEX('Mouvements'!$E$5:$E$5004,$J12),""))</f>
        <v>18.0</v>
      </c>
      <c r="F12" s="50">
        <f>IF($J12="","",INDEX('Mouvements'!$K$5:$K$5004,$J12))</f>
        <v>85.0</v>
      </c>
      <c r="G12" s="50" t="str">
        <f>IF($J12="","",INDEX('Mouvements'!$G$5:$G$5004,$J12)&amp;"")</f>
        <v>BS-2026-0028</v>
      </c>
      <c r="H12" s="50" t="str">
        <f>IF($J12="","",INDEX('Mouvements'!$H$5:$H$5004,$J12)&amp;"")</f>
        <v>Expédition</v>
      </c>
      <c r="I12" s="50" t="str">
        <f>IF($J12="","",INDEX('Mouvements'!$I$5:$I$5004,$J12)&amp;"")</f>
        <v/>
      </c>
      <c r="J12">
        <f>IF($C$4="","",IFERROR(MATCH($C$4&amp;"#"&amp;($J$9+2),mv_key,0),""))</f>
        <v>28.0</v>
      </c>
    </row>
    <row r="13">
      <c r="B13" s="49">
        <f>IF($J13="","",INDEX('Mouvements'!$A$5:$A$5004,$J13))</f>
        <v>46064.0</v>
      </c>
      <c r="C13" s="50" t="str">
        <f>IF($J13="","",INDEX('Mouvements'!$B$5:$B$5004,$J13))</f>
        <v>Sortie</v>
      </c>
      <c r="D13" s="50" t="str">
        <f>IF($J13="","",IF(INDEX('Mouvements'!$B$5:$B$5004,$J13)="Entrée",INDEX('Mouvements'!$E$5:$E$5004,$J13),""))</f>
        <v/>
      </c>
      <c r="E13" s="50">
        <f>IF($J13="","",IF(INDEX('Mouvements'!$B$5:$B$5004,$J13)="Sortie",INDEX('Mouvements'!$E$5:$E$5004,$J13),""))</f>
        <v>16.0</v>
      </c>
      <c r="F13" s="50">
        <f>IF($J13="","",INDEX('Mouvements'!$K$5:$K$5004,$J13))</f>
        <v>69.0</v>
      </c>
      <c r="G13" s="50" t="str">
        <f>IF($J13="","",INDEX('Mouvements'!$G$5:$G$5004,$J13)&amp;"")</f>
        <v>BS-2026-0045</v>
      </c>
      <c r="H13" s="50" t="str">
        <f>IF($J13="","",INDEX('Mouvements'!$H$5:$H$5004,$J13)&amp;"")</f>
        <v>Maintenance</v>
      </c>
      <c r="I13" s="50" t="str">
        <f>IF($J13="","",INDEX('Mouvements'!$I$5:$I$5004,$J13)&amp;"")</f>
        <v/>
      </c>
      <c r="J13">
        <f>IF($C$4="","",IFERROR(MATCH($C$4&amp;"#"&amp;($J$9+3),mv_key,0),""))</f>
        <v>45.0</v>
      </c>
    </row>
    <row r="14">
      <c r="B14" s="49">
        <f>IF($J14="","",INDEX('Mouvements'!$A$5:$A$5004,$J14))</f>
        <v>46072.0</v>
      </c>
      <c r="C14" s="50" t="str">
        <f>IF($J14="","",INDEX('Mouvements'!$B$5:$B$5004,$J14))</f>
        <v>Sortie</v>
      </c>
      <c r="D14" s="50" t="str">
        <f>IF($J14="","",IF(INDEX('Mouvements'!$B$5:$B$5004,$J14)="Entrée",INDEX('Mouvements'!$E$5:$E$5004,$J14),""))</f>
        <v/>
      </c>
      <c r="E14" s="50">
        <f>IF($J14="","",IF(INDEX('Mouvements'!$B$5:$B$5004,$J14)="Sortie",INDEX('Mouvements'!$E$5:$E$5004,$J14),""))</f>
        <v>18.0</v>
      </c>
      <c r="F14" s="50">
        <f>IF($J14="","",INDEX('Mouvements'!$K$5:$K$5004,$J14))</f>
        <v>51.0</v>
      </c>
      <c r="G14" s="50" t="str">
        <f>IF($J14="","",INDEX('Mouvements'!$G$5:$G$5004,$J14)&amp;"")</f>
        <v>BS-2026-0053</v>
      </c>
      <c r="H14" s="50" t="str">
        <f>IF($J14="","",INDEX('Mouvements'!$H$5:$H$5004,$J14)&amp;"")</f>
        <v>Atelier montage</v>
      </c>
      <c r="I14" s="50" t="str">
        <f>IF($J14="","",INDEX('Mouvements'!$I$5:$I$5004,$J14)&amp;"")</f>
        <v/>
      </c>
      <c r="J14">
        <f>IF($C$4="","",IFERROR(MATCH($C$4&amp;"#"&amp;($J$9+4),mv_key,0),""))</f>
        <v>53.0</v>
      </c>
    </row>
    <row r="15">
      <c r="B15" s="49">
        <f>IF($J15="","",INDEX('Mouvements'!$A$5:$A$5004,$J15))</f>
        <v>46092.0</v>
      </c>
      <c r="C15" s="50" t="str">
        <f>IF($J15="","",INDEX('Mouvements'!$B$5:$B$5004,$J15))</f>
        <v>Sortie</v>
      </c>
      <c r="D15" s="50" t="str">
        <f>IF($J15="","",IF(INDEX('Mouvements'!$B$5:$B$5004,$J15)="Entrée",INDEX('Mouvements'!$E$5:$E$5004,$J15),""))</f>
        <v/>
      </c>
      <c r="E15" s="50">
        <f>IF($J15="","",IF(INDEX('Mouvements'!$B$5:$B$5004,$J15)="Sortie",INDEX('Mouvements'!$E$5:$E$5004,$J15),""))</f>
        <v>15.0</v>
      </c>
      <c r="F15" s="50">
        <f>IF($J15="","",INDEX('Mouvements'!$K$5:$K$5004,$J15))</f>
        <v>36.0</v>
      </c>
      <c r="G15" s="50" t="str">
        <f>IF($J15="","",INDEX('Mouvements'!$G$5:$G$5004,$J15)&amp;"")</f>
        <v>BS-2026-0077</v>
      </c>
      <c r="H15" s="50" t="str">
        <f>IF($J15="","",INDEX('Mouvements'!$H$5:$H$5004,$J15)&amp;"")</f>
        <v>Atelier montage</v>
      </c>
      <c r="I15" s="50" t="str">
        <f>IF($J15="","",INDEX('Mouvements'!$I$5:$I$5004,$J15)&amp;"")</f>
        <v/>
      </c>
      <c r="J15">
        <f>IF($C$4="","",IFERROR(MATCH($C$4&amp;"#"&amp;($J$9+5),mv_key,0),""))</f>
        <v>86.0</v>
      </c>
    </row>
    <row r="16">
      <c r="B16" s="49">
        <f>IF($J16="","",INDEX('Mouvements'!$A$5:$A$5004,$J16))</f>
        <v>46095.0</v>
      </c>
      <c r="C16" s="50" t="str">
        <f>IF($J16="","",INDEX('Mouvements'!$B$5:$B$5004,$J16))</f>
        <v>Entrée</v>
      </c>
      <c r="D16" s="50">
        <f>IF($J16="","",IF(INDEX('Mouvements'!$B$5:$B$5004,$J16)="Entrée",INDEX('Mouvements'!$E$5:$E$5004,$J16),""))</f>
        <v>114.0</v>
      </c>
      <c r="E16" s="50" t="str">
        <f>IF($J16="","",IF(INDEX('Mouvements'!$B$5:$B$5004,$J16)="Sortie",INDEX('Mouvements'!$E$5:$E$5004,$J16),""))</f>
        <v/>
      </c>
      <c r="F16" s="50">
        <f>IF($J16="","",INDEX('Mouvements'!$K$5:$K$5004,$J16))</f>
        <v>150.0</v>
      </c>
      <c r="G16" s="50" t="str">
        <f>IF($J16="","",INDEX('Mouvements'!$G$5:$G$5004,$J16)&amp;"")</f>
        <v>BL-2026-011</v>
      </c>
      <c r="H16" s="50" t="str">
        <f>IF($J16="","",INDEX('Mouvements'!$H$5:$H$5004,$J16)&amp;"")</f>
        <v>Roulements Express</v>
      </c>
      <c r="I16" s="50" t="str">
        <f>IF($J16="","",INDEX('Mouvements'!$I$5:$I$5004,$J16)&amp;"")</f>
        <v>Réception commande</v>
      </c>
      <c r="J16">
        <f>IF($C$4="","",IFERROR(MATCH($C$4&amp;"#"&amp;($J$9+6),mv_key,0),""))</f>
        <v>91.0</v>
      </c>
    </row>
    <row r="17">
      <c r="B17" s="49">
        <f>IF($J17="","",INDEX('Mouvements'!$A$5:$A$5004,$J17))</f>
        <v>46105.0</v>
      </c>
      <c r="C17" s="50" t="str">
        <f>IF($J17="","",INDEX('Mouvements'!$B$5:$B$5004,$J17))</f>
        <v>Sortie</v>
      </c>
      <c r="D17" s="50" t="str">
        <f>IF($J17="","",IF(INDEX('Mouvements'!$B$5:$B$5004,$J17)="Entrée",INDEX('Mouvements'!$E$5:$E$5004,$J17),""))</f>
        <v/>
      </c>
      <c r="E17" s="50">
        <f>IF($J17="","",IF(INDEX('Mouvements'!$B$5:$B$5004,$J17)="Sortie",INDEX('Mouvements'!$E$5:$E$5004,$J17),""))</f>
        <v>14.0</v>
      </c>
      <c r="F17" s="50">
        <f>IF($J17="","",INDEX('Mouvements'!$K$5:$K$5004,$J17))</f>
        <v>136.0</v>
      </c>
      <c r="G17" s="50" t="str">
        <f>IF($J17="","",INDEX('Mouvements'!$G$5:$G$5004,$J17)&amp;"")</f>
        <v>BS-2026-0092</v>
      </c>
      <c r="H17" s="50" t="str">
        <f>IF($J17="","",INDEX('Mouvements'!$H$5:$H$5004,$J17)&amp;"")</f>
        <v>Expédition</v>
      </c>
      <c r="I17" s="50" t="str">
        <f>IF($J17="","",INDEX('Mouvements'!$I$5:$I$5004,$J17)&amp;"")</f>
        <v/>
      </c>
      <c r="J17">
        <f>IF($C$4="","",IFERROR(MATCH($C$4&amp;"#"&amp;($J$9+7),mv_key,0),""))</f>
        <v>106.0</v>
      </c>
    </row>
    <row r="18">
      <c r="B18" s="49">
        <f>IF($J18="","",INDEX('Mouvements'!$A$5:$A$5004,$J18))</f>
        <v>46122.0</v>
      </c>
      <c r="C18" s="50" t="str">
        <f>IF($J18="","",INDEX('Mouvements'!$B$5:$B$5004,$J18))</f>
        <v>Sortie</v>
      </c>
      <c r="D18" s="50" t="str">
        <f>IF($J18="","",IF(INDEX('Mouvements'!$B$5:$B$5004,$J18)="Entrée",INDEX('Mouvements'!$E$5:$E$5004,$J18),""))</f>
        <v/>
      </c>
      <c r="E18" s="50">
        <f>IF($J18="","",IF(INDEX('Mouvements'!$B$5:$B$5004,$J18)="Sortie",INDEX('Mouvements'!$E$5:$E$5004,$J18),""))</f>
        <v>22.0</v>
      </c>
      <c r="F18" s="50">
        <f>IF($J18="","",INDEX('Mouvements'!$K$5:$K$5004,$J18))</f>
        <v>114.0</v>
      </c>
      <c r="G18" s="50" t="str">
        <f>IF($J18="","",INDEX('Mouvements'!$G$5:$G$5004,$J18)&amp;"")</f>
        <v>BS-2026-0106</v>
      </c>
      <c r="H18" s="50" t="str">
        <f>IF($J18="","",INDEX('Mouvements'!$H$5:$H$5004,$J18)&amp;"")</f>
        <v>Atelier soudure</v>
      </c>
      <c r="I18" s="50" t="str">
        <f>IF($J18="","",INDEX('Mouvements'!$I$5:$I$5004,$J18)&amp;"")</f>
        <v/>
      </c>
      <c r="J18">
        <f>IF($C$4="","",IFERROR(MATCH($C$4&amp;"#"&amp;($J$9+8),mv_key,0),""))</f>
        <v>122.0</v>
      </c>
    </row>
    <row r="19">
      <c r="B19" s="49">
        <f>IF($J19="","",INDEX('Mouvements'!$A$5:$A$5004,$J19))</f>
        <v>46139.0</v>
      </c>
      <c r="C19" s="50" t="str">
        <f>IF($J19="","",INDEX('Mouvements'!$B$5:$B$5004,$J19))</f>
        <v>Sortie</v>
      </c>
      <c r="D19" s="50" t="str">
        <f>IF($J19="","",IF(INDEX('Mouvements'!$B$5:$B$5004,$J19)="Entrée",INDEX('Mouvements'!$E$5:$E$5004,$J19),""))</f>
        <v/>
      </c>
      <c r="E19" s="50">
        <f>IF($J19="","",IF(INDEX('Mouvements'!$B$5:$B$5004,$J19)="Sortie",INDEX('Mouvements'!$E$5:$E$5004,$J19),""))</f>
        <v>21.0</v>
      </c>
      <c r="F19" s="50">
        <f>IF($J19="","",INDEX('Mouvements'!$K$5:$K$5004,$J19))</f>
        <v>93.0</v>
      </c>
      <c r="G19" s="50" t="str">
        <f>IF($J19="","",INDEX('Mouvements'!$G$5:$G$5004,$J19)&amp;"")</f>
        <v>BS-2026-0128</v>
      </c>
      <c r="H19" s="50" t="str">
        <f>IF($J19="","",INDEX('Mouvements'!$H$5:$H$5004,$J19)&amp;"")</f>
        <v>Atelier usinage</v>
      </c>
      <c r="I19" s="50" t="str">
        <f>IF($J19="","",INDEX('Mouvements'!$I$5:$I$5004,$J19)&amp;"")</f>
        <v/>
      </c>
      <c r="J19">
        <f>IF($C$4="","",IFERROR(MATCH($C$4&amp;"#"&amp;($J$9+9),mv_key,0),""))</f>
        <v>144.0</v>
      </c>
    </row>
    <row r="20">
      <c r="B20" s="49">
        <f>IF($J20="","",INDEX('Mouvements'!$A$5:$A$5004,$J20))</f>
        <v>46154.0</v>
      </c>
      <c r="C20" s="50" t="str">
        <f>IF($J20="","",INDEX('Mouvements'!$B$5:$B$5004,$J20))</f>
        <v>Sortie</v>
      </c>
      <c r="D20" s="50" t="str">
        <f>IF($J20="","",IF(INDEX('Mouvements'!$B$5:$B$5004,$J20)="Entrée",INDEX('Mouvements'!$E$5:$E$5004,$J20),""))</f>
        <v/>
      </c>
      <c r="E20" s="50">
        <f>IF($J20="","",IF(INDEX('Mouvements'!$B$5:$B$5004,$J20)="Sortie",INDEX('Mouvements'!$E$5:$E$5004,$J20),""))</f>
        <v>24.0</v>
      </c>
      <c r="F20" s="50">
        <f>IF($J20="","",INDEX('Mouvements'!$K$5:$K$5004,$J20))</f>
        <v>69.0</v>
      </c>
      <c r="G20" s="50" t="str">
        <f>IF($J20="","",INDEX('Mouvements'!$G$5:$G$5004,$J20)&amp;"")</f>
        <v>BS-2026-0142</v>
      </c>
      <c r="H20" s="50" t="str">
        <f>IF($J20="","",INDEX('Mouvements'!$H$5:$H$5004,$J20)&amp;"")</f>
        <v>Atelier usinage</v>
      </c>
      <c r="I20" s="50" t="str">
        <f>IF($J20="","",INDEX('Mouvements'!$I$5:$I$5004,$J20)&amp;"")</f>
        <v/>
      </c>
      <c r="J20">
        <f>IF($C$4="","",IFERROR(MATCH($C$4&amp;"#"&amp;($J$9+10),mv_key,0),""))</f>
        <v>158.0</v>
      </c>
    </row>
    <row r="21">
      <c r="B21" s="49">
        <f>IF($J21="","",INDEX('Mouvements'!$A$5:$A$5004,$J21))</f>
        <v>46165.0</v>
      </c>
      <c r="C21" s="50" t="str">
        <f>IF($J21="","",INDEX('Mouvements'!$B$5:$B$5004,$J21))</f>
        <v>Sortie</v>
      </c>
      <c r="D21" s="50" t="str">
        <f>IF($J21="","",IF(INDEX('Mouvements'!$B$5:$B$5004,$J21)="Entrée",INDEX('Mouvements'!$E$5:$E$5004,$J21),""))</f>
        <v/>
      </c>
      <c r="E21" s="50">
        <f>IF($J21="","",IF(INDEX('Mouvements'!$B$5:$B$5004,$J21)="Sortie",INDEX('Mouvements'!$E$5:$E$5004,$J21),""))</f>
        <v>18.0</v>
      </c>
      <c r="F21" s="50">
        <f>IF($J21="","",INDEX('Mouvements'!$K$5:$K$5004,$J21))</f>
        <v>51.0</v>
      </c>
      <c r="G21" s="50" t="str">
        <f>IF($J21="","",INDEX('Mouvements'!$G$5:$G$5004,$J21)&amp;"")</f>
        <v>BS-2026-0154</v>
      </c>
      <c r="H21" s="50" t="str">
        <f>IF($J21="","",INDEX('Mouvements'!$H$5:$H$5004,$J21)&amp;"")</f>
        <v>Expédition</v>
      </c>
      <c r="I21" s="50" t="str">
        <f>IF($J21="","",INDEX('Mouvements'!$I$5:$I$5004,$J21)&amp;"")</f>
        <v/>
      </c>
      <c r="J21">
        <f>IF($C$4="","",IFERROR(MATCH($C$4&amp;"#"&amp;($J$9+11),mv_key,0),""))</f>
        <v>171.0</v>
      </c>
    </row>
    <row r="22">
      <c r="B22" s="49">
        <f>IF($J22="","",INDEX('Mouvements'!$A$5:$A$5004,$J22))</f>
        <v>46177.0</v>
      </c>
      <c r="C22" s="50" t="str">
        <f>IF($J22="","",INDEX('Mouvements'!$B$5:$B$5004,$J22))</f>
        <v>Sortie</v>
      </c>
      <c r="D22" s="50" t="str">
        <f>IF($J22="","",IF(INDEX('Mouvements'!$B$5:$B$5004,$J22)="Entrée",INDEX('Mouvements'!$E$5:$E$5004,$J22),""))</f>
        <v/>
      </c>
      <c r="E22" s="50">
        <f>IF($J22="","",IF(INDEX('Mouvements'!$B$5:$B$5004,$J22)="Sortie",INDEX('Mouvements'!$E$5:$E$5004,$J22),""))</f>
        <v>18.0</v>
      </c>
      <c r="F22" s="50">
        <f>IF($J22="","",INDEX('Mouvements'!$K$5:$K$5004,$J22))</f>
        <v>33.0</v>
      </c>
      <c r="G22" s="50" t="str">
        <f>IF($J22="","",INDEX('Mouvements'!$G$5:$G$5004,$J22)&amp;"")</f>
        <v>BS-2026-0165</v>
      </c>
      <c r="H22" s="50" t="str">
        <f>IF($J22="","",INDEX('Mouvements'!$H$5:$H$5004,$J22)&amp;"")</f>
        <v>Maintenance</v>
      </c>
      <c r="I22" s="50" t="str">
        <f>IF($J22="","",INDEX('Mouvements'!$I$5:$I$5004,$J22)&amp;"")</f>
        <v/>
      </c>
      <c r="J22">
        <f>IF($C$4="","",IFERROR(MATCH($C$4&amp;"#"&amp;($J$9+12),mv_key,0),""))</f>
        <v>182.0</v>
      </c>
    </row>
    <row r="23">
      <c r="B23" s="49">
        <f>IF($J23="","",INDEX('Mouvements'!$A$5:$A$5004,$J23))</f>
        <v>46180.0</v>
      </c>
      <c r="C23" s="50" t="str">
        <f>IF($J23="","",INDEX('Mouvements'!$B$5:$B$5004,$J23))</f>
        <v>Entrée</v>
      </c>
      <c r="D23" s="50">
        <f>IF($J23="","",IF(INDEX('Mouvements'!$B$5:$B$5004,$J23)="Entrée",INDEX('Mouvements'!$E$5:$E$5004,$J23),""))</f>
        <v>117.0</v>
      </c>
      <c r="E23" s="50" t="str">
        <f>IF($J23="","",IF(INDEX('Mouvements'!$B$5:$B$5004,$J23)="Sortie",INDEX('Mouvements'!$E$5:$E$5004,$J23),""))</f>
        <v/>
      </c>
      <c r="F23" s="50">
        <f>IF($J23="","",INDEX('Mouvements'!$K$5:$K$5004,$J23))</f>
        <v>150.0</v>
      </c>
      <c r="G23" s="50" t="str">
        <f>IF($J23="","",INDEX('Mouvements'!$G$5:$G$5004,$J23)&amp;"")</f>
        <v>BL-2026-018</v>
      </c>
      <c r="H23" s="50" t="str">
        <f>IF($J23="","",INDEX('Mouvements'!$H$5:$H$5004,$J23)&amp;"")</f>
        <v>Roulements Express</v>
      </c>
      <c r="I23" s="50" t="str">
        <f>IF($J23="","",INDEX('Mouvements'!$I$5:$I$5004,$J23)&amp;"")</f>
        <v>Réception commande</v>
      </c>
      <c r="J23">
        <f>IF($C$4="","",IFERROR(MATCH($C$4&amp;"#"&amp;($J$9+13),mv_key,0),""))</f>
        <v>184.0</v>
      </c>
    </row>
    <row r="24">
      <c r="B24" s="49">
        <f>IF($J24="","",INDEX('Mouvements'!$A$5:$A$5004,$J24))</f>
        <v>46197.0</v>
      </c>
      <c r="C24" s="50" t="str">
        <f>IF($J24="","",INDEX('Mouvements'!$B$5:$B$5004,$J24))</f>
        <v>Sortie</v>
      </c>
      <c r="D24" s="50" t="str">
        <f>IF($J24="","",IF(INDEX('Mouvements'!$B$5:$B$5004,$J24)="Entrée",INDEX('Mouvements'!$E$5:$E$5004,$J24),""))</f>
        <v/>
      </c>
      <c r="E24" s="50">
        <f>IF($J24="","",IF(INDEX('Mouvements'!$B$5:$B$5004,$J24)="Sortie",INDEX('Mouvements'!$E$5:$E$5004,$J24),""))</f>
        <v>22.0</v>
      </c>
      <c r="F24" s="50">
        <f>IF($J24="","",INDEX('Mouvements'!$K$5:$K$5004,$J24))</f>
        <v>128.0</v>
      </c>
      <c r="G24" s="50" t="str">
        <f>IF($J24="","",INDEX('Mouvements'!$G$5:$G$5004,$J24)&amp;"")</f>
        <v>BS-2026-0188</v>
      </c>
      <c r="H24" s="50" t="str">
        <f>IF($J24="","",INDEX('Mouvements'!$H$5:$H$5004,$J24)&amp;"")</f>
        <v>Expédition</v>
      </c>
      <c r="I24" s="50" t="str">
        <f>IF($J24="","",INDEX('Mouvements'!$I$5:$I$5004,$J24)&amp;"")</f>
        <v/>
      </c>
      <c r="J24">
        <f>IF($C$4="","",IFERROR(MATCH($C$4&amp;"#"&amp;($J$9+14),mv_key,0),""))</f>
        <v>213.0</v>
      </c>
    </row>
    <row r="25">
      <c r="B25" s="49">
        <f>IF($J25="","",INDEX('Mouvements'!$A$5:$A$5004,$J25))</f>
        <v>46213.0</v>
      </c>
      <c r="C25" s="50" t="str">
        <f>IF($J25="","",INDEX('Mouvements'!$B$5:$B$5004,$J25))</f>
        <v>Sortie</v>
      </c>
      <c r="D25" s="50" t="str">
        <f>IF($J25="","",IF(INDEX('Mouvements'!$B$5:$B$5004,$J25)="Entrée",INDEX('Mouvements'!$E$5:$E$5004,$J25),""))</f>
        <v/>
      </c>
      <c r="E25" s="50">
        <f>IF($J25="","",IF(INDEX('Mouvements'!$B$5:$B$5004,$J25)="Sortie",INDEX('Mouvements'!$E$5:$E$5004,$J25),""))</f>
        <v>14.0</v>
      </c>
      <c r="F25" s="50">
        <f>IF($J25="","",INDEX('Mouvements'!$K$5:$K$5004,$J25))</f>
        <v>114.0</v>
      </c>
      <c r="G25" s="50" t="str">
        <f>IF($J25="","",INDEX('Mouvements'!$G$5:$G$5004,$J25)&amp;"")</f>
        <v>BS-2026-0205</v>
      </c>
      <c r="H25" s="50" t="str">
        <f>IF($J25="","",INDEX('Mouvements'!$H$5:$H$5004,$J25)&amp;"")</f>
        <v>Expédition</v>
      </c>
      <c r="I25" s="50" t="str">
        <f>IF($J25="","",INDEX('Mouvements'!$I$5:$I$5004,$J25)&amp;"")</f>
        <v/>
      </c>
      <c r="J25">
        <f>IF($C$4="","",IFERROR(MATCH($C$4&amp;"#"&amp;($J$9+15),mv_key,0),""))</f>
        <v>232.0</v>
      </c>
    </row>
    <row r="26">
      <c r="B26" s="49">
        <f>IF($J26="","",INDEX('Mouvements'!$A$5:$A$5004,$J26))</f>
        <v>46222.0</v>
      </c>
      <c r="C26" s="50" t="str">
        <f>IF($J26="","",INDEX('Mouvements'!$B$5:$B$5004,$J26))</f>
        <v>Sortie</v>
      </c>
      <c r="D26" s="50" t="str">
        <f>IF($J26="","",IF(INDEX('Mouvements'!$B$5:$B$5004,$J26)="Entrée",INDEX('Mouvements'!$E$5:$E$5004,$J26),""))</f>
        <v/>
      </c>
      <c r="E26" s="50">
        <f>IF($J26="","",IF(INDEX('Mouvements'!$B$5:$B$5004,$J26)="Sortie",INDEX('Mouvements'!$E$5:$E$5004,$J26),""))</f>
        <v>15.0</v>
      </c>
      <c r="F26" s="50">
        <f>IF($J26="","",INDEX('Mouvements'!$K$5:$K$5004,$J26))</f>
        <v>99.0</v>
      </c>
      <c r="G26" s="50" t="str">
        <f>IF($J26="","",INDEX('Mouvements'!$G$5:$G$5004,$J26)&amp;"")</f>
        <v>BS-2026-0215</v>
      </c>
      <c r="H26" s="50" t="str">
        <f>IF($J26="","",INDEX('Mouvements'!$H$5:$H$5004,$J26)&amp;"")</f>
        <v>Atelier soudure</v>
      </c>
      <c r="I26" s="50" t="str">
        <f>IF($J26="","",INDEX('Mouvements'!$I$5:$I$5004,$J26)&amp;"")</f>
        <v/>
      </c>
      <c r="J26">
        <f>IF($C$4="","",IFERROR(MATCH($C$4&amp;"#"&amp;($J$9+16),mv_key,0),""))</f>
        <v>244.0</v>
      </c>
    </row>
    <row r="27">
      <c r="B27" s="49">
        <f>IF($J27="","",INDEX('Mouvements'!$A$5:$A$5004,$J27))</f>
        <v>46241.0</v>
      </c>
      <c r="C27" s="50" t="str">
        <f>IF($J27="","",INDEX('Mouvements'!$B$5:$B$5004,$J27))</f>
        <v>Sortie</v>
      </c>
      <c r="D27" s="50" t="str">
        <f>IF($J27="","",IF(INDEX('Mouvements'!$B$5:$B$5004,$J27)="Entrée",INDEX('Mouvements'!$E$5:$E$5004,$J27),""))</f>
        <v/>
      </c>
      <c r="E27" s="50">
        <f>IF($J27="","",IF(INDEX('Mouvements'!$B$5:$B$5004,$J27)="Sortie",INDEX('Mouvements'!$E$5:$E$5004,$J27),""))</f>
        <v>22.0</v>
      </c>
      <c r="F27" s="50">
        <f>IF($J27="","",INDEX('Mouvements'!$K$5:$K$5004,$J27))</f>
        <v>77.0</v>
      </c>
      <c r="G27" s="50" t="str">
        <f>IF($J27="","",INDEX('Mouvements'!$G$5:$G$5004,$J27)&amp;"")</f>
        <v>BS-2026-0230</v>
      </c>
      <c r="H27" s="50" t="str">
        <f>IF($J27="","",INDEX('Mouvements'!$H$5:$H$5004,$J27)&amp;"")</f>
        <v>Maintenance</v>
      </c>
      <c r="I27" s="50" t="str">
        <f>IF($J27="","",INDEX('Mouvements'!$I$5:$I$5004,$J27)&amp;"")</f>
        <v/>
      </c>
      <c r="J27">
        <f>IF($C$4="","",IFERROR(MATCH($C$4&amp;"#"&amp;($J$9+17),mv_key,0),""))</f>
        <v>259.0</v>
      </c>
    </row>
    <row r="28">
      <c r="B28" s="49">
        <f>IF($J28="","",INDEX('Mouvements'!$A$5:$A$5004,$J28))</f>
        <v>46252.0</v>
      </c>
      <c r="C28" s="50" t="str">
        <f>IF($J28="","",INDEX('Mouvements'!$B$5:$B$5004,$J28))</f>
        <v>Sortie</v>
      </c>
      <c r="D28" s="50" t="str">
        <f>IF($J28="","",IF(INDEX('Mouvements'!$B$5:$B$5004,$J28)="Entrée",INDEX('Mouvements'!$E$5:$E$5004,$J28),""))</f>
        <v/>
      </c>
      <c r="E28" s="50">
        <f>IF($J28="","",IF(INDEX('Mouvements'!$B$5:$B$5004,$J28)="Sortie",INDEX('Mouvements'!$E$5:$E$5004,$J28),""))</f>
        <v>19.0</v>
      </c>
      <c r="F28" s="50">
        <f>IF($J28="","",INDEX('Mouvements'!$K$5:$K$5004,$J28))</f>
        <v>58.0</v>
      </c>
      <c r="G28" s="50" t="str">
        <f>IF($J28="","",INDEX('Mouvements'!$G$5:$G$5004,$J28)&amp;"")</f>
        <v>BS-2026-0242</v>
      </c>
      <c r="H28" s="50" t="str">
        <f>IF($J28="","",INDEX('Mouvements'!$H$5:$H$5004,$J28)&amp;"")</f>
        <v>Expédition</v>
      </c>
      <c r="I28" s="50" t="str">
        <f>IF($J28="","",INDEX('Mouvements'!$I$5:$I$5004,$J28)&amp;"")</f>
        <v/>
      </c>
      <c r="J28">
        <f>IF($C$4="","",IFERROR(MATCH($C$4&amp;"#"&amp;($J$9+18),mv_key,0),""))</f>
        <v>273.0</v>
      </c>
    </row>
    <row r="29">
      <c r="B29" s="49">
        <f>IF($J29="","",INDEX('Mouvements'!$A$5:$A$5004,$J29))</f>
        <v>46275.0</v>
      </c>
      <c r="C29" s="50" t="str">
        <f>IF($J29="","",INDEX('Mouvements'!$B$5:$B$5004,$J29))</f>
        <v>Sortie</v>
      </c>
      <c r="D29" s="50" t="str">
        <f>IF($J29="","",IF(INDEX('Mouvements'!$B$5:$B$5004,$J29)="Entrée",INDEX('Mouvements'!$E$5:$E$5004,$J29),""))</f>
        <v/>
      </c>
      <c r="E29" s="50">
        <f>IF($J29="","",IF(INDEX('Mouvements'!$B$5:$B$5004,$J29)="Sortie",INDEX('Mouvements'!$E$5:$E$5004,$J29),""))</f>
        <v>15.0</v>
      </c>
      <c r="F29" s="50">
        <f>IF($J29="","",INDEX('Mouvements'!$K$5:$K$5004,$J29))</f>
        <v>43.0</v>
      </c>
      <c r="G29" s="50" t="str">
        <f>IF($J29="","",INDEX('Mouvements'!$G$5:$G$5004,$J29)&amp;"")</f>
        <v>BS-2026-0266</v>
      </c>
      <c r="H29" s="50" t="str">
        <f>IF($J29="","",INDEX('Mouvements'!$H$5:$H$5004,$J29)&amp;"")</f>
        <v>Expédition</v>
      </c>
      <c r="I29" s="50" t="str">
        <f>IF($J29="","",INDEX('Mouvements'!$I$5:$I$5004,$J29)&amp;"")</f>
        <v/>
      </c>
      <c r="J29">
        <f>IF($C$4="","",IFERROR(MATCH($C$4&amp;"#"&amp;($J$9+19),mv_key,0),""))</f>
        <v>299.0</v>
      </c>
    </row>
    <row r="30">
      <c r="B30" s="49">
        <f>IF($J30="","",INDEX('Mouvements'!$A$5:$A$5004,$J30))</f>
        <v>46290.0</v>
      </c>
      <c r="C30" s="50" t="str">
        <f>IF($J30="","",INDEX('Mouvements'!$B$5:$B$5004,$J30))</f>
        <v>Sortie</v>
      </c>
      <c r="D30" s="50" t="str">
        <f>IF($J30="","",IF(INDEX('Mouvements'!$B$5:$B$5004,$J30)="Entrée",INDEX('Mouvements'!$E$5:$E$5004,$J30),""))</f>
        <v/>
      </c>
      <c r="E30" s="50">
        <f>IF($J30="","",IF(INDEX('Mouvements'!$B$5:$B$5004,$J30)="Sortie",INDEX('Mouvements'!$E$5:$E$5004,$J30),""))</f>
        <v>16.0</v>
      </c>
      <c r="F30" s="50">
        <f>IF($J30="","",INDEX('Mouvements'!$K$5:$K$5004,$J30))</f>
        <v>27.0</v>
      </c>
      <c r="G30" s="50" t="str">
        <f>IF($J30="","",INDEX('Mouvements'!$G$5:$G$5004,$J30)&amp;"")</f>
        <v>BS-2026-0282</v>
      </c>
      <c r="H30" s="50" t="str">
        <f>IF($J30="","",INDEX('Mouvements'!$H$5:$H$5004,$J30)&amp;"")</f>
        <v>Atelier usinage</v>
      </c>
      <c r="I30" s="50" t="str">
        <f>IF($J30="","",INDEX('Mouvements'!$I$5:$I$5004,$J30)&amp;"")</f>
        <v/>
      </c>
      <c r="J30">
        <f>IF($C$4="","",IFERROR(MATCH($C$4&amp;"#"&amp;($J$9+20),mv_key,0),""))</f>
        <v>318.0</v>
      </c>
    </row>
    <row r="31">
      <c r="B31" s="49">
        <f>IF($J31="","",INDEX('Mouvements'!$A$5:$A$5004,$J31))</f>
        <v>46293.0</v>
      </c>
      <c r="C31" s="50" t="str">
        <f>IF($J31="","",INDEX('Mouvements'!$B$5:$B$5004,$J31))</f>
        <v>Entrée</v>
      </c>
      <c r="D31" s="50">
        <f>IF($J31="","",IF(INDEX('Mouvements'!$B$5:$B$5004,$J31)="Entrée",INDEX('Mouvements'!$E$5:$E$5004,$J31),""))</f>
        <v>123.0</v>
      </c>
      <c r="E31" s="50" t="str">
        <f>IF($J31="","",IF(INDEX('Mouvements'!$B$5:$B$5004,$J31)="Sortie",INDEX('Mouvements'!$E$5:$E$5004,$J31),""))</f>
        <v/>
      </c>
      <c r="F31" s="50">
        <f>IF($J31="","",INDEX('Mouvements'!$K$5:$K$5004,$J31))</f>
        <v>150.0</v>
      </c>
      <c r="G31" s="50" t="str">
        <f>IF($J31="","",INDEX('Mouvements'!$G$5:$G$5004,$J31)&amp;"")</f>
        <v>BL-2026-038</v>
      </c>
      <c r="H31" s="50" t="str">
        <f>IF($J31="","",INDEX('Mouvements'!$H$5:$H$5004,$J31)&amp;"")</f>
        <v>Roulements Express</v>
      </c>
      <c r="I31" s="50" t="str">
        <f>IF($J31="","",INDEX('Mouvements'!$I$5:$I$5004,$J31)&amp;"")</f>
        <v>Réception commande</v>
      </c>
      <c r="J31">
        <f>IF($C$4="","",IFERROR(MATCH($C$4&amp;"#"&amp;($J$9+21),mv_key,0),""))</f>
        <v>326.0</v>
      </c>
    </row>
    <row r="32">
      <c r="B32" s="49">
        <f>IF($J32="","",INDEX('Mouvements'!$A$5:$A$5004,$J32))</f>
        <v>46307.0</v>
      </c>
      <c r="C32" s="50" t="str">
        <f>IF($J32="","",INDEX('Mouvements'!$B$5:$B$5004,$J32))</f>
        <v>Sortie</v>
      </c>
      <c r="D32" s="50" t="str">
        <f>IF($J32="","",IF(INDEX('Mouvements'!$B$5:$B$5004,$J32)="Entrée",INDEX('Mouvements'!$E$5:$E$5004,$J32),""))</f>
        <v/>
      </c>
      <c r="E32" s="50">
        <f>IF($J32="","",IF(INDEX('Mouvements'!$B$5:$B$5004,$J32)="Sortie",INDEX('Mouvements'!$E$5:$E$5004,$J32),""))</f>
        <v>17.0</v>
      </c>
      <c r="F32" s="50">
        <f>IF($J32="","",INDEX('Mouvements'!$K$5:$K$5004,$J32))</f>
        <v>133.0</v>
      </c>
      <c r="G32" s="50" t="str">
        <f>IF($J32="","",INDEX('Mouvements'!$G$5:$G$5004,$J32)&amp;"")</f>
        <v>BS-2026-0302</v>
      </c>
      <c r="H32" s="50" t="str">
        <f>IF($J32="","",INDEX('Mouvements'!$H$5:$H$5004,$J32)&amp;"")</f>
        <v>Expédition</v>
      </c>
      <c r="I32" s="50" t="str">
        <f>IF($J32="","",INDEX('Mouvements'!$I$5:$I$5004,$J32)&amp;"")</f>
        <v/>
      </c>
      <c r="J32">
        <f>IF($C$4="","",IFERROR(MATCH($C$4&amp;"#"&amp;($J$9+22),mv_key,0),""))</f>
        <v>342.0</v>
      </c>
    </row>
    <row r="33">
      <c r="B33" s="49">
        <f>IF($J33="","",INDEX('Mouvements'!$A$5:$A$5004,$J33))</f>
        <v>46314.0</v>
      </c>
      <c r="C33" s="50" t="str">
        <f>IF($J33="","",INDEX('Mouvements'!$B$5:$B$5004,$J33))</f>
        <v>Sortie</v>
      </c>
      <c r="D33" s="50" t="str">
        <f>IF($J33="","",IF(INDEX('Mouvements'!$B$5:$B$5004,$J33)="Entrée",INDEX('Mouvements'!$E$5:$E$5004,$J33),""))</f>
        <v/>
      </c>
      <c r="E33" s="50">
        <f>IF($J33="","",IF(INDEX('Mouvements'!$B$5:$B$5004,$J33)="Sortie",INDEX('Mouvements'!$E$5:$E$5004,$J33),""))</f>
        <v>24.0</v>
      </c>
      <c r="F33" s="50">
        <f>IF($J33="","",INDEX('Mouvements'!$K$5:$K$5004,$J33))</f>
        <v>109.0</v>
      </c>
      <c r="G33" s="50" t="str">
        <f>IF($J33="","",INDEX('Mouvements'!$G$5:$G$5004,$J33)&amp;"")</f>
        <v>BS-2026-0306</v>
      </c>
      <c r="H33" s="50" t="str">
        <f>IF($J33="","",INDEX('Mouvements'!$H$5:$H$5004,$J33)&amp;"")</f>
        <v>Atelier montage</v>
      </c>
      <c r="I33" s="50" t="str">
        <f>IF($J33="","",INDEX('Mouvements'!$I$5:$I$5004,$J33)&amp;"")</f>
        <v/>
      </c>
      <c r="J33">
        <f>IF($C$4="","",IFERROR(MATCH($C$4&amp;"#"&amp;($J$9+23),mv_key,0),""))</f>
        <v>347.0</v>
      </c>
    </row>
    <row r="34">
      <c r="B34" s="49" t="str">
        <f>IF($J34="","",INDEX('Mouvements'!$A$5:$A$5004,$J34))</f>
        <v/>
      </c>
      <c r="C34" s="50" t="str">
        <f>IF($J34="","",INDEX('Mouvements'!$B$5:$B$5004,$J34))</f>
        <v/>
      </c>
      <c r="D34" s="50" t="str">
        <f>IF($J34="","",IF(INDEX('Mouvements'!$B$5:$B$5004,$J34)="Entrée",INDEX('Mouvements'!$E$5:$E$5004,$J34),""))</f>
        <v/>
      </c>
      <c r="E34" s="50" t="str">
        <f>IF($J34="","",IF(INDEX('Mouvements'!$B$5:$B$5004,$J34)="Sortie",INDEX('Mouvements'!$E$5:$E$5004,$J34),""))</f>
        <v/>
      </c>
      <c r="F34" s="50" t="str">
        <f>IF($J34="","",INDEX('Mouvements'!$K$5:$K$5004,$J34))</f>
        <v/>
      </c>
      <c r="G34" s="50" t="str">
        <f>IF($J34="","",INDEX('Mouvements'!$G$5:$G$5004,$J34)&amp;"")</f>
        <v/>
      </c>
      <c r="H34" s="50" t="str">
        <f>IF($J34="","",INDEX('Mouvements'!$H$5:$H$5004,$J34)&amp;"")</f>
        <v/>
      </c>
      <c r="I34" s="50" t="str">
        <f>IF($J34="","",INDEX('Mouvements'!$I$5:$I$5004,$J34)&amp;"")</f>
        <v/>
      </c>
      <c r="J34" t="str">
        <f>IF($C$4="","",IFERROR(MATCH($C$4&amp;"#"&amp;($J$9+24),mv_key,0),""))</f>
        <v/>
      </c>
    </row>
    <row r="35">
      <c r="B35" s="49" t="str">
        <f>IF($J35="","",INDEX('Mouvements'!$A$5:$A$5004,$J35))</f>
        <v/>
      </c>
      <c r="C35" s="50" t="str">
        <f>IF($J35="","",INDEX('Mouvements'!$B$5:$B$5004,$J35))</f>
        <v/>
      </c>
      <c r="D35" s="50" t="str">
        <f>IF($J35="","",IF(INDEX('Mouvements'!$B$5:$B$5004,$J35)="Entrée",INDEX('Mouvements'!$E$5:$E$5004,$J35),""))</f>
        <v/>
      </c>
      <c r="E35" s="50" t="str">
        <f>IF($J35="","",IF(INDEX('Mouvements'!$B$5:$B$5004,$J35)="Sortie",INDEX('Mouvements'!$E$5:$E$5004,$J35),""))</f>
        <v/>
      </c>
      <c r="F35" s="50" t="str">
        <f>IF($J35="","",INDEX('Mouvements'!$K$5:$K$5004,$J35))</f>
        <v/>
      </c>
      <c r="G35" s="50" t="str">
        <f>IF($J35="","",INDEX('Mouvements'!$G$5:$G$5004,$J35)&amp;"")</f>
        <v/>
      </c>
      <c r="H35" s="50" t="str">
        <f>IF($J35="","",INDEX('Mouvements'!$H$5:$H$5004,$J35)&amp;"")</f>
        <v/>
      </c>
      <c r="I35" s="50" t="str">
        <f>IF($J35="","",INDEX('Mouvements'!$I$5:$I$5004,$J35)&amp;"")</f>
        <v/>
      </c>
      <c r="J35" t="str">
        <f>IF($C$4="","",IFERROR(MATCH($C$4&amp;"#"&amp;($J$9+25),mv_key,0),""))</f>
        <v/>
      </c>
    </row>
    <row r="36">
      <c r="B36" s="49" t="str">
        <f>IF($J36="","",INDEX('Mouvements'!$A$5:$A$5004,$J36))</f>
        <v/>
      </c>
      <c r="C36" s="50" t="str">
        <f>IF($J36="","",INDEX('Mouvements'!$B$5:$B$5004,$J36))</f>
        <v/>
      </c>
      <c r="D36" s="50" t="str">
        <f>IF($J36="","",IF(INDEX('Mouvements'!$B$5:$B$5004,$J36)="Entrée",INDEX('Mouvements'!$E$5:$E$5004,$J36),""))</f>
        <v/>
      </c>
      <c r="E36" s="50" t="str">
        <f>IF($J36="","",IF(INDEX('Mouvements'!$B$5:$B$5004,$J36)="Sortie",INDEX('Mouvements'!$E$5:$E$5004,$J36),""))</f>
        <v/>
      </c>
      <c r="F36" s="50" t="str">
        <f>IF($J36="","",INDEX('Mouvements'!$K$5:$K$5004,$J36))</f>
        <v/>
      </c>
      <c r="G36" s="50" t="str">
        <f>IF($J36="","",INDEX('Mouvements'!$G$5:$G$5004,$J36)&amp;"")</f>
        <v/>
      </c>
      <c r="H36" s="50" t="str">
        <f>IF($J36="","",INDEX('Mouvements'!$H$5:$H$5004,$J36)&amp;"")</f>
        <v/>
      </c>
      <c r="I36" s="50" t="str">
        <f>IF($J36="","",INDEX('Mouvements'!$I$5:$I$5004,$J36)&amp;"")</f>
        <v/>
      </c>
      <c r="J36" t="str">
        <f>IF($C$4="","",IFERROR(MATCH($C$4&amp;"#"&amp;($J$9+26),mv_key,0),""))</f>
        <v/>
      </c>
    </row>
    <row r="37">
      <c r="B37" s="49" t="str">
        <f>IF($J37="","",INDEX('Mouvements'!$A$5:$A$5004,$J37))</f>
        <v/>
      </c>
      <c r="C37" s="50" t="str">
        <f>IF($J37="","",INDEX('Mouvements'!$B$5:$B$5004,$J37))</f>
        <v/>
      </c>
      <c r="D37" s="50" t="str">
        <f>IF($J37="","",IF(INDEX('Mouvements'!$B$5:$B$5004,$J37)="Entrée",INDEX('Mouvements'!$E$5:$E$5004,$J37),""))</f>
        <v/>
      </c>
      <c r="E37" s="50" t="str">
        <f>IF($J37="","",IF(INDEX('Mouvements'!$B$5:$B$5004,$J37)="Sortie",INDEX('Mouvements'!$E$5:$E$5004,$J37),""))</f>
        <v/>
      </c>
      <c r="F37" s="50" t="str">
        <f>IF($J37="","",INDEX('Mouvements'!$K$5:$K$5004,$J37))</f>
        <v/>
      </c>
      <c r="G37" s="50" t="str">
        <f>IF($J37="","",INDEX('Mouvements'!$G$5:$G$5004,$J37)&amp;"")</f>
        <v/>
      </c>
      <c r="H37" s="50" t="str">
        <f>IF($J37="","",INDEX('Mouvements'!$H$5:$H$5004,$J37)&amp;"")</f>
        <v/>
      </c>
      <c r="I37" s="50" t="str">
        <f>IF($J37="","",INDEX('Mouvements'!$I$5:$I$5004,$J37)&amp;"")</f>
        <v/>
      </c>
      <c r="J37" t="str">
        <f>IF($C$4="","",IFERROR(MATCH($C$4&amp;"#"&amp;($J$9+27),mv_key,0),""))</f>
        <v/>
      </c>
    </row>
    <row r="38">
      <c r="B38" s="49" t="str">
        <f>IF($J38="","",INDEX('Mouvements'!$A$5:$A$5004,$J38))</f>
        <v/>
      </c>
      <c r="C38" s="50" t="str">
        <f>IF($J38="","",INDEX('Mouvements'!$B$5:$B$5004,$J38))</f>
        <v/>
      </c>
      <c r="D38" s="50" t="str">
        <f>IF($J38="","",IF(INDEX('Mouvements'!$B$5:$B$5004,$J38)="Entrée",INDEX('Mouvements'!$E$5:$E$5004,$J38),""))</f>
        <v/>
      </c>
      <c r="E38" s="50" t="str">
        <f>IF($J38="","",IF(INDEX('Mouvements'!$B$5:$B$5004,$J38)="Sortie",INDEX('Mouvements'!$E$5:$E$5004,$J38),""))</f>
        <v/>
      </c>
      <c r="F38" s="50" t="str">
        <f>IF($J38="","",INDEX('Mouvements'!$K$5:$K$5004,$J38))</f>
        <v/>
      </c>
      <c r="G38" s="50" t="str">
        <f>IF($J38="","",INDEX('Mouvements'!$G$5:$G$5004,$J38)&amp;"")</f>
        <v/>
      </c>
      <c r="H38" s="50" t="str">
        <f>IF($J38="","",INDEX('Mouvements'!$H$5:$H$5004,$J38)&amp;"")</f>
        <v/>
      </c>
      <c r="I38" s="50" t="str">
        <f>IF($J38="","",INDEX('Mouvements'!$I$5:$I$5004,$J38)&amp;"")</f>
        <v/>
      </c>
      <c r="J38" t="str">
        <f>IF($C$4="","",IFERROR(MATCH($C$4&amp;"#"&amp;($J$9+28),mv_key,0),""))</f>
        <v/>
      </c>
    </row>
    <row r="39">
      <c r="B39" s="49" t="str">
        <f>IF($J39="","",INDEX('Mouvements'!$A$5:$A$5004,$J39))</f>
        <v/>
      </c>
      <c r="C39" s="50" t="str">
        <f>IF($J39="","",INDEX('Mouvements'!$B$5:$B$5004,$J39))</f>
        <v/>
      </c>
      <c r="D39" s="50" t="str">
        <f>IF($J39="","",IF(INDEX('Mouvements'!$B$5:$B$5004,$J39)="Entrée",INDEX('Mouvements'!$E$5:$E$5004,$J39),""))</f>
        <v/>
      </c>
      <c r="E39" s="50" t="str">
        <f>IF($J39="","",IF(INDEX('Mouvements'!$B$5:$B$5004,$J39)="Sortie",INDEX('Mouvements'!$E$5:$E$5004,$J39),""))</f>
        <v/>
      </c>
      <c r="F39" s="50" t="str">
        <f>IF($J39="","",INDEX('Mouvements'!$K$5:$K$5004,$J39))</f>
        <v/>
      </c>
      <c r="G39" s="50" t="str">
        <f>IF($J39="","",INDEX('Mouvements'!$G$5:$G$5004,$J39)&amp;"")</f>
        <v/>
      </c>
      <c r="H39" s="50" t="str">
        <f>IF($J39="","",INDEX('Mouvements'!$H$5:$H$5004,$J39)&amp;"")</f>
        <v/>
      </c>
      <c r="I39" s="50" t="str">
        <f>IF($J39="","",INDEX('Mouvements'!$I$5:$I$5004,$J39)&amp;"")</f>
        <v/>
      </c>
      <c r="J39" t="str">
        <f>IF($C$4="","",IFERROR(MATCH($C$4&amp;"#"&amp;($J$9+29),mv_key,0),""))</f>
        <v/>
      </c>
    </row>
    <row r="40">
      <c r="B40" s="49" t="str">
        <f>IF($J40="","",INDEX('Mouvements'!$A$5:$A$5004,$J40))</f>
        <v/>
      </c>
      <c r="C40" s="50" t="str">
        <f>IF($J40="","",INDEX('Mouvements'!$B$5:$B$5004,$J40))</f>
        <v/>
      </c>
      <c r="D40" s="50" t="str">
        <f>IF($J40="","",IF(INDEX('Mouvements'!$B$5:$B$5004,$J40)="Entrée",INDEX('Mouvements'!$E$5:$E$5004,$J40),""))</f>
        <v/>
      </c>
      <c r="E40" s="50" t="str">
        <f>IF($J40="","",IF(INDEX('Mouvements'!$B$5:$B$5004,$J40)="Sortie",INDEX('Mouvements'!$E$5:$E$5004,$J40),""))</f>
        <v/>
      </c>
      <c r="F40" s="50" t="str">
        <f>IF($J40="","",INDEX('Mouvements'!$K$5:$K$5004,$J40))</f>
        <v/>
      </c>
      <c r="G40" s="50" t="str">
        <f>IF($J40="","",INDEX('Mouvements'!$G$5:$G$5004,$J40)&amp;"")</f>
        <v/>
      </c>
      <c r="H40" s="50" t="str">
        <f>IF($J40="","",INDEX('Mouvements'!$H$5:$H$5004,$J40)&amp;"")</f>
        <v/>
      </c>
      <c r="I40" s="50" t="str">
        <f>IF($J40="","",INDEX('Mouvements'!$I$5:$I$5004,$J40)&amp;"")</f>
        <v/>
      </c>
      <c r="J40" t="str">
        <f>IF($C$4="","",IFERROR(MATCH($C$4&amp;"#"&amp;($J$9+30),mv_key,0),""))</f>
        <v/>
      </c>
    </row>
    <row r="41">
      <c r="B41" s="49" t="str">
        <f>IF($J41="","",INDEX('Mouvements'!$A$5:$A$5004,$J41))</f>
        <v/>
      </c>
      <c r="C41" s="50" t="str">
        <f>IF($J41="","",INDEX('Mouvements'!$B$5:$B$5004,$J41))</f>
        <v/>
      </c>
      <c r="D41" s="50" t="str">
        <f>IF($J41="","",IF(INDEX('Mouvements'!$B$5:$B$5004,$J41)="Entrée",INDEX('Mouvements'!$E$5:$E$5004,$J41),""))</f>
        <v/>
      </c>
      <c r="E41" s="50" t="str">
        <f>IF($J41="","",IF(INDEX('Mouvements'!$B$5:$B$5004,$J41)="Sortie",INDEX('Mouvements'!$E$5:$E$5004,$J41),""))</f>
        <v/>
      </c>
      <c r="F41" s="50" t="str">
        <f>IF($J41="","",INDEX('Mouvements'!$K$5:$K$5004,$J41))</f>
        <v/>
      </c>
      <c r="G41" s="50" t="str">
        <f>IF($J41="","",INDEX('Mouvements'!$G$5:$G$5004,$J41)&amp;"")</f>
        <v/>
      </c>
      <c r="H41" s="50" t="str">
        <f>IF($J41="","",INDEX('Mouvements'!$H$5:$H$5004,$J41)&amp;"")</f>
        <v/>
      </c>
      <c r="I41" s="50" t="str">
        <f>IF($J41="","",INDEX('Mouvements'!$I$5:$I$5004,$J41)&amp;"")</f>
        <v/>
      </c>
      <c r="J41" t="str">
        <f>IF($C$4="","",IFERROR(MATCH($C$4&amp;"#"&amp;($J$9+31),mv_key,0),""))</f>
        <v/>
      </c>
    </row>
    <row r="42">
      <c r="B42" s="49" t="str">
        <f>IF($J42="","",INDEX('Mouvements'!$A$5:$A$5004,$J42))</f>
        <v/>
      </c>
      <c r="C42" s="50" t="str">
        <f>IF($J42="","",INDEX('Mouvements'!$B$5:$B$5004,$J42))</f>
        <v/>
      </c>
      <c r="D42" s="50" t="str">
        <f>IF($J42="","",IF(INDEX('Mouvements'!$B$5:$B$5004,$J42)="Entrée",INDEX('Mouvements'!$E$5:$E$5004,$J42),""))</f>
        <v/>
      </c>
      <c r="E42" s="50" t="str">
        <f>IF($J42="","",IF(INDEX('Mouvements'!$B$5:$B$5004,$J42)="Sortie",INDEX('Mouvements'!$E$5:$E$5004,$J42),""))</f>
        <v/>
      </c>
      <c r="F42" s="50" t="str">
        <f>IF($J42="","",INDEX('Mouvements'!$K$5:$K$5004,$J42))</f>
        <v/>
      </c>
      <c r="G42" s="50" t="str">
        <f>IF($J42="","",INDEX('Mouvements'!$G$5:$G$5004,$J42)&amp;"")</f>
        <v/>
      </c>
      <c r="H42" s="50" t="str">
        <f>IF($J42="","",INDEX('Mouvements'!$H$5:$H$5004,$J42)&amp;"")</f>
        <v/>
      </c>
      <c r="I42" s="50" t="str">
        <f>IF($J42="","",INDEX('Mouvements'!$I$5:$I$5004,$J42)&amp;"")</f>
        <v/>
      </c>
      <c r="J42" t="str">
        <f>IF($C$4="","",IFERROR(MATCH($C$4&amp;"#"&amp;($J$9+32),mv_key,0),""))</f>
        <v/>
      </c>
    </row>
    <row r="43">
      <c r="B43" s="49" t="str">
        <f>IF($J43="","",INDEX('Mouvements'!$A$5:$A$5004,$J43))</f>
        <v/>
      </c>
      <c r="C43" s="50" t="str">
        <f>IF($J43="","",INDEX('Mouvements'!$B$5:$B$5004,$J43))</f>
        <v/>
      </c>
      <c r="D43" s="50" t="str">
        <f>IF($J43="","",IF(INDEX('Mouvements'!$B$5:$B$5004,$J43)="Entrée",INDEX('Mouvements'!$E$5:$E$5004,$J43),""))</f>
        <v/>
      </c>
      <c r="E43" s="50" t="str">
        <f>IF($J43="","",IF(INDEX('Mouvements'!$B$5:$B$5004,$J43)="Sortie",INDEX('Mouvements'!$E$5:$E$5004,$J43),""))</f>
        <v/>
      </c>
      <c r="F43" s="50" t="str">
        <f>IF($J43="","",INDEX('Mouvements'!$K$5:$K$5004,$J43))</f>
        <v/>
      </c>
      <c r="G43" s="50" t="str">
        <f>IF($J43="","",INDEX('Mouvements'!$G$5:$G$5004,$J43)&amp;"")</f>
        <v/>
      </c>
      <c r="H43" s="50" t="str">
        <f>IF($J43="","",INDEX('Mouvements'!$H$5:$H$5004,$J43)&amp;"")</f>
        <v/>
      </c>
      <c r="I43" s="50" t="str">
        <f>IF($J43="","",INDEX('Mouvements'!$I$5:$I$5004,$J43)&amp;"")</f>
        <v/>
      </c>
      <c r="J43" t="str">
        <f>IF($C$4="","",IFERROR(MATCH($C$4&amp;"#"&amp;($J$9+33),mv_key,0),""))</f>
        <v/>
      </c>
    </row>
    <row r="44">
      <c r="B44" s="49" t="str">
        <f>IF($J44="","",INDEX('Mouvements'!$A$5:$A$5004,$J44))</f>
        <v/>
      </c>
      <c r="C44" s="50" t="str">
        <f>IF($J44="","",INDEX('Mouvements'!$B$5:$B$5004,$J44))</f>
        <v/>
      </c>
      <c r="D44" s="50" t="str">
        <f>IF($J44="","",IF(INDEX('Mouvements'!$B$5:$B$5004,$J44)="Entrée",INDEX('Mouvements'!$E$5:$E$5004,$J44),""))</f>
        <v/>
      </c>
      <c r="E44" s="50" t="str">
        <f>IF($J44="","",IF(INDEX('Mouvements'!$B$5:$B$5004,$J44)="Sortie",INDEX('Mouvements'!$E$5:$E$5004,$J44),""))</f>
        <v/>
      </c>
      <c r="F44" s="50" t="str">
        <f>IF($J44="","",INDEX('Mouvements'!$K$5:$K$5004,$J44))</f>
        <v/>
      </c>
      <c r="G44" s="50" t="str">
        <f>IF($J44="","",INDEX('Mouvements'!$G$5:$G$5004,$J44)&amp;"")</f>
        <v/>
      </c>
      <c r="H44" s="50" t="str">
        <f>IF($J44="","",INDEX('Mouvements'!$H$5:$H$5004,$J44)&amp;"")</f>
        <v/>
      </c>
      <c r="I44" s="50" t="str">
        <f>IF($J44="","",INDEX('Mouvements'!$I$5:$I$5004,$J44)&amp;"")</f>
        <v/>
      </c>
      <c r="J44" t="str">
        <f>IF($C$4="","",IFERROR(MATCH($C$4&amp;"#"&amp;($J$9+34),mv_key,0),""))</f>
        <v/>
      </c>
    </row>
    <row r="45">
      <c r="B45" s="49" t="str">
        <f>IF($J45="","",INDEX('Mouvements'!$A$5:$A$5004,$J45))</f>
        <v/>
      </c>
      <c r="C45" s="50" t="str">
        <f>IF($J45="","",INDEX('Mouvements'!$B$5:$B$5004,$J45))</f>
        <v/>
      </c>
      <c r="D45" s="50" t="str">
        <f>IF($J45="","",IF(INDEX('Mouvements'!$B$5:$B$5004,$J45)="Entrée",INDEX('Mouvements'!$E$5:$E$5004,$J45),""))</f>
        <v/>
      </c>
      <c r="E45" s="50" t="str">
        <f>IF($J45="","",IF(INDEX('Mouvements'!$B$5:$B$5004,$J45)="Sortie",INDEX('Mouvements'!$E$5:$E$5004,$J45),""))</f>
        <v/>
      </c>
      <c r="F45" s="50" t="str">
        <f>IF($J45="","",INDEX('Mouvements'!$K$5:$K$5004,$J45))</f>
        <v/>
      </c>
      <c r="G45" s="50" t="str">
        <f>IF($J45="","",INDEX('Mouvements'!$G$5:$G$5004,$J45)&amp;"")</f>
        <v/>
      </c>
      <c r="H45" s="50" t="str">
        <f>IF($J45="","",INDEX('Mouvements'!$H$5:$H$5004,$J45)&amp;"")</f>
        <v/>
      </c>
      <c r="I45" s="50" t="str">
        <f>IF($J45="","",INDEX('Mouvements'!$I$5:$I$5004,$J45)&amp;"")</f>
        <v/>
      </c>
      <c r="J45" t="str">
        <f>IF($C$4="","",IFERROR(MATCH($C$4&amp;"#"&amp;($J$9+35),mv_key,0),""))</f>
        <v/>
      </c>
    </row>
    <row r="46">
      <c r="B46" s="49" t="str">
        <f>IF($J46="","",INDEX('Mouvements'!$A$5:$A$5004,$J46))</f>
        <v/>
      </c>
      <c r="C46" s="50" t="str">
        <f>IF($J46="","",INDEX('Mouvements'!$B$5:$B$5004,$J46))</f>
        <v/>
      </c>
      <c r="D46" s="50" t="str">
        <f>IF($J46="","",IF(INDEX('Mouvements'!$B$5:$B$5004,$J46)="Entrée",INDEX('Mouvements'!$E$5:$E$5004,$J46),""))</f>
        <v/>
      </c>
      <c r="E46" s="50" t="str">
        <f>IF($J46="","",IF(INDEX('Mouvements'!$B$5:$B$5004,$J46)="Sortie",INDEX('Mouvements'!$E$5:$E$5004,$J46),""))</f>
        <v/>
      </c>
      <c r="F46" s="50" t="str">
        <f>IF($J46="","",INDEX('Mouvements'!$K$5:$K$5004,$J46))</f>
        <v/>
      </c>
      <c r="G46" s="50" t="str">
        <f>IF($J46="","",INDEX('Mouvements'!$G$5:$G$5004,$J46)&amp;"")</f>
        <v/>
      </c>
      <c r="H46" s="50" t="str">
        <f>IF($J46="","",INDEX('Mouvements'!$H$5:$H$5004,$J46)&amp;"")</f>
        <v/>
      </c>
      <c r="I46" s="50" t="str">
        <f>IF($J46="","",INDEX('Mouvements'!$I$5:$I$5004,$J46)&amp;"")</f>
        <v/>
      </c>
      <c r="J46" t="str">
        <f>IF($C$4="","",IFERROR(MATCH($C$4&amp;"#"&amp;($J$9+36),mv_key,0),""))</f>
        <v/>
      </c>
    </row>
    <row r="47">
      <c r="B47" s="49" t="str">
        <f>IF($J47="","",INDEX('Mouvements'!$A$5:$A$5004,$J47))</f>
        <v/>
      </c>
      <c r="C47" s="50" t="str">
        <f>IF($J47="","",INDEX('Mouvements'!$B$5:$B$5004,$J47))</f>
        <v/>
      </c>
      <c r="D47" s="50" t="str">
        <f>IF($J47="","",IF(INDEX('Mouvements'!$B$5:$B$5004,$J47)="Entrée",INDEX('Mouvements'!$E$5:$E$5004,$J47),""))</f>
        <v/>
      </c>
      <c r="E47" s="50" t="str">
        <f>IF($J47="","",IF(INDEX('Mouvements'!$B$5:$B$5004,$J47)="Sortie",INDEX('Mouvements'!$E$5:$E$5004,$J47),""))</f>
        <v/>
      </c>
      <c r="F47" s="50" t="str">
        <f>IF($J47="","",INDEX('Mouvements'!$K$5:$K$5004,$J47))</f>
        <v/>
      </c>
      <c r="G47" s="50" t="str">
        <f>IF($J47="","",INDEX('Mouvements'!$G$5:$G$5004,$J47)&amp;"")</f>
        <v/>
      </c>
      <c r="H47" s="50" t="str">
        <f>IF($J47="","",INDEX('Mouvements'!$H$5:$H$5004,$J47)&amp;"")</f>
        <v/>
      </c>
      <c r="I47" s="50" t="str">
        <f>IF($J47="","",INDEX('Mouvements'!$I$5:$I$5004,$J47)&amp;"")</f>
        <v/>
      </c>
      <c r="J47" t="str">
        <f>IF($C$4="","",IFERROR(MATCH($C$4&amp;"#"&amp;($J$9+37),mv_key,0),""))</f>
        <v/>
      </c>
    </row>
    <row r="48">
      <c r="B48" s="49" t="str">
        <f>IF($J48="","",INDEX('Mouvements'!$A$5:$A$5004,$J48))</f>
        <v/>
      </c>
      <c r="C48" s="50" t="str">
        <f>IF($J48="","",INDEX('Mouvements'!$B$5:$B$5004,$J48))</f>
        <v/>
      </c>
      <c r="D48" s="50" t="str">
        <f>IF($J48="","",IF(INDEX('Mouvements'!$B$5:$B$5004,$J48)="Entrée",INDEX('Mouvements'!$E$5:$E$5004,$J48),""))</f>
        <v/>
      </c>
      <c r="E48" s="50" t="str">
        <f>IF($J48="","",IF(INDEX('Mouvements'!$B$5:$B$5004,$J48)="Sortie",INDEX('Mouvements'!$E$5:$E$5004,$J48),""))</f>
        <v/>
      </c>
      <c r="F48" s="50" t="str">
        <f>IF($J48="","",INDEX('Mouvements'!$K$5:$K$5004,$J48))</f>
        <v/>
      </c>
      <c r="G48" s="50" t="str">
        <f>IF($J48="","",INDEX('Mouvements'!$G$5:$G$5004,$J48)&amp;"")</f>
        <v/>
      </c>
      <c r="H48" s="50" t="str">
        <f>IF($J48="","",INDEX('Mouvements'!$H$5:$H$5004,$J48)&amp;"")</f>
        <v/>
      </c>
      <c r="I48" s="50" t="str">
        <f>IF($J48="","",INDEX('Mouvements'!$I$5:$I$5004,$J48)&amp;"")</f>
        <v/>
      </c>
      <c r="J48" t="str">
        <f>IF($C$4="","",IFERROR(MATCH($C$4&amp;"#"&amp;($J$9+38),mv_key,0),""))</f>
        <v/>
      </c>
    </row>
    <row r="49">
      <c r="B49" s="49" t="str">
        <f>IF($J49="","",INDEX('Mouvements'!$A$5:$A$5004,$J49))</f>
        <v/>
      </c>
      <c r="C49" s="50" t="str">
        <f>IF($J49="","",INDEX('Mouvements'!$B$5:$B$5004,$J49))</f>
        <v/>
      </c>
      <c r="D49" s="50" t="str">
        <f>IF($J49="","",IF(INDEX('Mouvements'!$B$5:$B$5004,$J49)="Entrée",INDEX('Mouvements'!$E$5:$E$5004,$J49),""))</f>
        <v/>
      </c>
      <c r="E49" s="50" t="str">
        <f>IF($J49="","",IF(INDEX('Mouvements'!$B$5:$B$5004,$J49)="Sortie",INDEX('Mouvements'!$E$5:$E$5004,$J49),""))</f>
        <v/>
      </c>
      <c r="F49" s="50" t="str">
        <f>IF($J49="","",INDEX('Mouvements'!$K$5:$K$5004,$J49))</f>
        <v/>
      </c>
      <c r="G49" s="50" t="str">
        <f>IF($J49="","",INDEX('Mouvements'!$G$5:$G$5004,$J49)&amp;"")</f>
        <v/>
      </c>
      <c r="H49" s="50" t="str">
        <f>IF($J49="","",INDEX('Mouvements'!$H$5:$H$5004,$J49)&amp;"")</f>
        <v/>
      </c>
      <c r="I49" s="50" t="str">
        <f>IF($J49="","",INDEX('Mouvements'!$I$5:$I$5004,$J49)&amp;"")</f>
        <v/>
      </c>
      <c r="J49" t="str">
        <f>IF($C$4="","",IFERROR(MATCH($C$4&amp;"#"&amp;($J$9+39),mv_key,0),""))</f>
        <v/>
      </c>
    </row>
    <row r="50">
      <c r="B50" s="49" t="str">
        <f>IF($J50="","",INDEX('Mouvements'!$A$5:$A$5004,$J50))</f>
        <v/>
      </c>
      <c r="C50" s="50" t="str">
        <f>IF($J50="","",INDEX('Mouvements'!$B$5:$B$5004,$J50))</f>
        <v/>
      </c>
      <c r="D50" s="50" t="str">
        <f>IF($J50="","",IF(INDEX('Mouvements'!$B$5:$B$5004,$J50)="Entrée",INDEX('Mouvements'!$E$5:$E$5004,$J50),""))</f>
        <v/>
      </c>
      <c r="E50" s="50" t="str">
        <f>IF($J50="","",IF(INDEX('Mouvements'!$B$5:$B$5004,$J50)="Sortie",INDEX('Mouvements'!$E$5:$E$5004,$J50),""))</f>
        <v/>
      </c>
      <c r="F50" s="50" t="str">
        <f>IF($J50="","",INDEX('Mouvements'!$K$5:$K$5004,$J50))</f>
        <v/>
      </c>
      <c r="G50" s="50" t="str">
        <f>IF($J50="","",INDEX('Mouvements'!$G$5:$G$5004,$J50)&amp;"")</f>
        <v/>
      </c>
      <c r="H50" s="50" t="str">
        <f>IF($J50="","",INDEX('Mouvements'!$H$5:$H$5004,$J50)&amp;"")</f>
        <v/>
      </c>
      <c r="I50" s="50" t="str">
        <f>IF($J50="","",INDEX('Mouvements'!$I$5:$I$5004,$J50)&amp;"")</f>
        <v/>
      </c>
      <c r="J50" t="str">
        <f>IF($C$4="","",IFERROR(MATCH($C$4&amp;"#"&amp;($J$9+40),mv_key,0),""))</f>
        <v/>
      </c>
    </row>
    <row r="51">
      <c r="B51" s="49" t="str">
        <f>IF($J51="","",INDEX('Mouvements'!$A$5:$A$5004,$J51))</f>
        <v/>
      </c>
      <c r="C51" s="50" t="str">
        <f>IF($J51="","",INDEX('Mouvements'!$B$5:$B$5004,$J51))</f>
        <v/>
      </c>
      <c r="D51" s="50" t="str">
        <f>IF($J51="","",IF(INDEX('Mouvements'!$B$5:$B$5004,$J51)="Entrée",INDEX('Mouvements'!$E$5:$E$5004,$J51),""))</f>
        <v/>
      </c>
      <c r="E51" s="50" t="str">
        <f>IF($J51="","",IF(INDEX('Mouvements'!$B$5:$B$5004,$J51)="Sortie",INDEX('Mouvements'!$E$5:$E$5004,$J51),""))</f>
        <v/>
      </c>
      <c r="F51" s="50" t="str">
        <f>IF($J51="","",INDEX('Mouvements'!$K$5:$K$5004,$J51))</f>
        <v/>
      </c>
      <c r="G51" s="50" t="str">
        <f>IF($J51="","",INDEX('Mouvements'!$G$5:$G$5004,$J51)&amp;"")</f>
        <v/>
      </c>
      <c r="H51" s="50" t="str">
        <f>IF($J51="","",INDEX('Mouvements'!$H$5:$H$5004,$J51)&amp;"")</f>
        <v/>
      </c>
      <c r="I51" s="50" t="str">
        <f>IF($J51="","",INDEX('Mouvements'!$I$5:$I$5004,$J51)&amp;"")</f>
        <v/>
      </c>
      <c r="J51" t="str">
        <f>IF($C$4="","",IFERROR(MATCH($C$4&amp;"#"&amp;($J$9+41),mv_key,0),""))</f>
        <v/>
      </c>
    </row>
    <row r="52">
      <c r="B52" s="49" t="str">
        <f>IF($J52="","",INDEX('Mouvements'!$A$5:$A$5004,$J52))</f>
        <v/>
      </c>
      <c r="C52" s="50" t="str">
        <f>IF($J52="","",INDEX('Mouvements'!$B$5:$B$5004,$J52))</f>
        <v/>
      </c>
      <c r="D52" s="50" t="str">
        <f>IF($J52="","",IF(INDEX('Mouvements'!$B$5:$B$5004,$J52)="Entrée",INDEX('Mouvements'!$E$5:$E$5004,$J52),""))</f>
        <v/>
      </c>
      <c r="E52" s="50" t="str">
        <f>IF($J52="","",IF(INDEX('Mouvements'!$B$5:$B$5004,$J52)="Sortie",INDEX('Mouvements'!$E$5:$E$5004,$J52),""))</f>
        <v/>
      </c>
      <c r="F52" s="50" t="str">
        <f>IF($J52="","",INDEX('Mouvements'!$K$5:$K$5004,$J52))</f>
        <v/>
      </c>
      <c r="G52" s="50" t="str">
        <f>IF($J52="","",INDEX('Mouvements'!$G$5:$G$5004,$J52)&amp;"")</f>
        <v/>
      </c>
      <c r="H52" s="50" t="str">
        <f>IF($J52="","",INDEX('Mouvements'!$H$5:$H$5004,$J52)&amp;"")</f>
        <v/>
      </c>
      <c r="I52" s="50" t="str">
        <f>IF($J52="","",INDEX('Mouvements'!$I$5:$I$5004,$J52)&amp;"")</f>
        <v/>
      </c>
      <c r="J52" t="str">
        <f>IF($C$4="","",IFERROR(MATCH($C$4&amp;"#"&amp;($J$9+42),mv_key,0),""))</f>
        <v/>
      </c>
    </row>
    <row r="53">
      <c r="B53" s="49" t="str">
        <f>IF($J53="","",INDEX('Mouvements'!$A$5:$A$5004,$J53))</f>
        <v/>
      </c>
      <c r="C53" s="50" t="str">
        <f>IF($J53="","",INDEX('Mouvements'!$B$5:$B$5004,$J53))</f>
        <v/>
      </c>
      <c r="D53" s="50" t="str">
        <f>IF($J53="","",IF(INDEX('Mouvements'!$B$5:$B$5004,$J53)="Entrée",INDEX('Mouvements'!$E$5:$E$5004,$J53),""))</f>
        <v/>
      </c>
      <c r="E53" s="50" t="str">
        <f>IF($J53="","",IF(INDEX('Mouvements'!$B$5:$B$5004,$J53)="Sortie",INDEX('Mouvements'!$E$5:$E$5004,$J53),""))</f>
        <v/>
      </c>
      <c r="F53" s="50" t="str">
        <f>IF($J53="","",INDEX('Mouvements'!$K$5:$K$5004,$J53))</f>
        <v/>
      </c>
      <c r="G53" s="50" t="str">
        <f>IF($J53="","",INDEX('Mouvements'!$G$5:$G$5004,$J53)&amp;"")</f>
        <v/>
      </c>
      <c r="H53" s="50" t="str">
        <f>IF($J53="","",INDEX('Mouvements'!$H$5:$H$5004,$J53)&amp;"")</f>
        <v/>
      </c>
      <c r="I53" s="50" t="str">
        <f>IF($J53="","",INDEX('Mouvements'!$I$5:$I$5004,$J53)&amp;"")</f>
        <v/>
      </c>
      <c r="J53" t="str">
        <f>IF($C$4="","",IFERROR(MATCH($C$4&amp;"#"&amp;($J$9+43),mv_key,0),""))</f>
        <v/>
      </c>
    </row>
    <row r="54">
      <c r="B54" s="49" t="str">
        <f>IF($J54="","",INDEX('Mouvements'!$A$5:$A$5004,$J54))</f>
        <v/>
      </c>
      <c r="C54" s="50" t="str">
        <f>IF($J54="","",INDEX('Mouvements'!$B$5:$B$5004,$J54))</f>
        <v/>
      </c>
      <c r="D54" s="50" t="str">
        <f>IF($J54="","",IF(INDEX('Mouvements'!$B$5:$B$5004,$J54)="Entrée",INDEX('Mouvements'!$E$5:$E$5004,$J54),""))</f>
        <v/>
      </c>
      <c r="E54" s="50" t="str">
        <f>IF($J54="","",IF(INDEX('Mouvements'!$B$5:$B$5004,$J54)="Sortie",INDEX('Mouvements'!$E$5:$E$5004,$J54),""))</f>
        <v/>
      </c>
      <c r="F54" s="50" t="str">
        <f>IF($J54="","",INDEX('Mouvements'!$K$5:$K$5004,$J54))</f>
        <v/>
      </c>
      <c r="G54" s="50" t="str">
        <f>IF($J54="","",INDEX('Mouvements'!$G$5:$G$5004,$J54)&amp;"")</f>
        <v/>
      </c>
      <c r="H54" s="50" t="str">
        <f>IF($J54="","",INDEX('Mouvements'!$H$5:$H$5004,$J54)&amp;"")</f>
        <v/>
      </c>
      <c r="I54" s="50" t="str">
        <f>IF($J54="","",INDEX('Mouvements'!$I$5:$I$5004,$J54)&amp;"")</f>
        <v/>
      </c>
      <c r="J54" t="str">
        <f>IF($C$4="","",IFERROR(MATCH($C$4&amp;"#"&amp;($J$9+44),mv_key,0),""))</f>
        <v/>
      </c>
    </row>
    <row r="55">
      <c r="B55" s="49" t="str">
        <f>IF($J55="","",INDEX('Mouvements'!$A$5:$A$5004,$J55))</f>
        <v/>
      </c>
      <c r="C55" s="50" t="str">
        <f>IF($J55="","",INDEX('Mouvements'!$B$5:$B$5004,$J55))</f>
        <v/>
      </c>
      <c r="D55" s="50" t="str">
        <f>IF($J55="","",IF(INDEX('Mouvements'!$B$5:$B$5004,$J55)="Entrée",INDEX('Mouvements'!$E$5:$E$5004,$J55),""))</f>
        <v/>
      </c>
      <c r="E55" s="50" t="str">
        <f>IF($J55="","",IF(INDEX('Mouvements'!$B$5:$B$5004,$J55)="Sortie",INDEX('Mouvements'!$E$5:$E$5004,$J55),""))</f>
        <v/>
      </c>
      <c r="F55" s="50" t="str">
        <f>IF($J55="","",INDEX('Mouvements'!$K$5:$K$5004,$J55))</f>
        <v/>
      </c>
      <c r="G55" s="50" t="str">
        <f>IF($J55="","",INDEX('Mouvements'!$G$5:$G$5004,$J55)&amp;"")</f>
        <v/>
      </c>
      <c r="H55" s="50" t="str">
        <f>IF($J55="","",INDEX('Mouvements'!$H$5:$H$5004,$J55)&amp;"")</f>
        <v/>
      </c>
      <c r="I55" s="50" t="str">
        <f>IF($J55="","",INDEX('Mouvements'!$I$5:$I$5004,$J55)&amp;"")</f>
        <v/>
      </c>
      <c r="J55" t="str">
        <f>IF($C$4="","",IFERROR(MATCH($C$4&amp;"#"&amp;($J$9+45),mv_key,0),""))</f>
        <v/>
      </c>
    </row>
    <row r="56">
      <c r="B56" s="49" t="str">
        <f>IF($J56="","",INDEX('Mouvements'!$A$5:$A$5004,$J56))</f>
        <v/>
      </c>
      <c r="C56" s="50" t="str">
        <f>IF($J56="","",INDEX('Mouvements'!$B$5:$B$5004,$J56))</f>
        <v/>
      </c>
      <c r="D56" s="50" t="str">
        <f>IF($J56="","",IF(INDEX('Mouvements'!$B$5:$B$5004,$J56)="Entrée",INDEX('Mouvements'!$E$5:$E$5004,$J56),""))</f>
        <v/>
      </c>
      <c r="E56" s="50" t="str">
        <f>IF($J56="","",IF(INDEX('Mouvements'!$B$5:$B$5004,$J56)="Sortie",INDEX('Mouvements'!$E$5:$E$5004,$J56),""))</f>
        <v/>
      </c>
      <c r="F56" s="50" t="str">
        <f>IF($J56="","",INDEX('Mouvements'!$K$5:$K$5004,$J56))</f>
        <v/>
      </c>
      <c r="G56" s="50" t="str">
        <f>IF($J56="","",INDEX('Mouvements'!$G$5:$G$5004,$J56)&amp;"")</f>
        <v/>
      </c>
      <c r="H56" s="50" t="str">
        <f>IF($J56="","",INDEX('Mouvements'!$H$5:$H$5004,$J56)&amp;"")</f>
        <v/>
      </c>
      <c r="I56" s="50" t="str">
        <f>IF($J56="","",INDEX('Mouvements'!$I$5:$I$5004,$J56)&amp;"")</f>
        <v/>
      </c>
      <c r="J56" t="str">
        <f>IF($C$4="","",IFERROR(MATCH($C$4&amp;"#"&amp;($J$9+46),mv_key,0),""))</f>
        <v/>
      </c>
    </row>
    <row r="57">
      <c r="B57" s="49" t="str">
        <f>IF($J57="","",INDEX('Mouvements'!$A$5:$A$5004,$J57))</f>
        <v/>
      </c>
      <c r="C57" s="50" t="str">
        <f>IF($J57="","",INDEX('Mouvements'!$B$5:$B$5004,$J57))</f>
        <v/>
      </c>
      <c r="D57" s="50" t="str">
        <f>IF($J57="","",IF(INDEX('Mouvements'!$B$5:$B$5004,$J57)="Entrée",INDEX('Mouvements'!$E$5:$E$5004,$J57),""))</f>
        <v/>
      </c>
      <c r="E57" s="50" t="str">
        <f>IF($J57="","",IF(INDEX('Mouvements'!$B$5:$B$5004,$J57)="Sortie",INDEX('Mouvements'!$E$5:$E$5004,$J57),""))</f>
        <v/>
      </c>
      <c r="F57" s="50" t="str">
        <f>IF($J57="","",INDEX('Mouvements'!$K$5:$K$5004,$J57))</f>
        <v/>
      </c>
      <c r="G57" s="50" t="str">
        <f>IF($J57="","",INDEX('Mouvements'!$G$5:$G$5004,$J57)&amp;"")</f>
        <v/>
      </c>
      <c r="H57" s="50" t="str">
        <f>IF($J57="","",INDEX('Mouvements'!$H$5:$H$5004,$J57)&amp;"")</f>
        <v/>
      </c>
      <c r="I57" s="50" t="str">
        <f>IF($J57="","",INDEX('Mouvements'!$I$5:$I$5004,$J57)&amp;"")</f>
        <v/>
      </c>
      <c r="J57" t="str">
        <f>IF($C$4="","",IFERROR(MATCH($C$4&amp;"#"&amp;($J$9+47),mv_key,0),""))</f>
        <v/>
      </c>
    </row>
    <row r="58">
      <c r="B58" s="49" t="str">
        <f>IF($J58="","",INDEX('Mouvements'!$A$5:$A$5004,$J58))</f>
        <v/>
      </c>
      <c r="C58" s="50" t="str">
        <f>IF($J58="","",INDEX('Mouvements'!$B$5:$B$5004,$J58))</f>
        <v/>
      </c>
      <c r="D58" s="50" t="str">
        <f>IF($J58="","",IF(INDEX('Mouvements'!$B$5:$B$5004,$J58)="Entrée",INDEX('Mouvements'!$E$5:$E$5004,$J58),""))</f>
        <v/>
      </c>
      <c r="E58" s="50" t="str">
        <f>IF($J58="","",IF(INDEX('Mouvements'!$B$5:$B$5004,$J58)="Sortie",INDEX('Mouvements'!$E$5:$E$5004,$J58),""))</f>
        <v/>
      </c>
      <c r="F58" s="50" t="str">
        <f>IF($J58="","",INDEX('Mouvements'!$K$5:$K$5004,$J58))</f>
        <v/>
      </c>
      <c r="G58" s="50" t="str">
        <f>IF($J58="","",INDEX('Mouvements'!$G$5:$G$5004,$J58)&amp;"")</f>
        <v/>
      </c>
      <c r="H58" s="50" t="str">
        <f>IF($J58="","",INDEX('Mouvements'!$H$5:$H$5004,$J58)&amp;"")</f>
        <v/>
      </c>
      <c r="I58" s="50" t="str">
        <f>IF($J58="","",INDEX('Mouvements'!$I$5:$I$5004,$J58)&amp;"")</f>
        <v/>
      </c>
      <c r="J58" t="str">
        <f>IF($C$4="","",IFERROR(MATCH($C$4&amp;"#"&amp;($J$9+48),mv_key,0),""))</f>
        <v/>
      </c>
    </row>
    <row r="59">
      <c r="B59" s="49" t="str">
        <f>IF($J59="","",INDEX('Mouvements'!$A$5:$A$5004,$J59))</f>
        <v/>
      </c>
      <c r="C59" s="50" t="str">
        <f>IF($J59="","",INDEX('Mouvements'!$B$5:$B$5004,$J59))</f>
        <v/>
      </c>
      <c r="D59" s="50" t="str">
        <f>IF($J59="","",IF(INDEX('Mouvements'!$B$5:$B$5004,$J59)="Entrée",INDEX('Mouvements'!$E$5:$E$5004,$J59),""))</f>
        <v/>
      </c>
      <c r="E59" s="50" t="str">
        <f>IF($J59="","",IF(INDEX('Mouvements'!$B$5:$B$5004,$J59)="Sortie",INDEX('Mouvements'!$E$5:$E$5004,$J59),""))</f>
        <v/>
      </c>
      <c r="F59" s="50" t="str">
        <f>IF($J59="","",INDEX('Mouvements'!$K$5:$K$5004,$J59))</f>
        <v/>
      </c>
      <c r="G59" s="50" t="str">
        <f>IF($J59="","",INDEX('Mouvements'!$G$5:$G$5004,$J59)&amp;"")</f>
        <v/>
      </c>
      <c r="H59" s="50" t="str">
        <f>IF($J59="","",INDEX('Mouvements'!$H$5:$H$5004,$J59)&amp;"")</f>
        <v/>
      </c>
      <c r="I59" s="50" t="str">
        <f>IF($J59="","",INDEX('Mouvements'!$I$5:$I$5004,$J59)&amp;"")</f>
        <v/>
      </c>
      <c r="J59" t="str">
        <f>IF($C$4="","",IFERROR(MATCH($C$4&amp;"#"&amp;($J$9+49),mv_key,0),""))</f>
        <v/>
      </c>
    </row>
    <row r="60">
      <c r="B60" s="49" t="str">
        <f>IF($J60="","",INDEX('Mouvements'!$A$5:$A$5004,$J60))</f>
        <v/>
      </c>
      <c r="C60" s="50" t="str">
        <f>IF($J60="","",INDEX('Mouvements'!$B$5:$B$5004,$J60))</f>
        <v/>
      </c>
      <c r="D60" s="50" t="str">
        <f>IF($J60="","",IF(INDEX('Mouvements'!$B$5:$B$5004,$J60)="Entrée",INDEX('Mouvements'!$E$5:$E$5004,$J60),""))</f>
        <v/>
      </c>
      <c r="E60" s="50" t="str">
        <f>IF($J60="","",IF(INDEX('Mouvements'!$B$5:$B$5004,$J60)="Sortie",INDEX('Mouvements'!$E$5:$E$5004,$J60),""))</f>
        <v/>
      </c>
      <c r="F60" s="50" t="str">
        <f>IF($J60="","",INDEX('Mouvements'!$K$5:$K$5004,$J60))</f>
        <v/>
      </c>
      <c r="G60" s="50" t="str">
        <f>IF($J60="","",INDEX('Mouvements'!$G$5:$G$5004,$J60)&amp;"")</f>
        <v/>
      </c>
      <c r="H60" s="50" t="str">
        <f>IF($J60="","",INDEX('Mouvements'!$H$5:$H$5004,$J60)&amp;"")</f>
        <v/>
      </c>
      <c r="I60" s="50" t="str">
        <f>IF($J60="","",INDEX('Mouvements'!$I$5:$I$5004,$J60)&amp;"")</f>
        <v/>
      </c>
      <c r="J60" t="str">
        <f>IF($C$4="","",IFERROR(MATCH($C$4&amp;"#"&amp;($J$9+50),mv_key,0),""))</f>
        <v/>
      </c>
    </row>
    <row r="61">
      <c r="B61" s="49" t="str">
        <f>IF($J61="","",INDEX('Mouvements'!$A$5:$A$5004,$J61))</f>
        <v/>
      </c>
      <c r="C61" s="50" t="str">
        <f>IF($J61="","",INDEX('Mouvements'!$B$5:$B$5004,$J61))</f>
        <v/>
      </c>
      <c r="D61" s="50" t="str">
        <f>IF($J61="","",IF(INDEX('Mouvements'!$B$5:$B$5004,$J61)="Entrée",INDEX('Mouvements'!$E$5:$E$5004,$J61),""))</f>
        <v/>
      </c>
      <c r="E61" s="50" t="str">
        <f>IF($J61="","",IF(INDEX('Mouvements'!$B$5:$B$5004,$J61)="Sortie",INDEX('Mouvements'!$E$5:$E$5004,$J61),""))</f>
        <v/>
      </c>
      <c r="F61" s="50" t="str">
        <f>IF($J61="","",INDEX('Mouvements'!$K$5:$K$5004,$J61))</f>
        <v/>
      </c>
      <c r="G61" s="50" t="str">
        <f>IF($J61="","",INDEX('Mouvements'!$G$5:$G$5004,$J61)&amp;"")</f>
        <v/>
      </c>
      <c r="H61" s="50" t="str">
        <f>IF($J61="","",INDEX('Mouvements'!$H$5:$H$5004,$J61)&amp;"")</f>
        <v/>
      </c>
      <c r="I61" s="50" t="str">
        <f>IF($J61="","",INDEX('Mouvements'!$I$5:$I$5004,$J61)&amp;"")</f>
        <v/>
      </c>
      <c r="J61" t="str">
        <f>IF($C$4="","",IFERROR(MATCH($C$4&amp;"#"&amp;($J$9+51),mv_key,0),""))</f>
        <v/>
      </c>
    </row>
    <row r="62">
      <c r="B62" s="49" t="str">
        <f>IF($J62="","",INDEX('Mouvements'!$A$5:$A$5004,$J62))</f>
        <v/>
      </c>
      <c r="C62" s="50" t="str">
        <f>IF($J62="","",INDEX('Mouvements'!$B$5:$B$5004,$J62))</f>
        <v/>
      </c>
      <c r="D62" s="50" t="str">
        <f>IF($J62="","",IF(INDEX('Mouvements'!$B$5:$B$5004,$J62)="Entrée",INDEX('Mouvements'!$E$5:$E$5004,$J62),""))</f>
        <v/>
      </c>
      <c r="E62" s="50" t="str">
        <f>IF($J62="","",IF(INDEX('Mouvements'!$B$5:$B$5004,$J62)="Sortie",INDEX('Mouvements'!$E$5:$E$5004,$J62),""))</f>
        <v/>
      </c>
      <c r="F62" s="50" t="str">
        <f>IF($J62="","",INDEX('Mouvements'!$K$5:$K$5004,$J62))</f>
        <v/>
      </c>
      <c r="G62" s="50" t="str">
        <f>IF($J62="","",INDEX('Mouvements'!$G$5:$G$5004,$J62)&amp;"")</f>
        <v/>
      </c>
      <c r="H62" s="50" t="str">
        <f>IF($J62="","",INDEX('Mouvements'!$H$5:$H$5004,$J62)&amp;"")</f>
        <v/>
      </c>
      <c r="I62" s="50" t="str">
        <f>IF($J62="","",INDEX('Mouvements'!$I$5:$I$5004,$J62)&amp;"")</f>
        <v/>
      </c>
      <c r="J62" t="str">
        <f>IF($C$4="","",IFERROR(MATCH($C$4&amp;"#"&amp;($J$9+52),mv_key,0),""))</f>
        <v/>
      </c>
    </row>
    <row r="63">
      <c r="B63" s="49" t="str">
        <f>IF($J63="","",INDEX('Mouvements'!$A$5:$A$5004,$J63))</f>
        <v/>
      </c>
      <c r="C63" s="50" t="str">
        <f>IF($J63="","",INDEX('Mouvements'!$B$5:$B$5004,$J63))</f>
        <v/>
      </c>
      <c r="D63" s="50" t="str">
        <f>IF($J63="","",IF(INDEX('Mouvements'!$B$5:$B$5004,$J63)="Entrée",INDEX('Mouvements'!$E$5:$E$5004,$J63),""))</f>
        <v/>
      </c>
      <c r="E63" s="50" t="str">
        <f>IF($J63="","",IF(INDEX('Mouvements'!$B$5:$B$5004,$J63)="Sortie",INDEX('Mouvements'!$E$5:$E$5004,$J63),""))</f>
        <v/>
      </c>
      <c r="F63" s="50" t="str">
        <f>IF($J63="","",INDEX('Mouvements'!$K$5:$K$5004,$J63))</f>
        <v/>
      </c>
      <c r="G63" s="50" t="str">
        <f>IF($J63="","",INDEX('Mouvements'!$G$5:$G$5004,$J63)&amp;"")</f>
        <v/>
      </c>
      <c r="H63" s="50" t="str">
        <f>IF($J63="","",INDEX('Mouvements'!$H$5:$H$5004,$J63)&amp;"")</f>
        <v/>
      </c>
      <c r="I63" s="50" t="str">
        <f>IF($J63="","",INDEX('Mouvements'!$I$5:$I$5004,$J63)&amp;"")</f>
        <v/>
      </c>
      <c r="J63" t="str">
        <f>IF($C$4="","",IFERROR(MATCH($C$4&amp;"#"&amp;($J$9+53),mv_key,0),""))</f>
        <v/>
      </c>
    </row>
    <row r="64">
      <c r="B64" s="49" t="str">
        <f>IF($J64="","",INDEX('Mouvements'!$A$5:$A$5004,$J64))</f>
        <v/>
      </c>
      <c r="C64" s="50" t="str">
        <f>IF($J64="","",INDEX('Mouvements'!$B$5:$B$5004,$J64))</f>
        <v/>
      </c>
      <c r="D64" s="50" t="str">
        <f>IF($J64="","",IF(INDEX('Mouvements'!$B$5:$B$5004,$J64)="Entrée",INDEX('Mouvements'!$E$5:$E$5004,$J64),""))</f>
        <v/>
      </c>
      <c r="E64" s="50" t="str">
        <f>IF($J64="","",IF(INDEX('Mouvements'!$B$5:$B$5004,$J64)="Sortie",INDEX('Mouvements'!$E$5:$E$5004,$J64),""))</f>
        <v/>
      </c>
      <c r="F64" s="50" t="str">
        <f>IF($J64="","",INDEX('Mouvements'!$K$5:$K$5004,$J64))</f>
        <v/>
      </c>
      <c r="G64" s="50" t="str">
        <f>IF($J64="","",INDEX('Mouvements'!$G$5:$G$5004,$J64)&amp;"")</f>
        <v/>
      </c>
      <c r="H64" s="50" t="str">
        <f>IF($J64="","",INDEX('Mouvements'!$H$5:$H$5004,$J64)&amp;"")</f>
        <v/>
      </c>
      <c r="I64" s="50" t="str">
        <f>IF($J64="","",INDEX('Mouvements'!$I$5:$I$5004,$J64)&amp;"")</f>
        <v/>
      </c>
      <c r="J64" t="str">
        <f>IF($C$4="","",IFERROR(MATCH($C$4&amp;"#"&amp;($J$9+54),mv_key,0),""))</f>
        <v/>
      </c>
    </row>
    <row r="65">
      <c r="B65" s="49" t="str">
        <f>IF($J65="","",INDEX('Mouvements'!$A$5:$A$5004,$J65))</f>
        <v/>
      </c>
      <c r="C65" s="50" t="str">
        <f>IF($J65="","",INDEX('Mouvements'!$B$5:$B$5004,$J65))</f>
        <v/>
      </c>
      <c r="D65" s="50" t="str">
        <f>IF($J65="","",IF(INDEX('Mouvements'!$B$5:$B$5004,$J65)="Entrée",INDEX('Mouvements'!$E$5:$E$5004,$J65),""))</f>
        <v/>
      </c>
      <c r="E65" s="50" t="str">
        <f>IF($J65="","",IF(INDEX('Mouvements'!$B$5:$B$5004,$J65)="Sortie",INDEX('Mouvements'!$E$5:$E$5004,$J65),""))</f>
        <v/>
      </c>
      <c r="F65" s="50" t="str">
        <f>IF($J65="","",INDEX('Mouvements'!$K$5:$K$5004,$J65))</f>
        <v/>
      </c>
      <c r="G65" s="50" t="str">
        <f>IF($J65="","",INDEX('Mouvements'!$G$5:$G$5004,$J65)&amp;"")</f>
        <v/>
      </c>
      <c r="H65" s="50" t="str">
        <f>IF($J65="","",INDEX('Mouvements'!$H$5:$H$5004,$J65)&amp;"")</f>
        <v/>
      </c>
      <c r="I65" s="50" t="str">
        <f>IF($J65="","",INDEX('Mouvements'!$I$5:$I$5004,$J65)&amp;"")</f>
        <v/>
      </c>
      <c r="J65" t="str">
        <f>IF($C$4="","",IFERROR(MATCH($C$4&amp;"#"&amp;($J$9+55),mv_key,0),""))</f>
        <v/>
      </c>
    </row>
    <row r="66">
      <c r="B66" s="49" t="str">
        <f>IF($J66="","",INDEX('Mouvements'!$A$5:$A$5004,$J66))</f>
        <v/>
      </c>
      <c r="C66" s="50" t="str">
        <f>IF($J66="","",INDEX('Mouvements'!$B$5:$B$5004,$J66))</f>
        <v/>
      </c>
      <c r="D66" s="50" t="str">
        <f>IF($J66="","",IF(INDEX('Mouvements'!$B$5:$B$5004,$J66)="Entrée",INDEX('Mouvements'!$E$5:$E$5004,$J66),""))</f>
        <v/>
      </c>
      <c r="E66" s="50" t="str">
        <f>IF($J66="","",IF(INDEX('Mouvements'!$B$5:$B$5004,$J66)="Sortie",INDEX('Mouvements'!$E$5:$E$5004,$J66),""))</f>
        <v/>
      </c>
      <c r="F66" s="50" t="str">
        <f>IF($J66="","",INDEX('Mouvements'!$K$5:$K$5004,$J66))</f>
        <v/>
      </c>
      <c r="G66" s="50" t="str">
        <f>IF($J66="","",INDEX('Mouvements'!$G$5:$G$5004,$J66)&amp;"")</f>
        <v/>
      </c>
      <c r="H66" s="50" t="str">
        <f>IF($J66="","",INDEX('Mouvements'!$H$5:$H$5004,$J66)&amp;"")</f>
        <v/>
      </c>
      <c r="I66" s="50" t="str">
        <f>IF($J66="","",INDEX('Mouvements'!$I$5:$I$5004,$J66)&amp;"")</f>
        <v/>
      </c>
      <c r="J66" t="str">
        <f>IF($C$4="","",IFERROR(MATCH($C$4&amp;"#"&amp;($J$9+56),mv_key,0),""))</f>
        <v/>
      </c>
    </row>
    <row r="67">
      <c r="B67" s="49" t="str">
        <f>IF($J67="","",INDEX('Mouvements'!$A$5:$A$5004,$J67))</f>
        <v/>
      </c>
      <c r="C67" s="50" t="str">
        <f>IF($J67="","",INDEX('Mouvements'!$B$5:$B$5004,$J67))</f>
        <v/>
      </c>
      <c r="D67" s="50" t="str">
        <f>IF($J67="","",IF(INDEX('Mouvements'!$B$5:$B$5004,$J67)="Entrée",INDEX('Mouvements'!$E$5:$E$5004,$J67),""))</f>
        <v/>
      </c>
      <c r="E67" s="50" t="str">
        <f>IF($J67="","",IF(INDEX('Mouvements'!$B$5:$B$5004,$J67)="Sortie",INDEX('Mouvements'!$E$5:$E$5004,$J67),""))</f>
        <v/>
      </c>
      <c r="F67" s="50" t="str">
        <f>IF($J67="","",INDEX('Mouvements'!$K$5:$K$5004,$J67))</f>
        <v/>
      </c>
      <c r="G67" s="50" t="str">
        <f>IF($J67="","",INDEX('Mouvements'!$G$5:$G$5004,$J67)&amp;"")</f>
        <v/>
      </c>
      <c r="H67" s="50" t="str">
        <f>IF($J67="","",INDEX('Mouvements'!$H$5:$H$5004,$J67)&amp;"")</f>
        <v/>
      </c>
      <c r="I67" s="50" t="str">
        <f>IF($J67="","",INDEX('Mouvements'!$I$5:$I$5004,$J67)&amp;"")</f>
        <v/>
      </c>
      <c r="J67" t="str">
        <f>IF($C$4="","",IFERROR(MATCH($C$4&amp;"#"&amp;($J$9+57),mv_key,0),""))</f>
        <v/>
      </c>
    </row>
    <row r="68">
      <c r="B68" s="49" t="str">
        <f>IF($J68="","",INDEX('Mouvements'!$A$5:$A$5004,$J68))</f>
        <v/>
      </c>
      <c r="C68" s="50" t="str">
        <f>IF($J68="","",INDEX('Mouvements'!$B$5:$B$5004,$J68))</f>
        <v/>
      </c>
      <c r="D68" s="50" t="str">
        <f>IF($J68="","",IF(INDEX('Mouvements'!$B$5:$B$5004,$J68)="Entrée",INDEX('Mouvements'!$E$5:$E$5004,$J68),""))</f>
        <v/>
      </c>
      <c r="E68" s="50" t="str">
        <f>IF($J68="","",IF(INDEX('Mouvements'!$B$5:$B$5004,$J68)="Sortie",INDEX('Mouvements'!$E$5:$E$5004,$J68),""))</f>
        <v/>
      </c>
      <c r="F68" s="50" t="str">
        <f>IF($J68="","",INDEX('Mouvements'!$K$5:$K$5004,$J68))</f>
        <v/>
      </c>
      <c r="G68" s="50" t="str">
        <f>IF($J68="","",INDEX('Mouvements'!$G$5:$G$5004,$J68)&amp;"")</f>
        <v/>
      </c>
      <c r="H68" s="50" t="str">
        <f>IF($J68="","",INDEX('Mouvements'!$H$5:$H$5004,$J68)&amp;"")</f>
        <v/>
      </c>
      <c r="I68" s="50" t="str">
        <f>IF($J68="","",INDEX('Mouvements'!$I$5:$I$5004,$J68)&amp;"")</f>
        <v/>
      </c>
      <c r="J68" t="str">
        <f>IF($C$4="","",IFERROR(MATCH($C$4&amp;"#"&amp;($J$9+58),mv_key,0),""))</f>
        <v/>
      </c>
    </row>
    <row r="69">
      <c r="B69" s="49" t="str">
        <f>IF($J69="","",INDEX('Mouvements'!$A$5:$A$5004,$J69))</f>
        <v/>
      </c>
      <c r="C69" s="50" t="str">
        <f>IF($J69="","",INDEX('Mouvements'!$B$5:$B$5004,$J69))</f>
        <v/>
      </c>
      <c r="D69" s="50" t="str">
        <f>IF($J69="","",IF(INDEX('Mouvements'!$B$5:$B$5004,$J69)="Entrée",INDEX('Mouvements'!$E$5:$E$5004,$J69),""))</f>
        <v/>
      </c>
      <c r="E69" s="50" t="str">
        <f>IF($J69="","",IF(INDEX('Mouvements'!$B$5:$B$5004,$J69)="Sortie",INDEX('Mouvements'!$E$5:$E$5004,$J69),""))</f>
        <v/>
      </c>
      <c r="F69" s="50" t="str">
        <f>IF($J69="","",INDEX('Mouvements'!$K$5:$K$5004,$J69))</f>
        <v/>
      </c>
      <c r="G69" s="50" t="str">
        <f>IF($J69="","",INDEX('Mouvements'!$G$5:$G$5004,$J69)&amp;"")</f>
        <v/>
      </c>
      <c r="H69" s="50" t="str">
        <f>IF($J69="","",INDEX('Mouvements'!$H$5:$H$5004,$J69)&amp;"")</f>
        <v/>
      </c>
      <c r="I69" s="50" t="str">
        <f>IF($J69="","",INDEX('Mouvements'!$I$5:$I$5004,$J69)&amp;"")</f>
        <v/>
      </c>
      <c r="J69" t="str">
        <f>IF($C$4="","",IFERROR(MATCH($C$4&amp;"#"&amp;($J$9+59),mv_key,0),""))</f>
        <v/>
      </c>
    </row>
    <row r="70">
      <c r="B70" s="49" t="str">
        <f>IF($J70="","",INDEX('Mouvements'!$A$5:$A$5004,$J70))</f>
        <v/>
      </c>
      <c r="C70" s="50" t="str">
        <f>IF($J70="","",INDEX('Mouvements'!$B$5:$B$5004,$J70))</f>
        <v/>
      </c>
      <c r="D70" s="50" t="str">
        <f>IF($J70="","",IF(INDEX('Mouvements'!$B$5:$B$5004,$J70)="Entrée",INDEX('Mouvements'!$E$5:$E$5004,$J70),""))</f>
        <v/>
      </c>
      <c r="E70" s="50" t="str">
        <f>IF($J70="","",IF(INDEX('Mouvements'!$B$5:$B$5004,$J70)="Sortie",INDEX('Mouvements'!$E$5:$E$5004,$J70),""))</f>
        <v/>
      </c>
      <c r="F70" s="50" t="str">
        <f>IF($J70="","",INDEX('Mouvements'!$K$5:$K$5004,$J70))</f>
        <v/>
      </c>
      <c r="G70" s="50" t="str">
        <f>IF($J70="","",INDEX('Mouvements'!$G$5:$G$5004,$J70)&amp;"")</f>
        <v/>
      </c>
      <c r="H70" s="50" t="str">
        <f>IF($J70="","",INDEX('Mouvements'!$H$5:$H$5004,$J70)&amp;"")</f>
        <v/>
      </c>
      <c r="I70" s="50" t="str">
        <f>IF($J70="","",INDEX('Mouvements'!$I$5:$I$5004,$J70)&amp;"")</f>
        <v/>
      </c>
      <c r="J70" t="str">
        <f>IF($C$4="","",IFERROR(MATCH($C$4&amp;"#"&amp;($J$9+60),mv_key,0),""))</f>
        <v/>
      </c>
    </row>
    <row r="71">
      <c r="B71" s="49" t="str">
        <f>IF($J71="","",INDEX('Mouvements'!$A$5:$A$5004,$J71))</f>
        <v/>
      </c>
      <c r="C71" s="50" t="str">
        <f>IF($J71="","",INDEX('Mouvements'!$B$5:$B$5004,$J71))</f>
        <v/>
      </c>
      <c r="D71" s="50" t="str">
        <f>IF($J71="","",IF(INDEX('Mouvements'!$B$5:$B$5004,$J71)="Entrée",INDEX('Mouvements'!$E$5:$E$5004,$J71),""))</f>
        <v/>
      </c>
      <c r="E71" s="50" t="str">
        <f>IF($J71="","",IF(INDEX('Mouvements'!$B$5:$B$5004,$J71)="Sortie",INDEX('Mouvements'!$E$5:$E$5004,$J71),""))</f>
        <v/>
      </c>
      <c r="F71" s="50" t="str">
        <f>IF($J71="","",INDEX('Mouvements'!$K$5:$K$5004,$J71))</f>
        <v/>
      </c>
      <c r="G71" s="50" t="str">
        <f>IF($J71="","",INDEX('Mouvements'!$G$5:$G$5004,$J71)&amp;"")</f>
        <v/>
      </c>
      <c r="H71" s="50" t="str">
        <f>IF($J71="","",INDEX('Mouvements'!$H$5:$H$5004,$J71)&amp;"")</f>
        <v/>
      </c>
      <c r="I71" s="50" t="str">
        <f>IF($J71="","",INDEX('Mouvements'!$I$5:$I$5004,$J71)&amp;"")</f>
        <v/>
      </c>
      <c r="J71" t="str">
        <f>IF($C$4="","",IFERROR(MATCH($C$4&amp;"#"&amp;($J$9+61),mv_key,0),""))</f>
        <v/>
      </c>
    </row>
    <row r="72">
      <c r="B72" s="49" t="str">
        <f>IF($J72="","",INDEX('Mouvements'!$A$5:$A$5004,$J72))</f>
        <v/>
      </c>
      <c r="C72" s="50" t="str">
        <f>IF($J72="","",INDEX('Mouvements'!$B$5:$B$5004,$J72))</f>
        <v/>
      </c>
      <c r="D72" s="50" t="str">
        <f>IF($J72="","",IF(INDEX('Mouvements'!$B$5:$B$5004,$J72)="Entrée",INDEX('Mouvements'!$E$5:$E$5004,$J72),""))</f>
        <v/>
      </c>
      <c r="E72" s="50" t="str">
        <f>IF($J72="","",IF(INDEX('Mouvements'!$B$5:$B$5004,$J72)="Sortie",INDEX('Mouvements'!$E$5:$E$5004,$J72),""))</f>
        <v/>
      </c>
      <c r="F72" s="50" t="str">
        <f>IF($J72="","",INDEX('Mouvements'!$K$5:$K$5004,$J72))</f>
        <v/>
      </c>
      <c r="G72" s="50" t="str">
        <f>IF($J72="","",INDEX('Mouvements'!$G$5:$G$5004,$J72)&amp;"")</f>
        <v/>
      </c>
      <c r="H72" s="50" t="str">
        <f>IF($J72="","",INDEX('Mouvements'!$H$5:$H$5004,$J72)&amp;"")</f>
        <v/>
      </c>
      <c r="I72" s="50" t="str">
        <f>IF($J72="","",INDEX('Mouvements'!$I$5:$I$5004,$J72)&amp;"")</f>
        <v/>
      </c>
      <c r="J72" t="str">
        <f>IF($C$4="","",IFERROR(MATCH($C$4&amp;"#"&amp;($J$9+62),mv_key,0),""))</f>
        <v/>
      </c>
    </row>
    <row r="73">
      <c r="B73" s="49" t="str">
        <f>IF($J73="","",INDEX('Mouvements'!$A$5:$A$5004,$J73))</f>
        <v/>
      </c>
      <c r="C73" s="50" t="str">
        <f>IF($J73="","",INDEX('Mouvements'!$B$5:$B$5004,$J73))</f>
        <v/>
      </c>
      <c r="D73" s="50" t="str">
        <f>IF($J73="","",IF(INDEX('Mouvements'!$B$5:$B$5004,$J73)="Entrée",INDEX('Mouvements'!$E$5:$E$5004,$J73),""))</f>
        <v/>
      </c>
      <c r="E73" s="50" t="str">
        <f>IF($J73="","",IF(INDEX('Mouvements'!$B$5:$B$5004,$J73)="Sortie",INDEX('Mouvements'!$E$5:$E$5004,$J73),""))</f>
        <v/>
      </c>
      <c r="F73" s="50" t="str">
        <f>IF($J73="","",INDEX('Mouvements'!$K$5:$K$5004,$J73))</f>
        <v/>
      </c>
      <c r="G73" s="50" t="str">
        <f>IF($J73="","",INDEX('Mouvements'!$G$5:$G$5004,$J73)&amp;"")</f>
        <v/>
      </c>
      <c r="H73" s="50" t="str">
        <f>IF($J73="","",INDEX('Mouvements'!$H$5:$H$5004,$J73)&amp;"")</f>
        <v/>
      </c>
      <c r="I73" s="50" t="str">
        <f>IF($J73="","",INDEX('Mouvements'!$I$5:$I$5004,$J73)&amp;"")</f>
        <v/>
      </c>
      <c r="J73" t="str">
        <f>IF($C$4="","",IFERROR(MATCH($C$4&amp;"#"&amp;($J$9+63),mv_key,0),""))</f>
        <v/>
      </c>
    </row>
    <row r="74">
      <c r="B74" s="49" t="str">
        <f>IF($J74="","",INDEX('Mouvements'!$A$5:$A$5004,$J74))</f>
        <v/>
      </c>
      <c r="C74" s="50" t="str">
        <f>IF($J74="","",INDEX('Mouvements'!$B$5:$B$5004,$J74))</f>
        <v/>
      </c>
      <c r="D74" s="50" t="str">
        <f>IF($J74="","",IF(INDEX('Mouvements'!$B$5:$B$5004,$J74)="Entrée",INDEX('Mouvements'!$E$5:$E$5004,$J74),""))</f>
        <v/>
      </c>
      <c r="E74" s="50" t="str">
        <f>IF($J74="","",IF(INDEX('Mouvements'!$B$5:$B$5004,$J74)="Sortie",INDEX('Mouvements'!$E$5:$E$5004,$J74),""))</f>
        <v/>
      </c>
      <c r="F74" s="50" t="str">
        <f>IF($J74="","",INDEX('Mouvements'!$K$5:$K$5004,$J74))</f>
        <v/>
      </c>
      <c r="G74" s="50" t="str">
        <f>IF($J74="","",INDEX('Mouvements'!$G$5:$G$5004,$J74)&amp;"")</f>
        <v/>
      </c>
      <c r="H74" s="50" t="str">
        <f>IF($J74="","",INDEX('Mouvements'!$H$5:$H$5004,$J74)&amp;"")</f>
        <v/>
      </c>
      <c r="I74" s="50" t="str">
        <f>IF($J74="","",INDEX('Mouvements'!$I$5:$I$5004,$J74)&amp;"")</f>
        <v/>
      </c>
      <c r="J74" t="str">
        <f>IF($C$4="","",IFERROR(MATCH($C$4&amp;"#"&amp;($J$9+64),mv_key,0),""))</f>
        <v/>
      </c>
    </row>
    <row r="75">
      <c r="B75" s="49" t="str">
        <f>IF($J75="","",INDEX('Mouvements'!$A$5:$A$5004,$J75))</f>
        <v/>
      </c>
      <c r="C75" s="50" t="str">
        <f>IF($J75="","",INDEX('Mouvements'!$B$5:$B$5004,$J75))</f>
        <v/>
      </c>
      <c r="D75" s="50" t="str">
        <f>IF($J75="","",IF(INDEX('Mouvements'!$B$5:$B$5004,$J75)="Entrée",INDEX('Mouvements'!$E$5:$E$5004,$J75),""))</f>
        <v/>
      </c>
      <c r="E75" s="50" t="str">
        <f>IF($J75="","",IF(INDEX('Mouvements'!$B$5:$B$5004,$J75)="Sortie",INDEX('Mouvements'!$E$5:$E$5004,$J75),""))</f>
        <v/>
      </c>
      <c r="F75" s="50" t="str">
        <f>IF($J75="","",INDEX('Mouvements'!$K$5:$K$5004,$J75))</f>
        <v/>
      </c>
      <c r="G75" s="50" t="str">
        <f>IF($J75="","",INDEX('Mouvements'!$G$5:$G$5004,$J75)&amp;"")</f>
        <v/>
      </c>
      <c r="H75" s="50" t="str">
        <f>IF($J75="","",INDEX('Mouvements'!$H$5:$H$5004,$J75)&amp;"")</f>
        <v/>
      </c>
      <c r="I75" s="50" t="str">
        <f>IF($J75="","",INDEX('Mouvements'!$I$5:$I$5004,$J75)&amp;"")</f>
        <v/>
      </c>
      <c r="J75" t="str">
        <f>IF($C$4="","",IFERROR(MATCH($C$4&amp;"#"&amp;($J$9+65),mv_key,0),""))</f>
        <v/>
      </c>
    </row>
    <row r="76">
      <c r="B76" s="49" t="str">
        <f>IF($J76="","",INDEX('Mouvements'!$A$5:$A$5004,$J76))</f>
        <v/>
      </c>
      <c r="C76" s="50" t="str">
        <f>IF($J76="","",INDEX('Mouvements'!$B$5:$B$5004,$J76))</f>
        <v/>
      </c>
      <c r="D76" s="50" t="str">
        <f>IF($J76="","",IF(INDEX('Mouvements'!$B$5:$B$5004,$J76)="Entrée",INDEX('Mouvements'!$E$5:$E$5004,$J76),""))</f>
        <v/>
      </c>
      <c r="E76" s="50" t="str">
        <f>IF($J76="","",IF(INDEX('Mouvements'!$B$5:$B$5004,$J76)="Sortie",INDEX('Mouvements'!$E$5:$E$5004,$J76),""))</f>
        <v/>
      </c>
      <c r="F76" s="50" t="str">
        <f>IF($J76="","",INDEX('Mouvements'!$K$5:$K$5004,$J76))</f>
        <v/>
      </c>
      <c r="G76" s="50" t="str">
        <f>IF($J76="","",INDEX('Mouvements'!$G$5:$G$5004,$J76)&amp;"")</f>
        <v/>
      </c>
      <c r="H76" s="50" t="str">
        <f>IF($J76="","",INDEX('Mouvements'!$H$5:$H$5004,$J76)&amp;"")</f>
        <v/>
      </c>
      <c r="I76" s="50" t="str">
        <f>IF($J76="","",INDEX('Mouvements'!$I$5:$I$5004,$J76)&amp;"")</f>
        <v/>
      </c>
      <c r="J76" t="str">
        <f>IF($C$4="","",IFERROR(MATCH($C$4&amp;"#"&amp;($J$9+66),mv_key,0),""))</f>
        <v/>
      </c>
    </row>
    <row r="77">
      <c r="B77" s="49" t="str">
        <f>IF($J77="","",INDEX('Mouvements'!$A$5:$A$5004,$J77))</f>
        <v/>
      </c>
      <c r="C77" s="50" t="str">
        <f>IF($J77="","",INDEX('Mouvements'!$B$5:$B$5004,$J77))</f>
        <v/>
      </c>
      <c r="D77" s="50" t="str">
        <f>IF($J77="","",IF(INDEX('Mouvements'!$B$5:$B$5004,$J77)="Entrée",INDEX('Mouvements'!$E$5:$E$5004,$J77),""))</f>
        <v/>
      </c>
      <c r="E77" s="50" t="str">
        <f>IF($J77="","",IF(INDEX('Mouvements'!$B$5:$B$5004,$J77)="Sortie",INDEX('Mouvements'!$E$5:$E$5004,$J77),""))</f>
        <v/>
      </c>
      <c r="F77" s="50" t="str">
        <f>IF($J77="","",INDEX('Mouvements'!$K$5:$K$5004,$J77))</f>
        <v/>
      </c>
      <c r="G77" s="50" t="str">
        <f>IF($J77="","",INDEX('Mouvements'!$G$5:$G$5004,$J77)&amp;"")</f>
        <v/>
      </c>
      <c r="H77" s="50" t="str">
        <f>IF($J77="","",INDEX('Mouvements'!$H$5:$H$5004,$J77)&amp;"")</f>
        <v/>
      </c>
      <c r="I77" s="50" t="str">
        <f>IF($J77="","",INDEX('Mouvements'!$I$5:$I$5004,$J77)&amp;"")</f>
        <v/>
      </c>
      <c r="J77" t="str">
        <f>IF($C$4="","",IFERROR(MATCH($C$4&amp;"#"&amp;($J$9+67),mv_key,0),""))</f>
        <v/>
      </c>
    </row>
    <row r="78">
      <c r="B78" s="49" t="str">
        <f>IF($J78="","",INDEX('Mouvements'!$A$5:$A$5004,$J78))</f>
        <v/>
      </c>
      <c r="C78" s="50" t="str">
        <f>IF($J78="","",INDEX('Mouvements'!$B$5:$B$5004,$J78))</f>
        <v/>
      </c>
      <c r="D78" s="50" t="str">
        <f>IF($J78="","",IF(INDEX('Mouvements'!$B$5:$B$5004,$J78)="Entrée",INDEX('Mouvements'!$E$5:$E$5004,$J78),""))</f>
        <v/>
      </c>
      <c r="E78" s="50" t="str">
        <f>IF($J78="","",IF(INDEX('Mouvements'!$B$5:$B$5004,$J78)="Sortie",INDEX('Mouvements'!$E$5:$E$5004,$J78),""))</f>
        <v/>
      </c>
      <c r="F78" s="50" t="str">
        <f>IF($J78="","",INDEX('Mouvements'!$K$5:$K$5004,$J78))</f>
        <v/>
      </c>
      <c r="G78" s="50" t="str">
        <f>IF($J78="","",INDEX('Mouvements'!$G$5:$G$5004,$J78)&amp;"")</f>
        <v/>
      </c>
      <c r="H78" s="50" t="str">
        <f>IF($J78="","",INDEX('Mouvements'!$H$5:$H$5004,$J78)&amp;"")</f>
        <v/>
      </c>
      <c r="I78" s="50" t="str">
        <f>IF($J78="","",INDEX('Mouvements'!$I$5:$I$5004,$J78)&amp;"")</f>
        <v/>
      </c>
      <c r="J78" t="str">
        <f>IF($C$4="","",IFERROR(MATCH($C$4&amp;"#"&amp;($J$9+68),mv_key,0),""))</f>
        <v/>
      </c>
    </row>
    <row r="79">
      <c r="B79" s="49" t="str">
        <f>IF($J79="","",INDEX('Mouvements'!$A$5:$A$5004,$J79))</f>
        <v/>
      </c>
      <c r="C79" s="50" t="str">
        <f>IF($J79="","",INDEX('Mouvements'!$B$5:$B$5004,$J79))</f>
        <v/>
      </c>
      <c r="D79" s="50" t="str">
        <f>IF($J79="","",IF(INDEX('Mouvements'!$B$5:$B$5004,$J79)="Entrée",INDEX('Mouvements'!$E$5:$E$5004,$J79),""))</f>
        <v/>
      </c>
      <c r="E79" s="50" t="str">
        <f>IF($J79="","",IF(INDEX('Mouvements'!$B$5:$B$5004,$J79)="Sortie",INDEX('Mouvements'!$E$5:$E$5004,$J79),""))</f>
        <v/>
      </c>
      <c r="F79" s="50" t="str">
        <f>IF($J79="","",INDEX('Mouvements'!$K$5:$K$5004,$J79))</f>
        <v/>
      </c>
      <c r="G79" s="50" t="str">
        <f>IF($J79="","",INDEX('Mouvements'!$G$5:$G$5004,$J79)&amp;"")</f>
        <v/>
      </c>
      <c r="H79" s="50" t="str">
        <f>IF($J79="","",INDEX('Mouvements'!$H$5:$H$5004,$J79)&amp;"")</f>
        <v/>
      </c>
      <c r="I79" s="50" t="str">
        <f>IF($J79="","",INDEX('Mouvements'!$I$5:$I$5004,$J79)&amp;"")</f>
        <v/>
      </c>
      <c r="J79" t="str">
        <f>IF($C$4="","",IFERROR(MATCH($C$4&amp;"#"&amp;($J$9+69),mv_key,0),""))</f>
        <v/>
      </c>
    </row>
    <row r="80">
      <c r="B80" s="49" t="str">
        <f>IF($J80="","",INDEX('Mouvements'!$A$5:$A$5004,$J80))</f>
        <v/>
      </c>
      <c r="C80" s="50" t="str">
        <f>IF($J80="","",INDEX('Mouvements'!$B$5:$B$5004,$J80))</f>
        <v/>
      </c>
      <c r="D80" s="50" t="str">
        <f>IF($J80="","",IF(INDEX('Mouvements'!$B$5:$B$5004,$J80)="Entrée",INDEX('Mouvements'!$E$5:$E$5004,$J80),""))</f>
        <v/>
      </c>
      <c r="E80" s="50" t="str">
        <f>IF($J80="","",IF(INDEX('Mouvements'!$B$5:$B$5004,$J80)="Sortie",INDEX('Mouvements'!$E$5:$E$5004,$J80),""))</f>
        <v/>
      </c>
      <c r="F80" s="50" t="str">
        <f>IF($J80="","",INDEX('Mouvements'!$K$5:$K$5004,$J80))</f>
        <v/>
      </c>
      <c r="G80" s="50" t="str">
        <f>IF($J80="","",INDEX('Mouvements'!$G$5:$G$5004,$J80)&amp;"")</f>
        <v/>
      </c>
      <c r="H80" s="50" t="str">
        <f>IF($J80="","",INDEX('Mouvements'!$H$5:$H$5004,$J80)&amp;"")</f>
        <v/>
      </c>
      <c r="I80" s="50" t="str">
        <f>IF($J80="","",INDEX('Mouvements'!$I$5:$I$5004,$J80)&amp;"")</f>
        <v/>
      </c>
      <c r="J80" t="str">
        <f>IF($C$4="","",IFERROR(MATCH($C$4&amp;"#"&amp;($J$9+70),mv_key,0),""))</f>
        <v/>
      </c>
    </row>
    <row r="81">
      <c r="B81" s="49" t="str">
        <f>IF($J81="","",INDEX('Mouvements'!$A$5:$A$5004,$J81))</f>
        <v/>
      </c>
      <c r="C81" s="50" t="str">
        <f>IF($J81="","",INDEX('Mouvements'!$B$5:$B$5004,$J81))</f>
        <v/>
      </c>
      <c r="D81" s="50" t="str">
        <f>IF($J81="","",IF(INDEX('Mouvements'!$B$5:$B$5004,$J81)="Entrée",INDEX('Mouvements'!$E$5:$E$5004,$J81),""))</f>
        <v/>
      </c>
      <c r="E81" s="50" t="str">
        <f>IF($J81="","",IF(INDEX('Mouvements'!$B$5:$B$5004,$J81)="Sortie",INDEX('Mouvements'!$E$5:$E$5004,$J81),""))</f>
        <v/>
      </c>
      <c r="F81" s="50" t="str">
        <f>IF($J81="","",INDEX('Mouvements'!$K$5:$K$5004,$J81))</f>
        <v/>
      </c>
      <c r="G81" s="50" t="str">
        <f>IF($J81="","",INDEX('Mouvements'!$G$5:$G$5004,$J81)&amp;"")</f>
        <v/>
      </c>
      <c r="H81" s="50" t="str">
        <f>IF($J81="","",INDEX('Mouvements'!$H$5:$H$5004,$J81)&amp;"")</f>
        <v/>
      </c>
      <c r="I81" s="50" t="str">
        <f>IF($J81="","",INDEX('Mouvements'!$I$5:$I$5004,$J81)&amp;"")</f>
        <v/>
      </c>
      <c r="J81" t="str">
        <f>IF($C$4="","",IFERROR(MATCH($C$4&amp;"#"&amp;($J$9+71),mv_key,0),""))</f>
        <v/>
      </c>
    </row>
    <row r="82">
      <c r="B82" s="49" t="str">
        <f>IF($J82="","",INDEX('Mouvements'!$A$5:$A$5004,$J82))</f>
        <v/>
      </c>
      <c r="C82" s="50" t="str">
        <f>IF($J82="","",INDEX('Mouvements'!$B$5:$B$5004,$J82))</f>
        <v/>
      </c>
      <c r="D82" s="50" t="str">
        <f>IF($J82="","",IF(INDEX('Mouvements'!$B$5:$B$5004,$J82)="Entrée",INDEX('Mouvements'!$E$5:$E$5004,$J82),""))</f>
        <v/>
      </c>
      <c r="E82" s="50" t="str">
        <f>IF($J82="","",IF(INDEX('Mouvements'!$B$5:$B$5004,$J82)="Sortie",INDEX('Mouvements'!$E$5:$E$5004,$J82),""))</f>
        <v/>
      </c>
      <c r="F82" s="50" t="str">
        <f>IF($J82="","",INDEX('Mouvements'!$K$5:$K$5004,$J82))</f>
        <v/>
      </c>
      <c r="G82" s="50" t="str">
        <f>IF($J82="","",INDEX('Mouvements'!$G$5:$G$5004,$J82)&amp;"")</f>
        <v/>
      </c>
      <c r="H82" s="50" t="str">
        <f>IF($J82="","",INDEX('Mouvements'!$H$5:$H$5004,$J82)&amp;"")</f>
        <v/>
      </c>
      <c r="I82" s="50" t="str">
        <f>IF($J82="","",INDEX('Mouvements'!$I$5:$I$5004,$J82)&amp;"")</f>
        <v/>
      </c>
      <c r="J82" t="str">
        <f>IF($C$4="","",IFERROR(MATCH($C$4&amp;"#"&amp;($J$9+72),mv_key,0),""))</f>
        <v/>
      </c>
    </row>
    <row r="83">
      <c r="B83" s="49" t="str">
        <f>IF($J83="","",INDEX('Mouvements'!$A$5:$A$5004,$J83))</f>
        <v/>
      </c>
      <c r="C83" s="50" t="str">
        <f>IF($J83="","",INDEX('Mouvements'!$B$5:$B$5004,$J83))</f>
        <v/>
      </c>
      <c r="D83" s="50" t="str">
        <f>IF($J83="","",IF(INDEX('Mouvements'!$B$5:$B$5004,$J83)="Entrée",INDEX('Mouvements'!$E$5:$E$5004,$J83),""))</f>
        <v/>
      </c>
      <c r="E83" s="50" t="str">
        <f>IF($J83="","",IF(INDEX('Mouvements'!$B$5:$B$5004,$J83)="Sortie",INDEX('Mouvements'!$E$5:$E$5004,$J83),""))</f>
        <v/>
      </c>
      <c r="F83" s="50" t="str">
        <f>IF($J83="","",INDEX('Mouvements'!$K$5:$K$5004,$J83))</f>
        <v/>
      </c>
      <c r="G83" s="50" t="str">
        <f>IF($J83="","",INDEX('Mouvements'!$G$5:$G$5004,$J83)&amp;"")</f>
        <v/>
      </c>
      <c r="H83" s="50" t="str">
        <f>IF($J83="","",INDEX('Mouvements'!$H$5:$H$5004,$J83)&amp;"")</f>
        <v/>
      </c>
      <c r="I83" s="50" t="str">
        <f>IF($J83="","",INDEX('Mouvements'!$I$5:$I$5004,$J83)&amp;"")</f>
        <v/>
      </c>
      <c r="J83" t="str">
        <f>IF($C$4="","",IFERROR(MATCH($C$4&amp;"#"&amp;($J$9+73),mv_key,0),""))</f>
        <v/>
      </c>
    </row>
    <row r="84">
      <c r="B84" s="49" t="str">
        <f>IF($J84="","",INDEX('Mouvements'!$A$5:$A$5004,$J84))</f>
        <v/>
      </c>
      <c r="C84" s="50" t="str">
        <f>IF($J84="","",INDEX('Mouvements'!$B$5:$B$5004,$J84))</f>
        <v/>
      </c>
      <c r="D84" s="50" t="str">
        <f>IF($J84="","",IF(INDEX('Mouvements'!$B$5:$B$5004,$J84)="Entrée",INDEX('Mouvements'!$E$5:$E$5004,$J84),""))</f>
        <v/>
      </c>
      <c r="E84" s="50" t="str">
        <f>IF($J84="","",IF(INDEX('Mouvements'!$B$5:$B$5004,$J84)="Sortie",INDEX('Mouvements'!$E$5:$E$5004,$J84),""))</f>
        <v/>
      </c>
      <c r="F84" s="50" t="str">
        <f>IF($J84="","",INDEX('Mouvements'!$K$5:$K$5004,$J84))</f>
        <v/>
      </c>
      <c r="G84" s="50" t="str">
        <f>IF($J84="","",INDEX('Mouvements'!$G$5:$G$5004,$J84)&amp;"")</f>
        <v/>
      </c>
      <c r="H84" s="50" t="str">
        <f>IF($J84="","",INDEX('Mouvements'!$H$5:$H$5004,$J84)&amp;"")</f>
        <v/>
      </c>
      <c r="I84" s="50" t="str">
        <f>IF($J84="","",INDEX('Mouvements'!$I$5:$I$5004,$J84)&amp;"")</f>
        <v/>
      </c>
      <c r="J84" t="str">
        <f>IF($C$4="","",IFERROR(MATCH($C$4&amp;"#"&amp;($J$9+74),mv_key,0),""))</f>
        <v/>
      </c>
    </row>
    <row r="85">
      <c r="B85" s="49" t="str">
        <f>IF($J85="","",INDEX('Mouvements'!$A$5:$A$5004,$J85))</f>
        <v/>
      </c>
      <c r="C85" s="50" t="str">
        <f>IF($J85="","",INDEX('Mouvements'!$B$5:$B$5004,$J85))</f>
        <v/>
      </c>
      <c r="D85" s="50" t="str">
        <f>IF($J85="","",IF(INDEX('Mouvements'!$B$5:$B$5004,$J85)="Entrée",INDEX('Mouvements'!$E$5:$E$5004,$J85),""))</f>
        <v/>
      </c>
      <c r="E85" s="50" t="str">
        <f>IF($J85="","",IF(INDEX('Mouvements'!$B$5:$B$5004,$J85)="Sortie",INDEX('Mouvements'!$E$5:$E$5004,$J85),""))</f>
        <v/>
      </c>
      <c r="F85" s="50" t="str">
        <f>IF($J85="","",INDEX('Mouvements'!$K$5:$K$5004,$J85))</f>
        <v/>
      </c>
      <c r="G85" s="50" t="str">
        <f>IF($J85="","",INDEX('Mouvements'!$G$5:$G$5004,$J85)&amp;"")</f>
        <v/>
      </c>
      <c r="H85" s="50" t="str">
        <f>IF($J85="","",INDEX('Mouvements'!$H$5:$H$5004,$J85)&amp;"")</f>
        <v/>
      </c>
      <c r="I85" s="50" t="str">
        <f>IF($J85="","",INDEX('Mouvements'!$I$5:$I$5004,$J85)&amp;"")</f>
        <v/>
      </c>
      <c r="J85" t="str">
        <f>IF($C$4="","",IFERROR(MATCH($C$4&amp;"#"&amp;($J$9+75),mv_key,0),""))</f>
        <v/>
      </c>
    </row>
    <row r="86">
      <c r="B86" s="49" t="str">
        <f>IF($J86="","",INDEX('Mouvements'!$A$5:$A$5004,$J86))</f>
        <v/>
      </c>
      <c r="C86" s="50" t="str">
        <f>IF($J86="","",INDEX('Mouvements'!$B$5:$B$5004,$J86))</f>
        <v/>
      </c>
      <c r="D86" s="50" t="str">
        <f>IF($J86="","",IF(INDEX('Mouvements'!$B$5:$B$5004,$J86)="Entrée",INDEX('Mouvements'!$E$5:$E$5004,$J86),""))</f>
        <v/>
      </c>
      <c r="E86" s="50" t="str">
        <f>IF($J86="","",IF(INDEX('Mouvements'!$B$5:$B$5004,$J86)="Sortie",INDEX('Mouvements'!$E$5:$E$5004,$J86),""))</f>
        <v/>
      </c>
      <c r="F86" s="50" t="str">
        <f>IF($J86="","",INDEX('Mouvements'!$K$5:$K$5004,$J86))</f>
        <v/>
      </c>
      <c r="G86" s="50" t="str">
        <f>IF($J86="","",INDEX('Mouvements'!$G$5:$G$5004,$J86)&amp;"")</f>
        <v/>
      </c>
      <c r="H86" s="50" t="str">
        <f>IF($J86="","",INDEX('Mouvements'!$H$5:$H$5004,$J86)&amp;"")</f>
        <v/>
      </c>
      <c r="I86" s="50" t="str">
        <f>IF($J86="","",INDEX('Mouvements'!$I$5:$I$5004,$J86)&amp;"")</f>
        <v/>
      </c>
      <c r="J86" t="str">
        <f>IF($C$4="","",IFERROR(MATCH($C$4&amp;"#"&amp;($J$9+76),mv_key,0),""))</f>
        <v/>
      </c>
    </row>
    <row r="87">
      <c r="B87" s="49" t="str">
        <f>IF($J87="","",INDEX('Mouvements'!$A$5:$A$5004,$J87))</f>
        <v/>
      </c>
      <c r="C87" s="50" t="str">
        <f>IF($J87="","",INDEX('Mouvements'!$B$5:$B$5004,$J87))</f>
        <v/>
      </c>
      <c r="D87" s="50" t="str">
        <f>IF($J87="","",IF(INDEX('Mouvements'!$B$5:$B$5004,$J87)="Entrée",INDEX('Mouvements'!$E$5:$E$5004,$J87),""))</f>
        <v/>
      </c>
      <c r="E87" s="50" t="str">
        <f>IF($J87="","",IF(INDEX('Mouvements'!$B$5:$B$5004,$J87)="Sortie",INDEX('Mouvements'!$E$5:$E$5004,$J87),""))</f>
        <v/>
      </c>
      <c r="F87" s="50" t="str">
        <f>IF($J87="","",INDEX('Mouvements'!$K$5:$K$5004,$J87))</f>
        <v/>
      </c>
      <c r="G87" s="50" t="str">
        <f>IF($J87="","",INDEX('Mouvements'!$G$5:$G$5004,$J87)&amp;"")</f>
        <v/>
      </c>
      <c r="H87" s="50" t="str">
        <f>IF($J87="","",INDEX('Mouvements'!$H$5:$H$5004,$J87)&amp;"")</f>
        <v/>
      </c>
      <c r="I87" s="50" t="str">
        <f>IF($J87="","",INDEX('Mouvements'!$I$5:$I$5004,$J87)&amp;"")</f>
        <v/>
      </c>
      <c r="J87" t="str">
        <f>IF($C$4="","",IFERROR(MATCH($C$4&amp;"#"&amp;($J$9+77),mv_key,0),""))</f>
        <v/>
      </c>
    </row>
    <row r="88">
      <c r="B88" s="49" t="str">
        <f>IF($J88="","",INDEX('Mouvements'!$A$5:$A$5004,$J88))</f>
        <v/>
      </c>
      <c r="C88" s="50" t="str">
        <f>IF($J88="","",INDEX('Mouvements'!$B$5:$B$5004,$J88))</f>
        <v/>
      </c>
      <c r="D88" s="50" t="str">
        <f>IF($J88="","",IF(INDEX('Mouvements'!$B$5:$B$5004,$J88)="Entrée",INDEX('Mouvements'!$E$5:$E$5004,$J88),""))</f>
        <v/>
      </c>
      <c r="E88" s="50" t="str">
        <f>IF($J88="","",IF(INDEX('Mouvements'!$B$5:$B$5004,$J88)="Sortie",INDEX('Mouvements'!$E$5:$E$5004,$J88),""))</f>
        <v/>
      </c>
      <c r="F88" s="50" t="str">
        <f>IF($J88="","",INDEX('Mouvements'!$K$5:$K$5004,$J88))</f>
        <v/>
      </c>
      <c r="G88" s="50" t="str">
        <f>IF($J88="","",INDEX('Mouvements'!$G$5:$G$5004,$J88)&amp;"")</f>
        <v/>
      </c>
      <c r="H88" s="50" t="str">
        <f>IF($J88="","",INDEX('Mouvements'!$H$5:$H$5004,$J88)&amp;"")</f>
        <v/>
      </c>
      <c r="I88" s="50" t="str">
        <f>IF($J88="","",INDEX('Mouvements'!$I$5:$I$5004,$J88)&amp;"")</f>
        <v/>
      </c>
      <c r="J88" t="str">
        <f>IF($C$4="","",IFERROR(MATCH($C$4&amp;"#"&amp;($J$9+78),mv_key,0),""))</f>
        <v/>
      </c>
    </row>
    <row r="89">
      <c r="B89" s="49" t="str">
        <f>IF($J89="","",INDEX('Mouvements'!$A$5:$A$5004,$J89))</f>
        <v/>
      </c>
      <c r="C89" s="50" t="str">
        <f>IF($J89="","",INDEX('Mouvements'!$B$5:$B$5004,$J89))</f>
        <v/>
      </c>
      <c r="D89" s="50" t="str">
        <f>IF($J89="","",IF(INDEX('Mouvements'!$B$5:$B$5004,$J89)="Entrée",INDEX('Mouvements'!$E$5:$E$5004,$J89),""))</f>
        <v/>
      </c>
      <c r="E89" s="50" t="str">
        <f>IF($J89="","",IF(INDEX('Mouvements'!$B$5:$B$5004,$J89)="Sortie",INDEX('Mouvements'!$E$5:$E$5004,$J89),""))</f>
        <v/>
      </c>
      <c r="F89" s="50" t="str">
        <f>IF($J89="","",INDEX('Mouvements'!$K$5:$K$5004,$J89))</f>
        <v/>
      </c>
      <c r="G89" s="50" t="str">
        <f>IF($J89="","",INDEX('Mouvements'!$G$5:$G$5004,$J89)&amp;"")</f>
        <v/>
      </c>
      <c r="H89" s="50" t="str">
        <f>IF($J89="","",INDEX('Mouvements'!$H$5:$H$5004,$J89)&amp;"")</f>
        <v/>
      </c>
      <c r="I89" s="50" t="str">
        <f>IF($J89="","",INDEX('Mouvements'!$I$5:$I$5004,$J89)&amp;"")</f>
        <v/>
      </c>
      <c r="J89" t="str">
        <f>IF($C$4="","",IFERROR(MATCH($C$4&amp;"#"&amp;($J$9+79),mv_key,0),""))</f>
        <v/>
      </c>
    </row>
    <row r="90">
      <c r="B90" s="49" t="str">
        <f>IF($J90="","",INDEX('Mouvements'!$A$5:$A$5004,$J90))</f>
        <v/>
      </c>
      <c r="C90" s="50" t="str">
        <f>IF($J90="","",INDEX('Mouvements'!$B$5:$B$5004,$J90))</f>
        <v/>
      </c>
      <c r="D90" s="50" t="str">
        <f>IF($J90="","",IF(INDEX('Mouvements'!$B$5:$B$5004,$J90)="Entrée",INDEX('Mouvements'!$E$5:$E$5004,$J90),""))</f>
        <v/>
      </c>
      <c r="E90" s="50" t="str">
        <f>IF($J90="","",IF(INDEX('Mouvements'!$B$5:$B$5004,$J90)="Sortie",INDEX('Mouvements'!$E$5:$E$5004,$J90),""))</f>
        <v/>
      </c>
      <c r="F90" s="50" t="str">
        <f>IF($J90="","",INDEX('Mouvements'!$K$5:$K$5004,$J90))</f>
        <v/>
      </c>
      <c r="G90" s="50" t="str">
        <f>IF($J90="","",INDEX('Mouvements'!$G$5:$G$5004,$J90)&amp;"")</f>
        <v/>
      </c>
      <c r="H90" s="50" t="str">
        <f>IF($J90="","",INDEX('Mouvements'!$H$5:$H$5004,$J90)&amp;"")</f>
        <v/>
      </c>
      <c r="I90" s="50" t="str">
        <f>IF($J90="","",INDEX('Mouvements'!$I$5:$I$5004,$J90)&amp;"")</f>
        <v/>
      </c>
      <c r="J90" t="str">
        <f>IF($C$4="","",IFERROR(MATCH($C$4&amp;"#"&amp;($J$9+80),mv_key,0),""))</f>
        <v/>
      </c>
    </row>
    <row r="91">
      <c r="B91" s="49" t="str">
        <f>IF($J91="","",INDEX('Mouvements'!$A$5:$A$5004,$J91))</f>
        <v/>
      </c>
      <c r="C91" s="50" t="str">
        <f>IF($J91="","",INDEX('Mouvements'!$B$5:$B$5004,$J91))</f>
        <v/>
      </c>
      <c r="D91" s="50" t="str">
        <f>IF($J91="","",IF(INDEX('Mouvements'!$B$5:$B$5004,$J91)="Entrée",INDEX('Mouvements'!$E$5:$E$5004,$J91),""))</f>
        <v/>
      </c>
      <c r="E91" s="50" t="str">
        <f>IF($J91="","",IF(INDEX('Mouvements'!$B$5:$B$5004,$J91)="Sortie",INDEX('Mouvements'!$E$5:$E$5004,$J91),""))</f>
        <v/>
      </c>
      <c r="F91" s="50" t="str">
        <f>IF($J91="","",INDEX('Mouvements'!$K$5:$K$5004,$J91))</f>
        <v/>
      </c>
      <c r="G91" s="50" t="str">
        <f>IF($J91="","",INDEX('Mouvements'!$G$5:$G$5004,$J91)&amp;"")</f>
        <v/>
      </c>
      <c r="H91" s="50" t="str">
        <f>IF($J91="","",INDEX('Mouvements'!$H$5:$H$5004,$J91)&amp;"")</f>
        <v/>
      </c>
      <c r="I91" s="50" t="str">
        <f>IF($J91="","",INDEX('Mouvements'!$I$5:$I$5004,$J91)&amp;"")</f>
        <v/>
      </c>
      <c r="J91" t="str">
        <f>IF($C$4="","",IFERROR(MATCH($C$4&amp;"#"&amp;($J$9+81),mv_key,0),""))</f>
        <v/>
      </c>
    </row>
    <row r="92">
      <c r="B92" s="49" t="str">
        <f>IF($J92="","",INDEX('Mouvements'!$A$5:$A$5004,$J92))</f>
        <v/>
      </c>
      <c r="C92" s="50" t="str">
        <f>IF($J92="","",INDEX('Mouvements'!$B$5:$B$5004,$J92))</f>
        <v/>
      </c>
      <c r="D92" s="50" t="str">
        <f>IF($J92="","",IF(INDEX('Mouvements'!$B$5:$B$5004,$J92)="Entrée",INDEX('Mouvements'!$E$5:$E$5004,$J92),""))</f>
        <v/>
      </c>
      <c r="E92" s="50" t="str">
        <f>IF($J92="","",IF(INDEX('Mouvements'!$B$5:$B$5004,$J92)="Sortie",INDEX('Mouvements'!$E$5:$E$5004,$J92),""))</f>
        <v/>
      </c>
      <c r="F92" s="50" t="str">
        <f>IF($J92="","",INDEX('Mouvements'!$K$5:$K$5004,$J92))</f>
        <v/>
      </c>
      <c r="G92" s="50" t="str">
        <f>IF($J92="","",INDEX('Mouvements'!$G$5:$G$5004,$J92)&amp;"")</f>
        <v/>
      </c>
      <c r="H92" s="50" t="str">
        <f>IF($J92="","",INDEX('Mouvements'!$H$5:$H$5004,$J92)&amp;"")</f>
        <v/>
      </c>
      <c r="I92" s="50" t="str">
        <f>IF($J92="","",INDEX('Mouvements'!$I$5:$I$5004,$J92)&amp;"")</f>
        <v/>
      </c>
      <c r="J92" t="str">
        <f>IF($C$4="","",IFERROR(MATCH($C$4&amp;"#"&amp;($J$9+82),mv_key,0),""))</f>
        <v/>
      </c>
    </row>
    <row r="93">
      <c r="B93" s="49" t="str">
        <f>IF($J93="","",INDEX('Mouvements'!$A$5:$A$5004,$J93))</f>
        <v/>
      </c>
      <c r="C93" s="50" t="str">
        <f>IF($J93="","",INDEX('Mouvements'!$B$5:$B$5004,$J93))</f>
        <v/>
      </c>
      <c r="D93" s="50" t="str">
        <f>IF($J93="","",IF(INDEX('Mouvements'!$B$5:$B$5004,$J93)="Entrée",INDEX('Mouvements'!$E$5:$E$5004,$J93),""))</f>
        <v/>
      </c>
      <c r="E93" s="50" t="str">
        <f>IF($J93="","",IF(INDEX('Mouvements'!$B$5:$B$5004,$J93)="Sortie",INDEX('Mouvements'!$E$5:$E$5004,$J93),""))</f>
        <v/>
      </c>
      <c r="F93" s="50" t="str">
        <f>IF($J93="","",INDEX('Mouvements'!$K$5:$K$5004,$J93))</f>
        <v/>
      </c>
      <c r="G93" s="50" t="str">
        <f>IF($J93="","",INDEX('Mouvements'!$G$5:$G$5004,$J93)&amp;"")</f>
        <v/>
      </c>
      <c r="H93" s="50" t="str">
        <f>IF($J93="","",INDEX('Mouvements'!$H$5:$H$5004,$J93)&amp;"")</f>
        <v/>
      </c>
      <c r="I93" s="50" t="str">
        <f>IF($J93="","",INDEX('Mouvements'!$I$5:$I$5004,$J93)&amp;"")</f>
        <v/>
      </c>
      <c r="J93" t="str">
        <f>IF($C$4="","",IFERROR(MATCH($C$4&amp;"#"&amp;($J$9+83),mv_key,0),""))</f>
        <v/>
      </c>
    </row>
    <row r="94">
      <c r="B94" s="49" t="str">
        <f>IF($J94="","",INDEX('Mouvements'!$A$5:$A$5004,$J94))</f>
        <v/>
      </c>
      <c r="C94" s="50" t="str">
        <f>IF($J94="","",INDEX('Mouvements'!$B$5:$B$5004,$J94))</f>
        <v/>
      </c>
      <c r="D94" s="50" t="str">
        <f>IF($J94="","",IF(INDEX('Mouvements'!$B$5:$B$5004,$J94)="Entrée",INDEX('Mouvements'!$E$5:$E$5004,$J94),""))</f>
        <v/>
      </c>
      <c r="E94" s="50" t="str">
        <f>IF($J94="","",IF(INDEX('Mouvements'!$B$5:$B$5004,$J94)="Sortie",INDEX('Mouvements'!$E$5:$E$5004,$J94),""))</f>
        <v/>
      </c>
      <c r="F94" s="50" t="str">
        <f>IF($J94="","",INDEX('Mouvements'!$K$5:$K$5004,$J94))</f>
        <v/>
      </c>
      <c r="G94" s="50" t="str">
        <f>IF($J94="","",INDEX('Mouvements'!$G$5:$G$5004,$J94)&amp;"")</f>
        <v/>
      </c>
      <c r="H94" s="50" t="str">
        <f>IF($J94="","",INDEX('Mouvements'!$H$5:$H$5004,$J94)&amp;"")</f>
        <v/>
      </c>
      <c r="I94" s="50" t="str">
        <f>IF($J94="","",INDEX('Mouvements'!$I$5:$I$5004,$J94)&amp;"")</f>
        <v/>
      </c>
      <c r="J94" t="str">
        <f>IF($C$4="","",IFERROR(MATCH($C$4&amp;"#"&amp;($J$9+84),mv_key,0),""))</f>
        <v/>
      </c>
    </row>
    <row r="95">
      <c r="B95" s="49" t="str">
        <f>IF($J95="","",INDEX('Mouvements'!$A$5:$A$5004,$J95))</f>
        <v/>
      </c>
      <c r="C95" s="50" t="str">
        <f>IF($J95="","",INDEX('Mouvements'!$B$5:$B$5004,$J95))</f>
        <v/>
      </c>
      <c r="D95" s="50" t="str">
        <f>IF($J95="","",IF(INDEX('Mouvements'!$B$5:$B$5004,$J95)="Entrée",INDEX('Mouvements'!$E$5:$E$5004,$J95),""))</f>
        <v/>
      </c>
      <c r="E95" s="50" t="str">
        <f>IF($J95="","",IF(INDEX('Mouvements'!$B$5:$B$5004,$J95)="Sortie",INDEX('Mouvements'!$E$5:$E$5004,$J95),""))</f>
        <v/>
      </c>
      <c r="F95" s="50" t="str">
        <f>IF($J95="","",INDEX('Mouvements'!$K$5:$K$5004,$J95))</f>
        <v/>
      </c>
      <c r="G95" s="50" t="str">
        <f>IF($J95="","",INDEX('Mouvements'!$G$5:$G$5004,$J95)&amp;"")</f>
        <v/>
      </c>
      <c r="H95" s="50" t="str">
        <f>IF($J95="","",INDEX('Mouvements'!$H$5:$H$5004,$J95)&amp;"")</f>
        <v/>
      </c>
      <c r="I95" s="50" t="str">
        <f>IF($J95="","",INDEX('Mouvements'!$I$5:$I$5004,$J95)&amp;"")</f>
        <v/>
      </c>
      <c r="J95" t="str">
        <f>IF($C$4="","",IFERROR(MATCH($C$4&amp;"#"&amp;($J$9+85),mv_key,0),""))</f>
        <v/>
      </c>
    </row>
    <row r="96">
      <c r="B96" s="49" t="str">
        <f>IF($J96="","",INDEX('Mouvements'!$A$5:$A$5004,$J96))</f>
        <v/>
      </c>
      <c r="C96" s="50" t="str">
        <f>IF($J96="","",INDEX('Mouvements'!$B$5:$B$5004,$J96))</f>
        <v/>
      </c>
      <c r="D96" s="50" t="str">
        <f>IF($J96="","",IF(INDEX('Mouvements'!$B$5:$B$5004,$J96)="Entrée",INDEX('Mouvements'!$E$5:$E$5004,$J96),""))</f>
        <v/>
      </c>
      <c r="E96" s="50" t="str">
        <f>IF($J96="","",IF(INDEX('Mouvements'!$B$5:$B$5004,$J96)="Sortie",INDEX('Mouvements'!$E$5:$E$5004,$J96),""))</f>
        <v/>
      </c>
      <c r="F96" s="50" t="str">
        <f>IF($J96="","",INDEX('Mouvements'!$K$5:$K$5004,$J96))</f>
        <v/>
      </c>
      <c r="G96" s="50" t="str">
        <f>IF($J96="","",INDEX('Mouvements'!$G$5:$G$5004,$J96)&amp;"")</f>
        <v/>
      </c>
      <c r="H96" s="50" t="str">
        <f>IF($J96="","",INDEX('Mouvements'!$H$5:$H$5004,$J96)&amp;"")</f>
        <v/>
      </c>
      <c r="I96" s="50" t="str">
        <f>IF($J96="","",INDEX('Mouvements'!$I$5:$I$5004,$J96)&amp;"")</f>
        <v/>
      </c>
      <c r="J96" t="str">
        <f>IF($C$4="","",IFERROR(MATCH($C$4&amp;"#"&amp;($J$9+86),mv_key,0),""))</f>
        <v/>
      </c>
    </row>
    <row r="97">
      <c r="B97" s="49" t="str">
        <f>IF($J97="","",INDEX('Mouvements'!$A$5:$A$5004,$J97))</f>
        <v/>
      </c>
      <c r="C97" s="50" t="str">
        <f>IF($J97="","",INDEX('Mouvements'!$B$5:$B$5004,$J97))</f>
        <v/>
      </c>
      <c r="D97" s="50" t="str">
        <f>IF($J97="","",IF(INDEX('Mouvements'!$B$5:$B$5004,$J97)="Entrée",INDEX('Mouvements'!$E$5:$E$5004,$J97),""))</f>
        <v/>
      </c>
      <c r="E97" s="50" t="str">
        <f>IF($J97="","",IF(INDEX('Mouvements'!$B$5:$B$5004,$J97)="Sortie",INDEX('Mouvements'!$E$5:$E$5004,$J97),""))</f>
        <v/>
      </c>
      <c r="F97" s="50" t="str">
        <f>IF($J97="","",INDEX('Mouvements'!$K$5:$K$5004,$J97))</f>
        <v/>
      </c>
      <c r="G97" s="50" t="str">
        <f>IF($J97="","",INDEX('Mouvements'!$G$5:$G$5004,$J97)&amp;"")</f>
        <v/>
      </c>
      <c r="H97" s="50" t="str">
        <f>IF($J97="","",INDEX('Mouvements'!$H$5:$H$5004,$J97)&amp;"")</f>
        <v/>
      </c>
      <c r="I97" s="50" t="str">
        <f>IF($J97="","",INDEX('Mouvements'!$I$5:$I$5004,$J97)&amp;"")</f>
        <v/>
      </c>
      <c r="J97" t="str">
        <f>IF($C$4="","",IFERROR(MATCH($C$4&amp;"#"&amp;($J$9+87),mv_key,0),""))</f>
        <v/>
      </c>
    </row>
    <row r="98">
      <c r="B98" s="49" t="str">
        <f>IF($J98="","",INDEX('Mouvements'!$A$5:$A$5004,$J98))</f>
        <v/>
      </c>
      <c r="C98" s="50" t="str">
        <f>IF($J98="","",INDEX('Mouvements'!$B$5:$B$5004,$J98))</f>
        <v/>
      </c>
      <c r="D98" s="50" t="str">
        <f>IF($J98="","",IF(INDEX('Mouvements'!$B$5:$B$5004,$J98)="Entrée",INDEX('Mouvements'!$E$5:$E$5004,$J98),""))</f>
        <v/>
      </c>
      <c r="E98" s="50" t="str">
        <f>IF($J98="","",IF(INDEX('Mouvements'!$B$5:$B$5004,$J98)="Sortie",INDEX('Mouvements'!$E$5:$E$5004,$J98),""))</f>
        <v/>
      </c>
      <c r="F98" s="50" t="str">
        <f>IF($J98="","",INDEX('Mouvements'!$K$5:$K$5004,$J98))</f>
        <v/>
      </c>
      <c r="G98" s="50" t="str">
        <f>IF($J98="","",INDEX('Mouvements'!$G$5:$G$5004,$J98)&amp;"")</f>
        <v/>
      </c>
      <c r="H98" s="50" t="str">
        <f>IF($J98="","",INDEX('Mouvements'!$H$5:$H$5004,$J98)&amp;"")</f>
        <v/>
      </c>
      <c r="I98" s="50" t="str">
        <f>IF($J98="","",INDEX('Mouvements'!$I$5:$I$5004,$J98)&amp;"")</f>
        <v/>
      </c>
      <c r="J98" t="str">
        <f>IF($C$4="","",IFERROR(MATCH($C$4&amp;"#"&amp;($J$9+88),mv_key,0),""))</f>
        <v/>
      </c>
    </row>
    <row r="99">
      <c r="B99" s="49" t="str">
        <f>IF($J99="","",INDEX('Mouvements'!$A$5:$A$5004,$J99))</f>
        <v/>
      </c>
      <c r="C99" s="50" t="str">
        <f>IF($J99="","",INDEX('Mouvements'!$B$5:$B$5004,$J99))</f>
        <v/>
      </c>
      <c r="D99" s="50" t="str">
        <f>IF($J99="","",IF(INDEX('Mouvements'!$B$5:$B$5004,$J99)="Entrée",INDEX('Mouvements'!$E$5:$E$5004,$J99),""))</f>
        <v/>
      </c>
      <c r="E99" s="50" t="str">
        <f>IF($J99="","",IF(INDEX('Mouvements'!$B$5:$B$5004,$J99)="Sortie",INDEX('Mouvements'!$E$5:$E$5004,$J99),""))</f>
        <v/>
      </c>
      <c r="F99" s="50" t="str">
        <f>IF($J99="","",INDEX('Mouvements'!$K$5:$K$5004,$J99))</f>
        <v/>
      </c>
      <c r="G99" s="50" t="str">
        <f>IF($J99="","",INDEX('Mouvements'!$G$5:$G$5004,$J99)&amp;"")</f>
        <v/>
      </c>
      <c r="H99" s="50" t="str">
        <f>IF($J99="","",INDEX('Mouvements'!$H$5:$H$5004,$J99)&amp;"")</f>
        <v/>
      </c>
      <c r="I99" s="50" t="str">
        <f>IF($J99="","",INDEX('Mouvements'!$I$5:$I$5004,$J99)&amp;"")</f>
        <v/>
      </c>
      <c r="J99" t="str">
        <f>IF($C$4="","",IFERROR(MATCH($C$4&amp;"#"&amp;($J$9+89),mv_key,0),""))</f>
        <v/>
      </c>
    </row>
    <row r="100">
      <c r="B100" s="49" t="str">
        <f>IF($J100="","",INDEX('Mouvements'!$A$5:$A$5004,$J100))</f>
        <v/>
      </c>
      <c r="C100" s="50" t="str">
        <f>IF($J100="","",INDEX('Mouvements'!$B$5:$B$5004,$J100))</f>
        <v/>
      </c>
      <c r="D100" s="50" t="str">
        <f>IF($J100="","",IF(INDEX('Mouvements'!$B$5:$B$5004,$J100)="Entrée",INDEX('Mouvements'!$E$5:$E$5004,$J100),""))</f>
        <v/>
      </c>
      <c r="E100" s="50" t="str">
        <f>IF($J100="","",IF(INDEX('Mouvements'!$B$5:$B$5004,$J100)="Sortie",INDEX('Mouvements'!$E$5:$E$5004,$J100),""))</f>
        <v/>
      </c>
      <c r="F100" s="50" t="str">
        <f>IF($J100="","",INDEX('Mouvements'!$K$5:$K$5004,$J100))</f>
        <v/>
      </c>
      <c r="G100" s="50" t="str">
        <f>IF($J100="","",INDEX('Mouvements'!$G$5:$G$5004,$J100)&amp;"")</f>
        <v/>
      </c>
      <c r="H100" s="50" t="str">
        <f>IF($J100="","",INDEX('Mouvements'!$H$5:$H$5004,$J100)&amp;"")</f>
        <v/>
      </c>
      <c r="I100" s="50" t="str">
        <f>IF($J100="","",INDEX('Mouvements'!$I$5:$I$5004,$J100)&amp;"")</f>
        <v/>
      </c>
      <c r="J100" t="str">
        <f>IF($C$4="","",IFERROR(MATCH($C$4&amp;"#"&amp;($J$9+90),mv_key,0),""))</f>
        <v/>
      </c>
    </row>
    <row r="101">
      <c r="B101" s="49" t="str">
        <f>IF($J101="","",INDEX('Mouvements'!$A$5:$A$5004,$J101))</f>
        <v/>
      </c>
      <c r="C101" s="50" t="str">
        <f>IF($J101="","",INDEX('Mouvements'!$B$5:$B$5004,$J101))</f>
        <v/>
      </c>
      <c r="D101" s="50" t="str">
        <f>IF($J101="","",IF(INDEX('Mouvements'!$B$5:$B$5004,$J101)="Entrée",INDEX('Mouvements'!$E$5:$E$5004,$J101),""))</f>
        <v/>
      </c>
      <c r="E101" s="50" t="str">
        <f>IF($J101="","",IF(INDEX('Mouvements'!$B$5:$B$5004,$J101)="Sortie",INDEX('Mouvements'!$E$5:$E$5004,$J101),""))</f>
        <v/>
      </c>
      <c r="F101" s="50" t="str">
        <f>IF($J101="","",INDEX('Mouvements'!$K$5:$K$5004,$J101))</f>
        <v/>
      </c>
      <c r="G101" s="50" t="str">
        <f>IF($J101="","",INDEX('Mouvements'!$G$5:$G$5004,$J101)&amp;"")</f>
        <v/>
      </c>
      <c r="H101" s="50" t="str">
        <f>IF($J101="","",INDEX('Mouvements'!$H$5:$H$5004,$J101)&amp;"")</f>
        <v/>
      </c>
      <c r="I101" s="50" t="str">
        <f>IF($J101="","",INDEX('Mouvements'!$I$5:$I$5004,$J101)&amp;"")</f>
        <v/>
      </c>
      <c r="J101" t="str">
        <f>IF($C$4="","",IFERROR(MATCH($C$4&amp;"#"&amp;($J$9+91),mv_key,0),""))</f>
        <v/>
      </c>
    </row>
    <row r="102">
      <c r="B102" s="49" t="str">
        <f>IF($J102="","",INDEX('Mouvements'!$A$5:$A$5004,$J102))</f>
        <v/>
      </c>
      <c r="C102" s="50" t="str">
        <f>IF($J102="","",INDEX('Mouvements'!$B$5:$B$5004,$J102))</f>
        <v/>
      </c>
      <c r="D102" s="50" t="str">
        <f>IF($J102="","",IF(INDEX('Mouvements'!$B$5:$B$5004,$J102)="Entrée",INDEX('Mouvements'!$E$5:$E$5004,$J102),""))</f>
        <v/>
      </c>
      <c r="E102" s="50" t="str">
        <f>IF($J102="","",IF(INDEX('Mouvements'!$B$5:$B$5004,$J102)="Sortie",INDEX('Mouvements'!$E$5:$E$5004,$J102),""))</f>
        <v/>
      </c>
      <c r="F102" s="50" t="str">
        <f>IF($J102="","",INDEX('Mouvements'!$K$5:$K$5004,$J102))</f>
        <v/>
      </c>
      <c r="G102" s="50" t="str">
        <f>IF($J102="","",INDEX('Mouvements'!$G$5:$G$5004,$J102)&amp;"")</f>
        <v/>
      </c>
      <c r="H102" s="50" t="str">
        <f>IF($J102="","",INDEX('Mouvements'!$H$5:$H$5004,$J102)&amp;"")</f>
        <v/>
      </c>
      <c r="I102" s="50" t="str">
        <f>IF($J102="","",INDEX('Mouvements'!$I$5:$I$5004,$J102)&amp;"")</f>
        <v/>
      </c>
      <c r="J102" t="str">
        <f>IF($C$4="","",IFERROR(MATCH($C$4&amp;"#"&amp;($J$9+92),mv_key,0),""))</f>
        <v/>
      </c>
    </row>
    <row r="103">
      <c r="B103" s="49" t="str">
        <f>IF($J103="","",INDEX('Mouvements'!$A$5:$A$5004,$J103))</f>
        <v/>
      </c>
      <c r="C103" s="50" t="str">
        <f>IF($J103="","",INDEX('Mouvements'!$B$5:$B$5004,$J103))</f>
        <v/>
      </c>
      <c r="D103" s="50" t="str">
        <f>IF($J103="","",IF(INDEX('Mouvements'!$B$5:$B$5004,$J103)="Entrée",INDEX('Mouvements'!$E$5:$E$5004,$J103),""))</f>
        <v/>
      </c>
      <c r="E103" s="50" t="str">
        <f>IF($J103="","",IF(INDEX('Mouvements'!$B$5:$B$5004,$J103)="Sortie",INDEX('Mouvements'!$E$5:$E$5004,$J103),""))</f>
        <v/>
      </c>
      <c r="F103" s="50" t="str">
        <f>IF($J103="","",INDEX('Mouvements'!$K$5:$K$5004,$J103))</f>
        <v/>
      </c>
      <c r="G103" s="50" t="str">
        <f>IF($J103="","",INDEX('Mouvements'!$G$5:$G$5004,$J103)&amp;"")</f>
        <v/>
      </c>
      <c r="H103" s="50" t="str">
        <f>IF($J103="","",INDEX('Mouvements'!$H$5:$H$5004,$J103)&amp;"")</f>
        <v/>
      </c>
      <c r="I103" s="50" t="str">
        <f>IF($J103="","",INDEX('Mouvements'!$I$5:$I$5004,$J103)&amp;"")</f>
        <v/>
      </c>
      <c r="J103" t="str">
        <f>IF($C$4="","",IFERROR(MATCH($C$4&amp;"#"&amp;($J$9+93),mv_key,0),""))</f>
        <v/>
      </c>
    </row>
    <row r="104">
      <c r="B104" s="49" t="str">
        <f>IF($J104="","",INDEX('Mouvements'!$A$5:$A$5004,$J104))</f>
        <v/>
      </c>
      <c r="C104" s="50" t="str">
        <f>IF($J104="","",INDEX('Mouvements'!$B$5:$B$5004,$J104))</f>
        <v/>
      </c>
      <c r="D104" s="50" t="str">
        <f>IF($J104="","",IF(INDEX('Mouvements'!$B$5:$B$5004,$J104)="Entrée",INDEX('Mouvements'!$E$5:$E$5004,$J104),""))</f>
        <v/>
      </c>
      <c r="E104" s="50" t="str">
        <f>IF($J104="","",IF(INDEX('Mouvements'!$B$5:$B$5004,$J104)="Sortie",INDEX('Mouvements'!$E$5:$E$5004,$J104),""))</f>
        <v/>
      </c>
      <c r="F104" s="50" t="str">
        <f>IF($J104="","",INDEX('Mouvements'!$K$5:$K$5004,$J104))</f>
        <v/>
      </c>
      <c r="G104" s="50" t="str">
        <f>IF($J104="","",INDEX('Mouvements'!$G$5:$G$5004,$J104)&amp;"")</f>
        <v/>
      </c>
      <c r="H104" s="50" t="str">
        <f>IF($J104="","",INDEX('Mouvements'!$H$5:$H$5004,$J104)&amp;"")</f>
        <v/>
      </c>
      <c r="I104" s="50" t="str">
        <f>IF($J104="","",INDEX('Mouvements'!$I$5:$I$5004,$J104)&amp;"")</f>
        <v/>
      </c>
      <c r="J104" t="str">
        <f>IF($C$4="","",IFERROR(MATCH($C$4&amp;"#"&amp;($J$9+94),mv_key,0),""))</f>
        <v/>
      </c>
    </row>
    <row r="105">
      <c r="B105" s="49" t="str">
        <f>IF($J105="","",INDEX('Mouvements'!$A$5:$A$5004,$J105))</f>
        <v/>
      </c>
      <c r="C105" s="50" t="str">
        <f>IF($J105="","",INDEX('Mouvements'!$B$5:$B$5004,$J105))</f>
        <v/>
      </c>
      <c r="D105" s="50" t="str">
        <f>IF($J105="","",IF(INDEX('Mouvements'!$B$5:$B$5004,$J105)="Entrée",INDEX('Mouvements'!$E$5:$E$5004,$J105),""))</f>
        <v/>
      </c>
      <c r="E105" s="50" t="str">
        <f>IF($J105="","",IF(INDEX('Mouvements'!$B$5:$B$5004,$J105)="Sortie",INDEX('Mouvements'!$E$5:$E$5004,$J105),""))</f>
        <v/>
      </c>
      <c r="F105" s="50" t="str">
        <f>IF($J105="","",INDEX('Mouvements'!$K$5:$K$5004,$J105))</f>
        <v/>
      </c>
      <c r="G105" s="50" t="str">
        <f>IF($J105="","",INDEX('Mouvements'!$G$5:$G$5004,$J105)&amp;"")</f>
        <v/>
      </c>
      <c r="H105" s="50" t="str">
        <f>IF($J105="","",INDEX('Mouvements'!$H$5:$H$5004,$J105)&amp;"")</f>
        <v/>
      </c>
      <c r="I105" s="50" t="str">
        <f>IF($J105="","",INDEX('Mouvements'!$I$5:$I$5004,$J105)&amp;"")</f>
        <v/>
      </c>
      <c r="J105" t="str">
        <f>IF($C$4="","",IFERROR(MATCH($C$4&amp;"#"&amp;($J$9+95),mv_key,0),""))</f>
        <v/>
      </c>
    </row>
    <row r="106">
      <c r="B106" s="49" t="str">
        <f>IF($J106="","",INDEX('Mouvements'!$A$5:$A$5004,$J106))</f>
        <v/>
      </c>
      <c r="C106" s="50" t="str">
        <f>IF($J106="","",INDEX('Mouvements'!$B$5:$B$5004,$J106))</f>
        <v/>
      </c>
      <c r="D106" s="50" t="str">
        <f>IF($J106="","",IF(INDEX('Mouvements'!$B$5:$B$5004,$J106)="Entrée",INDEX('Mouvements'!$E$5:$E$5004,$J106),""))</f>
        <v/>
      </c>
      <c r="E106" s="50" t="str">
        <f>IF($J106="","",IF(INDEX('Mouvements'!$B$5:$B$5004,$J106)="Sortie",INDEX('Mouvements'!$E$5:$E$5004,$J106),""))</f>
        <v/>
      </c>
      <c r="F106" s="50" t="str">
        <f>IF($J106="","",INDEX('Mouvements'!$K$5:$K$5004,$J106))</f>
        <v/>
      </c>
      <c r="G106" s="50" t="str">
        <f>IF($J106="","",INDEX('Mouvements'!$G$5:$G$5004,$J106)&amp;"")</f>
        <v/>
      </c>
      <c r="H106" s="50" t="str">
        <f>IF($J106="","",INDEX('Mouvements'!$H$5:$H$5004,$J106)&amp;"")</f>
        <v/>
      </c>
      <c r="I106" s="50" t="str">
        <f>IF($J106="","",INDEX('Mouvements'!$I$5:$I$5004,$J106)&amp;"")</f>
        <v/>
      </c>
      <c r="J106" t="str">
        <f>IF($C$4="","",IFERROR(MATCH($C$4&amp;"#"&amp;($J$9+96),mv_key,0),""))</f>
        <v/>
      </c>
    </row>
    <row r="107">
      <c r="B107" s="49" t="str">
        <f>IF($J107="","",INDEX('Mouvements'!$A$5:$A$5004,$J107))</f>
        <v/>
      </c>
      <c r="C107" s="50" t="str">
        <f>IF($J107="","",INDEX('Mouvements'!$B$5:$B$5004,$J107))</f>
        <v/>
      </c>
      <c r="D107" s="50" t="str">
        <f>IF($J107="","",IF(INDEX('Mouvements'!$B$5:$B$5004,$J107)="Entrée",INDEX('Mouvements'!$E$5:$E$5004,$J107),""))</f>
        <v/>
      </c>
      <c r="E107" s="50" t="str">
        <f>IF($J107="","",IF(INDEX('Mouvements'!$B$5:$B$5004,$J107)="Sortie",INDEX('Mouvements'!$E$5:$E$5004,$J107),""))</f>
        <v/>
      </c>
      <c r="F107" s="50" t="str">
        <f>IF($J107="","",INDEX('Mouvements'!$K$5:$K$5004,$J107))</f>
        <v/>
      </c>
      <c r="G107" s="50" t="str">
        <f>IF($J107="","",INDEX('Mouvements'!$G$5:$G$5004,$J107)&amp;"")</f>
        <v/>
      </c>
      <c r="H107" s="50" t="str">
        <f>IF($J107="","",INDEX('Mouvements'!$H$5:$H$5004,$J107)&amp;"")</f>
        <v/>
      </c>
      <c r="I107" s="50" t="str">
        <f>IF($J107="","",INDEX('Mouvements'!$I$5:$I$5004,$J107)&amp;"")</f>
        <v/>
      </c>
      <c r="J107" t="str">
        <f>IF($C$4="","",IFERROR(MATCH($C$4&amp;"#"&amp;($J$9+97),mv_key,0),""))</f>
        <v/>
      </c>
    </row>
    <row r="108">
      <c r="B108" s="49" t="str">
        <f>IF($J108="","",INDEX('Mouvements'!$A$5:$A$5004,$J108))</f>
        <v/>
      </c>
      <c r="C108" s="50" t="str">
        <f>IF($J108="","",INDEX('Mouvements'!$B$5:$B$5004,$J108))</f>
        <v/>
      </c>
      <c r="D108" s="50" t="str">
        <f>IF($J108="","",IF(INDEX('Mouvements'!$B$5:$B$5004,$J108)="Entrée",INDEX('Mouvements'!$E$5:$E$5004,$J108),""))</f>
        <v/>
      </c>
      <c r="E108" s="50" t="str">
        <f>IF($J108="","",IF(INDEX('Mouvements'!$B$5:$B$5004,$J108)="Sortie",INDEX('Mouvements'!$E$5:$E$5004,$J108),""))</f>
        <v/>
      </c>
      <c r="F108" s="50" t="str">
        <f>IF($J108="","",INDEX('Mouvements'!$K$5:$K$5004,$J108))</f>
        <v/>
      </c>
      <c r="G108" s="50" t="str">
        <f>IF($J108="","",INDEX('Mouvements'!$G$5:$G$5004,$J108)&amp;"")</f>
        <v/>
      </c>
      <c r="H108" s="50" t="str">
        <f>IF($J108="","",INDEX('Mouvements'!$H$5:$H$5004,$J108)&amp;"")</f>
        <v/>
      </c>
      <c r="I108" s="50" t="str">
        <f>IF($J108="","",INDEX('Mouvements'!$I$5:$I$5004,$J108)&amp;"")</f>
        <v/>
      </c>
      <c r="J108" t="str">
        <f>IF($C$4="","",IFERROR(MATCH($C$4&amp;"#"&amp;($J$9+98),mv_key,0),""))</f>
        <v/>
      </c>
    </row>
    <row r="109">
      <c r="B109" s="49" t="str">
        <f>IF($J109="","",INDEX('Mouvements'!$A$5:$A$5004,$J109))</f>
        <v/>
      </c>
      <c r="C109" s="50" t="str">
        <f>IF($J109="","",INDEX('Mouvements'!$B$5:$B$5004,$J109))</f>
        <v/>
      </c>
      <c r="D109" s="50" t="str">
        <f>IF($J109="","",IF(INDEX('Mouvements'!$B$5:$B$5004,$J109)="Entrée",INDEX('Mouvements'!$E$5:$E$5004,$J109),""))</f>
        <v/>
      </c>
      <c r="E109" s="50" t="str">
        <f>IF($J109="","",IF(INDEX('Mouvements'!$B$5:$B$5004,$J109)="Sortie",INDEX('Mouvements'!$E$5:$E$5004,$J109),""))</f>
        <v/>
      </c>
      <c r="F109" s="50" t="str">
        <f>IF($J109="","",INDEX('Mouvements'!$K$5:$K$5004,$J109))</f>
        <v/>
      </c>
      <c r="G109" s="50" t="str">
        <f>IF($J109="","",INDEX('Mouvements'!$G$5:$G$5004,$J109)&amp;"")</f>
        <v/>
      </c>
      <c r="H109" s="50" t="str">
        <f>IF($J109="","",INDEX('Mouvements'!$H$5:$H$5004,$J109)&amp;"")</f>
        <v/>
      </c>
      <c r="I109" s="50" t="str">
        <f>IF($J109="","",INDEX('Mouvements'!$I$5:$I$5004,$J109)&amp;"")</f>
        <v/>
      </c>
      <c r="J109" t="str">
        <f>IF($C$4="","",IFERROR(MATCH($C$4&amp;"#"&amp;($J$9+99),mv_key,0),""))</f>
        <v/>
      </c>
    </row>
    <row r="110">
      <c r="B110" s="49" t="str">
        <f>IF($J110="","",INDEX('Mouvements'!$A$5:$A$5004,$J110))</f>
        <v/>
      </c>
      <c r="C110" s="50" t="str">
        <f>IF($J110="","",INDEX('Mouvements'!$B$5:$B$5004,$J110))</f>
        <v/>
      </c>
      <c r="D110" s="50" t="str">
        <f>IF($J110="","",IF(INDEX('Mouvements'!$B$5:$B$5004,$J110)="Entrée",INDEX('Mouvements'!$E$5:$E$5004,$J110),""))</f>
        <v/>
      </c>
      <c r="E110" s="50" t="str">
        <f>IF($J110="","",IF(INDEX('Mouvements'!$B$5:$B$5004,$J110)="Sortie",INDEX('Mouvements'!$E$5:$E$5004,$J110),""))</f>
        <v/>
      </c>
      <c r="F110" s="50" t="str">
        <f>IF($J110="","",INDEX('Mouvements'!$K$5:$K$5004,$J110))</f>
        <v/>
      </c>
      <c r="G110" s="50" t="str">
        <f>IF($J110="","",INDEX('Mouvements'!$G$5:$G$5004,$J110)&amp;"")</f>
        <v/>
      </c>
      <c r="H110" s="50" t="str">
        <f>IF($J110="","",INDEX('Mouvements'!$H$5:$H$5004,$J110)&amp;"")</f>
        <v/>
      </c>
      <c r="I110" s="50" t="str">
        <f>IF($J110="","",INDEX('Mouvements'!$I$5:$I$5004,$J110)&amp;"")</f>
        <v/>
      </c>
      <c r="J110" t="str">
        <f>IF($C$4="","",IFERROR(MATCH($C$4&amp;"#"&amp;($J$9+100),mv_key,0),""))</f>
        <v/>
      </c>
    </row>
    <row r="111">
      <c r="B111" s="49" t="str">
        <f>IF($J111="","",INDEX('Mouvements'!$A$5:$A$5004,$J111))</f>
        <v/>
      </c>
      <c r="C111" s="50" t="str">
        <f>IF($J111="","",INDEX('Mouvements'!$B$5:$B$5004,$J111))</f>
        <v/>
      </c>
      <c r="D111" s="50" t="str">
        <f>IF($J111="","",IF(INDEX('Mouvements'!$B$5:$B$5004,$J111)="Entrée",INDEX('Mouvements'!$E$5:$E$5004,$J111),""))</f>
        <v/>
      </c>
      <c r="E111" s="50" t="str">
        <f>IF($J111="","",IF(INDEX('Mouvements'!$B$5:$B$5004,$J111)="Sortie",INDEX('Mouvements'!$E$5:$E$5004,$J111),""))</f>
        <v/>
      </c>
      <c r="F111" s="50" t="str">
        <f>IF($J111="","",INDEX('Mouvements'!$K$5:$K$5004,$J111))</f>
        <v/>
      </c>
      <c r="G111" s="50" t="str">
        <f>IF($J111="","",INDEX('Mouvements'!$G$5:$G$5004,$J111)&amp;"")</f>
        <v/>
      </c>
      <c r="H111" s="50" t="str">
        <f>IF($J111="","",INDEX('Mouvements'!$H$5:$H$5004,$J111)&amp;"")</f>
        <v/>
      </c>
      <c r="I111" s="50" t="str">
        <f>IF($J111="","",INDEX('Mouvements'!$I$5:$I$5004,$J111)&amp;"")</f>
        <v/>
      </c>
      <c r="J111" t="str">
        <f>IF($C$4="","",IFERROR(MATCH($C$4&amp;"#"&amp;($J$9+101),mv_key,0),""))</f>
        <v/>
      </c>
    </row>
    <row r="112">
      <c r="B112" s="49" t="str">
        <f>IF($J112="","",INDEX('Mouvements'!$A$5:$A$5004,$J112))</f>
        <v/>
      </c>
      <c r="C112" s="50" t="str">
        <f>IF($J112="","",INDEX('Mouvements'!$B$5:$B$5004,$J112))</f>
        <v/>
      </c>
      <c r="D112" s="50" t="str">
        <f>IF($J112="","",IF(INDEX('Mouvements'!$B$5:$B$5004,$J112)="Entrée",INDEX('Mouvements'!$E$5:$E$5004,$J112),""))</f>
        <v/>
      </c>
      <c r="E112" s="50" t="str">
        <f>IF($J112="","",IF(INDEX('Mouvements'!$B$5:$B$5004,$J112)="Sortie",INDEX('Mouvements'!$E$5:$E$5004,$J112),""))</f>
        <v/>
      </c>
      <c r="F112" s="50" t="str">
        <f>IF($J112="","",INDEX('Mouvements'!$K$5:$K$5004,$J112))</f>
        <v/>
      </c>
      <c r="G112" s="50" t="str">
        <f>IF($J112="","",INDEX('Mouvements'!$G$5:$G$5004,$J112)&amp;"")</f>
        <v/>
      </c>
      <c r="H112" s="50" t="str">
        <f>IF($J112="","",INDEX('Mouvements'!$H$5:$H$5004,$J112)&amp;"")</f>
        <v/>
      </c>
      <c r="I112" s="50" t="str">
        <f>IF($J112="","",INDEX('Mouvements'!$I$5:$I$5004,$J112)&amp;"")</f>
        <v/>
      </c>
      <c r="J112" t="str">
        <f>IF($C$4="","",IFERROR(MATCH($C$4&amp;"#"&amp;($J$9+102),mv_key,0),""))</f>
        <v/>
      </c>
    </row>
    <row r="113">
      <c r="B113" s="49" t="str">
        <f>IF($J113="","",INDEX('Mouvements'!$A$5:$A$5004,$J113))</f>
        <v/>
      </c>
      <c r="C113" s="50" t="str">
        <f>IF($J113="","",INDEX('Mouvements'!$B$5:$B$5004,$J113))</f>
        <v/>
      </c>
      <c r="D113" s="50" t="str">
        <f>IF($J113="","",IF(INDEX('Mouvements'!$B$5:$B$5004,$J113)="Entrée",INDEX('Mouvements'!$E$5:$E$5004,$J113),""))</f>
        <v/>
      </c>
      <c r="E113" s="50" t="str">
        <f>IF($J113="","",IF(INDEX('Mouvements'!$B$5:$B$5004,$J113)="Sortie",INDEX('Mouvements'!$E$5:$E$5004,$J113),""))</f>
        <v/>
      </c>
      <c r="F113" s="50" t="str">
        <f>IF($J113="","",INDEX('Mouvements'!$K$5:$K$5004,$J113))</f>
        <v/>
      </c>
      <c r="G113" s="50" t="str">
        <f>IF($J113="","",INDEX('Mouvements'!$G$5:$G$5004,$J113)&amp;"")</f>
        <v/>
      </c>
      <c r="H113" s="50" t="str">
        <f>IF($J113="","",INDEX('Mouvements'!$H$5:$H$5004,$J113)&amp;"")</f>
        <v/>
      </c>
      <c r="I113" s="50" t="str">
        <f>IF($J113="","",INDEX('Mouvements'!$I$5:$I$5004,$J113)&amp;"")</f>
        <v/>
      </c>
      <c r="J113" t="str">
        <f>IF($C$4="","",IFERROR(MATCH($C$4&amp;"#"&amp;($J$9+103),mv_key,0),""))</f>
        <v/>
      </c>
    </row>
    <row r="114">
      <c r="B114" s="49" t="str">
        <f>IF($J114="","",INDEX('Mouvements'!$A$5:$A$5004,$J114))</f>
        <v/>
      </c>
      <c r="C114" s="50" t="str">
        <f>IF($J114="","",INDEX('Mouvements'!$B$5:$B$5004,$J114))</f>
        <v/>
      </c>
      <c r="D114" s="50" t="str">
        <f>IF($J114="","",IF(INDEX('Mouvements'!$B$5:$B$5004,$J114)="Entrée",INDEX('Mouvements'!$E$5:$E$5004,$J114),""))</f>
        <v/>
      </c>
      <c r="E114" s="50" t="str">
        <f>IF($J114="","",IF(INDEX('Mouvements'!$B$5:$B$5004,$J114)="Sortie",INDEX('Mouvements'!$E$5:$E$5004,$J114),""))</f>
        <v/>
      </c>
      <c r="F114" s="50" t="str">
        <f>IF($J114="","",INDEX('Mouvements'!$K$5:$K$5004,$J114))</f>
        <v/>
      </c>
      <c r="G114" s="50" t="str">
        <f>IF($J114="","",INDEX('Mouvements'!$G$5:$G$5004,$J114)&amp;"")</f>
        <v/>
      </c>
      <c r="H114" s="50" t="str">
        <f>IF($J114="","",INDEX('Mouvements'!$H$5:$H$5004,$J114)&amp;"")</f>
        <v/>
      </c>
      <c r="I114" s="50" t="str">
        <f>IF($J114="","",INDEX('Mouvements'!$I$5:$I$5004,$J114)&amp;"")</f>
        <v/>
      </c>
      <c r="J114" t="str">
        <f>IF($C$4="","",IFERROR(MATCH($C$4&amp;"#"&amp;($J$9+104),mv_key,0),""))</f>
        <v/>
      </c>
    </row>
    <row r="115">
      <c r="B115" s="49" t="str">
        <f>IF($J115="","",INDEX('Mouvements'!$A$5:$A$5004,$J115))</f>
        <v/>
      </c>
      <c r="C115" s="50" t="str">
        <f>IF($J115="","",INDEX('Mouvements'!$B$5:$B$5004,$J115))</f>
        <v/>
      </c>
      <c r="D115" s="50" t="str">
        <f>IF($J115="","",IF(INDEX('Mouvements'!$B$5:$B$5004,$J115)="Entrée",INDEX('Mouvements'!$E$5:$E$5004,$J115),""))</f>
        <v/>
      </c>
      <c r="E115" s="50" t="str">
        <f>IF($J115="","",IF(INDEX('Mouvements'!$B$5:$B$5004,$J115)="Sortie",INDEX('Mouvements'!$E$5:$E$5004,$J115),""))</f>
        <v/>
      </c>
      <c r="F115" s="50" t="str">
        <f>IF($J115="","",INDEX('Mouvements'!$K$5:$K$5004,$J115))</f>
        <v/>
      </c>
      <c r="G115" s="50" t="str">
        <f>IF($J115="","",INDEX('Mouvements'!$G$5:$G$5004,$J115)&amp;"")</f>
        <v/>
      </c>
      <c r="H115" s="50" t="str">
        <f>IF($J115="","",INDEX('Mouvements'!$H$5:$H$5004,$J115)&amp;"")</f>
        <v/>
      </c>
      <c r="I115" s="50" t="str">
        <f>IF($J115="","",INDEX('Mouvements'!$I$5:$I$5004,$J115)&amp;"")</f>
        <v/>
      </c>
      <c r="J115" t="str">
        <f>IF($C$4="","",IFERROR(MATCH($C$4&amp;"#"&amp;($J$9+105),mv_key,0),""))</f>
        <v/>
      </c>
    </row>
    <row r="116">
      <c r="B116" s="49" t="str">
        <f>IF($J116="","",INDEX('Mouvements'!$A$5:$A$5004,$J116))</f>
        <v/>
      </c>
      <c r="C116" s="50" t="str">
        <f>IF($J116="","",INDEX('Mouvements'!$B$5:$B$5004,$J116))</f>
        <v/>
      </c>
      <c r="D116" s="50" t="str">
        <f>IF($J116="","",IF(INDEX('Mouvements'!$B$5:$B$5004,$J116)="Entrée",INDEX('Mouvements'!$E$5:$E$5004,$J116),""))</f>
        <v/>
      </c>
      <c r="E116" s="50" t="str">
        <f>IF($J116="","",IF(INDEX('Mouvements'!$B$5:$B$5004,$J116)="Sortie",INDEX('Mouvements'!$E$5:$E$5004,$J116),""))</f>
        <v/>
      </c>
      <c r="F116" s="50" t="str">
        <f>IF($J116="","",INDEX('Mouvements'!$K$5:$K$5004,$J116))</f>
        <v/>
      </c>
      <c r="G116" s="50" t="str">
        <f>IF($J116="","",INDEX('Mouvements'!$G$5:$G$5004,$J116)&amp;"")</f>
        <v/>
      </c>
      <c r="H116" s="50" t="str">
        <f>IF($J116="","",INDEX('Mouvements'!$H$5:$H$5004,$J116)&amp;"")</f>
        <v/>
      </c>
      <c r="I116" s="50" t="str">
        <f>IF($J116="","",INDEX('Mouvements'!$I$5:$I$5004,$J116)&amp;"")</f>
        <v/>
      </c>
      <c r="J116" t="str">
        <f>IF($C$4="","",IFERROR(MATCH($C$4&amp;"#"&amp;($J$9+106),mv_key,0),""))</f>
        <v/>
      </c>
    </row>
    <row r="117">
      <c r="B117" s="49" t="str">
        <f>IF($J117="","",INDEX('Mouvements'!$A$5:$A$5004,$J117))</f>
        <v/>
      </c>
      <c r="C117" s="50" t="str">
        <f>IF($J117="","",INDEX('Mouvements'!$B$5:$B$5004,$J117))</f>
        <v/>
      </c>
      <c r="D117" s="50" t="str">
        <f>IF($J117="","",IF(INDEX('Mouvements'!$B$5:$B$5004,$J117)="Entrée",INDEX('Mouvements'!$E$5:$E$5004,$J117),""))</f>
        <v/>
      </c>
      <c r="E117" s="50" t="str">
        <f>IF($J117="","",IF(INDEX('Mouvements'!$B$5:$B$5004,$J117)="Sortie",INDEX('Mouvements'!$E$5:$E$5004,$J117),""))</f>
        <v/>
      </c>
      <c r="F117" s="50" t="str">
        <f>IF($J117="","",INDEX('Mouvements'!$K$5:$K$5004,$J117))</f>
        <v/>
      </c>
      <c r="G117" s="50" t="str">
        <f>IF($J117="","",INDEX('Mouvements'!$G$5:$G$5004,$J117)&amp;"")</f>
        <v/>
      </c>
      <c r="H117" s="50" t="str">
        <f>IF($J117="","",INDEX('Mouvements'!$H$5:$H$5004,$J117)&amp;"")</f>
        <v/>
      </c>
      <c r="I117" s="50" t="str">
        <f>IF($J117="","",INDEX('Mouvements'!$I$5:$I$5004,$J117)&amp;"")</f>
        <v/>
      </c>
      <c r="J117" t="str">
        <f>IF($C$4="","",IFERROR(MATCH($C$4&amp;"#"&amp;($J$9+107),mv_key,0),""))</f>
        <v/>
      </c>
    </row>
    <row r="118">
      <c r="B118" s="49" t="str">
        <f>IF($J118="","",INDEX('Mouvements'!$A$5:$A$5004,$J118))</f>
        <v/>
      </c>
      <c r="C118" s="50" t="str">
        <f>IF($J118="","",INDEX('Mouvements'!$B$5:$B$5004,$J118))</f>
        <v/>
      </c>
      <c r="D118" s="50" t="str">
        <f>IF($J118="","",IF(INDEX('Mouvements'!$B$5:$B$5004,$J118)="Entrée",INDEX('Mouvements'!$E$5:$E$5004,$J118),""))</f>
        <v/>
      </c>
      <c r="E118" s="50" t="str">
        <f>IF($J118="","",IF(INDEX('Mouvements'!$B$5:$B$5004,$J118)="Sortie",INDEX('Mouvements'!$E$5:$E$5004,$J118),""))</f>
        <v/>
      </c>
      <c r="F118" s="50" t="str">
        <f>IF($J118="","",INDEX('Mouvements'!$K$5:$K$5004,$J118))</f>
        <v/>
      </c>
      <c r="G118" s="50" t="str">
        <f>IF($J118="","",INDEX('Mouvements'!$G$5:$G$5004,$J118)&amp;"")</f>
        <v/>
      </c>
      <c r="H118" s="50" t="str">
        <f>IF($J118="","",INDEX('Mouvements'!$H$5:$H$5004,$J118)&amp;"")</f>
        <v/>
      </c>
      <c r="I118" s="50" t="str">
        <f>IF($J118="","",INDEX('Mouvements'!$I$5:$I$5004,$J118)&amp;"")</f>
        <v/>
      </c>
      <c r="J118" t="str">
        <f>IF($C$4="","",IFERROR(MATCH($C$4&amp;"#"&amp;($J$9+108),mv_key,0),""))</f>
        <v/>
      </c>
    </row>
    <row r="119">
      <c r="B119" s="49" t="str">
        <f>IF($J119="","",INDEX('Mouvements'!$A$5:$A$5004,$J119))</f>
        <v/>
      </c>
      <c r="C119" s="50" t="str">
        <f>IF($J119="","",INDEX('Mouvements'!$B$5:$B$5004,$J119))</f>
        <v/>
      </c>
      <c r="D119" s="50" t="str">
        <f>IF($J119="","",IF(INDEX('Mouvements'!$B$5:$B$5004,$J119)="Entrée",INDEX('Mouvements'!$E$5:$E$5004,$J119),""))</f>
        <v/>
      </c>
      <c r="E119" s="50" t="str">
        <f>IF($J119="","",IF(INDEX('Mouvements'!$B$5:$B$5004,$J119)="Sortie",INDEX('Mouvements'!$E$5:$E$5004,$J119),""))</f>
        <v/>
      </c>
      <c r="F119" s="50" t="str">
        <f>IF($J119="","",INDEX('Mouvements'!$K$5:$K$5004,$J119))</f>
        <v/>
      </c>
      <c r="G119" s="50" t="str">
        <f>IF($J119="","",INDEX('Mouvements'!$G$5:$G$5004,$J119)&amp;"")</f>
        <v/>
      </c>
      <c r="H119" s="50" t="str">
        <f>IF($J119="","",INDEX('Mouvements'!$H$5:$H$5004,$J119)&amp;"")</f>
        <v/>
      </c>
      <c r="I119" s="50" t="str">
        <f>IF($J119="","",INDEX('Mouvements'!$I$5:$I$5004,$J119)&amp;"")</f>
        <v/>
      </c>
      <c r="J119" t="str">
        <f>IF($C$4="","",IFERROR(MATCH($C$4&amp;"#"&amp;($J$9+109),mv_key,0),""))</f>
        <v/>
      </c>
    </row>
    <row r="120">
      <c r="B120" s="49" t="str">
        <f>IF($J120="","",INDEX('Mouvements'!$A$5:$A$5004,$J120))</f>
        <v/>
      </c>
      <c r="C120" s="50" t="str">
        <f>IF($J120="","",INDEX('Mouvements'!$B$5:$B$5004,$J120))</f>
        <v/>
      </c>
      <c r="D120" s="50" t="str">
        <f>IF($J120="","",IF(INDEX('Mouvements'!$B$5:$B$5004,$J120)="Entrée",INDEX('Mouvements'!$E$5:$E$5004,$J120),""))</f>
        <v/>
      </c>
      <c r="E120" s="50" t="str">
        <f>IF($J120="","",IF(INDEX('Mouvements'!$B$5:$B$5004,$J120)="Sortie",INDEX('Mouvements'!$E$5:$E$5004,$J120),""))</f>
        <v/>
      </c>
      <c r="F120" s="50" t="str">
        <f>IF($J120="","",INDEX('Mouvements'!$K$5:$K$5004,$J120))</f>
        <v/>
      </c>
      <c r="G120" s="50" t="str">
        <f>IF($J120="","",INDEX('Mouvements'!$G$5:$G$5004,$J120)&amp;"")</f>
        <v/>
      </c>
      <c r="H120" s="50" t="str">
        <f>IF($J120="","",INDEX('Mouvements'!$H$5:$H$5004,$J120)&amp;"")</f>
        <v/>
      </c>
      <c r="I120" s="50" t="str">
        <f>IF($J120="","",INDEX('Mouvements'!$I$5:$I$5004,$J120)&amp;"")</f>
        <v/>
      </c>
      <c r="J120" t="str">
        <f>IF($C$4="","",IFERROR(MATCH($C$4&amp;"#"&amp;($J$9+110),mv_key,0),""))</f>
        <v/>
      </c>
    </row>
    <row r="121">
      <c r="B121" s="49" t="str">
        <f>IF($J121="","",INDEX('Mouvements'!$A$5:$A$5004,$J121))</f>
        <v/>
      </c>
      <c r="C121" s="50" t="str">
        <f>IF($J121="","",INDEX('Mouvements'!$B$5:$B$5004,$J121))</f>
        <v/>
      </c>
      <c r="D121" s="50" t="str">
        <f>IF($J121="","",IF(INDEX('Mouvements'!$B$5:$B$5004,$J121)="Entrée",INDEX('Mouvements'!$E$5:$E$5004,$J121),""))</f>
        <v/>
      </c>
      <c r="E121" s="50" t="str">
        <f>IF($J121="","",IF(INDEX('Mouvements'!$B$5:$B$5004,$J121)="Sortie",INDEX('Mouvements'!$E$5:$E$5004,$J121),""))</f>
        <v/>
      </c>
      <c r="F121" s="50" t="str">
        <f>IF($J121="","",INDEX('Mouvements'!$K$5:$K$5004,$J121))</f>
        <v/>
      </c>
      <c r="G121" s="50" t="str">
        <f>IF($J121="","",INDEX('Mouvements'!$G$5:$G$5004,$J121)&amp;"")</f>
        <v/>
      </c>
      <c r="H121" s="50" t="str">
        <f>IF($J121="","",INDEX('Mouvements'!$H$5:$H$5004,$J121)&amp;"")</f>
        <v/>
      </c>
      <c r="I121" s="50" t="str">
        <f>IF($J121="","",INDEX('Mouvements'!$I$5:$I$5004,$J121)&amp;"")</f>
        <v/>
      </c>
      <c r="J121" t="str">
        <f>IF($C$4="","",IFERROR(MATCH($C$4&amp;"#"&amp;($J$9+111),mv_key,0),""))</f>
        <v/>
      </c>
    </row>
    <row r="122">
      <c r="B122" s="49" t="str">
        <f>IF($J122="","",INDEX('Mouvements'!$A$5:$A$5004,$J122))</f>
        <v/>
      </c>
      <c r="C122" s="50" t="str">
        <f>IF($J122="","",INDEX('Mouvements'!$B$5:$B$5004,$J122))</f>
        <v/>
      </c>
      <c r="D122" s="50" t="str">
        <f>IF($J122="","",IF(INDEX('Mouvements'!$B$5:$B$5004,$J122)="Entrée",INDEX('Mouvements'!$E$5:$E$5004,$J122),""))</f>
        <v/>
      </c>
      <c r="E122" s="50" t="str">
        <f>IF($J122="","",IF(INDEX('Mouvements'!$B$5:$B$5004,$J122)="Sortie",INDEX('Mouvements'!$E$5:$E$5004,$J122),""))</f>
        <v/>
      </c>
      <c r="F122" s="50" t="str">
        <f>IF($J122="","",INDEX('Mouvements'!$K$5:$K$5004,$J122))</f>
        <v/>
      </c>
      <c r="G122" s="50" t="str">
        <f>IF($J122="","",INDEX('Mouvements'!$G$5:$G$5004,$J122)&amp;"")</f>
        <v/>
      </c>
      <c r="H122" s="50" t="str">
        <f>IF($J122="","",INDEX('Mouvements'!$H$5:$H$5004,$J122)&amp;"")</f>
        <v/>
      </c>
      <c r="I122" s="50" t="str">
        <f>IF($J122="","",INDEX('Mouvements'!$I$5:$I$5004,$J122)&amp;"")</f>
        <v/>
      </c>
      <c r="J122" t="str">
        <f>IF($C$4="","",IFERROR(MATCH($C$4&amp;"#"&amp;($J$9+112),mv_key,0),""))</f>
        <v/>
      </c>
    </row>
    <row r="123">
      <c r="B123" s="49" t="str">
        <f>IF($J123="","",INDEX('Mouvements'!$A$5:$A$5004,$J123))</f>
        <v/>
      </c>
      <c r="C123" s="50" t="str">
        <f>IF($J123="","",INDEX('Mouvements'!$B$5:$B$5004,$J123))</f>
        <v/>
      </c>
      <c r="D123" s="50" t="str">
        <f>IF($J123="","",IF(INDEX('Mouvements'!$B$5:$B$5004,$J123)="Entrée",INDEX('Mouvements'!$E$5:$E$5004,$J123),""))</f>
        <v/>
      </c>
      <c r="E123" s="50" t="str">
        <f>IF($J123="","",IF(INDEX('Mouvements'!$B$5:$B$5004,$J123)="Sortie",INDEX('Mouvements'!$E$5:$E$5004,$J123),""))</f>
        <v/>
      </c>
      <c r="F123" s="50" t="str">
        <f>IF($J123="","",INDEX('Mouvements'!$K$5:$K$5004,$J123))</f>
        <v/>
      </c>
      <c r="G123" s="50" t="str">
        <f>IF($J123="","",INDEX('Mouvements'!$G$5:$G$5004,$J123)&amp;"")</f>
        <v/>
      </c>
      <c r="H123" s="50" t="str">
        <f>IF($J123="","",INDEX('Mouvements'!$H$5:$H$5004,$J123)&amp;"")</f>
        <v/>
      </c>
      <c r="I123" s="50" t="str">
        <f>IF($J123="","",INDEX('Mouvements'!$I$5:$I$5004,$J123)&amp;"")</f>
        <v/>
      </c>
      <c r="J123" t="str">
        <f>IF($C$4="","",IFERROR(MATCH($C$4&amp;"#"&amp;($J$9+113),mv_key,0),""))</f>
        <v/>
      </c>
    </row>
    <row r="124">
      <c r="B124" s="49" t="str">
        <f>IF($J124="","",INDEX('Mouvements'!$A$5:$A$5004,$J124))</f>
        <v/>
      </c>
      <c r="C124" s="50" t="str">
        <f>IF($J124="","",INDEX('Mouvements'!$B$5:$B$5004,$J124))</f>
        <v/>
      </c>
      <c r="D124" s="50" t="str">
        <f>IF($J124="","",IF(INDEX('Mouvements'!$B$5:$B$5004,$J124)="Entrée",INDEX('Mouvements'!$E$5:$E$5004,$J124),""))</f>
        <v/>
      </c>
      <c r="E124" s="50" t="str">
        <f>IF($J124="","",IF(INDEX('Mouvements'!$B$5:$B$5004,$J124)="Sortie",INDEX('Mouvements'!$E$5:$E$5004,$J124),""))</f>
        <v/>
      </c>
      <c r="F124" s="50" t="str">
        <f>IF($J124="","",INDEX('Mouvements'!$K$5:$K$5004,$J124))</f>
        <v/>
      </c>
      <c r="G124" s="50" t="str">
        <f>IF($J124="","",INDEX('Mouvements'!$G$5:$G$5004,$J124)&amp;"")</f>
        <v/>
      </c>
      <c r="H124" s="50" t="str">
        <f>IF($J124="","",INDEX('Mouvements'!$H$5:$H$5004,$J124)&amp;"")</f>
        <v/>
      </c>
      <c r="I124" s="50" t="str">
        <f>IF($J124="","",INDEX('Mouvements'!$I$5:$I$5004,$J124)&amp;"")</f>
        <v/>
      </c>
      <c r="J124" t="str">
        <f>IF($C$4="","",IFERROR(MATCH($C$4&amp;"#"&amp;($J$9+114),mv_key,0),""))</f>
        <v/>
      </c>
    </row>
    <row r="125">
      <c r="B125" s="49" t="str">
        <f>IF($J125="","",INDEX('Mouvements'!$A$5:$A$5004,$J125))</f>
        <v/>
      </c>
      <c r="C125" s="50" t="str">
        <f>IF($J125="","",INDEX('Mouvements'!$B$5:$B$5004,$J125))</f>
        <v/>
      </c>
      <c r="D125" s="50" t="str">
        <f>IF($J125="","",IF(INDEX('Mouvements'!$B$5:$B$5004,$J125)="Entrée",INDEX('Mouvements'!$E$5:$E$5004,$J125),""))</f>
        <v/>
      </c>
      <c r="E125" s="50" t="str">
        <f>IF($J125="","",IF(INDEX('Mouvements'!$B$5:$B$5004,$J125)="Sortie",INDEX('Mouvements'!$E$5:$E$5004,$J125),""))</f>
        <v/>
      </c>
      <c r="F125" s="50" t="str">
        <f>IF($J125="","",INDEX('Mouvements'!$K$5:$K$5004,$J125))</f>
        <v/>
      </c>
      <c r="G125" s="50" t="str">
        <f>IF($J125="","",INDEX('Mouvements'!$G$5:$G$5004,$J125)&amp;"")</f>
        <v/>
      </c>
      <c r="H125" s="50" t="str">
        <f>IF($J125="","",INDEX('Mouvements'!$H$5:$H$5004,$J125)&amp;"")</f>
        <v/>
      </c>
      <c r="I125" s="50" t="str">
        <f>IF($J125="","",INDEX('Mouvements'!$I$5:$I$5004,$J125)&amp;"")</f>
        <v/>
      </c>
      <c r="J125" t="str">
        <f>IF($C$4="","",IFERROR(MATCH($C$4&amp;"#"&amp;($J$9+115),mv_key,0),""))</f>
        <v/>
      </c>
    </row>
    <row r="126">
      <c r="B126" s="49" t="str">
        <f>IF($J126="","",INDEX('Mouvements'!$A$5:$A$5004,$J126))</f>
        <v/>
      </c>
      <c r="C126" s="50" t="str">
        <f>IF($J126="","",INDEX('Mouvements'!$B$5:$B$5004,$J126))</f>
        <v/>
      </c>
      <c r="D126" s="50" t="str">
        <f>IF($J126="","",IF(INDEX('Mouvements'!$B$5:$B$5004,$J126)="Entrée",INDEX('Mouvements'!$E$5:$E$5004,$J126),""))</f>
        <v/>
      </c>
      <c r="E126" s="50" t="str">
        <f>IF($J126="","",IF(INDEX('Mouvements'!$B$5:$B$5004,$J126)="Sortie",INDEX('Mouvements'!$E$5:$E$5004,$J126),""))</f>
        <v/>
      </c>
      <c r="F126" s="50" t="str">
        <f>IF($J126="","",INDEX('Mouvements'!$K$5:$K$5004,$J126))</f>
        <v/>
      </c>
      <c r="G126" s="50" t="str">
        <f>IF($J126="","",INDEX('Mouvements'!$G$5:$G$5004,$J126)&amp;"")</f>
        <v/>
      </c>
      <c r="H126" s="50" t="str">
        <f>IF($J126="","",INDEX('Mouvements'!$H$5:$H$5004,$J126)&amp;"")</f>
        <v/>
      </c>
      <c r="I126" s="50" t="str">
        <f>IF($J126="","",INDEX('Mouvements'!$I$5:$I$5004,$J126)&amp;"")</f>
        <v/>
      </c>
      <c r="J126" t="str">
        <f>IF($C$4="","",IFERROR(MATCH($C$4&amp;"#"&amp;($J$9+116),mv_key,0),""))</f>
        <v/>
      </c>
    </row>
    <row r="127">
      <c r="B127" s="49" t="str">
        <f>IF($J127="","",INDEX('Mouvements'!$A$5:$A$5004,$J127))</f>
        <v/>
      </c>
      <c r="C127" s="50" t="str">
        <f>IF($J127="","",INDEX('Mouvements'!$B$5:$B$5004,$J127))</f>
        <v/>
      </c>
      <c r="D127" s="50" t="str">
        <f>IF($J127="","",IF(INDEX('Mouvements'!$B$5:$B$5004,$J127)="Entrée",INDEX('Mouvements'!$E$5:$E$5004,$J127),""))</f>
        <v/>
      </c>
      <c r="E127" s="50" t="str">
        <f>IF($J127="","",IF(INDEX('Mouvements'!$B$5:$B$5004,$J127)="Sortie",INDEX('Mouvements'!$E$5:$E$5004,$J127),""))</f>
        <v/>
      </c>
      <c r="F127" s="50" t="str">
        <f>IF($J127="","",INDEX('Mouvements'!$K$5:$K$5004,$J127))</f>
        <v/>
      </c>
      <c r="G127" s="50" t="str">
        <f>IF($J127="","",INDEX('Mouvements'!$G$5:$G$5004,$J127)&amp;"")</f>
        <v/>
      </c>
      <c r="H127" s="50" t="str">
        <f>IF($J127="","",INDEX('Mouvements'!$H$5:$H$5004,$J127)&amp;"")</f>
        <v/>
      </c>
      <c r="I127" s="50" t="str">
        <f>IF($J127="","",INDEX('Mouvements'!$I$5:$I$5004,$J127)&amp;"")</f>
        <v/>
      </c>
      <c r="J127" t="str">
        <f>IF($C$4="","",IFERROR(MATCH($C$4&amp;"#"&amp;($J$9+117),mv_key,0),""))</f>
        <v/>
      </c>
    </row>
    <row r="128">
      <c r="B128" s="49" t="str">
        <f>IF($J128="","",INDEX('Mouvements'!$A$5:$A$5004,$J128))</f>
        <v/>
      </c>
      <c r="C128" s="50" t="str">
        <f>IF($J128="","",INDEX('Mouvements'!$B$5:$B$5004,$J128))</f>
        <v/>
      </c>
      <c r="D128" s="50" t="str">
        <f>IF($J128="","",IF(INDEX('Mouvements'!$B$5:$B$5004,$J128)="Entrée",INDEX('Mouvements'!$E$5:$E$5004,$J128),""))</f>
        <v/>
      </c>
      <c r="E128" s="50" t="str">
        <f>IF($J128="","",IF(INDEX('Mouvements'!$B$5:$B$5004,$J128)="Sortie",INDEX('Mouvements'!$E$5:$E$5004,$J128),""))</f>
        <v/>
      </c>
      <c r="F128" s="50" t="str">
        <f>IF($J128="","",INDEX('Mouvements'!$K$5:$K$5004,$J128))</f>
        <v/>
      </c>
      <c r="G128" s="50" t="str">
        <f>IF($J128="","",INDEX('Mouvements'!$G$5:$G$5004,$J128)&amp;"")</f>
        <v/>
      </c>
      <c r="H128" s="50" t="str">
        <f>IF($J128="","",INDEX('Mouvements'!$H$5:$H$5004,$J128)&amp;"")</f>
        <v/>
      </c>
      <c r="I128" s="50" t="str">
        <f>IF($J128="","",INDEX('Mouvements'!$I$5:$I$5004,$J128)&amp;"")</f>
        <v/>
      </c>
      <c r="J128" t="str">
        <f>IF($C$4="","",IFERROR(MATCH($C$4&amp;"#"&amp;($J$9+118),mv_key,0),""))</f>
        <v/>
      </c>
    </row>
    <row r="129">
      <c r="B129" s="49" t="str">
        <f>IF($J129="","",INDEX('Mouvements'!$A$5:$A$5004,$J129))</f>
        <v/>
      </c>
      <c r="C129" s="50" t="str">
        <f>IF($J129="","",INDEX('Mouvements'!$B$5:$B$5004,$J129))</f>
        <v/>
      </c>
      <c r="D129" s="50" t="str">
        <f>IF($J129="","",IF(INDEX('Mouvements'!$B$5:$B$5004,$J129)="Entrée",INDEX('Mouvements'!$E$5:$E$5004,$J129),""))</f>
        <v/>
      </c>
      <c r="E129" s="50" t="str">
        <f>IF($J129="","",IF(INDEX('Mouvements'!$B$5:$B$5004,$J129)="Sortie",INDEX('Mouvements'!$E$5:$E$5004,$J129),""))</f>
        <v/>
      </c>
      <c r="F129" s="50" t="str">
        <f>IF($J129="","",INDEX('Mouvements'!$K$5:$K$5004,$J129))</f>
        <v/>
      </c>
      <c r="G129" s="50" t="str">
        <f>IF($J129="","",INDEX('Mouvements'!$G$5:$G$5004,$J129)&amp;"")</f>
        <v/>
      </c>
      <c r="H129" s="50" t="str">
        <f>IF($J129="","",INDEX('Mouvements'!$H$5:$H$5004,$J129)&amp;"")</f>
        <v/>
      </c>
      <c r="I129" s="50" t="str">
        <f>IF($J129="","",INDEX('Mouvements'!$I$5:$I$5004,$J129)&amp;"")</f>
        <v/>
      </c>
      <c r="J129" t="str">
        <f>IF($C$4="","",IFERROR(MATCH($C$4&amp;"#"&amp;($J$9+119),mv_key,0),""))</f>
        <v/>
      </c>
    </row>
    <row r="130">
      <c r="B130" s="49" t="str">
        <f>IF($J130="","",INDEX('Mouvements'!$A$5:$A$5004,$J130))</f>
        <v/>
      </c>
      <c r="C130" s="50" t="str">
        <f>IF($J130="","",INDEX('Mouvements'!$B$5:$B$5004,$J130))</f>
        <v/>
      </c>
      <c r="D130" s="50" t="str">
        <f>IF($J130="","",IF(INDEX('Mouvements'!$B$5:$B$5004,$J130)="Entrée",INDEX('Mouvements'!$E$5:$E$5004,$J130),""))</f>
        <v/>
      </c>
      <c r="E130" s="50" t="str">
        <f>IF($J130="","",IF(INDEX('Mouvements'!$B$5:$B$5004,$J130)="Sortie",INDEX('Mouvements'!$E$5:$E$5004,$J130),""))</f>
        <v/>
      </c>
      <c r="F130" s="50" t="str">
        <f>IF($J130="","",INDEX('Mouvements'!$K$5:$K$5004,$J130))</f>
        <v/>
      </c>
      <c r="G130" s="50" t="str">
        <f>IF($J130="","",INDEX('Mouvements'!$G$5:$G$5004,$J130)&amp;"")</f>
        <v/>
      </c>
      <c r="H130" s="50" t="str">
        <f>IF($J130="","",INDEX('Mouvements'!$H$5:$H$5004,$J130)&amp;"")</f>
        <v/>
      </c>
      <c r="I130" s="50" t="str">
        <f>IF($J130="","",INDEX('Mouvements'!$I$5:$I$5004,$J130)&amp;"")</f>
        <v/>
      </c>
      <c r="J130" t="str">
        <f>IF($C$4="","",IFERROR(MATCH($C$4&amp;"#"&amp;($J$9+120),mv_key,0),""))</f>
        <v/>
      </c>
    </row>
    <row r="131">
      <c r="B131" s="49" t="str">
        <f>IF($J131="","",INDEX('Mouvements'!$A$5:$A$5004,$J131))</f>
        <v/>
      </c>
      <c r="C131" s="50" t="str">
        <f>IF($J131="","",INDEX('Mouvements'!$B$5:$B$5004,$J131))</f>
        <v/>
      </c>
      <c r="D131" s="50" t="str">
        <f>IF($J131="","",IF(INDEX('Mouvements'!$B$5:$B$5004,$J131)="Entrée",INDEX('Mouvements'!$E$5:$E$5004,$J131),""))</f>
        <v/>
      </c>
      <c r="E131" s="50" t="str">
        <f>IF($J131="","",IF(INDEX('Mouvements'!$B$5:$B$5004,$J131)="Sortie",INDEX('Mouvements'!$E$5:$E$5004,$J131),""))</f>
        <v/>
      </c>
      <c r="F131" s="50" t="str">
        <f>IF($J131="","",INDEX('Mouvements'!$K$5:$K$5004,$J131))</f>
        <v/>
      </c>
      <c r="G131" s="50" t="str">
        <f>IF($J131="","",INDEX('Mouvements'!$G$5:$G$5004,$J131)&amp;"")</f>
        <v/>
      </c>
      <c r="H131" s="50" t="str">
        <f>IF($J131="","",INDEX('Mouvements'!$H$5:$H$5004,$J131)&amp;"")</f>
        <v/>
      </c>
      <c r="I131" s="50" t="str">
        <f>IF($J131="","",INDEX('Mouvements'!$I$5:$I$5004,$J131)&amp;"")</f>
        <v/>
      </c>
      <c r="J131" t="str">
        <f>IF($C$4="","",IFERROR(MATCH($C$4&amp;"#"&amp;($J$9+121),mv_key,0),""))</f>
        <v/>
      </c>
    </row>
    <row r="132">
      <c r="B132" s="49" t="str">
        <f>IF($J132="","",INDEX('Mouvements'!$A$5:$A$5004,$J132))</f>
        <v/>
      </c>
      <c r="C132" s="50" t="str">
        <f>IF($J132="","",INDEX('Mouvements'!$B$5:$B$5004,$J132))</f>
        <v/>
      </c>
      <c r="D132" s="50" t="str">
        <f>IF($J132="","",IF(INDEX('Mouvements'!$B$5:$B$5004,$J132)="Entrée",INDEX('Mouvements'!$E$5:$E$5004,$J132),""))</f>
        <v/>
      </c>
      <c r="E132" s="50" t="str">
        <f>IF($J132="","",IF(INDEX('Mouvements'!$B$5:$B$5004,$J132)="Sortie",INDEX('Mouvements'!$E$5:$E$5004,$J132),""))</f>
        <v/>
      </c>
      <c r="F132" s="50" t="str">
        <f>IF($J132="","",INDEX('Mouvements'!$K$5:$K$5004,$J132))</f>
        <v/>
      </c>
      <c r="G132" s="50" t="str">
        <f>IF($J132="","",INDEX('Mouvements'!$G$5:$G$5004,$J132)&amp;"")</f>
        <v/>
      </c>
      <c r="H132" s="50" t="str">
        <f>IF($J132="","",INDEX('Mouvements'!$H$5:$H$5004,$J132)&amp;"")</f>
        <v/>
      </c>
      <c r="I132" s="50" t="str">
        <f>IF($J132="","",INDEX('Mouvements'!$I$5:$I$5004,$J132)&amp;"")</f>
        <v/>
      </c>
      <c r="J132" t="str">
        <f>IF($C$4="","",IFERROR(MATCH($C$4&amp;"#"&amp;($J$9+122),mv_key,0),""))</f>
        <v/>
      </c>
    </row>
    <row r="133">
      <c r="B133" s="49" t="str">
        <f>IF($J133="","",INDEX('Mouvements'!$A$5:$A$5004,$J133))</f>
        <v/>
      </c>
      <c r="C133" s="50" t="str">
        <f>IF($J133="","",INDEX('Mouvements'!$B$5:$B$5004,$J133))</f>
        <v/>
      </c>
      <c r="D133" s="50" t="str">
        <f>IF($J133="","",IF(INDEX('Mouvements'!$B$5:$B$5004,$J133)="Entrée",INDEX('Mouvements'!$E$5:$E$5004,$J133),""))</f>
        <v/>
      </c>
      <c r="E133" s="50" t="str">
        <f>IF($J133="","",IF(INDEX('Mouvements'!$B$5:$B$5004,$J133)="Sortie",INDEX('Mouvements'!$E$5:$E$5004,$J133),""))</f>
        <v/>
      </c>
      <c r="F133" s="50" t="str">
        <f>IF($J133="","",INDEX('Mouvements'!$K$5:$K$5004,$J133))</f>
        <v/>
      </c>
      <c r="G133" s="50" t="str">
        <f>IF($J133="","",INDEX('Mouvements'!$G$5:$G$5004,$J133)&amp;"")</f>
        <v/>
      </c>
      <c r="H133" s="50" t="str">
        <f>IF($J133="","",INDEX('Mouvements'!$H$5:$H$5004,$J133)&amp;"")</f>
        <v/>
      </c>
      <c r="I133" s="50" t="str">
        <f>IF($J133="","",INDEX('Mouvements'!$I$5:$I$5004,$J133)&amp;"")</f>
        <v/>
      </c>
      <c r="J133" t="str">
        <f>IF($C$4="","",IFERROR(MATCH($C$4&amp;"#"&amp;($J$9+123),mv_key,0),""))</f>
        <v/>
      </c>
    </row>
    <row r="134">
      <c r="B134" s="49" t="str">
        <f>IF($J134="","",INDEX('Mouvements'!$A$5:$A$5004,$J134))</f>
        <v/>
      </c>
      <c r="C134" s="50" t="str">
        <f>IF($J134="","",INDEX('Mouvements'!$B$5:$B$5004,$J134))</f>
        <v/>
      </c>
      <c r="D134" s="50" t="str">
        <f>IF($J134="","",IF(INDEX('Mouvements'!$B$5:$B$5004,$J134)="Entrée",INDEX('Mouvements'!$E$5:$E$5004,$J134),""))</f>
        <v/>
      </c>
      <c r="E134" s="50" t="str">
        <f>IF($J134="","",IF(INDEX('Mouvements'!$B$5:$B$5004,$J134)="Sortie",INDEX('Mouvements'!$E$5:$E$5004,$J134),""))</f>
        <v/>
      </c>
      <c r="F134" s="50" t="str">
        <f>IF($J134="","",INDEX('Mouvements'!$K$5:$K$5004,$J134))</f>
        <v/>
      </c>
      <c r="G134" s="50" t="str">
        <f>IF($J134="","",INDEX('Mouvements'!$G$5:$G$5004,$J134)&amp;"")</f>
        <v/>
      </c>
      <c r="H134" s="50" t="str">
        <f>IF($J134="","",INDEX('Mouvements'!$H$5:$H$5004,$J134)&amp;"")</f>
        <v/>
      </c>
      <c r="I134" s="50" t="str">
        <f>IF($J134="","",INDEX('Mouvements'!$I$5:$I$5004,$J134)&amp;"")</f>
        <v/>
      </c>
      <c r="J134" t="str">
        <f>IF($C$4="","",IFERROR(MATCH($C$4&amp;"#"&amp;($J$9+124),mv_key,0),""))</f>
        <v/>
      </c>
    </row>
    <row r="135">
      <c r="B135" s="49" t="str">
        <f>IF($J135="","",INDEX('Mouvements'!$A$5:$A$5004,$J135))</f>
        <v/>
      </c>
      <c r="C135" s="50" t="str">
        <f>IF($J135="","",INDEX('Mouvements'!$B$5:$B$5004,$J135))</f>
        <v/>
      </c>
      <c r="D135" s="50" t="str">
        <f>IF($J135="","",IF(INDEX('Mouvements'!$B$5:$B$5004,$J135)="Entrée",INDEX('Mouvements'!$E$5:$E$5004,$J135),""))</f>
        <v/>
      </c>
      <c r="E135" s="50" t="str">
        <f>IF($J135="","",IF(INDEX('Mouvements'!$B$5:$B$5004,$J135)="Sortie",INDEX('Mouvements'!$E$5:$E$5004,$J135),""))</f>
        <v/>
      </c>
      <c r="F135" s="50" t="str">
        <f>IF($J135="","",INDEX('Mouvements'!$K$5:$K$5004,$J135))</f>
        <v/>
      </c>
      <c r="G135" s="50" t="str">
        <f>IF($J135="","",INDEX('Mouvements'!$G$5:$G$5004,$J135)&amp;"")</f>
        <v/>
      </c>
      <c r="H135" s="50" t="str">
        <f>IF($J135="","",INDEX('Mouvements'!$H$5:$H$5004,$J135)&amp;"")</f>
        <v/>
      </c>
      <c r="I135" s="50" t="str">
        <f>IF($J135="","",INDEX('Mouvements'!$I$5:$I$5004,$J135)&amp;"")</f>
        <v/>
      </c>
      <c r="J135" t="str">
        <f>IF($C$4="","",IFERROR(MATCH($C$4&amp;"#"&amp;($J$9+125),mv_key,0),""))</f>
        <v/>
      </c>
    </row>
    <row r="136">
      <c r="B136" s="49" t="str">
        <f>IF($J136="","",INDEX('Mouvements'!$A$5:$A$5004,$J136))</f>
        <v/>
      </c>
      <c r="C136" s="50" t="str">
        <f>IF($J136="","",INDEX('Mouvements'!$B$5:$B$5004,$J136))</f>
        <v/>
      </c>
      <c r="D136" s="50" t="str">
        <f>IF($J136="","",IF(INDEX('Mouvements'!$B$5:$B$5004,$J136)="Entrée",INDEX('Mouvements'!$E$5:$E$5004,$J136),""))</f>
        <v/>
      </c>
      <c r="E136" s="50" t="str">
        <f>IF($J136="","",IF(INDEX('Mouvements'!$B$5:$B$5004,$J136)="Sortie",INDEX('Mouvements'!$E$5:$E$5004,$J136),""))</f>
        <v/>
      </c>
      <c r="F136" s="50" t="str">
        <f>IF($J136="","",INDEX('Mouvements'!$K$5:$K$5004,$J136))</f>
        <v/>
      </c>
      <c r="G136" s="50" t="str">
        <f>IF($J136="","",INDEX('Mouvements'!$G$5:$G$5004,$J136)&amp;"")</f>
        <v/>
      </c>
      <c r="H136" s="50" t="str">
        <f>IF($J136="","",INDEX('Mouvements'!$H$5:$H$5004,$J136)&amp;"")</f>
        <v/>
      </c>
      <c r="I136" s="50" t="str">
        <f>IF($J136="","",INDEX('Mouvements'!$I$5:$I$5004,$J136)&amp;"")</f>
        <v/>
      </c>
      <c r="J136" t="str">
        <f>IF($C$4="","",IFERROR(MATCH($C$4&amp;"#"&amp;($J$9+126),mv_key,0),""))</f>
        <v/>
      </c>
    </row>
    <row r="137">
      <c r="B137" s="49" t="str">
        <f>IF($J137="","",INDEX('Mouvements'!$A$5:$A$5004,$J137))</f>
        <v/>
      </c>
      <c r="C137" s="50" t="str">
        <f>IF($J137="","",INDEX('Mouvements'!$B$5:$B$5004,$J137))</f>
        <v/>
      </c>
      <c r="D137" s="50" t="str">
        <f>IF($J137="","",IF(INDEX('Mouvements'!$B$5:$B$5004,$J137)="Entrée",INDEX('Mouvements'!$E$5:$E$5004,$J137),""))</f>
        <v/>
      </c>
      <c r="E137" s="50" t="str">
        <f>IF($J137="","",IF(INDEX('Mouvements'!$B$5:$B$5004,$J137)="Sortie",INDEX('Mouvements'!$E$5:$E$5004,$J137),""))</f>
        <v/>
      </c>
      <c r="F137" s="50" t="str">
        <f>IF($J137="","",INDEX('Mouvements'!$K$5:$K$5004,$J137))</f>
        <v/>
      </c>
      <c r="G137" s="50" t="str">
        <f>IF($J137="","",INDEX('Mouvements'!$G$5:$G$5004,$J137)&amp;"")</f>
        <v/>
      </c>
      <c r="H137" s="50" t="str">
        <f>IF($J137="","",INDEX('Mouvements'!$H$5:$H$5004,$J137)&amp;"")</f>
        <v/>
      </c>
      <c r="I137" s="50" t="str">
        <f>IF($J137="","",INDEX('Mouvements'!$I$5:$I$5004,$J137)&amp;"")</f>
        <v/>
      </c>
      <c r="J137" t="str">
        <f>IF($C$4="","",IFERROR(MATCH($C$4&amp;"#"&amp;($J$9+127),mv_key,0),""))</f>
        <v/>
      </c>
    </row>
    <row r="138">
      <c r="B138" s="49" t="str">
        <f>IF($J138="","",INDEX('Mouvements'!$A$5:$A$5004,$J138))</f>
        <v/>
      </c>
      <c r="C138" s="50" t="str">
        <f>IF($J138="","",INDEX('Mouvements'!$B$5:$B$5004,$J138))</f>
        <v/>
      </c>
      <c r="D138" s="50" t="str">
        <f>IF($J138="","",IF(INDEX('Mouvements'!$B$5:$B$5004,$J138)="Entrée",INDEX('Mouvements'!$E$5:$E$5004,$J138),""))</f>
        <v/>
      </c>
      <c r="E138" s="50" t="str">
        <f>IF($J138="","",IF(INDEX('Mouvements'!$B$5:$B$5004,$J138)="Sortie",INDEX('Mouvements'!$E$5:$E$5004,$J138),""))</f>
        <v/>
      </c>
      <c r="F138" s="50" t="str">
        <f>IF($J138="","",INDEX('Mouvements'!$K$5:$K$5004,$J138))</f>
        <v/>
      </c>
      <c r="G138" s="50" t="str">
        <f>IF($J138="","",INDEX('Mouvements'!$G$5:$G$5004,$J138)&amp;"")</f>
        <v/>
      </c>
      <c r="H138" s="50" t="str">
        <f>IF($J138="","",INDEX('Mouvements'!$H$5:$H$5004,$J138)&amp;"")</f>
        <v/>
      </c>
      <c r="I138" s="50" t="str">
        <f>IF($J138="","",INDEX('Mouvements'!$I$5:$I$5004,$J138)&amp;"")</f>
        <v/>
      </c>
      <c r="J138" t="str">
        <f>IF($C$4="","",IFERROR(MATCH($C$4&amp;"#"&amp;($J$9+128),mv_key,0),""))</f>
        <v/>
      </c>
    </row>
    <row r="139">
      <c r="B139" s="49" t="str">
        <f>IF($J139="","",INDEX('Mouvements'!$A$5:$A$5004,$J139))</f>
        <v/>
      </c>
      <c r="C139" s="50" t="str">
        <f>IF($J139="","",INDEX('Mouvements'!$B$5:$B$5004,$J139))</f>
        <v/>
      </c>
      <c r="D139" s="50" t="str">
        <f>IF($J139="","",IF(INDEX('Mouvements'!$B$5:$B$5004,$J139)="Entrée",INDEX('Mouvements'!$E$5:$E$5004,$J139),""))</f>
        <v/>
      </c>
      <c r="E139" s="50" t="str">
        <f>IF($J139="","",IF(INDEX('Mouvements'!$B$5:$B$5004,$J139)="Sortie",INDEX('Mouvements'!$E$5:$E$5004,$J139),""))</f>
        <v/>
      </c>
      <c r="F139" s="50" t="str">
        <f>IF($J139="","",INDEX('Mouvements'!$K$5:$K$5004,$J139))</f>
        <v/>
      </c>
      <c r="G139" s="50" t="str">
        <f>IF($J139="","",INDEX('Mouvements'!$G$5:$G$5004,$J139)&amp;"")</f>
        <v/>
      </c>
      <c r="H139" s="50" t="str">
        <f>IF($J139="","",INDEX('Mouvements'!$H$5:$H$5004,$J139)&amp;"")</f>
        <v/>
      </c>
      <c r="I139" s="50" t="str">
        <f>IF($J139="","",INDEX('Mouvements'!$I$5:$I$5004,$J139)&amp;"")</f>
        <v/>
      </c>
      <c r="J139" t="str">
        <f>IF($C$4="","",IFERROR(MATCH($C$4&amp;"#"&amp;($J$9+129),mv_key,0),""))</f>
        <v/>
      </c>
    </row>
    <row r="140">
      <c r="B140" s="49" t="str">
        <f>IF($J140="","",INDEX('Mouvements'!$A$5:$A$5004,$J140))</f>
        <v/>
      </c>
      <c r="C140" s="50" t="str">
        <f>IF($J140="","",INDEX('Mouvements'!$B$5:$B$5004,$J140))</f>
        <v/>
      </c>
      <c r="D140" s="50" t="str">
        <f>IF($J140="","",IF(INDEX('Mouvements'!$B$5:$B$5004,$J140)="Entrée",INDEX('Mouvements'!$E$5:$E$5004,$J140),""))</f>
        <v/>
      </c>
      <c r="E140" s="50" t="str">
        <f>IF($J140="","",IF(INDEX('Mouvements'!$B$5:$B$5004,$J140)="Sortie",INDEX('Mouvements'!$E$5:$E$5004,$J140),""))</f>
        <v/>
      </c>
      <c r="F140" s="50" t="str">
        <f>IF($J140="","",INDEX('Mouvements'!$K$5:$K$5004,$J140))</f>
        <v/>
      </c>
      <c r="G140" s="50" t="str">
        <f>IF($J140="","",INDEX('Mouvements'!$G$5:$G$5004,$J140)&amp;"")</f>
        <v/>
      </c>
      <c r="H140" s="50" t="str">
        <f>IF($J140="","",INDEX('Mouvements'!$H$5:$H$5004,$J140)&amp;"")</f>
        <v/>
      </c>
      <c r="I140" s="50" t="str">
        <f>IF($J140="","",INDEX('Mouvements'!$I$5:$I$5004,$J140)&amp;"")</f>
        <v/>
      </c>
      <c r="J140" t="str">
        <f>IF($C$4="","",IFERROR(MATCH($C$4&amp;"#"&amp;($J$9+130),mv_key,0),""))</f>
        <v/>
      </c>
    </row>
    <row r="141">
      <c r="B141" s="49" t="str">
        <f>IF($J141="","",INDEX('Mouvements'!$A$5:$A$5004,$J141))</f>
        <v/>
      </c>
      <c r="C141" s="50" t="str">
        <f>IF($J141="","",INDEX('Mouvements'!$B$5:$B$5004,$J141))</f>
        <v/>
      </c>
      <c r="D141" s="50" t="str">
        <f>IF($J141="","",IF(INDEX('Mouvements'!$B$5:$B$5004,$J141)="Entrée",INDEX('Mouvements'!$E$5:$E$5004,$J141),""))</f>
        <v/>
      </c>
      <c r="E141" s="50" t="str">
        <f>IF($J141="","",IF(INDEX('Mouvements'!$B$5:$B$5004,$J141)="Sortie",INDEX('Mouvements'!$E$5:$E$5004,$J141),""))</f>
        <v/>
      </c>
      <c r="F141" s="50" t="str">
        <f>IF($J141="","",INDEX('Mouvements'!$K$5:$K$5004,$J141))</f>
        <v/>
      </c>
      <c r="G141" s="50" t="str">
        <f>IF($J141="","",INDEX('Mouvements'!$G$5:$G$5004,$J141)&amp;"")</f>
        <v/>
      </c>
      <c r="H141" s="50" t="str">
        <f>IF($J141="","",INDEX('Mouvements'!$H$5:$H$5004,$J141)&amp;"")</f>
        <v/>
      </c>
      <c r="I141" s="50" t="str">
        <f>IF($J141="","",INDEX('Mouvements'!$I$5:$I$5004,$J141)&amp;"")</f>
        <v/>
      </c>
      <c r="J141" t="str">
        <f>IF($C$4="","",IFERROR(MATCH($C$4&amp;"#"&amp;($J$9+131),mv_key,0),""))</f>
        <v/>
      </c>
    </row>
    <row r="142">
      <c r="B142" s="49" t="str">
        <f>IF($J142="","",INDEX('Mouvements'!$A$5:$A$5004,$J142))</f>
        <v/>
      </c>
      <c r="C142" s="50" t="str">
        <f>IF($J142="","",INDEX('Mouvements'!$B$5:$B$5004,$J142))</f>
        <v/>
      </c>
      <c r="D142" s="50" t="str">
        <f>IF($J142="","",IF(INDEX('Mouvements'!$B$5:$B$5004,$J142)="Entrée",INDEX('Mouvements'!$E$5:$E$5004,$J142),""))</f>
        <v/>
      </c>
      <c r="E142" s="50" t="str">
        <f>IF($J142="","",IF(INDEX('Mouvements'!$B$5:$B$5004,$J142)="Sortie",INDEX('Mouvements'!$E$5:$E$5004,$J142),""))</f>
        <v/>
      </c>
      <c r="F142" s="50" t="str">
        <f>IF($J142="","",INDEX('Mouvements'!$K$5:$K$5004,$J142))</f>
        <v/>
      </c>
      <c r="G142" s="50" t="str">
        <f>IF($J142="","",INDEX('Mouvements'!$G$5:$G$5004,$J142)&amp;"")</f>
        <v/>
      </c>
      <c r="H142" s="50" t="str">
        <f>IF($J142="","",INDEX('Mouvements'!$H$5:$H$5004,$J142)&amp;"")</f>
        <v/>
      </c>
      <c r="I142" s="50" t="str">
        <f>IF($J142="","",INDEX('Mouvements'!$I$5:$I$5004,$J142)&amp;"")</f>
        <v/>
      </c>
      <c r="J142" t="str">
        <f>IF($C$4="","",IFERROR(MATCH($C$4&amp;"#"&amp;($J$9+132),mv_key,0),""))</f>
        <v/>
      </c>
    </row>
    <row r="143">
      <c r="B143" s="49" t="str">
        <f>IF($J143="","",INDEX('Mouvements'!$A$5:$A$5004,$J143))</f>
        <v/>
      </c>
      <c r="C143" s="50" t="str">
        <f>IF($J143="","",INDEX('Mouvements'!$B$5:$B$5004,$J143))</f>
        <v/>
      </c>
      <c r="D143" s="50" t="str">
        <f>IF($J143="","",IF(INDEX('Mouvements'!$B$5:$B$5004,$J143)="Entrée",INDEX('Mouvements'!$E$5:$E$5004,$J143),""))</f>
        <v/>
      </c>
      <c r="E143" s="50" t="str">
        <f>IF($J143="","",IF(INDEX('Mouvements'!$B$5:$B$5004,$J143)="Sortie",INDEX('Mouvements'!$E$5:$E$5004,$J143),""))</f>
        <v/>
      </c>
      <c r="F143" s="50" t="str">
        <f>IF($J143="","",INDEX('Mouvements'!$K$5:$K$5004,$J143))</f>
        <v/>
      </c>
      <c r="G143" s="50" t="str">
        <f>IF($J143="","",INDEX('Mouvements'!$G$5:$G$5004,$J143)&amp;"")</f>
        <v/>
      </c>
      <c r="H143" s="50" t="str">
        <f>IF($J143="","",INDEX('Mouvements'!$H$5:$H$5004,$J143)&amp;"")</f>
        <v/>
      </c>
      <c r="I143" s="50" t="str">
        <f>IF($J143="","",INDEX('Mouvements'!$I$5:$I$5004,$J143)&amp;"")</f>
        <v/>
      </c>
      <c r="J143" t="str">
        <f>IF($C$4="","",IFERROR(MATCH($C$4&amp;"#"&amp;($J$9+133),mv_key,0),""))</f>
        <v/>
      </c>
    </row>
    <row r="144">
      <c r="B144" s="49" t="str">
        <f>IF($J144="","",INDEX('Mouvements'!$A$5:$A$5004,$J144))</f>
        <v/>
      </c>
      <c r="C144" s="50" t="str">
        <f>IF($J144="","",INDEX('Mouvements'!$B$5:$B$5004,$J144))</f>
        <v/>
      </c>
      <c r="D144" s="50" t="str">
        <f>IF($J144="","",IF(INDEX('Mouvements'!$B$5:$B$5004,$J144)="Entrée",INDEX('Mouvements'!$E$5:$E$5004,$J144),""))</f>
        <v/>
      </c>
      <c r="E144" s="50" t="str">
        <f>IF($J144="","",IF(INDEX('Mouvements'!$B$5:$B$5004,$J144)="Sortie",INDEX('Mouvements'!$E$5:$E$5004,$J144),""))</f>
        <v/>
      </c>
      <c r="F144" s="50" t="str">
        <f>IF($J144="","",INDEX('Mouvements'!$K$5:$K$5004,$J144))</f>
        <v/>
      </c>
      <c r="G144" s="50" t="str">
        <f>IF($J144="","",INDEX('Mouvements'!$G$5:$G$5004,$J144)&amp;"")</f>
        <v/>
      </c>
      <c r="H144" s="50" t="str">
        <f>IF($J144="","",INDEX('Mouvements'!$H$5:$H$5004,$J144)&amp;"")</f>
        <v/>
      </c>
      <c r="I144" s="50" t="str">
        <f>IF($J144="","",INDEX('Mouvements'!$I$5:$I$5004,$J144)&amp;"")</f>
        <v/>
      </c>
      <c r="J144" t="str">
        <f>IF($C$4="","",IFERROR(MATCH($C$4&amp;"#"&amp;($J$9+134),mv_key,0),""))</f>
        <v/>
      </c>
    </row>
    <row r="145">
      <c r="B145" s="49" t="str">
        <f>IF($J145="","",INDEX('Mouvements'!$A$5:$A$5004,$J145))</f>
        <v/>
      </c>
      <c r="C145" s="50" t="str">
        <f>IF($J145="","",INDEX('Mouvements'!$B$5:$B$5004,$J145))</f>
        <v/>
      </c>
      <c r="D145" s="50" t="str">
        <f>IF($J145="","",IF(INDEX('Mouvements'!$B$5:$B$5004,$J145)="Entrée",INDEX('Mouvements'!$E$5:$E$5004,$J145),""))</f>
        <v/>
      </c>
      <c r="E145" s="50" t="str">
        <f>IF($J145="","",IF(INDEX('Mouvements'!$B$5:$B$5004,$J145)="Sortie",INDEX('Mouvements'!$E$5:$E$5004,$J145),""))</f>
        <v/>
      </c>
      <c r="F145" s="50" t="str">
        <f>IF($J145="","",INDEX('Mouvements'!$K$5:$K$5004,$J145))</f>
        <v/>
      </c>
      <c r="G145" s="50" t="str">
        <f>IF($J145="","",INDEX('Mouvements'!$G$5:$G$5004,$J145)&amp;"")</f>
        <v/>
      </c>
      <c r="H145" s="50" t="str">
        <f>IF($J145="","",INDEX('Mouvements'!$H$5:$H$5004,$J145)&amp;"")</f>
        <v/>
      </c>
      <c r="I145" s="50" t="str">
        <f>IF($J145="","",INDEX('Mouvements'!$I$5:$I$5004,$J145)&amp;"")</f>
        <v/>
      </c>
      <c r="J145" t="str">
        <f>IF($C$4="","",IFERROR(MATCH($C$4&amp;"#"&amp;($J$9+135),mv_key,0),""))</f>
        <v/>
      </c>
    </row>
    <row r="146">
      <c r="B146" s="49" t="str">
        <f>IF($J146="","",INDEX('Mouvements'!$A$5:$A$5004,$J146))</f>
        <v/>
      </c>
      <c r="C146" s="50" t="str">
        <f>IF($J146="","",INDEX('Mouvements'!$B$5:$B$5004,$J146))</f>
        <v/>
      </c>
      <c r="D146" s="50" t="str">
        <f>IF($J146="","",IF(INDEX('Mouvements'!$B$5:$B$5004,$J146)="Entrée",INDEX('Mouvements'!$E$5:$E$5004,$J146),""))</f>
        <v/>
      </c>
      <c r="E146" s="50" t="str">
        <f>IF($J146="","",IF(INDEX('Mouvements'!$B$5:$B$5004,$J146)="Sortie",INDEX('Mouvements'!$E$5:$E$5004,$J146),""))</f>
        <v/>
      </c>
      <c r="F146" s="50" t="str">
        <f>IF($J146="","",INDEX('Mouvements'!$K$5:$K$5004,$J146))</f>
        <v/>
      </c>
      <c r="G146" s="50" t="str">
        <f>IF($J146="","",INDEX('Mouvements'!$G$5:$G$5004,$J146)&amp;"")</f>
        <v/>
      </c>
      <c r="H146" s="50" t="str">
        <f>IF($J146="","",INDEX('Mouvements'!$H$5:$H$5004,$J146)&amp;"")</f>
        <v/>
      </c>
      <c r="I146" s="50" t="str">
        <f>IF($J146="","",INDEX('Mouvements'!$I$5:$I$5004,$J146)&amp;"")</f>
        <v/>
      </c>
      <c r="J146" t="str">
        <f>IF($C$4="","",IFERROR(MATCH($C$4&amp;"#"&amp;($J$9+136),mv_key,0),""))</f>
        <v/>
      </c>
    </row>
    <row r="147">
      <c r="B147" s="49" t="str">
        <f>IF($J147="","",INDEX('Mouvements'!$A$5:$A$5004,$J147))</f>
        <v/>
      </c>
      <c r="C147" s="50" t="str">
        <f>IF($J147="","",INDEX('Mouvements'!$B$5:$B$5004,$J147))</f>
        <v/>
      </c>
      <c r="D147" s="50" t="str">
        <f>IF($J147="","",IF(INDEX('Mouvements'!$B$5:$B$5004,$J147)="Entrée",INDEX('Mouvements'!$E$5:$E$5004,$J147),""))</f>
        <v/>
      </c>
      <c r="E147" s="50" t="str">
        <f>IF($J147="","",IF(INDEX('Mouvements'!$B$5:$B$5004,$J147)="Sortie",INDEX('Mouvements'!$E$5:$E$5004,$J147),""))</f>
        <v/>
      </c>
      <c r="F147" s="50" t="str">
        <f>IF($J147="","",INDEX('Mouvements'!$K$5:$K$5004,$J147))</f>
        <v/>
      </c>
      <c r="G147" s="50" t="str">
        <f>IF($J147="","",INDEX('Mouvements'!$G$5:$G$5004,$J147)&amp;"")</f>
        <v/>
      </c>
      <c r="H147" s="50" t="str">
        <f>IF($J147="","",INDEX('Mouvements'!$H$5:$H$5004,$J147)&amp;"")</f>
        <v/>
      </c>
      <c r="I147" s="50" t="str">
        <f>IF($J147="","",INDEX('Mouvements'!$I$5:$I$5004,$J147)&amp;"")</f>
        <v/>
      </c>
      <c r="J147" t="str">
        <f>IF($C$4="","",IFERROR(MATCH($C$4&amp;"#"&amp;($J$9+137),mv_key,0),""))</f>
        <v/>
      </c>
    </row>
    <row r="148">
      <c r="B148" s="49" t="str">
        <f>IF($J148="","",INDEX('Mouvements'!$A$5:$A$5004,$J148))</f>
        <v/>
      </c>
      <c r="C148" s="50" t="str">
        <f>IF($J148="","",INDEX('Mouvements'!$B$5:$B$5004,$J148))</f>
        <v/>
      </c>
      <c r="D148" s="50" t="str">
        <f>IF($J148="","",IF(INDEX('Mouvements'!$B$5:$B$5004,$J148)="Entrée",INDEX('Mouvements'!$E$5:$E$5004,$J148),""))</f>
        <v/>
      </c>
      <c r="E148" s="50" t="str">
        <f>IF($J148="","",IF(INDEX('Mouvements'!$B$5:$B$5004,$J148)="Sortie",INDEX('Mouvements'!$E$5:$E$5004,$J148),""))</f>
        <v/>
      </c>
      <c r="F148" s="50" t="str">
        <f>IF($J148="","",INDEX('Mouvements'!$K$5:$K$5004,$J148))</f>
        <v/>
      </c>
      <c r="G148" s="50" t="str">
        <f>IF($J148="","",INDEX('Mouvements'!$G$5:$G$5004,$J148)&amp;"")</f>
        <v/>
      </c>
      <c r="H148" s="50" t="str">
        <f>IF($J148="","",INDEX('Mouvements'!$H$5:$H$5004,$J148)&amp;"")</f>
        <v/>
      </c>
      <c r="I148" s="50" t="str">
        <f>IF($J148="","",INDEX('Mouvements'!$I$5:$I$5004,$J148)&amp;"")</f>
        <v/>
      </c>
      <c r="J148" t="str">
        <f>IF($C$4="","",IFERROR(MATCH($C$4&amp;"#"&amp;($J$9+138),mv_key,0),""))</f>
        <v/>
      </c>
    </row>
    <row r="149">
      <c r="B149" s="49" t="str">
        <f>IF($J149="","",INDEX('Mouvements'!$A$5:$A$5004,$J149))</f>
        <v/>
      </c>
      <c r="C149" s="50" t="str">
        <f>IF($J149="","",INDEX('Mouvements'!$B$5:$B$5004,$J149))</f>
        <v/>
      </c>
      <c r="D149" s="50" t="str">
        <f>IF($J149="","",IF(INDEX('Mouvements'!$B$5:$B$5004,$J149)="Entrée",INDEX('Mouvements'!$E$5:$E$5004,$J149),""))</f>
        <v/>
      </c>
      <c r="E149" s="50" t="str">
        <f>IF($J149="","",IF(INDEX('Mouvements'!$B$5:$B$5004,$J149)="Sortie",INDEX('Mouvements'!$E$5:$E$5004,$J149),""))</f>
        <v/>
      </c>
      <c r="F149" s="50" t="str">
        <f>IF($J149="","",INDEX('Mouvements'!$K$5:$K$5004,$J149))</f>
        <v/>
      </c>
      <c r="G149" s="50" t="str">
        <f>IF($J149="","",INDEX('Mouvements'!$G$5:$G$5004,$J149)&amp;"")</f>
        <v/>
      </c>
      <c r="H149" s="50" t="str">
        <f>IF($J149="","",INDEX('Mouvements'!$H$5:$H$5004,$J149)&amp;"")</f>
        <v/>
      </c>
      <c r="I149" s="50" t="str">
        <f>IF($J149="","",INDEX('Mouvements'!$I$5:$I$5004,$J149)&amp;"")</f>
        <v/>
      </c>
      <c r="J149" t="str">
        <f>IF($C$4="","",IFERROR(MATCH($C$4&amp;"#"&amp;($J$9+139),mv_key,0),""))</f>
        <v/>
      </c>
    </row>
    <row r="150">
      <c r="B150" s="49" t="str">
        <f>IF($J150="","",INDEX('Mouvements'!$A$5:$A$5004,$J150))</f>
        <v/>
      </c>
      <c r="C150" s="50" t="str">
        <f>IF($J150="","",INDEX('Mouvements'!$B$5:$B$5004,$J150))</f>
        <v/>
      </c>
      <c r="D150" s="50" t="str">
        <f>IF($J150="","",IF(INDEX('Mouvements'!$B$5:$B$5004,$J150)="Entrée",INDEX('Mouvements'!$E$5:$E$5004,$J150),""))</f>
        <v/>
      </c>
      <c r="E150" s="50" t="str">
        <f>IF($J150="","",IF(INDEX('Mouvements'!$B$5:$B$5004,$J150)="Sortie",INDEX('Mouvements'!$E$5:$E$5004,$J150),""))</f>
        <v/>
      </c>
      <c r="F150" s="50" t="str">
        <f>IF($J150="","",INDEX('Mouvements'!$K$5:$K$5004,$J150))</f>
        <v/>
      </c>
      <c r="G150" s="50" t="str">
        <f>IF($J150="","",INDEX('Mouvements'!$G$5:$G$5004,$J150)&amp;"")</f>
        <v/>
      </c>
      <c r="H150" s="50" t="str">
        <f>IF($J150="","",INDEX('Mouvements'!$H$5:$H$5004,$J150)&amp;"")</f>
        <v/>
      </c>
      <c r="I150" s="50" t="str">
        <f>IF($J150="","",INDEX('Mouvements'!$I$5:$I$5004,$J150)&amp;"")</f>
        <v/>
      </c>
      <c r="J150" t="str">
        <f>IF($C$4="","",IFERROR(MATCH($C$4&amp;"#"&amp;($J$9+140),mv_key,0),""))</f>
        <v/>
      </c>
    </row>
    <row r="151">
      <c r="B151" s="49" t="str">
        <f>IF($J151="","",INDEX('Mouvements'!$A$5:$A$5004,$J151))</f>
        <v/>
      </c>
      <c r="C151" s="50" t="str">
        <f>IF($J151="","",INDEX('Mouvements'!$B$5:$B$5004,$J151))</f>
        <v/>
      </c>
      <c r="D151" s="50" t="str">
        <f>IF($J151="","",IF(INDEX('Mouvements'!$B$5:$B$5004,$J151)="Entrée",INDEX('Mouvements'!$E$5:$E$5004,$J151),""))</f>
        <v/>
      </c>
      <c r="E151" s="50" t="str">
        <f>IF($J151="","",IF(INDEX('Mouvements'!$B$5:$B$5004,$J151)="Sortie",INDEX('Mouvements'!$E$5:$E$5004,$J151),""))</f>
        <v/>
      </c>
      <c r="F151" s="50" t="str">
        <f>IF($J151="","",INDEX('Mouvements'!$K$5:$K$5004,$J151))</f>
        <v/>
      </c>
      <c r="G151" s="50" t="str">
        <f>IF($J151="","",INDEX('Mouvements'!$G$5:$G$5004,$J151)&amp;"")</f>
        <v/>
      </c>
      <c r="H151" s="50" t="str">
        <f>IF($J151="","",INDEX('Mouvements'!$H$5:$H$5004,$J151)&amp;"")</f>
        <v/>
      </c>
      <c r="I151" s="50" t="str">
        <f>IF($J151="","",INDEX('Mouvements'!$I$5:$I$5004,$J151)&amp;"")</f>
        <v/>
      </c>
      <c r="J151" t="str">
        <f>IF($C$4="","",IFERROR(MATCH($C$4&amp;"#"&amp;($J$9+141),mv_key,0),""))</f>
        <v/>
      </c>
    </row>
    <row r="152">
      <c r="B152" s="49" t="str">
        <f>IF($J152="","",INDEX('Mouvements'!$A$5:$A$5004,$J152))</f>
        <v/>
      </c>
      <c r="C152" s="50" t="str">
        <f>IF($J152="","",INDEX('Mouvements'!$B$5:$B$5004,$J152))</f>
        <v/>
      </c>
      <c r="D152" s="50" t="str">
        <f>IF($J152="","",IF(INDEX('Mouvements'!$B$5:$B$5004,$J152)="Entrée",INDEX('Mouvements'!$E$5:$E$5004,$J152),""))</f>
        <v/>
      </c>
      <c r="E152" s="50" t="str">
        <f>IF($J152="","",IF(INDEX('Mouvements'!$B$5:$B$5004,$J152)="Sortie",INDEX('Mouvements'!$E$5:$E$5004,$J152),""))</f>
        <v/>
      </c>
      <c r="F152" s="50" t="str">
        <f>IF($J152="","",INDEX('Mouvements'!$K$5:$K$5004,$J152))</f>
        <v/>
      </c>
      <c r="G152" s="50" t="str">
        <f>IF($J152="","",INDEX('Mouvements'!$G$5:$G$5004,$J152)&amp;"")</f>
        <v/>
      </c>
      <c r="H152" s="50" t="str">
        <f>IF($J152="","",INDEX('Mouvements'!$H$5:$H$5004,$J152)&amp;"")</f>
        <v/>
      </c>
      <c r="I152" s="50" t="str">
        <f>IF($J152="","",INDEX('Mouvements'!$I$5:$I$5004,$J152)&amp;"")</f>
        <v/>
      </c>
      <c r="J152" t="str">
        <f>IF($C$4="","",IFERROR(MATCH($C$4&amp;"#"&amp;($J$9+142),mv_key,0),""))</f>
        <v/>
      </c>
    </row>
    <row r="153">
      <c r="B153" s="49" t="str">
        <f>IF($J153="","",INDEX('Mouvements'!$A$5:$A$5004,$J153))</f>
        <v/>
      </c>
      <c r="C153" s="50" t="str">
        <f>IF($J153="","",INDEX('Mouvements'!$B$5:$B$5004,$J153))</f>
        <v/>
      </c>
      <c r="D153" s="50" t="str">
        <f>IF($J153="","",IF(INDEX('Mouvements'!$B$5:$B$5004,$J153)="Entrée",INDEX('Mouvements'!$E$5:$E$5004,$J153),""))</f>
        <v/>
      </c>
      <c r="E153" s="50" t="str">
        <f>IF($J153="","",IF(INDEX('Mouvements'!$B$5:$B$5004,$J153)="Sortie",INDEX('Mouvements'!$E$5:$E$5004,$J153),""))</f>
        <v/>
      </c>
      <c r="F153" s="50" t="str">
        <f>IF($J153="","",INDEX('Mouvements'!$K$5:$K$5004,$J153))</f>
        <v/>
      </c>
      <c r="G153" s="50" t="str">
        <f>IF($J153="","",INDEX('Mouvements'!$G$5:$G$5004,$J153)&amp;"")</f>
        <v/>
      </c>
      <c r="H153" s="50" t="str">
        <f>IF($J153="","",INDEX('Mouvements'!$H$5:$H$5004,$J153)&amp;"")</f>
        <v/>
      </c>
      <c r="I153" s="50" t="str">
        <f>IF($J153="","",INDEX('Mouvements'!$I$5:$I$5004,$J153)&amp;"")</f>
        <v/>
      </c>
      <c r="J153" t="str">
        <f>IF($C$4="","",IFERROR(MATCH($C$4&amp;"#"&amp;($J$9+143),mv_key,0),""))</f>
        <v/>
      </c>
    </row>
    <row r="154">
      <c r="B154" s="49" t="str">
        <f>IF($J154="","",INDEX('Mouvements'!$A$5:$A$5004,$J154))</f>
        <v/>
      </c>
      <c r="C154" s="50" t="str">
        <f>IF($J154="","",INDEX('Mouvements'!$B$5:$B$5004,$J154))</f>
        <v/>
      </c>
      <c r="D154" s="50" t="str">
        <f>IF($J154="","",IF(INDEX('Mouvements'!$B$5:$B$5004,$J154)="Entrée",INDEX('Mouvements'!$E$5:$E$5004,$J154),""))</f>
        <v/>
      </c>
      <c r="E154" s="50" t="str">
        <f>IF($J154="","",IF(INDEX('Mouvements'!$B$5:$B$5004,$J154)="Sortie",INDEX('Mouvements'!$E$5:$E$5004,$J154),""))</f>
        <v/>
      </c>
      <c r="F154" s="50" t="str">
        <f>IF($J154="","",INDEX('Mouvements'!$K$5:$K$5004,$J154))</f>
        <v/>
      </c>
      <c r="G154" s="50" t="str">
        <f>IF($J154="","",INDEX('Mouvements'!$G$5:$G$5004,$J154)&amp;"")</f>
        <v/>
      </c>
      <c r="H154" s="50" t="str">
        <f>IF($J154="","",INDEX('Mouvements'!$H$5:$H$5004,$J154)&amp;"")</f>
        <v/>
      </c>
      <c r="I154" s="50" t="str">
        <f>IF($J154="","",INDEX('Mouvements'!$I$5:$I$5004,$J154)&amp;"")</f>
        <v/>
      </c>
      <c r="J154" t="str">
        <f>IF($C$4="","",IFERROR(MATCH($C$4&amp;"#"&amp;($J$9+144),mv_key,0),""))</f>
        <v/>
      </c>
    </row>
    <row r="155">
      <c r="B155" s="49" t="str">
        <f>IF($J155="","",INDEX('Mouvements'!$A$5:$A$5004,$J155))</f>
        <v/>
      </c>
      <c r="C155" s="50" t="str">
        <f>IF($J155="","",INDEX('Mouvements'!$B$5:$B$5004,$J155))</f>
        <v/>
      </c>
      <c r="D155" s="50" t="str">
        <f>IF($J155="","",IF(INDEX('Mouvements'!$B$5:$B$5004,$J155)="Entrée",INDEX('Mouvements'!$E$5:$E$5004,$J155),""))</f>
        <v/>
      </c>
      <c r="E155" s="50" t="str">
        <f>IF($J155="","",IF(INDEX('Mouvements'!$B$5:$B$5004,$J155)="Sortie",INDEX('Mouvements'!$E$5:$E$5004,$J155),""))</f>
        <v/>
      </c>
      <c r="F155" s="50" t="str">
        <f>IF($J155="","",INDEX('Mouvements'!$K$5:$K$5004,$J155))</f>
        <v/>
      </c>
      <c r="G155" s="50" t="str">
        <f>IF($J155="","",INDEX('Mouvements'!$G$5:$G$5004,$J155)&amp;"")</f>
        <v/>
      </c>
      <c r="H155" s="50" t="str">
        <f>IF($J155="","",INDEX('Mouvements'!$H$5:$H$5004,$J155)&amp;"")</f>
        <v/>
      </c>
      <c r="I155" s="50" t="str">
        <f>IF($J155="","",INDEX('Mouvements'!$I$5:$I$5004,$J155)&amp;"")</f>
        <v/>
      </c>
      <c r="J155" t="str">
        <f>IF($C$4="","",IFERROR(MATCH($C$4&amp;"#"&amp;($J$9+145),mv_key,0),""))</f>
        <v/>
      </c>
    </row>
    <row r="156">
      <c r="B156" s="49" t="str">
        <f>IF($J156="","",INDEX('Mouvements'!$A$5:$A$5004,$J156))</f>
        <v/>
      </c>
      <c r="C156" s="50" t="str">
        <f>IF($J156="","",INDEX('Mouvements'!$B$5:$B$5004,$J156))</f>
        <v/>
      </c>
      <c r="D156" s="50" t="str">
        <f>IF($J156="","",IF(INDEX('Mouvements'!$B$5:$B$5004,$J156)="Entrée",INDEX('Mouvements'!$E$5:$E$5004,$J156),""))</f>
        <v/>
      </c>
      <c r="E156" s="50" t="str">
        <f>IF($J156="","",IF(INDEX('Mouvements'!$B$5:$B$5004,$J156)="Sortie",INDEX('Mouvements'!$E$5:$E$5004,$J156),""))</f>
        <v/>
      </c>
      <c r="F156" s="50" t="str">
        <f>IF($J156="","",INDEX('Mouvements'!$K$5:$K$5004,$J156))</f>
        <v/>
      </c>
      <c r="G156" s="50" t="str">
        <f>IF($J156="","",INDEX('Mouvements'!$G$5:$G$5004,$J156)&amp;"")</f>
        <v/>
      </c>
      <c r="H156" s="50" t="str">
        <f>IF($J156="","",INDEX('Mouvements'!$H$5:$H$5004,$J156)&amp;"")</f>
        <v/>
      </c>
      <c r="I156" s="50" t="str">
        <f>IF($J156="","",INDEX('Mouvements'!$I$5:$I$5004,$J156)&amp;"")</f>
        <v/>
      </c>
      <c r="J156" t="str">
        <f>IF($C$4="","",IFERROR(MATCH($C$4&amp;"#"&amp;($J$9+146),mv_key,0),""))</f>
        <v/>
      </c>
    </row>
    <row r="157">
      <c r="B157" s="49" t="str">
        <f>IF($J157="","",INDEX('Mouvements'!$A$5:$A$5004,$J157))</f>
        <v/>
      </c>
      <c r="C157" s="50" t="str">
        <f>IF($J157="","",INDEX('Mouvements'!$B$5:$B$5004,$J157))</f>
        <v/>
      </c>
      <c r="D157" s="50" t="str">
        <f>IF($J157="","",IF(INDEX('Mouvements'!$B$5:$B$5004,$J157)="Entrée",INDEX('Mouvements'!$E$5:$E$5004,$J157),""))</f>
        <v/>
      </c>
      <c r="E157" s="50" t="str">
        <f>IF($J157="","",IF(INDEX('Mouvements'!$B$5:$B$5004,$J157)="Sortie",INDEX('Mouvements'!$E$5:$E$5004,$J157),""))</f>
        <v/>
      </c>
      <c r="F157" s="50" t="str">
        <f>IF($J157="","",INDEX('Mouvements'!$K$5:$K$5004,$J157))</f>
        <v/>
      </c>
      <c r="G157" s="50" t="str">
        <f>IF($J157="","",INDEX('Mouvements'!$G$5:$G$5004,$J157)&amp;"")</f>
        <v/>
      </c>
      <c r="H157" s="50" t="str">
        <f>IF($J157="","",INDEX('Mouvements'!$H$5:$H$5004,$J157)&amp;"")</f>
        <v/>
      </c>
      <c r="I157" s="50" t="str">
        <f>IF($J157="","",INDEX('Mouvements'!$I$5:$I$5004,$J157)&amp;"")</f>
        <v/>
      </c>
      <c r="J157" t="str">
        <f>IF($C$4="","",IFERROR(MATCH($C$4&amp;"#"&amp;($J$9+147),mv_key,0),""))</f>
        <v/>
      </c>
    </row>
    <row r="158">
      <c r="B158" s="49" t="str">
        <f>IF($J158="","",INDEX('Mouvements'!$A$5:$A$5004,$J158))</f>
        <v/>
      </c>
      <c r="C158" s="50" t="str">
        <f>IF($J158="","",INDEX('Mouvements'!$B$5:$B$5004,$J158))</f>
        <v/>
      </c>
      <c r="D158" s="50" t="str">
        <f>IF($J158="","",IF(INDEX('Mouvements'!$B$5:$B$5004,$J158)="Entrée",INDEX('Mouvements'!$E$5:$E$5004,$J158),""))</f>
        <v/>
      </c>
      <c r="E158" s="50" t="str">
        <f>IF($J158="","",IF(INDEX('Mouvements'!$B$5:$B$5004,$J158)="Sortie",INDEX('Mouvements'!$E$5:$E$5004,$J158),""))</f>
        <v/>
      </c>
      <c r="F158" s="50" t="str">
        <f>IF($J158="","",INDEX('Mouvements'!$K$5:$K$5004,$J158))</f>
        <v/>
      </c>
      <c r="G158" s="50" t="str">
        <f>IF($J158="","",INDEX('Mouvements'!$G$5:$G$5004,$J158)&amp;"")</f>
        <v/>
      </c>
      <c r="H158" s="50" t="str">
        <f>IF($J158="","",INDEX('Mouvements'!$H$5:$H$5004,$J158)&amp;"")</f>
        <v/>
      </c>
      <c r="I158" s="50" t="str">
        <f>IF($J158="","",INDEX('Mouvements'!$I$5:$I$5004,$J158)&amp;"")</f>
        <v/>
      </c>
      <c r="J158" t="str">
        <f>IF($C$4="","",IFERROR(MATCH($C$4&amp;"#"&amp;($J$9+148),mv_key,0),""))</f>
        <v/>
      </c>
    </row>
    <row r="159">
      <c r="B159" s="49" t="str">
        <f>IF($J159="","",INDEX('Mouvements'!$A$5:$A$5004,$J159))</f>
        <v/>
      </c>
      <c r="C159" s="50" t="str">
        <f>IF($J159="","",INDEX('Mouvements'!$B$5:$B$5004,$J159))</f>
        <v/>
      </c>
      <c r="D159" s="50" t="str">
        <f>IF($J159="","",IF(INDEX('Mouvements'!$B$5:$B$5004,$J159)="Entrée",INDEX('Mouvements'!$E$5:$E$5004,$J159),""))</f>
        <v/>
      </c>
      <c r="E159" s="50" t="str">
        <f>IF($J159="","",IF(INDEX('Mouvements'!$B$5:$B$5004,$J159)="Sortie",INDEX('Mouvements'!$E$5:$E$5004,$J159),""))</f>
        <v/>
      </c>
      <c r="F159" s="50" t="str">
        <f>IF($J159="","",INDEX('Mouvements'!$K$5:$K$5004,$J159))</f>
        <v/>
      </c>
      <c r="G159" s="50" t="str">
        <f>IF($J159="","",INDEX('Mouvements'!$G$5:$G$5004,$J159)&amp;"")</f>
        <v/>
      </c>
      <c r="H159" s="50" t="str">
        <f>IF($J159="","",INDEX('Mouvements'!$H$5:$H$5004,$J159)&amp;"")</f>
        <v/>
      </c>
      <c r="I159" s="50" t="str">
        <f>IF($J159="","",INDEX('Mouvements'!$I$5:$I$5004,$J159)&amp;"")</f>
        <v/>
      </c>
      <c r="J159" t="str">
        <f>IF($C$4="","",IFERROR(MATCH($C$4&amp;"#"&amp;($J$9+149),mv_key,0),""))</f>
        <v/>
      </c>
    </row>
    <row r="160">
      <c r="B160" s="49" t="str">
        <f>IF($J160="","",INDEX('Mouvements'!$A$5:$A$5004,$J160))</f>
        <v/>
      </c>
      <c r="C160" s="50" t="str">
        <f>IF($J160="","",INDEX('Mouvements'!$B$5:$B$5004,$J160))</f>
        <v/>
      </c>
      <c r="D160" s="50" t="str">
        <f>IF($J160="","",IF(INDEX('Mouvements'!$B$5:$B$5004,$J160)="Entrée",INDEX('Mouvements'!$E$5:$E$5004,$J160),""))</f>
        <v/>
      </c>
      <c r="E160" s="50" t="str">
        <f>IF($J160="","",IF(INDEX('Mouvements'!$B$5:$B$5004,$J160)="Sortie",INDEX('Mouvements'!$E$5:$E$5004,$J160),""))</f>
        <v/>
      </c>
      <c r="F160" s="50" t="str">
        <f>IF($J160="","",INDEX('Mouvements'!$K$5:$K$5004,$J160))</f>
        <v/>
      </c>
      <c r="G160" s="50" t="str">
        <f>IF($J160="","",INDEX('Mouvements'!$G$5:$G$5004,$J160)&amp;"")</f>
        <v/>
      </c>
      <c r="H160" s="50" t="str">
        <f>IF($J160="","",INDEX('Mouvements'!$H$5:$H$5004,$J160)&amp;"")</f>
        <v/>
      </c>
      <c r="I160" s="50" t="str">
        <f>IF($J160="","",INDEX('Mouvements'!$I$5:$I$5004,$J160)&amp;"")</f>
        <v/>
      </c>
      <c r="J160" t="str">
        <f>IF($C$4="","",IFERROR(MATCH($C$4&amp;"#"&amp;($J$9+150),mv_key,0),""))</f>
        <v/>
      </c>
    </row>
    <row r="161">
      <c r="B161" s="49" t="str">
        <f>IF($J161="","",INDEX('Mouvements'!$A$5:$A$5004,$J161))</f>
        <v/>
      </c>
      <c r="C161" s="50" t="str">
        <f>IF($J161="","",INDEX('Mouvements'!$B$5:$B$5004,$J161))</f>
        <v/>
      </c>
      <c r="D161" s="50" t="str">
        <f>IF($J161="","",IF(INDEX('Mouvements'!$B$5:$B$5004,$J161)="Entrée",INDEX('Mouvements'!$E$5:$E$5004,$J161),""))</f>
        <v/>
      </c>
      <c r="E161" s="50" t="str">
        <f>IF($J161="","",IF(INDEX('Mouvements'!$B$5:$B$5004,$J161)="Sortie",INDEX('Mouvements'!$E$5:$E$5004,$J161),""))</f>
        <v/>
      </c>
      <c r="F161" s="50" t="str">
        <f>IF($J161="","",INDEX('Mouvements'!$K$5:$K$5004,$J161))</f>
        <v/>
      </c>
      <c r="G161" s="50" t="str">
        <f>IF($J161="","",INDEX('Mouvements'!$G$5:$G$5004,$J161)&amp;"")</f>
        <v/>
      </c>
      <c r="H161" s="50" t="str">
        <f>IF($J161="","",INDEX('Mouvements'!$H$5:$H$5004,$J161)&amp;"")</f>
        <v/>
      </c>
      <c r="I161" s="50" t="str">
        <f>IF($J161="","",INDEX('Mouvements'!$I$5:$I$5004,$J161)&amp;"")</f>
        <v/>
      </c>
      <c r="J161" t="str">
        <f>IF($C$4="","",IFERROR(MATCH($C$4&amp;"#"&amp;($J$9+151),mv_key,0),""))</f>
        <v/>
      </c>
    </row>
    <row r="162">
      <c r="B162" s="49" t="str">
        <f>IF($J162="","",INDEX('Mouvements'!$A$5:$A$5004,$J162))</f>
        <v/>
      </c>
      <c r="C162" s="50" t="str">
        <f>IF($J162="","",INDEX('Mouvements'!$B$5:$B$5004,$J162))</f>
        <v/>
      </c>
      <c r="D162" s="50" t="str">
        <f>IF($J162="","",IF(INDEX('Mouvements'!$B$5:$B$5004,$J162)="Entrée",INDEX('Mouvements'!$E$5:$E$5004,$J162),""))</f>
        <v/>
      </c>
      <c r="E162" s="50" t="str">
        <f>IF($J162="","",IF(INDEX('Mouvements'!$B$5:$B$5004,$J162)="Sortie",INDEX('Mouvements'!$E$5:$E$5004,$J162),""))</f>
        <v/>
      </c>
      <c r="F162" s="50" t="str">
        <f>IF($J162="","",INDEX('Mouvements'!$K$5:$K$5004,$J162))</f>
        <v/>
      </c>
      <c r="G162" s="50" t="str">
        <f>IF($J162="","",INDEX('Mouvements'!$G$5:$G$5004,$J162)&amp;"")</f>
        <v/>
      </c>
      <c r="H162" s="50" t="str">
        <f>IF($J162="","",INDEX('Mouvements'!$H$5:$H$5004,$J162)&amp;"")</f>
        <v/>
      </c>
      <c r="I162" s="50" t="str">
        <f>IF($J162="","",INDEX('Mouvements'!$I$5:$I$5004,$J162)&amp;"")</f>
        <v/>
      </c>
      <c r="J162" t="str">
        <f>IF($C$4="","",IFERROR(MATCH($C$4&amp;"#"&amp;($J$9+152),mv_key,0),""))</f>
        <v/>
      </c>
    </row>
    <row r="163">
      <c r="B163" s="49" t="str">
        <f>IF($J163="","",INDEX('Mouvements'!$A$5:$A$5004,$J163))</f>
        <v/>
      </c>
      <c r="C163" s="50" t="str">
        <f>IF($J163="","",INDEX('Mouvements'!$B$5:$B$5004,$J163))</f>
        <v/>
      </c>
      <c r="D163" s="50" t="str">
        <f>IF($J163="","",IF(INDEX('Mouvements'!$B$5:$B$5004,$J163)="Entrée",INDEX('Mouvements'!$E$5:$E$5004,$J163),""))</f>
        <v/>
      </c>
      <c r="E163" s="50" t="str">
        <f>IF($J163="","",IF(INDEX('Mouvements'!$B$5:$B$5004,$J163)="Sortie",INDEX('Mouvements'!$E$5:$E$5004,$J163),""))</f>
        <v/>
      </c>
      <c r="F163" s="50" t="str">
        <f>IF($J163="","",INDEX('Mouvements'!$K$5:$K$5004,$J163))</f>
        <v/>
      </c>
      <c r="G163" s="50" t="str">
        <f>IF($J163="","",INDEX('Mouvements'!$G$5:$G$5004,$J163)&amp;"")</f>
        <v/>
      </c>
      <c r="H163" s="50" t="str">
        <f>IF($J163="","",INDEX('Mouvements'!$H$5:$H$5004,$J163)&amp;"")</f>
        <v/>
      </c>
      <c r="I163" s="50" t="str">
        <f>IF($J163="","",INDEX('Mouvements'!$I$5:$I$5004,$J163)&amp;"")</f>
        <v/>
      </c>
      <c r="J163" t="str">
        <f>IF($C$4="","",IFERROR(MATCH($C$4&amp;"#"&amp;($J$9+153),mv_key,0),""))</f>
        <v/>
      </c>
    </row>
    <row r="164">
      <c r="B164" s="49" t="str">
        <f>IF($J164="","",INDEX('Mouvements'!$A$5:$A$5004,$J164))</f>
        <v/>
      </c>
      <c r="C164" s="50" t="str">
        <f>IF($J164="","",INDEX('Mouvements'!$B$5:$B$5004,$J164))</f>
        <v/>
      </c>
      <c r="D164" s="50" t="str">
        <f>IF($J164="","",IF(INDEX('Mouvements'!$B$5:$B$5004,$J164)="Entrée",INDEX('Mouvements'!$E$5:$E$5004,$J164),""))</f>
        <v/>
      </c>
      <c r="E164" s="50" t="str">
        <f>IF($J164="","",IF(INDEX('Mouvements'!$B$5:$B$5004,$J164)="Sortie",INDEX('Mouvements'!$E$5:$E$5004,$J164),""))</f>
        <v/>
      </c>
      <c r="F164" s="50" t="str">
        <f>IF($J164="","",INDEX('Mouvements'!$K$5:$K$5004,$J164))</f>
        <v/>
      </c>
      <c r="G164" s="50" t="str">
        <f>IF($J164="","",INDEX('Mouvements'!$G$5:$G$5004,$J164)&amp;"")</f>
        <v/>
      </c>
      <c r="H164" s="50" t="str">
        <f>IF($J164="","",INDEX('Mouvements'!$H$5:$H$5004,$J164)&amp;"")</f>
        <v/>
      </c>
      <c r="I164" s="50" t="str">
        <f>IF($J164="","",INDEX('Mouvements'!$I$5:$I$5004,$J164)&amp;"")</f>
        <v/>
      </c>
      <c r="J164" t="str">
        <f>IF($C$4="","",IFERROR(MATCH($C$4&amp;"#"&amp;($J$9+154),mv_key,0),""))</f>
        <v/>
      </c>
    </row>
    <row r="165">
      <c r="B165" s="49" t="str">
        <f>IF($J165="","",INDEX('Mouvements'!$A$5:$A$5004,$J165))</f>
        <v/>
      </c>
      <c r="C165" s="50" t="str">
        <f>IF($J165="","",INDEX('Mouvements'!$B$5:$B$5004,$J165))</f>
        <v/>
      </c>
      <c r="D165" s="50" t="str">
        <f>IF($J165="","",IF(INDEX('Mouvements'!$B$5:$B$5004,$J165)="Entrée",INDEX('Mouvements'!$E$5:$E$5004,$J165),""))</f>
        <v/>
      </c>
      <c r="E165" s="50" t="str">
        <f>IF($J165="","",IF(INDEX('Mouvements'!$B$5:$B$5004,$J165)="Sortie",INDEX('Mouvements'!$E$5:$E$5004,$J165),""))</f>
        <v/>
      </c>
      <c r="F165" s="50" t="str">
        <f>IF($J165="","",INDEX('Mouvements'!$K$5:$K$5004,$J165))</f>
        <v/>
      </c>
      <c r="G165" s="50" t="str">
        <f>IF($J165="","",INDEX('Mouvements'!$G$5:$G$5004,$J165)&amp;"")</f>
        <v/>
      </c>
      <c r="H165" s="50" t="str">
        <f>IF($J165="","",INDEX('Mouvements'!$H$5:$H$5004,$J165)&amp;"")</f>
        <v/>
      </c>
      <c r="I165" s="50" t="str">
        <f>IF($J165="","",INDEX('Mouvements'!$I$5:$I$5004,$J165)&amp;"")</f>
        <v/>
      </c>
      <c r="J165" t="str">
        <f>IF($C$4="","",IFERROR(MATCH($C$4&amp;"#"&amp;($J$9+155),mv_key,0),""))</f>
        <v/>
      </c>
    </row>
    <row r="166">
      <c r="B166" s="49" t="str">
        <f>IF($J166="","",INDEX('Mouvements'!$A$5:$A$5004,$J166))</f>
        <v/>
      </c>
      <c r="C166" s="50" t="str">
        <f>IF($J166="","",INDEX('Mouvements'!$B$5:$B$5004,$J166))</f>
        <v/>
      </c>
      <c r="D166" s="50" t="str">
        <f>IF($J166="","",IF(INDEX('Mouvements'!$B$5:$B$5004,$J166)="Entrée",INDEX('Mouvements'!$E$5:$E$5004,$J166),""))</f>
        <v/>
      </c>
      <c r="E166" s="50" t="str">
        <f>IF($J166="","",IF(INDEX('Mouvements'!$B$5:$B$5004,$J166)="Sortie",INDEX('Mouvements'!$E$5:$E$5004,$J166),""))</f>
        <v/>
      </c>
      <c r="F166" s="50" t="str">
        <f>IF($J166="","",INDEX('Mouvements'!$K$5:$K$5004,$J166))</f>
        <v/>
      </c>
      <c r="G166" s="50" t="str">
        <f>IF($J166="","",INDEX('Mouvements'!$G$5:$G$5004,$J166)&amp;"")</f>
        <v/>
      </c>
      <c r="H166" s="50" t="str">
        <f>IF($J166="","",INDEX('Mouvements'!$H$5:$H$5004,$J166)&amp;"")</f>
        <v/>
      </c>
      <c r="I166" s="50" t="str">
        <f>IF($J166="","",INDEX('Mouvements'!$I$5:$I$5004,$J166)&amp;"")</f>
        <v/>
      </c>
      <c r="J166" t="str">
        <f>IF($C$4="","",IFERROR(MATCH($C$4&amp;"#"&amp;($J$9+156),mv_key,0),""))</f>
        <v/>
      </c>
    </row>
    <row r="167">
      <c r="B167" s="49" t="str">
        <f>IF($J167="","",INDEX('Mouvements'!$A$5:$A$5004,$J167))</f>
        <v/>
      </c>
      <c r="C167" s="50" t="str">
        <f>IF($J167="","",INDEX('Mouvements'!$B$5:$B$5004,$J167))</f>
        <v/>
      </c>
      <c r="D167" s="50" t="str">
        <f>IF($J167="","",IF(INDEX('Mouvements'!$B$5:$B$5004,$J167)="Entrée",INDEX('Mouvements'!$E$5:$E$5004,$J167),""))</f>
        <v/>
      </c>
      <c r="E167" s="50" t="str">
        <f>IF($J167="","",IF(INDEX('Mouvements'!$B$5:$B$5004,$J167)="Sortie",INDEX('Mouvements'!$E$5:$E$5004,$J167),""))</f>
        <v/>
      </c>
      <c r="F167" s="50" t="str">
        <f>IF($J167="","",INDEX('Mouvements'!$K$5:$K$5004,$J167))</f>
        <v/>
      </c>
      <c r="G167" s="50" t="str">
        <f>IF($J167="","",INDEX('Mouvements'!$G$5:$G$5004,$J167)&amp;"")</f>
        <v/>
      </c>
      <c r="H167" s="50" t="str">
        <f>IF($J167="","",INDEX('Mouvements'!$H$5:$H$5004,$J167)&amp;"")</f>
        <v/>
      </c>
      <c r="I167" s="50" t="str">
        <f>IF($J167="","",INDEX('Mouvements'!$I$5:$I$5004,$J167)&amp;"")</f>
        <v/>
      </c>
      <c r="J167" t="str">
        <f>IF($C$4="","",IFERROR(MATCH($C$4&amp;"#"&amp;($J$9+157),mv_key,0),""))</f>
        <v/>
      </c>
    </row>
    <row r="168">
      <c r="B168" s="49" t="str">
        <f>IF($J168="","",INDEX('Mouvements'!$A$5:$A$5004,$J168))</f>
        <v/>
      </c>
      <c r="C168" s="50" t="str">
        <f>IF($J168="","",INDEX('Mouvements'!$B$5:$B$5004,$J168))</f>
        <v/>
      </c>
      <c r="D168" s="50" t="str">
        <f>IF($J168="","",IF(INDEX('Mouvements'!$B$5:$B$5004,$J168)="Entrée",INDEX('Mouvements'!$E$5:$E$5004,$J168),""))</f>
        <v/>
      </c>
      <c r="E168" s="50" t="str">
        <f>IF($J168="","",IF(INDEX('Mouvements'!$B$5:$B$5004,$J168)="Sortie",INDEX('Mouvements'!$E$5:$E$5004,$J168),""))</f>
        <v/>
      </c>
      <c r="F168" s="50" t="str">
        <f>IF($J168="","",INDEX('Mouvements'!$K$5:$K$5004,$J168))</f>
        <v/>
      </c>
      <c r="G168" s="50" t="str">
        <f>IF($J168="","",INDEX('Mouvements'!$G$5:$G$5004,$J168)&amp;"")</f>
        <v/>
      </c>
      <c r="H168" s="50" t="str">
        <f>IF($J168="","",INDEX('Mouvements'!$H$5:$H$5004,$J168)&amp;"")</f>
        <v/>
      </c>
      <c r="I168" s="50" t="str">
        <f>IF($J168="","",INDEX('Mouvements'!$I$5:$I$5004,$J168)&amp;"")</f>
        <v/>
      </c>
      <c r="J168" t="str">
        <f>IF($C$4="","",IFERROR(MATCH($C$4&amp;"#"&amp;($J$9+158),mv_key,0),""))</f>
        <v/>
      </c>
    </row>
    <row r="169">
      <c r="B169" s="49" t="str">
        <f>IF($J169="","",INDEX('Mouvements'!$A$5:$A$5004,$J169))</f>
        <v/>
      </c>
      <c r="C169" s="50" t="str">
        <f>IF($J169="","",INDEX('Mouvements'!$B$5:$B$5004,$J169))</f>
        <v/>
      </c>
      <c r="D169" s="50" t="str">
        <f>IF($J169="","",IF(INDEX('Mouvements'!$B$5:$B$5004,$J169)="Entrée",INDEX('Mouvements'!$E$5:$E$5004,$J169),""))</f>
        <v/>
      </c>
      <c r="E169" s="50" t="str">
        <f>IF($J169="","",IF(INDEX('Mouvements'!$B$5:$B$5004,$J169)="Sortie",INDEX('Mouvements'!$E$5:$E$5004,$J169),""))</f>
        <v/>
      </c>
      <c r="F169" s="50" t="str">
        <f>IF($J169="","",INDEX('Mouvements'!$K$5:$K$5004,$J169))</f>
        <v/>
      </c>
      <c r="G169" s="50" t="str">
        <f>IF($J169="","",INDEX('Mouvements'!$G$5:$G$5004,$J169)&amp;"")</f>
        <v/>
      </c>
      <c r="H169" s="50" t="str">
        <f>IF($J169="","",INDEX('Mouvements'!$H$5:$H$5004,$J169)&amp;"")</f>
        <v/>
      </c>
      <c r="I169" s="50" t="str">
        <f>IF($J169="","",INDEX('Mouvements'!$I$5:$I$5004,$J169)&amp;"")</f>
        <v/>
      </c>
      <c r="J169" t="str">
        <f>IF($C$4="","",IFERROR(MATCH($C$4&amp;"#"&amp;($J$9+159),mv_key,0),""))</f>
        <v/>
      </c>
    </row>
    <row r="170">
      <c r="B170" s="49" t="str">
        <f>IF($J170="","",INDEX('Mouvements'!$A$5:$A$5004,$J170))</f>
        <v/>
      </c>
      <c r="C170" s="50" t="str">
        <f>IF($J170="","",INDEX('Mouvements'!$B$5:$B$5004,$J170))</f>
        <v/>
      </c>
      <c r="D170" s="50" t="str">
        <f>IF($J170="","",IF(INDEX('Mouvements'!$B$5:$B$5004,$J170)="Entrée",INDEX('Mouvements'!$E$5:$E$5004,$J170),""))</f>
        <v/>
      </c>
      <c r="E170" s="50" t="str">
        <f>IF($J170="","",IF(INDEX('Mouvements'!$B$5:$B$5004,$J170)="Sortie",INDEX('Mouvements'!$E$5:$E$5004,$J170),""))</f>
        <v/>
      </c>
      <c r="F170" s="50" t="str">
        <f>IF($J170="","",INDEX('Mouvements'!$K$5:$K$5004,$J170))</f>
        <v/>
      </c>
      <c r="G170" s="50" t="str">
        <f>IF($J170="","",INDEX('Mouvements'!$G$5:$G$5004,$J170)&amp;"")</f>
        <v/>
      </c>
      <c r="H170" s="50" t="str">
        <f>IF($J170="","",INDEX('Mouvements'!$H$5:$H$5004,$J170)&amp;"")</f>
        <v/>
      </c>
      <c r="I170" s="50" t="str">
        <f>IF($J170="","",INDEX('Mouvements'!$I$5:$I$5004,$J170)&amp;"")</f>
        <v/>
      </c>
      <c r="J170" t="str">
        <f>IF($C$4="","",IFERROR(MATCH($C$4&amp;"#"&amp;($J$9+160),mv_key,0),""))</f>
        <v/>
      </c>
    </row>
    <row r="171">
      <c r="B171" s="49" t="str">
        <f>IF($J171="","",INDEX('Mouvements'!$A$5:$A$5004,$J171))</f>
        <v/>
      </c>
      <c r="C171" s="50" t="str">
        <f>IF($J171="","",INDEX('Mouvements'!$B$5:$B$5004,$J171))</f>
        <v/>
      </c>
      <c r="D171" s="50" t="str">
        <f>IF($J171="","",IF(INDEX('Mouvements'!$B$5:$B$5004,$J171)="Entrée",INDEX('Mouvements'!$E$5:$E$5004,$J171),""))</f>
        <v/>
      </c>
      <c r="E171" s="50" t="str">
        <f>IF($J171="","",IF(INDEX('Mouvements'!$B$5:$B$5004,$J171)="Sortie",INDEX('Mouvements'!$E$5:$E$5004,$J171),""))</f>
        <v/>
      </c>
      <c r="F171" s="50" t="str">
        <f>IF($J171="","",INDEX('Mouvements'!$K$5:$K$5004,$J171))</f>
        <v/>
      </c>
      <c r="G171" s="50" t="str">
        <f>IF($J171="","",INDEX('Mouvements'!$G$5:$G$5004,$J171)&amp;"")</f>
        <v/>
      </c>
      <c r="H171" s="50" t="str">
        <f>IF($J171="","",INDEX('Mouvements'!$H$5:$H$5004,$J171)&amp;"")</f>
        <v/>
      </c>
      <c r="I171" s="50" t="str">
        <f>IF($J171="","",INDEX('Mouvements'!$I$5:$I$5004,$J171)&amp;"")</f>
        <v/>
      </c>
      <c r="J171" t="str">
        <f>IF($C$4="","",IFERROR(MATCH($C$4&amp;"#"&amp;($J$9+161),mv_key,0),""))</f>
        <v/>
      </c>
    </row>
    <row r="172">
      <c r="B172" s="49" t="str">
        <f>IF($J172="","",INDEX('Mouvements'!$A$5:$A$5004,$J172))</f>
        <v/>
      </c>
      <c r="C172" s="50" t="str">
        <f>IF($J172="","",INDEX('Mouvements'!$B$5:$B$5004,$J172))</f>
        <v/>
      </c>
      <c r="D172" s="50" t="str">
        <f>IF($J172="","",IF(INDEX('Mouvements'!$B$5:$B$5004,$J172)="Entrée",INDEX('Mouvements'!$E$5:$E$5004,$J172),""))</f>
        <v/>
      </c>
      <c r="E172" s="50" t="str">
        <f>IF($J172="","",IF(INDEX('Mouvements'!$B$5:$B$5004,$J172)="Sortie",INDEX('Mouvements'!$E$5:$E$5004,$J172),""))</f>
        <v/>
      </c>
      <c r="F172" s="50" t="str">
        <f>IF($J172="","",INDEX('Mouvements'!$K$5:$K$5004,$J172))</f>
        <v/>
      </c>
      <c r="G172" s="50" t="str">
        <f>IF($J172="","",INDEX('Mouvements'!$G$5:$G$5004,$J172)&amp;"")</f>
        <v/>
      </c>
      <c r="H172" s="50" t="str">
        <f>IF($J172="","",INDEX('Mouvements'!$H$5:$H$5004,$J172)&amp;"")</f>
        <v/>
      </c>
      <c r="I172" s="50" t="str">
        <f>IF($J172="","",INDEX('Mouvements'!$I$5:$I$5004,$J172)&amp;"")</f>
        <v/>
      </c>
      <c r="J172" t="str">
        <f>IF($C$4="","",IFERROR(MATCH($C$4&amp;"#"&amp;($J$9+162),mv_key,0),""))</f>
        <v/>
      </c>
    </row>
    <row r="173">
      <c r="B173" s="49" t="str">
        <f>IF($J173="","",INDEX('Mouvements'!$A$5:$A$5004,$J173))</f>
        <v/>
      </c>
      <c r="C173" s="50" t="str">
        <f>IF($J173="","",INDEX('Mouvements'!$B$5:$B$5004,$J173))</f>
        <v/>
      </c>
      <c r="D173" s="50" t="str">
        <f>IF($J173="","",IF(INDEX('Mouvements'!$B$5:$B$5004,$J173)="Entrée",INDEX('Mouvements'!$E$5:$E$5004,$J173),""))</f>
        <v/>
      </c>
      <c r="E173" s="50" t="str">
        <f>IF($J173="","",IF(INDEX('Mouvements'!$B$5:$B$5004,$J173)="Sortie",INDEX('Mouvements'!$E$5:$E$5004,$J173),""))</f>
        <v/>
      </c>
      <c r="F173" s="50" t="str">
        <f>IF($J173="","",INDEX('Mouvements'!$K$5:$K$5004,$J173))</f>
        <v/>
      </c>
      <c r="G173" s="50" t="str">
        <f>IF($J173="","",INDEX('Mouvements'!$G$5:$G$5004,$J173)&amp;"")</f>
        <v/>
      </c>
      <c r="H173" s="50" t="str">
        <f>IF($J173="","",INDEX('Mouvements'!$H$5:$H$5004,$J173)&amp;"")</f>
        <v/>
      </c>
      <c r="I173" s="50" t="str">
        <f>IF($J173="","",INDEX('Mouvements'!$I$5:$I$5004,$J173)&amp;"")</f>
        <v/>
      </c>
      <c r="J173" t="str">
        <f>IF($C$4="","",IFERROR(MATCH($C$4&amp;"#"&amp;($J$9+163),mv_key,0),""))</f>
        <v/>
      </c>
    </row>
    <row r="174">
      <c r="B174" s="49" t="str">
        <f>IF($J174="","",INDEX('Mouvements'!$A$5:$A$5004,$J174))</f>
        <v/>
      </c>
      <c r="C174" s="50" t="str">
        <f>IF($J174="","",INDEX('Mouvements'!$B$5:$B$5004,$J174))</f>
        <v/>
      </c>
      <c r="D174" s="50" t="str">
        <f>IF($J174="","",IF(INDEX('Mouvements'!$B$5:$B$5004,$J174)="Entrée",INDEX('Mouvements'!$E$5:$E$5004,$J174),""))</f>
        <v/>
      </c>
      <c r="E174" s="50" t="str">
        <f>IF($J174="","",IF(INDEX('Mouvements'!$B$5:$B$5004,$J174)="Sortie",INDEX('Mouvements'!$E$5:$E$5004,$J174),""))</f>
        <v/>
      </c>
      <c r="F174" s="50" t="str">
        <f>IF($J174="","",INDEX('Mouvements'!$K$5:$K$5004,$J174))</f>
        <v/>
      </c>
      <c r="G174" s="50" t="str">
        <f>IF($J174="","",INDEX('Mouvements'!$G$5:$G$5004,$J174)&amp;"")</f>
        <v/>
      </c>
      <c r="H174" s="50" t="str">
        <f>IF($J174="","",INDEX('Mouvements'!$H$5:$H$5004,$J174)&amp;"")</f>
        <v/>
      </c>
      <c r="I174" s="50" t="str">
        <f>IF($J174="","",INDEX('Mouvements'!$I$5:$I$5004,$J174)&amp;"")</f>
        <v/>
      </c>
      <c r="J174" t="str">
        <f>IF($C$4="","",IFERROR(MATCH($C$4&amp;"#"&amp;($J$9+164),mv_key,0),""))</f>
        <v/>
      </c>
    </row>
    <row r="175">
      <c r="B175" s="49" t="str">
        <f>IF($J175="","",INDEX('Mouvements'!$A$5:$A$5004,$J175))</f>
        <v/>
      </c>
      <c r="C175" s="50" t="str">
        <f>IF($J175="","",INDEX('Mouvements'!$B$5:$B$5004,$J175))</f>
        <v/>
      </c>
      <c r="D175" s="50" t="str">
        <f>IF($J175="","",IF(INDEX('Mouvements'!$B$5:$B$5004,$J175)="Entrée",INDEX('Mouvements'!$E$5:$E$5004,$J175),""))</f>
        <v/>
      </c>
      <c r="E175" s="50" t="str">
        <f>IF($J175="","",IF(INDEX('Mouvements'!$B$5:$B$5004,$J175)="Sortie",INDEX('Mouvements'!$E$5:$E$5004,$J175),""))</f>
        <v/>
      </c>
      <c r="F175" s="50" t="str">
        <f>IF($J175="","",INDEX('Mouvements'!$K$5:$K$5004,$J175))</f>
        <v/>
      </c>
      <c r="G175" s="50" t="str">
        <f>IF($J175="","",INDEX('Mouvements'!$G$5:$G$5004,$J175)&amp;"")</f>
        <v/>
      </c>
      <c r="H175" s="50" t="str">
        <f>IF($J175="","",INDEX('Mouvements'!$H$5:$H$5004,$J175)&amp;"")</f>
        <v/>
      </c>
      <c r="I175" s="50" t="str">
        <f>IF($J175="","",INDEX('Mouvements'!$I$5:$I$5004,$J175)&amp;"")</f>
        <v/>
      </c>
      <c r="J175" t="str">
        <f>IF($C$4="","",IFERROR(MATCH($C$4&amp;"#"&amp;($J$9+165),mv_key,0),""))</f>
        <v/>
      </c>
    </row>
    <row r="176">
      <c r="B176" s="49" t="str">
        <f>IF($J176="","",INDEX('Mouvements'!$A$5:$A$5004,$J176))</f>
        <v/>
      </c>
      <c r="C176" s="50" t="str">
        <f>IF($J176="","",INDEX('Mouvements'!$B$5:$B$5004,$J176))</f>
        <v/>
      </c>
      <c r="D176" s="50" t="str">
        <f>IF($J176="","",IF(INDEX('Mouvements'!$B$5:$B$5004,$J176)="Entrée",INDEX('Mouvements'!$E$5:$E$5004,$J176),""))</f>
        <v/>
      </c>
      <c r="E176" s="50" t="str">
        <f>IF($J176="","",IF(INDEX('Mouvements'!$B$5:$B$5004,$J176)="Sortie",INDEX('Mouvements'!$E$5:$E$5004,$J176),""))</f>
        <v/>
      </c>
      <c r="F176" s="50" t="str">
        <f>IF($J176="","",INDEX('Mouvements'!$K$5:$K$5004,$J176))</f>
        <v/>
      </c>
      <c r="G176" s="50" t="str">
        <f>IF($J176="","",INDEX('Mouvements'!$G$5:$G$5004,$J176)&amp;"")</f>
        <v/>
      </c>
      <c r="H176" s="50" t="str">
        <f>IF($J176="","",INDEX('Mouvements'!$H$5:$H$5004,$J176)&amp;"")</f>
        <v/>
      </c>
      <c r="I176" s="50" t="str">
        <f>IF($J176="","",INDEX('Mouvements'!$I$5:$I$5004,$J176)&amp;"")</f>
        <v/>
      </c>
      <c r="J176" t="str">
        <f>IF($C$4="","",IFERROR(MATCH($C$4&amp;"#"&amp;($J$9+166),mv_key,0),""))</f>
        <v/>
      </c>
    </row>
    <row r="177">
      <c r="B177" s="49" t="str">
        <f>IF($J177="","",INDEX('Mouvements'!$A$5:$A$5004,$J177))</f>
        <v/>
      </c>
      <c r="C177" s="50" t="str">
        <f>IF($J177="","",INDEX('Mouvements'!$B$5:$B$5004,$J177))</f>
        <v/>
      </c>
      <c r="D177" s="50" t="str">
        <f>IF($J177="","",IF(INDEX('Mouvements'!$B$5:$B$5004,$J177)="Entrée",INDEX('Mouvements'!$E$5:$E$5004,$J177),""))</f>
        <v/>
      </c>
      <c r="E177" s="50" t="str">
        <f>IF($J177="","",IF(INDEX('Mouvements'!$B$5:$B$5004,$J177)="Sortie",INDEX('Mouvements'!$E$5:$E$5004,$J177),""))</f>
        <v/>
      </c>
      <c r="F177" s="50" t="str">
        <f>IF($J177="","",INDEX('Mouvements'!$K$5:$K$5004,$J177))</f>
        <v/>
      </c>
      <c r="G177" s="50" t="str">
        <f>IF($J177="","",INDEX('Mouvements'!$G$5:$G$5004,$J177)&amp;"")</f>
        <v/>
      </c>
      <c r="H177" s="50" t="str">
        <f>IF($J177="","",INDEX('Mouvements'!$H$5:$H$5004,$J177)&amp;"")</f>
        <v/>
      </c>
      <c r="I177" s="50" t="str">
        <f>IF($J177="","",INDEX('Mouvements'!$I$5:$I$5004,$J177)&amp;"")</f>
        <v/>
      </c>
      <c r="J177" t="str">
        <f>IF($C$4="","",IFERROR(MATCH($C$4&amp;"#"&amp;($J$9+167),mv_key,0),""))</f>
        <v/>
      </c>
    </row>
    <row r="178">
      <c r="B178" s="49" t="str">
        <f>IF($J178="","",INDEX('Mouvements'!$A$5:$A$5004,$J178))</f>
        <v/>
      </c>
      <c r="C178" s="50" t="str">
        <f>IF($J178="","",INDEX('Mouvements'!$B$5:$B$5004,$J178))</f>
        <v/>
      </c>
      <c r="D178" s="50" t="str">
        <f>IF($J178="","",IF(INDEX('Mouvements'!$B$5:$B$5004,$J178)="Entrée",INDEX('Mouvements'!$E$5:$E$5004,$J178),""))</f>
        <v/>
      </c>
      <c r="E178" s="50" t="str">
        <f>IF($J178="","",IF(INDEX('Mouvements'!$B$5:$B$5004,$J178)="Sortie",INDEX('Mouvements'!$E$5:$E$5004,$J178),""))</f>
        <v/>
      </c>
      <c r="F178" s="50" t="str">
        <f>IF($J178="","",INDEX('Mouvements'!$K$5:$K$5004,$J178))</f>
        <v/>
      </c>
      <c r="G178" s="50" t="str">
        <f>IF($J178="","",INDEX('Mouvements'!$G$5:$G$5004,$J178)&amp;"")</f>
        <v/>
      </c>
      <c r="H178" s="50" t="str">
        <f>IF($J178="","",INDEX('Mouvements'!$H$5:$H$5004,$J178)&amp;"")</f>
        <v/>
      </c>
      <c r="I178" s="50" t="str">
        <f>IF($J178="","",INDEX('Mouvements'!$I$5:$I$5004,$J178)&amp;"")</f>
        <v/>
      </c>
      <c r="J178" t="str">
        <f>IF($C$4="","",IFERROR(MATCH($C$4&amp;"#"&amp;($J$9+168),mv_key,0),""))</f>
        <v/>
      </c>
    </row>
    <row r="179">
      <c r="B179" s="49" t="str">
        <f>IF($J179="","",INDEX('Mouvements'!$A$5:$A$5004,$J179))</f>
        <v/>
      </c>
      <c r="C179" s="50" t="str">
        <f>IF($J179="","",INDEX('Mouvements'!$B$5:$B$5004,$J179))</f>
        <v/>
      </c>
      <c r="D179" s="50" t="str">
        <f>IF($J179="","",IF(INDEX('Mouvements'!$B$5:$B$5004,$J179)="Entrée",INDEX('Mouvements'!$E$5:$E$5004,$J179),""))</f>
        <v/>
      </c>
      <c r="E179" s="50" t="str">
        <f>IF($J179="","",IF(INDEX('Mouvements'!$B$5:$B$5004,$J179)="Sortie",INDEX('Mouvements'!$E$5:$E$5004,$J179),""))</f>
        <v/>
      </c>
      <c r="F179" s="50" t="str">
        <f>IF($J179="","",INDEX('Mouvements'!$K$5:$K$5004,$J179))</f>
        <v/>
      </c>
      <c r="G179" s="50" t="str">
        <f>IF($J179="","",INDEX('Mouvements'!$G$5:$G$5004,$J179)&amp;"")</f>
        <v/>
      </c>
      <c r="H179" s="50" t="str">
        <f>IF($J179="","",INDEX('Mouvements'!$H$5:$H$5004,$J179)&amp;"")</f>
        <v/>
      </c>
      <c r="I179" s="50" t="str">
        <f>IF($J179="","",INDEX('Mouvements'!$I$5:$I$5004,$J179)&amp;"")</f>
        <v/>
      </c>
      <c r="J179" t="str">
        <f>IF($C$4="","",IFERROR(MATCH($C$4&amp;"#"&amp;($J$9+169),mv_key,0),""))</f>
        <v/>
      </c>
    </row>
    <row r="180">
      <c r="B180" s="49" t="str">
        <f>IF($J180="","",INDEX('Mouvements'!$A$5:$A$5004,$J180))</f>
        <v/>
      </c>
      <c r="C180" s="50" t="str">
        <f>IF($J180="","",INDEX('Mouvements'!$B$5:$B$5004,$J180))</f>
        <v/>
      </c>
      <c r="D180" s="50" t="str">
        <f>IF($J180="","",IF(INDEX('Mouvements'!$B$5:$B$5004,$J180)="Entrée",INDEX('Mouvements'!$E$5:$E$5004,$J180),""))</f>
        <v/>
      </c>
      <c r="E180" s="50" t="str">
        <f>IF($J180="","",IF(INDEX('Mouvements'!$B$5:$B$5004,$J180)="Sortie",INDEX('Mouvements'!$E$5:$E$5004,$J180),""))</f>
        <v/>
      </c>
      <c r="F180" s="50" t="str">
        <f>IF($J180="","",INDEX('Mouvements'!$K$5:$K$5004,$J180))</f>
        <v/>
      </c>
      <c r="G180" s="50" t="str">
        <f>IF($J180="","",INDEX('Mouvements'!$G$5:$G$5004,$J180)&amp;"")</f>
        <v/>
      </c>
      <c r="H180" s="50" t="str">
        <f>IF($J180="","",INDEX('Mouvements'!$H$5:$H$5004,$J180)&amp;"")</f>
        <v/>
      </c>
      <c r="I180" s="50" t="str">
        <f>IF($J180="","",INDEX('Mouvements'!$I$5:$I$5004,$J180)&amp;"")</f>
        <v/>
      </c>
      <c r="J180" t="str">
        <f>IF($C$4="","",IFERROR(MATCH($C$4&amp;"#"&amp;($J$9+170),mv_key,0),""))</f>
        <v/>
      </c>
    </row>
    <row r="181">
      <c r="B181" s="49" t="str">
        <f>IF($J181="","",INDEX('Mouvements'!$A$5:$A$5004,$J181))</f>
        <v/>
      </c>
      <c r="C181" s="50" t="str">
        <f>IF($J181="","",INDEX('Mouvements'!$B$5:$B$5004,$J181))</f>
        <v/>
      </c>
      <c r="D181" s="50" t="str">
        <f>IF($J181="","",IF(INDEX('Mouvements'!$B$5:$B$5004,$J181)="Entrée",INDEX('Mouvements'!$E$5:$E$5004,$J181),""))</f>
        <v/>
      </c>
      <c r="E181" s="50" t="str">
        <f>IF($J181="","",IF(INDEX('Mouvements'!$B$5:$B$5004,$J181)="Sortie",INDEX('Mouvements'!$E$5:$E$5004,$J181),""))</f>
        <v/>
      </c>
      <c r="F181" s="50" t="str">
        <f>IF($J181="","",INDEX('Mouvements'!$K$5:$K$5004,$J181))</f>
        <v/>
      </c>
      <c r="G181" s="50" t="str">
        <f>IF($J181="","",INDEX('Mouvements'!$G$5:$G$5004,$J181)&amp;"")</f>
        <v/>
      </c>
      <c r="H181" s="50" t="str">
        <f>IF($J181="","",INDEX('Mouvements'!$H$5:$H$5004,$J181)&amp;"")</f>
        <v/>
      </c>
      <c r="I181" s="50" t="str">
        <f>IF($J181="","",INDEX('Mouvements'!$I$5:$I$5004,$J181)&amp;"")</f>
        <v/>
      </c>
      <c r="J181" t="str">
        <f>IF($C$4="","",IFERROR(MATCH($C$4&amp;"#"&amp;($J$9+171),mv_key,0),""))</f>
        <v/>
      </c>
    </row>
    <row r="182">
      <c r="B182" s="49" t="str">
        <f>IF($J182="","",INDEX('Mouvements'!$A$5:$A$5004,$J182))</f>
        <v/>
      </c>
      <c r="C182" s="50" t="str">
        <f>IF($J182="","",INDEX('Mouvements'!$B$5:$B$5004,$J182))</f>
        <v/>
      </c>
      <c r="D182" s="50" t="str">
        <f>IF($J182="","",IF(INDEX('Mouvements'!$B$5:$B$5004,$J182)="Entrée",INDEX('Mouvements'!$E$5:$E$5004,$J182),""))</f>
        <v/>
      </c>
      <c r="E182" s="50" t="str">
        <f>IF($J182="","",IF(INDEX('Mouvements'!$B$5:$B$5004,$J182)="Sortie",INDEX('Mouvements'!$E$5:$E$5004,$J182),""))</f>
        <v/>
      </c>
      <c r="F182" s="50" t="str">
        <f>IF($J182="","",INDEX('Mouvements'!$K$5:$K$5004,$J182))</f>
        <v/>
      </c>
      <c r="G182" s="50" t="str">
        <f>IF($J182="","",INDEX('Mouvements'!$G$5:$G$5004,$J182)&amp;"")</f>
        <v/>
      </c>
      <c r="H182" s="50" t="str">
        <f>IF($J182="","",INDEX('Mouvements'!$H$5:$H$5004,$J182)&amp;"")</f>
        <v/>
      </c>
      <c r="I182" s="50" t="str">
        <f>IF($J182="","",INDEX('Mouvements'!$I$5:$I$5004,$J182)&amp;"")</f>
        <v/>
      </c>
      <c r="J182" t="str">
        <f>IF($C$4="","",IFERROR(MATCH($C$4&amp;"#"&amp;($J$9+172),mv_key,0),""))</f>
        <v/>
      </c>
    </row>
    <row r="183">
      <c r="B183" s="49" t="str">
        <f>IF($J183="","",INDEX('Mouvements'!$A$5:$A$5004,$J183))</f>
        <v/>
      </c>
      <c r="C183" s="50" t="str">
        <f>IF($J183="","",INDEX('Mouvements'!$B$5:$B$5004,$J183))</f>
        <v/>
      </c>
      <c r="D183" s="50" t="str">
        <f>IF($J183="","",IF(INDEX('Mouvements'!$B$5:$B$5004,$J183)="Entrée",INDEX('Mouvements'!$E$5:$E$5004,$J183),""))</f>
        <v/>
      </c>
      <c r="E183" s="50" t="str">
        <f>IF($J183="","",IF(INDEX('Mouvements'!$B$5:$B$5004,$J183)="Sortie",INDEX('Mouvements'!$E$5:$E$5004,$J183),""))</f>
        <v/>
      </c>
      <c r="F183" s="50" t="str">
        <f>IF($J183="","",INDEX('Mouvements'!$K$5:$K$5004,$J183))</f>
        <v/>
      </c>
      <c r="G183" s="50" t="str">
        <f>IF($J183="","",INDEX('Mouvements'!$G$5:$G$5004,$J183)&amp;"")</f>
        <v/>
      </c>
      <c r="H183" s="50" t="str">
        <f>IF($J183="","",INDEX('Mouvements'!$H$5:$H$5004,$J183)&amp;"")</f>
        <v/>
      </c>
      <c r="I183" s="50" t="str">
        <f>IF($J183="","",INDEX('Mouvements'!$I$5:$I$5004,$J183)&amp;"")</f>
        <v/>
      </c>
      <c r="J183" t="str">
        <f>IF($C$4="","",IFERROR(MATCH($C$4&amp;"#"&amp;($J$9+173),mv_key,0),""))</f>
        <v/>
      </c>
    </row>
    <row r="184">
      <c r="B184" s="49" t="str">
        <f>IF($J184="","",INDEX('Mouvements'!$A$5:$A$5004,$J184))</f>
        <v/>
      </c>
      <c r="C184" s="50" t="str">
        <f>IF($J184="","",INDEX('Mouvements'!$B$5:$B$5004,$J184))</f>
        <v/>
      </c>
      <c r="D184" s="50" t="str">
        <f>IF($J184="","",IF(INDEX('Mouvements'!$B$5:$B$5004,$J184)="Entrée",INDEX('Mouvements'!$E$5:$E$5004,$J184),""))</f>
        <v/>
      </c>
      <c r="E184" s="50" t="str">
        <f>IF($J184="","",IF(INDEX('Mouvements'!$B$5:$B$5004,$J184)="Sortie",INDEX('Mouvements'!$E$5:$E$5004,$J184),""))</f>
        <v/>
      </c>
      <c r="F184" s="50" t="str">
        <f>IF($J184="","",INDEX('Mouvements'!$K$5:$K$5004,$J184))</f>
        <v/>
      </c>
      <c r="G184" s="50" t="str">
        <f>IF($J184="","",INDEX('Mouvements'!$G$5:$G$5004,$J184)&amp;"")</f>
        <v/>
      </c>
      <c r="H184" s="50" t="str">
        <f>IF($J184="","",INDEX('Mouvements'!$H$5:$H$5004,$J184)&amp;"")</f>
        <v/>
      </c>
      <c r="I184" s="50" t="str">
        <f>IF($J184="","",INDEX('Mouvements'!$I$5:$I$5004,$J184)&amp;"")</f>
        <v/>
      </c>
      <c r="J184" t="str">
        <f>IF($C$4="","",IFERROR(MATCH($C$4&amp;"#"&amp;($J$9+174),mv_key,0),""))</f>
        <v/>
      </c>
    </row>
    <row r="185">
      <c r="B185" s="49" t="str">
        <f>IF($J185="","",INDEX('Mouvements'!$A$5:$A$5004,$J185))</f>
        <v/>
      </c>
      <c r="C185" s="50" t="str">
        <f>IF($J185="","",INDEX('Mouvements'!$B$5:$B$5004,$J185))</f>
        <v/>
      </c>
      <c r="D185" s="50" t="str">
        <f>IF($J185="","",IF(INDEX('Mouvements'!$B$5:$B$5004,$J185)="Entrée",INDEX('Mouvements'!$E$5:$E$5004,$J185),""))</f>
        <v/>
      </c>
      <c r="E185" s="50" t="str">
        <f>IF($J185="","",IF(INDEX('Mouvements'!$B$5:$B$5004,$J185)="Sortie",INDEX('Mouvements'!$E$5:$E$5004,$J185),""))</f>
        <v/>
      </c>
      <c r="F185" s="50" t="str">
        <f>IF($J185="","",INDEX('Mouvements'!$K$5:$K$5004,$J185))</f>
        <v/>
      </c>
      <c r="G185" s="50" t="str">
        <f>IF($J185="","",INDEX('Mouvements'!$G$5:$G$5004,$J185)&amp;"")</f>
        <v/>
      </c>
      <c r="H185" s="50" t="str">
        <f>IF($J185="","",INDEX('Mouvements'!$H$5:$H$5004,$J185)&amp;"")</f>
        <v/>
      </c>
      <c r="I185" s="50" t="str">
        <f>IF($J185="","",INDEX('Mouvements'!$I$5:$I$5004,$J185)&amp;"")</f>
        <v/>
      </c>
      <c r="J185" t="str">
        <f>IF($C$4="","",IFERROR(MATCH($C$4&amp;"#"&amp;($J$9+175),mv_key,0),""))</f>
        <v/>
      </c>
    </row>
    <row r="186">
      <c r="B186" s="49" t="str">
        <f>IF($J186="","",INDEX('Mouvements'!$A$5:$A$5004,$J186))</f>
        <v/>
      </c>
      <c r="C186" s="50" t="str">
        <f>IF($J186="","",INDEX('Mouvements'!$B$5:$B$5004,$J186))</f>
        <v/>
      </c>
      <c r="D186" s="50" t="str">
        <f>IF($J186="","",IF(INDEX('Mouvements'!$B$5:$B$5004,$J186)="Entrée",INDEX('Mouvements'!$E$5:$E$5004,$J186),""))</f>
        <v/>
      </c>
      <c r="E186" s="50" t="str">
        <f>IF($J186="","",IF(INDEX('Mouvements'!$B$5:$B$5004,$J186)="Sortie",INDEX('Mouvements'!$E$5:$E$5004,$J186),""))</f>
        <v/>
      </c>
      <c r="F186" s="50" t="str">
        <f>IF($J186="","",INDEX('Mouvements'!$K$5:$K$5004,$J186))</f>
        <v/>
      </c>
      <c r="G186" s="50" t="str">
        <f>IF($J186="","",INDEX('Mouvements'!$G$5:$G$5004,$J186)&amp;"")</f>
        <v/>
      </c>
      <c r="H186" s="50" t="str">
        <f>IF($J186="","",INDEX('Mouvements'!$H$5:$H$5004,$J186)&amp;"")</f>
        <v/>
      </c>
      <c r="I186" s="50" t="str">
        <f>IF($J186="","",INDEX('Mouvements'!$I$5:$I$5004,$J186)&amp;"")</f>
        <v/>
      </c>
      <c r="J186" t="str">
        <f>IF($C$4="","",IFERROR(MATCH($C$4&amp;"#"&amp;($J$9+176),mv_key,0),""))</f>
        <v/>
      </c>
    </row>
    <row r="187">
      <c r="B187" s="49" t="str">
        <f>IF($J187="","",INDEX('Mouvements'!$A$5:$A$5004,$J187))</f>
        <v/>
      </c>
      <c r="C187" s="50" t="str">
        <f>IF($J187="","",INDEX('Mouvements'!$B$5:$B$5004,$J187))</f>
        <v/>
      </c>
      <c r="D187" s="50" t="str">
        <f>IF($J187="","",IF(INDEX('Mouvements'!$B$5:$B$5004,$J187)="Entrée",INDEX('Mouvements'!$E$5:$E$5004,$J187),""))</f>
        <v/>
      </c>
      <c r="E187" s="50" t="str">
        <f>IF($J187="","",IF(INDEX('Mouvements'!$B$5:$B$5004,$J187)="Sortie",INDEX('Mouvements'!$E$5:$E$5004,$J187),""))</f>
        <v/>
      </c>
      <c r="F187" s="50" t="str">
        <f>IF($J187="","",INDEX('Mouvements'!$K$5:$K$5004,$J187))</f>
        <v/>
      </c>
      <c r="G187" s="50" t="str">
        <f>IF($J187="","",INDEX('Mouvements'!$G$5:$G$5004,$J187)&amp;"")</f>
        <v/>
      </c>
      <c r="H187" s="50" t="str">
        <f>IF($J187="","",INDEX('Mouvements'!$H$5:$H$5004,$J187)&amp;"")</f>
        <v/>
      </c>
      <c r="I187" s="50" t="str">
        <f>IF($J187="","",INDEX('Mouvements'!$I$5:$I$5004,$J187)&amp;"")</f>
        <v/>
      </c>
      <c r="J187" t="str">
        <f>IF($C$4="","",IFERROR(MATCH($C$4&amp;"#"&amp;($J$9+177),mv_key,0),""))</f>
        <v/>
      </c>
    </row>
    <row r="188">
      <c r="B188" s="49" t="str">
        <f>IF($J188="","",INDEX('Mouvements'!$A$5:$A$5004,$J188))</f>
        <v/>
      </c>
      <c r="C188" s="50" t="str">
        <f>IF($J188="","",INDEX('Mouvements'!$B$5:$B$5004,$J188))</f>
        <v/>
      </c>
      <c r="D188" s="50" t="str">
        <f>IF($J188="","",IF(INDEX('Mouvements'!$B$5:$B$5004,$J188)="Entrée",INDEX('Mouvements'!$E$5:$E$5004,$J188),""))</f>
        <v/>
      </c>
      <c r="E188" s="50" t="str">
        <f>IF($J188="","",IF(INDEX('Mouvements'!$B$5:$B$5004,$J188)="Sortie",INDEX('Mouvements'!$E$5:$E$5004,$J188),""))</f>
        <v/>
      </c>
      <c r="F188" s="50" t="str">
        <f>IF($J188="","",INDEX('Mouvements'!$K$5:$K$5004,$J188))</f>
        <v/>
      </c>
      <c r="G188" s="50" t="str">
        <f>IF($J188="","",INDEX('Mouvements'!$G$5:$G$5004,$J188)&amp;"")</f>
        <v/>
      </c>
      <c r="H188" s="50" t="str">
        <f>IF($J188="","",INDEX('Mouvements'!$H$5:$H$5004,$J188)&amp;"")</f>
        <v/>
      </c>
      <c r="I188" s="50" t="str">
        <f>IF($J188="","",INDEX('Mouvements'!$I$5:$I$5004,$J188)&amp;"")</f>
        <v/>
      </c>
      <c r="J188" t="str">
        <f>IF($C$4="","",IFERROR(MATCH($C$4&amp;"#"&amp;($J$9+178),mv_key,0),""))</f>
        <v/>
      </c>
    </row>
    <row r="189">
      <c r="B189" s="49" t="str">
        <f>IF($J189="","",INDEX('Mouvements'!$A$5:$A$5004,$J189))</f>
        <v/>
      </c>
      <c r="C189" s="50" t="str">
        <f>IF($J189="","",INDEX('Mouvements'!$B$5:$B$5004,$J189))</f>
        <v/>
      </c>
      <c r="D189" s="50" t="str">
        <f>IF($J189="","",IF(INDEX('Mouvements'!$B$5:$B$5004,$J189)="Entrée",INDEX('Mouvements'!$E$5:$E$5004,$J189),""))</f>
        <v/>
      </c>
      <c r="E189" s="50" t="str">
        <f>IF($J189="","",IF(INDEX('Mouvements'!$B$5:$B$5004,$J189)="Sortie",INDEX('Mouvements'!$E$5:$E$5004,$J189),""))</f>
        <v/>
      </c>
      <c r="F189" s="50" t="str">
        <f>IF($J189="","",INDEX('Mouvements'!$K$5:$K$5004,$J189))</f>
        <v/>
      </c>
      <c r="G189" s="50" t="str">
        <f>IF($J189="","",INDEX('Mouvements'!$G$5:$G$5004,$J189)&amp;"")</f>
        <v/>
      </c>
      <c r="H189" s="50" t="str">
        <f>IF($J189="","",INDEX('Mouvements'!$H$5:$H$5004,$J189)&amp;"")</f>
        <v/>
      </c>
      <c r="I189" s="50" t="str">
        <f>IF($J189="","",INDEX('Mouvements'!$I$5:$I$5004,$J189)&amp;"")</f>
        <v/>
      </c>
      <c r="J189" t="str">
        <f>IF($C$4="","",IFERROR(MATCH($C$4&amp;"#"&amp;($J$9+179),mv_key,0),""))</f>
        <v/>
      </c>
    </row>
    <row r="190">
      <c r="B190" s="49" t="str">
        <f>IF($J190="","",INDEX('Mouvements'!$A$5:$A$5004,$J190))</f>
        <v/>
      </c>
      <c r="C190" s="50" t="str">
        <f>IF($J190="","",INDEX('Mouvements'!$B$5:$B$5004,$J190))</f>
        <v/>
      </c>
      <c r="D190" s="50" t="str">
        <f>IF($J190="","",IF(INDEX('Mouvements'!$B$5:$B$5004,$J190)="Entrée",INDEX('Mouvements'!$E$5:$E$5004,$J190),""))</f>
        <v/>
      </c>
      <c r="E190" s="50" t="str">
        <f>IF($J190="","",IF(INDEX('Mouvements'!$B$5:$B$5004,$J190)="Sortie",INDEX('Mouvements'!$E$5:$E$5004,$J190),""))</f>
        <v/>
      </c>
      <c r="F190" s="50" t="str">
        <f>IF($J190="","",INDEX('Mouvements'!$K$5:$K$5004,$J190))</f>
        <v/>
      </c>
      <c r="G190" s="50" t="str">
        <f>IF($J190="","",INDEX('Mouvements'!$G$5:$G$5004,$J190)&amp;"")</f>
        <v/>
      </c>
      <c r="H190" s="50" t="str">
        <f>IF($J190="","",INDEX('Mouvements'!$H$5:$H$5004,$J190)&amp;"")</f>
        <v/>
      </c>
      <c r="I190" s="50" t="str">
        <f>IF($J190="","",INDEX('Mouvements'!$I$5:$I$5004,$J190)&amp;"")</f>
        <v/>
      </c>
      <c r="J190" t="str">
        <f>IF($C$4="","",IFERROR(MATCH($C$4&amp;"#"&amp;($J$9+180),mv_key,0),""))</f>
        <v/>
      </c>
    </row>
    <row r="191">
      <c r="B191" s="49" t="str">
        <f>IF($J191="","",INDEX('Mouvements'!$A$5:$A$5004,$J191))</f>
        <v/>
      </c>
      <c r="C191" s="50" t="str">
        <f>IF($J191="","",INDEX('Mouvements'!$B$5:$B$5004,$J191))</f>
        <v/>
      </c>
      <c r="D191" s="50" t="str">
        <f>IF($J191="","",IF(INDEX('Mouvements'!$B$5:$B$5004,$J191)="Entrée",INDEX('Mouvements'!$E$5:$E$5004,$J191),""))</f>
        <v/>
      </c>
      <c r="E191" s="50" t="str">
        <f>IF($J191="","",IF(INDEX('Mouvements'!$B$5:$B$5004,$J191)="Sortie",INDEX('Mouvements'!$E$5:$E$5004,$J191),""))</f>
        <v/>
      </c>
      <c r="F191" s="50" t="str">
        <f>IF($J191="","",INDEX('Mouvements'!$K$5:$K$5004,$J191))</f>
        <v/>
      </c>
      <c r="G191" s="50" t="str">
        <f>IF($J191="","",INDEX('Mouvements'!$G$5:$G$5004,$J191)&amp;"")</f>
        <v/>
      </c>
      <c r="H191" s="50" t="str">
        <f>IF($J191="","",INDEX('Mouvements'!$H$5:$H$5004,$J191)&amp;"")</f>
        <v/>
      </c>
      <c r="I191" s="50" t="str">
        <f>IF($J191="","",INDEX('Mouvements'!$I$5:$I$5004,$J191)&amp;"")</f>
        <v/>
      </c>
      <c r="J191" t="str">
        <f>IF($C$4="","",IFERROR(MATCH($C$4&amp;"#"&amp;($J$9+181),mv_key,0),""))</f>
        <v/>
      </c>
    </row>
    <row r="192">
      <c r="B192" s="49" t="str">
        <f>IF($J192="","",INDEX('Mouvements'!$A$5:$A$5004,$J192))</f>
        <v/>
      </c>
      <c r="C192" s="50" t="str">
        <f>IF($J192="","",INDEX('Mouvements'!$B$5:$B$5004,$J192))</f>
        <v/>
      </c>
      <c r="D192" s="50" t="str">
        <f>IF($J192="","",IF(INDEX('Mouvements'!$B$5:$B$5004,$J192)="Entrée",INDEX('Mouvements'!$E$5:$E$5004,$J192),""))</f>
        <v/>
      </c>
      <c r="E192" s="50" t="str">
        <f>IF($J192="","",IF(INDEX('Mouvements'!$B$5:$B$5004,$J192)="Sortie",INDEX('Mouvements'!$E$5:$E$5004,$J192),""))</f>
        <v/>
      </c>
      <c r="F192" s="50" t="str">
        <f>IF($J192="","",INDEX('Mouvements'!$K$5:$K$5004,$J192))</f>
        <v/>
      </c>
      <c r="G192" s="50" t="str">
        <f>IF($J192="","",INDEX('Mouvements'!$G$5:$G$5004,$J192)&amp;"")</f>
        <v/>
      </c>
      <c r="H192" s="50" t="str">
        <f>IF($J192="","",INDEX('Mouvements'!$H$5:$H$5004,$J192)&amp;"")</f>
        <v/>
      </c>
      <c r="I192" s="50" t="str">
        <f>IF($J192="","",INDEX('Mouvements'!$I$5:$I$5004,$J192)&amp;"")</f>
        <v/>
      </c>
      <c r="J192" t="str">
        <f>IF($C$4="","",IFERROR(MATCH($C$4&amp;"#"&amp;($J$9+182),mv_key,0),""))</f>
        <v/>
      </c>
    </row>
    <row r="193">
      <c r="B193" s="49" t="str">
        <f>IF($J193="","",INDEX('Mouvements'!$A$5:$A$5004,$J193))</f>
        <v/>
      </c>
      <c r="C193" s="50" t="str">
        <f>IF($J193="","",INDEX('Mouvements'!$B$5:$B$5004,$J193))</f>
        <v/>
      </c>
      <c r="D193" s="50" t="str">
        <f>IF($J193="","",IF(INDEX('Mouvements'!$B$5:$B$5004,$J193)="Entrée",INDEX('Mouvements'!$E$5:$E$5004,$J193),""))</f>
        <v/>
      </c>
      <c r="E193" s="50" t="str">
        <f>IF($J193="","",IF(INDEX('Mouvements'!$B$5:$B$5004,$J193)="Sortie",INDEX('Mouvements'!$E$5:$E$5004,$J193),""))</f>
        <v/>
      </c>
      <c r="F193" s="50" t="str">
        <f>IF($J193="","",INDEX('Mouvements'!$K$5:$K$5004,$J193))</f>
        <v/>
      </c>
      <c r="G193" s="50" t="str">
        <f>IF($J193="","",INDEX('Mouvements'!$G$5:$G$5004,$J193)&amp;"")</f>
        <v/>
      </c>
      <c r="H193" s="50" t="str">
        <f>IF($J193="","",INDEX('Mouvements'!$H$5:$H$5004,$J193)&amp;"")</f>
        <v/>
      </c>
      <c r="I193" s="50" t="str">
        <f>IF($J193="","",INDEX('Mouvements'!$I$5:$I$5004,$J193)&amp;"")</f>
        <v/>
      </c>
      <c r="J193" t="str">
        <f>IF($C$4="","",IFERROR(MATCH($C$4&amp;"#"&amp;($J$9+183),mv_key,0),""))</f>
        <v/>
      </c>
    </row>
    <row r="194">
      <c r="B194" s="49" t="str">
        <f>IF($J194="","",INDEX('Mouvements'!$A$5:$A$5004,$J194))</f>
        <v/>
      </c>
      <c r="C194" s="50" t="str">
        <f>IF($J194="","",INDEX('Mouvements'!$B$5:$B$5004,$J194))</f>
        <v/>
      </c>
      <c r="D194" s="50" t="str">
        <f>IF($J194="","",IF(INDEX('Mouvements'!$B$5:$B$5004,$J194)="Entrée",INDEX('Mouvements'!$E$5:$E$5004,$J194),""))</f>
        <v/>
      </c>
      <c r="E194" s="50" t="str">
        <f>IF($J194="","",IF(INDEX('Mouvements'!$B$5:$B$5004,$J194)="Sortie",INDEX('Mouvements'!$E$5:$E$5004,$J194),""))</f>
        <v/>
      </c>
      <c r="F194" s="50" t="str">
        <f>IF($J194="","",INDEX('Mouvements'!$K$5:$K$5004,$J194))</f>
        <v/>
      </c>
      <c r="G194" s="50" t="str">
        <f>IF($J194="","",INDEX('Mouvements'!$G$5:$G$5004,$J194)&amp;"")</f>
        <v/>
      </c>
      <c r="H194" s="50" t="str">
        <f>IF($J194="","",INDEX('Mouvements'!$H$5:$H$5004,$J194)&amp;"")</f>
        <v/>
      </c>
      <c r="I194" s="50" t="str">
        <f>IF($J194="","",INDEX('Mouvements'!$I$5:$I$5004,$J194)&amp;"")</f>
        <v/>
      </c>
      <c r="J194" t="str">
        <f>IF($C$4="","",IFERROR(MATCH($C$4&amp;"#"&amp;($J$9+184),mv_key,0),""))</f>
        <v/>
      </c>
    </row>
    <row r="195">
      <c r="B195" s="49" t="str">
        <f>IF($J195="","",INDEX('Mouvements'!$A$5:$A$5004,$J195))</f>
        <v/>
      </c>
      <c r="C195" s="50" t="str">
        <f>IF($J195="","",INDEX('Mouvements'!$B$5:$B$5004,$J195))</f>
        <v/>
      </c>
      <c r="D195" s="50" t="str">
        <f>IF($J195="","",IF(INDEX('Mouvements'!$B$5:$B$5004,$J195)="Entrée",INDEX('Mouvements'!$E$5:$E$5004,$J195),""))</f>
        <v/>
      </c>
      <c r="E195" s="50" t="str">
        <f>IF($J195="","",IF(INDEX('Mouvements'!$B$5:$B$5004,$J195)="Sortie",INDEX('Mouvements'!$E$5:$E$5004,$J195),""))</f>
        <v/>
      </c>
      <c r="F195" s="50" t="str">
        <f>IF($J195="","",INDEX('Mouvements'!$K$5:$K$5004,$J195))</f>
        <v/>
      </c>
      <c r="G195" s="50" t="str">
        <f>IF($J195="","",INDEX('Mouvements'!$G$5:$G$5004,$J195)&amp;"")</f>
        <v/>
      </c>
      <c r="H195" s="50" t="str">
        <f>IF($J195="","",INDEX('Mouvements'!$H$5:$H$5004,$J195)&amp;"")</f>
        <v/>
      </c>
      <c r="I195" s="50" t="str">
        <f>IF($J195="","",INDEX('Mouvements'!$I$5:$I$5004,$J195)&amp;"")</f>
        <v/>
      </c>
      <c r="J195" t="str">
        <f>IF($C$4="","",IFERROR(MATCH($C$4&amp;"#"&amp;($J$9+185),mv_key,0),""))</f>
        <v/>
      </c>
    </row>
    <row r="196">
      <c r="B196" s="49" t="str">
        <f>IF($J196="","",INDEX('Mouvements'!$A$5:$A$5004,$J196))</f>
        <v/>
      </c>
      <c r="C196" s="50" t="str">
        <f>IF($J196="","",INDEX('Mouvements'!$B$5:$B$5004,$J196))</f>
        <v/>
      </c>
      <c r="D196" s="50" t="str">
        <f>IF($J196="","",IF(INDEX('Mouvements'!$B$5:$B$5004,$J196)="Entrée",INDEX('Mouvements'!$E$5:$E$5004,$J196),""))</f>
        <v/>
      </c>
      <c r="E196" s="50" t="str">
        <f>IF($J196="","",IF(INDEX('Mouvements'!$B$5:$B$5004,$J196)="Sortie",INDEX('Mouvements'!$E$5:$E$5004,$J196),""))</f>
        <v/>
      </c>
      <c r="F196" s="50" t="str">
        <f>IF($J196="","",INDEX('Mouvements'!$K$5:$K$5004,$J196))</f>
        <v/>
      </c>
      <c r="G196" s="50" t="str">
        <f>IF($J196="","",INDEX('Mouvements'!$G$5:$G$5004,$J196)&amp;"")</f>
        <v/>
      </c>
      <c r="H196" s="50" t="str">
        <f>IF($J196="","",INDEX('Mouvements'!$H$5:$H$5004,$J196)&amp;"")</f>
        <v/>
      </c>
      <c r="I196" s="50" t="str">
        <f>IF($J196="","",INDEX('Mouvements'!$I$5:$I$5004,$J196)&amp;"")</f>
        <v/>
      </c>
      <c r="J196" t="str">
        <f>IF($C$4="","",IFERROR(MATCH($C$4&amp;"#"&amp;($J$9+186),mv_key,0),""))</f>
        <v/>
      </c>
    </row>
    <row r="197">
      <c r="B197" s="49" t="str">
        <f>IF($J197="","",INDEX('Mouvements'!$A$5:$A$5004,$J197))</f>
        <v/>
      </c>
      <c r="C197" s="50" t="str">
        <f>IF($J197="","",INDEX('Mouvements'!$B$5:$B$5004,$J197))</f>
        <v/>
      </c>
      <c r="D197" s="50" t="str">
        <f>IF($J197="","",IF(INDEX('Mouvements'!$B$5:$B$5004,$J197)="Entrée",INDEX('Mouvements'!$E$5:$E$5004,$J197),""))</f>
        <v/>
      </c>
      <c r="E197" s="50" t="str">
        <f>IF($J197="","",IF(INDEX('Mouvements'!$B$5:$B$5004,$J197)="Sortie",INDEX('Mouvements'!$E$5:$E$5004,$J197),""))</f>
        <v/>
      </c>
      <c r="F197" s="50" t="str">
        <f>IF($J197="","",INDEX('Mouvements'!$K$5:$K$5004,$J197))</f>
        <v/>
      </c>
      <c r="G197" s="50" t="str">
        <f>IF($J197="","",INDEX('Mouvements'!$G$5:$G$5004,$J197)&amp;"")</f>
        <v/>
      </c>
      <c r="H197" s="50" t="str">
        <f>IF($J197="","",INDEX('Mouvements'!$H$5:$H$5004,$J197)&amp;"")</f>
        <v/>
      </c>
      <c r="I197" s="50" t="str">
        <f>IF($J197="","",INDEX('Mouvements'!$I$5:$I$5004,$J197)&amp;"")</f>
        <v/>
      </c>
      <c r="J197" t="str">
        <f>IF($C$4="","",IFERROR(MATCH($C$4&amp;"#"&amp;($J$9+187),mv_key,0),""))</f>
        <v/>
      </c>
    </row>
    <row r="198">
      <c r="B198" s="49" t="str">
        <f>IF($J198="","",INDEX('Mouvements'!$A$5:$A$5004,$J198))</f>
        <v/>
      </c>
      <c r="C198" s="50" t="str">
        <f>IF($J198="","",INDEX('Mouvements'!$B$5:$B$5004,$J198))</f>
        <v/>
      </c>
      <c r="D198" s="50" t="str">
        <f>IF($J198="","",IF(INDEX('Mouvements'!$B$5:$B$5004,$J198)="Entrée",INDEX('Mouvements'!$E$5:$E$5004,$J198),""))</f>
        <v/>
      </c>
      <c r="E198" s="50" t="str">
        <f>IF($J198="","",IF(INDEX('Mouvements'!$B$5:$B$5004,$J198)="Sortie",INDEX('Mouvements'!$E$5:$E$5004,$J198),""))</f>
        <v/>
      </c>
      <c r="F198" s="50" t="str">
        <f>IF($J198="","",INDEX('Mouvements'!$K$5:$K$5004,$J198))</f>
        <v/>
      </c>
      <c r="G198" s="50" t="str">
        <f>IF($J198="","",INDEX('Mouvements'!$G$5:$G$5004,$J198)&amp;"")</f>
        <v/>
      </c>
      <c r="H198" s="50" t="str">
        <f>IF($J198="","",INDEX('Mouvements'!$H$5:$H$5004,$J198)&amp;"")</f>
        <v/>
      </c>
      <c r="I198" s="50" t="str">
        <f>IF($J198="","",INDEX('Mouvements'!$I$5:$I$5004,$J198)&amp;"")</f>
        <v/>
      </c>
      <c r="J198" t="str">
        <f>IF($C$4="","",IFERROR(MATCH($C$4&amp;"#"&amp;($J$9+188),mv_key,0),""))</f>
        <v/>
      </c>
    </row>
    <row r="199">
      <c r="B199" s="49" t="str">
        <f>IF($J199="","",INDEX('Mouvements'!$A$5:$A$5004,$J199))</f>
        <v/>
      </c>
      <c r="C199" s="50" t="str">
        <f>IF($J199="","",INDEX('Mouvements'!$B$5:$B$5004,$J199))</f>
        <v/>
      </c>
      <c r="D199" s="50" t="str">
        <f>IF($J199="","",IF(INDEX('Mouvements'!$B$5:$B$5004,$J199)="Entrée",INDEX('Mouvements'!$E$5:$E$5004,$J199),""))</f>
        <v/>
      </c>
      <c r="E199" s="50" t="str">
        <f>IF($J199="","",IF(INDEX('Mouvements'!$B$5:$B$5004,$J199)="Sortie",INDEX('Mouvements'!$E$5:$E$5004,$J199),""))</f>
        <v/>
      </c>
      <c r="F199" s="50" t="str">
        <f>IF($J199="","",INDEX('Mouvements'!$K$5:$K$5004,$J199))</f>
        <v/>
      </c>
      <c r="G199" s="50" t="str">
        <f>IF($J199="","",INDEX('Mouvements'!$G$5:$G$5004,$J199)&amp;"")</f>
        <v/>
      </c>
      <c r="H199" s="50" t="str">
        <f>IF($J199="","",INDEX('Mouvements'!$H$5:$H$5004,$J199)&amp;"")</f>
        <v/>
      </c>
      <c r="I199" s="50" t="str">
        <f>IF($J199="","",INDEX('Mouvements'!$I$5:$I$5004,$J199)&amp;"")</f>
        <v/>
      </c>
      <c r="J199" t="str">
        <f>IF($C$4="","",IFERROR(MATCH($C$4&amp;"#"&amp;($J$9+189),mv_key,0),""))</f>
        <v/>
      </c>
    </row>
    <row r="200">
      <c r="B200" s="49" t="str">
        <f>IF($J200="","",INDEX('Mouvements'!$A$5:$A$5004,$J200))</f>
        <v/>
      </c>
      <c r="C200" s="50" t="str">
        <f>IF($J200="","",INDEX('Mouvements'!$B$5:$B$5004,$J200))</f>
        <v/>
      </c>
      <c r="D200" s="50" t="str">
        <f>IF($J200="","",IF(INDEX('Mouvements'!$B$5:$B$5004,$J200)="Entrée",INDEX('Mouvements'!$E$5:$E$5004,$J200),""))</f>
        <v/>
      </c>
      <c r="E200" s="50" t="str">
        <f>IF($J200="","",IF(INDEX('Mouvements'!$B$5:$B$5004,$J200)="Sortie",INDEX('Mouvements'!$E$5:$E$5004,$J200),""))</f>
        <v/>
      </c>
      <c r="F200" s="50" t="str">
        <f>IF($J200="","",INDEX('Mouvements'!$K$5:$K$5004,$J200))</f>
        <v/>
      </c>
      <c r="G200" s="50" t="str">
        <f>IF($J200="","",INDEX('Mouvements'!$G$5:$G$5004,$J200)&amp;"")</f>
        <v/>
      </c>
      <c r="H200" s="50" t="str">
        <f>IF($J200="","",INDEX('Mouvements'!$H$5:$H$5004,$J200)&amp;"")</f>
        <v/>
      </c>
      <c r="I200" s="50" t="str">
        <f>IF($J200="","",INDEX('Mouvements'!$I$5:$I$5004,$J200)&amp;"")</f>
        <v/>
      </c>
      <c r="J200" t="str">
        <f>IF($C$4="","",IFERROR(MATCH($C$4&amp;"#"&amp;($J$9+190),mv_key,0),""))</f>
        <v/>
      </c>
    </row>
    <row r="201">
      <c r="B201" s="49" t="str">
        <f>IF($J201="","",INDEX('Mouvements'!$A$5:$A$5004,$J201))</f>
        <v/>
      </c>
      <c r="C201" s="50" t="str">
        <f>IF($J201="","",INDEX('Mouvements'!$B$5:$B$5004,$J201))</f>
        <v/>
      </c>
      <c r="D201" s="50" t="str">
        <f>IF($J201="","",IF(INDEX('Mouvements'!$B$5:$B$5004,$J201)="Entrée",INDEX('Mouvements'!$E$5:$E$5004,$J201),""))</f>
        <v/>
      </c>
      <c r="E201" s="50" t="str">
        <f>IF($J201="","",IF(INDEX('Mouvements'!$B$5:$B$5004,$J201)="Sortie",INDEX('Mouvements'!$E$5:$E$5004,$J201),""))</f>
        <v/>
      </c>
      <c r="F201" s="50" t="str">
        <f>IF($J201="","",INDEX('Mouvements'!$K$5:$K$5004,$J201))</f>
        <v/>
      </c>
      <c r="G201" s="50" t="str">
        <f>IF($J201="","",INDEX('Mouvements'!$G$5:$G$5004,$J201)&amp;"")</f>
        <v/>
      </c>
      <c r="H201" s="50" t="str">
        <f>IF($J201="","",INDEX('Mouvements'!$H$5:$H$5004,$J201)&amp;"")</f>
        <v/>
      </c>
      <c r="I201" s="50" t="str">
        <f>IF($J201="","",INDEX('Mouvements'!$I$5:$I$5004,$J201)&amp;"")</f>
        <v/>
      </c>
      <c r="J201" t="str">
        <f>IF($C$4="","",IFERROR(MATCH($C$4&amp;"#"&amp;($J$9+191),mv_key,0),""))</f>
        <v/>
      </c>
    </row>
    <row r="202">
      <c r="B202" s="49" t="str">
        <f>IF($J202="","",INDEX('Mouvements'!$A$5:$A$5004,$J202))</f>
        <v/>
      </c>
      <c r="C202" s="50" t="str">
        <f>IF($J202="","",INDEX('Mouvements'!$B$5:$B$5004,$J202))</f>
        <v/>
      </c>
      <c r="D202" s="50" t="str">
        <f>IF($J202="","",IF(INDEX('Mouvements'!$B$5:$B$5004,$J202)="Entrée",INDEX('Mouvements'!$E$5:$E$5004,$J202),""))</f>
        <v/>
      </c>
      <c r="E202" s="50" t="str">
        <f>IF($J202="","",IF(INDEX('Mouvements'!$B$5:$B$5004,$J202)="Sortie",INDEX('Mouvements'!$E$5:$E$5004,$J202),""))</f>
        <v/>
      </c>
      <c r="F202" s="50" t="str">
        <f>IF($J202="","",INDEX('Mouvements'!$K$5:$K$5004,$J202))</f>
        <v/>
      </c>
      <c r="G202" s="50" t="str">
        <f>IF($J202="","",INDEX('Mouvements'!$G$5:$G$5004,$J202)&amp;"")</f>
        <v/>
      </c>
      <c r="H202" s="50" t="str">
        <f>IF($J202="","",INDEX('Mouvements'!$H$5:$H$5004,$J202)&amp;"")</f>
        <v/>
      </c>
      <c r="I202" s="50" t="str">
        <f>IF($J202="","",INDEX('Mouvements'!$I$5:$I$5004,$J202)&amp;"")</f>
        <v/>
      </c>
      <c r="J202" t="str">
        <f>IF($C$4="","",IFERROR(MATCH($C$4&amp;"#"&amp;($J$9+192),mv_key,0),""))</f>
        <v/>
      </c>
    </row>
    <row r="203">
      <c r="B203" s="49" t="str">
        <f>IF($J203="","",INDEX('Mouvements'!$A$5:$A$5004,$J203))</f>
        <v/>
      </c>
      <c r="C203" s="50" t="str">
        <f>IF($J203="","",INDEX('Mouvements'!$B$5:$B$5004,$J203))</f>
        <v/>
      </c>
      <c r="D203" s="50" t="str">
        <f>IF($J203="","",IF(INDEX('Mouvements'!$B$5:$B$5004,$J203)="Entrée",INDEX('Mouvements'!$E$5:$E$5004,$J203),""))</f>
        <v/>
      </c>
      <c r="E203" s="50" t="str">
        <f>IF($J203="","",IF(INDEX('Mouvements'!$B$5:$B$5004,$J203)="Sortie",INDEX('Mouvements'!$E$5:$E$5004,$J203),""))</f>
        <v/>
      </c>
      <c r="F203" s="50" t="str">
        <f>IF($J203="","",INDEX('Mouvements'!$K$5:$K$5004,$J203))</f>
        <v/>
      </c>
      <c r="G203" s="50" t="str">
        <f>IF($J203="","",INDEX('Mouvements'!$G$5:$G$5004,$J203)&amp;"")</f>
        <v/>
      </c>
      <c r="H203" s="50" t="str">
        <f>IF($J203="","",INDEX('Mouvements'!$H$5:$H$5004,$J203)&amp;"")</f>
        <v/>
      </c>
      <c r="I203" s="50" t="str">
        <f>IF($J203="","",INDEX('Mouvements'!$I$5:$I$5004,$J203)&amp;"")</f>
        <v/>
      </c>
      <c r="J203" t="str">
        <f>IF($C$4="","",IFERROR(MATCH($C$4&amp;"#"&amp;($J$9+193),mv_key,0),""))</f>
        <v/>
      </c>
    </row>
    <row r="204">
      <c r="B204" s="49" t="str">
        <f>IF($J204="","",INDEX('Mouvements'!$A$5:$A$5004,$J204))</f>
        <v/>
      </c>
      <c r="C204" s="50" t="str">
        <f>IF($J204="","",INDEX('Mouvements'!$B$5:$B$5004,$J204))</f>
        <v/>
      </c>
      <c r="D204" s="50" t="str">
        <f>IF($J204="","",IF(INDEX('Mouvements'!$B$5:$B$5004,$J204)="Entrée",INDEX('Mouvements'!$E$5:$E$5004,$J204),""))</f>
        <v/>
      </c>
      <c r="E204" s="50" t="str">
        <f>IF($J204="","",IF(INDEX('Mouvements'!$B$5:$B$5004,$J204)="Sortie",INDEX('Mouvements'!$E$5:$E$5004,$J204),""))</f>
        <v/>
      </c>
      <c r="F204" s="50" t="str">
        <f>IF($J204="","",INDEX('Mouvements'!$K$5:$K$5004,$J204))</f>
        <v/>
      </c>
      <c r="G204" s="50" t="str">
        <f>IF($J204="","",INDEX('Mouvements'!$G$5:$G$5004,$J204)&amp;"")</f>
        <v/>
      </c>
      <c r="H204" s="50" t="str">
        <f>IF($J204="","",INDEX('Mouvements'!$H$5:$H$5004,$J204)&amp;"")</f>
        <v/>
      </c>
      <c r="I204" s="50" t="str">
        <f>IF($J204="","",INDEX('Mouvements'!$I$5:$I$5004,$J204)&amp;"")</f>
        <v/>
      </c>
      <c r="J204" t="str">
        <f>IF($C$4="","",IFERROR(MATCH($C$4&amp;"#"&amp;($J$9+194),mv_key,0),""))</f>
        <v/>
      </c>
    </row>
    <row r="205">
      <c r="B205" s="49" t="str">
        <f>IF($J205="","",INDEX('Mouvements'!$A$5:$A$5004,$J205))</f>
        <v/>
      </c>
      <c r="C205" s="50" t="str">
        <f>IF($J205="","",INDEX('Mouvements'!$B$5:$B$5004,$J205))</f>
        <v/>
      </c>
      <c r="D205" s="50" t="str">
        <f>IF($J205="","",IF(INDEX('Mouvements'!$B$5:$B$5004,$J205)="Entrée",INDEX('Mouvements'!$E$5:$E$5004,$J205),""))</f>
        <v/>
      </c>
      <c r="E205" s="50" t="str">
        <f>IF($J205="","",IF(INDEX('Mouvements'!$B$5:$B$5004,$J205)="Sortie",INDEX('Mouvements'!$E$5:$E$5004,$J205),""))</f>
        <v/>
      </c>
      <c r="F205" s="50" t="str">
        <f>IF($J205="","",INDEX('Mouvements'!$K$5:$K$5004,$J205))</f>
        <v/>
      </c>
      <c r="G205" s="50" t="str">
        <f>IF($J205="","",INDEX('Mouvements'!$G$5:$G$5004,$J205)&amp;"")</f>
        <v/>
      </c>
      <c r="H205" s="50" t="str">
        <f>IF($J205="","",INDEX('Mouvements'!$H$5:$H$5004,$J205)&amp;"")</f>
        <v/>
      </c>
      <c r="I205" s="50" t="str">
        <f>IF($J205="","",INDEX('Mouvements'!$I$5:$I$5004,$J205)&amp;"")</f>
        <v/>
      </c>
      <c r="J205" t="str">
        <f>IF($C$4="","",IFERROR(MATCH($C$4&amp;"#"&amp;($J$9+195),mv_key,0),""))</f>
        <v/>
      </c>
    </row>
    <row r="206">
      <c r="B206" s="49" t="str">
        <f>IF($J206="","",INDEX('Mouvements'!$A$5:$A$5004,$J206))</f>
        <v/>
      </c>
      <c r="C206" s="50" t="str">
        <f>IF($J206="","",INDEX('Mouvements'!$B$5:$B$5004,$J206))</f>
        <v/>
      </c>
      <c r="D206" s="50" t="str">
        <f>IF($J206="","",IF(INDEX('Mouvements'!$B$5:$B$5004,$J206)="Entrée",INDEX('Mouvements'!$E$5:$E$5004,$J206),""))</f>
        <v/>
      </c>
      <c r="E206" s="50" t="str">
        <f>IF($J206="","",IF(INDEX('Mouvements'!$B$5:$B$5004,$J206)="Sortie",INDEX('Mouvements'!$E$5:$E$5004,$J206),""))</f>
        <v/>
      </c>
      <c r="F206" s="50" t="str">
        <f>IF($J206="","",INDEX('Mouvements'!$K$5:$K$5004,$J206))</f>
        <v/>
      </c>
      <c r="G206" s="50" t="str">
        <f>IF($J206="","",INDEX('Mouvements'!$G$5:$G$5004,$J206)&amp;"")</f>
        <v/>
      </c>
      <c r="H206" s="50" t="str">
        <f>IF($J206="","",INDEX('Mouvements'!$H$5:$H$5004,$J206)&amp;"")</f>
        <v/>
      </c>
      <c r="I206" s="50" t="str">
        <f>IF($J206="","",INDEX('Mouvements'!$I$5:$I$5004,$J206)&amp;"")</f>
        <v/>
      </c>
      <c r="J206" t="str">
        <f>IF($C$4="","",IFERROR(MATCH($C$4&amp;"#"&amp;($J$9+196),mv_key,0),""))</f>
        <v/>
      </c>
    </row>
    <row r="207">
      <c r="B207" s="49" t="str">
        <f>IF($J207="","",INDEX('Mouvements'!$A$5:$A$5004,$J207))</f>
        <v/>
      </c>
      <c r="C207" s="50" t="str">
        <f>IF($J207="","",INDEX('Mouvements'!$B$5:$B$5004,$J207))</f>
        <v/>
      </c>
      <c r="D207" s="50" t="str">
        <f>IF($J207="","",IF(INDEX('Mouvements'!$B$5:$B$5004,$J207)="Entrée",INDEX('Mouvements'!$E$5:$E$5004,$J207),""))</f>
        <v/>
      </c>
      <c r="E207" s="50" t="str">
        <f>IF($J207="","",IF(INDEX('Mouvements'!$B$5:$B$5004,$J207)="Sortie",INDEX('Mouvements'!$E$5:$E$5004,$J207),""))</f>
        <v/>
      </c>
      <c r="F207" s="50" t="str">
        <f>IF($J207="","",INDEX('Mouvements'!$K$5:$K$5004,$J207))</f>
        <v/>
      </c>
      <c r="G207" s="50" t="str">
        <f>IF($J207="","",INDEX('Mouvements'!$G$5:$G$5004,$J207)&amp;"")</f>
        <v/>
      </c>
      <c r="H207" s="50" t="str">
        <f>IF($J207="","",INDEX('Mouvements'!$H$5:$H$5004,$J207)&amp;"")</f>
        <v/>
      </c>
      <c r="I207" s="50" t="str">
        <f>IF($J207="","",INDEX('Mouvements'!$I$5:$I$5004,$J207)&amp;"")</f>
        <v/>
      </c>
      <c r="J207" t="str">
        <f>IF($C$4="","",IFERROR(MATCH($C$4&amp;"#"&amp;($J$9+197),mv_key,0),""))</f>
        <v/>
      </c>
    </row>
    <row r="208">
      <c r="B208" s="49" t="str">
        <f>IF($J208="","",INDEX('Mouvements'!$A$5:$A$5004,$J208))</f>
        <v/>
      </c>
      <c r="C208" s="50" t="str">
        <f>IF($J208="","",INDEX('Mouvements'!$B$5:$B$5004,$J208))</f>
        <v/>
      </c>
      <c r="D208" s="50" t="str">
        <f>IF($J208="","",IF(INDEX('Mouvements'!$B$5:$B$5004,$J208)="Entrée",INDEX('Mouvements'!$E$5:$E$5004,$J208),""))</f>
        <v/>
      </c>
      <c r="E208" s="50" t="str">
        <f>IF($J208="","",IF(INDEX('Mouvements'!$B$5:$B$5004,$J208)="Sortie",INDEX('Mouvements'!$E$5:$E$5004,$J208),""))</f>
        <v/>
      </c>
      <c r="F208" s="50" t="str">
        <f>IF($J208="","",INDEX('Mouvements'!$K$5:$K$5004,$J208))</f>
        <v/>
      </c>
      <c r="G208" s="50" t="str">
        <f>IF($J208="","",INDEX('Mouvements'!$G$5:$G$5004,$J208)&amp;"")</f>
        <v/>
      </c>
      <c r="H208" s="50" t="str">
        <f>IF($J208="","",INDEX('Mouvements'!$H$5:$H$5004,$J208)&amp;"")</f>
        <v/>
      </c>
      <c r="I208" s="50" t="str">
        <f>IF($J208="","",INDEX('Mouvements'!$I$5:$I$5004,$J208)&amp;"")</f>
        <v/>
      </c>
      <c r="J208" t="str">
        <f>IF($C$4="","",IFERROR(MATCH($C$4&amp;"#"&amp;($J$9+198),mv_key,0),""))</f>
        <v/>
      </c>
    </row>
    <row r="209">
      <c r="B209" s="49" t="str">
        <f>IF($J209="","",INDEX('Mouvements'!$A$5:$A$5004,$J209))</f>
        <v/>
      </c>
      <c r="C209" s="50" t="str">
        <f>IF($J209="","",INDEX('Mouvements'!$B$5:$B$5004,$J209))</f>
        <v/>
      </c>
      <c r="D209" s="50" t="str">
        <f>IF($J209="","",IF(INDEX('Mouvements'!$B$5:$B$5004,$J209)="Entrée",INDEX('Mouvements'!$E$5:$E$5004,$J209),""))</f>
        <v/>
      </c>
      <c r="E209" s="50" t="str">
        <f>IF($J209="","",IF(INDEX('Mouvements'!$B$5:$B$5004,$J209)="Sortie",INDEX('Mouvements'!$E$5:$E$5004,$J209),""))</f>
        <v/>
      </c>
      <c r="F209" s="50" t="str">
        <f>IF($J209="","",INDEX('Mouvements'!$K$5:$K$5004,$J209))</f>
        <v/>
      </c>
      <c r="G209" s="50" t="str">
        <f>IF($J209="","",INDEX('Mouvements'!$G$5:$G$5004,$J209)&amp;"")</f>
        <v/>
      </c>
      <c r="H209" s="50" t="str">
        <f>IF($J209="","",INDEX('Mouvements'!$H$5:$H$5004,$J209)&amp;"")</f>
        <v/>
      </c>
      <c r="I209" s="50" t="str">
        <f>IF($J209="","",INDEX('Mouvements'!$I$5:$I$5004,$J209)&amp;"")</f>
        <v/>
      </c>
      <c r="J209" t="str">
        <f>IF($C$4="","",IFERROR(MATCH($C$4&amp;"#"&amp;($J$9+199),mv_key,0),""))</f>
        <v/>
      </c>
    </row>
    <row r="210">
      <c r="B210" s="49" t="str">
        <f>IF($J210="","",INDEX('Mouvements'!$A$5:$A$5004,$J210))</f>
        <v/>
      </c>
      <c r="C210" s="50" t="str">
        <f>IF($J210="","",INDEX('Mouvements'!$B$5:$B$5004,$J210))</f>
        <v/>
      </c>
      <c r="D210" s="50" t="str">
        <f>IF($J210="","",IF(INDEX('Mouvements'!$B$5:$B$5004,$J210)="Entrée",INDEX('Mouvements'!$E$5:$E$5004,$J210),""))</f>
        <v/>
      </c>
      <c r="E210" s="50" t="str">
        <f>IF($J210="","",IF(INDEX('Mouvements'!$B$5:$B$5004,$J210)="Sortie",INDEX('Mouvements'!$E$5:$E$5004,$J210),""))</f>
        <v/>
      </c>
      <c r="F210" s="50" t="str">
        <f>IF($J210="","",INDEX('Mouvements'!$K$5:$K$5004,$J210))</f>
        <v/>
      </c>
      <c r="G210" s="50" t="str">
        <f>IF($J210="","",INDEX('Mouvements'!$G$5:$G$5004,$J210)&amp;"")</f>
        <v/>
      </c>
      <c r="H210" s="50" t="str">
        <f>IF($J210="","",INDEX('Mouvements'!$H$5:$H$5004,$J210)&amp;"")</f>
        <v/>
      </c>
      <c r="I210" s="50" t="str">
        <f>IF($J210="","",INDEX('Mouvements'!$I$5:$I$5004,$J210)&amp;"")</f>
        <v/>
      </c>
      <c r="J210" t="str">
        <f>IF($C$4="","",IFERROR(MATCH($C$4&amp;"#"&amp;($J$9+200),mv_key,0),""))</f>
        <v/>
      </c>
    </row>
    <row r="211">
      <c r="B211" s="49" t="str">
        <f>IF($J211="","",INDEX('Mouvements'!$A$5:$A$5004,$J211))</f>
        <v/>
      </c>
      <c r="C211" s="50" t="str">
        <f>IF($J211="","",INDEX('Mouvements'!$B$5:$B$5004,$J211))</f>
        <v/>
      </c>
      <c r="D211" s="50" t="str">
        <f>IF($J211="","",IF(INDEX('Mouvements'!$B$5:$B$5004,$J211)="Entrée",INDEX('Mouvements'!$E$5:$E$5004,$J211),""))</f>
        <v/>
      </c>
      <c r="E211" s="50" t="str">
        <f>IF($J211="","",IF(INDEX('Mouvements'!$B$5:$B$5004,$J211)="Sortie",INDEX('Mouvements'!$E$5:$E$5004,$J211),""))</f>
        <v/>
      </c>
      <c r="F211" s="50" t="str">
        <f>IF($J211="","",INDEX('Mouvements'!$K$5:$K$5004,$J211))</f>
        <v/>
      </c>
      <c r="G211" s="50" t="str">
        <f>IF($J211="","",INDEX('Mouvements'!$G$5:$G$5004,$J211)&amp;"")</f>
        <v/>
      </c>
      <c r="H211" s="50" t="str">
        <f>IF($J211="","",INDEX('Mouvements'!$H$5:$H$5004,$J211)&amp;"")</f>
        <v/>
      </c>
      <c r="I211" s="50" t="str">
        <f>IF($J211="","",INDEX('Mouvements'!$I$5:$I$5004,$J211)&amp;"")</f>
        <v/>
      </c>
      <c r="J211" t="str">
        <f>IF($C$4="","",IFERROR(MATCH($C$4&amp;"#"&amp;($J$9+201),mv_key,0),""))</f>
        <v/>
      </c>
    </row>
    <row r="212">
      <c r="B212" s="49" t="str">
        <f>IF($J212="","",INDEX('Mouvements'!$A$5:$A$5004,$J212))</f>
        <v/>
      </c>
      <c r="C212" s="50" t="str">
        <f>IF($J212="","",INDEX('Mouvements'!$B$5:$B$5004,$J212))</f>
        <v/>
      </c>
      <c r="D212" s="50" t="str">
        <f>IF($J212="","",IF(INDEX('Mouvements'!$B$5:$B$5004,$J212)="Entrée",INDEX('Mouvements'!$E$5:$E$5004,$J212),""))</f>
        <v/>
      </c>
      <c r="E212" s="50" t="str">
        <f>IF($J212="","",IF(INDEX('Mouvements'!$B$5:$B$5004,$J212)="Sortie",INDEX('Mouvements'!$E$5:$E$5004,$J212),""))</f>
        <v/>
      </c>
      <c r="F212" s="50" t="str">
        <f>IF($J212="","",INDEX('Mouvements'!$K$5:$K$5004,$J212))</f>
        <v/>
      </c>
      <c r="G212" s="50" t="str">
        <f>IF($J212="","",INDEX('Mouvements'!$G$5:$G$5004,$J212)&amp;"")</f>
        <v/>
      </c>
      <c r="H212" s="50" t="str">
        <f>IF($J212="","",INDEX('Mouvements'!$H$5:$H$5004,$J212)&amp;"")</f>
        <v/>
      </c>
      <c r="I212" s="50" t="str">
        <f>IF($J212="","",INDEX('Mouvements'!$I$5:$I$5004,$J212)&amp;"")</f>
        <v/>
      </c>
      <c r="J212" t="str">
        <f>IF($C$4="","",IFERROR(MATCH($C$4&amp;"#"&amp;($J$9+202),mv_key,0),""))</f>
        <v/>
      </c>
    </row>
    <row r="213">
      <c r="B213" s="49" t="str">
        <f>IF($J213="","",INDEX('Mouvements'!$A$5:$A$5004,$J213))</f>
        <v/>
      </c>
      <c r="C213" s="50" t="str">
        <f>IF($J213="","",INDEX('Mouvements'!$B$5:$B$5004,$J213))</f>
        <v/>
      </c>
      <c r="D213" s="50" t="str">
        <f>IF($J213="","",IF(INDEX('Mouvements'!$B$5:$B$5004,$J213)="Entrée",INDEX('Mouvements'!$E$5:$E$5004,$J213),""))</f>
        <v/>
      </c>
      <c r="E213" s="50" t="str">
        <f>IF($J213="","",IF(INDEX('Mouvements'!$B$5:$B$5004,$J213)="Sortie",INDEX('Mouvements'!$E$5:$E$5004,$J213),""))</f>
        <v/>
      </c>
      <c r="F213" s="50" t="str">
        <f>IF($J213="","",INDEX('Mouvements'!$K$5:$K$5004,$J213))</f>
        <v/>
      </c>
      <c r="G213" s="50" t="str">
        <f>IF($J213="","",INDEX('Mouvements'!$G$5:$G$5004,$J213)&amp;"")</f>
        <v/>
      </c>
      <c r="H213" s="50" t="str">
        <f>IF($J213="","",INDEX('Mouvements'!$H$5:$H$5004,$J213)&amp;"")</f>
        <v/>
      </c>
      <c r="I213" s="50" t="str">
        <f>IF($J213="","",INDEX('Mouvements'!$I$5:$I$5004,$J213)&amp;"")</f>
        <v/>
      </c>
      <c r="J213" t="str">
        <f>IF($C$4="","",IFERROR(MATCH($C$4&amp;"#"&amp;($J$9+203),mv_key,0),""))</f>
        <v/>
      </c>
    </row>
    <row r="214">
      <c r="B214" s="49" t="str">
        <f>IF($J214="","",INDEX('Mouvements'!$A$5:$A$5004,$J214))</f>
        <v/>
      </c>
      <c r="C214" s="50" t="str">
        <f>IF($J214="","",INDEX('Mouvements'!$B$5:$B$5004,$J214))</f>
        <v/>
      </c>
      <c r="D214" s="50" t="str">
        <f>IF($J214="","",IF(INDEX('Mouvements'!$B$5:$B$5004,$J214)="Entrée",INDEX('Mouvements'!$E$5:$E$5004,$J214),""))</f>
        <v/>
      </c>
      <c r="E214" s="50" t="str">
        <f>IF($J214="","",IF(INDEX('Mouvements'!$B$5:$B$5004,$J214)="Sortie",INDEX('Mouvements'!$E$5:$E$5004,$J214),""))</f>
        <v/>
      </c>
      <c r="F214" s="50" t="str">
        <f>IF($J214="","",INDEX('Mouvements'!$K$5:$K$5004,$J214))</f>
        <v/>
      </c>
      <c r="G214" s="50" t="str">
        <f>IF($J214="","",INDEX('Mouvements'!$G$5:$G$5004,$J214)&amp;"")</f>
        <v/>
      </c>
      <c r="H214" s="50" t="str">
        <f>IF($J214="","",INDEX('Mouvements'!$H$5:$H$5004,$J214)&amp;"")</f>
        <v/>
      </c>
      <c r="I214" s="50" t="str">
        <f>IF($J214="","",INDEX('Mouvements'!$I$5:$I$5004,$J214)&amp;"")</f>
        <v/>
      </c>
      <c r="J214" t="str">
        <f>IF($C$4="","",IFERROR(MATCH($C$4&amp;"#"&amp;($J$9+204),mv_key,0),""))</f>
        <v/>
      </c>
    </row>
    <row r="215">
      <c r="B215" s="49" t="str">
        <f>IF($J215="","",INDEX('Mouvements'!$A$5:$A$5004,$J215))</f>
        <v/>
      </c>
      <c r="C215" s="50" t="str">
        <f>IF($J215="","",INDEX('Mouvements'!$B$5:$B$5004,$J215))</f>
        <v/>
      </c>
      <c r="D215" s="50" t="str">
        <f>IF($J215="","",IF(INDEX('Mouvements'!$B$5:$B$5004,$J215)="Entrée",INDEX('Mouvements'!$E$5:$E$5004,$J215),""))</f>
        <v/>
      </c>
      <c r="E215" s="50" t="str">
        <f>IF($J215="","",IF(INDEX('Mouvements'!$B$5:$B$5004,$J215)="Sortie",INDEX('Mouvements'!$E$5:$E$5004,$J215),""))</f>
        <v/>
      </c>
      <c r="F215" s="50" t="str">
        <f>IF($J215="","",INDEX('Mouvements'!$K$5:$K$5004,$J215))</f>
        <v/>
      </c>
      <c r="G215" s="50" t="str">
        <f>IF($J215="","",INDEX('Mouvements'!$G$5:$G$5004,$J215)&amp;"")</f>
        <v/>
      </c>
      <c r="H215" s="50" t="str">
        <f>IF($J215="","",INDEX('Mouvements'!$H$5:$H$5004,$J215)&amp;"")</f>
        <v/>
      </c>
      <c r="I215" s="50" t="str">
        <f>IF($J215="","",INDEX('Mouvements'!$I$5:$I$5004,$J215)&amp;"")</f>
        <v/>
      </c>
      <c r="J215" t="str">
        <f>IF($C$4="","",IFERROR(MATCH($C$4&amp;"#"&amp;($J$9+205),mv_key,0),""))</f>
        <v/>
      </c>
    </row>
    <row r="216">
      <c r="B216" s="49" t="str">
        <f>IF($J216="","",INDEX('Mouvements'!$A$5:$A$5004,$J216))</f>
        <v/>
      </c>
      <c r="C216" s="50" t="str">
        <f>IF($J216="","",INDEX('Mouvements'!$B$5:$B$5004,$J216))</f>
        <v/>
      </c>
      <c r="D216" s="50" t="str">
        <f>IF($J216="","",IF(INDEX('Mouvements'!$B$5:$B$5004,$J216)="Entrée",INDEX('Mouvements'!$E$5:$E$5004,$J216),""))</f>
        <v/>
      </c>
      <c r="E216" s="50" t="str">
        <f>IF($J216="","",IF(INDEX('Mouvements'!$B$5:$B$5004,$J216)="Sortie",INDEX('Mouvements'!$E$5:$E$5004,$J216),""))</f>
        <v/>
      </c>
      <c r="F216" s="50" t="str">
        <f>IF($J216="","",INDEX('Mouvements'!$K$5:$K$5004,$J216))</f>
        <v/>
      </c>
      <c r="G216" s="50" t="str">
        <f>IF($J216="","",INDEX('Mouvements'!$G$5:$G$5004,$J216)&amp;"")</f>
        <v/>
      </c>
      <c r="H216" s="50" t="str">
        <f>IF($J216="","",INDEX('Mouvements'!$H$5:$H$5004,$J216)&amp;"")</f>
        <v/>
      </c>
      <c r="I216" s="50" t="str">
        <f>IF($J216="","",INDEX('Mouvements'!$I$5:$I$5004,$J216)&amp;"")</f>
        <v/>
      </c>
      <c r="J216" t="str">
        <f>IF($C$4="","",IFERROR(MATCH($C$4&amp;"#"&amp;($J$9+206),mv_key,0),""))</f>
        <v/>
      </c>
    </row>
    <row r="217">
      <c r="B217" s="49" t="str">
        <f>IF($J217="","",INDEX('Mouvements'!$A$5:$A$5004,$J217))</f>
        <v/>
      </c>
      <c r="C217" s="50" t="str">
        <f>IF($J217="","",INDEX('Mouvements'!$B$5:$B$5004,$J217))</f>
        <v/>
      </c>
      <c r="D217" s="50" t="str">
        <f>IF($J217="","",IF(INDEX('Mouvements'!$B$5:$B$5004,$J217)="Entrée",INDEX('Mouvements'!$E$5:$E$5004,$J217),""))</f>
        <v/>
      </c>
      <c r="E217" s="50" t="str">
        <f>IF($J217="","",IF(INDEX('Mouvements'!$B$5:$B$5004,$J217)="Sortie",INDEX('Mouvements'!$E$5:$E$5004,$J217),""))</f>
        <v/>
      </c>
      <c r="F217" s="50" t="str">
        <f>IF($J217="","",INDEX('Mouvements'!$K$5:$K$5004,$J217))</f>
        <v/>
      </c>
      <c r="G217" s="50" t="str">
        <f>IF($J217="","",INDEX('Mouvements'!$G$5:$G$5004,$J217)&amp;"")</f>
        <v/>
      </c>
      <c r="H217" s="50" t="str">
        <f>IF($J217="","",INDEX('Mouvements'!$H$5:$H$5004,$J217)&amp;"")</f>
        <v/>
      </c>
      <c r="I217" s="50" t="str">
        <f>IF($J217="","",INDEX('Mouvements'!$I$5:$I$5004,$J217)&amp;"")</f>
        <v/>
      </c>
      <c r="J217" t="str">
        <f>IF($C$4="","",IFERROR(MATCH($C$4&amp;"#"&amp;($J$9+207),mv_key,0),""))</f>
        <v/>
      </c>
    </row>
    <row r="218">
      <c r="B218" s="49" t="str">
        <f>IF($J218="","",INDEX('Mouvements'!$A$5:$A$5004,$J218))</f>
        <v/>
      </c>
      <c r="C218" s="50" t="str">
        <f>IF($J218="","",INDEX('Mouvements'!$B$5:$B$5004,$J218))</f>
        <v/>
      </c>
      <c r="D218" s="50" t="str">
        <f>IF($J218="","",IF(INDEX('Mouvements'!$B$5:$B$5004,$J218)="Entrée",INDEX('Mouvements'!$E$5:$E$5004,$J218),""))</f>
        <v/>
      </c>
      <c r="E218" s="50" t="str">
        <f>IF($J218="","",IF(INDEX('Mouvements'!$B$5:$B$5004,$J218)="Sortie",INDEX('Mouvements'!$E$5:$E$5004,$J218),""))</f>
        <v/>
      </c>
      <c r="F218" s="50" t="str">
        <f>IF($J218="","",INDEX('Mouvements'!$K$5:$K$5004,$J218))</f>
        <v/>
      </c>
      <c r="G218" s="50" t="str">
        <f>IF($J218="","",INDEX('Mouvements'!$G$5:$G$5004,$J218)&amp;"")</f>
        <v/>
      </c>
      <c r="H218" s="50" t="str">
        <f>IF($J218="","",INDEX('Mouvements'!$H$5:$H$5004,$J218)&amp;"")</f>
        <v/>
      </c>
      <c r="I218" s="50" t="str">
        <f>IF($J218="","",INDEX('Mouvements'!$I$5:$I$5004,$J218)&amp;"")</f>
        <v/>
      </c>
      <c r="J218" t="str">
        <f>IF($C$4="","",IFERROR(MATCH($C$4&amp;"#"&amp;($J$9+208),mv_key,0),""))</f>
        <v/>
      </c>
    </row>
    <row r="219">
      <c r="B219" s="49" t="str">
        <f>IF($J219="","",INDEX('Mouvements'!$A$5:$A$5004,$J219))</f>
        <v/>
      </c>
      <c r="C219" s="50" t="str">
        <f>IF($J219="","",INDEX('Mouvements'!$B$5:$B$5004,$J219))</f>
        <v/>
      </c>
      <c r="D219" s="50" t="str">
        <f>IF($J219="","",IF(INDEX('Mouvements'!$B$5:$B$5004,$J219)="Entrée",INDEX('Mouvements'!$E$5:$E$5004,$J219),""))</f>
        <v/>
      </c>
      <c r="E219" s="50" t="str">
        <f>IF($J219="","",IF(INDEX('Mouvements'!$B$5:$B$5004,$J219)="Sortie",INDEX('Mouvements'!$E$5:$E$5004,$J219),""))</f>
        <v/>
      </c>
      <c r="F219" s="50" t="str">
        <f>IF($J219="","",INDEX('Mouvements'!$K$5:$K$5004,$J219))</f>
        <v/>
      </c>
      <c r="G219" s="50" t="str">
        <f>IF($J219="","",INDEX('Mouvements'!$G$5:$G$5004,$J219)&amp;"")</f>
        <v/>
      </c>
      <c r="H219" s="50" t="str">
        <f>IF($J219="","",INDEX('Mouvements'!$H$5:$H$5004,$J219)&amp;"")</f>
        <v/>
      </c>
      <c r="I219" s="50" t="str">
        <f>IF($J219="","",INDEX('Mouvements'!$I$5:$I$5004,$J219)&amp;"")</f>
        <v/>
      </c>
      <c r="J219" t="str">
        <f>IF($C$4="","",IFERROR(MATCH($C$4&amp;"#"&amp;($J$9+209),mv_key,0),""))</f>
        <v/>
      </c>
    </row>
    <row r="220">
      <c r="B220" s="49" t="str">
        <f>IF($J220="","",INDEX('Mouvements'!$A$5:$A$5004,$J220))</f>
        <v/>
      </c>
      <c r="C220" s="50" t="str">
        <f>IF($J220="","",INDEX('Mouvements'!$B$5:$B$5004,$J220))</f>
        <v/>
      </c>
      <c r="D220" s="50" t="str">
        <f>IF($J220="","",IF(INDEX('Mouvements'!$B$5:$B$5004,$J220)="Entrée",INDEX('Mouvements'!$E$5:$E$5004,$J220),""))</f>
        <v/>
      </c>
      <c r="E220" s="50" t="str">
        <f>IF($J220="","",IF(INDEX('Mouvements'!$B$5:$B$5004,$J220)="Sortie",INDEX('Mouvements'!$E$5:$E$5004,$J220),""))</f>
        <v/>
      </c>
      <c r="F220" s="50" t="str">
        <f>IF($J220="","",INDEX('Mouvements'!$K$5:$K$5004,$J220))</f>
        <v/>
      </c>
      <c r="G220" s="50" t="str">
        <f>IF($J220="","",INDEX('Mouvements'!$G$5:$G$5004,$J220)&amp;"")</f>
        <v/>
      </c>
      <c r="H220" s="50" t="str">
        <f>IF($J220="","",INDEX('Mouvements'!$H$5:$H$5004,$J220)&amp;"")</f>
        <v/>
      </c>
      <c r="I220" s="50" t="str">
        <f>IF($J220="","",INDEX('Mouvements'!$I$5:$I$5004,$J220)&amp;"")</f>
        <v/>
      </c>
      <c r="J220" t="str">
        <f>IF($C$4="","",IFERROR(MATCH($C$4&amp;"#"&amp;($J$9+210),mv_key,0),""))</f>
        <v/>
      </c>
    </row>
    <row r="221">
      <c r="B221" s="49" t="str">
        <f>IF($J221="","",INDEX('Mouvements'!$A$5:$A$5004,$J221))</f>
        <v/>
      </c>
      <c r="C221" s="50" t="str">
        <f>IF($J221="","",INDEX('Mouvements'!$B$5:$B$5004,$J221))</f>
        <v/>
      </c>
      <c r="D221" s="50" t="str">
        <f>IF($J221="","",IF(INDEX('Mouvements'!$B$5:$B$5004,$J221)="Entrée",INDEX('Mouvements'!$E$5:$E$5004,$J221),""))</f>
        <v/>
      </c>
      <c r="E221" s="50" t="str">
        <f>IF($J221="","",IF(INDEX('Mouvements'!$B$5:$B$5004,$J221)="Sortie",INDEX('Mouvements'!$E$5:$E$5004,$J221),""))</f>
        <v/>
      </c>
      <c r="F221" s="50" t="str">
        <f>IF($J221="","",INDEX('Mouvements'!$K$5:$K$5004,$J221))</f>
        <v/>
      </c>
      <c r="G221" s="50" t="str">
        <f>IF($J221="","",INDEX('Mouvements'!$G$5:$G$5004,$J221)&amp;"")</f>
        <v/>
      </c>
      <c r="H221" s="50" t="str">
        <f>IF($J221="","",INDEX('Mouvements'!$H$5:$H$5004,$J221)&amp;"")</f>
        <v/>
      </c>
      <c r="I221" s="50" t="str">
        <f>IF($J221="","",INDEX('Mouvements'!$I$5:$I$5004,$J221)&amp;"")</f>
        <v/>
      </c>
      <c r="J221" t="str">
        <f>IF($C$4="","",IFERROR(MATCH($C$4&amp;"#"&amp;($J$9+211),mv_key,0),""))</f>
        <v/>
      </c>
    </row>
    <row r="222">
      <c r="B222" s="49" t="str">
        <f>IF($J222="","",INDEX('Mouvements'!$A$5:$A$5004,$J222))</f>
        <v/>
      </c>
      <c r="C222" s="50" t="str">
        <f>IF($J222="","",INDEX('Mouvements'!$B$5:$B$5004,$J222))</f>
        <v/>
      </c>
      <c r="D222" s="50" t="str">
        <f>IF($J222="","",IF(INDEX('Mouvements'!$B$5:$B$5004,$J222)="Entrée",INDEX('Mouvements'!$E$5:$E$5004,$J222),""))</f>
        <v/>
      </c>
      <c r="E222" s="50" t="str">
        <f>IF($J222="","",IF(INDEX('Mouvements'!$B$5:$B$5004,$J222)="Sortie",INDEX('Mouvements'!$E$5:$E$5004,$J222),""))</f>
        <v/>
      </c>
      <c r="F222" s="50" t="str">
        <f>IF($J222="","",INDEX('Mouvements'!$K$5:$K$5004,$J222))</f>
        <v/>
      </c>
      <c r="G222" s="50" t="str">
        <f>IF($J222="","",INDEX('Mouvements'!$G$5:$G$5004,$J222)&amp;"")</f>
        <v/>
      </c>
      <c r="H222" s="50" t="str">
        <f>IF($J222="","",INDEX('Mouvements'!$H$5:$H$5004,$J222)&amp;"")</f>
        <v/>
      </c>
      <c r="I222" s="50" t="str">
        <f>IF($J222="","",INDEX('Mouvements'!$I$5:$I$5004,$J222)&amp;"")</f>
        <v/>
      </c>
      <c r="J222" t="str">
        <f>IF($C$4="","",IFERROR(MATCH($C$4&amp;"#"&amp;($J$9+212),mv_key,0),""))</f>
        <v/>
      </c>
    </row>
    <row r="223">
      <c r="B223" s="49" t="str">
        <f>IF($J223="","",INDEX('Mouvements'!$A$5:$A$5004,$J223))</f>
        <v/>
      </c>
      <c r="C223" s="50" t="str">
        <f>IF($J223="","",INDEX('Mouvements'!$B$5:$B$5004,$J223))</f>
        <v/>
      </c>
      <c r="D223" s="50" t="str">
        <f>IF($J223="","",IF(INDEX('Mouvements'!$B$5:$B$5004,$J223)="Entrée",INDEX('Mouvements'!$E$5:$E$5004,$J223),""))</f>
        <v/>
      </c>
      <c r="E223" s="50" t="str">
        <f>IF($J223="","",IF(INDEX('Mouvements'!$B$5:$B$5004,$J223)="Sortie",INDEX('Mouvements'!$E$5:$E$5004,$J223),""))</f>
        <v/>
      </c>
      <c r="F223" s="50" t="str">
        <f>IF($J223="","",INDEX('Mouvements'!$K$5:$K$5004,$J223))</f>
        <v/>
      </c>
      <c r="G223" s="50" t="str">
        <f>IF($J223="","",INDEX('Mouvements'!$G$5:$G$5004,$J223)&amp;"")</f>
        <v/>
      </c>
      <c r="H223" s="50" t="str">
        <f>IF($J223="","",INDEX('Mouvements'!$H$5:$H$5004,$J223)&amp;"")</f>
        <v/>
      </c>
      <c r="I223" s="50" t="str">
        <f>IF($J223="","",INDEX('Mouvements'!$I$5:$I$5004,$J223)&amp;"")</f>
        <v/>
      </c>
      <c r="J223" t="str">
        <f>IF($C$4="","",IFERROR(MATCH($C$4&amp;"#"&amp;($J$9+213),mv_key,0),""))</f>
        <v/>
      </c>
    </row>
    <row r="224">
      <c r="B224" s="49" t="str">
        <f>IF($J224="","",INDEX('Mouvements'!$A$5:$A$5004,$J224))</f>
        <v/>
      </c>
      <c r="C224" s="50" t="str">
        <f>IF($J224="","",INDEX('Mouvements'!$B$5:$B$5004,$J224))</f>
        <v/>
      </c>
      <c r="D224" s="50" t="str">
        <f>IF($J224="","",IF(INDEX('Mouvements'!$B$5:$B$5004,$J224)="Entrée",INDEX('Mouvements'!$E$5:$E$5004,$J224),""))</f>
        <v/>
      </c>
      <c r="E224" s="50" t="str">
        <f>IF($J224="","",IF(INDEX('Mouvements'!$B$5:$B$5004,$J224)="Sortie",INDEX('Mouvements'!$E$5:$E$5004,$J224),""))</f>
        <v/>
      </c>
      <c r="F224" s="50" t="str">
        <f>IF($J224="","",INDEX('Mouvements'!$K$5:$K$5004,$J224))</f>
        <v/>
      </c>
      <c r="G224" s="50" t="str">
        <f>IF($J224="","",INDEX('Mouvements'!$G$5:$G$5004,$J224)&amp;"")</f>
        <v/>
      </c>
      <c r="H224" s="50" t="str">
        <f>IF($J224="","",INDEX('Mouvements'!$H$5:$H$5004,$J224)&amp;"")</f>
        <v/>
      </c>
      <c r="I224" s="50" t="str">
        <f>IF($J224="","",INDEX('Mouvements'!$I$5:$I$5004,$J224)&amp;"")</f>
        <v/>
      </c>
      <c r="J224" t="str">
        <f>IF($C$4="","",IFERROR(MATCH($C$4&amp;"#"&amp;($J$9+214),mv_key,0),""))</f>
        <v/>
      </c>
    </row>
    <row r="225">
      <c r="B225" s="49" t="str">
        <f>IF($J225="","",INDEX('Mouvements'!$A$5:$A$5004,$J225))</f>
        <v/>
      </c>
      <c r="C225" s="50" t="str">
        <f>IF($J225="","",INDEX('Mouvements'!$B$5:$B$5004,$J225))</f>
        <v/>
      </c>
      <c r="D225" s="50" t="str">
        <f>IF($J225="","",IF(INDEX('Mouvements'!$B$5:$B$5004,$J225)="Entrée",INDEX('Mouvements'!$E$5:$E$5004,$J225),""))</f>
        <v/>
      </c>
      <c r="E225" s="50" t="str">
        <f>IF($J225="","",IF(INDEX('Mouvements'!$B$5:$B$5004,$J225)="Sortie",INDEX('Mouvements'!$E$5:$E$5004,$J225),""))</f>
        <v/>
      </c>
      <c r="F225" s="50" t="str">
        <f>IF($J225="","",INDEX('Mouvements'!$K$5:$K$5004,$J225))</f>
        <v/>
      </c>
      <c r="G225" s="50" t="str">
        <f>IF($J225="","",INDEX('Mouvements'!$G$5:$G$5004,$J225)&amp;"")</f>
        <v/>
      </c>
      <c r="H225" s="50" t="str">
        <f>IF($J225="","",INDEX('Mouvements'!$H$5:$H$5004,$J225)&amp;"")</f>
        <v/>
      </c>
      <c r="I225" s="50" t="str">
        <f>IF($J225="","",INDEX('Mouvements'!$I$5:$I$5004,$J225)&amp;"")</f>
        <v/>
      </c>
      <c r="J225" t="str">
        <f>IF($C$4="","",IFERROR(MATCH($C$4&amp;"#"&amp;($J$9+215),mv_key,0),""))</f>
        <v/>
      </c>
    </row>
    <row r="226">
      <c r="B226" s="49" t="str">
        <f>IF($J226="","",INDEX('Mouvements'!$A$5:$A$5004,$J226))</f>
        <v/>
      </c>
      <c r="C226" s="50" t="str">
        <f>IF($J226="","",INDEX('Mouvements'!$B$5:$B$5004,$J226))</f>
        <v/>
      </c>
      <c r="D226" s="50" t="str">
        <f>IF($J226="","",IF(INDEX('Mouvements'!$B$5:$B$5004,$J226)="Entrée",INDEX('Mouvements'!$E$5:$E$5004,$J226),""))</f>
        <v/>
      </c>
      <c r="E226" s="50" t="str">
        <f>IF($J226="","",IF(INDEX('Mouvements'!$B$5:$B$5004,$J226)="Sortie",INDEX('Mouvements'!$E$5:$E$5004,$J226),""))</f>
        <v/>
      </c>
      <c r="F226" s="50" t="str">
        <f>IF($J226="","",INDEX('Mouvements'!$K$5:$K$5004,$J226))</f>
        <v/>
      </c>
      <c r="G226" s="50" t="str">
        <f>IF($J226="","",INDEX('Mouvements'!$G$5:$G$5004,$J226)&amp;"")</f>
        <v/>
      </c>
      <c r="H226" s="50" t="str">
        <f>IF($J226="","",INDEX('Mouvements'!$H$5:$H$5004,$J226)&amp;"")</f>
        <v/>
      </c>
      <c r="I226" s="50" t="str">
        <f>IF($J226="","",INDEX('Mouvements'!$I$5:$I$5004,$J226)&amp;"")</f>
        <v/>
      </c>
      <c r="J226" t="str">
        <f>IF($C$4="","",IFERROR(MATCH($C$4&amp;"#"&amp;($J$9+216),mv_key,0),""))</f>
        <v/>
      </c>
    </row>
    <row r="227">
      <c r="B227" s="49" t="str">
        <f>IF($J227="","",INDEX('Mouvements'!$A$5:$A$5004,$J227))</f>
        <v/>
      </c>
      <c r="C227" s="50" t="str">
        <f>IF($J227="","",INDEX('Mouvements'!$B$5:$B$5004,$J227))</f>
        <v/>
      </c>
      <c r="D227" s="50" t="str">
        <f>IF($J227="","",IF(INDEX('Mouvements'!$B$5:$B$5004,$J227)="Entrée",INDEX('Mouvements'!$E$5:$E$5004,$J227),""))</f>
        <v/>
      </c>
      <c r="E227" s="50" t="str">
        <f>IF($J227="","",IF(INDEX('Mouvements'!$B$5:$B$5004,$J227)="Sortie",INDEX('Mouvements'!$E$5:$E$5004,$J227),""))</f>
        <v/>
      </c>
      <c r="F227" s="50" t="str">
        <f>IF($J227="","",INDEX('Mouvements'!$K$5:$K$5004,$J227))</f>
        <v/>
      </c>
      <c r="G227" s="50" t="str">
        <f>IF($J227="","",INDEX('Mouvements'!$G$5:$G$5004,$J227)&amp;"")</f>
        <v/>
      </c>
      <c r="H227" s="50" t="str">
        <f>IF($J227="","",INDEX('Mouvements'!$H$5:$H$5004,$J227)&amp;"")</f>
        <v/>
      </c>
      <c r="I227" s="50" t="str">
        <f>IF($J227="","",INDEX('Mouvements'!$I$5:$I$5004,$J227)&amp;"")</f>
        <v/>
      </c>
      <c r="J227" t="str">
        <f>IF($C$4="","",IFERROR(MATCH($C$4&amp;"#"&amp;($J$9+217),mv_key,0),""))</f>
        <v/>
      </c>
    </row>
    <row r="228">
      <c r="B228" s="49" t="str">
        <f>IF($J228="","",INDEX('Mouvements'!$A$5:$A$5004,$J228))</f>
        <v/>
      </c>
      <c r="C228" s="50" t="str">
        <f>IF($J228="","",INDEX('Mouvements'!$B$5:$B$5004,$J228))</f>
        <v/>
      </c>
      <c r="D228" s="50" t="str">
        <f>IF($J228="","",IF(INDEX('Mouvements'!$B$5:$B$5004,$J228)="Entrée",INDEX('Mouvements'!$E$5:$E$5004,$J228),""))</f>
        <v/>
      </c>
      <c r="E228" s="50" t="str">
        <f>IF($J228="","",IF(INDEX('Mouvements'!$B$5:$B$5004,$J228)="Sortie",INDEX('Mouvements'!$E$5:$E$5004,$J228),""))</f>
        <v/>
      </c>
      <c r="F228" s="50" t="str">
        <f>IF($J228="","",INDEX('Mouvements'!$K$5:$K$5004,$J228))</f>
        <v/>
      </c>
      <c r="G228" s="50" t="str">
        <f>IF($J228="","",INDEX('Mouvements'!$G$5:$G$5004,$J228)&amp;"")</f>
        <v/>
      </c>
      <c r="H228" s="50" t="str">
        <f>IF($J228="","",INDEX('Mouvements'!$H$5:$H$5004,$J228)&amp;"")</f>
        <v/>
      </c>
      <c r="I228" s="50" t="str">
        <f>IF($J228="","",INDEX('Mouvements'!$I$5:$I$5004,$J228)&amp;"")</f>
        <v/>
      </c>
      <c r="J228" t="str">
        <f>IF($C$4="","",IFERROR(MATCH($C$4&amp;"#"&amp;($J$9+218),mv_key,0),""))</f>
        <v/>
      </c>
    </row>
    <row r="229">
      <c r="B229" s="49" t="str">
        <f>IF($J229="","",INDEX('Mouvements'!$A$5:$A$5004,$J229))</f>
        <v/>
      </c>
      <c r="C229" s="50" t="str">
        <f>IF($J229="","",INDEX('Mouvements'!$B$5:$B$5004,$J229))</f>
        <v/>
      </c>
      <c r="D229" s="50" t="str">
        <f>IF($J229="","",IF(INDEX('Mouvements'!$B$5:$B$5004,$J229)="Entrée",INDEX('Mouvements'!$E$5:$E$5004,$J229),""))</f>
        <v/>
      </c>
      <c r="E229" s="50" t="str">
        <f>IF($J229="","",IF(INDEX('Mouvements'!$B$5:$B$5004,$J229)="Sortie",INDEX('Mouvements'!$E$5:$E$5004,$J229),""))</f>
        <v/>
      </c>
      <c r="F229" s="50" t="str">
        <f>IF($J229="","",INDEX('Mouvements'!$K$5:$K$5004,$J229))</f>
        <v/>
      </c>
      <c r="G229" s="50" t="str">
        <f>IF($J229="","",INDEX('Mouvements'!$G$5:$G$5004,$J229)&amp;"")</f>
        <v/>
      </c>
      <c r="H229" s="50" t="str">
        <f>IF($J229="","",INDEX('Mouvements'!$H$5:$H$5004,$J229)&amp;"")</f>
        <v/>
      </c>
      <c r="I229" s="50" t="str">
        <f>IF($J229="","",INDEX('Mouvements'!$I$5:$I$5004,$J229)&amp;"")</f>
        <v/>
      </c>
      <c r="J229" t="str">
        <f>IF($C$4="","",IFERROR(MATCH($C$4&amp;"#"&amp;($J$9+219),mv_key,0),""))</f>
        <v/>
      </c>
    </row>
    <row r="230">
      <c r="B230" s="49" t="str">
        <f>IF($J230="","",INDEX('Mouvements'!$A$5:$A$5004,$J230))</f>
        <v/>
      </c>
      <c r="C230" s="50" t="str">
        <f>IF($J230="","",INDEX('Mouvements'!$B$5:$B$5004,$J230))</f>
        <v/>
      </c>
      <c r="D230" s="50" t="str">
        <f>IF($J230="","",IF(INDEX('Mouvements'!$B$5:$B$5004,$J230)="Entrée",INDEX('Mouvements'!$E$5:$E$5004,$J230),""))</f>
        <v/>
      </c>
      <c r="E230" s="50" t="str">
        <f>IF($J230="","",IF(INDEX('Mouvements'!$B$5:$B$5004,$J230)="Sortie",INDEX('Mouvements'!$E$5:$E$5004,$J230),""))</f>
        <v/>
      </c>
      <c r="F230" s="50" t="str">
        <f>IF($J230="","",INDEX('Mouvements'!$K$5:$K$5004,$J230))</f>
        <v/>
      </c>
      <c r="G230" s="50" t="str">
        <f>IF($J230="","",INDEX('Mouvements'!$G$5:$G$5004,$J230)&amp;"")</f>
        <v/>
      </c>
      <c r="H230" s="50" t="str">
        <f>IF($J230="","",INDEX('Mouvements'!$H$5:$H$5004,$J230)&amp;"")</f>
        <v/>
      </c>
      <c r="I230" s="50" t="str">
        <f>IF($J230="","",INDEX('Mouvements'!$I$5:$I$5004,$J230)&amp;"")</f>
        <v/>
      </c>
      <c r="J230" t="str">
        <f>IF($C$4="","",IFERROR(MATCH($C$4&amp;"#"&amp;($J$9+220),mv_key,0),""))</f>
        <v/>
      </c>
    </row>
    <row r="231">
      <c r="B231" s="49" t="str">
        <f>IF($J231="","",INDEX('Mouvements'!$A$5:$A$5004,$J231))</f>
        <v/>
      </c>
      <c r="C231" s="50" t="str">
        <f>IF($J231="","",INDEX('Mouvements'!$B$5:$B$5004,$J231))</f>
        <v/>
      </c>
      <c r="D231" s="50" t="str">
        <f>IF($J231="","",IF(INDEX('Mouvements'!$B$5:$B$5004,$J231)="Entrée",INDEX('Mouvements'!$E$5:$E$5004,$J231),""))</f>
        <v/>
      </c>
      <c r="E231" s="50" t="str">
        <f>IF($J231="","",IF(INDEX('Mouvements'!$B$5:$B$5004,$J231)="Sortie",INDEX('Mouvements'!$E$5:$E$5004,$J231),""))</f>
        <v/>
      </c>
      <c r="F231" s="50" t="str">
        <f>IF($J231="","",INDEX('Mouvements'!$K$5:$K$5004,$J231))</f>
        <v/>
      </c>
      <c r="G231" s="50" t="str">
        <f>IF($J231="","",INDEX('Mouvements'!$G$5:$G$5004,$J231)&amp;"")</f>
        <v/>
      </c>
      <c r="H231" s="50" t="str">
        <f>IF($J231="","",INDEX('Mouvements'!$H$5:$H$5004,$J231)&amp;"")</f>
        <v/>
      </c>
      <c r="I231" s="50" t="str">
        <f>IF($J231="","",INDEX('Mouvements'!$I$5:$I$5004,$J231)&amp;"")</f>
        <v/>
      </c>
      <c r="J231" t="str">
        <f>IF($C$4="","",IFERROR(MATCH($C$4&amp;"#"&amp;($J$9+221),mv_key,0),""))</f>
        <v/>
      </c>
    </row>
    <row r="232">
      <c r="B232" s="49" t="str">
        <f>IF($J232="","",INDEX('Mouvements'!$A$5:$A$5004,$J232))</f>
        <v/>
      </c>
      <c r="C232" s="50" t="str">
        <f>IF($J232="","",INDEX('Mouvements'!$B$5:$B$5004,$J232))</f>
        <v/>
      </c>
      <c r="D232" s="50" t="str">
        <f>IF($J232="","",IF(INDEX('Mouvements'!$B$5:$B$5004,$J232)="Entrée",INDEX('Mouvements'!$E$5:$E$5004,$J232),""))</f>
        <v/>
      </c>
      <c r="E232" s="50" t="str">
        <f>IF($J232="","",IF(INDEX('Mouvements'!$B$5:$B$5004,$J232)="Sortie",INDEX('Mouvements'!$E$5:$E$5004,$J232),""))</f>
        <v/>
      </c>
      <c r="F232" s="50" t="str">
        <f>IF($J232="","",INDEX('Mouvements'!$K$5:$K$5004,$J232))</f>
        <v/>
      </c>
      <c r="G232" s="50" t="str">
        <f>IF($J232="","",INDEX('Mouvements'!$G$5:$G$5004,$J232)&amp;"")</f>
        <v/>
      </c>
      <c r="H232" s="50" t="str">
        <f>IF($J232="","",INDEX('Mouvements'!$H$5:$H$5004,$J232)&amp;"")</f>
        <v/>
      </c>
      <c r="I232" s="50" t="str">
        <f>IF($J232="","",INDEX('Mouvements'!$I$5:$I$5004,$J232)&amp;"")</f>
        <v/>
      </c>
      <c r="J232" t="str">
        <f>IF($C$4="","",IFERROR(MATCH($C$4&amp;"#"&amp;($J$9+222),mv_key,0),""))</f>
        <v/>
      </c>
    </row>
    <row r="233">
      <c r="B233" s="49" t="str">
        <f>IF($J233="","",INDEX('Mouvements'!$A$5:$A$5004,$J233))</f>
        <v/>
      </c>
      <c r="C233" s="50" t="str">
        <f>IF($J233="","",INDEX('Mouvements'!$B$5:$B$5004,$J233))</f>
        <v/>
      </c>
      <c r="D233" s="50" t="str">
        <f>IF($J233="","",IF(INDEX('Mouvements'!$B$5:$B$5004,$J233)="Entrée",INDEX('Mouvements'!$E$5:$E$5004,$J233),""))</f>
        <v/>
      </c>
      <c r="E233" s="50" t="str">
        <f>IF($J233="","",IF(INDEX('Mouvements'!$B$5:$B$5004,$J233)="Sortie",INDEX('Mouvements'!$E$5:$E$5004,$J233),""))</f>
        <v/>
      </c>
      <c r="F233" s="50" t="str">
        <f>IF($J233="","",INDEX('Mouvements'!$K$5:$K$5004,$J233))</f>
        <v/>
      </c>
      <c r="G233" s="50" t="str">
        <f>IF($J233="","",INDEX('Mouvements'!$G$5:$G$5004,$J233)&amp;"")</f>
        <v/>
      </c>
      <c r="H233" s="50" t="str">
        <f>IF($J233="","",INDEX('Mouvements'!$H$5:$H$5004,$J233)&amp;"")</f>
        <v/>
      </c>
      <c r="I233" s="50" t="str">
        <f>IF($J233="","",INDEX('Mouvements'!$I$5:$I$5004,$J233)&amp;"")</f>
        <v/>
      </c>
      <c r="J233" t="str">
        <f>IF($C$4="","",IFERROR(MATCH($C$4&amp;"#"&amp;($J$9+223),mv_key,0),""))</f>
        <v/>
      </c>
    </row>
    <row r="234">
      <c r="B234" s="49" t="str">
        <f>IF($J234="","",INDEX('Mouvements'!$A$5:$A$5004,$J234))</f>
        <v/>
      </c>
      <c r="C234" s="50" t="str">
        <f>IF($J234="","",INDEX('Mouvements'!$B$5:$B$5004,$J234))</f>
        <v/>
      </c>
      <c r="D234" s="50" t="str">
        <f>IF($J234="","",IF(INDEX('Mouvements'!$B$5:$B$5004,$J234)="Entrée",INDEX('Mouvements'!$E$5:$E$5004,$J234),""))</f>
        <v/>
      </c>
      <c r="E234" s="50" t="str">
        <f>IF($J234="","",IF(INDEX('Mouvements'!$B$5:$B$5004,$J234)="Sortie",INDEX('Mouvements'!$E$5:$E$5004,$J234),""))</f>
        <v/>
      </c>
      <c r="F234" s="50" t="str">
        <f>IF($J234="","",INDEX('Mouvements'!$K$5:$K$5004,$J234))</f>
        <v/>
      </c>
      <c r="G234" s="50" t="str">
        <f>IF($J234="","",INDEX('Mouvements'!$G$5:$G$5004,$J234)&amp;"")</f>
        <v/>
      </c>
      <c r="H234" s="50" t="str">
        <f>IF($J234="","",INDEX('Mouvements'!$H$5:$H$5004,$J234)&amp;"")</f>
        <v/>
      </c>
      <c r="I234" s="50" t="str">
        <f>IF($J234="","",INDEX('Mouvements'!$I$5:$I$5004,$J234)&amp;"")</f>
        <v/>
      </c>
      <c r="J234" t="str">
        <f>IF($C$4="","",IFERROR(MATCH($C$4&amp;"#"&amp;($J$9+224),mv_key,0),""))</f>
        <v/>
      </c>
    </row>
    <row r="235">
      <c r="B235" s="49" t="str">
        <f>IF($J235="","",INDEX('Mouvements'!$A$5:$A$5004,$J235))</f>
        <v/>
      </c>
      <c r="C235" s="50" t="str">
        <f>IF($J235="","",INDEX('Mouvements'!$B$5:$B$5004,$J235))</f>
        <v/>
      </c>
      <c r="D235" s="50" t="str">
        <f>IF($J235="","",IF(INDEX('Mouvements'!$B$5:$B$5004,$J235)="Entrée",INDEX('Mouvements'!$E$5:$E$5004,$J235),""))</f>
        <v/>
      </c>
      <c r="E235" s="50" t="str">
        <f>IF($J235="","",IF(INDEX('Mouvements'!$B$5:$B$5004,$J235)="Sortie",INDEX('Mouvements'!$E$5:$E$5004,$J235),""))</f>
        <v/>
      </c>
      <c r="F235" s="50" t="str">
        <f>IF($J235="","",INDEX('Mouvements'!$K$5:$K$5004,$J235))</f>
        <v/>
      </c>
      <c r="G235" s="50" t="str">
        <f>IF($J235="","",INDEX('Mouvements'!$G$5:$G$5004,$J235)&amp;"")</f>
        <v/>
      </c>
      <c r="H235" s="50" t="str">
        <f>IF($J235="","",INDEX('Mouvements'!$H$5:$H$5004,$J235)&amp;"")</f>
        <v/>
      </c>
      <c r="I235" s="50" t="str">
        <f>IF($J235="","",INDEX('Mouvements'!$I$5:$I$5004,$J235)&amp;"")</f>
        <v/>
      </c>
      <c r="J235" t="str">
        <f>IF($C$4="","",IFERROR(MATCH($C$4&amp;"#"&amp;($J$9+225),mv_key,0),""))</f>
        <v/>
      </c>
    </row>
    <row r="236">
      <c r="B236" s="49" t="str">
        <f>IF($J236="","",INDEX('Mouvements'!$A$5:$A$5004,$J236))</f>
        <v/>
      </c>
      <c r="C236" s="50" t="str">
        <f>IF($J236="","",INDEX('Mouvements'!$B$5:$B$5004,$J236))</f>
        <v/>
      </c>
      <c r="D236" s="50" t="str">
        <f>IF($J236="","",IF(INDEX('Mouvements'!$B$5:$B$5004,$J236)="Entrée",INDEX('Mouvements'!$E$5:$E$5004,$J236),""))</f>
        <v/>
      </c>
      <c r="E236" s="50" t="str">
        <f>IF($J236="","",IF(INDEX('Mouvements'!$B$5:$B$5004,$J236)="Sortie",INDEX('Mouvements'!$E$5:$E$5004,$J236),""))</f>
        <v/>
      </c>
      <c r="F236" s="50" t="str">
        <f>IF($J236="","",INDEX('Mouvements'!$K$5:$K$5004,$J236))</f>
        <v/>
      </c>
      <c r="G236" s="50" t="str">
        <f>IF($J236="","",INDEX('Mouvements'!$G$5:$G$5004,$J236)&amp;"")</f>
        <v/>
      </c>
      <c r="H236" s="50" t="str">
        <f>IF($J236="","",INDEX('Mouvements'!$H$5:$H$5004,$J236)&amp;"")</f>
        <v/>
      </c>
      <c r="I236" s="50" t="str">
        <f>IF($J236="","",INDEX('Mouvements'!$I$5:$I$5004,$J236)&amp;"")</f>
        <v/>
      </c>
      <c r="J236" t="str">
        <f>IF($C$4="","",IFERROR(MATCH($C$4&amp;"#"&amp;($J$9+226),mv_key,0),""))</f>
        <v/>
      </c>
    </row>
    <row r="237">
      <c r="B237" s="49" t="str">
        <f>IF($J237="","",INDEX('Mouvements'!$A$5:$A$5004,$J237))</f>
        <v/>
      </c>
      <c r="C237" s="50" t="str">
        <f>IF($J237="","",INDEX('Mouvements'!$B$5:$B$5004,$J237))</f>
        <v/>
      </c>
      <c r="D237" s="50" t="str">
        <f>IF($J237="","",IF(INDEX('Mouvements'!$B$5:$B$5004,$J237)="Entrée",INDEX('Mouvements'!$E$5:$E$5004,$J237),""))</f>
        <v/>
      </c>
      <c r="E237" s="50" t="str">
        <f>IF($J237="","",IF(INDEX('Mouvements'!$B$5:$B$5004,$J237)="Sortie",INDEX('Mouvements'!$E$5:$E$5004,$J237),""))</f>
        <v/>
      </c>
      <c r="F237" s="50" t="str">
        <f>IF($J237="","",INDEX('Mouvements'!$K$5:$K$5004,$J237))</f>
        <v/>
      </c>
      <c r="G237" s="50" t="str">
        <f>IF($J237="","",INDEX('Mouvements'!$G$5:$G$5004,$J237)&amp;"")</f>
        <v/>
      </c>
      <c r="H237" s="50" t="str">
        <f>IF($J237="","",INDEX('Mouvements'!$H$5:$H$5004,$J237)&amp;"")</f>
        <v/>
      </c>
      <c r="I237" s="50" t="str">
        <f>IF($J237="","",INDEX('Mouvements'!$I$5:$I$5004,$J237)&amp;"")</f>
        <v/>
      </c>
      <c r="J237" t="str">
        <f>IF($C$4="","",IFERROR(MATCH($C$4&amp;"#"&amp;($J$9+227),mv_key,0),""))</f>
        <v/>
      </c>
    </row>
    <row r="238">
      <c r="B238" s="49" t="str">
        <f>IF($J238="","",INDEX('Mouvements'!$A$5:$A$5004,$J238))</f>
        <v/>
      </c>
      <c r="C238" s="50" t="str">
        <f>IF($J238="","",INDEX('Mouvements'!$B$5:$B$5004,$J238))</f>
        <v/>
      </c>
      <c r="D238" s="50" t="str">
        <f>IF($J238="","",IF(INDEX('Mouvements'!$B$5:$B$5004,$J238)="Entrée",INDEX('Mouvements'!$E$5:$E$5004,$J238),""))</f>
        <v/>
      </c>
      <c r="E238" s="50" t="str">
        <f>IF($J238="","",IF(INDEX('Mouvements'!$B$5:$B$5004,$J238)="Sortie",INDEX('Mouvements'!$E$5:$E$5004,$J238),""))</f>
        <v/>
      </c>
      <c r="F238" s="50" t="str">
        <f>IF($J238="","",INDEX('Mouvements'!$K$5:$K$5004,$J238))</f>
        <v/>
      </c>
      <c r="G238" s="50" t="str">
        <f>IF($J238="","",INDEX('Mouvements'!$G$5:$G$5004,$J238)&amp;"")</f>
        <v/>
      </c>
      <c r="H238" s="50" t="str">
        <f>IF($J238="","",INDEX('Mouvements'!$H$5:$H$5004,$J238)&amp;"")</f>
        <v/>
      </c>
      <c r="I238" s="50" t="str">
        <f>IF($J238="","",INDEX('Mouvements'!$I$5:$I$5004,$J238)&amp;"")</f>
        <v/>
      </c>
      <c r="J238" t="str">
        <f>IF($C$4="","",IFERROR(MATCH($C$4&amp;"#"&amp;($J$9+228),mv_key,0),""))</f>
        <v/>
      </c>
    </row>
    <row r="239">
      <c r="B239" s="49" t="str">
        <f>IF($J239="","",INDEX('Mouvements'!$A$5:$A$5004,$J239))</f>
        <v/>
      </c>
      <c r="C239" s="50" t="str">
        <f>IF($J239="","",INDEX('Mouvements'!$B$5:$B$5004,$J239))</f>
        <v/>
      </c>
      <c r="D239" s="50" t="str">
        <f>IF($J239="","",IF(INDEX('Mouvements'!$B$5:$B$5004,$J239)="Entrée",INDEX('Mouvements'!$E$5:$E$5004,$J239),""))</f>
        <v/>
      </c>
      <c r="E239" s="50" t="str">
        <f>IF($J239="","",IF(INDEX('Mouvements'!$B$5:$B$5004,$J239)="Sortie",INDEX('Mouvements'!$E$5:$E$5004,$J239),""))</f>
        <v/>
      </c>
      <c r="F239" s="50" t="str">
        <f>IF($J239="","",INDEX('Mouvements'!$K$5:$K$5004,$J239))</f>
        <v/>
      </c>
      <c r="G239" s="50" t="str">
        <f>IF($J239="","",INDEX('Mouvements'!$G$5:$G$5004,$J239)&amp;"")</f>
        <v/>
      </c>
      <c r="H239" s="50" t="str">
        <f>IF($J239="","",INDEX('Mouvements'!$H$5:$H$5004,$J239)&amp;"")</f>
        <v/>
      </c>
      <c r="I239" s="50" t="str">
        <f>IF($J239="","",INDEX('Mouvements'!$I$5:$I$5004,$J239)&amp;"")</f>
        <v/>
      </c>
      <c r="J239" t="str">
        <f>IF($C$4="","",IFERROR(MATCH($C$4&amp;"#"&amp;($J$9+229),mv_key,0),""))</f>
        <v/>
      </c>
    </row>
    <row r="240">
      <c r="B240" s="49" t="str">
        <f>IF($J240="","",INDEX('Mouvements'!$A$5:$A$5004,$J240))</f>
        <v/>
      </c>
      <c r="C240" s="50" t="str">
        <f>IF($J240="","",INDEX('Mouvements'!$B$5:$B$5004,$J240))</f>
        <v/>
      </c>
      <c r="D240" s="50" t="str">
        <f>IF($J240="","",IF(INDEX('Mouvements'!$B$5:$B$5004,$J240)="Entrée",INDEX('Mouvements'!$E$5:$E$5004,$J240),""))</f>
        <v/>
      </c>
      <c r="E240" s="50" t="str">
        <f>IF($J240="","",IF(INDEX('Mouvements'!$B$5:$B$5004,$J240)="Sortie",INDEX('Mouvements'!$E$5:$E$5004,$J240),""))</f>
        <v/>
      </c>
      <c r="F240" s="50" t="str">
        <f>IF($J240="","",INDEX('Mouvements'!$K$5:$K$5004,$J240))</f>
        <v/>
      </c>
      <c r="G240" s="50" t="str">
        <f>IF($J240="","",INDEX('Mouvements'!$G$5:$G$5004,$J240)&amp;"")</f>
        <v/>
      </c>
      <c r="H240" s="50" t="str">
        <f>IF($J240="","",INDEX('Mouvements'!$H$5:$H$5004,$J240)&amp;"")</f>
        <v/>
      </c>
      <c r="I240" s="50" t="str">
        <f>IF($J240="","",INDEX('Mouvements'!$I$5:$I$5004,$J240)&amp;"")</f>
        <v/>
      </c>
      <c r="J240" t="str">
        <f>IF($C$4="","",IFERROR(MATCH($C$4&amp;"#"&amp;($J$9+230),mv_key,0),""))</f>
        <v/>
      </c>
    </row>
    <row r="241">
      <c r="B241" s="49" t="str">
        <f>IF($J241="","",INDEX('Mouvements'!$A$5:$A$5004,$J241))</f>
        <v/>
      </c>
      <c r="C241" s="50" t="str">
        <f>IF($J241="","",INDEX('Mouvements'!$B$5:$B$5004,$J241))</f>
        <v/>
      </c>
      <c r="D241" s="50" t="str">
        <f>IF($J241="","",IF(INDEX('Mouvements'!$B$5:$B$5004,$J241)="Entrée",INDEX('Mouvements'!$E$5:$E$5004,$J241),""))</f>
        <v/>
      </c>
      <c r="E241" s="50" t="str">
        <f>IF($J241="","",IF(INDEX('Mouvements'!$B$5:$B$5004,$J241)="Sortie",INDEX('Mouvements'!$E$5:$E$5004,$J241),""))</f>
        <v/>
      </c>
      <c r="F241" s="50" t="str">
        <f>IF($J241="","",INDEX('Mouvements'!$K$5:$K$5004,$J241))</f>
        <v/>
      </c>
      <c r="G241" s="50" t="str">
        <f>IF($J241="","",INDEX('Mouvements'!$G$5:$G$5004,$J241)&amp;"")</f>
        <v/>
      </c>
      <c r="H241" s="50" t="str">
        <f>IF($J241="","",INDEX('Mouvements'!$H$5:$H$5004,$J241)&amp;"")</f>
        <v/>
      </c>
      <c r="I241" s="50" t="str">
        <f>IF($J241="","",INDEX('Mouvements'!$I$5:$I$5004,$J241)&amp;"")</f>
        <v/>
      </c>
      <c r="J241" t="str">
        <f>IF($C$4="","",IFERROR(MATCH($C$4&amp;"#"&amp;($J$9+231),mv_key,0),""))</f>
        <v/>
      </c>
    </row>
    <row r="242">
      <c r="B242" s="49" t="str">
        <f>IF($J242="","",INDEX('Mouvements'!$A$5:$A$5004,$J242))</f>
        <v/>
      </c>
      <c r="C242" s="50" t="str">
        <f>IF($J242="","",INDEX('Mouvements'!$B$5:$B$5004,$J242))</f>
        <v/>
      </c>
      <c r="D242" s="50" t="str">
        <f>IF($J242="","",IF(INDEX('Mouvements'!$B$5:$B$5004,$J242)="Entrée",INDEX('Mouvements'!$E$5:$E$5004,$J242),""))</f>
        <v/>
      </c>
      <c r="E242" s="50" t="str">
        <f>IF($J242="","",IF(INDEX('Mouvements'!$B$5:$B$5004,$J242)="Sortie",INDEX('Mouvements'!$E$5:$E$5004,$J242),""))</f>
        <v/>
      </c>
      <c r="F242" s="50" t="str">
        <f>IF($J242="","",INDEX('Mouvements'!$K$5:$K$5004,$J242))</f>
        <v/>
      </c>
      <c r="G242" s="50" t="str">
        <f>IF($J242="","",INDEX('Mouvements'!$G$5:$G$5004,$J242)&amp;"")</f>
        <v/>
      </c>
      <c r="H242" s="50" t="str">
        <f>IF($J242="","",INDEX('Mouvements'!$H$5:$H$5004,$J242)&amp;"")</f>
        <v/>
      </c>
      <c r="I242" s="50" t="str">
        <f>IF($J242="","",INDEX('Mouvements'!$I$5:$I$5004,$J242)&amp;"")</f>
        <v/>
      </c>
      <c r="J242" t="str">
        <f>IF($C$4="","",IFERROR(MATCH($C$4&amp;"#"&amp;($J$9+232),mv_key,0),""))</f>
        <v/>
      </c>
    </row>
    <row r="243">
      <c r="B243" s="49" t="str">
        <f>IF($J243="","",INDEX('Mouvements'!$A$5:$A$5004,$J243))</f>
        <v/>
      </c>
      <c r="C243" s="50" t="str">
        <f>IF($J243="","",INDEX('Mouvements'!$B$5:$B$5004,$J243))</f>
        <v/>
      </c>
      <c r="D243" s="50" t="str">
        <f>IF($J243="","",IF(INDEX('Mouvements'!$B$5:$B$5004,$J243)="Entrée",INDEX('Mouvements'!$E$5:$E$5004,$J243),""))</f>
        <v/>
      </c>
      <c r="E243" s="50" t="str">
        <f>IF($J243="","",IF(INDEX('Mouvements'!$B$5:$B$5004,$J243)="Sortie",INDEX('Mouvements'!$E$5:$E$5004,$J243),""))</f>
        <v/>
      </c>
      <c r="F243" s="50" t="str">
        <f>IF($J243="","",INDEX('Mouvements'!$K$5:$K$5004,$J243))</f>
        <v/>
      </c>
      <c r="G243" s="50" t="str">
        <f>IF($J243="","",INDEX('Mouvements'!$G$5:$G$5004,$J243)&amp;"")</f>
        <v/>
      </c>
      <c r="H243" s="50" t="str">
        <f>IF($J243="","",INDEX('Mouvements'!$H$5:$H$5004,$J243)&amp;"")</f>
        <v/>
      </c>
      <c r="I243" s="50" t="str">
        <f>IF($J243="","",INDEX('Mouvements'!$I$5:$I$5004,$J243)&amp;"")</f>
        <v/>
      </c>
      <c r="J243" t="str">
        <f>IF($C$4="","",IFERROR(MATCH($C$4&amp;"#"&amp;($J$9+233),mv_key,0),""))</f>
        <v/>
      </c>
    </row>
    <row r="244">
      <c r="B244" s="49" t="str">
        <f>IF($J244="","",INDEX('Mouvements'!$A$5:$A$5004,$J244))</f>
        <v/>
      </c>
      <c r="C244" s="50" t="str">
        <f>IF($J244="","",INDEX('Mouvements'!$B$5:$B$5004,$J244))</f>
        <v/>
      </c>
      <c r="D244" s="50" t="str">
        <f>IF($J244="","",IF(INDEX('Mouvements'!$B$5:$B$5004,$J244)="Entrée",INDEX('Mouvements'!$E$5:$E$5004,$J244),""))</f>
        <v/>
      </c>
      <c r="E244" s="50" t="str">
        <f>IF($J244="","",IF(INDEX('Mouvements'!$B$5:$B$5004,$J244)="Sortie",INDEX('Mouvements'!$E$5:$E$5004,$J244),""))</f>
        <v/>
      </c>
      <c r="F244" s="50" t="str">
        <f>IF($J244="","",INDEX('Mouvements'!$K$5:$K$5004,$J244))</f>
        <v/>
      </c>
      <c r="G244" s="50" t="str">
        <f>IF($J244="","",INDEX('Mouvements'!$G$5:$G$5004,$J244)&amp;"")</f>
        <v/>
      </c>
      <c r="H244" s="50" t="str">
        <f>IF($J244="","",INDEX('Mouvements'!$H$5:$H$5004,$J244)&amp;"")</f>
        <v/>
      </c>
      <c r="I244" s="50" t="str">
        <f>IF($J244="","",INDEX('Mouvements'!$I$5:$I$5004,$J244)&amp;"")</f>
        <v/>
      </c>
      <c r="J244" t="str">
        <f>IF($C$4="","",IFERROR(MATCH($C$4&amp;"#"&amp;($J$9+234),mv_key,0),""))</f>
        <v/>
      </c>
    </row>
    <row r="245">
      <c r="B245" s="49" t="str">
        <f>IF($J245="","",INDEX('Mouvements'!$A$5:$A$5004,$J245))</f>
        <v/>
      </c>
      <c r="C245" s="50" t="str">
        <f>IF($J245="","",INDEX('Mouvements'!$B$5:$B$5004,$J245))</f>
        <v/>
      </c>
      <c r="D245" s="50" t="str">
        <f>IF($J245="","",IF(INDEX('Mouvements'!$B$5:$B$5004,$J245)="Entrée",INDEX('Mouvements'!$E$5:$E$5004,$J245),""))</f>
        <v/>
      </c>
      <c r="E245" s="50" t="str">
        <f>IF($J245="","",IF(INDEX('Mouvements'!$B$5:$B$5004,$J245)="Sortie",INDEX('Mouvements'!$E$5:$E$5004,$J245),""))</f>
        <v/>
      </c>
      <c r="F245" s="50" t="str">
        <f>IF($J245="","",INDEX('Mouvements'!$K$5:$K$5004,$J245))</f>
        <v/>
      </c>
      <c r="G245" s="50" t="str">
        <f>IF($J245="","",INDEX('Mouvements'!$G$5:$G$5004,$J245)&amp;"")</f>
        <v/>
      </c>
      <c r="H245" s="50" t="str">
        <f>IF($J245="","",INDEX('Mouvements'!$H$5:$H$5004,$J245)&amp;"")</f>
        <v/>
      </c>
      <c r="I245" s="50" t="str">
        <f>IF($J245="","",INDEX('Mouvements'!$I$5:$I$5004,$J245)&amp;"")</f>
        <v/>
      </c>
      <c r="J245" t="str">
        <f>IF($C$4="","",IFERROR(MATCH($C$4&amp;"#"&amp;($J$9+235),mv_key,0),""))</f>
        <v/>
      </c>
    </row>
    <row r="246">
      <c r="B246" s="49" t="str">
        <f>IF($J246="","",INDEX('Mouvements'!$A$5:$A$5004,$J246))</f>
        <v/>
      </c>
      <c r="C246" s="50" t="str">
        <f>IF($J246="","",INDEX('Mouvements'!$B$5:$B$5004,$J246))</f>
        <v/>
      </c>
      <c r="D246" s="50" t="str">
        <f>IF($J246="","",IF(INDEX('Mouvements'!$B$5:$B$5004,$J246)="Entrée",INDEX('Mouvements'!$E$5:$E$5004,$J246),""))</f>
        <v/>
      </c>
      <c r="E246" s="50" t="str">
        <f>IF($J246="","",IF(INDEX('Mouvements'!$B$5:$B$5004,$J246)="Sortie",INDEX('Mouvements'!$E$5:$E$5004,$J246),""))</f>
        <v/>
      </c>
      <c r="F246" s="50" t="str">
        <f>IF($J246="","",INDEX('Mouvements'!$K$5:$K$5004,$J246))</f>
        <v/>
      </c>
      <c r="G246" s="50" t="str">
        <f>IF($J246="","",INDEX('Mouvements'!$G$5:$G$5004,$J246)&amp;"")</f>
        <v/>
      </c>
      <c r="H246" s="50" t="str">
        <f>IF($J246="","",INDEX('Mouvements'!$H$5:$H$5004,$J246)&amp;"")</f>
        <v/>
      </c>
      <c r="I246" s="50" t="str">
        <f>IF($J246="","",INDEX('Mouvements'!$I$5:$I$5004,$J246)&amp;"")</f>
        <v/>
      </c>
      <c r="J246" t="str">
        <f>IF($C$4="","",IFERROR(MATCH($C$4&amp;"#"&amp;($J$9+236),mv_key,0),""))</f>
        <v/>
      </c>
    </row>
    <row r="247">
      <c r="B247" s="49" t="str">
        <f>IF($J247="","",INDEX('Mouvements'!$A$5:$A$5004,$J247))</f>
        <v/>
      </c>
      <c r="C247" s="50" t="str">
        <f>IF($J247="","",INDEX('Mouvements'!$B$5:$B$5004,$J247))</f>
        <v/>
      </c>
      <c r="D247" s="50" t="str">
        <f>IF($J247="","",IF(INDEX('Mouvements'!$B$5:$B$5004,$J247)="Entrée",INDEX('Mouvements'!$E$5:$E$5004,$J247),""))</f>
        <v/>
      </c>
      <c r="E247" s="50" t="str">
        <f>IF($J247="","",IF(INDEX('Mouvements'!$B$5:$B$5004,$J247)="Sortie",INDEX('Mouvements'!$E$5:$E$5004,$J247),""))</f>
        <v/>
      </c>
      <c r="F247" s="50" t="str">
        <f>IF($J247="","",INDEX('Mouvements'!$K$5:$K$5004,$J247))</f>
        <v/>
      </c>
      <c r="G247" s="50" t="str">
        <f>IF($J247="","",INDEX('Mouvements'!$G$5:$G$5004,$J247)&amp;"")</f>
        <v/>
      </c>
      <c r="H247" s="50" t="str">
        <f>IF($J247="","",INDEX('Mouvements'!$H$5:$H$5004,$J247)&amp;"")</f>
        <v/>
      </c>
      <c r="I247" s="50" t="str">
        <f>IF($J247="","",INDEX('Mouvements'!$I$5:$I$5004,$J247)&amp;"")</f>
        <v/>
      </c>
      <c r="J247" t="str">
        <f>IF($C$4="","",IFERROR(MATCH($C$4&amp;"#"&amp;($J$9+237),mv_key,0),""))</f>
        <v/>
      </c>
    </row>
    <row r="248">
      <c r="B248" s="49" t="str">
        <f>IF($J248="","",INDEX('Mouvements'!$A$5:$A$5004,$J248))</f>
        <v/>
      </c>
      <c r="C248" s="50" t="str">
        <f>IF($J248="","",INDEX('Mouvements'!$B$5:$B$5004,$J248))</f>
        <v/>
      </c>
      <c r="D248" s="50" t="str">
        <f>IF($J248="","",IF(INDEX('Mouvements'!$B$5:$B$5004,$J248)="Entrée",INDEX('Mouvements'!$E$5:$E$5004,$J248),""))</f>
        <v/>
      </c>
      <c r="E248" s="50" t="str">
        <f>IF($J248="","",IF(INDEX('Mouvements'!$B$5:$B$5004,$J248)="Sortie",INDEX('Mouvements'!$E$5:$E$5004,$J248),""))</f>
        <v/>
      </c>
      <c r="F248" s="50" t="str">
        <f>IF($J248="","",INDEX('Mouvements'!$K$5:$K$5004,$J248))</f>
        <v/>
      </c>
      <c r="G248" s="50" t="str">
        <f>IF($J248="","",INDEX('Mouvements'!$G$5:$G$5004,$J248)&amp;"")</f>
        <v/>
      </c>
      <c r="H248" s="50" t="str">
        <f>IF($J248="","",INDEX('Mouvements'!$H$5:$H$5004,$J248)&amp;"")</f>
        <v/>
      </c>
      <c r="I248" s="50" t="str">
        <f>IF($J248="","",INDEX('Mouvements'!$I$5:$I$5004,$J248)&amp;"")</f>
        <v/>
      </c>
      <c r="J248" t="str">
        <f>IF($C$4="","",IFERROR(MATCH($C$4&amp;"#"&amp;($J$9+238),mv_key,0),""))</f>
        <v/>
      </c>
    </row>
    <row r="249">
      <c r="B249" s="49" t="str">
        <f>IF($J249="","",INDEX('Mouvements'!$A$5:$A$5004,$J249))</f>
        <v/>
      </c>
      <c r="C249" s="50" t="str">
        <f>IF($J249="","",INDEX('Mouvements'!$B$5:$B$5004,$J249))</f>
        <v/>
      </c>
      <c r="D249" s="50" t="str">
        <f>IF($J249="","",IF(INDEX('Mouvements'!$B$5:$B$5004,$J249)="Entrée",INDEX('Mouvements'!$E$5:$E$5004,$J249),""))</f>
        <v/>
      </c>
      <c r="E249" s="50" t="str">
        <f>IF($J249="","",IF(INDEX('Mouvements'!$B$5:$B$5004,$J249)="Sortie",INDEX('Mouvements'!$E$5:$E$5004,$J249),""))</f>
        <v/>
      </c>
      <c r="F249" s="50" t="str">
        <f>IF($J249="","",INDEX('Mouvements'!$K$5:$K$5004,$J249))</f>
        <v/>
      </c>
      <c r="G249" s="50" t="str">
        <f>IF($J249="","",INDEX('Mouvements'!$G$5:$G$5004,$J249)&amp;"")</f>
        <v/>
      </c>
      <c r="H249" s="50" t="str">
        <f>IF($J249="","",INDEX('Mouvements'!$H$5:$H$5004,$J249)&amp;"")</f>
        <v/>
      </c>
      <c r="I249" s="50" t="str">
        <f>IF($J249="","",INDEX('Mouvements'!$I$5:$I$5004,$J249)&amp;"")</f>
        <v/>
      </c>
      <c r="J249" t="str">
        <f>IF($C$4="","",IFERROR(MATCH($C$4&amp;"#"&amp;($J$9+239),mv_key,0),""))</f>
        <v/>
      </c>
    </row>
    <row r="250">
      <c r="B250" s="49" t="str">
        <f>IF($J250="","",INDEX('Mouvements'!$A$5:$A$5004,$J250))</f>
        <v/>
      </c>
      <c r="C250" s="50" t="str">
        <f>IF($J250="","",INDEX('Mouvements'!$B$5:$B$5004,$J250))</f>
        <v/>
      </c>
      <c r="D250" s="50" t="str">
        <f>IF($J250="","",IF(INDEX('Mouvements'!$B$5:$B$5004,$J250)="Entrée",INDEX('Mouvements'!$E$5:$E$5004,$J250),""))</f>
        <v/>
      </c>
      <c r="E250" s="50" t="str">
        <f>IF($J250="","",IF(INDEX('Mouvements'!$B$5:$B$5004,$J250)="Sortie",INDEX('Mouvements'!$E$5:$E$5004,$J250),""))</f>
        <v/>
      </c>
      <c r="F250" s="50" t="str">
        <f>IF($J250="","",INDEX('Mouvements'!$K$5:$K$5004,$J250))</f>
        <v/>
      </c>
      <c r="G250" s="50" t="str">
        <f>IF($J250="","",INDEX('Mouvements'!$G$5:$G$5004,$J250)&amp;"")</f>
        <v/>
      </c>
      <c r="H250" s="50" t="str">
        <f>IF($J250="","",INDEX('Mouvements'!$H$5:$H$5004,$J250)&amp;"")</f>
        <v/>
      </c>
      <c r="I250" s="50" t="str">
        <f>IF($J250="","",INDEX('Mouvements'!$I$5:$I$5004,$J250)&amp;"")</f>
        <v/>
      </c>
      <c r="J250" t="str">
        <f>IF($C$4="","",IFERROR(MATCH($C$4&amp;"#"&amp;($J$9+240),mv_key,0),""))</f>
        <v/>
      </c>
    </row>
    <row r="251">
      <c r="B251" s="49" t="str">
        <f>IF($J251="","",INDEX('Mouvements'!$A$5:$A$5004,$J251))</f>
        <v/>
      </c>
      <c r="C251" s="50" t="str">
        <f>IF($J251="","",INDEX('Mouvements'!$B$5:$B$5004,$J251))</f>
        <v/>
      </c>
      <c r="D251" s="50" t="str">
        <f>IF($J251="","",IF(INDEX('Mouvements'!$B$5:$B$5004,$J251)="Entrée",INDEX('Mouvements'!$E$5:$E$5004,$J251),""))</f>
        <v/>
      </c>
      <c r="E251" s="50" t="str">
        <f>IF($J251="","",IF(INDEX('Mouvements'!$B$5:$B$5004,$J251)="Sortie",INDEX('Mouvements'!$E$5:$E$5004,$J251),""))</f>
        <v/>
      </c>
      <c r="F251" s="50" t="str">
        <f>IF($J251="","",INDEX('Mouvements'!$K$5:$K$5004,$J251))</f>
        <v/>
      </c>
      <c r="G251" s="50" t="str">
        <f>IF($J251="","",INDEX('Mouvements'!$G$5:$G$5004,$J251)&amp;"")</f>
        <v/>
      </c>
      <c r="H251" s="50" t="str">
        <f>IF($J251="","",INDEX('Mouvements'!$H$5:$H$5004,$J251)&amp;"")</f>
        <v/>
      </c>
      <c r="I251" s="50" t="str">
        <f>IF($J251="","",INDEX('Mouvements'!$I$5:$I$5004,$J251)&amp;"")</f>
        <v/>
      </c>
      <c r="J251" t="str">
        <f>IF($C$4="","",IFERROR(MATCH($C$4&amp;"#"&amp;($J$9+241),mv_key,0),""))</f>
        <v/>
      </c>
    </row>
    <row r="252">
      <c r="B252" s="49" t="str">
        <f>IF($J252="","",INDEX('Mouvements'!$A$5:$A$5004,$J252))</f>
        <v/>
      </c>
      <c r="C252" s="50" t="str">
        <f>IF($J252="","",INDEX('Mouvements'!$B$5:$B$5004,$J252))</f>
        <v/>
      </c>
      <c r="D252" s="50" t="str">
        <f>IF($J252="","",IF(INDEX('Mouvements'!$B$5:$B$5004,$J252)="Entrée",INDEX('Mouvements'!$E$5:$E$5004,$J252),""))</f>
        <v/>
      </c>
      <c r="E252" s="50" t="str">
        <f>IF($J252="","",IF(INDEX('Mouvements'!$B$5:$B$5004,$J252)="Sortie",INDEX('Mouvements'!$E$5:$E$5004,$J252),""))</f>
        <v/>
      </c>
      <c r="F252" s="50" t="str">
        <f>IF($J252="","",INDEX('Mouvements'!$K$5:$K$5004,$J252))</f>
        <v/>
      </c>
      <c r="G252" s="50" t="str">
        <f>IF($J252="","",INDEX('Mouvements'!$G$5:$G$5004,$J252)&amp;"")</f>
        <v/>
      </c>
      <c r="H252" s="50" t="str">
        <f>IF($J252="","",INDEX('Mouvements'!$H$5:$H$5004,$J252)&amp;"")</f>
        <v/>
      </c>
      <c r="I252" s="50" t="str">
        <f>IF($J252="","",INDEX('Mouvements'!$I$5:$I$5004,$J252)&amp;"")</f>
        <v/>
      </c>
      <c r="J252" t="str">
        <f>IF($C$4="","",IFERROR(MATCH($C$4&amp;"#"&amp;($J$9+242),mv_key,0),""))</f>
        <v/>
      </c>
    </row>
    <row r="253">
      <c r="B253" s="49" t="str">
        <f>IF($J253="","",INDEX('Mouvements'!$A$5:$A$5004,$J253))</f>
        <v/>
      </c>
      <c r="C253" s="50" t="str">
        <f>IF($J253="","",INDEX('Mouvements'!$B$5:$B$5004,$J253))</f>
        <v/>
      </c>
      <c r="D253" s="50" t="str">
        <f>IF($J253="","",IF(INDEX('Mouvements'!$B$5:$B$5004,$J253)="Entrée",INDEX('Mouvements'!$E$5:$E$5004,$J253),""))</f>
        <v/>
      </c>
      <c r="E253" s="50" t="str">
        <f>IF($J253="","",IF(INDEX('Mouvements'!$B$5:$B$5004,$J253)="Sortie",INDEX('Mouvements'!$E$5:$E$5004,$J253),""))</f>
        <v/>
      </c>
      <c r="F253" s="50" t="str">
        <f>IF($J253="","",INDEX('Mouvements'!$K$5:$K$5004,$J253))</f>
        <v/>
      </c>
      <c r="G253" s="50" t="str">
        <f>IF($J253="","",INDEX('Mouvements'!$G$5:$G$5004,$J253)&amp;"")</f>
        <v/>
      </c>
      <c r="H253" s="50" t="str">
        <f>IF($J253="","",INDEX('Mouvements'!$H$5:$H$5004,$J253)&amp;"")</f>
        <v/>
      </c>
      <c r="I253" s="50" t="str">
        <f>IF($J253="","",INDEX('Mouvements'!$I$5:$I$5004,$J253)&amp;"")</f>
        <v/>
      </c>
      <c r="J253" t="str">
        <f>IF($C$4="","",IFERROR(MATCH($C$4&amp;"#"&amp;($J$9+243),mv_key,0),""))</f>
        <v/>
      </c>
    </row>
    <row r="254">
      <c r="B254" s="49" t="str">
        <f>IF($J254="","",INDEX('Mouvements'!$A$5:$A$5004,$J254))</f>
        <v/>
      </c>
      <c r="C254" s="50" t="str">
        <f>IF($J254="","",INDEX('Mouvements'!$B$5:$B$5004,$J254))</f>
        <v/>
      </c>
      <c r="D254" s="50" t="str">
        <f>IF($J254="","",IF(INDEX('Mouvements'!$B$5:$B$5004,$J254)="Entrée",INDEX('Mouvements'!$E$5:$E$5004,$J254),""))</f>
        <v/>
      </c>
      <c r="E254" s="50" t="str">
        <f>IF($J254="","",IF(INDEX('Mouvements'!$B$5:$B$5004,$J254)="Sortie",INDEX('Mouvements'!$E$5:$E$5004,$J254),""))</f>
        <v/>
      </c>
      <c r="F254" s="50" t="str">
        <f>IF($J254="","",INDEX('Mouvements'!$K$5:$K$5004,$J254))</f>
        <v/>
      </c>
      <c r="G254" s="50" t="str">
        <f>IF($J254="","",INDEX('Mouvements'!$G$5:$G$5004,$J254)&amp;"")</f>
        <v/>
      </c>
      <c r="H254" s="50" t="str">
        <f>IF($J254="","",INDEX('Mouvements'!$H$5:$H$5004,$J254)&amp;"")</f>
        <v/>
      </c>
      <c r="I254" s="50" t="str">
        <f>IF($J254="","",INDEX('Mouvements'!$I$5:$I$5004,$J254)&amp;"")</f>
        <v/>
      </c>
      <c r="J254" t="str">
        <f>IF($C$4="","",IFERROR(MATCH($C$4&amp;"#"&amp;($J$9+244),mv_key,0),""))</f>
        <v/>
      </c>
    </row>
    <row r="255">
      <c r="B255" s="49" t="str">
        <f>IF($J255="","",INDEX('Mouvements'!$A$5:$A$5004,$J255))</f>
        <v/>
      </c>
      <c r="C255" s="50" t="str">
        <f>IF($J255="","",INDEX('Mouvements'!$B$5:$B$5004,$J255))</f>
        <v/>
      </c>
      <c r="D255" s="50" t="str">
        <f>IF($J255="","",IF(INDEX('Mouvements'!$B$5:$B$5004,$J255)="Entrée",INDEX('Mouvements'!$E$5:$E$5004,$J255),""))</f>
        <v/>
      </c>
      <c r="E255" s="50" t="str">
        <f>IF($J255="","",IF(INDEX('Mouvements'!$B$5:$B$5004,$J255)="Sortie",INDEX('Mouvements'!$E$5:$E$5004,$J255),""))</f>
        <v/>
      </c>
      <c r="F255" s="50" t="str">
        <f>IF($J255="","",INDEX('Mouvements'!$K$5:$K$5004,$J255))</f>
        <v/>
      </c>
      <c r="G255" s="50" t="str">
        <f>IF($J255="","",INDEX('Mouvements'!$G$5:$G$5004,$J255)&amp;"")</f>
        <v/>
      </c>
      <c r="H255" s="50" t="str">
        <f>IF($J255="","",INDEX('Mouvements'!$H$5:$H$5004,$J255)&amp;"")</f>
        <v/>
      </c>
      <c r="I255" s="50" t="str">
        <f>IF($J255="","",INDEX('Mouvements'!$I$5:$I$5004,$J255)&amp;"")</f>
        <v/>
      </c>
      <c r="J255" t="str">
        <f>IF($C$4="","",IFERROR(MATCH($C$4&amp;"#"&amp;($J$9+245),mv_key,0),""))</f>
        <v/>
      </c>
    </row>
    <row r="256">
      <c r="B256" s="49" t="str">
        <f>IF($J256="","",INDEX('Mouvements'!$A$5:$A$5004,$J256))</f>
        <v/>
      </c>
      <c r="C256" s="50" t="str">
        <f>IF($J256="","",INDEX('Mouvements'!$B$5:$B$5004,$J256))</f>
        <v/>
      </c>
      <c r="D256" s="50" t="str">
        <f>IF($J256="","",IF(INDEX('Mouvements'!$B$5:$B$5004,$J256)="Entrée",INDEX('Mouvements'!$E$5:$E$5004,$J256),""))</f>
        <v/>
      </c>
      <c r="E256" s="50" t="str">
        <f>IF($J256="","",IF(INDEX('Mouvements'!$B$5:$B$5004,$J256)="Sortie",INDEX('Mouvements'!$E$5:$E$5004,$J256),""))</f>
        <v/>
      </c>
      <c r="F256" s="50" t="str">
        <f>IF($J256="","",INDEX('Mouvements'!$K$5:$K$5004,$J256))</f>
        <v/>
      </c>
      <c r="G256" s="50" t="str">
        <f>IF($J256="","",INDEX('Mouvements'!$G$5:$G$5004,$J256)&amp;"")</f>
        <v/>
      </c>
      <c r="H256" s="50" t="str">
        <f>IF($J256="","",INDEX('Mouvements'!$H$5:$H$5004,$J256)&amp;"")</f>
        <v/>
      </c>
      <c r="I256" s="50" t="str">
        <f>IF($J256="","",INDEX('Mouvements'!$I$5:$I$5004,$J256)&amp;"")</f>
        <v/>
      </c>
      <c r="J256" t="str">
        <f>IF($C$4="","",IFERROR(MATCH($C$4&amp;"#"&amp;($J$9+246),mv_key,0),""))</f>
        <v/>
      </c>
    </row>
    <row r="257">
      <c r="B257" s="49" t="str">
        <f>IF($J257="","",INDEX('Mouvements'!$A$5:$A$5004,$J257))</f>
        <v/>
      </c>
      <c r="C257" s="50" t="str">
        <f>IF($J257="","",INDEX('Mouvements'!$B$5:$B$5004,$J257))</f>
        <v/>
      </c>
      <c r="D257" s="50" t="str">
        <f>IF($J257="","",IF(INDEX('Mouvements'!$B$5:$B$5004,$J257)="Entrée",INDEX('Mouvements'!$E$5:$E$5004,$J257),""))</f>
        <v/>
      </c>
      <c r="E257" s="50" t="str">
        <f>IF($J257="","",IF(INDEX('Mouvements'!$B$5:$B$5004,$J257)="Sortie",INDEX('Mouvements'!$E$5:$E$5004,$J257),""))</f>
        <v/>
      </c>
      <c r="F257" s="50" t="str">
        <f>IF($J257="","",INDEX('Mouvements'!$K$5:$K$5004,$J257))</f>
        <v/>
      </c>
      <c r="G257" s="50" t="str">
        <f>IF($J257="","",INDEX('Mouvements'!$G$5:$G$5004,$J257)&amp;"")</f>
        <v/>
      </c>
      <c r="H257" s="50" t="str">
        <f>IF($J257="","",INDEX('Mouvements'!$H$5:$H$5004,$J257)&amp;"")</f>
        <v/>
      </c>
      <c r="I257" s="50" t="str">
        <f>IF($J257="","",INDEX('Mouvements'!$I$5:$I$5004,$J257)&amp;"")</f>
        <v/>
      </c>
      <c r="J257" t="str">
        <f>IF($C$4="","",IFERROR(MATCH($C$4&amp;"#"&amp;($J$9+247),mv_key,0),""))</f>
        <v/>
      </c>
    </row>
    <row r="258">
      <c r="B258" s="49" t="str">
        <f>IF($J258="","",INDEX('Mouvements'!$A$5:$A$5004,$J258))</f>
        <v/>
      </c>
      <c r="C258" s="50" t="str">
        <f>IF($J258="","",INDEX('Mouvements'!$B$5:$B$5004,$J258))</f>
        <v/>
      </c>
      <c r="D258" s="50" t="str">
        <f>IF($J258="","",IF(INDEX('Mouvements'!$B$5:$B$5004,$J258)="Entrée",INDEX('Mouvements'!$E$5:$E$5004,$J258),""))</f>
        <v/>
      </c>
      <c r="E258" s="50" t="str">
        <f>IF($J258="","",IF(INDEX('Mouvements'!$B$5:$B$5004,$J258)="Sortie",INDEX('Mouvements'!$E$5:$E$5004,$J258),""))</f>
        <v/>
      </c>
      <c r="F258" s="50" t="str">
        <f>IF($J258="","",INDEX('Mouvements'!$K$5:$K$5004,$J258))</f>
        <v/>
      </c>
      <c r="G258" s="50" t="str">
        <f>IF($J258="","",INDEX('Mouvements'!$G$5:$G$5004,$J258)&amp;"")</f>
        <v/>
      </c>
      <c r="H258" s="50" t="str">
        <f>IF($J258="","",INDEX('Mouvements'!$H$5:$H$5004,$J258)&amp;"")</f>
        <v/>
      </c>
      <c r="I258" s="50" t="str">
        <f>IF($J258="","",INDEX('Mouvements'!$I$5:$I$5004,$J258)&amp;"")</f>
        <v/>
      </c>
      <c r="J258" t="str">
        <f>IF($C$4="","",IFERROR(MATCH($C$4&amp;"#"&amp;($J$9+248),mv_key,0),""))</f>
        <v/>
      </c>
    </row>
    <row r="259">
      <c r="B259" s="49" t="str">
        <f>IF($J259="","",INDEX('Mouvements'!$A$5:$A$5004,$J259))</f>
        <v/>
      </c>
      <c r="C259" s="50" t="str">
        <f>IF($J259="","",INDEX('Mouvements'!$B$5:$B$5004,$J259))</f>
        <v/>
      </c>
      <c r="D259" s="50" t="str">
        <f>IF($J259="","",IF(INDEX('Mouvements'!$B$5:$B$5004,$J259)="Entrée",INDEX('Mouvements'!$E$5:$E$5004,$J259),""))</f>
        <v/>
      </c>
      <c r="E259" s="50" t="str">
        <f>IF($J259="","",IF(INDEX('Mouvements'!$B$5:$B$5004,$J259)="Sortie",INDEX('Mouvements'!$E$5:$E$5004,$J259),""))</f>
        <v/>
      </c>
      <c r="F259" s="50" t="str">
        <f>IF($J259="","",INDEX('Mouvements'!$K$5:$K$5004,$J259))</f>
        <v/>
      </c>
      <c r="G259" s="50" t="str">
        <f>IF($J259="","",INDEX('Mouvements'!$G$5:$G$5004,$J259)&amp;"")</f>
        <v/>
      </c>
      <c r="H259" s="50" t="str">
        <f>IF($J259="","",INDEX('Mouvements'!$H$5:$H$5004,$J259)&amp;"")</f>
        <v/>
      </c>
      <c r="I259" s="50" t="str">
        <f>IF($J259="","",INDEX('Mouvements'!$I$5:$I$5004,$J259)&amp;"")</f>
        <v/>
      </c>
      <c r="J259" t="str">
        <f>IF($C$4="","",IFERROR(MATCH($C$4&amp;"#"&amp;($J$9+249),mv_key,0),""))</f>
        <v/>
      </c>
    </row>
    <row r="260">
      <c r="B260" s="49" t="str">
        <f>IF($J260="","",INDEX('Mouvements'!$A$5:$A$5004,$J260))</f>
        <v/>
      </c>
      <c r="C260" s="50" t="str">
        <f>IF($J260="","",INDEX('Mouvements'!$B$5:$B$5004,$J260))</f>
        <v/>
      </c>
      <c r="D260" s="50" t="str">
        <f>IF($J260="","",IF(INDEX('Mouvements'!$B$5:$B$5004,$J260)="Entrée",INDEX('Mouvements'!$E$5:$E$5004,$J260),""))</f>
        <v/>
      </c>
      <c r="E260" s="50" t="str">
        <f>IF($J260="","",IF(INDEX('Mouvements'!$B$5:$B$5004,$J260)="Sortie",INDEX('Mouvements'!$E$5:$E$5004,$J260),""))</f>
        <v/>
      </c>
      <c r="F260" s="50" t="str">
        <f>IF($J260="","",INDEX('Mouvements'!$K$5:$K$5004,$J260))</f>
        <v/>
      </c>
      <c r="G260" s="50" t="str">
        <f>IF($J260="","",INDEX('Mouvements'!$G$5:$G$5004,$J260)&amp;"")</f>
        <v/>
      </c>
      <c r="H260" s="50" t="str">
        <f>IF($J260="","",INDEX('Mouvements'!$H$5:$H$5004,$J260)&amp;"")</f>
        <v/>
      </c>
      <c r="I260" s="50" t="str">
        <f>IF($J260="","",INDEX('Mouvements'!$I$5:$I$5004,$J260)&amp;"")</f>
        <v/>
      </c>
      <c r="J260" t="str">
        <f>IF($C$4="","",IFERROR(MATCH($C$4&amp;"#"&amp;($J$9+250),mv_key,0),""))</f>
        <v/>
      </c>
    </row>
    <row r="261">
      <c r="B261" s="49" t="str">
        <f>IF($J261="","",INDEX('Mouvements'!$A$5:$A$5004,$J261))</f>
        <v/>
      </c>
      <c r="C261" s="50" t="str">
        <f>IF($J261="","",INDEX('Mouvements'!$B$5:$B$5004,$J261))</f>
        <v/>
      </c>
      <c r="D261" s="50" t="str">
        <f>IF($J261="","",IF(INDEX('Mouvements'!$B$5:$B$5004,$J261)="Entrée",INDEX('Mouvements'!$E$5:$E$5004,$J261),""))</f>
        <v/>
      </c>
      <c r="E261" s="50" t="str">
        <f>IF($J261="","",IF(INDEX('Mouvements'!$B$5:$B$5004,$J261)="Sortie",INDEX('Mouvements'!$E$5:$E$5004,$J261),""))</f>
        <v/>
      </c>
      <c r="F261" s="50" t="str">
        <f>IF($J261="","",INDEX('Mouvements'!$K$5:$K$5004,$J261))</f>
        <v/>
      </c>
      <c r="G261" s="50" t="str">
        <f>IF($J261="","",INDEX('Mouvements'!$G$5:$G$5004,$J261)&amp;"")</f>
        <v/>
      </c>
      <c r="H261" s="50" t="str">
        <f>IF($J261="","",INDEX('Mouvements'!$H$5:$H$5004,$J261)&amp;"")</f>
        <v/>
      </c>
      <c r="I261" s="50" t="str">
        <f>IF($J261="","",INDEX('Mouvements'!$I$5:$I$5004,$J261)&amp;"")</f>
        <v/>
      </c>
      <c r="J261" t="str">
        <f>IF($C$4="","",IFERROR(MATCH($C$4&amp;"#"&amp;($J$9+251),mv_key,0),""))</f>
        <v/>
      </c>
    </row>
    <row r="262">
      <c r="B262" s="49" t="str">
        <f>IF($J262="","",INDEX('Mouvements'!$A$5:$A$5004,$J262))</f>
        <v/>
      </c>
      <c r="C262" s="50" t="str">
        <f>IF($J262="","",INDEX('Mouvements'!$B$5:$B$5004,$J262))</f>
        <v/>
      </c>
      <c r="D262" s="50" t="str">
        <f>IF($J262="","",IF(INDEX('Mouvements'!$B$5:$B$5004,$J262)="Entrée",INDEX('Mouvements'!$E$5:$E$5004,$J262),""))</f>
        <v/>
      </c>
      <c r="E262" s="50" t="str">
        <f>IF($J262="","",IF(INDEX('Mouvements'!$B$5:$B$5004,$J262)="Sortie",INDEX('Mouvements'!$E$5:$E$5004,$J262),""))</f>
        <v/>
      </c>
      <c r="F262" s="50" t="str">
        <f>IF($J262="","",INDEX('Mouvements'!$K$5:$K$5004,$J262))</f>
        <v/>
      </c>
      <c r="G262" s="50" t="str">
        <f>IF($J262="","",INDEX('Mouvements'!$G$5:$G$5004,$J262)&amp;"")</f>
        <v/>
      </c>
      <c r="H262" s="50" t="str">
        <f>IF($J262="","",INDEX('Mouvements'!$H$5:$H$5004,$J262)&amp;"")</f>
        <v/>
      </c>
      <c r="I262" s="50" t="str">
        <f>IF($J262="","",INDEX('Mouvements'!$I$5:$I$5004,$J262)&amp;"")</f>
        <v/>
      </c>
      <c r="J262" t="str">
        <f>IF($C$4="","",IFERROR(MATCH($C$4&amp;"#"&amp;($J$9+252),mv_key,0),""))</f>
        <v/>
      </c>
    </row>
    <row r="263">
      <c r="B263" s="49" t="str">
        <f>IF($J263="","",INDEX('Mouvements'!$A$5:$A$5004,$J263))</f>
        <v/>
      </c>
      <c r="C263" s="50" t="str">
        <f>IF($J263="","",INDEX('Mouvements'!$B$5:$B$5004,$J263))</f>
        <v/>
      </c>
      <c r="D263" s="50" t="str">
        <f>IF($J263="","",IF(INDEX('Mouvements'!$B$5:$B$5004,$J263)="Entrée",INDEX('Mouvements'!$E$5:$E$5004,$J263),""))</f>
        <v/>
      </c>
      <c r="E263" s="50" t="str">
        <f>IF($J263="","",IF(INDEX('Mouvements'!$B$5:$B$5004,$J263)="Sortie",INDEX('Mouvements'!$E$5:$E$5004,$J263),""))</f>
        <v/>
      </c>
      <c r="F263" s="50" t="str">
        <f>IF($J263="","",INDEX('Mouvements'!$K$5:$K$5004,$J263))</f>
        <v/>
      </c>
      <c r="G263" s="50" t="str">
        <f>IF($J263="","",INDEX('Mouvements'!$G$5:$G$5004,$J263)&amp;"")</f>
        <v/>
      </c>
      <c r="H263" s="50" t="str">
        <f>IF($J263="","",INDEX('Mouvements'!$H$5:$H$5004,$J263)&amp;"")</f>
        <v/>
      </c>
      <c r="I263" s="50" t="str">
        <f>IF($J263="","",INDEX('Mouvements'!$I$5:$I$5004,$J263)&amp;"")</f>
        <v/>
      </c>
      <c r="J263" t="str">
        <f>IF($C$4="","",IFERROR(MATCH($C$4&amp;"#"&amp;($J$9+253),mv_key,0),""))</f>
        <v/>
      </c>
    </row>
    <row r="264">
      <c r="B264" s="49" t="str">
        <f>IF($J264="","",INDEX('Mouvements'!$A$5:$A$5004,$J264))</f>
        <v/>
      </c>
      <c r="C264" s="50" t="str">
        <f>IF($J264="","",INDEX('Mouvements'!$B$5:$B$5004,$J264))</f>
        <v/>
      </c>
      <c r="D264" s="50" t="str">
        <f>IF($J264="","",IF(INDEX('Mouvements'!$B$5:$B$5004,$J264)="Entrée",INDEX('Mouvements'!$E$5:$E$5004,$J264),""))</f>
        <v/>
      </c>
      <c r="E264" s="50" t="str">
        <f>IF($J264="","",IF(INDEX('Mouvements'!$B$5:$B$5004,$J264)="Sortie",INDEX('Mouvements'!$E$5:$E$5004,$J264),""))</f>
        <v/>
      </c>
      <c r="F264" s="50" t="str">
        <f>IF($J264="","",INDEX('Mouvements'!$K$5:$K$5004,$J264))</f>
        <v/>
      </c>
      <c r="G264" s="50" t="str">
        <f>IF($J264="","",INDEX('Mouvements'!$G$5:$G$5004,$J264)&amp;"")</f>
        <v/>
      </c>
      <c r="H264" s="50" t="str">
        <f>IF($J264="","",INDEX('Mouvements'!$H$5:$H$5004,$J264)&amp;"")</f>
        <v/>
      </c>
      <c r="I264" s="50" t="str">
        <f>IF($J264="","",INDEX('Mouvements'!$I$5:$I$5004,$J264)&amp;"")</f>
        <v/>
      </c>
      <c r="J264" t="str">
        <f>IF($C$4="","",IFERROR(MATCH($C$4&amp;"#"&amp;($J$9+254),mv_key,0),""))</f>
        <v/>
      </c>
    </row>
    <row r="265">
      <c r="B265" s="49" t="str">
        <f>IF($J265="","",INDEX('Mouvements'!$A$5:$A$5004,$J265))</f>
        <v/>
      </c>
      <c r="C265" s="50" t="str">
        <f>IF($J265="","",INDEX('Mouvements'!$B$5:$B$5004,$J265))</f>
        <v/>
      </c>
      <c r="D265" s="50" t="str">
        <f>IF($J265="","",IF(INDEX('Mouvements'!$B$5:$B$5004,$J265)="Entrée",INDEX('Mouvements'!$E$5:$E$5004,$J265),""))</f>
        <v/>
      </c>
      <c r="E265" s="50" t="str">
        <f>IF($J265="","",IF(INDEX('Mouvements'!$B$5:$B$5004,$J265)="Sortie",INDEX('Mouvements'!$E$5:$E$5004,$J265),""))</f>
        <v/>
      </c>
      <c r="F265" s="50" t="str">
        <f>IF($J265="","",INDEX('Mouvements'!$K$5:$K$5004,$J265))</f>
        <v/>
      </c>
      <c r="G265" s="50" t="str">
        <f>IF($J265="","",INDEX('Mouvements'!$G$5:$G$5004,$J265)&amp;"")</f>
        <v/>
      </c>
      <c r="H265" s="50" t="str">
        <f>IF($J265="","",INDEX('Mouvements'!$H$5:$H$5004,$J265)&amp;"")</f>
        <v/>
      </c>
      <c r="I265" s="50" t="str">
        <f>IF($J265="","",INDEX('Mouvements'!$I$5:$I$5004,$J265)&amp;"")</f>
        <v/>
      </c>
      <c r="J265" t="str">
        <f>IF($C$4="","",IFERROR(MATCH($C$4&amp;"#"&amp;($J$9+255),mv_key,0),""))</f>
        <v/>
      </c>
    </row>
    <row r="266">
      <c r="B266" s="49" t="str">
        <f>IF($J266="","",INDEX('Mouvements'!$A$5:$A$5004,$J266))</f>
        <v/>
      </c>
      <c r="C266" s="50" t="str">
        <f>IF($J266="","",INDEX('Mouvements'!$B$5:$B$5004,$J266))</f>
        <v/>
      </c>
      <c r="D266" s="50" t="str">
        <f>IF($J266="","",IF(INDEX('Mouvements'!$B$5:$B$5004,$J266)="Entrée",INDEX('Mouvements'!$E$5:$E$5004,$J266),""))</f>
        <v/>
      </c>
      <c r="E266" s="50" t="str">
        <f>IF($J266="","",IF(INDEX('Mouvements'!$B$5:$B$5004,$J266)="Sortie",INDEX('Mouvements'!$E$5:$E$5004,$J266),""))</f>
        <v/>
      </c>
      <c r="F266" s="50" t="str">
        <f>IF($J266="","",INDEX('Mouvements'!$K$5:$K$5004,$J266))</f>
        <v/>
      </c>
      <c r="G266" s="50" t="str">
        <f>IF($J266="","",INDEX('Mouvements'!$G$5:$G$5004,$J266)&amp;"")</f>
        <v/>
      </c>
      <c r="H266" s="50" t="str">
        <f>IF($J266="","",INDEX('Mouvements'!$H$5:$H$5004,$J266)&amp;"")</f>
        <v/>
      </c>
      <c r="I266" s="50" t="str">
        <f>IF($J266="","",INDEX('Mouvements'!$I$5:$I$5004,$J266)&amp;"")</f>
        <v/>
      </c>
      <c r="J266" t="str">
        <f>IF($C$4="","",IFERROR(MATCH($C$4&amp;"#"&amp;($J$9+256),mv_key,0),""))</f>
        <v/>
      </c>
    </row>
    <row r="267">
      <c r="B267" s="49" t="str">
        <f>IF($J267="","",INDEX('Mouvements'!$A$5:$A$5004,$J267))</f>
        <v/>
      </c>
      <c r="C267" s="50" t="str">
        <f>IF($J267="","",INDEX('Mouvements'!$B$5:$B$5004,$J267))</f>
        <v/>
      </c>
      <c r="D267" s="50" t="str">
        <f>IF($J267="","",IF(INDEX('Mouvements'!$B$5:$B$5004,$J267)="Entrée",INDEX('Mouvements'!$E$5:$E$5004,$J267),""))</f>
        <v/>
      </c>
      <c r="E267" s="50" t="str">
        <f>IF($J267="","",IF(INDEX('Mouvements'!$B$5:$B$5004,$J267)="Sortie",INDEX('Mouvements'!$E$5:$E$5004,$J267),""))</f>
        <v/>
      </c>
      <c r="F267" s="50" t="str">
        <f>IF($J267="","",INDEX('Mouvements'!$K$5:$K$5004,$J267))</f>
        <v/>
      </c>
      <c r="G267" s="50" t="str">
        <f>IF($J267="","",INDEX('Mouvements'!$G$5:$G$5004,$J267)&amp;"")</f>
        <v/>
      </c>
      <c r="H267" s="50" t="str">
        <f>IF($J267="","",INDEX('Mouvements'!$H$5:$H$5004,$J267)&amp;"")</f>
        <v/>
      </c>
      <c r="I267" s="50" t="str">
        <f>IF($J267="","",INDEX('Mouvements'!$I$5:$I$5004,$J267)&amp;"")</f>
        <v/>
      </c>
      <c r="J267" t="str">
        <f>IF($C$4="","",IFERROR(MATCH($C$4&amp;"#"&amp;($J$9+257),mv_key,0),""))</f>
        <v/>
      </c>
    </row>
    <row r="268">
      <c r="B268" s="49" t="str">
        <f>IF($J268="","",INDEX('Mouvements'!$A$5:$A$5004,$J268))</f>
        <v/>
      </c>
      <c r="C268" s="50" t="str">
        <f>IF($J268="","",INDEX('Mouvements'!$B$5:$B$5004,$J268))</f>
        <v/>
      </c>
      <c r="D268" s="50" t="str">
        <f>IF($J268="","",IF(INDEX('Mouvements'!$B$5:$B$5004,$J268)="Entrée",INDEX('Mouvements'!$E$5:$E$5004,$J268),""))</f>
        <v/>
      </c>
      <c r="E268" s="50" t="str">
        <f>IF($J268="","",IF(INDEX('Mouvements'!$B$5:$B$5004,$J268)="Sortie",INDEX('Mouvements'!$E$5:$E$5004,$J268),""))</f>
        <v/>
      </c>
      <c r="F268" s="50" t="str">
        <f>IF($J268="","",INDEX('Mouvements'!$K$5:$K$5004,$J268))</f>
        <v/>
      </c>
      <c r="G268" s="50" t="str">
        <f>IF($J268="","",INDEX('Mouvements'!$G$5:$G$5004,$J268)&amp;"")</f>
        <v/>
      </c>
      <c r="H268" s="50" t="str">
        <f>IF($J268="","",INDEX('Mouvements'!$H$5:$H$5004,$J268)&amp;"")</f>
        <v/>
      </c>
      <c r="I268" s="50" t="str">
        <f>IF($J268="","",INDEX('Mouvements'!$I$5:$I$5004,$J268)&amp;"")</f>
        <v/>
      </c>
      <c r="J268" t="str">
        <f>IF($C$4="","",IFERROR(MATCH($C$4&amp;"#"&amp;($J$9+258),mv_key,0),""))</f>
        <v/>
      </c>
    </row>
    <row r="269">
      <c r="B269" s="49" t="str">
        <f>IF($J269="","",INDEX('Mouvements'!$A$5:$A$5004,$J269))</f>
        <v/>
      </c>
      <c r="C269" s="50" t="str">
        <f>IF($J269="","",INDEX('Mouvements'!$B$5:$B$5004,$J269))</f>
        <v/>
      </c>
      <c r="D269" s="50" t="str">
        <f>IF($J269="","",IF(INDEX('Mouvements'!$B$5:$B$5004,$J269)="Entrée",INDEX('Mouvements'!$E$5:$E$5004,$J269),""))</f>
        <v/>
      </c>
      <c r="E269" s="50" t="str">
        <f>IF($J269="","",IF(INDEX('Mouvements'!$B$5:$B$5004,$J269)="Sortie",INDEX('Mouvements'!$E$5:$E$5004,$J269),""))</f>
        <v/>
      </c>
      <c r="F269" s="50" t="str">
        <f>IF($J269="","",INDEX('Mouvements'!$K$5:$K$5004,$J269))</f>
        <v/>
      </c>
      <c r="G269" s="50" t="str">
        <f>IF($J269="","",INDEX('Mouvements'!$G$5:$G$5004,$J269)&amp;"")</f>
        <v/>
      </c>
      <c r="H269" s="50" t="str">
        <f>IF($J269="","",INDEX('Mouvements'!$H$5:$H$5004,$J269)&amp;"")</f>
        <v/>
      </c>
      <c r="I269" s="50" t="str">
        <f>IF($J269="","",INDEX('Mouvements'!$I$5:$I$5004,$J269)&amp;"")</f>
        <v/>
      </c>
      <c r="J269" t="str">
        <f>IF($C$4="","",IFERROR(MATCH($C$4&amp;"#"&amp;($J$9+259),mv_key,0),""))</f>
        <v/>
      </c>
    </row>
    <row r="270">
      <c r="B270" s="49" t="str">
        <f>IF($J270="","",INDEX('Mouvements'!$A$5:$A$5004,$J270))</f>
        <v/>
      </c>
      <c r="C270" s="50" t="str">
        <f>IF($J270="","",INDEX('Mouvements'!$B$5:$B$5004,$J270))</f>
        <v/>
      </c>
      <c r="D270" s="50" t="str">
        <f>IF($J270="","",IF(INDEX('Mouvements'!$B$5:$B$5004,$J270)="Entrée",INDEX('Mouvements'!$E$5:$E$5004,$J270),""))</f>
        <v/>
      </c>
      <c r="E270" s="50" t="str">
        <f>IF($J270="","",IF(INDEX('Mouvements'!$B$5:$B$5004,$J270)="Sortie",INDEX('Mouvements'!$E$5:$E$5004,$J270),""))</f>
        <v/>
      </c>
      <c r="F270" s="50" t="str">
        <f>IF($J270="","",INDEX('Mouvements'!$K$5:$K$5004,$J270))</f>
        <v/>
      </c>
      <c r="G270" s="50" t="str">
        <f>IF($J270="","",INDEX('Mouvements'!$G$5:$G$5004,$J270)&amp;"")</f>
        <v/>
      </c>
      <c r="H270" s="50" t="str">
        <f>IF($J270="","",INDEX('Mouvements'!$H$5:$H$5004,$J270)&amp;"")</f>
        <v/>
      </c>
      <c r="I270" s="50" t="str">
        <f>IF($J270="","",INDEX('Mouvements'!$I$5:$I$5004,$J270)&amp;"")</f>
        <v/>
      </c>
      <c r="J270" t="str">
        <f>IF($C$4="","",IFERROR(MATCH($C$4&amp;"#"&amp;($J$9+260),mv_key,0),""))</f>
        <v/>
      </c>
    </row>
    <row r="271">
      <c r="B271" s="49" t="str">
        <f>IF($J271="","",INDEX('Mouvements'!$A$5:$A$5004,$J271))</f>
        <v/>
      </c>
      <c r="C271" s="50" t="str">
        <f>IF($J271="","",INDEX('Mouvements'!$B$5:$B$5004,$J271))</f>
        <v/>
      </c>
      <c r="D271" s="50" t="str">
        <f>IF($J271="","",IF(INDEX('Mouvements'!$B$5:$B$5004,$J271)="Entrée",INDEX('Mouvements'!$E$5:$E$5004,$J271),""))</f>
        <v/>
      </c>
      <c r="E271" s="50" t="str">
        <f>IF($J271="","",IF(INDEX('Mouvements'!$B$5:$B$5004,$J271)="Sortie",INDEX('Mouvements'!$E$5:$E$5004,$J271),""))</f>
        <v/>
      </c>
      <c r="F271" s="50" t="str">
        <f>IF($J271="","",INDEX('Mouvements'!$K$5:$K$5004,$J271))</f>
        <v/>
      </c>
      <c r="G271" s="50" t="str">
        <f>IF($J271="","",INDEX('Mouvements'!$G$5:$G$5004,$J271)&amp;"")</f>
        <v/>
      </c>
      <c r="H271" s="50" t="str">
        <f>IF($J271="","",INDEX('Mouvements'!$H$5:$H$5004,$J271)&amp;"")</f>
        <v/>
      </c>
      <c r="I271" s="50" t="str">
        <f>IF($J271="","",INDEX('Mouvements'!$I$5:$I$5004,$J271)&amp;"")</f>
        <v/>
      </c>
      <c r="J271" t="str">
        <f>IF($C$4="","",IFERROR(MATCH($C$4&amp;"#"&amp;($J$9+261),mv_key,0),""))</f>
        <v/>
      </c>
    </row>
    <row r="272">
      <c r="B272" s="49" t="str">
        <f>IF($J272="","",INDEX('Mouvements'!$A$5:$A$5004,$J272))</f>
        <v/>
      </c>
      <c r="C272" s="50" t="str">
        <f>IF($J272="","",INDEX('Mouvements'!$B$5:$B$5004,$J272))</f>
        <v/>
      </c>
      <c r="D272" s="50" t="str">
        <f>IF($J272="","",IF(INDEX('Mouvements'!$B$5:$B$5004,$J272)="Entrée",INDEX('Mouvements'!$E$5:$E$5004,$J272),""))</f>
        <v/>
      </c>
      <c r="E272" s="50" t="str">
        <f>IF($J272="","",IF(INDEX('Mouvements'!$B$5:$B$5004,$J272)="Sortie",INDEX('Mouvements'!$E$5:$E$5004,$J272),""))</f>
        <v/>
      </c>
      <c r="F272" s="50" t="str">
        <f>IF($J272="","",INDEX('Mouvements'!$K$5:$K$5004,$J272))</f>
        <v/>
      </c>
      <c r="G272" s="50" t="str">
        <f>IF($J272="","",INDEX('Mouvements'!$G$5:$G$5004,$J272)&amp;"")</f>
        <v/>
      </c>
      <c r="H272" s="50" t="str">
        <f>IF($J272="","",INDEX('Mouvements'!$H$5:$H$5004,$J272)&amp;"")</f>
        <v/>
      </c>
      <c r="I272" s="50" t="str">
        <f>IF($J272="","",INDEX('Mouvements'!$I$5:$I$5004,$J272)&amp;"")</f>
        <v/>
      </c>
      <c r="J272" t="str">
        <f>IF($C$4="","",IFERROR(MATCH($C$4&amp;"#"&amp;($J$9+262),mv_key,0),""))</f>
        <v/>
      </c>
    </row>
    <row r="273">
      <c r="B273" s="49" t="str">
        <f>IF($J273="","",INDEX('Mouvements'!$A$5:$A$5004,$J273))</f>
        <v/>
      </c>
      <c r="C273" s="50" t="str">
        <f>IF($J273="","",INDEX('Mouvements'!$B$5:$B$5004,$J273))</f>
        <v/>
      </c>
      <c r="D273" s="50" t="str">
        <f>IF($J273="","",IF(INDEX('Mouvements'!$B$5:$B$5004,$J273)="Entrée",INDEX('Mouvements'!$E$5:$E$5004,$J273),""))</f>
        <v/>
      </c>
      <c r="E273" s="50" t="str">
        <f>IF($J273="","",IF(INDEX('Mouvements'!$B$5:$B$5004,$J273)="Sortie",INDEX('Mouvements'!$E$5:$E$5004,$J273),""))</f>
        <v/>
      </c>
      <c r="F273" s="50" t="str">
        <f>IF($J273="","",INDEX('Mouvements'!$K$5:$K$5004,$J273))</f>
        <v/>
      </c>
      <c r="G273" s="50" t="str">
        <f>IF($J273="","",INDEX('Mouvements'!$G$5:$G$5004,$J273)&amp;"")</f>
        <v/>
      </c>
      <c r="H273" s="50" t="str">
        <f>IF($J273="","",INDEX('Mouvements'!$H$5:$H$5004,$J273)&amp;"")</f>
        <v/>
      </c>
      <c r="I273" s="50" t="str">
        <f>IF($J273="","",INDEX('Mouvements'!$I$5:$I$5004,$J273)&amp;"")</f>
        <v/>
      </c>
      <c r="J273" t="str">
        <f>IF($C$4="","",IFERROR(MATCH($C$4&amp;"#"&amp;($J$9+263),mv_key,0),""))</f>
        <v/>
      </c>
    </row>
    <row r="274">
      <c r="B274" s="49" t="str">
        <f>IF($J274="","",INDEX('Mouvements'!$A$5:$A$5004,$J274))</f>
        <v/>
      </c>
      <c r="C274" s="50" t="str">
        <f>IF($J274="","",INDEX('Mouvements'!$B$5:$B$5004,$J274))</f>
        <v/>
      </c>
      <c r="D274" s="50" t="str">
        <f>IF($J274="","",IF(INDEX('Mouvements'!$B$5:$B$5004,$J274)="Entrée",INDEX('Mouvements'!$E$5:$E$5004,$J274),""))</f>
        <v/>
      </c>
      <c r="E274" s="50" t="str">
        <f>IF($J274="","",IF(INDEX('Mouvements'!$B$5:$B$5004,$J274)="Sortie",INDEX('Mouvements'!$E$5:$E$5004,$J274),""))</f>
        <v/>
      </c>
      <c r="F274" s="50" t="str">
        <f>IF($J274="","",INDEX('Mouvements'!$K$5:$K$5004,$J274))</f>
        <v/>
      </c>
      <c r="G274" s="50" t="str">
        <f>IF($J274="","",INDEX('Mouvements'!$G$5:$G$5004,$J274)&amp;"")</f>
        <v/>
      </c>
      <c r="H274" s="50" t="str">
        <f>IF($J274="","",INDEX('Mouvements'!$H$5:$H$5004,$J274)&amp;"")</f>
        <v/>
      </c>
      <c r="I274" s="50" t="str">
        <f>IF($J274="","",INDEX('Mouvements'!$I$5:$I$5004,$J274)&amp;"")</f>
        <v/>
      </c>
      <c r="J274" t="str">
        <f>IF($C$4="","",IFERROR(MATCH($C$4&amp;"#"&amp;($J$9+264),mv_key,0),""))</f>
        <v/>
      </c>
    </row>
    <row r="275">
      <c r="B275" s="49" t="str">
        <f>IF($J275="","",INDEX('Mouvements'!$A$5:$A$5004,$J275))</f>
        <v/>
      </c>
      <c r="C275" s="50" t="str">
        <f>IF($J275="","",INDEX('Mouvements'!$B$5:$B$5004,$J275))</f>
        <v/>
      </c>
      <c r="D275" s="50" t="str">
        <f>IF($J275="","",IF(INDEX('Mouvements'!$B$5:$B$5004,$J275)="Entrée",INDEX('Mouvements'!$E$5:$E$5004,$J275),""))</f>
        <v/>
      </c>
      <c r="E275" s="50" t="str">
        <f>IF($J275="","",IF(INDEX('Mouvements'!$B$5:$B$5004,$J275)="Sortie",INDEX('Mouvements'!$E$5:$E$5004,$J275),""))</f>
        <v/>
      </c>
      <c r="F275" s="50" t="str">
        <f>IF($J275="","",INDEX('Mouvements'!$K$5:$K$5004,$J275))</f>
        <v/>
      </c>
      <c r="G275" s="50" t="str">
        <f>IF($J275="","",INDEX('Mouvements'!$G$5:$G$5004,$J275)&amp;"")</f>
        <v/>
      </c>
      <c r="H275" s="50" t="str">
        <f>IF($J275="","",INDEX('Mouvements'!$H$5:$H$5004,$J275)&amp;"")</f>
        <v/>
      </c>
      <c r="I275" s="50" t="str">
        <f>IF($J275="","",INDEX('Mouvements'!$I$5:$I$5004,$J275)&amp;"")</f>
        <v/>
      </c>
      <c r="J275" t="str">
        <f>IF($C$4="","",IFERROR(MATCH($C$4&amp;"#"&amp;($J$9+265),mv_key,0),""))</f>
        <v/>
      </c>
    </row>
    <row r="276">
      <c r="B276" s="49" t="str">
        <f>IF($J276="","",INDEX('Mouvements'!$A$5:$A$5004,$J276))</f>
        <v/>
      </c>
      <c r="C276" s="50" t="str">
        <f>IF($J276="","",INDEX('Mouvements'!$B$5:$B$5004,$J276))</f>
        <v/>
      </c>
      <c r="D276" s="50" t="str">
        <f>IF($J276="","",IF(INDEX('Mouvements'!$B$5:$B$5004,$J276)="Entrée",INDEX('Mouvements'!$E$5:$E$5004,$J276),""))</f>
        <v/>
      </c>
      <c r="E276" s="50" t="str">
        <f>IF($J276="","",IF(INDEX('Mouvements'!$B$5:$B$5004,$J276)="Sortie",INDEX('Mouvements'!$E$5:$E$5004,$J276),""))</f>
        <v/>
      </c>
      <c r="F276" s="50" t="str">
        <f>IF($J276="","",INDEX('Mouvements'!$K$5:$K$5004,$J276))</f>
        <v/>
      </c>
      <c r="G276" s="50" t="str">
        <f>IF($J276="","",INDEX('Mouvements'!$G$5:$G$5004,$J276)&amp;"")</f>
        <v/>
      </c>
      <c r="H276" s="50" t="str">
        <f>IF($J276="","",INDEX('Mouvements'!$H$5:$H$5004,$J276)&amp;"")</f>
        <v/>
      </c>
      <c r="I276" s="50" t="str">
        <f>IF($J276="","",INDEX('Mouvements'!$I$5:$I$5004,$J276)&amp;"")</f>
        <v/>
      </c>
      <c r="J276" t="str">
        <f>IF($C$4="","",IFERROR(MATCH($C$4&amp;"#"&amp;($J$9+266),mv_key,0),""))</f>
        <v/>
      </c>
    </row>
    <row r="277">
      <c r="B277" s="49" t="str">
        <f>IF($J277="","",INDEX('Mouvements'!$A$5:$A$5004,$J277))</f>
        <v/>
      </c>
      <c r="C277" s="50" t="str">
        <f>IF($J277="","",INDEX('Mouvements'!$B$5:$B$5004,$J277))</f>
        <v/>
      </c>
      <c r="D277" s="50" t="str">
        <f>IF($J277="","",IF(INDEX('Mouvements'!$B$5:$B$5004,$J277)="Entrée",INDEX('Mouvements'!$E$5:$E$5004,$J277),""))</f>
        <v/>
      </c>
      <c r="E277" s="50" t="str">
        <f>IF($J277="","",IF(INDEX('Mouvements'!$B$5:$B$5004,$J277)="Sortie",INDEX('Mouvements'!$E$5:$E$5004,$J277),""))</f>
        <v/>
      </c>
      <c r="F277" s="50" t="str">
        <f>IF($J277="","",INDEX('Mouvements'!$K$5:$K$5004,$J277))</f>
        <v/>
      </c>
      <c r="G277" s="50" t="str">
        <f>IF($J277="","",INDEX('Mouvements'!$G$5:$G$5004,$J277)&amp;"")</f>
        <v/>
      </c>
      <c r="H277" s="50" t="str">
        <f>IF($J277="","",INDEX('Mouvements'!$H$5:$H$5004,$J277)&amp;"")</f>
        <v/>
      </c>
      <c r="I277" s="50" t="str">
        <f>IF($J277="","",INDEX('Mouvements'!$I$5:$I$5004,$J277)&amp;"")</f>
        <v/>
      </c>
      <c r="J277" t="str">
        <f>IF($C$4="","",IFERROR(MATCH($C$4&amp;"#"&amp;($J$9+267),mv_key,0),""))</f>
        <v/>
      </c>
    </row>
    <row r="278">
      <c r="B278" s="49" t="str">
        <f>IF($J278="","",INDEX('Mouvements'!$A$5:$A$5004,$J278))</f>
        <v/>
      </c>
      <c r="C278" s="50" t="str">
        <f>IF($J278="","",INDEX('Mouvements'!$B$5:$B$5004,$J278))</f>
        <v/>
      </c>
      <c r="D278" s="50" t="str">
        <f>IF($J278="","",IF(INDEX('Mouvements'!$B$5:$B$5004,$J278)="Entrée",INDEX('Mouvements'!$E$5:$E$5004,$J278),""))</f>
        <v/>
      </c>
      <c r="E278" s="50" t="str">
        <f>IF($J278="","",IF(INDEX('Mouvements'!$B$5:$B$5004,$J278)="Sortie",INDEX('Mouvements'!$E$5:$E$5004,$J278),""))</f>
        <v/>
      </c>
      <c r="F278" s="50" t="str">
        <f>IF($J278="","",INDEX('Mouvements'!$K$5:$K$5004,$J278))</f>
        <v/>
      </c>
      <c r="G278" s="50" t="str">
        <f>IF($J278="","",INDEX('Mouvements'!$G$5:$G$5004,$J278)&amp;"")</f>
        <v/>
      </c>
      <c r="H278" s="50" t="str">
        <f>IF($J278="","",INDEX('Mouvements'!$H$5:$H$5004,$J278)&amp;"")</f>
        <v/>
      </c>
      <c r="I278" s="50" t="str">
        <f>IF($J278="","",INDEX('Mouvements'!$I$5:$I$5004,$J278)&amp;"")</f>
        <v/>
      </c>
      <c r="J278" t="str">
        <f>IF($C$4="","",IFERROR(MATCH($C$4&amp;"#"&amp;($J$9+268),mv_key,0),""))</f>
        <v/>
      </c>
    </row>
    <row r="279">
      <c r="B279" s="49" t="str">
        <f>IF($J279="","",INDEX('Mouvements'!$A$5:$A$5004,$J279))</f>
        <v/>
      </c>
      <c r="C279" s="50" t="str">
        <f>IF($J279="","",INDEX('Mouvements'!$B$5:$B$5004,$J279))</f>
        <v/>
      </c>
      <c r="D279" s="50" t="str">
        <f>IF($J279="","",IF(INDEX('Mouvements'!$B$5:$B$5004,$J279)="Entrée",INDEX('Mouvements'!$E$5:$E$5004,$J279),""))</f>
        <v/>
      </c>
      <c r="E279" s="50" t="str">
        <f>IF($J279="","",IF(INDEX('Mouvements'!$B$5:$B$5004,$J279)="Sortie",INDEX('Mouvements'!$E$5:$E$5004,$J279),""))</f>
        <v/>
      </c>
      <c r="F279" s="50" t="str">
        <f>IF($J279="","",INDEX('Mouvements'!$K$5:$K$5004,$J279))</f>
        <v/>
      </c>
      <c r="G279" s="50" t="str">
        <f>IF($J279="","",INDEX('Mouvements'!$G$5:$G$5004,$J279)&amp;"")</f>
        <v/>
      </c>
      <c r="H279" s="50" t="str">
        <f>IF($J279="","",INDEX('Mouvements'!$H$5:$H$5004,$J279)&amp;"")</f>
        <v/>
      </c>
      <c r="I279" s="50" t="str">
        <f>IF($J279="","",INDEX('Mouvements'!$I$5:$I$5004,$J279)&amp;"")</f>
        <v/>
      </c>
      <c r="J279" t="str">
        <f>IF($C$4="","",IFERROR(MATCH($C$4&amp;"#"&amp;($J$9+269),mv_key,0),""))</f>
        <v/>
      </c>
    </row>
    <row r="280">
      <c r="B280" s="49" t="str">
        <f>IF($J280="","",INDEX('Mouvements'!$A$5:$A$5004,$J280))</f>
        <v/>
      </c>
      <c r="C280" s="50" t="str">
        <f>IF($J280="","",INDEX('Mouvements'!$B$5:$B$5004,$J280))</f>
        <v/>
      </c>
      <c r="D280" s="50" t="str">
        <f>IF($J280="","",IF(INDEX('Mouvements'!$B$5:$B$5004,$J280)="Entrée",INDEX('Mouvements'!$E$5:$E$5004,$J280),""))</f>
        <v/>
      </c>
      <c r="E280" s="50" t="str">
        <f>IF($J280="","",IF(INDEX('Mouvements'!$B$5:$B$5004,$J280)="Sortie",INDEX('Mouvements'!$E$5:$E$5004,$J280),""))</f>
        <v/>
      </c>
      <c r="F280" s="50" t="str">
        <f>IF($J280="","",INDEX('Mouvements'!$K$5:$K$5004,$J280))</f>
        <v/>
      </c>
      <c r="G280" s="50" t="str">
        <f>IF($J280="","",INDEX('Mouvements'!$G$5:$G$5004,$J280)&amp;"")</f>
        <v/>
      </c>
      <c r="H280" s="50" t="str">
        <f>IF($J280="","",INDEX('Mouvements'!$H$5:$H$5004,$J280)&amp;"")</f>
        <v/>
      </c>
      <c r="I280" s="50" t="str">
        <f>IF($J280="","",INDEX('Mouvements'!$I$5:$I$5004,$J280)&amp;"")</f>
        <v/>
      </c>
      <c r="J280" t="str">
        <f>IF($C$4="","",IFERROR(MATCH($C$4&amp;"#"&amp;($J$9+270),mv_key,0),""))</f>
        <v/>
      </c>
    </row>
    <row r="281">
      <c r="B281" s="49" t="str">
        <f>IF($J281="","",INDEX('Mouvements'!$A$5:$A$5004,$J281))</f>
        <v/>
      </c>
      <c r="C281" s="50" t="str">
        <f>IF($J281="","",INDEX('Mouvements'!$B$5:$B$5004,$J281))</f>
        <v/>
      </c>
      <c r="D281" s="50" t="str">
        <f>IF($J281="","",IF(INDEX('Mouvements'!$B$5:$B$5004,$J281)="Entrée",INDEX('Mouvements'!$E$5:$E$5004,$J281),""))</f>
        <v/>
      </c>
      <c r="E281" s="50" t="str">
        <f>IF($J281="","",IF(INDEX('Mouvements'!$B$5:$B$5004,$J281)="Sortie",INDEX('Mouvements'!$E$5:$E$5004,$J281),""))</f>
        <v/>
      </c>
      <c r="F281" s="50" t="str">
        <f>IF($J281="","",INDEX('Mouvements'!$K$5:$K$5004,$J281))</f>
        <v/>
      </c>
      <c r="G281" s="50" t="str">
        <f>IF($J281="","",INDEX('Mouvements'!$G$5:$G$5004,$J281)&amp;"")</f>
        <v/>
      </c>
      <c r="H281" s="50" t="str">
        <f>IF($J281="","",INDEX('Mouvements'!$H$5:$H$5004,$J281)&amp;"")</f>
        <v/>
      </c>
      <c r="I281" s="50" t="str">
        <f>IF($J281="","",INDEX('Mouvements'!$I$5:$I$5004,$J281)&amp;"")</f>
        <v/>
      </c>
      <c r="J281" t="str">
        <f>IF($C$4="","",IFERROR(MATCH($C$4&amp;"#"&amp;($J$9+271),mv_key,0),""))</f>
        <v/>
      </c>
    </row>
    <row r="282">
      <c r="B282" s="49" t="str">
        <f>IF($J282="","",INDEX('Mouvements'!$A$5:$A$5004,$J282))</f>
        <v/>
      </c>
      <c r="C282" s="50" t="str">
        <f>IF($J282="","",INDEX('Mouvements'!$B$5:$B$5004,$J282))</f>
        <v/>
      </c>
      <c r="D282" s="50" t="str">
        <f>IF($J282="","",IF(INDEX('Mouvements'!$B$5:$B$5004,$J282)="Entrée",INDEX('Mouvements'!$E$5:$E$5004,$J282),""))</f>
        <v/>
      </c>
      <c r="E282" s="50" t="str">
        <f>IF($J282="","",IF(INDEX('Mouvements'!$B$5:$B$5004,$J282)="Sortie",INDEX('Mouvements'!$E$5:$E$5004,$J282),""))</f>
        <v/>
      </c>
      <c r="F282" s="50" t="str">
        <f>IF($J282="","",INDEX('Mouvements'!$K$5:$K$5004,$J282))</f>
        <v/>
      </c>
      <c r="G282" s="50" t="str">
        <f>IF($J282="","",INDEX('Mouvements'!$G$5:$G$5004,$J282)&amp;"")</f>
        <v/>
      </c>
      <c r="H282" s="50" t="str">
        <f>IF($J282="","",INDEX('Mouvements'!$H$5:$H$5004,$J282)&amp;"")</f>
        <v/>
      </c>
      <c r="I282" s="50" t="str">
        <f>IF($J282="","",INDEX('Mouvements'!$I$5:$I$5004,$J282)&amp;"")</f>
        <v/>
      </c>
      <c r="J282" t="str">
        <f>IF($C$4="","",IFERROR(MATCH($C$4&amp;"#"&amp;($J$9+272),mv_key,0),""))</f>
        <v/>
      </c>
    </row>
    <row r="283">
      <c r="B283" s="49" t="str">
        <f>IF($J283="","",INDEX('Mouvements'!$A$5:$A$5004,$J283))</f>
        <v/>
      </c>
      <c r="C283" s="50" t="str">
        <f>IF($J283="","",INDEX('Mouvements'!$B$5:$B$5004,$J283))</f>
        <v/>
      </c>
      <c r="D283" s="50" t="str">
        <f>IF($J283="","",IF(INDEX('Mouvements'!$B$5:$B$5004,$J283)="Entrée",INDEX('Mouvements'!$E$5:$E$5004,$J283),""))</f>
        <v/>
      </c>
      <c r="E283" s="50" t="str">
        <f>IF($J283="","",IF(INDEX('Mouvements'!$B$5:$B$5004,$J283)="Sortie",INDEX('Mouvements'!$E$5:$E$5004,$J283),""))</f>
        <v/>
      </c>
      <c r="F283" s="50" t="str">
        <f>IF($J283="","",INDEX('Mouvements'!$K$5:$K$5004,$J283))</f>
        <v/>
      </c>
      <c r="G283" s="50" t="str">
        <f>IF($J283="","",INDEX('Mouvements'!$G$5:$G$5004,$J283)&amp;"")</f>
        <v/>
      </c>
      <c r="H283" s="50" t="str">
        <f>IF($J283="","",INDEX('Mouvements'!$H$5:$H$5004,$J283)&amp;"")</f>
        <v/>
      </c>
      <c r="I283" s="50" t="str">
        <f>IF($J283="","",INDEX('Mouvements'!$I$5:$I$5004,$J283)&amp;"")</f>
        <v/>
      </c>
      <c r="J283" t="str">
        <f>IF($C$4="","",IFERROR(MATCH($C$4&amp;"#"&amp;($J$9+273),mv_key,0),""))</f>
        <v/>
      </c>
    </row>
    <row r="284">
      <c r="B284" s="49" t="str">
        <f>IF($J284="","",INDEX('Mouvements'!$A$5:$A$5004,$J284))</f>
        <v/>
      </c>
      <c r="C284" s="50" t="str">
        <f>IF($J284="","",INDEX('Mouvements'!$B$5:$B$5004,$J284))</f>
        <v/>
      </c>
      <c r="D284" s="50" t="str">
        <f>IF($J284="","",IF(INDEX('Mouvements'!$B$5:$B$5004,$J284)="Entrée",INDEX('Mouvements'!$E$5:$E$5004,$J284),""))</f>
        <v/>
      </c>
      <c r="E284" s="50" t="str">
        <f>IF($J284="","",IF(INDEX('Mouvements'!$B$5:$B$5004,$J284)="Sortie",INDEX('Mouvements'!$E$5:$E$5004,$J284),""))</f>
        <v/>
      </c>
      <c r="F284" s="50" t="str">
        <f>IF($J284="","",INDEX('Mouvements'!$K$5:$K$5004,$J284))</f>
        <v/>
      </c>
      <c r="G284" s="50" t="str">
        <f>IF($J284="","",INDEX('Mouvements'!$G$5:$G$5004,$J284)&amp;"")</f>
        <v/>
      </c>
      <c r="H284" s="50" t="str">
        <f>IF($J284="","",INDEX('Mouvements'!$H$5:$H$5004,$J284)&amp;"")</f>
        <v/>
      </c>
      <c r="I284" s="50" t="str">
        <f>IF($J284="","",INDEX('Mouvements'!$I$5:$I$5004,$J284)&amp;"")</f>
        <v/>
      </c>
      <c r="J284" t="str">
        <f>IF($C$4="","",IFERROR(MATCH($C$4&amp;"#"&amp;($J$9+274),mv_key,0),""))</f>
        <v/>
      </c>
    </row>
    <row r="285">
      <c r="B285" s="49" t="str">
        <f>IF($J285="","",INDEX('Mouvements'!$A$5:$A$5004,$J285))</f>
        <v/>
      </c>
      <c r="C285" s="50" t="str">
        <f>IF($J285="","",INDEX('Mouvements'!$B$5:$B$5004,$J285))</f>
        <v/>
      </c>
      <c r="D285" s="50" t="str">
        <f>IF($J285="","",IF(INDEX('Mouvements'!$B$5:$B$5004,$J285)="Entrée",INDEX('Mouvements'!$E$5:$E$5004,$J285),""))</f>
        <v/>
      </c>
      <c r="E285" s="50" t="str">
        <f>IF($J285="","",IF(INDEX('Mouvements'!$B$5:$B$5004,$J285)="Sortie",INDEX('Mouvements'!$E$5:$E$5004,$J285),""))</f>
        <v/>
      </c>
      <c r="F285" s="50" t="str">
        <f>IF($J285="","",INDEX('Mouvements'!$K$5:$K$5004,$J285))</f>
        <v/>
      </c>
      <c r="G285" s="50" t="str">
        <f>IF($J285="","",INDEX('Mouvements'!$G$5:$G$5004,$J285)&amp;"")</f>
        <v/>
      </c>
      <c r="H285" s="50" t="str">
        <f>IF($J285="","",INDEX('Mouvements'!$H$5:$H$5004,$J285)&amp;"")</f>
        <v/>
      </c>
      <c r="I285" s="50" t="str">
        <f>IF($J285="","",INDEX('Mouvements'!$I$5:$I$5004,$J285)&amp;"")</f>
        <v/>
      </c>
      <c r="J285" t="str">
        <f>IF($C$4="","",IFERROR(MATCH($C$4&amp;"#"&amp;($J$9+275),mv_key,0),""))</f>
        <v/>
      </c>
    </row>
    <row r="286">
      <c r="B286" s="49" t="str">
        <f>IF($J286="","",INDEX('Mouvements'!$A$5:$A$5004,$J286))</f>
        <v/>
      </c>
      <c r="C286" s="50" t="str">
        <f>IF($J286="","",INDEX('Mouvements'!$B$5:$B$5004,$J286))</f>
        <v/>
      </c>
      <c r="D286" s="50" t="str">
        <f>IF($J286="","",IF(INDEX('Mouvements'!$B$5:$B$5004,$J286)="Entrée",INDEX('Mouvements'!$E$5:$E$5004,$J286),""))</f>
        <v/>
      </c>
      <c r="E286" s="50" t="str">
        <f>IF($J286="","",IF(INDEX('Mouvements'!$B$5:$B$5004,$J286)="Sortie",INDEX('Mouvements'!$E$5:$E$5004,$J286),""))</f>
        <v/>
      </c>
      <c r="F286" s="50" t="str">
        <f>IF($J286="","",INDEX('Mouvements'!$K$5:$K$5004,$J286))</f>
        <v/>
      </c>
      <c r="G286" s="50" t="str">
        <f>IF($J286="","",INDEX('Mouvements'!$G$5:$G$5004,$J286)&amp;"")</f>
        <v/>
      </c>
      <c r="H286" s="50" t="str">
        <f>IF($J286="","",INDEX('Mouvements'!$H$5:$H$5004,$J286)&amp;"")</f>
        <v/>
      </c>
      <c r="I286" s="50" t="str">
        <f>IF($J286="","",INDEX('Mouvements'!$I$5:$I$5004,$J286)&amp;"")</f>
        <v/>
      </c>
      <c r="J286" t="str">
        <f>IF($C$4="","",IFERROR(MATCH($C$4&amp;"#"&amp;($J$9+276),mv_key,0),""))</f>
        <v/>
      </c>
    </row>
    <row r="287">
      <c r="B287" s="49" t="str">
        <f>IF($J287="","",INDEX('Mouvements'!$A$5:$A$5004,$J287))</f>
        <v/>
      </c>
      <c r="C287" s="50" t="str">
        <f>IF($J287="","",INDEX('Mouvements'!$B$5:$B$5004,$J287))</f>
        <v/>
      </c>
      <c r="D287" s="50" t="str">
        <f>IF($J287="","",IF(INDEX('Mouvements'!$B$5:$B$5004,$J287)="Entrée",INDEX('Mouvements'!$E$5:$E$5004,$J287),""))</f>
        <v/>
      </c>
      <c r="E287" s="50" t="str">
        <f>IF($J287="","",IF(INDEX('Mouvements'!$B$5:$B$5004,$J287)="Sortie",INDEX('Mouvements'!$E$5:$E$5004,$J287),""))</f>
        <v/>
      </c>
      <c r="F287" s="50" t="str">
        <f>IF($J287="","",INDEX('Mouvements'!$K$5:$K$5004,$J287))</f>
        <v/>
      </c>
      <c r="G287" s="50" t="str">
        <f>IF($J287="","",INDEX('Mouvements'!$G$5:$G$5004,$J287)&amp;"")</f>
        <v/>
      </c>
      <c r="H287" s="50" t="str">
        <f>IF($J287="","",INDEX('Mouvements'!$H$5:$H$5004,$J287)&amp;"")</f>
        <v/>
      </c>
      <c r="I287" s="50" t="str">
        <f>IF($J287="","",INDEX('Mouvements'!$I$5:$I$5004,$J287)&amp;"")</f>
        <v/>
      </c>
      <c r="J287" t="str">
        <f>IF($C$4="","",IFERROR(MATCH($C$4&amp;"#"&amp;($J$9+277),mv_key,0),""))</f>
        <v/>
      </c>
    </row>
    <row r="288">
      <c r="B288" s="49" t="str">
        <f>IF($J288="","",INDEX('Mouvements'!$A$5:$A$5004,$J288))</f>
        <v/>
      </c>
      <c r="C288" s="50" t="str">
        <f>IF($J288="","",INDEX('Mouvements'!$B$5:$B$5004,$J288))</f>
        <v/>
      </c>
      <c r="D288" s="50" t="str">
        <f>IF($J288="","",IF(INDEX('Mouvements'!$B$5:$B$5004,$J288)="Entrée",INDEX('Mouvements'!$E$5:$E$5004,$J288),""))</f>
        <v/>
      </c>
      <c r="E288" s="50" t="str">
        <f>IF($J288="","",IF(INDEX('Mouvements'!$B$5:$B$5004,$J288)="Sortie",INDEX('Mouvements'!$E$5:$E$5004,$J288),""))</f>
        <v/>
      </c>
      <c r="F288" s="50" t="str">
        <f>IF($J288="","",INDEX('Mouvements'!$K$5:$K$5004,$J288))</f>
        <v/>
      </c>
      <c r="G288" s="50" t="str">
        <f>IF($J288="","",INDEX('Mouvements'!$G$5:$G$5004,$J288)&amp;"")</f>
        <v/>
      </c>
      <c r="H288" s="50" t="str">
        <f>IF($J288="","",INDEX('Mouvements'!$H$5:$H$5004,$J288)&amp;"")</f>
        <v/>
      </c>
      <c r="I288" s="50" t="str">
        <f>IF($J288="","",INDEX('Mouvements'!$I$5:$I$5004,$J288)&amp;"")</f>
        <v/>
      </c>
      <c r="J288" t="str">
        <f>IF($C$4="","",IFERROR(MATCH($C$4&amp;"#"&amp;($J$9+278),mv_key,0),""))</f>
        <v/>
      </c>
    </row>
    <row r="289">
      <c r="B289" s="49" t="str">
        <f>IF($J289="","",INDEX('Mouvements'!$A$5:$A$5004,$J289))</f>
        <v/>
      </c>
      <c r="C289" s="50" t="str">
        <f>IF($J289="","",INDEX('Mouvements'!$B$5:$B$5004,$J289))</f>
        <v/>
      </c>
      <c r="D289" s="50" t="str">
        <f>IF($J289="","",IF(INDEX('Mouvements'!$B$5:$B$5004,$J289)="Entrée",INDEX('Mouvements'!$E$5:$E$5004,$J289),""))</f>
        <v/>
      </c>
      <c r="E289" s="50" t="str">
        <f>IF($J289="","",IF(INDEX('Mouvements'!$B$5:$B$5004,$J289)="Sortie",INDEX('Mouvements'!$E$5:$E$5004,$J289),""))</f>
        <v/>
      </c>
      <c r="F289" s="50" t="str">
        <f>IF($J289="","",INDEX('Mouvements'!$K$5:$K$5004,$J289))</f>
        <v/>
      </c>
      <c r="G289" s="50" t="str">
        <f>IF($J289="","",INDEX('Mouvements'!$G$5:$G$5004,$J289)&amp;"")</f>
        <v/>
      </c>
      <c r="H289" s="50" t="str">
        <f>IF($J289="","",INDEX('Mouvements'!$H$5:$H$5004,$J289)&amp;"")</f>
        <v/>
      </c>
      <c r="I289" s="50" t="str">
        <f>IF($J289="","",INDEX('Mouvements'!$I$5:$I$5004,$J289)&amp;"")</f>
        <v/>
      </c>
      <c r="J289" t="str">
        <f>IF($C$4="","",IFERROR(MATCH($C$4&amp;"#"&amp;($J$9+279),mv_key,0),""))</f>
        <v/>
      </c>
    </row>
    <row r="290">
      <c r="B290" s="49" t="str">
        <f>IF($J290="","",INDEX('Mouvements'!$A$5:$A$5004,$J290))</f>
        <v/>
      </c>
      <c r="C290" s="50" t="str">
        <f>IF($J290="","",INDEX('Mouvements'!$B$5:$B$5004,$J290))</f>
        <v/>
      </c>
      <c r="D290" s="50" t="str">
        <f>IF($J290="","",IF(INDEX('Mouvements'!$B$5:$B$5004,$J290)="Entrée",INDEX('Mouvements'!$E$5:$E$5004,$J290),""))</f>
        <v/>
      </c>
      <c r="E290" s="50" t="str">
        <f>IF($J290="","",IF(INDEX('Mouvements'!$B$5:$B$5004,$J290)="Sortie",INDEX('Mouvements'!$E$5:$E$5004,$J290),""))</f>
        <v/>
      </c>
      <c r="F290" s="50" t="str">
        <f>IF($J290="","",INDEX('Mouvements'!$K$5:$K$5004,$J290))</f>
        <v/>
      </c>
      <c r="G290" s="50" t="str">
        <f>IF($J290="","",INDEX('Mouvements'!$G$5:$G$5004,$J290)&amp;"")</f>
        <v/>
      </c>
      <c r="H290" s="50" t="str">
        <f>IF($J290="","",INDEX('Mouvements'!$H$5:$H$5004,$J290)&amp;"")</f>
        <v/>
      </c>
      <c r="I290" s="50" t="str">
        <f>IF($J290="","",INDEX('Mouvements'!$I$5:$I$5004,$J290)&amp;"")</f>
        <v/>
      </c>
      <c r="J290" t="str">
        <f>IF($C$4="","",IFERROR(MATCH($C$4&amp;"#"&amp;($J$9+280),mv_key,0),""))</f>
        <v/>
      </c>
    </row>
    <row r="291">
      <c r="B291" s="49" t="str">
        <f>IF($J291="","",INDEX('Mouvements'!$A$5:$A$5004,$J291))</f>
        <v/>
      </c>
      <c r="C291" s="50" t="str">
        <f>IF($J291="","",INDEX('Mouvements'!$B$5:$B$5004,$J291))</f>
        <v/>
      </c>
      <c r="D291" s="50" t="str">
        <f>IF($J291="","",IF(INDEX('Mouvements'!$B$5:$B$5004,$J291)="Entrée",INDEX('Mouvements'!$E$5:$E$5004,$J291),""))</f>
        <v/>
      </c>
      <c r="E291" s="50" t="str">
        <f>IF($J291="","",IF(INDEX('Mouvements'!$B$5:$B$5004,$J291)="Sortie",INDEX('Mouvements'!$E$5:$E$5004,$J291),""))</f>
        <v/>
      </c>
      <c r="F291" s="50" t="str">
        <f>IF($J291="","",INDEX('Mouvements'!$K$5:$K$5004,$J291))</f>
        <v/>
      </c>
      <c r="G291" s="50" t="str">
        <f>IF($J291="","",INDEX('Mouvements'!$G$5:$G$5004,$J291)&amp;"")</f>
        <v/>
      </c>
      <c r="H291" s="50" t="str">
        <f>IF($J291="","",INDEX('Mouvements'!$H$5:$H$5004,$J291)&amp;"")</f>
        <v/>
      </c>
      <c r="I291" s="50" t="str">
        <f>IF($J291="","",INDEX('Mouvements'!$I$5:$I$5004,$J291)&amp;"")</f>
        <v/>
      </c>
      <c r="J291" t="str">
        <f>IF($C$4="","",IFERROR(MATCH($C$4&amp;"#"&amp;($J$9+281),mv_key,0),""))</f>
        <v/>
      </c>
    </row>
    <row r="292">
      <c r="B292" s="49" t="str">
        <f>IF($J292="","",INDEX('Mouvements'!$A$5:$A$5004,$J292))</f>
        <v/>
      </c>
      <c r="C292" s="50" t="str">
        <f>IF($J292="","",INDEX('Mouvements'!$B$5:$B$5004,$J292))</f>
        <v/>
      </c>
      <c r="D292" s="50" t="str">
        <f>IF($J292="","",IF(INDEX('Mouvements'!$B$5:$B$5004,$J292)="Entrée",INDEX('Mouvements'!$E$5:$E$5004,$J292),""))</f>
        <v/>
      </c>
      <c r="E292" s="50" t="str">
        <f>IF($J292="","",IF(INDEX('Mouvements'!$B$5:$B$5004,$J292)="Sortie",INDEX('Mouvements'!$E$5:$E$5004,$J292),""))</f>
        <v/>
      </c>
      <c r="F292" s="50" t="str">
        <f>IF($J292="","",INDEX('Mouvements'!$K$5:$K$5004,$J292))</f>
        <v/>
      </c>
      <c r="G292" s="50" t="str">
        <f>IF($J292="","",INDEX('Mouvements'!$G$5:$G$5004,$J292)&amp;"")</f>
        <v/>
      </c>
      <c r="H292" s="50" t="str">
        <f>IF($J292="","",INDEX('Mouvements'!$H$5:$H$5004,$J292)&amp;"")</f>
        <v/>
      </c>
      <c r="I292" s="50" t="str">
        <f>IF($J292="","",INDEX('Mouvements'!$I$5:$I$5004,$J292)&amp;"")</f>
        <v/>
      </c>
      <c r="J292" t="str">
        <f>IF($C$4="","",IFERROR(MATCH($C$4&amp;"#"&amp;($J$9+282),mv_key,0),""))</f>
        <v/>
      </c>
    </row>
    <row r="293">
      <c r="B293" s="49" t="str">
        <f>IF($J293="","",INDEX('Mouvements'!$A$5:$A$5004,$J293))</f>
        <v/>
      </c>
      <c r="C293" s="50" t="str">
        <f>IF($J293="","",INDEX('Mouvements'!$B$5:$B$5004,$J293))</f>
        <v/>
      </c>
      <c r="D293" s="50" t="str">
        <f>IF($J293="","",IF(INDEX('Mouvements'!$B$5:$B$5004,$J293)="Entrée",INDEX('Mouvements'!$E$5:$E$5004,$J293),""))</f>
        <v/>
      </c>
      <c r="E293" s="50" t="str">
        <f>IF($J293="","",IF(INDEX('Mouvements'!$B$5:$B$5004,$J293)="Sortie",INDEX('Mouvements'!$E$5:$E$5004,$J293),""))</f>
        <v/>
      </c>
      <c r="F293" s="50" t="str">
        <f>IF($J293="","",INDEX('Mouvements'!$K$5:$K$5004,$J293))</f>
        <v/>
      </c>
      <c r="G293" s="50" t="str">
        <f>IF($J293="","",INDEX('Mouvements'!$G$5:$G$5004,$J293)&amp;"")</f>
        <v/>
      </c>
      <c r="H293" s="50" t="str">
        <f>IF($J293="","",INDEX('Mouvements'!$H$5:$H$5004,$J293)&amp;"")</f>
        <v/>
      </c>
      <c r="I293" s="50" t="str">
        <f>IF($J293="","",INDEX('Mouvements'!$I$5:$I$5004,$J293)&amp;"")</f>
        <v/>
      </c>
      <c r="J293" t="str">
        <f>IF($C$4="","",IFERROR(MATCH($C$4&amp;"#"&amp;($J$9+283),mv_key,0),""))</f>
        <v/>
      </c>
    </row>
    <row r="294">
      <c r="B294" s="49" t="str">
        <f>IF($J294="","",INDEX('Mouvements'!$A$5:$A$5004,$J294))</f>
        <v/>
      </c>
      <c r="C294" s="50" t="str">
        <f>IF($J294="","",INDEX('Mouvements'!$B$5:$B$5004,$J294))</f>
        <v/>
      </c>
      <c r="D294" s="50" t="str">
        <f>IF($J294="","",IF(INDEX('Mouvements'!$B$5:$B$5004,$J294)="Entrée",INDEX('Mouvements'!$E$5:$E$5004,$J294),""))</f>
        <v/>
      </c>
      <c r="E294" s="50" t="str">
        <f>IF($J294="","",IF(INDEX('Mouvements'!$B$5:$B$5004,$J294)="Sortie",INDEX('Mouvements'!$E$5:$E$5004,$J294),""))</f>
        <v/>
      </c>
      <c r="F294" s="50" t="str">
        <f>IF($J294="","",INDEX('Mouvements'!$K$5:$K$5004,$J294))</f>
        <v/>
      </c>
      <c r="G294" s="50" t="str">
        <f>IF($J294="","",INDEX('Mouvements'!$G$5:$G$5004,$J294)&amp;"")</f>
        <v/>
      </c>
      <c r="H294" s="50" t="str">
        <f>IF($J294="","",INDEX('Mouvements'!$H$5:$H$5004,$J294)&amp;"")</f>
        <v/>
      </c>
      <c r="I294" s="50" t="str">
        <f>IF($J294="","",INDEX('Mouvements'!$I$5:$I$5004,$J294)&amp;"")</f>
        <v/>
      </c>
      <c r="J294" t="str">
        <f>IF($C$4="","",IFERROR(MATCH($C$4&amp;"#"&amp;($J$9+284),mv_key,0),""))</f>
        <v/>
      </c>
    </row>
    <row r="295">
      <c r="B295" s="49" t="str">
        <f>IF($J295="","",INDEX('Mouvements'!$A$5:$A$5004,$J295))</f>
        <v/>
      </c>
      <c r="C295" s="50" t="str">
        <f>IF($J295="","",INDEX('Mouvements'!$B$5:$B$5004,$J295))</f>
        <v/>
      </c>
      <c r="D295" s="50" t="str">
        <f>IF($J295="","",IF(INDEX('Mouvements'!$B$5:$B$5004,$J295)="Entrée",INDEX('Mouvements'!$E$5:$E$5004,$J295),""))</f>
        <v/>
      </c>
      <c r="E295" s="50" t="str">
        <f>IF($J295="","",IF(INDEX('Mouvements'!$B$5:$B$5004,$J295)="Sortie",INDEX('Mouvements'!$E$5:$E$5004,$J295),""))</f>
        <v/>
      </c>
      <c r="F295" s="50" t="str">
        <f>IF($J295="","",INDEX('Mouvements'!$K$5:$K$5004,$J295))</f>
        <v/>
      </c>
      <c r="G295" s="50" t="str">
        <f>IF($J295="","",INDEX('Mouvements'!$G$5:$G$5004,$J295)&amp;"")</f>
        <v/>
      </c>
      <c r="H295" s="50" t="str">
        <f>IF($J295="","",INDEX('Mouvements'!$H$5:$H$5004,$J295)&amp;"")</f>
        <v/>
      </c>
      <c r="I295" s="50" t="str">
        <f>IF($J295="","",INDEX('Mouvements'!$I$5:$I$5004,$J295)&amp;"")</f>
        <v/>
      </c>
      <c r="J295" t="str">
        <f>IF($C$4="","",IFERROR(MATCH($C$4&amp;"#"&amp;($J$9+285),mv_key,0),""))</f>
        <v/>
      </c>
    </row>
    <row r="296">
      <c r="B296" s="49" t="str">
        <f>IF($J296="","",INDEX('Mouvements'!$A$5:$A$5004,$J296))</f>
        <v/>
      </c>
      <c r="C296" s="50" t="str">
        <f>IF($J296="","",INDEX('Mouvements'!$B$5:$B$5004,$J296))</f>
        <v/>
      </c>
      <c r="D296" s="50" t="str">
        <f>IF($J296="","",IF(INDEX('Mouvements'!$B$5:$B$5004,$J296)="Entrée",INDEX('Mouvements'!$E$5:$E$5004,$J296),""))</f>
        <v/>
      </c>
      <c r="E296" s="50" t="str">
        <f>IF($J296="","",IF(INDEX('Mouvements'!$B$5:$B$5004,$J296)="Sortie",INDEX('Mouvements'!$E$5:$E$5004,$J296),""))</f>
        <v/>
      </c>
      <c r="F296" s="50" t="str">
        <f>IF($J296="","",INDEX('Mouvements'!$K$5:$K$5004,$J296))</f>
        <v/>
      </c>
      <c r="G296" s="50" t="str">
        <f>IF($J296="","",INDEX('Mouvements'!$G$5:$G$5004,$J296)&amp;"")</f>
        <v/>
      </c>
      <c r="H296" s="50" t="str">
        <f>IF($J296="","",INDEX('Mouvements'!$H$5:$H$5004,$J296)&amp;"")</f>
        <v/>
      </c>
      <c r="I296" s="50" t="str">
        <f>IF($J296="","",INDEX('Mouvements'!$I$5:$I$5004,$J296)&amp;"")</f>
        <v/>
      </c>
      <c r="J296" t="str">
        <f>IF($C$4="","",IFERROR(MATCH($C$4&amp;"#"&amp;($J$9+286),mv_key,0),""))</f>
        <v/>
      </c>
    </row>
    <row r="297">
      <c r="B297" s="49" t="str">
        <f>IF($J297="","",INDEX('Mouvements'!$A$5:$A$5004,$J297))</f>
        <v/>
      </c>
      <c r="C297" s="50" t="str">
        <f>IF($J297="","",INDEX('Mouvements'!$B$5:$B$5004,$J297))</f>
        <v/>
      </c>
      <c r="D297" s="50" t="str">
        <f>IF($J297="","",IF(INDEX('Mouvements'!$B$5:$B$5004,$J297)="Entrée",INDEX('Mouvements'!$E$5:$E$5004,$J297),""))</f>
        <v/>
      </c>
      <c r="E297" s="50" t="str">
        <f>IF($J297="","",IF(INDEX('Mouvements'!$B$5:$B$5004,$J297)="Sortie",INDEX('Mouvements'!$E$5:$E$5004,$J297),""))</f>
        <v/>
      </c>
      <c r="F297" s="50" t="str">
        <f>IF($J297="","",INDEX('Mouvements'!$K$5:$K$5004,$J297))</f>
        <v/>
      </c>
      <c r="G297" s="50" t="str">
        <f>IF($J297="","",INDEX('Mouvements'!$G$5:$G$5004,$J297)&amp;"")</f>
        <v/>
      </c>
      <c r="H297" s="50" t="str">
        <f>IF($J297="","",INDEX('Mouvements'!$H$5:$H$5004,$J297)&amp;"")</f>
        <v/>
      </c>
      <c r="I297" s="50" t="str">
        <f>IF($J297="","",INDEX('Mouvements'!$I$5:$I$5004,$J297)&amp;"")</f>
        <v/>
      </c>
      <c r="J297" t="str">
        <f>IF($C$4="","",IFERROR(MATCH($C$4&amp;"#"&amp;($J$9+287),mv_key,0),""))</f>
        <v/>
      </c>
    </row>
    <row r="298">
      <c r="B298" s="49" t="str">
        <f>IF($J298="","",INDEX('Mouvements'!$A$5:$A$5004,$J298))</f>
        <v/>
      </c>
      <c r="C298" s="50" t="str">
        <f>IF($J298="","",INDEX('Mouvements'!$B$5:$B$5004,$J298))</f>
        <v/>
      </c>
      <c r="D298" s="50" t="str">
        <f>IF($J298="","",IF(INDEX('Mouvements'!$B$5:$B$5004,$J298)="Entrée",INDEX('Mouvements'!$E$5:$E$5004,$J298),""))</f>
        <v/>
      </c>
      <c r="E298" s="50" t="str">
        <f>IF($J298="","",IF(INDEX('Mouvements'!$B$5:$B$5004,$J298)="Sortie",INDEX('Mouvements'!$E$5:$E$5004,$J298),""))</f>
        <v/>
      </c>
      <c r="F298" s="50" t="str">
        <f>IF($J298="","",INDEX('Mouvements'!$K$5:$K$5004,$J298))</f>
        <v/>
      </c>
      <c r="G298" s="50" t="str">
        <f>IF($J298="","",INDEX('Mouvements'!$G$5:$G$5004,$J298)&amp;"")</f>
        <v/>
      </c>
      <c r="H298" s="50" t="str">
        <f>IF($J298="","",INDEX('Mouvements'!$H$5:$H$5004,$J298)&amp;"")</f>
        <v/>
      </c>
      <c r="I298" s="50" t="str">
        <f>IF($J298="","",INDEX('Mouvements'!$I$5:$I$5004,$J298)&amp;"")</f>
        <v/>
      </c>
      <c r="J298" t="str">
        <f>IF($C$4="","",IFERROR(MATCH($C$4&amp;"#"&amp;($J$9+288),mv_key,0),""))</f>
        <v/>
      </c>
    </row>
    <row r="299">
      <c r="B299" s="49" t="str">
        <f>IF($J299="","",INDEX('Mouvements'!$A$5:$A$5004,$J299))</f>
        <v/>
      </c>
      <c r="C299" s="50" t="str">
        <f>IF($J299="","",INDEX('Mouvements'!$B$5:$B$5004,$J299))</f>
        <v/>
      </c>
      <c r="D299" s="50" t="str">
        <f>IF($J299="","",IF(INDEX('Mouvements'!$B$5:$B$5004,$J299)="Entrée",INDEX('Mouvements'!$E$5:$E$5004,$J299),""))</f>
        <v/>
      </c>
      <c r="E299" s="50" t="str">
        <f>IF($J299="","",IF(INDEX('Mouvements'!$B$5:$B$5004,$J299)="Sortie",INDEX('Mouvements'!$E$5:$E$5004,$J299),""))</f>
        <v/>
      </c>
      <c r="F299" s="50" t="str">
        <f>IF($J299="","",INDEX('Mouvements'!$K$5:$K$5004,$J299))</f>
        <v/>
      </c>
      <c r="G299" s="50" t="str">
        <f>IF($J299="","",INDEX('Mouvements'!$G$5:$G$5004,$J299)&amp;"")</f>
        <v/>
      </c>
      <c r="H299" s="50" t="str">
        <f>IF($J299="","",INDEX('Mouvements'!$H$5:$H$5004,$J299)&amp;"")</f>
        <v/>
      </c>
      <c r="I299" s="50" t="str">
        <f>IF($J299="","",INDEX('Mouvements'!$I$5:$I$5004,$J299)&amp;"")</f>
        <v/>
      </c>
      <c r="J299" t="str">
        <f>IF($C$4="","",IFERROR(MATCH($C$4&amp;"#"&amp;($J$9+289),mv_key,0),""))</f>
        <v/>
      </c>
    </row>
    <row r="300">
      <c r="B300" s="49" t="str">
        <f>IF($J300="","",INDEX('Mouvements'!$A$5:$A$5004,$J300))</f>
        <v/>
      </c>
      <c r="C300" s="50" t="str">
        <f>IF($J300="","",INDEX('Mouvements'!$B$5:$B$5004,$J300))</f>
        <v/>
      </c>
      <c r="D300" s="50" t="str">
        <f>IF($J300="","",IF(INDEX('Mouvements'!$B$5:$B$5004,$J300)="Entrée",INDEX('Mouvements'!$E$5:$E$5004,$J300),""))</f>
        <v/>
      </c>
      <c r="E300" s="50" t="str">
        <f>IF($J300="","",IF(INDEX('Mouvements'!$B$5:$B$5004,$J300)="Sortie",INDEX('Mouvements'!$E$5:$E$5004,$J300),""))</f>
        <v/>
      </c>
      <c r="F300" s="50" t="str">
        <f>IF($J300="","",INDEX('Mouvements'!$K$5:$K$5004,$J300))</f>
        <v/>
      </c>
      <c r="G300" s="50" t="str">
        <f>IF($J300="","",INDEX('Mouvements'!$G$5:$G$5004,$J300)&amp;"")</f>
        <v/>
      </c>
      <c r="H300" s="50" t="str">
        <f>IF($J300="","",INDEX('Mouvements'!$H$5:$H$5004,$J300)&amp;"")</f>
        <v/>
      </c>
      <c r="I300" s="50" t="str">
        <f>IF($J300="","",INDEX('Mouvements'!$I$5:$I$5004,$J300)&amp;"")</f>
        <v/>
      </c>
      <c r="J300" t="str">
        <f>IF($C$4="","",IFERROR(MATCH($C$4&amp;"#"&amp;($J$9+290),mv_key,0),""))</f>
        <v/>
      </c>
    </row>
    <row r="301">
      <c r="B301" s="49" t="str">
        <f>IF($J301="","",INDEX('Mouvements'!$A$5:$A$5004,$J301))</f>
        <v/>
      </c>
      <c r="C301" s="50" t="str">
        <f>IF($J301="","",INDEX('Mouvements'!$B$5:$B$5004,$J301))</f>
        <v/>
      </c>
      <c r="D301" s="50" t="str">
        <f>IF($J301="","",IF(INDEX('Mouvements'!$B$5:$B$5004,$J301)="Entrée",INDEX('Mouvements'!$E$5:$E$5004,$J301),""))</f>
        <v/>
      </c>
      <c r="E301" s="50" t="str">
        <f>IF($J301="","",IF(INDEX('Mouvements'!$B$5:$B$5004,$J301)="Sortie",INDEX('Mouvements'!$E$5:$E$5004,$J301),""))</f>
        <v/>
      </c>
      <c r="F301" s="50" t="str">
        <f>IF($J301="","",INDEX('Mouvements'!$K$5:$K$5004,$J301))</f>
        <v/>
      </c>
      <c r="G301" s="50" t="str">
        <f>IF($J301="","",INDEX('Mouvements'!$G$5:$G$5004,$J301)&amp;"")</f>
        <v/>
      </c>
      <c r="H301" s="50" t="str">
        <f>IF($J301="","",INDEX('Mouvements'!$H$5:$H$5004,$J301)&amp;"")</f>
        <v/>
      </c>
      <c r="I301" s="50" t="str">
        <f>IF($J301="","",INDEX('Mouvements'!$I$5:$I$5004,$J301)&amp;"")</f>
        <v/>
      </c>
      <c r="J301" t="str">
        <f>IF($C$4="","",IFERROR(MATCH($C$4&amp;"#"&amp;($J$9+291),mv_key,0),""))</f>
        <v/>
      </c>
    </row>
    <row r="302">
      <c r="B302" s="49" t="str">
        <f>IF($J302="","",INDEX('Mouvements'!$A$5:$A$5004,$J302))</f>
        <v/>
      </c>
      <c r="C302" s="50" t="str">
        <f>IF($J302="","",INDEX('Mouvements'!$B$5:$B$5004,$J302))</f>
        <v/>
      </c>
      <c r="D302" s="50" t="str">
        <f>IF($J302="","",IF(INDEX('Mouvements'!$B$5:$B$5004,$J302)="Entrée",INDEX('Mouvements'!$E$5:$E$5004,$J302),""))</f>
        <v/>
      </c>
      <c r="E302" s="50" t="str">
        <f>IF($J302="","",IF(INDEX('Mouvements'!$B$5:$B$5004,$J302)="Sortie",INDEX('Mouvements'!$E$5:$E$5004,$J302),""))</f>
        <v/>
      </c>
      <c r="F302" s="50" t="str">
        <f>IF($J302="","",INDEX('Mouvements'!$K$5:$K$5004,$J302))</f>
        <v/>
      </c>
      <c r="G302" s="50" t="str">
        <f>IF($J302="","",INDEX('Mouvements'!$G$5:$G$5004,$J302)&amp;"")</f>
        <v/>
      </c>
      <c r="H302" s="50" t="str">
        <f>IF($J302="","",INDEX('Mouvements'!$H$5:$H$5004,$J302)&amp;"")</f>
        <v/>
      </c>
      <c r="I302" s="50" t="str">
        <f>IF($J302="","",INDEX('Mouvements'!$I$5:$I$5004,$J302)&amp;"")</f>
        <v/>
      </c>
      <c r="J302" t="str">
        <f>IF($C$4="","",IFERROR(MATCH($C$4&amp;"#"&amp;($J$9+292),mv_key,0),""))</f>
        <v/>
      </c>
    </row>
    <row r="303">
      <c r="B303" s="49" t="str">
        <f>IF($J303="","",INDEX('Mouvements'!$A$5:$A$5004,$J303))</f>
        <v/>
      </c>
      <c r="C303" s="50" t="str">
        <f>IF($J303="","",INDEX('Mouvements'!$B$5:$B$5004,$J303))</f>
        <v/>
      </c>
      <c r="D303" s="50" t="str">
        <f>IF($J303="","",IF(INDEX('Mouvements'!$B$5:$B$5004,$J303)="Entrée",INDEX('Mouvements'!$E$5:$E$5004,$J303),""))</f>
        <v/>
      </c>
      <c r="E303" s="50" t="str">
        <f>IF($J303="","",IF(INDEX('Mouvements'!$B$5:$B$5004,$J303)="Sortie",INDEX('Mouvements'!$E$5:$E$5004,$J303),""))</f>
        <v/>
      </c>
      <c r="F303" s="50" t="str">
        <f>IF($J303="","",INDEX('Mouvements'!$K$5:$K$5004,$J303))</f>
        <v/>
      </c>
      <c r="G303" s="50" t="str">
        <f>IF($J303="","",INDEX('Mouvements'!$G$5:$G$5004,$J303)&amp;"")</f>
        <v/>
      </c>
      <c r="H303" s="50" t="str">
        <f>IF($J303="","",INDEX('Mouvements'!$H$5:$H$5004,$J303)&amp;"")</f>
        <v/>
      </c>
      <c r="I303" s="50" t="str">
        <f>IF($J303="","",INDEX('Mouvements'!$I$5:$I$5004,$J303)&amp;"")</f>
        <v/>
      </c>
      <c r="J303" t="str">
        <f>IF($C$4="","",IFERROR(MATCH($C$4&amp;"#"&amp;($J$9+293),mv_key,0),""))</f>
        <v/>
      </c>
    </row>
    <row r="304">
      <c r="B304" s="49" t="str">
        <f>IF($J304="","",INDEX('Mouvements'!$A$5:$A$5004,$J304))</f>
        <v/>
      </c>
      <c r="C304" s="50" t="str">
        <f>IF($J304="","",INDEX('Mouvements'!$B$5:$B$5004,$J304))</f>
        <v/>
      </c>
      <c r="D304" s="50" t="str">
        <f>IF($J304="","",IF(INDEX('Mouvements'!$B$5:$B$5004,$J304)="Entrée",INDEX('Mouvements'!$E$5:$E$5004,$J304),""))</f>
        <v/>
      </c>
      <c r="E304" s="50" t="str">
        <f>IF($J304="","",IF(INDEX('Mouvements'!$B$5:$B$5004,$J304)="Sortie",INDEX('Mouvements'!$E$5:$E$5004,$J304),""))</f>
        <v/>
      </c>
      <c r="F304" s="50" t="str">
        <f>IF($J304="","",INDEX('Mouvements'!$K$5:$K$5004,$J304))</f>
        <v/>
      </c>
      <c r="G304" s="50" t="str">
        <f>IF($J304="","",INDEX('Mouvements'!$G$5:$G$5004,$J304)&amp;"")</f>
        <v/>
      </c>
      <c r="H304" s="50" t="str">
        <f>IF($J304="","",INDEX('Mouvements'!$H$5:$H$5004,$J304)&amp;"")</f>
        <v/>
      </c>
      <c r="I304" s="50" t="str">
        <f>IF($J304="","",INDEX('Mouvements'!$I$5:$I$5004,$J304)&amp;"")</f>
        <v/>
      </c>
      <c r="J304" t="str">
        <f>IF($C$4="","",IFERROR(MATCH($C$4&amp;"#"&amp;($J$9+294),mv_key,0),""))</f>
        <v/>
      </c>
    </row>
    <row r="305">
      <c r="B305" s="49" t="str">
        <f>IF($J305="","",INDEX('Mouvements'!$A$5:$A$5004,$J305))</f>
        <v/>
      </c>
      <c r="C305" s="50" t="str">
        <f>IF($J305="","",INDEX('Mouvements'!$B$5:$B$5004,$J305))</f>
        <v/>
      </c>
      <c r="D305" s="50" t="str">
        <f>IF($J305="","",IF(INDEX('Mouvements'!$B$5:$B$5004,$J305)="Entrée",INDEX('Mouvements'!$E$5:$E$5004,$J305),""))</f>
        <v/>
      </c>
      <c r="E305" s="50" t="str">
        <f>IF($J305="","",IF(INDEX('Mouvements'!$B$5:$B$5004,$J305)="Sortie",INDEX('Mouvements'!$E$5:$E$5004,$J305),""))</f>
        <v/>
      </c>
      <c r="F305" s="50" t="str">
        <f>IF($J305="","",INDEX('Mouvements'!$K$5:$K$5004,$J305))</f>
        <v/>
      </c>
      <c r="G305" s="50" t="str">
        <f>IF($J305="","",INDEX('Mouvements'!$G$5:$G$5004,$J305)&amp;"")</f>
        <v/>
      </c>
      <c r="H305" s="50" t="str">
        <f>IF($J305="","",INDEX('Mouvements'!$H$5:$H$5004,$J305)&amp;"")</f>
        <v/>
      </c>
      <c r="I305" s="50" t="str">
        <f>IF($J305="","",INDEX('Mouvements'!$I$5:$I$5004,$J305)&amp;"")</f>
        <v/>
      </c>
      <c r="J305" t="str">
        <f>IF($C$4="","",IFERROR(MATCH($C$4&amp;"#"&amp;($J$9+295),mv_key,0),""))</f>
        <v/>
      </c>
    </row>
    <row r="306">
      <c r="B306" s="49" t="str">
        <f>IF($J306="","",INDEX('Mouvements'!$A$5:$A$5004,$J306))</f>
        <v/>
      </c>
      <c r="C306" s="50" t="str">
        <f>IF($J306="","",INDEX('Mouvements'!$B$5:$B$5004,$J306))</f>
        <v/>
      </c>
      <c r="D306" s="50" t="str">
        <f>IF($J306="","",IF(INDEX('Mouvements'!$B$5:$B$5004,$J306)="Entrée",INDEX('Mouvements'!$E$5:$E$5004,$J306),""))</f>
        <v/>
      </c>
      <c r="E306" s="50" t="str">
        <f>IF($J306="","",IF(INDEX('Mouvements'!$B$5:$B$5004,$J306)="Sortie",INDEX('Mouvements'!$E$5:$E$5004,$J306),""))</f>
        <v/>
      </c>
      <c r="F306" s="50" t="str">
        <f>IF($J306="","",INDEX('Mouvements'!$K$5:$K$5004,$J306))</f>
        <v/>
      </c>
      <c r="G306" s="50" t="str">
        <f>IF($J306="","",INDEX('Mouvements'!$G$5:$G$5004,$J306)&amp;"")</f>
        <v/>
      </c>
      <c r="H306" s="50" t="str">
        <f>IF($J306="","",INDEX('Mouvements'!$H$5:$H$5004,$J306)&amp;"")</f>
        <v/>
      </c>
      <c r="I306" s="50" t="str">
        <f>IF($J306="","",INDEX('Mouvements'!$I$5:$I$5004,$J306)&amp;"")</f>
        <v/>
      </c>
      <c r="J306" t="str">
        <f>IF($C$4="","",IFERROR(MATCH($C$4&amp;"#"&amp;($J$9+296),mv_key,0),""))</f>
        <v/>
      </c>
    </row>
    <row r="307">
      <c r="B307" s="49" t="str">
        <f>IF($J307="","",INDEX('Mouvements'!$A$5:$A$5004,$J307))</f>
        <v/>
      </c>
      <c r="C307" s="50" t="str">
        <f>IF($J307="","",INDEX('Mouvements'!$B$5:$B$5004,$J307))</f>
        <v/>
      </c>
      <c r="D307" s="50" t="str">
        <f>IF($J307="","",IF(INDEX('Mouvements'!$B$5:$B$5004,$J307)="Entrée",INDEX('Mouvements'!$E$5:$E$5004,$J307),""))</f>
        <v/>
      </c>
      <c r="E307" s="50" t="str">
        <f>IF($J307="","",IF(INDEX('Mouvements'!$B$5:$B$5004,$J307)="Sortie",INDEX('Mouvements'!$E$5:$E$5004,$J307),""))</f>
        <v/>
      </c>
      <c r="F307" s="50" t="str">
        <f>IF($J307="","",INDEX('Mouvements'!$K$5:$K$5004,$J307))</f>
        <v/>
      </c>
      <c r="G307" s="50" t="str">
        <f>IF($J307="","",INDEX('Mouvements'!$G$5:$G$5004,$J307)&amp;"")</f>
        <v/>
      </c>
      <c r="H307" s="50" t="str">
        <f>IF($J307="","",INDEX('Mouvements'!$H$5:$H$5004,$J307)&amp;"")</f>
        <v/>
      </c>
      <c r="I307" s="50" t="str">
        <f>IF($J307="","",INDEX('Mouvements'!$I$5:$I$5004,$J307)&amp;"")</f>
        <v/>
      </c>
      <c r="J307" t="str">
        <f>IF($C$4="","",IFERROR(MATCH($C$4&amp;"#"&amp;($J$9+297),mv_key,0),""))</f>
        <v/>
      </c>
    </row>
    <row r="308">
      <c r="B308" s="49" t="str">
        <f>IF($J308="","",INDEX('Mouvements'!$A$5:$A$5004,$J308))</f>
        <v/>
      </c>
      <c r="C308" s="50" t="str">
        <f>IF($J308="","",INDEX('Mouvements'!$B$5:$B$5004,$J308))</f>
        <v/>
      </c>
      <c r="D308" s="50" t="str">
        <f>IF($J308="","",IF(INDEX('Mouvements'!$B$5:$B$5004,$J308)="Entrée",INDEX('Mouvements'!$E$5:$E$5004,$J308),""))</f>
        <v/>
      </c>
      <c r="E308" s="50" t="str">
        <f>IF($J308="","",IF(INDEX('Mouvements'!$B$5:$B$5004,$J308)="Sortie",INDEX('Mouvements'!$E$5:$E$5004,$J308),""))</f>
        <v/>
      </c>
      <c r="F308" s="50" t="str">
        <f>IF($J308="","",INDEX('Mouvements'!$K$5:$K$5004,$J308))</f>
        <v/>
      </c>
      <c r="G308" s="50" t="str">
        <f>IF($J308="","",INDEX('Mouvements'!$G$5:$G$5004,$J308)&amp;"")</f>
        <v/>
      </c>
      <c r="H308" s="50" t="str">
        <f>IF($J308="","",INDEX('Mouvements'!$H$5:$H$5004,$J308)&amp;"")</f>
        <v/>
      </c>
      <c r="I308" s="50" t="str">
        <f>IF($J308="","",INDEX('Mouvements'!$I$5:$I$5004,$J308)&amp;"")</f>
        <v/>
      </c>
      <c r="J308" t="str">
        <f>IF($C$4="","",IFERROR(MATCH($C$4&amp;"#"&amp;($J$9+298),mv_key,0),""))</f>
        <v/>
      </c>
    </row>
    <row r="309">
      <c r="B309" s="49" t="str">
        <f>IF($J309="","",INDEX('Mouvements'!$A$5:$A$5004,$J309))</f>
        <v/>
      </c>
      <c r="C309" s="50" t="str">
        <f>IF($J309="","",INDEX('Mouvements'!$B$5:$B$5004,$J309))</f>
        <v/>
      </c>
      <c r="D309" s="50" t="str">
        <f>IF($J309="","",IF(INDEX('Mouvements'!$B$5:$B$5004,$J309)="Entrée",INDEX('Mouvements'!$E$5:$E$5004,$J309),""))</f>
        <v/>
      </c>
      <c r="E309" s="50" t="str">
        <f>IF($J309="","",IF(INDEX('Mouvements'!$B$5:$B$5004,$J309)="Sortie",INDEX('Mouvements'!$E$5:$E$5004,$J309),""))</f>
        <v/>
      </c>
      <c r="F309" s="50" t="str">
        <f>IF($J309="","",INDEX('Mouvements'!$K$5:$K$5004,$J309))</f>
        <v/>
      </c>
      <c r="G309" s="50" t="str">
        <f>IF($J309="","",INDEX('Mouvements'!$G$5:$G$5004,$J309)&amp;"")</f>
        <v/>
      </c>
      <c r="H309" s="50" t="str">
        <f>IF($J309="","",INDEX('Mouvements'!$H$5:$H$5004,$J309)&amp;"")</f>
        <v/>
      </c>
      <c r="I309" s="50" t="str">
        <f>IF($J309="","",INDEX('Mouvements'!$I$5:$I$5004,$J309)&amp;"")</f>
        <v/>
      </c>
      <c r="J309" t="str">
        <f>IF($C$4="","",IFERROR(MATCH($C$4&amp;"#"&amp;($J$9+299),mv_key,0),""))</f>
        <v/>
      </c>
    </row>
    <row r="310">
      <c r="B310" s="49" t="str">
        <f>IF($J310="","",INDEX('Mouvements'!$A$5:$A$5004,$J310))</f>
        <v/>
      </c>
      <c r="C310" s="50" t="str">
        <f>IF($J310="","",INDEX('Mouvements'!$B$5:$B$5004,$J310))</f>
        <v/>
      </c>
      <c r="D310" s="50" t="str">
        <f>IF($J310="","",IF(INDEX('Mouvements'!$B$5:$B$5004,$J310)="Entrée",INDEX('Mouvements'!$E$5:$E$5004,$J310),""))</f>
        <v/>
      </c>
      <c r="E310" s="50" t="str">
        <f>IF($J310="","",IF(INDEX('Mouvements'!$B$5:$B$5004,$J310)="Sortie",INDEX('Mouvements'!$E$5:$E$5004,$J310),""))</f>
        <v/>
      </c>
      <c r="F310" s="50" t="str">
        <f>IF($J310="","",INDEX('Mouvements'!$K$5:$K$5004,$J310))</f>
        <v/>
      </c>
      <c r="G310" s="50" t="str">
        <f>IF($J310="","",INDEX('Mouvements'!$G$5:$G$5004,$J310)&amp;"")</f>
        <v/>
      </c>
      <c r="H310" s="50" t="str">
        <f>IF($J310="","",INDEX('Mouvements'!$H$5:$H$5004,$J310)&amp;"")</f>
        <v/>
      </c>
      <c r="I310" s="50" t="str">
        <f>IF($J310="","",INDEX('Mouvements'!$I$5:$I$5004,$J310)&amp;"")</f>
        <v/>
      </c>
      <c r="J310" t="str">
        <f>IF($C$4="","",IFERROR(MATCH($C$4&amp;"#"&amp;($J$9+300),mv_key,0),""))</f>
        <v/>
      </c>
    </row>
  </sheetData>
  <mergeCells count="5">
    <mergeCell ref="C8:F8"/>
    <mergeCell ref="C6:F6"/>
    <mergeCell ref="C7:F7"/>
    <mergeCell ref="C5:F5"/>
    <mergeCell ref="C4:D4"/>
  </mergeCells>
  <conditionalFormatting sqref="H7">
    <cfRule type="expression" priority="1" dxfId="3">
      <formula>$H7="Rupture"</formula>
    </cfRule>
    <cfRule type="expression" priority="2" dxfId="4">
      <formula>$H7="À commander"</formula>
    </cfRule>
    <cfRule type="expression" priority="3" dxfId="5">
      <formula>$H7="OK"</formula>
    </cfRule>
  </conditionalFormatting>
  <conditionalFormatting sqref="C11:C310">
    <cfRule type="expression" priority="4" dxfId="7">
      <formula>$C11="Entrée"</formula>
    </cfRule>
    <cfRule type="expression" priority="5" dxfId="8">
      <formula>$C11="Sortie"</formula>
    </cfRule>
  </conditionalFormatting>
  <conditionalFormatting sqref="F11:F310">
    <cfRule type="expression" priority="6" dxfId="8">
      <formula>AND(ISNUMBER($F11),$F11&lt;0)</formula>
    </cfRule>
  </conditionalFormatting>
  <dataValidations count="1">
    <dataValidation sqref="C4" showDropDown="0" showInputMessage="1" showErrorMessage="1" allowBlank="1" errorTitle="Référence" error="Cette référence n'existe pas dans la feuille « Articles »." promptTitle="Référence" prompt="Choisissez l'article à afficher." type="list">
      <formula1>=art_ref</formula1>
    </dataValidation>
  </dataValidations>
  <pageMargins left="0.75" right="0.75" top="1" bottom="1" header="0.5" footer="0.5"/>
  <pageSetup orientation="portrait" paperSize="9" fitToHeight="0" fitToWidth="1"/>
</worksheet>
</file>

<file path=xl/worksheets/sheet6.xml><?xml version="1.0" encoding="utf-8"?>
<worksheet xmlns="http://schemas.openxmlformats.org/spreadsheetml/2006/main">
  <sheetPr>
    <tabColor rgb="FF4D7C0F"/>
    <outlinePr summaryBelow="1" summaryRight="1"/>
    <pageSetUpPr fitToPage="1"/>
  </sheetPr>
  <dimension ref="A1:H1004"/>
  <sheetViews>
    <sheetView showGridLines="1" tabSelected="0" zoomScale="10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8" customWidth="1" min="3" max="3"/>
    <col width="12" customWidth="1" min="4" max="4"/>
    <col width="11" customWidth="1" min="5" max="5"/>
    <col width="11" customWidth="1" min="6" max="6"/>
    <col width="12" customWidth="1" min="7" max="7"/>
    <col width="15" customWidth="1" min="8" max="8"/>
  </cols>
  <sheetData>
    <row r="1" ht="26" customHeight="1">
      <c r="A1" s="32" t="inlineStr">
        <is>
          <t>État du stock par période</t>
        </is>
      </c>
      <c r="D1" s="20" t="inlineStr">
        <is>
          <t>Du</t>
        </is>
      </c>
      <c r="E1" s="51" t="n">
        <v>46296</v>
      </c>
      <c r="F1" s="20" t="inlineStr">
        <is>
          <t>Au</t>
        </is>
      </c>
      <c r="G1" s="51" t="n">
        <v>46326</v>
      </c>
      <c r="H1" s="52" t="str">
        <f>IF(G1&lt;E1,"La date de fin précède la date de début","")</f>
        <v/>
      </c>
    </row>
    <row r="2" ht="30" customHeight="1">
      <c r="A2" s="35" t="inlineStr">
        <is>
          <t>Saisissez la période dans les cases blanches. Chaque article affiche son stock au début, ses entrées, ses sorties et son stock à la fin.</t>
        </is>
      </c>
    </row>
    <row r="3">
      <c r="A3" s="42" t="inlineStr">
        <is>
          <t>Total</t>
        </is>
      </c>
      <c r="B3" s="47" t="str">
        <f>COUNTIF(A5:A1004,"?*")&amp;" article(s)"</f>
        <v>16 article(s)</v>
      </c>
      <c r="H3" s="28">
        <f>SUM(H5:H1004)</f>
        <v>4622.1</v>
      </c>
    </row>
    <row r="4" ht="32" customHeight="1">
      <c r="A4" s="36" t="inlineStr">
        <is>
          <t>Référence</t>
        </is>
      </c>
      <c r="B4" s="36" t="inlineStr">
        <is>
          <t>Désignation</t>
        </is>
      </c>
      <c r="C4" s="36" t="inlineStr">
        <is>
          <t>Unité</t>
        </is>
      </c>
      <c r="D4" s="36" t="inlineStr">
        <is>
          <t>Stock au début</t>
        </is>
      </c>
      <c r="E4" s="36" t="inlineStr">
        <is>
          <t>Entrées</t>
        </is>
      </c>
      <c r="F4" s="36" t="inlineStr">
        <is>
          <t>Sorties</t>
        </is>
      </c>
      <c r="G4" s="36" t="inlineStr">
        <is>
          <t>Stock à la fin</t>
        </is>
      </c>
      <c r="H4" s="36" t="str">
        <f>"Valeur à la fin ("&amp;p_currency&amp;")"</f>
        <v>Valeur à la fin (EUR)</v>
      </c>
    </row>
    <row r="5">
      <c r="A5" s="39" t="str">
        <f>IF('Articles'!A5="","",'Articles'!A5)</f>
        <v>VIS-M6-20</v>
      </c>
      <c r="B5" s="39" t="str">
        <f>IF(A5="","",'Articles'!B5&amp;"")</f>
        <v>Vis inox M6 x 20</v>
      </c>
      <c r="C5" s="39" t="str">
        <f>IF(A5="","",'Articles'!D5&amp;"")</f>
        <v>pièce</v>
      </c>
      <c r="D5" s="39">
        <f>IF(A5="","",ROUND(N('Articles'!H5)+SUMIFS(mv_qty,mv_ref,A5,mv_type,"Entrée",mv_date,"&lt;"&amp;$E$1)-SUMIFS(mv_qty,mv_ref,A5,mv_type,"Sortie",mv_date,"&lt;"&amp;$E$1),6))</f>
        <v>1434.0</v>
      </c>
      <c r="E5" s="39">
        <f>IF(A5="","",SUMIFS(mv_qty,mv_ref,A5,mv_type,"Entrée",mv_date,"&gt;="&amp;$E$1,mv_date,"&lt;="&amp;$G$1))</f>
        <v>3037.0</v>
      </c>
      <c r="F5" s="39">
        <f>IF(A5="","",SUMIFS(mv_qty,mv_ref,A5,mv_type,"Sortie",mv_date,"&gt;="&amp;$E$1,mv_date,"&lt;="&amp;$G$1))</f>
        <v>860.0</v>
      </c>
      <c r="G5" s="39">
        <f>IF(A5="","",ROUND(D5+E5-F5,6))</f>
        <v>3611.0</v>
      </c>
      <c r="H5" s="40">
        <f>IF(A5="","",G5*N('Articles'!G5))</f>
        <v>433.32</v>
      </c>
    </row>
    <row r="6">
      <c r="A6" s="39" t="str">
        <f>IF('Articles'!A6="","",'Articles'!A6)</f>
        <v>ECR-M6</v>
      </c>
      <c r="B6" s="39" t="str">
        <f>IF(A6="","",'Articles'!B6&amp;"")</f>
        <v>Écrou inox M6</v>
      </c>
      <c r="C6" s="39" t="str">
        <f>IF(A6="","",'Articles'!D6&amp;"")</f>
        <v>pièce</v>
      </c>
      <c r="D6" s="39">
        <f>IF(A6="","",ROUND(N('Articles'!H6)+SUMIFS(mv_qty,mv_ref,A6,mv_type,"Entrée",mv_date,"&lt;"&amp;$E$1)-SUMIFS(mv_qty,mv_ref,A6,mv_type,"Sortie",mv_date,"&lt;"&amp;$E$1),6))</f>
        <v>1963.0</v>
      </c>
      <c r="E6" s="39">
        <f>IF(A6="","",SUMIFS(mv_qty,mv_ref,A6,mv_type,"Entrée",mv_date,"&gt;="&amp;$E$1,mv_date,"&lt;="&amp;$G$1))</f>
        <v>0.0</v>
      </c>
      <c r="F6" s="39">
        <f>IF(A6="","",SUMIFS(mv_qty,mv_ref,A6,mv_type,"Sortie",mv_date,"&gt;="&amp;$E$1,mv_date,"&lt;="&amp;$G$1))</f>
        <v>1067.0</v>
      </c>
      <c r="G6" s="39">
        <f>IF(A6="","",ROUND(D6+E6-F6,6))</f>
        <v>896.0</v>
      </c>
      <c r="H6" s="40">
        <f>IF(A6="","",G6*N('Articles'!G6))</f>
        <v>44.8</v>
      </c>
    </row>
    <row r="7">
      <c r="A7" s="39" t="str">
        <f>IF('Articles'!A7="","",'Articles'!A7)</f>
        <v>RON-M6</v>
      </c>
      <c r="B7" s="39" t="str">
        <f>IF(A7="","",'Articles'!B7&amp;"")</f>
        <v>Rondelle plate M6</v>
      </c>
      <c r="C7" s="39" t="str">
        <f>IF(A7="","",'Articles'!D7&amp;"")</f>
        <v>pièce</v>
      </c>
      <c r="D7" s="39">
        <f>IF(A7="","",ROUND(N('Articles'!H7)+SUMIFS(mv_qty,mv_ref,A7,mv_type,"Entrée",mv_date,"&lt;"&amp;$E$1)-SUMIFS(mv_qty,mv_ref,A7,mv_type,"Sortie",mv_date,"&lt;"&amp;$E$1),6))</f>
        <v>3000.0</v>
      </c>
      <c r="E7" s="39">
        <f>IF(A7="","",SUMIFS(mv_qty,mv_ref,A7,mv_type,"Entrée",mv_date,"&gt;="&amp;$E$1,mv_date,"&lt;="&amp;$G$1))</f>
        <v>0.0</v>
      </c>
      <c r="F7" s="39">
        <f>IF(A7="","",SUMIFS(mv_qty,mv_ref,A7,mv_type,"Sortie",mv_date,"&gt;="&amp;$E$1,mv_date,"&lt;="&amp;$G$1))</f>
        <v>734.0</v>
      </c>
      <c r="G7" s="39">
        <f>IF(A7="","",ROUND(D7+E7-F7,6))</f>
        <v>2266.0</v>
      </c>
      <c r="H7" s="40">
        <f>IF(A7="","",G7*N('Articles'!G7))</f>
        <v>67.98</v>
      </c>
    </row>
    <row r="8">
      <c r="A8" s="39" t="str">
        <f>IF('Articles'!A8="","",'Articles'!A8)</f>
        <v>TOL-ACI-2</v>
      </c>
      <c r="B8" s="39" t="str">
        <f>IF(A8="","",'Articles'!B8&amp;"")</f>
        <v>Tôle acier 2 mm 1000 x 2000</v>
      </c>
      <c r="C8" s="39" t="str">
        <f>IF(A8="","",'Articles'!D8&amp;"")</f>
        <v>feuille</v>
      </c>
      <c r="D8" s="39">
        <f>IF(A8="","",ROUND(N('Articles'!H8)+SUMIFS(mv_qty,mv_ref,A8,mv_type,"Entrée",mv_date,"&lt;"&amp;$E$1)-SUMIFS(mv_qty,mv_ref,A8,mv_type,"Sortie",mv_date,"&lt;"&amp;$E$1),6))</f>
        <v>45.0</v>
      </c>
      <c r="E8" s="39">
        <f>IF(A8="","",SUMIFS(mv_qty,mv_ref,A8,mv_type,"Entrée",mv_date,"&gt;="&amp;$E$1,mv_date,"&lt;="&amp;$G$1))</f>
        <v>0.0</v>
      </c>
      <c r="F8" s="39">
        <f>IF(A8="","",SUMIFS(mv_qty,mv_ref,A8,mv_type,"Sortie",mv_date,"&gt;="&amp;$E$1,mv_date,"&lt;="&amp;$G$1))</f>
        <v>16.0</v>
      </c>
      <c r="G8" s="39">
        <f>IF(A8="","",ROUND(D8+E8-F8,6))</f>
        <v>29.0</v>
      </c>
      <c r="H8" s="40">
        <f>IF(A8="","",G8*N('Articles'!G8))</f>
        <v>1406.5</v>
      </c>
    </row>
    <row r="9">
      <c r="A9" s="39" t="str">
        <f>IF('Articles'!A9="","",'Articles'!A9)</f>
        <v>TUB-ACI-40</v>
      </c>
      <c r="B9" s="39" t="str">
        <f>IF(A9="","",'Articles'!B9&amp;"")</f>
        <v>Tube acier carré 40 x 40, 6 m</v>
      </c>
      <c r="C9" s="39" t="str">
        <f>IF(A9="","",'Articles'!D9&amp;"")</f>
        <v>barre</v>
      </c>
      <c r="D9" s="39">
        <f>IF(A9="","",ROUND(N('Articles'!H9)+SUMIFS(mv_qty,mv_ref,A9,mv_type,"Entrée",mv_date,"&lt;"&amp;$E$1)-SUMIFS(mv_qty,mv_ref,A9,mv_type,"Sortie",mv_date,"&lt;"&amp;$E$1),6))</f>
        <v>16.0</v>
      </c>
      <c r="E9" s="39">
        <f>IF(A9="","",SUMIFS(mv_qty,mv_ref,A9,mv_type,"Entrée",mv_date,"&gt;="&amp;$E$1,mv_date,"&lt;="&amp;$G$1))</f>
        <v>0.0</v>
      </c>
      <c r="F9" s="39">
        <f>IF(A9="","",SUMIFS(mv_qty,mv_ref,A9,mv_type,"Sortie",mv_date,"&gt;="&amp;$E$1,mv_date,"&lt;="&amp;$G$1))</f>
        <v>8.0</v>
      </c>
      <c r="G9" s="39">
        <f>IF(A9="","",ROUND(D9+E9-F9,6))</f>
        <v>8.0</v>
      </c>
      <c r="H9" s="40">
        <f>IF(A9="","",G9*N('Articles'!G9))</f>
        <v>249.6</v>
      </c>
    </row>
    <row r="10">
      <c r="A10" s="39" t="str">
        <f>IF('Articles'!A10="","",'Articles'!A10)</f>
        <v>ROU-6204</v>
      </c>
      <c r="B10" s="39" t="str">
        <f>IF(A10="","",'Articles'!B10&amp;"")</f>
        <v>Roulement à billes 6204 2RS</v>
      </c>
      <c r="C10" s="39" t="str">
        <f>IF(A10="","",'Articles'!D10&amp;"")</f>
        <v>pièce</v>
      </c>
      <c r="D10" s="39">
        <f>IF(A10="","",ROUND(N('Articles'!H10)+SUMIFS(mv_qty,mv_ref,A10,mv_type,"Entrée",mv_date,"&lt;"&amp;$E$1)-SUMIFS(mv_qty,mv_ref,A10,mv_type,"Sortie",mv_date,"&lt;"&amp;$E$1),6))</f>
        <v>150.0</v>
      </c>
      <c r="E10" s="39">
        <f>IF(A10="","",SUMIFS(mv_qty,mv_ref,A10,mv_type,"Entrée",mv_date,"&gt;="&amp;$E$1,mv_date,"&lt;="&amp;$G$1))</f>
        <v>0.0</v>
      </c>
      <c r="F10" s="39">
        <f>IF(A10="","",SUMIFS(mv_qty,mv_ref,A10,mv_type,"Sortie",mv_date,"&gt;="&amp;$E$1,mv_date,"&lt;="&amp;$G$1))</f>
        <v>41.0</v>
      </c>
      <c r="G10" s="39">
        <f>IF(A10="","",ROUND(D10+E10-F10,6))</f>
        <v>109.0</v>
      </c>
      <c r="H10" s="40">
        <f>IF(A10="","",G10*N('Articles'!G10))</f>
        <v>414.2</v>
      </c>
    </row>
    <row r="11">
      <c r="A11" s="39" t="str">
        <f>IF('Articles'!A11="","",'Articles'!A11)</f>
        <v>JOI-20-2</v>
      </c>
      <c r="B11" s="39" t="str">
        <f>IF(A11="","",'Articles'!B11&amp;"")</f>
        <v>Joint torique 20 x 2 NBR</v>
      </c>
      <c r="C11" s="39" t="str">
        <f>IF(A11="","",'Articles'!D11&amp;"")</f>
        <v>pièce</v>
      </c>
      <c r="D11" s="39">
        <f>IF(A11="","",ROUND(N('Articles'!H11)+SUMIFS(mv_qty,mv_ref,A11,mv_type,"Entrée",mv_date,"&lt;"&amp;$E$1)-SUMIFS(mv_qty,mv_ref,A11,mv_type,"Sortie",mv_date,"&lt;"&amp;$E$1),6))</f>
        <v>295.0</v>
      </c>
      <c r="E11" s="39">
        <f>IF(A11="","",SUMIFS(mv_qty,mv_ref,A11,mv_type,"Entrée",mv_date,"&gt;="&amp;$E$1,mv_date,"&lt;="&amp;$G$1))</f>
        <v>0.0</v>
      </c>
      <c r="F11" s="39">
        <f>IF(A11="","",SUMIFS(mv_qty,mv_ref,A11,mv_type,"Sortie",mv_date,"&gt;="&amp;$E$1,mv_date,"&lt;="&amp;$G$1))</f>
        <v>118.0</v>
      </c>
      <c r="G11" s="39">
        <f>IF(A11="","",ROUND(D11+E11-F11,6))</f>
        <v>177.0</v>
      </c>
      <c r="H11" s="40">
        <f>IF(A11="","",G11*N('Articles'!G11))</f>
        <v>61.95</v>
      </c>
    </row>
    <row r="12">
      <c r="A12" s="39" t="str">
        <f>IF('Articles'!A12="","",'Articles'!A12)</f>
        <v>HUI-COUP-5</v>
      </c>
      <c r="B12" s="39" t="str">
        <f>IF(A12="","",'Articles'!B12&amp;"")</f>
        <v>Huile de coupe soluble 5 L</v>
      </c>
      <c r="C12" s="39" t="str">
        <f>IF(A12="","",'Articles'!D12&amp;"")</f>
        <v>bidon</v>
      </c>
      <c r="D12" s="39">
        <f>IF(A12="","",ROUND(N('Articles'!H12)+SUMIFS(mv_qty,mv_ref,A12,mv_type,"Entrée",mv_date,"&lt;"&amp;$E$1)-SUMIFS(mv_qty,mv_ref,A12,mv_type,"Sortie",mv_date,"&lt;"&amp;$E$1),6))</f>
        <v>11.0</v>
      </c>
      <c r="E12" s="39">
        <f>IF(A12="","",SUMIFS(mv_qty,mv_ref,A12,mv_type,"Entrée",mv_date,"&gt;="&amp;$E$1,mv_date,"&lt;="&amp;$G$1))</f>
        <v>0.0</v>
      </c>
      <c r="F12" s="39">
        <f>IF(A12="","",SUMIFS(mv_qty,mv_ref,A12,mv_type,"Sortie",mv_date,"&gt;="&amp;$E$1,mv_date,"&lt;="&amp;$G$1))</f>
        <v>3.0</v>
      </c>
      <c r="G12" s="39">
        <f>IF(A12="","",ROUND(D12+E12-F12,6))</f>
        <v>8.0</v>
      </c>
      <c r="H12" s="40">
        <f>IF(A12="","",G12*N('Articles'!G12))</f>
        <v>216.0</v>
      </c>
    </row>
    <row r="13">
      <c r="A13" s="39" t="str">
        <f>IF('Articles'!A13="","",'Articles'!A13)</f>
        <v>DIS-125</v>
      </c>
      <c r="B13" s="39" t="str">
        <f>IF(A13="","",'Articles'!B13&amp;"")</f>
        <v>Disque à tronçonner 125 mm</v>
      </c>
      <c r="C13" s="39" t="str">
        <f>IF(A13="","",'Articles'!D13&amp;"")</f>
        <v>pièce</v>
      </c>
      <c r="D13" s="39">
        <f>IF(A13="","",ROUND(N('Articles'!H13)+SUMIFS(mv_qty,mv_ref,A13,mv_type,"Entrée",mv_date,"&lt;"&amp;$E$1)-SUMIFS(mv_qty,mv_ref,A13,mv_type,"Sortie",mv_date,"&lt;"&amp;$E$1),6))</f>
        <v>60.0</v>
      </c>
      <c r="E13" s="39">
        <f>IF(A13="","",SUMIFS(mv_qty,mv_ref,A13,mv_type,"Entrée",mv_date,"&gt;="&amp;$E$1,mv_date,"&lt;="&amp;$G$1))</f>
        <v>160.0</v>
      </c>
      <c r="F13" s="39">
        <f>IF(A13="","",SUMIFS(mv_qty,mv_ref,A13,mv_type,"Sortie",mv_date,"&gt;="&amp;$E$1,mv_date,"&lt;="&amp;$G$1))</f>
        <v>40.0</v>
      </c>
      <c r="G13" s="39">
        <f>IF(A13="","",ROUND(D13+E13-F13,6))</f>
        <v>180.0</v>
      </c>
      <c r="H13" s="40">
        <f>IF(A13="","",G13*N('Articles'!G13))</f>
        <v>342.0</v>
      </c>
    </row>
    <row r="14">
      <c r="A14" s="39" t="str">
        <f>IF('Articles'!A14="","",'Articles'!A14)</f>
        <v>FOR-HSS-8</v>
      </c>
      <c r="B14" s="39" t="str">
        <f>IF(A14="","",'Articles'!B14&amp;"")</f>
        <v>Foret HSS 8 mm</v>
      </c>
      <c r="C14" s="39" t="str">
        <f>IF(A14="","",'Articles'!D14&amp;"")</f>
        <v>pièce</v>
      </c>
      <c r="D14" s="39">
        <f>IF(A14="","",ROUND(N('Articles'!H14)+SUMIFS(mv_qty,mv_ref,A14,mv_type,"Entrée",mv_date,"&lt;"&amp;$E$1)-SUMIFS(mv_qty,mv_ref,A14,mv_type,"Sortie",mv_date,"&lt;"&amp;$E$1),6))</f>
        <v>40.0</v>
      </c>
      <c r="E14" s="39">
        <f>IF(A14="","",SUMIFS(mv_qty,mv_ref,A14,mv_type,"Entrée",mv_date,"&gt;="&amp;$E$1,mv_date,"&lt;="&amp;$G$1))</f>
        <v>0.0</v>
      </c>
      <c r="F14" s="39">
        <f>IF(A14="","",SUMIFS(mv_qty,mv_ref,A14,mv_type,"Sortie",mv_date,"&gt;="&amp;$E$1,mv_date,"&lt;="&amp;$G$1))</f>
        <v>40.0</v>
      </c>
      <c r="G14" s="39">
        <f>IF(A14="","",ROUND(D14+E14-F14,6))</f>
        <v>0.0</v>
      </c>
      <c r="H14" s="40">
        <f>IF(A14="","",G14*N('Articles'!G14))</f>
        <v>0.0</v>
      </c>
    </row>
    <row r="15">
      <c r="A15" s="39" t="str">
        <f>IF('Articles'!A15="","",'Articles'!A15)</f>
        <v>GAN-NIT</v>
      </c>
      <c r="B15" s="39" t="str">
        <f>IF(A15="","",'Articles'!B15&amp;"")</f>
        <v>Gants nitrile, boîte de 100</v>
      </c>
      <c r="C15" s="39" t="str">
        <f>IF(A15="","",'Articles'!D15&amp;"")</f>
        <v>boîte</v>
      </c>
      <c r="D15" s="39">
        <f>IF(A15="","",ROUND(N('Articles'!H15)+SUMIFS(mv_qty,mv_ref,A15,mv_type,"Entrée",mv_date,"&lt;"&amp;$E$1)-SUMIFS(mv_qty,mv_ref,A15,mv_type,"Sortie",mv_date,"&lt;"&amp;$E$1),6))</f>
        <v>27.0</v>
      </c>
      <c r="E15" s="39">
        <f>IF(A15="","",SUMIFS(mv_qty,mv_ref,A15,mv_type,"Entrée",mv_date,"&gt;="&amp;$E$1,mv_date,"&lt;="&amp;$G$1))</f>
        <v>1.0</v>
      </c>
      <c r="F15" s="39">
        <f>IF(A15="","",SUMIFS(mv_qty,mv_ref,A15,mv_type,"Sortie",mv_date,"&gt;="&amp;$E$1,mv_date,"&lt;="&amp;$G$1))</f>
        <v>7.0</v>
      </c>
      <c r="G15" s="39">
        <f>IF(A15="","",ROUND(D15+E15-F15,6))</f>
        <v>21.0</v>
      </c>
      <c r="H15" s="40">
        <f>IF(A15="","",G15*N('Articles'!G15))</f>
        <v>157.5</v>
      </c>
    </row>
    <row r="16">
      <c r="A16" s="39" t="str">
        <f>IF('Articles'!A16="","",'Articles'!A16)</f>
        <v>CAR-40-30</v>
      </c>
      <c r="B16" s="39" t="str">
        <f>IF(A16="","",'Articles'!B16&amp;"")</f>
        <v>Carton double cannelure 40 x 30 x 20</v>
      </c>
      <c r="C16" s="39" t="str">
        <f>IF(A16="","",'Articles'!D16&amp;"")</f>
        <v>pièce</v>
      </c>
      <c r="D16" s="39">
        <f>IF(A16="","",ROUND(N('Articles'!H16)+SUMIFS(mv_qty,mv_ref,A16,mv_type,"Entrée",mv_date,"&lt;"&amp;$E$1)-SUMIFS(mv_qty,mv_ref,A16,mv_type,"Sortie",mv_date,"&lt;"&amp;$E$1),6))</f>
        <v>716.0</v>
      </c>
      <c r="E16" s="39">
        <f>IF(A16="","",SUMIFS(mv_qty,mv_ref,A16,mv_type,"Entrée",mv_date,"&gt;="&amp;$E$1,mv_date,"&lt;="&amp;$G$1))</f>
        <v>0.0</v>
      </c>
      <c r="F16" s="39">
        <f>IF(A16="","",SUMIFS(mv_qty,mv_ref,A16,mv_type,"Sortie",mv_date,"&gt;="&amp;$E$1,mv_date,"&lt;="&amp;$G$1))</f>
        <v>151.0</v>
      </c>
      <c r="G16" s="39">
        <f>IF(A16="","",ROUND(D16+E16-F16,6))</f>
        <v>565.0</v>
      </c>
      <c r="H16" s="40">
        <f>IF(A16="","",G16*N('Articles'!G16))</f>
        <v>536.75</v>
      </c>
    </row>
    <row r="17">
      <c r="A17" s="39" t="str">
        <f>IF('Articles'!A17="","",'Articles'!A17)</f>
        <v>RUB-50</v>
      </c>
      <c r="B17" s="39" t="str">
        <f>IF(A17="","",'Articles'!B17&amp;"")</f>
        <v>Ruban adhésif 50 mm x 66 m</v>
      </c>
      <c r="C17" s="39" t="str">
        <f>IF(A17="","",'Articles'!D17&amp;"")</f>
        <v>rouleau</v>
      </c>
      <c r="D17" s="39">
        <f>IF(A17="","",ROUND(N('Articles'!H17)+SUMIFS(mv_qty,mv_ref,A17,mv_type,"Entrée",mv_date,"&lt;"&amp;$E$1)-SUMIFS(mv_qty,mv_ref,A17,mv_type,"Sortie",mv_date,"&lt;"&amp;$E$1),6))</f>
        <v>33.0</v>
      </c>
      <c r="E17" s="39">
        <f>IF(A17="","",SUMIFS(mv_qty,mv_ref,A17,mv_type,"Entrée",mv_date,"&gt;="&amp;$E$1,mv_date,"&lt;="&amp;$G$1))</f>
        <v>98.0</v>
      </c>
      <c r="F17" s="39">
        <f>IF(A17="","",SUMIFS(mv_qty,mv_ref,A17,mv_type,"Sortie",mv_date,"&gt;="&amp;$E$1,mv_date,"&lt;="&amp;$G$1))</f>
        <v>22.0</v>
      </c>
      <c r="G17" s="39">
        <f>IF(A17="","",ROUND(D17+E17-F17,6))</f>
        <v>109.0</v>
      </c>
      <c r="H17" s="40">
        <f>IF(A17="","",G17*N('Articles'!G17))</f>
        <v>152.6</v>
      </c>
    </row>
    <row r="18">
      <c r="A18" s="39" t="str">
        <f>IF('Articles'!A18="","",'Articles'!A18)</f>
        <v>PAL-120</v>
      </c>
      <c r="B18" s="39" t="str">
        <f>IF(A18="","",'Articles'!B18&amp;"")</f>
        <v>Palette bois 120 x 80</v>
      </c>
      <c r="C18" s="39" t="str">
        <f>IF(A18="","",'Articles'!D18&amp;"")</f>
        <v>pièce</v>
      </c>
      <c r="D18" s="39">
        <f>IF(A18="","",ROUND(N('Articles'!H18)+SUMIFS(mv_qty,mv_ref,A18,mv_type,"Entrée",mv_date,"&lt;"&amp;$E$1)-SUMIFS(mv_qty,mv_ref,A18,mv_type,"Sortie",mv_date,"&lt;"&amp;$E$1),6))</f>
        <v>44.0</v>
      </c>
      <c r="E18" s="39">
        <f>IF(A18="","",SUMIFS(mv_qty,mv_ref,A18,mv_type,"Entrée",mv_date,"&gt;="&amp;$E$1,mv_date,"&lt;="&amp;$G$1))</f>
        <v>0.0</v>
      </c>
      <c r="F18" s="39">
        <f>IF(A18="","",SUMIFS(mv_qty,mv_ref,A18,mv_type,"Sortie",mv_date,"&gt;="&amp;$E$1,mv_date,"&lt;="&amp;$G$1))</f>
        <v>11.0</v>
      </c>
      <c r="G18" s="39">
        <f>IF(A18="","",ROUND(D18+E18-F18,6))</f>
        <v>33.0</v>
      </c>
      <c r="H18" s="40">
        <f>IF(A18="","",G18*N('Articles'!G18))</f>
        <v>297.0</v>
      </c>
    </row>
    <row r="19">
      <c r="A19" s="39" t="str">
        <f>IF('Articles'!A19="","",'Articles'!A19)</f>
        <v>CAB-2.5</v>
      </c>
      <c r="B19" s="39" t="str">
        <f>IF(A19="","",'Articles'!B19&amp;"")</f>
        <v>Câble électrique 2,5 mm²</v>
      </c>
      <c r="C19" s="39" t="str">
        <f>IF(A19="","",'Articles'!D19&amp;"")</f>
        <v>m</v>
      </c>
      <c r="D19" s="39">
        <f>IF(A19="","",ROUND(N('Articles'!H19)+SUMIFS(mv_qty,mv_ref,A19,mv_type,"Entrée",mv_date,"&lt;"&amp;$E$1)-SUMIFS(mv_qty,mv_ref,A19,mv_type,"Sortie",mv_date,"&lt;"&amp;$E$1),6))</f>
        <v>366.0</v>
      </c>
      <c r="E19" s="39">
        <f>IF(A19="","",SUMIFS(mv_qty,mv_ref,A19,mv_type,"Entrée",mv_date,"&gt;="&amp;$E$1,mv_date,"&lt;="&amp;$G$1))</f>
        <v>0.0</v>
      </c>
      <c r="F19" s="39">
        <f>IF(A19="","",SUMIFS(mv_qty,mv_ref,A19,mv_type,"Sortie",mv_date,"&gt;="&amp;$E$1,mv_date,"&lt;="&amp;$G$1))</f>
        <v>85.0</v>
      </c>
      <c r="G19" s="39">
        <f>IF(A19="","",ROUND(D19+E19-F19,6))</f>
        <v>281.0</v>
      </c>
      <c r="H19" s="40">
        <f>IF(A19="","",G19*N('Articles'!G19))</f>
        <v>191.08</v>
      </c>
    </row>
    <row r="20">
      <c r="A20" s="39" t="str">
        <f>IF('Articles'!A20="","",'Articles'!A20)</f>
        <v>BOR-WAGO-3</v>
      </c>
      <c r="B20" s="39" t="str">
        <f>IF(A20="","",'Articles'!B20&amp;"")</f>
        <v>Borne de connexion 3 entrées</v>
      </c>
      <c r="C20" s="39" t="str">
        <f>IF(A20="","",'Articles'!D20&amp;"")</f>
        <v>pièce</v>
      </c>
      <c r="D20" s="39">
        <f>IF(A20="","",ROUND(N('Articles'!H20)+SUMIFS(mv_qty,mv_ref,A20,mv_type,"Entrée",mv_date,"&lt;"&amp;$E$1)-SUMIFS(mv_qty,mv_ref,A20,mv_type,"Sortie",mv_date,"&lt;"&amp;$E$1),6))</f>
        <v>186.0</v>
      </c>
      <c r="E20" s="39">
        <f>IF(A20="","",SUMIFS(mv_qty,mv_ref,A20,mv_type,"Entrée",mv_date,"&gt;="&amp;$E$1,mv_date,"&lt;="&amp;$G$1))</f>
        <v>0.0</v>
      </c>
      <c r="F20" s="39">
        <f>IF(A20="","",SUMIFS(mv_qty,mv_ref,A20,mv_type,"Sortie",mv_date,"&gt;="&amp;$E$1,mv_date,"&lt;="&amp;$G$1))</f>
        <v>65.0</v>
      </c>
      <c r="G20" s="39">
        <f>IF(A20="","",ROUND(D20+E20-F20,6))</f>
        <v>121.0</v>
      </c>
      <c r="H20" s="40">
        <f>IF(A20="","",G20*N('Articles'!G20))</f>
        <v>50.82</v>
      </c>
    </row>
    <row r="21">
      <c r="A21" s="39" t="str">
        <f>IF('Articles'!A21="","",'Articles'!A21)</f>
        <v/>
      </c>
      <c r="B21" s="39" t="str">
        <f>IF(A21="","",'Articles'!B21&amp;"")</f>
        <v/>
      </c>
      <c r="C21" s="39" t="str">
        <f>IF(A21="","",'Articles'!D21&amp;"")</f>
        <v/>
      </c>
      <c r="D21" s="39" t="str">
        <f>IF(A21="","",ROUND(N('Articles'!H21)+SUMIFS(mv_qty,mv_ref,A21,mv_type,"Entrée",mv_date,"&lt;"&amp;$E$1)-SUMIFS(mv_qty,mv_ref,A21,mv_type,"Sortie",mv_date,"&lt;"&amp;$E$1),6))</f>
        <v/>
      </c>
      <c r="E21" s="39" t="str">
        <f>IF(A21="","",SUMIFS(mv_qty,mv_ref,A21,mv_type,"Entrée",mv_date,"&gt;="&amp;$E$1,mv_date,"&lt;="&amp;$G$1))</f>
        <v/>
      </c>
      <c r="F21" s="39" t="str">
        <f>IF(A21="","",SUMIFS(mv_qty,mv_ref,A21,mv_type,"Sortie",mv_date,"&gt;="&amp;$E$1,mv_date,"&lt;="&amp;$G$1))</f>
        <v/>
      </c>
      <c r="G21" s="39" t="str">
        <f>IF(A21="","",ROUND(D21+E21-F21,6))</f>
        <v/>
      </c>
      <c r="H21" s="40" t="str">
        <f>IF(A21="","",G21*N('Articles'!G21))</f>
        <v/>
      </c>
    </row>
    <row r="22">
      <c r="A22" s="39" t="str">
        <f>IF('Articles'!A22="","",'Articles'!A22)</f>
        <v/>
      </c>
      <c r="B22" s="39" t="str">
        <f>IF(A22="","",'Articles'!B22&amp;"")</f>
        <v/>
      </c>
      <c r="C22" s="39" t="str">
        <f>IF(A22="","",'Articles'!D22&amp;"")</f>
        <v/>
      </c>
      <c r="D22" s="39" t="str">
        <f>IF(A22="","",ROUND(N('Articles'!H22)+SUMIFS(mv_qty,mv_ref,A22,mv_type,"Entrée",mv_date,"&lt;"&amp;$E$1)-SUMIFS(mv_qty,mv_ref,A22,mv_type,"Sortie",mv_date,"&lt;"&amp;$E$1),6))</f>
        <v/>
      </c>
      <c r="E22" s="39" t="str">
        <f>IF(A22="","",SUMIFS(mv_qty,mv_ref,A22,mv_type,"Entrée",mv_date,"&gt;="&amp;$E$1,mv_date,"&lt;="&amp;$G$1))</f>
        <v/>
      </c>
      <c r="F22" s="39" t="str">
        <f>IF(A22="","",SUMIFS(mv_qty,mv_ref,A22,mv_type,"Sortie",mv_date,"&gt;="&amp;$E$1,mv_date,"&lt;="&amp;$G$1))</f>
        <v/>
      </c>
      <c r="G22" s="39" t="str">
        <f>IF(A22="","",ROUND(D22+E22-F22,6))</f>
        <v/>
      </c>
      <c r="H22" s="40" t="str">
        <f>IF(A22="","",G22*N('Articles'!G22))</f>
        <v/>
      </c>
    </row>
    <row r="23">
      <c r="A23" s="39" t="str">
        <f>IF('Articles'!A23="","",'Articles'!A23)</f>
        <v/>
      </c>
      <c r="B23" s="39" t="str">
        <f>IF(A23="","",'Articles'!B23&amp;"")</f>
        <v/>
      </c>
      <c r="C23" s="39" t="str">
        <f>IF(A23="","",'Articles'!D23&amp;"")</f>
        <v/>
      </c>
      <c r="D23" s="39" t="str">
        <f>IF(A23="","",ROUND(N('Articles'!H23)+SUMIFS(mv_qty,mv_ref,A23,mv_type,"Entrée",mv_date,"&lt;"&amp;$E$1)-SUMIFS(mv_qty,mv_ref,A23,mv_type,"Sortie",mv_date,"&lt;"&amp;$E$1),6))</f>
        <v/>
      </c>
      <c r="E23" s="39" t="str">
        <f>IF(A23="","",SUMIFS(mv_qty,mv_ref,A23,mv_type,"Entrée",mv_date,"&gt;="&amp;$E$1,mv_date,"&lt;="&amp;$G$1))</f>
        <v/>
      </c>
      <c r="F23" s="39" t="str">
        <f>IF(A23="","",SUMIFS(mv_qty,mv_ref,A23,mv_type,"Sortie",mv_date,"&gt;="&amp;$E$1,mv_date,"&lt;="&amp;$G$1))</f>
        <v/>
      </c>
      <c r="G23" s="39" t="str">
        <f>IF(A23="","",ROUND(D23+E23-F23,6))</f>
        <v/>
      </c>
      <c r="H23" s="40" t="str">
        <f>IF(A23="","",G23*N('Articles'!G23))</f>
        <v/>
      </c>
    </row>
    <row r="24">
      <c r="A24" s="39" t="str">
        <f>IF('Articles'!A24="","",'Articles'!A24)</f>
        <v/>
      </c>
      <c r="B24" s="39" t="str">
        <f>IF(A24="","",'Articles'!B24&amp;"")</f>
        <v/>
      </c>
      <c r="C24" s="39" t="str">
        <f>IF(A24="","",'Articles'!D24&amp;"")</f>
        <v/>
      </c>
      <c r="D24" s="39" t="str">
        <f>IF(A24="","",ROUND(N('Articles'!H24)+SUMIFS(mv_qty,mv_ref,A24,mv_type,"Entrée",mv_date,"&lt;"&amp;$E$1)-SUMIFS(mv_qty,mv_ref,A24,mv_type,"Sortie",mv_date,"&lt;"&amp;$E$1),6))</f>
        <v/>
      </c>
      <c r="E24" s="39" t="str">
        <f>IF(A24="","",SUMIFS(mv_qty,mv_ref,A24,mv_type,"Entrée",mv_date,"&gt;="&amp;$E$1,mv_date,"&lt;="&amp;$G$1))</f>
        <v/>
      </c>
      <c r="F24" s="39" t="str">
        <f>IF(A24="","",SUMIFS(mv_qty,mv_ref,A24,mv_type,"Sortie",mv_date,"&gt;="&amp;$E$1,mv_date,"&lt;="&amp;$G$1))</f>
        <v/>
      </c>
      <c r="G24" s="39" t="str">
        <f>IF(A24="","",ROUND(D24+E24-F24,6))</f>
        <v/>
      </c>
      <c r="H24" s="40" t="str">
        <f>IF(A24="","",G24*N('Articles'!G24))</f>
        <v/>
      </c>
    </row>
    <row r="25">
      <c r="A25" s="39" t="str">
        <f>IF('Articles'!A25="","",'Articles'!A25)</f>
        <v/>
      </c>
      <c r="B25" s="39" t="str">
        <f>IF(A25="","",'Articles'!B25&amp;"")</f>
        <v/>
      </c>
      <c r="C25" s="39" t="str">
        <f>IF(A25="","",'Articles'!D25&amp;"")</f>
        <v/>
      </c>
      <c r="D25" s="39" t="str">
        <f>IF(A25="","",ROUND(N('Articles'!H25)+SUMIFS(mv_qty,mv_ref,A25,mv_type,"Entrée",mv_date,"&lt;"&amp;$E$1)-SUMIFS(mv_qty,mv_ref,A25,mv_type,"Sortie",mv_date,"&lt;"&amp;$E$1),6))</f>
        <v/>
      </c>
      <c r="E25" s="39" t="str">
        <f>IF(A25="","",SUMIFS(mv_qty,mv_ref,A25,mv_type,"Entrée",mv_date,"&gt;="&amp;$E$1,mv_date,"&lt;="&amp;$G$1))</f>
        <v/>
      </c>
      <c r="F25" s="39" t="str">
        <f>IF(A25="","",SUMIFS(mv_qty,mv_ref,A25,mv_type,"Sortie",mv_date,"&gt;="&amp;$E$1,mv_date,"&lt;="&amp;$G$1))</f>
        <v/>
      </c>
      <c r="G25" s="39" t="str">
        <f>IF(A25="","",ROUND(D25+E25-F25,6))</f>
        <v/>
      </c>
      <c r="H25" s="40" t="str">
        <f>IF(A25="","",G25*N('Articles'!G25))</f>
        <v/>
      </c>
    </row>
    <row r="26">
      <c r="A26" s="39" t="str">
        <f>IF('Articles'!A26="","",'Articles'!A26)</f>
        <v/>
      </c>
      <c r="B26" s="39" t="str">
        <f>IF(A26="","",'Articles'!B26&amp;"")</f>
        <v/>
      </c>
      <c r="C26" s="39" t="str">
        <f>IF(A26="","",'Articles'!D26&amp;"")</f>
        <v/>
      </c>
      <c r="D26" s="39" t="str">
        <f>IF(A26="","",ROUND(N('Articles'!H26)+SUMIFS(mv_qty,mv_ref,A26,mv_type,"Entrée",mv_date,"&lt;"&amp;$E$1)-SUMIFS(mv_qty,mv_ref,A26,mv_type,"Sortie",mv_date,"&lt;"&amp;$E$1),6))</f>
        <v/>
      </c>
      <c r="E26" s="39" t="str">
        <f>IF(A26="","",SUMIFS(mv_qty,mv_ref,A26,mv_type,"Entrée",mv_date,"&gt;="&amp;$E$1,mv_date,"&lt;="&amp;$G$1))</f>
        <v/>
      </c>
      <c r="F26" s="39" t="str">
        <f>IF(A26="","",SUMIFS(mv_qty,mv_ref,A26,mv_type,"Sortie",mv_date,"&gt;="&amp;$E$1,mv_date,"&lt;="&amp;$G$1))</f>
        <v/>
      </c>
      <c r="G26" s="39" t="str">
        <f>IF(A26="","",ROUND(D26+E26-F26,6))</f>
        <v/>
      </c>
      <c r="H26" s="40" t="str">
        <f>IF(A26="","",G26*N('Articles'!G26))</f>
        <v/>
      </c>
    </row>
    <row r="27">
      <c r="A27" s="39" t="str">
        <f>IF('Articles'!A27="","",'Articles'!A27)</f>
        <v/>
      </c>
      <c r="B27" s="39" t="str">
        <f>IF(A27="","",'Articles'!B27&amp;"")</f>
        <v/>
      </c>
      <c r="C27" s="39" t="str">
        <f>IF(A27="","",'Articles'!D27&amp;"")</f>
        <v/>
      </c>
      <c r="D27" s="39" t="str">
        <f>IF(A27="","",ROUND(N('Articles'!H27)+SUMIFS(mv_qty,mv_ref,A27,mv_type,"Entrée",mv_date,"&lt;"&amp;$E$1)-SUMIFS(mv_qty,mv_ref,A27,mv_type,"Sortie",mv_date,"&lt;"&amp;$E$1),6))</f>
        <v/>
      </c>
      <c r="E27" s="39" t="str">
        <f>IF(A27="","",SUMIFS(mv_qty,mv_ref,A27,mv_type,"Entrée",mv_date,"&gt;="&amp;$E$1,mv_date,"&lt;="&amp;$G$1))</f>
        <v/>
      </c>
      <c r="F27" s="39" t="str">
        <f>IF(A27="","",SUMIFS(mv_qty,mv_ref,A27,mv_type,"Sortie",mv_date,"&gt;="&amp;$E$1,mv_date,"&lt;="&amp;$G$1))</f>
        <v/>
      </c>
      <c r="G27" s="39" t="str">
        <f>IF(A27="","",ROUND(D27+E27-F27,6))</f>
        <v/>
      </c>
      <c r="H27" s="40" t="str">
        <f>IF(A27="","",G27*N('Articles'!G27))</f>
        <v/>
      </c>
    </row>
    <row r="28">
      <c r="A28" s="39" t="str">
        <f>IF('Articles'!A28="","",'Articles'!A28)</f>
        <v/>
      </c>
      <c r="B28" s="39" t="str">
        <f>IF(A28="","",'Articles'!B28&amp;"")</f>
        <v/>
      </c>
      <c r="C28" s="39" t="str">
        <f>IF(A28="","",'Articles'!D28&amp;"")</f>
        <v/>
      </c>
      <c r="D28" s="39" t="str">
        <f>IF(A28="","",ROUND(N('Articles'!H28)+SUMIFS(mv_qty,mv_ref,A28,mv_type,"Entrée",mv_date,"&lt;"&amp;$E$1)-SUMIFS(mv_qty,mv_ref,A28,mv_type,"Sortie",mv_date,"&lt;"&amp;$E$1),6))</f>
        <v/>
      </c>
      <c r="E28" s="39" t="str">
        <f>IF(A28="","",SUMIFS(mv_qty,mv_ref,A28,mv_type,"Entrée",mv_date,"&gt;="&amp;$E$1,mv_date,"&lt;="&amp;$G$1))</f>
        <v/>
      </c>
      <c r="F28" s="39" t="str">
        <f>IF(A28="","",SUMIFS(mv_qty,mv_ref,A28,mv_type,"Sortie",mv_date,"&gt;="&amp;$E$1,mv_date,"&lt;="&amp;$G$1))</f>
        <v/>
      </c>
      <c r="G28" s="39" t="str">
        <f>IF(A28="","",ROUND(D28+E28-F28,6))</f>
        <v/>
      </c>
      <c r="H28" s="40" t="str">
        <f>IF(A28="","",G28*N('Articles'!G28))</f>
        <v/>
      </c>
    </row>
    <row r="29">
      <c r="A29" s="39" t="str">
        <f>IF('Articles'!A29="","",'Articles'!A29)</f>
        <v/>
      </c>
      <c r="B29" s="39" t="str">
        <f>IF(A29="","",'Articles'!B29&amp;"")</f>
        <v/>
      </c>
      <c r="C29" s="39" t="str">
        <f>IF(A29="","",'Articles'!D29&amp;"")</f>
        <v/>
      </c>
      <c r="D29" s="39" t="str">
        <f>IF(A29="","",ROUND(N('Articles'!H29)+SUMIFS(mv_qty,mv_ref,A29,mv_type,"Entrée",mv_date,"&lt;"&amp;$E$1)-SUMIFS(mv_qty,mv_ref,A29,mv_type,"Sortie",mv_date,"&lt;"&amp;$E$1),6))</f>
        <v/>
      </c>
      <c r="E29" s="39" t="str">
        <f>IF(A29="","",SUMIFS(mv_qty,mv_ref,A29,mv_type,"Entrée",mv_date,"&gt;="&amp;$E$1,mv_date,"&lt;="&amp;$G$1))</f>
        <v/>
      </c>
      <c r="F29" s="39" t="str">
        <f>IF(A29="","",SUMIFS(mv_qty,mv_ref,A29,mv_type,"Sortie",mv_date,"&gt;="&amp;$E$1,mv_date,"&lt;="&amp;$G$1))</f>
        <v/>
      </c>
      <c r="G29" s="39" t="str">
        <f>IF(A29="","",ROUND(D29+E29-F29,6))</f>
        <v/>
      </c>
      <c r="H29" s="40" t="str">
        <f>IF(A29="","",G29*N('Articles'!G29))</f>
        <v/>
      </c>
    </row>
    <row r="30">
      <c r="A30" s="39" t="str">
        <f>IF('Articles'!A30="","",'Articles'!A30)</f>
        <v/>
      </c>
      <c r="B30" s="39" t="str">
        <f>IF(A30="","",'Articles'!B30&amp;"")</f>
        <v/>
      </c>
      <c r="C30" s="39" t="str">
        <f>IF(A30="","",'Articles'!D30&amp;"")</f>
        <v/>
      </c>
      <c r="D30" s="39" t="str">
        <f>IF(A30="","",ROUND(N('Articles'!H30)+SUMIFS(mv_qty,mv_ref,A30,mv_type,"Entrée",mv_date,"&lt;"&amp;$E$1)-SUMIFS(mv_qty,mv_ref,A30,mv_type,"Sortie",mv_date,"&lt;"&amp;$E$1),6))</f>
        <v/>
      </c>
      <c r="E30" s="39" t="str">
        <f>IF(A30="","",SUMIFS(mv_qty,mv_ref,A30,mv_type,"Entrée",mv_date,"&gt;="&amp;$E$1,mv_date,"&lt;="&amp;$G$1))</f>
        <v/>
      </c>
      <c r="F30" s="39" t="str">
        <f>IF(A30="","",SUMIFS(mv_qty,mv_ref,A30,mv_type,"Sortie",mv_date,"&gt;="&amp;$E$1,mv_date,"&lt;="&amp;$G$1))</f>
        <v/>
      </c>
      <c r="G30" s="39" t="str">
        <f>IF(A30="","",ROUND(D30+E30-F30,6))</f>
        <v/>
      </c>
      <c r="H30" s="40" t="str">
        <f>IF(A30="","",G30*N('Articles'!G30))</f>
        <v/>
      </c>
    </row>
    <row r="31">
      <c r="A31" s="39" t="str">
        <f>IF('Articles'!A31="","",'Articles'!A31)</f>
        <v/>
      </c>
      <c r="B31" s="39" t="str">
        <f>IF(A31="","",'Articles'!B31&amp;"")</f>
        <v/>
      </c>
      <c r="C31" s="39" t="str">
        <f>IF(A31="","",'Articles'!D31&amp;"")</f>
        <v/>
      </c>
      <c r="D31" s="39" t="str">
        <f>IF(A31="","",ROUND(N('Articles'!H31)+SUMIFS(mv_qty,mv_ref,A31,mv_type,"Entrée",mv_date,"&lt;"&amp;$E$1)-SUMIFS(mv_qty,mv_ref,A31,mv_type,"Sortie",mv_date,"&lt;"&amp;$E$1),6))</f>
        <v/>
      </c>
      <c r="E31" s="39" t="str">
        <f>IF(A31="","",SUMIFS(mv_qty,mv_ref,A31,mv_type,"Entrée",mv_date,"&gt;="&amp;$E$1,mv_date,"&lt;="&amp;$G$1))</f>
        <v/>
      </c>
      <c r="F31" s="39" t="str">
        <f>IF(A31="","",SUMIFS(mv_qty,mv_ref,A31,mv_type,"Sortie",mv_date,"&gt;="&amp;$E$1,mv_date,"&lt;="&amp;$G$1))</f>
        <v/>
      </c>
      <c r="G31" s="39" t="str">
        <f>IF(A31="","",ROUND(D31+E31-F31,6))</f>
        <v/>
      </c>
      <c r="H31" s="40" t="str">
        <f>IF(A31="","",G31*N('Articles'!G31))</f>
        <v/>
      </c>
    </row>
    <row r="32">
      <c r="A32" s="39" t="str">
        <f>IF('Articles'!A32="","",'Articles'!A32)</f>
        <v/>
      </c>
      <c r="B32" s="39" t="str">
        <f>IF(A32="","",'Articles'!B32&amp;"")</f>
        <v/>
      </c>
      <c r="C32" s="39" t="str">
        <f>IF(A32="","",'Articles'!D32&amp;"")</f>
        <v/>
      </c>
      <c r="D32" s="39" t="str">
        <f>IF(A32="","",ROUND(N('Articles'!H32)+SUMIFS(mv_qty,mv_ref,A32,mv_type,"Entrée",mv_date,"&lt;"&amp;$E$1)-SUMIFS(mv_qty,mv_ref,A32,mv_type,"Sortie",mv_date,"&lt;"&amp;$E$1),6))</f>
        <v/>
      </c>
      <c r="E32" s="39" t="str">
        <f>IF(A32="","",SUMIFS(mv_qty,mv_ref,A32,mv_type,"Entrée",mv_date,"&gt;="&amp;$E$1,mv_date,"&lt;="&amp;$G$1))</f>
        <v/>
      </c>
      <c r="F32" s="39" t="str">
        <f>IF(A32="","",SUMIFS(mv_qty,mv_ref,A32,mv_type,"Sortie",mv_date,"&gt;="&amp;$E$1,mv_date,"&lt;="&amp;$G$1))</f>
        <v/>
      </c>
      <c r="G32" s="39" t="str">
        <f>IF(A32="","",ROUND(D32+E32-F32,6))</f>
        <v/>
      </c>
      <c r="H32" s="40" t="str">
        <f>IF(A32="","",G32*N('Articles'!G32))</f>
        <v/>
      </c>
    </row>
    <row r="33">
      <c r="A33" s="39" t="str">
        <f>IF('Articles'!A33="","",'Articles'!A33)</f>
        <v/>
      </c>
      <c r="B33" s="39" t="str">
        <f>IF(A33="","",'Articles'!B33&amp;"")</f>
        <v/>
      </c>
      <c r="C33" s="39" t="str">
        <f>IF(A33="","",'Articles'!D33&amp;"")</f>
        <v/>
      </c>
      <c r="D33" s="39" t="str">
        <f>IF(A33="","",ROUND(N('Articles'!H33)+SUMIFS(mv_qty,mv_ref,A33,mv_type,"Entrée",mv_date,"&lt;"&amp;$E$1)-SUMIFS(mv_qty,mv_ref,A33,mv_type,"Sortie",mv_date,"&lt;"&amp;$E$1),6))</f>
        <v/>
      </c>
      <c r="E33" s="39" t="str">
        <f>IF(A33="","",SUMIFS(mv_qty,mv_ref,A33,mv_type,"Entrée",mv_date,"&gt;="&amp;$E$1,mv_date,"&lt;="&amp;$G$1))</f>
        <v/>
      </c>
      <c r="F33" s="39" t="str">
        <f>IF(A33="","",SUMIFS(mv_qty,mv_ref,A33,mv_type,"Sortie",mv_date,"&gt;="&amp;$E$1,mv_date,"&lt;="&amp;$G$1))</f>
        <v/>
      </c>
      <c r="G33" s="39" t="str">
        <f>IF(A33="","",ROUND(D33+E33-F33,6))</f>
        <v/>
      </c>
      <c r="H33" s="40" t="str">
        <f>IF(A33="","",G33*N('Articles'!G33))</f>
        <v/>
      </c>
    </row>
    <row r="34">
      <c r="A34" s="39" t="str">
        <f>IF('Articles'!A34="","",'Articles'!A34)</f>
        <v/>
      </c>
      <c r="B34" s="39" t="str">
        <f>IF(A34="","",'Articles'!B34&amp;"")</f>
        <v/>
      </c>
      <c r="C34" s="39" t="str">
        <f>IF(A34="","",'Articles'!D34&amp;"")</f>
        <v/>
      </c>
      <c r="D34" s="39" t="str">
        <f>IF(A34="","",ROUND(N('Articles'!H34)+SUMIFS(mv_qty,mv_ref,A34,mv_type,"Entrée",mv_date,"&lt;"&amp;$E$1)-SUMIFS(mv_qty,mv_ref,A34,mv_type,"Sortie",mv_date,"&lt;"&amp;$E$1),6))</f>
        <v/>
      </c>
      <c r="E34" s="39" t="str">
        <f>IF(A34="","",SUMIFS(mv_qty,mv_ref,A34,mv_type,"Entrée",mv_date,"&gt;="&amp;$E$1,mv_date,"&lt;="&amp;$G$1))</f>
        <v/>
      </c>
      <c r="F34" s="39" t="str">
        <f>IF(A34="","",SUMIFS(mv_qty,mv_ref,A34,mv_type,"Sortie",mv_date,"&gt;="&amp;$E$1,mv_date,"&lt;="&amp;$G$1))</f>
        <v/>
      </c>
      <c r="G34" s="39" t="str">
        <f>IF(A34="","",ROUND(D34+E34-F34,6))</f>
        <v/>
      </c>
      <c r="H34" s="40" t="str">
        <f>IF(A34="","",G34*N('Articles'!G34))</f>
        <v/>
      </c>
    </row>
    <row r="35">
      <c r="A35" s="39" t="str">
        <f>IF('Articles'!A35="","",'Articles'!A35)</f>
        <v/>
      </c>
      <c r="B35" s="39" t="str">
        <f>IF(A35="","",'Articles'!B35&amp;"")</f>
        <v/>
      </c>
      <c r="C35" s="39" t="str">
        <f>IF(A35="","",'Articles'!D35&amp;"")</f>
        <v/>
      </c>
      <c r="D35" s="39" t="str">
        <f>IF(A35="","",ROUND(N('Articles'!H35)+SUMIFS(mv_qty,mv_ref,A35,mv_type,"Entrée",mv_date,"&lt;"&amp;$E$1)-SUMIFS(mv_qty,mv_ref,A35,mv_type,"Sortie",mv_date,"&lt;"&amp;$E$1),6))</f>
        <v/>
      </c>
      <c r="E35" s="39" t="str">
        <f>IF(A35="","",SUMIFS(mv_qty,mv_ref,A35,mv_type,"Entrée",mv_date,"&gt;="&amp;$E$1,mv_date,"&lt;="&amp;$G$1))</f>
        <v/>
      </c>
      <c r="F35" s="39" t="str">
        <f>IF(A35="","",SUMIFS(mv_qty,mv_ref,A35,mv_type,"Sortie",mv_date,"&gt;="&amp;$E$1,mv_date,"&lt;="&amp;$G$1))</f>
        <v/>
      </c>
      <c r="G35" s="39" t="str">
        <f>IF(A35="","",ROUND(D35+E35-F35,6))</f>
        <v/>
      </c>
      <c r="H35" s="40" t="str">
        <f>IF(A35="","",G35*N('Articles'!G35))</f>
        <v/>
      </c>
    </row>
    <row r="36">
      <c r="A36" s="39" t="str">
        <f>IF('Articles'!A36="","",'Articles'!A36)</f>
        <v/>
      </c>
      <c r="B36" s="39" t="str">
        <f>IF(A36="","",'Articles'!B36&amp;"")</f>
        <v/>
      </c>
      <c r="C36" s="39" t="str">
        <f>IF(A36="","",'Articles'!D36&amp;"")</f>
        <v/>
      </c>
      <c r="D36" s="39" t="str">
        <f>IF(A36="","",ROUND(N('Articles'!H36)+SUMIFS(mv_qty,mv_ref,A36,mv_type,"Entrée",mv_date,"&lt;"&amp;$E$1)-SUMIFS(mv_qty,mv_ref,A36,mv_type,"Sortie",mv_date,"&lt;"&amp;$E$1),6))</f>
        <v/>
      </c>
      <c r="E36" s="39" t="str">
        <f>IF(A36="","",SUMIFS(mv_qty,mv_ref,A36,mv_type,"Entrée",mv_date,"&gt;="&amp;$E$1,mv_date,"&lt;="&amp;$G$1))</f>
        <v/>
      </c>
      <c r="F36" s="39" t="str">
        <f>IF(A36="","",SUMIFS(mv_qty,mv_ref,A36,mv_type,"Sortie",mv_date,"&gt;="&amp;$E$1,mv_date,"&lt;="&amp;$G$1))</f>
        <v/>
      </c>
      <c r="G36" s="39" t="str">
        <f>IF(A36="","",ROUND(D36+E36-F36,6))</f>
        <v/>
      </c>
      <c r="H36" s="40" t="str">
        <f>IF(A36="","",G36*N('Articles'!G36))</f>
        <v/>
      </c>
    </row>
    <row r="37">
      <c r="A37" s="39" t="str">
        <f>IF('Articles'!A37="","",'Articles'!A37)</f>
        <v/>
      </c>
      <c r="B37" s="39" t="str">
        <f>IF(A37="","",'Articles'!B37&amp;"")</f>
        <v/>
      </c>
      <c r="C37" s="39" t="str">
        <f>IF(A37="","",'Articles'!D37&amp;"")</f>
        <v/>
      </c>
      <c r="D37" s="39" t="str">
        <f>IF(A37="","",ROUND(N('Articles'!H37)+SUMIFS(mv_qty,mv_ref,A37,mv_type,"Entrée",mv_date,"&lt;"&amp;$E$1)-SUMIFS(mv_qty,mv_ref,A37,mv_type,"Sortie",mv_date,"&lt;"&amp;$E$1),6))</f>
        <v/>
      </c>
      <c r="E37" s="39" t="str">
        <f>IF(A37="","",SUMIFS(mv_qty,mv_ref,A37,mv_type,"Entrée",mv_date,"&gt;="&amp;$E$1,mv_date,"&lt;="&amp;$G$1))</f>
        <v/>
      </c>
      <c r="F37" s="39" t="str">
        <f>IF(A37="","",SUMIFS(mv_qty,mv_ref,A37,mv_type,"Sortie",mv_date,"&gt;="&amp;$E$1,mv_date,"&lt;="&amp;$G$1))</f>
        <v/>
      </c>
      <c r="G37" s="39" t="str">
        <f>IF(A37="","",ROUND(D37+E37-F37,6))</f>
        <v/>
      </c>
      <c r="H37" s="40" t="str">
        <f>IF(A37="","",G37*N('Articles'!G37))</f>
        <v/>
      </c>
    </row>
    <row r="38">
      <c r="A38" s="39" t="str">
        <f>IF('Articles'!A38="","",'Articles'!A38)</f>
        <v/>
      </c>
      <c r="B38" s="39" t="str">
        <f>IF(A38="","",'Articles'!B38&amp;"")</f>
        <v/>
      </c>
      <c r="C38" s="39" t="str">
        <f>IF(A38="","",'Articles'!D38&amp;"")</f>
        <v/>
      </c>
      <c r="D38" s="39" t="str">
        <f>IF(A38="","",ROUND(N('Articles'!H38)+SUMIFS(mv_qty,mv_ref,A38,mv_type,"Entrée",mv_date,"&lt;"&amp;$E$1)-SUMIFS(mv_qty,mv_ref,A38,mv_type,"Sortie",mv_date,"&lt;"&amp;$E$1),6))</f>
        <v/>
      </c>
      <c r="E38" s="39" t="str">
        <f>IF(A38="","",SUMIFS(mv_qty,mv_ref,A38,mv_type,"Entrée",mv_date,"&gt;="&amp;$E$1,mv_date,"&lt;="&amp;$G$1))</f>
        <v/>
      </c>
      <c r="F38" s="39" t="str">
        <f>IF(A38="","",SUMIFS(mv_qty,mv_ref,A38,mv_type,"Sortie",mv_date,"&gt;="&amp;$E$1,mv_date,"&lt;="&amp;$G$1))</f>
        <v/>
      </c>
      <c r="G38" s="39" t="str">
        <f>IF(A38="","",ROUND(D38+E38-F38,6))</f>
        <v/>
      </c>
      <c r="H38" s="40" t="str">
        <f>IF(A38="","",G38*N('Articles'!G38))</f>
        <v/>
      </c>
    </row>
    <row r="39">
      <c r="A39" s="39" t="str">
        <f>IF('Articles'!A39="","",'Articles'!A39)</f>
        <v/>
      </c>
      <c r="B39" s="39" t="str">
        <f>IF(A39="","",'Articles'!B39&amp;"")</f>
        <v/>
      </c>
      <c r="C39" s="39" t="str">
        <f>IF(A39="","",'Articles'!D39&amp;"")</f>
        <v/>
      </c>
      <c r="D39" s="39" t="str">
        <f>IF(A39="","",ROUND(N('Articles'!H39)+SUMIFS(mv_qty,mv_ref,A39,mv_type,"Entrée",mv_date,"&lt;"&amp;$E$1)-SUMIFS(mv_qty,mv_ref,A39,mv_type,"Sortie",mv_date,"&lt;"&amp;$E$1),6))</f>
        <v/>
      </c>
      <c r="E39" s="39" t="str">
        <f>IF(A39="","",SUMIFS(mv_qty,mv_ref,A39,mv_type,"Entrée",mv_date,"&gt;="&amp;$E$1,mv_date,"&lt;="&amp;$G$1))</f>
        <v/>
      </c>
      <c r="F39" s="39" t="str">
        <f>IF(A39="","",SUMIFS(mv_qty,mv_ref,A39,mv_type,"Sortie",mv_date,"&gt;="&amp;$E$1,mv_date,"&lt;="&amp;$G$1))</f>
        <v/>
      </c>
      <c r="G39" s="39" t="str">
        <f>IF(A39="","",ROUND(D39+E39-F39,6))</f>
        <v/>
      </c>
      <c r="H39" s="40" t="str">
        <f>IF(A39="","",G39*N('Articles'!G39))</f>
        <v/>
      </c>
    </row>
    <row r="40">
      <c r="A40" s="39" t="str">
        <f>IF('Articles'!A40="","",'Articles'!A40)</f>
        <v/>
      </c>
      <c r="B40" s="39" t="str">
        <f>IF(A40="","",'Articles'!B40&amp;"")</f>
        <v/>
      </c>
      <c r="C40" s="39" t="str">
        <f>IF(A40="","",'Articles'!D40&amp;"")</f>
        <v/>
      </c>
      <c r="D40" s="39" t="str">
        <f>IF(A40="","",ROUND(N('Articles'!H40)+SUMIFS(mv_qty,mv_ref,A40,mv_type,"Entrée",mv_date,"&lt;"&amp;$E$1)-SUMIFS(mv_qty,mv_ref,A40,mv_type,"Sortie",mv_date,"&lt;"&amp;$E$1),6))</f>
        <v/>
      </c>
      <c r="E40" s="39" t="str">
        <f>IF(A40="","",SUMIFS(mv_qty,mv_ref,A40,mv_type,"Entrée",mv_date,"&gt;="&amp;$E$1,mv_date,"&lt;="&amp;$G$1))</f>
        <v/>
      </c>
      <c r="F40" s="39" t="str">
        <f>IF(A40="","",SUMIFS(mv_qty,mv_ref,A40,mv_type,"Sortie",mv_date,"&gt;="&amp;$E$1,mv_date,"&lt;="&amp;$G$1))</f>
        <v/>
      </c>
      <c r="G40" s="39" t="str">
        <f>IF(A40="","",ROUND(D40+E40-F40,6))</f>
        <v/>
      </c>
      <c r="H40" s="40" t="str">
        <f>IF(A40="","",G40*N('Articles'!G40))</f>
        <v/>
      </c>
    </row>
    <row r="41">
      <c r="A41" s="39" t="str">
        <f>IF('Articles'!A41="","",'Articles'!A41)</f>
        <v/>
      </c>
      <c r="B41" s="39" t="str">
        <f>IF(A41="","",'Articles'!B41&amp;"")</f>
        <v/>
      </c>
      <c r="C41" s="39" t="str">
        <f>IF(A41="","",'Articles'!D41&amp;"")</f>
        <v/>
      </c>
      <c r="D41" s="39" t="str">
        <f>IF(A41="","",ROUND(N('Articles'!H41)+SUMIFS(mv_qty,mv_ref,A41,mv_type,"Entrée",mv_date,"&lt;"&amp;$E$1)-SUMIFS(mv_qty,mv_ref,A41,mv_type,"Sortie",mv_date,"&lt;"&amp;$E$1),6))</f>
        <v/>
      </c>
      <c r="E41" s="39" t="str">
        <f>IF(A41="","",SUMIFS(mv_qty,mv_ref,A41,mv_type,"Entrée",mv_date,"&gt;="&amp;$E$1,mv_date,"&lt;="&amp;$G$1))</f>
        <v/>
      </c>
      <c r="F41" s="39" t="str">
        <f>IF(A41="","",SUMIFS(mv_qty,mv_ref,A41,mv_type,"Sortie",mv_date,"&gt;="&amp;$E$1,mv_date,"&lt;="&amp;$G$1))</f>
        <v/>
      </c>
      <c r="G41" s="39" t="str">
        <f>IF(A41="","",ROUND(D41+E41-F41,6))</f>
        <v/>
      </c>
      <c r="H41" s="40" t="str">
        <f>IF(A41="","",G41*N('Articles'!G41))</f>
        <v/>
      </c>
    </row>
    <row r="42">
      <c r="A42" s="39" t="str">
        <f>IF('Articles'!A42="","",'Articles'!A42)</f>
        <v/>
      </c>
      <c r="B42" s="39" t="str">
        <f>IF(A42="","",'Articles'!B42&amp;"")</f>
        <v/>
      </c>
      <c r="C42" s="39" t="str">
        <f>IF(A42="","",'Articles'!D42&amp;"")</f>
        <v/>
      </c>
      <c r="D42" s="39" t="str">
        <f>IF(A42="","",ROUND(N('Articles'!H42)+SUMIFS(mv_qty,mv_ref,A42,mv_type,"Entrée",mv_date,"&lt;"&amp;$E$1)-SUMIFS(mv_qty,mv_ref,A42,mv_type,"Sortie",mv_date,"&lt;"&amp;$E$1),6))</f>
        <v/>
      </c>
      <c r="E42" s="39" t="str">
        <f>IF(A42="","",SUMIFS(mv_qty,mv_ref,A42,mv_type,"Entrée",mv_date,"&gt;="&amp;$E$1,mv_date,"&lt;="&amp;$G$1))</f>
        <v/>
      </c>
      <c r="F42" s="39" t="str">
        <f>IF(A42="","",SUMIFS(mv_qty,mv_ref,A42,mv_type,"Sortie",mv_date,"&gt;="&amp;$E$1,mv_date,"&lt;="&amp;$G$1))</f>
        <v/>
      </c>
      <c r="G42" s="39" t="str">
        <f>IF(A42="","",ROUND(D42+E42-F42,6))</f>
        <v/>
      </c>
      <c r="H42" s="40" t="str">
        <f>IF(A42="","",G42*N('Articles'!G42))</f>
        <v/>
      </c>
    </row>
    <row r="43">
      <c r="A43" s="39" t="str">
        <f>IF('Articles'!A43="","",'Articles'!A43)</f>
        <v/>
      </c>
      <c r="B43" s="39" t="str">
        <f>IF(A43="","",'Articles'!B43&amp;"")</f>
        <v/>
      </c>
      <c r="C43" s="39" t="str">
        <f>IF(A43="","",'Articles'!D43&amp;"")</f>
        <v/>
      </c>
      <c r="D43" s="39" t="str">
        <f>IF(A43="","",ROUND(N('Articles'!H43)+SUMIFS(mv_qty,mv_ref,A43,mv_type,"Entrée",mv_date,"&lt;"&amp;$E$1)-SUMIFS(mv_qty,mv_ref,A43,mv_type,"Sortie",mv_date,"&lt;"&amp;$E$1),6))</f>
        <v/>
      </c>
      <c r="E43" s="39" t="str">
        <f>IF(A43="","",SUMIFS(mv_qty,mv_ref,A43,mv_type,"Entrée",mv_date,"&gt;="&amp;$E$1,mv_date,"&lt;="&amp;$G$1))</f>
        <v/>
      </c>
      <c r="F43" s="39" t="str">
        <f>IF(A43="","",SUMIFS(mv_qty,mv_ref,A43,mv_type,"Sortie",mv_date,"&gt;="&amp;$E$1,mv_date,"&lt;="&amp;$G$1))</f>
        <v/>
      </c>
      <c r="G43" s="39" t="str">
        <f>IF(A43="","",ROUND(D43+E43-F43,6))</f>
        <v/>
      </c>
      <c r="H43" s="40" t="str">
        <f>IF(A43="","",G43*N('Articles'!G43))</f>
        <v/>
      </c>
    </row>
    <row r="44">
      <c r="A44" s="39" t="str">
        <f>IF('Articles'!A44="","",'Articles'!A44)</f>
        <v/>
      </c>
      <c r="B44" s="39" t="str">
        <f>IF(A44="","",'Articles'!B44&amp;"")</f>
        <v/>
      </c>
      <c r="C44" s="39" t="str">
        <f>IF(A44="","",'Articles'!D44&amp;"")</f>
        <v/>
      </c>
      <c r="D44" s="39" t="str">
        <f>IF(A44="","",ROUND(N('Articles'!H44)+SUMIFS(mv_qty,mv_ref,A44,mv_type,"Entrée",mv_date,"&lt;"&amp;$E$1)-SUMIFS(mv_qty,mv_ref,A44,mv_type,"Sortie",mv_date,"&lt;"&amp;$E$1),6))</f>
        <v/>
      </c>
      <c r="E44" s="39" t="str">
        <f>IF(A44="","",SUMIFS(mv_qty,mv_ref,A44,mv_type,"Entrée",mv_date,"&gt;="&amp;$E$1,mv_date,"&lt;="&amp;$G$1))</f>
        <v/>
      </c>
      <c r="F44" s="39" t="str">
        <f>IF(A44="","",SUMIFS(mv_qty,mv_ref,A44,mv_type,"Sortie",mv_date,"&gt;="&amp;$E$1,mv_date,"&lt;="&amp;$G$1))</f>
        <v/>
      </c>
      <c r="G44" s="39" t="str">
        <f>IF(A44="","",ROUND(D44+E44-F44,6))</f>
        <v/>
      </c>
      <c r="H44" s="40" t="str">
        <f>IF(A44="","",G44*N('Articles'!G44))</f>
        <v/>
      </c>
    </row>
    <row r="45">
      <c r="A45" s="39" t="str">
        <f>IF('Articles'!A45="","",'Articles'!A45)</f>
        <v/>
      </c>
      <c r="B45" s="39" t="str">
        <f>IF(A45="","",'Articles'!B45&amp;"")</f>
        <v/>
      </c>
      <c r="C45" s="39" t="str">
        <f>IF(A45="","",'Articles'!D45&amp;"")</f>
        <v/>
      </c>
      <c r="D45" s="39" t="str">
        <f>IF(A45="","",ROUND(N('Articles'!H45)+SUMIFS(mv_qty,mv_ref,A45,mv_type,"Entrée",mv_date,"&lt;"&amp;$E$1)-SUMIFS(mv_qty,mv_ref,A45,mv_type,"Sortie",mv_date,"&lt;"&amp;$E$1),6))</f>
        <v/>
      </c>
      <c r="E45" s="39" t="str">
        <f>IF(A45="","",SUMIFS(mv_qty,mv_ref,A45,mv_type,"Entrée",mv_date,"&gt;="&amp;$E$1,mv_date,"&lt;="&amp;$G$1))</f>
        <v/>
      </c>
      <c r="F45" s="39" t="str">
        <f>IF(A45="","",SUMIFS(mv_qty,mv_ref,A45,mv_type,"Sortie",mv_date,"&gt;="&amp;$E$1,mv_date,"&lt;="&amp;$G$1))</f>
        <v/>
      </c>
      <c r="G45" s="39" t="str">
        <f>IF(A45="","",ROUND(D45+E45-F45,6))</f>
        <v/>
      </c>
      <c r="H45" s="40" t="str">
        <f>IF(A45="","",G45*N('Articles'!G45))</f>
        <v/>
      </c>
    </row>
    <row r="46">
      <c r="A46" s="39" t="str">
        <f>IF('Articles'!A46="","",'Articles'!A46)</f>
        <v/>
      </c>
      <c r="B46" s="39" t="str">
        <f>IF(A46="","",'Articles'!B46&amp;"")</f>
        <v/>
      </c>
      <c r="C46" s="39" t="str">
        <f>IF(A46="","",'Articles'!D46&amp;"")</f>
        <v/>
      </c>
      <c r="D46" s="39" t="str">
        <f>IF(A46="","",ROUND(N('Articles'!H46)+SUMIFS(mv_qty,mv_ref,A46,mv_type,"Entrée",mv_date,"&lt;"&amp;$E$1)-SUMIFS(mv_qty,mv_ref,A46,mv_type,"Sortie",mv_date,"&lt;"&amp;$E$1),6))</f>
        <v/>
      </c>
      <c r="E46" s="39" t="str">
        <f>IF(A46="","",SUMIFS(mv_qty,mv_ref,A46,mv_type,"Entrée",mv_date,"&gt;="&amp;$E$1,mv_date,"&lt;="&amp;$G$1))</f>
        <v/>
      </c>
      <c r="F46" s="39" t="str">
        <f>IF(A46="","",SUMIFS(mv_qty,mv_ref,A46,mv_type,"Sortie",mv_date,"&gt;="&amp;$E$1,mv_date,"&lt;="&amp;$G$1))</f>
        <v/>
      </c>
      <c r="G46" s="39" t="str">
        <f>IF(A46="","",ROUND(D46+E46-F46,6))</f>
        <v/>
      </c>
      <c r="H46" s="40" t="str">
        <f>IF(A46="","",G46*N('Articles'!G46))</f>
        <v/>
      </c>
    </row>
    <row r="47">
      <c r="A47" s="39" t="str">
        <f>IF('Articles'!A47="","",'Articles'!A47)</f>
        <v/>
      </c>
      <c r="B47" s="39" t="str">
        <f>IF(A47="","",'Articles'!B47&amp;"")</f>
        <v/>
      </c>
      <c r="C47" s="39" t="str">
        <f>IF(A47="","",'Articles'!D47&amp;"")</f>
        <v/>
      </c>
      <c r="D47" s="39" t="str">
        <f>IF(A47="","",ROUND(N('Articles'!H47)+SUMIFS(mv_qty,mv_ref,A47,mv_type,"Entrée",mv_date,"&lt;"&amp;$E$1)-SUMIFS(mv_qty,mv_ref,A47,mv_type,"Sortie",mv_date,"&lt;"&amp;$E$1),6))</f>
        <v/>
      </c>
      <c r="E47" s="39" t="str">
        <f>IF(A47="","",SUMIFS(mv_qty,mv_ref,A47,mv_type,"Entrée",mv_date,"&gt;="&amp;$E$1,mv_date,"&lt;="&amp;$G$1))</f>
        <v/>
      </c>
      <c r="F47" s="39" t="str">
        <f>IF(A47="","",SUMIFS(mv_qty,mv_ref,A47,mv_type,"Sortie",mv_date,"&gt;="&amp;$E$1,mv_date,"&lt;="&amp;$G$1))</f>
        <v/>
      </c>
      <c r="G47" s="39" t="str">
        <f>IF(A47="","",ROUND(D47+E47-F47,6))</f>
        <v/>
      </c>
      <c r="H47" s="40" t="str">
        <f>IF(A47="","",G47*N('Articles'!G47))</f>
        <v/>
      </c>
    </row>
    <row r="48">
      <c r="A48" s="39" t="str">
        <f>IF('Articles'!A48="","",'Articles'!A48)</f>
        <v/>
      </c>
      <c r="B48" s="39" t="str">
        <f>IF(A48="","",'Articles'!B48&amp;"")</f>
        <v/>
      </c>
      <c r="C48" s="39" t="str">
        <f>IF(A48="","",'Articles'!D48&amp;"")</f>
        <v/>
      </c>
      <c r="D48" s="39" t="str">
        <f>IF(A48="","",ROUND(N('Articles'!H48)+SUMIFS(mv_qty,mv_ref,A48,mv_type,"Entrée",mv_date,"&lt;"&amp;$E$1)-SUMIFS(mv_qty,mv_ref,A48,mv_type,"Sortie",mv_date,"&lt;"&amp;$E$1),6))</f>
        <v/>
      </c>
      <c r="E48" s="39" t="str">
        <f>IF(A48="","",SUMIFS(mv_qty,mv_ref,A48,mv_type,"Entrée",mv_date,"&gt;="&amp;$E$1,mv_date,"&lt;="&amp;$G$1))</f>
        <v/>
      </c>
      <c r="F48" s="39" t="str">
        <f>IF(A48="","",SUMIFS(mv_qty,mv_ref,A48,mv_type,"Sortie",mv_date,"&gt;="&amp;$E$1,mv_date,"&lt;="&amp;$G$1))</f>
        <v/>
      </c>
      <c r="G48" s="39" t="str">
        <f>IF(A48="","",ROUND(D48+E48-F48,6))</f>
        <v/>
      </c>
      <c r="H48" s="40" t="str">
        <f>IF(A48="","",G48*N('Articles'!G48))</f>
        <v/>
      </c>
    </row>
    <row r="49">
      <c r="A49" s="39" t="str">
        <f>IF('Articles'!A49="","",'Articles'!A49)</f>
        <v/>
      </c>
      <c r="B49" s="39" t="str">
        <f>IF(A49="","",'Articles'!B49&amp;"")</f>
        <v/>
      </c>
      <c r="C49" s="39" t="str">
        <f>IF(A49="","",'Articles'!D49&amp;"")</f>
        <v/>
      </c>
      <c r="D49" s="39" t="str">
        <f>IF(A49="","",ROUND(N('Articles'!H49)+SUMIFS(mv_qty,mv_ref,A49,mv_type,"Entrée",mv_date,"&lt;"&amp;$E$1)-SUMIFS(mv_qty,mv_ref,A49,mv_type,"Sortie",mv_date,"&lt;"&amp;$E$1),6))</f>
        <v/>
      </c>
      <c r="E49" s="39" t="str">
        <f>IF(A49="","",SUMIFS(mv_qty,mv_ref,A49,mv_type,"Entrée",mv_date,"&gt;="&amp;$E$1,mv_date,"&lt;="&amp;$G$1))</f>
        <v/>
      </c>
      <c r="F49" s="39" t="str">
        <f>IF(A49="","",SUMIFS(mv_qty,mv_ref,A49,mv_type,"Sortie",mv_date,"&gt;="&amp;$E$1,mv_date,"&lt;="&amp;$G$1))</f>
        <v/>
      </c>
      <c r="G49" s="39" t="str">
        <f>IF(A49="","",ROUND(D49+E49-F49,6))</f>
        <v/>
      </c>
      <c r="H49" s="40" t="str">
        <f>IF(A49="","",G49*N('Articles'!G49))</f>
        <v/>
      </c>
    </row>
    <row r="50">
      <c r="A50" s="39" t="str">
        <f>IF('Articles'!A50="","",'Articles'!A50)</f>
        <v/>
      </c>
      <c r="B50" s="39" t="str">
        <f>IF(A50="","",'Articles'!B50&amp;"")</f>
        <v/>
      </c>
      <c r="C50" s="39" t="str">
        <f>IF(A50="","",'Articles'!D50&amp;"")</f>
        <v/>
      </c>
      <c r="D50" s="39" t="str">
        <f>IF(A50="","",ROUND(N('Articles'!H50)+SUMIFS(mv_qty,mv_ref,A50,mv_type,"Entrée",mv_date,"&lt;"&amp;$E$1)-SUMIFS(mv_qty,mv_ref,A50,mv_type,"Sortie",mv_date,"&lt;"&amp;$E$1),6))</f>
        <v/>
      </c>
      <c r="E50" s="39" t="str">
        <f>IF(A50="","",SUMIFS(mv_qty,mv_ref,A50,mv_type,"Entrée",mv_date,"&gt;="&amp;$E$1,mv_date,"&lt;="&amp;$G$1))</f>
        <v/>
      </c>
      <c r="F50" s="39" t="str">
        <f>IF(A50="","",SUMIFS(mv_qty,mv_ref,A50,mv_type,"Sortie",mv_date,"&gt;="&amp;$E$1,mv_date,"&lt;="&amp;$G$1))</f>
        <v/>
      </c>
      <c r="G50" s="39" t="str">
        <f>IF(A50="","",ROUND(D50+E50-F50,6))</f>
        <v/>
      </c>
      <c r="H50" s="40" t="str">
        <f>IF(A50="","",G50*N('Articles'!G50))</f>
        <v/>
      </c>
    </row>
    <row r="51">
      <c r="A51" s="39" t="str">
        <f>IF('Articles'!A51="","",'Articles'!A51)</f>
        <v/>
      </c>
      <c r="B51" s="39" t="str">
        <f>IF(A51="","",'Articles'!B51&amp;"")</f>
        <v/>
      </c>
      <c r="C51" s="39" t="str">
        <f>IF(A51="","",'Articles'!D51&amp;"")</f>
        <v/>
      </c>
      <c r="D51" s="39" t="str">
        <f>IF(A51="","",ROUND(N('Articles'!H51)+SUMIFS(mv_qty,mv_ref,A51,mv_type,"Entrée",mv_date,"&lt;"&amp;$E$1)-SUMIFS(mv_qty,mv_ref,A51,mv_type,"Sortie",mv_date,"&lt;"&amp;$E$1),6))</f>
        <v/>
      </c>
      <c r="E51" s="39" t="str">
        <f>IF(A51="","",SUMIFS(mv_qty,mv_ref,A51,mv_type,"Entrée",mv_date,"&gt;="&amp;$E$1,mv_date,"&lt;="&amp;$G$1))</f>
        <v/>
      </c>
      <c r="F51" s="39" t="str">
        <f>IF(A51="","",SUMIFS(mv_qty,mv_ref,A51,mv_type,"Sortie",mv_date,"&gt;="&amp;$E$1,mv_date,"&lt;="&amp;$G$1))</f>
        <v/>
      </c>
      <c r="G51" s="39" t="str">
        <f>IF(A51="","",ROUND(D51+E51-F51,6))</f>
        <v/>
      </c>
      <c r="H51" s="40" t="str">
        <f>IF(A51="","",G51*N('Articles'!G51))</f>
        <v/>
      </c>
    </row>
    <row r="52">
      <c r="A52" s="39" t="str">
        <f>IF('Articles'!A52="","",'Articles'!A52)</f>
        <v/>
      </c>
      <c r="B52" s="39" t="str">
        <f>IF(A52="","",'Articles'!B52&amp;"")</f>
        <v/>
      </c>
      <c r="C52" s="39" t="str">
        <f>IF(A52="","",'Articles'!D52&amp;"")</f>
        <v/>
      </c>
      <c r="D52" s="39" t="str">
        <f>IF(A52="","",ROUND(N('Articles'!H52)+SUMIFS(mv_qty,mv_ref,A52,mv_type,"Entrée",mv_date,"&lt;"&amp;$E$1)-SUMIFS(mv_qty,mv_ref,A52,mv_type,"Sortie",mv_date,"&lt;"&amp;$E$1),6))</f>
        <v/>
      </c>
      <c r="E52" s="39" t="str">
        <f>IF(A52="","",SUMIFS(mv_qty,mv_ref,A52,mv_type,"Entrée",mv_date,"&gt;="&amp;$E$1,mv_date,"&lt;="&amp;$G$1))</f>
        <v/>
      </c>
      <c r="F52" s="39" t="str">
        <f>IF(A52="","",SUMIFS(mv_qty,mv_ref,A52,mv_type,"Sortie",mv_date,"&gt;="&amp;$E$1,mv_date,"&lt;="&amp;$G$1))</f>
        <v/>
      </c>
      <c r="G52" s="39" t="str">
        <f>IF(A52="","",ROUND(D52+E52-F52,6))</f>
        <v/>
      </c>
      <c r="H52" s="40" t="str">
        <f>IF(A52="","",G52*N('Articles'!G52))</f>
        <v/>
      </c>
    </row>
    <row r="53">
      <c r="A53" s="39" t="str">
        <f>IF('Articles'!A53="","",'Articles'!A53)</f>
        <v/>
      </c>
      <c r="B53" s="39" t="str">
        <f>IF(A53="","",'Articles'!B53&amp;"")</f>
        <v/>
      </c>
      <c r="C53" s="39" t="str">
        <f>IF(A53="","",'Articles'!D53&amp;"")</f>
        <v/>
      </c>
      <c r="D53" s="39" t="str">
        <f>IF(A53="","",ROUND(N('Articles'!H53)+SUMIFS(mv_qty,mv_ref,A53,mv_type,"Entrée",mv_date,"&lt;"&amp;$E$1)-SUMIFS(mv_qty,mv_ref,A53,mv_type,"Sortie",mv_date,"&lt;"&amp;$E$1),6))</f>
        <v/>
      </c>
      <c r="E53" s="39" t="str">
        <f>IF(A53="","",SUMIFS(mv_qty,mv_ref,A53,mv_type,"Entrée",mv_date,"&gt;="&amp;$E$1,mv_date,"&lt;="&amp;$G$1))</f>
        <v/>
      </c>
      <c r="F53" s="39" t="str">
        <f>IF(A53="","",SUMIFS(mv_qty,mv_ref,A53,mv_type,"Sortie",mv_date,"&gt;="&amp;$E$1,mv_date,"&lt;="&amp;$G$1))</f>
        <v/>
      </c>
      <c r="G53" s="39" t="str">
        <f>IF(A53="","",ROUND(D53+E53-F53,6))</f>
        <v/>
      </c>
      <c r="H53" s="40" t="str">
        <f>IF(A53="","",G53*N('Articles'!G53))</f>
        <v/>
      </c>
    </row>
    <row r="54">
      <c r="A54" s="39" t="str">
        <f>IF('Articles'!A54="","",'Articles'!A54)</f>
        <v/>
      </c>
      <c r="B54" s="39" t="str">
        <f>IF(A54="","",'Articles'!B54&amp;"")</f>
        <v/>
      </c>
      <c r="C54" s="39" t="str">
        <f>IF(A54="","",'Articles'!D54&amp;"")</f>
        <v/>
      </c>
      <c r="D54" s="39" t="str">
        <f>IF(A54="","",ROUND(N('Articles'!H54)+SUMIFS(mv_qty,mv_ref,A54,mv_type,"Entrée",mv_date,"&lt;"&amp;$E$1)-SUMIFS(mv_qty,mv_ref,A54,mv_type,"Sortie",mv_date,"&lt;"&amp;$E$1),6))</f>
        <v/>
      </c>
      <c r="E54" s="39" t="str">
        <f>IF(A54="","",SUMIFS(mv_qty,mv_ref,A54,mv_type,"Entrée",mv_date,"&gt;="&amp;$E$1,mv_date,"&lt;="&amp;$G$1))</f>
        <v/>
      </c>
      <c r="F54" s="39" t="str">
        <f>IF(A54="","",SUMIFS(mv_qty,mv_ref,A54,mv_type,"Sortie",mv_date,"&gt;="&amp;$E$1,mv_date,"&lt;="&amp;$G$1))</f>
        <v/>
      </c>
      <c r="G54" s="39" t="str">
        <f>IF(A54="","",ROUND(D54+E54-F54,6))</f>
        <v/>
      </c>
      <c r="H54" s="40" t="str">
        <f>IF(A54="","",G54*N('Articles'!G54))</f>
        <v/>
      </c>
    </row>
    <row r="55">
      <c r="A55" s="39" t="str">
        <f>IF('Articles'!A55="","",'Articles'!A55)</f>
        <v/>
      </c>
      <c r="B55" s="39" t="str">
        <f>IF(A55="","",'Articles'!B55&amp;"")</f>
        <v/>
      </c>
      <c r="C55" s="39" t="str">
        <f>IF(A55="","",'Articles'!D55&amp;"")</f>
        <v/>
      </c>
      <c r="D55" s="39" t="str">
        <f>IF(A55="","",ROUND(N('Articles'!H55)+SUMIFS(mv_qty,mv_ref,A55,mv_type,"Entrée",mv_date,"&lt;"&amp;$E$1)-SUMIFS(mv_qty,mv_ref,A55,mv_type,"Sortie",mv_date,"&lt;"&amp;$E$1),6))</f>
        <v/>
      </c>
      <c r="E55" s="39" t="str">
        <f>IF(A55="","",SUMIFS(mv_qty,mv_ref,A55,mv_type,"Entrée",mv_date,"&gt;="&amp;$E$1,mv_date,"&lt;="&amp;$G$1))</f>
        <v/>
      </c>
      <c r="F55" s="39" t="str">
        <f>IF(A55="","",SUMIFS(mv_qty,mv_ref,A55,mv_type,"Sortie",mv_date,"&gt;="&amp;$E$1,mv_date,"&lt;="&amp;$G$1))</f>
        <v/>
      </c>
      <c r="G55" s="39" t="str">
        <f>IF(A55="","",ROUND(D55+E55-F55,6))</f>
        <v/>
      </c>
      <c r="H55" s="40" t="str">
        <f>IF(A55="","",G55*N('Articles'!G55))</f>
        <v/>
      </c>
    </row>
    <row r="56">
      <c r="A56" s="39" t="str">
        <f>IF('Articles'!A56="","",'Articles'!A56)</f>
        <v/>
      </c>
      <c r="B56" s="39" t="str">
        <f>IF(A56="","",'Articles'!B56&amp;"")</f>
        <v/>
      </c>
      <c r="C56" s="39" t="str">
        <f>IF(A56="","",'Articles'!D56&amp;"")</f>
        <v/>
      </c>
      <c r="D56" s="39" t="str">
        <f>IF(A56="","",ROUND(N('Articles'!H56)+SUMIFS(mv_qty,mv_ref,A56,mv_type,"Entrée",mv_date,"&lt;"&amp;$E$1)-SUMIFS(mv_qty,mv_ref,A56,mv_type,"Sortie",mv_date,"&lt;"&amp;$E$1),6))</f>
        <v/>
      </c>
      <c r="E56" s="39" t="str">
        <f>IF(A56="","",SUMIFS(mv_qty,mv_ref,A56,mv_type,"Entrée",mv_date,"&gt;="&amp;$E$1,mv_date,"&lt;="&amp;$G$1))</f>
        <v/>
      </c>
      <c r="F56" s="39" t="str">
        <f>IF(A56="","",SUMIFS(mv_qty,mv_ref,A56,mv_type,"Sortie",mv_date,"&gt;="&amp;$E$1,mv_date,"&lt;="&amp;$G$1))</f>
        <v/>
      </c>
      <c r="G56" s="39" t="str">
        <f>IF(A56="","",ROUND(D56+E56-F56,6))</f>
        <v/>
      </c>
      <c r="H56" s="40" t="str">
        <f>IF(A56="","",G56*N('Articles'!G56))</f>
        <v/>
      </c>
    </row>
    <row r="57">
      <c r="A57" s="39" t="str">
        <f>IF('Articles'!A57="","",'Articles'!A57)</f>
        <v/>
      </c>
      <c r="B57" s="39" t="str">
        <f>IF(A57="","",'Articles'!B57&amp;"")</f>
        <v/>
      </c>
      <c r="C57" s="39" t="str">
        <f>IF(A57="","",'Articles'!D57&amp;"")</f>
        <v/>
      </c>
      <c r="D57" s="39" t="str">
        <f>IF(A57="","",ROUND(N('Articles'!H57)+SUMIFS(mv_qty,mv_ref,A57,mv_type,"Entrée",mv_date,"&lt;"&amp;$E$1)-SUMIFS(mv_qty,mv_ref,A57,mv_type,"Sortie",mv_date,"&lt;"&amp;$E$1),6))</f>
        <v/>
      </c>
      <c r="E57" s="39" t="str">
        <f>IF(A57="","",SUMIFS(mv_qty,mv_ref,A57,mv_type,"Entrée",mv_date,"&gt;="&amp;$E$1,mv_date,"&lt;="&amp;$G$1))</f>
        <v/>
      </c>
      <c r="F57" s="39" t="str">
        <f>IF(A57="","",SUMIFS(mv_qty,mv_ref,A57,mv_type,"Sortie",mv_date,"&gt;="&amp;$E$1,mv_date,"&lt;="&amp;$G$1))</f>
        <v/>
      </c>
      <c r="G57" s="39" t="str">
        <f>IF(A57="","",ROUND(D57+E57-F57,6))</f>
        <v/>
      </c>
      <c r="H57" s="40" t="str">
        <f>IF(A57="","",G57*N('Articles'!G57))</f>
        <v/>
      </c>
    </row>
    <row r="58">
      <c r="A58" s="39" t="str">
        <f>IF('Articles'!A58="","",'Articles'!A58)</f>
        <v/>
      </c>
      <c r="B58" s="39" t="str">
        <f>IF(A58="","",'Articles'!B58&amp;"")</f>
        <v/>
      </c>
      <c r="C58" s="39" t="str">
        <f>IF(A58="","",'Articles'!D58&amp;"")</f>
        <v/>
      </c>
      <c r="D58" s="39" t="str">
        <f>IF(A58="","",ROUND(N('Articles'!H58)+SUMIFS(mv_qty,mv_ref,A58,mv_type,"Entrée",mv_date,"&lt;"&amp;$E$1)-SUMIFS(mv_qty,mv_ref,A58,mv_type,"Sortie",mv_date,"&lt;"&amp;$E$1),6))</f>
        <v/>
      </c>
      <c r="E58" s="39" t="str">
        <f>IF(A58="","",SUMIFS(mv_qty,mv_ref,A58,mv_type,"Entrée",mv_date,"&gt;="&amp;$E$1,mv_date,"&lt;="&amp;$G$1))</f>
        <v/>
      </c>
      <c r="F58" s="39" t="str">
        <f>IF(A58="","",SUMIFS(mv_qty,mv_ref,A58,mv_type,"Sortie",mv_date,"&gt;="&amp;$E$1,mv_date,"&lt;="&amp;$G$1))</f>
        <v/>
      </c>
      <c r="G58" s="39" t="str">
        <f>IF(A58="","",ROUND(D58+E58-F58,6))</f>
        <v/>
      </c>
      <c r="H58" s="40" t="str">
        <f>IF(A58="","",G58*N('Articles'!G58))</f>
        <v/>
      </c>
    </row>
    <row r="59">
      <c r="A59" s="39" t="str">
        <f>IF('Articles'!A59="","",'Articles'!A59)</f>
        <v/>
      </c>
      <c r="B59" s="39" t="str">
        <f>IF(A59="","",'Articles'!B59&amp;"")</f>
        <v/>
      </c>
      <c r="C59" s="39" t="str">
        <f>IF(A59="","",'Articles'!D59&amp;"")</f>
        <v/>
      </c>
      <c r="D59" s="39" t="str">
        <f>IF(A59="","",ROUND(N('Articles'!H59)+SUMIFS(mv_qty,mv_ref,A59,mv_type,"Entrée",mv_date,"&lt;"&amp;$E$1)-SUMIFS(mv_qty,mv_ref,A59,mv_type,"Sortie",mv_date,"&lt;"&amp;$E$1),6))</f>
        <v/>
      </c>
      <c r="E59" s="39" t="str">
        <f>IF(A59="","",SUMIFS(mv_qty,mv_ref,A59,mv_type,"Entrée",mv_date,"&gt;="&amp;$E$1,mv_date,"&lt;="&amp;$G$1))</f>
        <v/>
      </c>
      <c r="F59" s="39" t="str">
        <f>IF(A59="","",SUMIFS(mv_qty,mv_ref,A59,mv_type,"Sortie",mv_date,"&gt;="&amp;$E$1,mv_date,"&lt;="&amp;$G$1))</f>
        <v/>
      </c>
      <c r="G59" s="39" t="str">
        <f>IF(A59="","",ROUND(D59+E59-F59,6))</f>
        <v/>
      </c>
      <c r="H59" s="40" t="str">
        <f>IF(A59="","",G59*N('Articles'!G59))</f>
        <v/>
      </c>
    </row>
    <row r="60">
      <c r="A60" s="39" t="str">
        <f>IF('Articles'!A60="","",'Articles'!A60)</f>
        <v/>
      </c>
      <c r="B60" s="39" t="str">
        <f>IF(A60="","",'Articles'!B60&amp;"")</f>
        <v/>
      </c>
      <c r="C60" s="39" t="str">
        <f>IF(A60="","",'Articles'!D60&amp;"")</f>
        <v/>
      </c>
      <c r="D60" s="39" t="str">
        <f>IF(A60="","",ROUND(N('Articles'!H60)+SUMIFS(mv_qty,mv_ref,A60,mv_type,"Entrée",mv_date,"&lt;"&amp;$E$1)-SUMIFS(mv_qty,mv_ref,A60,mv_type,"Sortie",mv_date,"&lt;"&amp;$E$1),6))</f>
        <v/>
      </c>
      <c r="E60" s="39" t="str">
        <f>IF(A60="","",SUMIFS(mv_qty,mv_ref,A60,mv_type,"Entrée",mv_date,"&gt;="&amp;$E$1,mv_date,"&lt;="&amp;$G$1))</f>
        <v/>
      </c>
      <c r="F60" s="39" t="str">
        <f>IF(A60="","",SUMIFS(mv_qty,mv_ref,A60,mv_type,"Sortie",mv_date,"&gt;="&amp;$E$1,mv_date,"&lt;="&amp;$G$1))</f>
        <v/>
      </c>
      <c r="G60" s="39" t="str">
        <f>IF(A60="","",ROUND(D60+E60-F60,6))</f>
        <v/>
      </c>
      <c r="H60" s="40" t="str">
        <f>IF(A60="","",G60*N('Articles'!G60))</f>
        <v/>
      </c>
    </row>
    <row r="61">
      <c r="A61" s="39" t="str">
        <f>IF('Articles'!A61="","",'Articles'!A61)</f>
        <v/>
      </c>
      <c r="B61" s="39" t="str">
        <f>IF(A61="","",'Articles'!B61&amp;"")</f>
        <v/>
      </c>
      <c r="C61" s="39" t="str">
        <f>IF(A61="","",'Articles'!D61&amp;"")</f>
        <v/>
      </c>
      <c r="D61" s="39" t="str">
        <f>IF(A61="","",ROUND(N('Articles'!H61)+SUMIFS(mv_qty,mv_ref,A61,mv_type,"Entrée",mv_date,"&lt;"&amp;$E$1)-SUMIFS(mv_qty,mv_ref,A61,mv_type,"Sortie",mv_date,"&lt;"&amp;$E$1),6))</f>
        <v/>
      </c>
      <c r="E61" s="39" t="str">
        <f>IF(A61="","",SUMIFS(mv_qty,mv_ref,A61,mv_type,"Entrée",mv_date,"&gt;="&amp;$E$1,mv_date,"&lt;="&amp;$G$1))</f>
        <v/>
      </c>
      <c r="F61" s="39" t="str">
        <f>IF(A61="","",SUMIFS(mv_qty,mv_ref,A61,mv_type,"Sortie",mv_date,"&gt;="&amp;$E$1,mv_date,"&lt;="&amp;$G$1))</f>
        <v/>
      </c>
      <c r="G61" s="39" t="str">
        <f>IF(A61="","",ROUND(D61+E61-F61,6))</f>
        <v/>
      </c>
      <c r="H61" s="40" t="str">
        <f>IF(A61="","",G61*N('Articles'!G61))</f>
        <v/>
      </c>
    </row>
    <row r="62">
      <c r="A62" s="39" t="str">
        <f>IF('Articles'!A62="","",'Articles'!A62)</f>
        <v/>
      </c>
      <c r="B62" s="39" t="str">
        <f>IF(A62="","",'Articles'!B62&amp;"")</f>
        <v/>
      </c>
      <c r="C62" s="39" t="str">
        <f>IF(A62="","",'Articles'!D62&amp;"")</f>
        <v/>
      </c>
      <c r="D62" s="39" t="str">
        <f>IF(A62="","",ROUND(N('Articles'!H62)+SUMIFS(mv_qty,mv_ref,A62,mv_type,"Entrée",mv_date,"&lt;"&amp;$E$1)-SUMIFS(mv_qty,mv_ref,A62,mv_type,"Sortie",mv_date,"&lt;"&amp;$E$1),6))</f>
        <v/>
      </c>
      <c r="E62" s="39" t="str">
        <f>IF(A62="","",SUMIFS(mv_qty,mv_ref,A62,mv_type,"Entrée",mv_date,"&gt;="&amp;$E$1,mv_date,"&lt;="&amp;$G$1))</f>
        <v/>
      </c>
      <c r="F62" s="39" t="str">
        <f>IF(A62="","",SUMIFS(mv_qty,mv_ref,A62,mv_type,"Sortie",mv_date,"&gt;="&amp;$E$1,mv_date,"&lt;="&amp;$G$1))</f>
        <v/>
      </c>
      <c r="G62" s="39" t="str">
        <f>IF(A62="","",ROUND(D62+E62-F62,6))</f>
        <v/>
      </c>
      <c r="H62" s="40" t="str">
        <f>IF(A62="","",G62*N('Articles'!G62))</f>
        <v/>
      </c>
    </row>
    <row r="63">
      <c r="A63" s="39" t="str">
        <f>IF('Articles'!A63="","",'Articles'!A63)</f>
        <v/>
      </c>
      <c r="B63" s="39" t="str">
        <f>IF(A63="","",'Articles'!B63&amp;"")</f>
        <v/>
      </c>
      <c r="C63" s="39" t="str">
        <f>IF(A63="","",'Articles'!D63&amp;"")</f>
        <v/>
      </c>
      <c r="D63" s="39" t="str">
        <f>IF(A63="","",ROUND(N('Articles'!H63)+SUMIFS(mv_qty,mv_ref,A63,mv_type,"Entrée",mv_date,"&lt;"&amp;$E$1)-SUMIFS(mv_qty,mv_ref,A63,mv_type,"Sortie",mv_date,"&lt;"&amp;$E$1),6))</f>
        <v/>
      </c>
      <c r="E63" s="39" t="str">
        <f>IF(A63="","",SUMIFS(mv_qty,mv_ref,A63,mv_type,"Entrée",mv_date,"&gt;="&amp;$E$1,mv_date,"&lt;="&amp;$G$1))</f>
        <v/>
      </c>
      <c r="F63" s="39" t="str">
        <f>IF(A63="","",SUMIFS(mv_qty,mv_ref,A63,mv_type,"Sortie",mv_date,"&gt;="&amp;$E$1,mv_date,"&lt;="&amp;$G$1))</f>
        <v/>
      </c>
      <c r="G63" s="39" t="str">
        <f>IF(A63="","",ROUND(D63+E63-F63,6))</f>
        <v/>
      </c>
      <c r="H63" s="40" t="str">
        <f>IF(A63="","",G63*N('Articles'!G63))</f>
        <v/>
      </c>
    </row>
    <row r="64">
      <c r="A64" s="39" t="str">
        <f>IF('Articles'!A64="","",'Articles'!A64)</f>
        <v/>
      </c>
      <c r="B64" s="39" t="str">
        <f>IF(A64="","",'Articles'!B64&amp;"")</f>
        <v/>
      </c>
      <c r="C64" s="39" t="str">
        <f>IF(A64="","",'Articles'!D64&amp;"")</f>
        <v/>
      </c>
      <c r="D64" s="39" t="str">
        <f>IF(A64="","",ROUND(N('Articles'!H64)+SUMIFS(mv_qty,mv_ref,A64,mv_type,"Entrée",mv_date,"&lt;"&amp;$E$1)-SUMIFS(mv_qty,mv_ref,A64,mv_type,"Sortie",mv_date,"&lt;"&amp;$E$1),6))</f>
        <v/>
      </c>
      <c r="E64" s="39" t="str">
        <f>IF(A64="","",SUMIFS(mv_qty,mv_ref,A64,mv_type,"Entrée",mv_date,"&gt;="&amp;$E$1,mv_date,"&lt;="&amp;$G$1))</f>
        <v/>
      </c>
      <c r="F64" s="39" t="str">
        <f>IF(A64="","",SUMIFS(mv_qty,mv_ref,A64,mv_type,"Sortie",mv_date,"&gt;="&amp;$E$1,mv_date,"&lt;="&amp;$G$1))</f>
        <v/>
      </c>
      <c r="G64" s="39" t="str">
        <f>IF(A64="","",ROUND(D64+E64-F64,6))</f>
        <v/>
      </c>
      <c r="H64" s="40" t="str">
        <f>IF(A64="","",G64*N('Articles'!G64))</f>
        <v/>
      </c>
    </row>
    <row r="65">
      <c r="A65" s="39" t="str">
        <f>IF('Articles'!A65="","",'Articles'!A65)</f>
        <v/>
      </c>
      <c r="B65" s="39" t="str">
        <f>IF(A65="","",'Articles'!B65&amp;"")</f>
        <v/>
      </c>
      <c r="C65" s="39" t="str">
        <f>IF(A65="","",'Articles'!D65&amp;"")</f>
        <v/>
      </c>
      <c r="D65" s="39" t="str">
        <f>IF(A65="","",ROUND(N('Articles'!H65)+SUMIFS(mv_qty,mv_ref,A65,mv_type,"Entrée",mv_date,"&lt;"&amp;$E$1)-SUMIFS(mv_qty,mv_ref,A65,mv_type,"Sortie",mv_date,"&lt;"&amp;$E$1),6))</f>
        <v/>
      </c>
      <c r="E65" s="39" t="str">
        <f>IF(A65="","",SUMIFS(mv_qty,mv_ref,A65,mv_type,"Entrée",mv_date,"&gt;="&amp;$E$1,mv_date,"&lt;="&amp;$G$1))</f>
        <v/>
      </c>
      <c r="F65" s="39" t="str">
        <f>IF(A65="","",SUMIFS(mv_qty,mv_ref,A65,mv_type,"Sortie",mv_date,"&gt;="&amp;$E$1,mv_date,"&lt;="&amp;$G$1))</f>
        <v/>
      </c>
      <c r="G65" s="39" t="str">
        <f>IF(A65="","",ROUND(D65+E65-F65,6))</f>
        <v/>
      </c>
      <c r="H65" s="40" t="str">
        <f>IF(A65="","",G65*N('Articles'!G65))</f>
        <v/>
      </c>
    </row>
    <row r="66">
      <c r="A66" s="39" t="str">
        <f>IF('Articles'!A66="","",'Articles'!A66)</f>
        <v/>
      </c>
      <c r="B66" s="39" t="str">
        <f>IF(A66="","",'Articles'!B66&amp;"")</f>
        <v/>
      </c>
      <c r="C66" s="39" t="str">
        <f>IF(A66="","",'Articles'!D66&amp;"")</f>
        <v/>
      </c>
      <c r="D66" s="39" t="str">
        <f>IF(A66="","",ROUND(N('Articles'!H66)+SUMIFS(mv_qty,mv_ref,A66,mv_type,"Entrée",mv_date,"&lt;"&amp;$E$1)-SUMIFS(mv_qty,mv_ref,A66,mv_type,"Sortie",mv_date,"&lt;"&amp;$E$1),6))</f>
        <v/>
      </c>
      <c r="E66" s="39" t="str">
        <f>IF(A66="","",SUMIFS(mv_qty,mv_ref,A66,mv_type,"Entrée",mv_date,"&gt;="&amp;$E$1,mv_date,"&lt;="&amp;$G$1))</f>
        <v/>
      </c>
      <c r="F66" s="39" t="str">
        <f>IF(A66="","",SUMIFS(mv_qty,mv_ref,A66,mv_type,"Sortie",mv_date,"&gt;="&amp;$E$1,mv_date,"&lt;="&amp;$G$1))</f>
        <v/>
      </c>
      <c r="G66" s="39" t="str">
        <f>IF(A66="","",ROUND(D66+E66-F66,6))</f>
        <v/>
      </c>
      <c r="H66" s="40" t="str">
        <f>IF(A66="","",G66*N('Articles'!G66))</f>
        <v/>
      </c>
    </row>
    <row r="67">
      <c r="A67" s="39" t="str">
        <f>IF('Articles'!A67="","",'Articles'!A67)</f>
        <v/>
      </c>
      <c r="B67" s="39" t="str">
        <f>IF(A67="","",'Articles'!B67&amp;"")</f>
        <v/>
      </c>
      <c r="C67" s="39" t="str">
        <f>IF(A67="","",'Articles'!D67&amp;"")</f>
        <v/>
      </c>
      <c r="D67" s="39" t="str">
        <f>IF(A67="","",ROUND(N('Articles'!H67)+SUMIFS(mv_qty,mv_ref,A67,mv_type,"Entrée",mv_date,"&lt;"&amp;$E$1)-SUMIFS(mv_qty,mv_ref,A67,mv_type,"Sortie",mv_date,"&lt;"&amp;$E$1),6))</f>
        <v/>
      </c>
      <c r="E67" s="39" t="str">
        <f>IF(A67="","",SUMIFS(mv_qty,mv_ref,A67,mv_type,"Entrée",mv_date,"&gt;="&amp;$E$1,mv_date,"&lt;="&amp;$G$1))</f>
        <v/>
      </c>
      <c r="F67" s="39" t="str">
        <f>IF(A67="","",SUMIFS(mv_qty,mv_ref,A67,mv_type,"Sortie",mv_date,"&gt;="&amp;$E$1,mv_date,"&lt;="&amp;$G$1))</f>
        <v/>
      </c>
      <c r="G67" s="39" t="str">
        <f>IF(A67="","",ROUND(D67+E67-F67,6))</f>
        <v/>
      </c>
      <c r="H67" s="40" t="str">
        <f>IF(A67="","",G67*N('Articles'!G67))</f>
        <v/>
      </c>
    </row>
    <row r="68">
      <c r="A68" s="39" t="str">
        <f>IF('Articles'!A68="","",'Articles'!A68)</f>
        <v/>
      </c>
      <c r="B68" s="39" t="str">
        <f>IF(A68="","",'Articles'!B68&amp;"")</f>
        <v/>
      </c>
      <c r="C68" s="39" t="str">
        <f>IF(A68="","",'Articles'!D68&amp;"")</f>
        <v/>
      </c>
      <c r="D68" s="39" t="str">
        <f>IF(A68="","",ROUND(N('Articles'!H68)+SUMIFS(mv_qty,mv_ref,A68,mv_type,"Entrée",mv_date,"&lt;"&amp;$E$1)-SUMIFS(mv_qty,mv_ref,A68,mv_type,"Sortie",mv_date,"&lt;"&amp;$E$1),6))</f>
        <v/>
      </c>
      <c r="E68" s="39" t="str">
        <f>IF(A68="","",SUMIFS(mv_qty,mv_ref,A68,mv_type,"Entrée",mv_date,"&gt;="&amp;$E$1,mv_date,"&lt;="&amp;$G$1))</f>
        <v/>
      </c>
      <c r="F68" s="39" t="str">
        <f>IF(A68="","",SUMIFS(mv_qty,mv_ref,A68,mv_type,"Sortie",mv_date,"&gt;="&amp;$E$1,mv_date,"&lt;="&amp;$G$1))</f>
        <v/>
      </c>
      <c r="G68" s="39" t="str">
        <f>IF(A68="","",ROUND(D68+E68-F68,6))</f>
        <v/>
      </c>
      <c r="H68" s="40" t="str">
        <f>IF(A68="","",G68*N('Articles'!G68))</f>
        <v/>
      </c>
    </row>
    <row r="69">
      <c r="A69" s="39" t="str">
        <f>IF('Articles'!A69="","",'Articles'!A69)</f>
        <v/>
      </c>
      <c r="B69" s="39" t="str">
        <f>IF(A69="","",'Articles'!B69&amp;"")</f>
        <v/>
      </c>
      <c r="C69" s="39" t="str">
        <f>IF(A69="","",'Articles'!D69&amp;"")</f>
        <v/>
      </c>
      <c r="D69" s="39" t="str">
        <f>IF(A69="","",ROUND(N('Articles'!H69)+SUMIFS(mv_qty,mv_ref,A69,mv_type,"Entrée",mv_date,"&lt;"&amp;$E$1)-SUMIFS(mv_qty,mv_ref,A69,mv_type,"Sortie",mv_date,"&lt;"&amp;$E$1),6))</f>
        <v/>
      </c>
      <c r="E69" s="39" t="str">
        <f>IF(A69="","",SUMIFS(mv_qty,mv_ref,A69,mv_type,"Entrée",mv_date,"&gt;="&amp;$E$1,mv_date,"&lt;="&amp;$G$1))</f>
        <v/>
      </c>
      <c r="F69" s="39" t="str">
        <f>IF(A69="","",SUMIFS(mv_qty,mv_ref,A69,mv_type,"Sortie",mv_date,"&gt;="&amp;$E$1,mv_date,"&lt;="&amp;$G$1))</f>
        <v/>
      </c>
      <c r="G69" s="39" t="str">
        <f>IF(A69="","",ROUND(D69+E69-F69,6))</f>
        <v/>
      </c>
      <c r="H69" s="40" t="str">
        <f>IF(A69="","",G69*N('Articles'!G69))</f>
        <v/>
      </c>
    </row>
    <row r="70">
      <c r="A70" s="39" t="str">
        <f>IF('Articles'!A70="","",'Articles'!A70)</f>
        <v/>
      </c>
      <c r="B70" s="39" t="str">
        <f>IF(A70="","",'Articles'!B70&amp;"")</f>
        <v/>
      </c>
      <c r="C70" s="39" t="str">
        <f>IF(A70="","",'Articles'!D70&amp;"")</f>
        <v/>
      </c>
      <c r="D70" s="39" t="str">
        <f>IF(A70="","",ROUND(N('Articles'!H70)+SUMIFS(mv_qty,mv_ref,A70,mv_type,"Entrée",mv_date,"&lt;"&amp;$E$1)-SUMIFS(mv_qty,mv_ref,A70,mv_type,"Sortie",mv_date,"&lt;"&amp;$E$1),6))</f>
        <v/>
      </c>
      <c r="E70" s="39" t="str">
        <f>IF(A70="","",SUMIFS(mv_qty,mv_ref,A70,mv_type,"Entrée",mv_date,"&gt;="&amp;$E$1,mv_date,"&lt;="&amp;$G$1))</f>
        <v/>
      </c>
      <c r="F70" s="39" t="str">
        <f>IF(A70="","",SUMIFS(mv_qty,mv_ref,A70,mv_type,"Sortie",mv_date,"&gt;="&amp;$E$1,mv_date,"&lt;="&amp;$G$1))</f>
        <v/>
      </c>
      <c r="G70" s="39" t="str">
        <f>IF(A70="","",ROUND(D70+E70-F70,6))</f>
        <v/>
      </c>
      <c r="H70" s="40" t="str">
        <f>IF(A70="","",G70*N('Articles'!G70))</f>
        <v/>
      </c>
    </row>
    <row r="71">
      <c r="A71" s="39" t="str">
        <f>IF('Articles'!A71="","",'Articles'!A71)</f>
        <v/>
      </c>
      <c r="B71" s="39" t="str">
        <f>IF(A71="","",'Articles'!B71&amp;"")</f>
        <v/>
      </c>
      <c r="C71" s="39" t="str">
        <f>IF(A71="","",'Articles'!D71&amp;"")</f>
        <v/>
      </c>
      <c r="D71" s="39" t="str">
        <f>IF(A71="","",ROUND(N('Articles'!H71)+SUMIFS(mv_qty,mv_ref,A71,mv_type,"Entrée",mv_date,"&lt;"&amp;$E$1)-SUMIFS(mv_qty,mv_ref,A71,mv_type,"Sortie",mv_date,"&lt;"&amp;$E$1),6))</f>
        <v/>
      </c>
      <c r="E71" s="39" t="str">
        <f>IF(A71="","",SUMIFS(mv_qty,mv_ref,A71,mv_type,"Entrée",mv_date,"&gt;="&amp;$E$1,mv_date,"&lt;="&amp;$G$1))</f>
        <v/>
      </c>
      <c r="F71" s="39" t="str">
        <f>IF(A71="","",SUMIFS(mv_qty,mv_ref,A71,mv_type,"Sortie",mv_date,"&gt;="&amp;$E$1,mv_date,"&lt;="&amp;$G$1))</f>
        <v/>
      </c>
      <c r="G71" s="39" t="str">
        <f>IF(A71="","",ROUND(D71+E71-F71,6))</f>
        <v/>
      </c>
      <c r="H71" s="40" t="str">
        <f>IF(A71="","",G71*N('Articles'!G71))</f>
        <v/>
      </c>
    </row>
    <row r="72">
      <c r="A72" s="39" t="str">
        <f>IF('Articles'!A72="","",'Articles'!A72)</f>
        <v/>
      </c>
      <c r="B72" s="39" t="str">
        <f>IF(A72="","",'Articles'!B72&amp;"")</f>
        <v/>
      </c>
      <c r="C72" s="39" t="str">
        <f>IF(A72="","",'Articles'!D72&amp;"")</f>
        <v/>
      </c>
      <c r="D72" s="39" t="str">
        <f>IF(A72="","",ROUND(N('Articles'!H72)+SUMIFS(mv_qty,mv_ref,A72,mv_type,"Entrée",mv_date,"&lt;"&amp;$E$1)-SUMIFS(mv_qty,mv_ref,A72,mv_type,"Sortie",mv_date,"&lt;"&amp;$E$1),6))</f>
        <v/>
      </c>
      <c r="E72" s="39" t="str">
        <f>IF(A72="","",SUMIFS(mv_qty,mv_ref,A72,mv_type,"Entrée",mv_date,"&gt;="&amp;$E$1,mv_date,"&lt;="&amp;$G$1))</f>
        <v/>
      </c>
      <c r="F72" s="39" t="str">
        <f>IF(A72="","",SUMIFS(mv_qty,mv_ref,A72,mv_type,"Sortie",mv_date,"&gt;="&amp;$E$1,mv_date,"&lt;="&amp;$G$1))</f>
        <v/>
      </c>
      <c r="G72" s="39" t="str">
        <f>IF(A72="","",ROUND(D72+E72-F72,6))</f>
        <v/>
      </c>
      <c r="H72" s="40" t="str">
        <f>IF(A72="","",G72*N('Articles'!G72))</f>
        <v/>
      </c>
    </row>
    <row r="73">
      <c r="A73" s="39" t="str">
        <f>IF('Articles'!A73="","",'Articles'!A73)</f>
        <v/>
      </c>
      <c r="B73" s="39" t="str">
        <f>IF(A73="","",'Articles'!B73&amp;"")</f>
        <v/>
      </c>
      <c r="C73" s="39" t="str">
        <f>IF(A73="","",'Articles'!D73&amp;"")</f>
        <v/>
      </c>
      <c r="D73" s="39" t="str">
        <f>IF(A73="","",ROUND(N('Articles'!H73)+SUMIFS(mv_qty,mv_ref,A73,mv_type,"Entrée",mv_date,"&lt;"&amp;$E$1)-SUMIFS(mv_qty,mv_ref,A73,mv_type,"Sortie",mv_date,"&lt;"&amp;$E$1),6))</f>
        <v/>
      </c>
      <c r="E73" s="39" t="str">
        <f>IF(A73="","",SUMIFS(mv_qty,mv_ref,A73,mv_type,"Entrée",mv_date,"&gt;="&amp;$E$1,mv_date,"&lt;="&amp;$G$1))</f>
        <v/>
      </c>
      <c r="F73" s="39" t="str">
        <f>IF(A73="","",SUMIFS(mv_qty,mv_ref,A73,mv_type,"Sortie",mv_date,"&gt;="&amp;$E$1,mv_date,"&lt;="&amp;$G$1))</f>
        <v/>
      </c>
      <c r="G73" s="39" t="str">
        <f>IF(A73="","",ROUND(D73+E73-F73,6))</f>
        <v/>
      </c>
      <c r="H73" s="40" t="str">
        <f>IF(A73="","",G73*N('Articles'!G73))</f>
        <v/>
      </c>
    </row>
    <row r="74">
      <c r="A74" s="39" t="str">
        <f>IF('Articles'!A74="","",'Articles'!A74)</f>
        <v/>
      </c>
      <c r="B74" s="39" t="str">
        <f>IF(A74="","",'Articles'!B74&amp;"")</f>
        <v/>
      </c>
      <c r="C74" s="39" t="str">
        <f>IF(A74="","",'Articles'!D74&amp;"")</f>
        <v/>
      </c>
      <c r="D74" s="39" t="str">
        <f>IF(A74="","",ROUND(N('Articles'!H74)+SUMIFS(mv_qty,mv_ref,A74,mv_type,"Entrée",mv_date,"&lt;"&amp;$E$1)-SUMIFS(mv_qty,mv_ref,A74,mv_type,"Sortie",mv_date,"&lt;"&amp;$E$1),6))</f>
        <v/>
      </c>
      <c r="E74" s="39" t="str">
        <f>IF(A74="","",SUMIFS(mv_qty,mv_ref,A74,mv_type,"Entrée",mv_date,"&gt;="&amp;$E$1,mv_date,"&lt;="&amp;$G$1))</f>
        <v/>
      </c>
      <c r="F74" s="39" t="str">
        <f>IF(A74="","",SUMIFS(mv_qty,mv_ref,A74,mv_type,"Sortie",mv_date,"&gt;="&amp;$E$1,mv_date,"&lt;="&amp;$G$1))</f>
        <v/>
      </c>
      <c r="G74" s="39" t="str">
        <f>IF(A74="","",ROUND(D74+E74-F74,6))</f>
        <v/>
      </c>
      <c r="H74" s="40" t="str">
        <f>IF(A74="","",G74*N('Articles'!G74))</f>
        <v/>
      </c>
    </row>
    <row r="75">
      <c r="A75" s="39" t="str">
        <f>IF('Articles'!A75="","",'Articles'!A75)</f>
        <v/>
      </c>
      <c r="B75" s="39" t="str">
        <f>IF(A75="","",'Articles'!B75&amp;"")</f>
        <v/>
      </c>
      <c r="C75" s="39" t="str">
        <f>IF(A75="","",'Articles'!D75&amp;"")</f>
        <v/>
      </c>
      <c r="D75" s="39" t="str">
        <f>IF(A75="","",ROUND(N('Articles'!H75)+SUMIFS(mv_qty,mv_ref,A75,mv_type,"Entrée",mv_date,"&lt;"&amp;$E$1)-SUMIFS(mv_qty,mv_ref,A75,mv_type,"Sortie",mv_date,"&lt;"&amp;$E$1),6))</f>
        <v/>
      </c>
      <c r="E75" s="39" t="str">
        <f>IF(A75="","",SUMIFS(mv_qty,mv_ref,A75,mv_type,"Entrée",mv_date,"&gt;="&amp;$E$1,mv_date,"&lt;="&amp;$G$1))</f>
        <v/>
      </c>
      <c r="F75" s="39" t="str">
        <f>IF(A75="","",SUMIFS(mv_qty,mv_ref,A75,mv_type,"Sortie",mv_date,"&gt;="&amp;$E$1,mv_date,"&lt;="&amp;$G$1))</f>
        <v/>
      </c>
      <c r="G75" s="39" t="str">
        <f>IF(A75="","",ROUND(D75+E75-F75,6))</f>
        <v/>
      </c>
      <c r="H75" s="40" t="str">
        <f>IF(A75="","",G75*N('Articles'!G75))</f>
        <v/>
      </c>
    </row>
    <row r="76">
      <c r="A76" s="39" t="str">
        <f>IF('Articles'!A76="","",'Articles'!A76)</f>
        <v/>
      </c>
      <c r="B76" s="39" t="str">
        <f>IF(A76="","",'Articles'!B76&amp;"")</f>
        <v/>
      </c>
      <c r="C76" s="39" t="str">
        <f>IF(A76="","",'Articles'!D76&amp;"")</f>
        <v/>
      </c>
      <c r="D76" s="39" t="str">
        <f>IF(A76="","",ROUND(N('Articles'!H76)+SUMIFS(mv_qty,mv_ref,A76,mv_type,"Entrée",mv_date,"&lt;"&amp;$E$1)-SUMIFS(mv_qty,mv_ref,A76,mv_type,"Sortie",mv_date,"&lt;"&amp;$E$1),6))</f>
        <v/>
      </c>
      <c r="E76" s="39" t="str">
        <f>IF(A76="","",SUMIFS(mv_qty,mv_ref,A76,mv_type,"Entrée",mv_date,"&gt;="&amp;$E$1,mv_date,"&lt;="&amp;$G$1))</f>
        <v/>
      </c>
      <c r="F76" s="39" t="str">
        <f>IF(A76="","",SUMIFS(mv_qty,mv_ref,A76,mv_type,"Sortie",mv_date,"&gt;="&amp;$E$1,mv_date,"&lt;="&amp;$G$1))</f>
        <v/>
      </c>
      <c r="G76" s="39" t="str">
        <f>IF(A76="","",ROUND(D76+E76-F76,6))</f>
        <v/>
      </c>
      <c r="H76" s="40" t="str">
        <f>IF(A76="","",G76*N('Articles'!G76))</f>
        <v/>
      </c>
    </row>
    <row r="77">
      <c r="A77" s="39" t="str">
        <f>IF('Articles'!A77="","",'Articles'!A77)</f>
        <v/>
      </c>
      <c r="B77" s="39" t="str">
        <f>IF(A77="","",'Articles'!B77&amp;"")</f>
        <v/>
      </c>
      <c r="C77" s="39" t="str">
        <f>IF(A77="","",'Articles'!D77&amp;"")</f>
        <v/>
      </c>
      <c r="D77" s="39" t="str">
        <f>IF(A77="","",ROUND(N('Articles'!H77)+SUMIFS(mv_qty,mv_ref,A77,mv_type,"Entrée",mv_date,"&lt;"&amp;$E$1)-SUMIFS(mv_qty,mv_ref,A77,mv_type,"Sortie",mv_date,"&lt;"&amp;$E$1),6))</f>
        <v/>
      </c>
      <c r="E77" s="39" t="str">
        <f>IF(A77="","",SUMIFS(mv_qty,mv_ref,A77,mv_type,"Entrée",mv_date,"&gt;="&amp;$E$1,mv_date,"&lt;="&amp;$G$1))</f>
        <v/>
      </c>
      <c r="F77" s="39" t="str">
        <f>IF(A77="","",SUMIFS(mv_qty,mv_ref,A77,mv_type,"Sortie",mv_date,"&gt;="&amp;$E$1,mv_date,"&lt;="&amp;$G$1))</f>
        <v/>
      </c>
      <c r="G77" s="39" t="str">
        <f>IF(A77="","",ROUND(D77+E77-F77,6))</f>
        <v/>
      </c>
      <c r="H77" s="40" t="str">
        <f>IF(A77="","",G77*N('Articles'!G77))</f>
        <v/>
      </c>
    </row>
    <row r="78">
      <c r="A78" s="39" t="str">
        <f>IF('Articles'!A78="","",'Articles'!A78)</f>
        <v/>
      </c>
      <c r="B78" s="39" t="str">
        <f>IF(A78="","",'Articles'!B78&amp;"")</f>
        <v/>
      </c>
      <c r="C78" s="39" t="str">
        <f>IF(A78="","",'Articles'!D78&amp;"")</f>
        <v/>
      </c>
      <c r="D78" s="39" t="str">
        <f>IF(A78="","",ROUND(N('Articles'!H78)+SUMIFS(mv_qty,mv_ref,A78,mv_type,"Entrée",mv_date,"&lt;"&amp;$E$1)-SUMIFS(mv_qty,mv_ref,A78,mv_type,"Sortie",mv_date,"&lt;"&amp;$E$1),6))</f>
        <v/>
      </c>
      <c r="E78" s="39" t="str">
        <f>IF(A78="","",SUMIFS(mv_qty,mv_ref,A78,mv_type,"Entrée",mv_date,"&gt;="&amp;$E$1,mv_date,"&lt;="&amp;$G$1))</f>
        <v/>
      </c>
      <c r="F78" s="39" t="str">
        <f>IF(A78="","",SUMIFS(mv_qty,mv_ref,A78,mv_type,"Sortie",mv_date,"&gt;="&amp;$E$1,mv_date,"&lt;="&amp;$G$1))</f>
        <v/>
      </c>
      <c r="G78" s="39" t="str">
        <f>IF(A78="","",ROUND(D78+E78-F78,6))</f>
        <v/>
      </c>
      <c r="H78" s="40" t="str">
        <f>IF(A78="","",G78*N('Articles'!G78))</f>
        <v/>
      </c>
    </row>
    <row r="79">
      <c r="A79" s="39" t="str">
        <f>IF('Articles'!A79="","",'Articles'!A79)</f>
        <v/>
      </c>
      <c r="B79" s="39" t="str">
        <f>IF(A79="","",'Articles'!B79&amp;"")</f>
        <v/>
      </c>
      <c r="C79" s="39" t="str">
        <f>IF(A79="","",'Articles'!D79&amp;"")</f>
        <v/>
      </c>
      <c r="D79" s="39" t="str">
        <f>IF(A79="","",ROUND(N('Articles'!H79)+SUMIFS(mv_qty,mv_ref,A79,mv_type,"Entrée",mv_date,"&lt;"&amp;$E$1)-SUMIFS(mv_qty,mv_ref,A79,mv_type,"Sortie",mv_date,"&lt;"&amp;$E$1),6))</f>
        <v/>
      </c>
      <c r="E79" s="39" t="str">
        <f>IF(A79="","",SUMIFS(mv_qty,mv_ref,A79,mv_type,"Entrée",mv_date,"&gt;="&amp;$E$1,mv_date,"&lt;="&amp;$G$1))</f>
        <v/>
      </c>
      <c r="F79" s="39" t="str">
        <f>IF(A79="","",SUMIFS(mv_qty,mv_ref,A79,mv_type,"Sortie",mv_date,"&gt;="&amp;$E$1,mv_date,"&lt;="&amp;$G$1))</f>
        <v/>
      </c>
      <c r="G79" s="39" t="str">
        <f>IF(A79="","",ROUND(D79+E79-F79,6))</f>
        <v/>
      </c>
      <c r="H79" s="40" t="str">
        <f>IF(A79="","",G79*N('Articles'!G79))</f>
        <v/>
      </c>
    </row>
    <row r="80">
      <c r="A80" s="39" t="str">
        <f>IF('Articles'!A80="","",'Articles'!A80)</f>
        <v/>
      </c>
      <c r="B80" s="39" t="str">
        <f>IF(A80="","",'Articles'!B80&amp;"")</f>
        <v/>
      </c>
      <c r="C80" s="39" t="str">
        <f>IF(A80="","",'Articles'!D80&amp;"")</f>
        <v/>
      </c>
      <c r="D80" s="39" t="str">
        <f>IF(A80="","",ROUND(N('Articles'!H80)+SUMIFS(mv_qty,mv_ref,A80,mv_type,"Entrée",mv_date,"&lt;"&amp;$E$1)-SUMIFS(mv_qty,mv_ref,A80,mv_type,"Sortie",mv_date,"&lt;"&amp;$E$1),6))</f>
        <v/>
      </c>
      <c r="E80" s="39" t="str">
        <f>IF(A80="","",SUMIFS(mv_qty,mv_ref,A80,mv_type,"Entrée",mv_date,"&gt;="&amp;$E$1,mv_date,"&lt;="&amp;$G$1))</f>
        <v/>
      </c>
      <c r="F80" s="39" t="str">
        <f>IF(A80="","",SUMIFS(mv_qty,mv_ref,A80,mv_type,"Sortie",mv_date,"&gt;="&amp;$E$1,mv_date,"&lt;="&amp;$G$1))</f>
        <v/>
      </c>
      <c r="G80" s="39" t="str">
        <f>IF(A80="","",ROUND(D80+E80-F80,6))</f>
        <v/>
      </c>
      <c r="H80" s="40" t="str">
        <f>IF(A80="","",G80*N('Articles'!G80))</f>
        <v/>
      </c>
    </row>
    <row r="81">
      <c r="A81" s="39" t="str">
        <f>IF('Articles'!A81="","",'Articles'!A81)</f>
        <v/>
      </c>
      <c r="B81" s="39" t="str">
        <f>IF(A81="","",'Articles'!B81&amp;"")</f>
        <v/>
      </c>
      <c r="C81" s="39" t="str">
        <f>IF(A81="","",'Articles'!D81&amp;"")</f>
        <v/>
      </c>
      <c r="D81" s="39" t="str">
        <f>IF(A81="","",ROUND(N('Articles'!H81)+SUMIFS(mv_qty,mv_ref,A81,mv_type,"Entrée",mv_date,"&lt;"&amp;$E$1)-SUMIFS(mv_qty,mv_ref,A81,mv_type,"Sortie",mv_date,"&lt;"&amp;$E$1),6))</f>
        <v/>
      </c>
      <c r="E81" s="39" t="str">
        <f>IF(A81="","",SUMIFS(mv_qty,mv_ref,A81,mv_type,"Entrée",mv_date,"&gt;="&amp;$E$1,mv_date,"&lt;="&amp;$G$1))</f>
        <v/>
      </c>
      <c r="F81" s="39" t="str">
        <f>IF(A81="","",SUMIFS(mv_qty,mv_ref,A81,mv_type,"Sortie",mv_date,"&gt;="&amp;$E$1,mv_date,"&lt;="&amp;$G$1))</f>
        <v/>
      </c>
      <c r="G81" s="39" t="str">
        <f>IF(A81="","",ROUND(D81+E81-F81,6))</f>
        <v/>
      </c>
      <c r="H81" s="40" t="str">
        <f>IF(A81="","",G81*N('Articles'!G81))</f>
        <v/>
      </c>
    </row>
    <row r="82">
      <c r="A82" s="39" t="str">
        <f>IF('Articles'!A82="","",'Articles'!A82)</f>
        <v/>
      </c>
      <c r="B82" s="39" t="str">
        <f>IF(A82="","",'Articles'!B82&amp;"")</f>
        <v/>
      </c>
      <c r="C82" s="39" t="str">
        <f>IF(A82="","",'Articles'!D82&amp;"")</f>
        <v/>
      </c>
      <c r="D82" s="39" t="str">
        <f>IF(A82="","",ROUND(N('Articles'!H82)+SUMIFS(mv_qty,mv_ref,A82,mv_type,"Entrée",mv_date,"&lt;"&amp;$E$1)-SUMIFS(mv_qty,mv_ref,A82,mv_type,"Sortie",mv_date,"&lt;"&amp;$E$1),6))</f>
        <v/>
      </c>
      <c r="E82" s="39" t="str">
        <f>IF(A82="","",SUMIFS(mv_qty,mv_ref,A82,mv_type,"Entrée",mv_date,"&gt;="&amp;$E$1,mv_date,"&lt;="&amp;$G$1))</f>
        <v/>
      </c>
      <c r="F82" s="39" t="str">
        <f>IF(A82="","",SUMIFS(mv_qty,mv_ref,A82,mv_type,"Sortie",mv_date,"&gt;="&amp;$E$1,mv_date,"&lt;="&amp;$G$1))</f>
        <v/>
      </c>
      <c r="G82" s="39" t="str">
        <f>IF(A82="","",ROUND(D82+E82-F82,6))</f>
        <v/>
      </c>
      <c r="H82" s="40" t="str">
        <f>IF(A82="","",G82*N('Articles'!G82))</f>
        <v/>
      </c>
    </row>
    <row r="83">
      <c r="A83" s="39" t="str">
        <f>IF('Articles'!A83="","",'Articles'!A83)</f>
        <v/>
      </c>
      <c r="B83" s="39" t="str">
        <f>IF(A83="","",'Articles'!B83&amp;"")</f>
        <v/>
      </c>
      <c r="C83" s="39" t="str">
        <f>IF(A83="","",'Articles'!D83&amp;"")</f>
        <v/>
      </c>
      <c r="D83" s="39" t="str">
        <f>IF(A83="","",ROUND(N('Articles'!H83)+SUMIFS(mv_qty,mv_ref,A83,mv_type,"Entrée",mv_date,"&lt;"&amp;$E$1)-SUMIFS(mv_qty,mv_ref,A83,mv_type,"Sortie",mv_date,"&lt;"&amp;$E$1),6))</f>
        <v/>
      </c>
      <c r="E83" s="39" t="str">
        <f>IF(A83="","",SUMIFS(mv_qty,mv_ref,A83,mv_type,"Entrée",mv_date,"&gt;="&amp;$E$1,mv_date,"&lt;="&amp;$G$1))</f>
        <v/>
      </c>
      <c r="F83" s="39" t="str">
        <f>IF(A83="","",SUMIFS(mv_qty,mv_ref,A83,mv_type,"Sortie",mv_date,"&gt;="&amp;$E$1,mv_date,"&lt;="&amp;$G$1))</f>
        <v/>
      </c>
      <c r="G83" s="39" t="str">
        <f>IF(A83="","",ROUND(D83+E83-F83,6))</f>
        <v/>
      </c>
      <c r="H83" s="40" t="str">
        <f>IF(A83="","",G83*N('Articles'!G83))</f>
        <v/>
      </c>
    </row>
    <row r="84">
      <c r="A84" s="39" t="str">
        <f>IF('Articles'!A84="","",'Articles'!A84)</f>
        <v/>
      </c>
      <c r="B84" s="39" t="str">
        <f>IF(A84="","",'Articles'!B84&amp;"")</f>
        <v/>
      </c>
      <c r="C84" s="39" t="str">
        <f>IF(A84="","",'Articles'!D84&amp;"")</f>
        <v/>
      </c>
      <c r="D84" s="39" t="str">
        <f>IF(A84="","",ROUND(N('Articles'!H84)+SUMIFS(mv_qty,mv_ref,A84,mv_type,"Entrée",mv_date,"&lt;"&amp;$E$1)-SUMIFS(mv_qty,mv_ref,A84,mv_type,"Sortie",mv_date,"&lt;"&amp;$E$1),6))</f>
        <v/>
      </c>
      <c r="E84" s="39" t="str">
        <f>IF(A84="","",SUMIFS(mv_qty,mv_ref,A84,mv_type,"Entrée",mv_date,"&gt;="&amp;$E$1,mv_date,"&lt;="&amp;$G$1))</f>
        <v/>
      </c>
      <c r="F84" s="39" t="str">
        <f>IF(A84="","",SUMIFS(mv_qty,mv_ref,A84,mv_type,"Sortie",mv_date,"&gt;="&amp;$E$1,mv_date,"&lt;="&amp;$G$1))</f>
        <v/>
      </c>
      <c r="G84" s="39" t="str">
        <f>IF(A84="","",ROUND(D84+E84-F84,6))</f>
        <v/>
      </c>
      <c r="H84" s="40" t="str">
        <f>IF(A84="","",G84*N('Articles'!G84))</f>
        <v/>
      </c>
    </row>
    <row r="85">
      <c r="A85" s="39" t="str">
        <f>IF('Articles'!A85="","",'Articles'!A85)</f>
        <v/>
      </c>
      <c r="B85" s="39" t="str">
        <f>IF(A85="","",'Articles'!B85&amp;"")</f>
        <v/>
      </c>
      <c r="C85" s="39" t="str">
        <f>IF(A85="","",'Articles'!D85&amp;"")</f>
        <v/>
      </c>
      <c r="D85" s="39" t="str">
        <f>IF(A85="","",ROUND(N('Articles'!H85)+SUMIFS(mv_qty,mv_ref,A85,mv_type,"Entrée",mv_date,"&lt;"&amp;$E$1)-SUMIFS(mv_qty,mv_ref,A85,mv_type,"Sortie",mv_date,"&lt;"&amp;$E$1),6))</f>
        <v/>
      </c>
      <c r="E85" s="39" t="str">
        <f>IF(A85="","",SUMIFS(mv_qty,mv_ref,A85,mv_type,"Entrée",mv_date,"&gt;="&amp;$E$1,mv_date,"&lt;="&amp;$G$1))</f>
        <v/>
      </c>
      <c r="F85" s="39" t="str">
        <f>IF(A85="","",SUMIFS(mv_qty,mv_ref,A85,mv_type,"Sortie",mv_date,"&gt;="&amp;$E$1,mv_date,"&lt;="&amp;$G$1))</f>
        <v/>
      </c>
      <c r="G85" s="39" t="str">
        <f>IF(A85="","",ROUND(D85+E85-F85,6))</f>
        <v/>
      </c>
      <c r="H85" s="40" t="str">
        <f>IF(A85="","",G85*N('Articles'!G85))</f>
        <v/>
      </c>
    </row>
    <row r="86">
      <c r="A86" s="39" t="str">
        <f>IF('Articles'!A86="","",'Articles'!A86)</f>
        <v/>
      </c>
      <c r="B86" s="39" t="str">
        <f>IF(A86="","",'Articles'!B86&amp;"")</f>
        <v/>
      </c>
      <c r="C86" s="39" t="str">
        <f>IF(A86="","",'Articles'!D86&amp;"")</f>
        <v/>
      </c>
      <c r="D86" s="39" t="str">
        <f>IF(A86="","",ROUND(N('Articles'!H86)+SUMIFS(mv_qty,mv_ref,A86,mv_type,"Entrée",mv_date,"&lt;"&amp;$E$1)-SUMIFS(mv_qty,mv_ref,A86,mv_type,"Sortie",mv_date,"&lt;"&amp;$E$1),6))</f>
        <v/>
      </c>
      <c r="E86" s="39" t="str">
        <f>IF(A86="","",SUMIFS(mv_qty,mv_ref,A86,mv_type,"Entrée",mv_date,"&gt;="&amp;$E$1,mv_date,"&lt;="&amp;$G$1))</f>
        <v/>
      </c>
      <c r="F86" s="39" t="str">
        <f>IF(A86="","",SUMIFS(mv_qty,mv_ref,A86,mv_type,"Sortie",mv_date,"&gt;="&amp;$E$1,mv_date,"&lt;="&amp;$G$1))</f>
        <v/>
      </c>
      <c r="G86" s="39" t="str">
        <f>IF(A86="","",ROUND(D86+E86-F86,6))</f>
        <v/>
      </c>
      <c r="H86" s="40" t="str">
        <f>IF(A86="","",G86*N('Articles'!G86))</f>
        <v/>
      </c>
    </row>
    <row r="87">
      <c r="A87" s="39" t="str">
        <f>IF('Articles'!A87="","",'Articles'!A87)</f>
        <v/>
      </c>
      <c r="B87" s="39" t="str">
        <f>IF(A87="","",'Articles'!B87&amp;"")</f>
        <v/>
      </c>
      <c r="C87" s="39" t="str">
        <f>IF(A87="","",'Articles'!D87&amp;"")</f>
        <v/>
      </c>
      <c r="D87" s="39" t="str">
        <f>IF(A87="","",ROUND(N('Articles'!H87)+SUMIFS(mv_qty,mv_ref,A87,mv_type,"Entrée",mv_date,"&lt;"&amp;$E$1)-SUMIFS(mv_qty,mv_ref,A87,mv_type,"Sortie",mv_date,"&lt;"&amp;$E$1),6))</f>
        <v/>
      </c>
      <c r="E87" s="39" t="str">
        <f>IF(A87="","",SUMIFS(mv_qty,mv_ref,A87,mv_type,"Entrée",mv_date,"&gt;="&amp;$E$1,mv_date,"&lt;="&amp;$G$1))</f>
        <v/>
      </c>
      <c r="F87" s="39" t="str">
        <f>IF(A87="","",SUMIFS(mv_qty,mv_ref,A87,mv_type,"Sortie",mv_date,"&gt;="&amp;$E$1,mv_date,"&lt;="&amp;$G$1))</f>
        <v/>
      </c>
      <c r="G87" s="39" t="str">
        <f>IF(A87="","",ROUND(D87+E87-F87,6))</f>
        <v/>
      </c>
      <c r="H87" s="40" t="str">
        <f>IF(A87="","",G87*N('Articles'!G87))</f>
        <v/>
      </c>
    </row>
    <row r="88">
      <c r="A88" s="39" t="str">
        <f>IF('Articles'!A88="","",'Articles'!A88)</f>
        <v/>
      </c>
      <c r="B88" s="39" t="str">
        <f>IF(A88="","",'Articles'!B88&amp;"")</f>
        <v/>
      </c>
      <c r="C88" s="39" t="str">
        <f>IF(A88="","",'Articles'!D88&amp;"")</f>
        <v/>
      </c>
      <c r="D88" s="39" t="str">
        <f>IF(A88="","",ROUND(N('Articles'!H88)+SUMIFS(mv_qty,mv_ref,A88,mv_type,"Entrée",mv_date,"&lt;"&amp;$E$1)-SUMIFS(mv_qty,mv_ref,A88,mv_type,"Sortie",mv_date,"&lt;"&amp;$E$1),6))</f>
        <v/>
      </c>
      <c r="E88" s="39" t="str">
        <f>IF(A88="","",SUMIFS(mv_qty,mv_ref,A88,mv_type,"Entrée",mv_date,"&gt;="&amp;$E$1,mv_date,"&lt;="&amp;$G$1))</f>
        <v/>
      </c>
      <c r="F88" s="39" t="str">
        <f>IF(A88="","",SUMIFS(mv_qty,mv_ref,A88,mv_type,"Sortie",mv_date,"&gt;="&amp;$E$1,mv_date,"&lt;="&amp;$G$1))</f>
        <v/>
      </c>
      <c r="G88" s="39" t="str">
        <f>IF(A88="","",ROUND(D88+E88-F88,6))</f>
        <v/>
      </c>
      <c r="H88" s="40" t="str">
        <f>IF(A88="","",G88*N('Articles'!G88))</f>
        <v/>
      </c>
    </row>
    <row r="89">
      <c r="A89" s="39" t="str">
        <f>IF('Articles'!A89="","",'Articles'!A89)</f>
        <v/>
      </c>
      <c r="B89" s="39" t="str">
        <f>IF(A89="","",'Articles'!B89&amp;"")</f>
        <v/>
      </c>
      <c r="C89" s="39" t="str">
        <f>IF(A89="","",'Articles'!D89&amp;"")</f>
        <v/>
      </c>
      <c r="D89" s="39" t="str">
        <f>IF(A89="","",ROUND(N('Articles'!H89)+SUMIFS(mv_qty,mv_ref,A89,mv_type,"Entrée",mv_date,"&lt;"&amp;$E$1)-SUMIFS(mv_qty,mv_ref,A89,mv_type,"Sortie",mv_date,"&lt;"&amp;$E$1),6))</f>
        <v/>
      </c>
      <c r="E89" s="39" t="str">
        <f>IF(A89="","",SUMIFS(mv_qty,mv_ref,A89,mv_type,"Entrée",mv_date,"&gt;="&amp;$E$1,mv_date,"&lt;="&amp;$G$1))</f>
        <v/>
      </c>
      <c r="F89" s="39" t="str">
        <f>IF(A89="","",SUMIFS(mv_qty,mv_ref,A89,mv_type,"Sortie",mv_date,"&gt;="&amp;$E$1,mv_date,"&lt;="&amp;$G$1))</f>
        <v/>
      </c>
      <c r="G89" s="39" t="str">
        <f>IF(A89="","",ROUND(D89+E89-F89,6))</f>
        <v/>
      </c>
      <c r="H89" s="40" t="str">
        <f>IF(A89="","",G89*N('Articles'!G89))</f>
        <v/>
      </c>
    </row>
    <row r="90">
      <c r="A90" s="39" t="str">
        <f>IF('Articles'!A90="","",'Articles'!A90)</f>
        <v/>
      </c>
      <c r="B90" s="39" t="str">
        <f>IF(A90="","",'Articles'!B90&amp;"")</f>
        <v/>
      </c>
      <c r="C90" s="39" t="str">
        <f>IF(A90="","",'Articles'!D90&amp;"")</f>
        <v/>
      </c>
      <c r="D90" s="39" t="str">
        <f>IF(A90="","",ROUND(N('Articles'!H90)+SUMIFS(mv_qty,mv_ref,A90,mv_type,"Entrée",mv_date,"&lt;"&amp;$E$1)-SUMIFS(mv_qty,mv_ref,A90,mv_type,"Sortie",mv_date,"&lt;"&amp;$E$1),6))</f>
        <v/>
      </c>
      <c r="E90" s="39" t="str">
        <f>IF(A90="","",SUMIFS(mv_qty,mv_ref,A90,mv_type,"Entrée",mv_date,"&gt;="&amp;$E$1,mv_date,"&lt;="&amp;$G$1))</f>
        <v/>
      </c>
      <c r="F90" s="39" t="str">
        <f>IF(A90="","",SUMIFS(mv_qty,mv_ref,A90,mv_type,"Sortie",mv_date,"&gt;="&amp;$E$1,mv_date,"&lt;="&amp;$G$1))</f>
        <v/>
      </c>
      <c r="G90" s="39" t="str">
        <f>IF(A90="","",ROUND(D90+E90-F90,6))</f>
        <v/>
      </c>
      <c r="H90" s="40" t="str">
        <f>IF(A90="","",G90*N('Articles'!G90))</f>
        <v/>
      </c>
    </row>
    <row r="91">
      <c r="A91" s="39" t="str">
        <f>IF('Articles'!A91="","",'Articles'!A91)</f>
        <v/>
      </c>
      <c r="B91" s="39" t="str">
        <f>IF(A91="","",'Articles'!B91&amp;"")</f>
        <v/>
      </c>
      <c r="C91" s="39" t="str">
        <f>IF(A91="","",'Articles'!D91&amp;"")</f>
        <v/>
      </c>
      <c r="D91" s="39" t="str">
        <f>IF(A91="","",ROUND(N('Articles'!H91)+SUMIFS(mv_qty,mv_ref,A91,mv_type,"Entrée",mv_date,"&lt;"&amp;$E$1)-SUMIFS(mv_qty,mv_ref,A91,mv_type,"Sortie",mv_date,"&lt;"&amp;$E$1),6))</f>
        <v/>
      </c>
      <c r="E91" s="39" t="str">
        <f>IF(A91="","",SUMIFS(mv_qty,mv_ref,A91,mv_type,"Entrée",mv_date,"&gt;="&amp;$E$1,mv_date,"&lt;="&amp;$G$1))</f>
        <v/>
      </c>
      <c r="F91" s="39" t="str">
        <f>IF(A91="","",SUMIFS(mv_qty,mv_ref,A91,mv_type,"Sortie",mv_date,"&gt;="&amp;$E$1,mv_date,"&lt;="&amp;$G$1))</f>
        <v/>
      </c>
      <c r="G91" s="39" t="str">
        <f>IF(A91="","",ROUND(D91+E91-F91,6))</f>
        <v/>
      </c>
      <c r="H91" s="40" t="str">
        <f>IF(A91="","",G91*N('Articles'!G91))</f>
        <v/>
      </c>
    </row>
    <row r="92">
      <c r="A92" s="39" t="str">
        <f>IF('Articles'!A92="","",'Articles'!A92)</f>
        <v/>
      </c>
      <c r="B92" s="39" t="str">
        <f>IF(A92="","",'Articles'!B92&amp;"")</f>
        <v/>
      </c>
      <c r="C92" s="39" t="str">
        <f>IF(A92="","",'Articles'!D92&amp;"")</f>
        <v/>
      </c>
      <c r="D92" s="39" t="str">
        <f>IF(A92="","",ROUND(N('Articles'!H92)+SUMIFS(mv_qty,mv_ref,A92,mv_type,"Entrée",mv_date,"&lt;"&amp;$E$1)-SUMIFS(mv_qty,mv_ref,A92,mv_type,"Sortie",mv_date,"&lt;"&amp;$E$1),6))</f>
        <v/>
      </c>
      <c r="E92" s="39" t="str">
        <f>IF(A92="","",SUMIFS(mv_qty,mv_ref,A92,mv_type,"Entrée",mv_date,"&gt;="&amp;$E$1,mv_date,"&lt;="&amp;$G$1))</f>
        <v/>
      </c>
      <c r="F92" s="39" t="str">
        <f>IF(A92="","",SUMIFS(mv_qty,mv_ref,A92,mv_type,"Sortie",mv_date,"&gt;="&amp;$E$1,mv_date,"&lt;="&amp;$G$1))</f>
        <v/>
      </c>
      <c r="G92" s="39" t="str">
        <f>IF(A92="","",ROUND(D92+E92-F92,6))</f>
        <v/>
      </c>
      <c r="H92" s="40" t="str">
        <f>IF(A92="","",G92*N('Articles'!G92))</f>
        <v/>
      </c>
    </row>
    <row r="93">
      <c r="A93" s="39" t="str">
        <f>IF('Articles'!A93="","",'Articles'!A93)</f>
        <v/>
      </c>
      <c r="B93" s="39" t="str">
        <f>IF(A93="","",'Articles'!B93&amp;"")</f>
        <v/>
      </c>
      <c r="C93" s="39" t="str">
        <f>IF(A93="","",'Articles'!D93&amp;"")</f>
        <v/>
      </c>
      <c r="D93" s="39" t="str">
        <f>IF(A93="","",ROUND(N('Articles'!H93)+SUMIFS(mv_qty,mv_ref,A93,mv_type,"Entrée",mv_date,"&lt;"&amp;$E$1)-SUMIFS(mv_qty,mv_ref,A93,mv_type,"Sortie",mv_date,"&lt;"&amp;$E$1),6))</f>
        <v/>
      </c>
      <c r="E93" s="39" t="str">
        <f>IF(A93="","",SUMIFS(mv_qty,mv_ref,A93,mv_type,"Entrée",mv_date,"&gt;="&amp;$E$1,mv_date,"&lt;="&amp;$G$1))</f>
        <v/>
      </c>
      <c r="F93" s="39" t="str">
        <f>IF(A93="","",SUMIFS(mv_qty,mv_ref,A93,mv_type,"Sortie",mv_date,"&gt;="&amp;$E$1,mv_date,"&lt;="&amp;$G$1))</f>
        <v/>
      </c>
      <c r="G93" s="39" t="str">
        <f>IF(A93="","",ROUND(D93+E93-F93,6))</f>
        <v/>
      </c>
      <c r="H93" s="40" t="str">
        <f>IF(A93="","",G93*N('Articles'!G93))</f>
        <v/>
      </c>
    </row>
    <row r="94">
      <c r="A94" s="39" t="str">
        <f>IF('Articles'!A94="","",'Articles'!A94)</f>
        <v/>
      </c>
      <c r="B94" s="39" t="str">
        <f>IF(A94="","",'Articles'!B94&amp;"")</f>
        <v/>
      </c>
      <c r="C94" s="39" t="str">
        <f>IF(A94="","",'Articles'!D94&amp;"")</f>
        <v/>
      </c>
      <c r="D94" s="39" t="str">
        <f>IF(A94="","",ROUND(N('Articles'!H94)+SUMIFS(mv_qty,mv_ref,A94,mv_type,"Entrée",mv_date,"&lt;"&amp;$E$1)-SUMIFS(mv_qty,mv_ref,A94,mv_type,"Sortie",mv_date,"&lt;"&amp;$E$1),6))</f>
        <v/>
      </c>
      <c r="E94" s="39" t="str">
        <f>IF(A94="","",SUMIFS(mv_qty,mv_ref,A94,mv_type,"Entrée",mv_date,"&gt;="&amp;$E$1,mv_date,"&lt;="&amp;$G$1))</f>
        <v/>
      </c>
      <c r="F94" s="39" t="str">
        <f>IF(A94="","",SUMIFS(mv_qty,mv_ref,A94,mv_type,"Sortie",mv_date,"&gt;="&amp;$E$1,mv_date,"&lt;="&amp;$G$1))</f>
        <v/>
      </c>
      <c r="G94" s="39" t="str">
        <f>IF(A94="","",ROUND(D94+E94-F94,6))</f>
        <v/>
      </c>
      <c r="H94" s="40" t="str">
        <f>IF(A94="","",G94*N('Articles'!G94))</f>
        <v/>
      </c>
    </row>
    <row r="95">
      <c r="A95" s="39" t="str">
        <f>IF('Articles'!A95="","",'Articles'!A95)</f>
        <v/>
      </c>
      <c r="B95" s="39" t="str">
        <f>IF(A95="","",'Articles'!B95&amp;"")</f>
        <v/>
      </c>
      <c r="C95" s="39" t="str">
        <f>IF(A95="","",'Articles'!D95&amp;"")</f>
        <v/>
      </c>
      <c r="D95" s="39" t="str">
        <f>IF(A95="","",ROUND(N('Articles'!H95)+SUMIFS(mv_qty,mv_ref,A95,mv_type,"Entrée",mv_date,"&lt;"&amp;$E$1)-SUMIFS(mv_qty,mv_ref,A95,mv_type,"Sortie",mv_date,"&lt;"&amp;$E$1),6))</f>
        <v/>
      </c>
      <c r="E95" s="39" t="str">
        <f>IF(A95="","",SUMIFS(mv_qty,mv_ref,A95,mv_type,"Entrée",mv_date,"&gt;="&amp;$E$1,mv_date,"&lt;="&amp;$G$1))</f>
        <v/>
      </c>
      <c r="F95" s="39" t="str">
        <f>IF(A95="","",SUMIFS(mv_qty,mv_ref,A95,mv_type,"Sortie",mv_date,"&gt;="&amp;$E$1,mv_date,"&lt;="&amp;$G$1))</f>
        <v/>
      </c>
      <c r="G95" s="39" t="str">
        <f>IF(A95="","",ROUND(D95+E95-F95,6))</f>
        <v/>
      </c>
      <c r="H95" s="40" t="str">
        <f>IF(A95="","",G95*N('Articles'!G95))</f>
        <v/>
      </c>
    </row>
    <row r="96">
      <c r="A96" s="39" t="str">
        <f>IF('Articles'!A96="","",'Articles'!A96)</f>
        <v/>
      </c>
      <c r="B96" s="39" t="str">
        <f>IF(A96="","",'Articles'!B96&amp;"")</f>
        <v/>
      </c>
      <c r="C96" s="39" t="str">
        <f>IF(A96="","",'Articles'!D96&amp;"")</f>
        <v/>
      </c>
      <c r="D96" s="39" t="str">
        <f>IF(A96="","",ROUND(N('Articles'!H96)+SUMIFS(mv_qty,mv_ref,A96,mv_type,"Entrée",mv_date,"&lt;"&amp;$E$1)-SUMIFS(mv_qty,mv_ref,A96,mv_type,"Sortie",mv_date,"&lt;"&amp;$E$1),6))</f>
        <v/>
      </c>
      <c r="E96" s="39" t="str">
        <f>IF(A96="","",SUMIFS(mv_qty,mv_ref,A96,mv_type,"Entrée",mv_date,"&gt;="&amp;$E$1,mv_date,"&lt;="&amp;$G$1))</f>
        <v/>
      </c>
      <c r="F96" s="39" t="str">
        <f>IF(A96="","",SUMIFS(mv_qty,mv_ref,A96,mv_type,"Sortie",mv_date,"&gt;="&amp;$E$1,mv_date,"&lt;="&amp;$G$1))</f>
        <v/>
      </c>
      <c r="G96" s="39" t="str">
        <f>IF(A96="","",ROUND(D96+E96-F96,6))</f>
        <v/>
      </c>
      <c r="H96" s="40" t="str">
        <f>IF(A96="","",G96*N('Articles'!G96))</f>
        <v/>
      </c>
    </row>
    <row r="97">
      <c r="A97" s="39" t="str">
        <f>IF('Articles'!A97="","",'Articles'!A97)</f>
        <v/>
      </c>
      <c r="B97" s="39" t="str">
        <f>IF(A97="","",'Articles'!B97&amp;"")</f>
        <v/>
      </c>
      <c r="C97" s="39" t="str">
        <f>IF(A97="","",'Articles'!D97&amp;"")</f>
        <v/>
      </c>
      <c r="D97" s="39" t="str">
        <f>IF(A97="","",ROUND(N('Articles'!H97)+SUMIFS(mv_qty,mv_ref,A97,mv_type,"Entrée",mv_date,"&lt;"&amp;$E$1)-SUMIFS(mv_qty,mv_ref,A97,mv_type,"Sortie",mv_date,"&lt;"&amp;$E$1),6))</f>
        <v/>
      </c>
      <c r="E97" s="39" t="str">
        <f>IF(A97="","",SUMIFS(mv_qty,mv_ref,A97,mv_type,"Entrée",mv_date,"&gt;="&amp;$E$1,mv_date,"&lt;="&amp;$G$1))</f>
        <v/>
      </c>
      <c r="F97" s="39" t="str">
        <f>IF(A97="","",SUMIFS(mv_qty,mv_ref,A97,mv_type,"Sortie",mv_date,"&gt;="&amp;$E$1,mv_date,"&lt;="&amp;$G$1))</f>
        <v/>
      </c>
      <c r="G97" s="39" t="str">
        <f>IF(A97="","",ROUND(D97+E97-F97,6))</f>
        <v/>
      </c>
      <c r="H97" s="40" t="str">
        <f>IF(A97="","",G97*N('Articles'!G97))</f>
        <v/>
      </c>
    </row>
    <row r="98">
      <c r="A98" s="39" t="str">
        <f>IF('Articles'!A98="","",'Articles'!A98)</f>
        <v/>
      </c>
      <c r="B98" s="39" t="str">
        <f>IF(A98="","",'Articles'!B98&amp;"")</f>
        <v/>
      </c>
      <c r="C98" s="39" t="str">
        <f>IF(A98="","",'Articles'!D98&amp;"")</f>
        <v/>
      </c>
      <c r="D98" s="39" t="str">
        <f>IF(A98="","",ROUND(N('Articles'!H98)+SUMIFS(mv_qty,mv_ref,A98,mv_type,"Entrée",mv_date,"&lt;"&amp;$E$1)-SUMIFS(mv_qty,mv_ref,A98,mv_type,"Sortie",mv_date,"&lt;"&amp;$E$1),6))</f>
        <v/>
      </c>
      <c r="E98" s="39" t="str">
        <f>IF(A98="","",SUMIFS(mv_qty,mv_ref,A98,mv_type,"Entrée",mv_date,"&gt;="&amp;$E$1,mv_date,"&lt;="&amp;$G$1))</f>
        <v/>
      </c>
      <c r="F98" s="39" t="str">
        <f>IF(A98="","",SUMIFS(mv_qty,mv_ref,A98,mv_type,"Sortie",mv_date,"&gt;="&amp;$E$1,mv_date,"&lt;="&amp;$G$1))</f>
        <v/>
      </c>
      <c r="G98" s="39" t="str">
        <f>IF(A98="","",ROUND(D98+E98-F98,6))</f>
        <v/>
      </c>
      <c r="H98" s="40" t="str">
        <f>IF(A98="","",G98*N('Articles'!G98))</f>
        <v/>
      </c>
    </row>
    <row r="99">
      <c r="A99" s="39" t="str">
        <f>IF('Articles'!A99="","",'Articles'!A99)</f>
        <v/>
      </c>
      <c r="B99" s="39" t="str">
        <f>IF(A99="","",'Articles'!B99&amp;"")</f>
        <v/>
      </c>
      <c r="C99" s="39" t="str">
        <f>IF(A99="","",'Articles'!D99&amp;"")</f>
        <v/>
      </c>
      <c r="D99" s="39" t="str">
        <f>IF(A99="","",ROUND(N('Articles'!H99)+SUMIFS(mv_qty,mv_ref,A99,mv_type,"Entrée",mv_date,"&lt;"&amp;$E$1)-SUMIFS(mv_qty,mv_ref,A99,mv_type,"Sortie",mv_date,"&lt;"&amp;$E$1),6))</f>
        <v/>
      </c>
      <c r="E99" s="39" t="str">
        <f>IF(A99="","",SUMIFS(mv_qty,mv_ref,A99,mv_type,"Entrée",mv_date,"&gt;="&amp;$E$1,mv_date,"&lt;="&amp;$G$1))</f>
        <v/>
      </c>
      <c r="F99" s="39" t="str">
        <f>IF(A99="","",SUMIFS(mv_qty,mv_ref,A99,mv_type,"Sortie",mv_date,"&gt;="&amp;$E$1,mv_date,"&lt;="&amp;$G$1))</f>
        <v/>
      </c>
      <c r="G99" s="39" t="str">
        <f>IF(A99="","",ROUND(D99+E99-F99,6))</f>
        <v/>
      </c>
      <c r="H99" s="40" t="str">
        <f>IF(A99="","",G99*N('Articles'!G99))</f>
        <v/>
      </c>
    </row>
    <row r="100">
      <c r="A100" s="39" t="str">
        <f>IF('Articles'!A100="","",'Articles'!A100)</f>
        <v/>
      </c>
      <c r="B100" s="39" t="str">
        <f>IF(A100="","",'Articles'!B100&amp;"")</f>
        <v/>
      </c>
      <c r="C100" s="39" t="str">
        <f>IF(A100="","",'Articles'!D100&amp;"")</f>
        <v/>
      </c>
      <c r="D100" s="39" t="str">
        <f>IF(A100="","",ROUND(N('Articles'!H100)+SUMIFS(mv_qty,mv_ref,A100,mv_type,"Entrée",mv_date,"&lt;"&amp;$E$1)-SUMIFS(mv_qty,mv_ref,A100,mv_type,"Sortie",mv_date,"&lt;"&amp;$E$1),6))</f>
        <v/>
      </c>
      <c r="E100" s="39" t="str">
        <f>IF(A100="","",SUMIFS(mv_qty,mv_ref,A100,mv_type,"Entrée",mv_date,"&gt;="&amp;$E$1,mv_date,"&lt;="&amp;$G$1))</f>
        <v/>
      </c>
      <c r="F100" s="39" t="str">
        <f>IF(A100="","",SUMIFS(mv_qty,mv_ref,A100,mv_type,"Sortie",mv_date,"&gt;="&amp;$E$1,mv_date,"&lt;="&amp;$G$1))</f>
        <v/>
      </c>
      <c r="G100" s="39" t="str">
        <f>IF(A100="","",ROUND(D100+E100-F100,6))</f>
        <v/>
      </c>
      <c r="H100" s="40" t="str">
        <f>IF(A100="","",G100*N('Articles'!G100))</f>
        <v/>
      </c>
    </row>
    <row r="101">
      <c r="A101" s="39" t="str">
        <f>IF('Articles'!A101="","",'Articles'!A101)</f>
        <v/>
      </c>
      <c r="B101" s="39" t="str">
        <f>IF(A101="","",'Articles'!B101&amp;"")</f>
        <v/>
      </c>
      <c r="C101" s="39" t="str">
        <f>IF(A101="","",'Articles'!D101&amp;"")</f>
        <v/>
      </c>
      <c r="D101" s="39" t="str">
        <f>IF(A101="","",ROUND(N('Articles'!H101)+SUMIFS(mv_qty,mv_ref,A101,mv_type,"Entrée",mv_date,"&lt;"&amp;$E$1)-SUMIFS(mv_qty,mv_ref,A101,mv_type,"Sortie",mv_date,"&lt;"&amp;$E$1),6))</f>
        <v/>
      </c>
      <c r="E101" s="39" t="str">
        <f>IF(A101="","",SUMIFS(mv_qty,mv_ref,A101,mv_type,"Entrée",mv_date,"&gt;="&amp;$E$1,mv_date,"&lt;="&amp;$G$1))</f>
        <v/>
      </c>
      <c r="F101" s="39" t="str">
        <f>IF(A101="","",SUMIFS(mv_qty,mv_ref,A101,mv_type,"Sortie",mv_date,"&gt;="&amp;$E$1,mv_date,"&lt;="&amp;$G$1))</f>
        <v/>
      </c>
      <c r="G101" s="39" t="str">
        <f>IF(A101="","",ROUND(D101+E101-F101,6))</f>
        <v/>
      </c>
      <c r="H101" s="40" t="str">
        <f>IF(A101="","",G101*N('Articles'!G101))</f>
        <v/>
      </c>
    </row>
    <row r="102">
      <c r="A102" s="39" t="str">
        <f>IF('Articles'!A102="","",'Articles'!A102)</f>
        <v/>
      </c>
      <c r="B102" s="39" t="str">
        <f>IF(A102="","",'Articles'!B102&amp;"")</f>
        <v/>
      </c>
      <c r="C102" s="39" t="str">
        <f>IF(A102="","",'Articles'!D102&amp;"")</f>
        <v/>
      </c>
      <c r="D102" s="39" t="str">
        <f>IF(A102="","",ROUND(N('Articles'!H102)+SUMIFS(mv_qty,mv_ref,A102,mv_type,"Entrée",mv_date,"&lt;"&amp;$E$1)-SUMIFS(mv_qty,mv_ref,A102,mv_type,"Sortie",mv_date,"&lt;"&amp;$E$1),6))</f>
        <v/>
      </c>
      <c r="E102" s="39" t="str">
        <f>IF(A102="","",SUMIFS(mv_qty,mv_ref,A102,mv_type,"Entrée",mv_date,"&gt;="&amp;$E$1,mv_date,"&lt;="&amp;$G$1))</f>
        <v/>
      </c>
      <c r="F102" s="39" t="str">
        <f>IF(A102="","",SUMIFS(mv_qty,mv_ref,A102,mv_type,"Sortie",mv_date,"&gt;="&amp;$E$1,mv_date,"&lt;="&amp;$G$1))</f>
        <v/>
      </c>
      <c r="G102" s="39" t="str">
        <f>IF(A102="","",ROUND(D102+E102-F102,6))</f>
        <v/>
      </c>
      <c r="H102" s="40" t="str">
        <f>IF(A102="","",G102*N('Articles'!G102))</f>
        <v/>
      </c>
    </row>
    <row r="103">
      <c r="A103" s="39" t="str">
        <f>IF('Articles'!A103="","",'Articles'!A103)</f>
        <v/>
      </c>
      <c r="B103" s="39" t="str">
        <f>IF(A103="","",'Articles'!B103&amp;"")</f>
        <v/>
      </c>
      <c r="C103" s="39" t="str">
        <f>IF(A103="","",'Articles'!D103&amp;"")</f>
        <v/>
      </c>
      <c r="D103" s="39" t="str">
        <f>IF(A103="","",ROUND(N('Articles'!H103)+SUMIFS(mv_qty,mv_ref,A103,mv_type,"Entrée",mv_date,"&lt;"&amp;$E$1)-SUMIFS(mv_qty,mv_ref,A103,mv_type,"Sortie",mv_date,"&lt;"&amp;$E$1),6))</f>
        <v/>
      </c>
      <c r="E103" s="39" t="str">
        <f>IF(A103="","",SUMIFS(mv_qty,mv_ref,A103,mv_type,"Entrée",mv_date,"&gt;="&amp;$E$1,mv_date,"&lt;="&amp;$G$1))</f>
        <v/>
      </c>
      <c r="F103" s="39" t="str">
        <f>IF(A103="","",SUMIFS(mv_qty,mv_ref,A103,mv_type,"Sortie",mv_date,"&gt;="&amp;$E$1,mv_date,"&lt;="&amp;$G$1))</f>
        <v/>
      </c>
      <c r="G103" s="39" t="str">
        <f>IF(A103="","",ROUND(D103+E103-F103,6))</f>
        <v/>
      </c>
      <c r="H103" s="40" t="str">
        <f>IF(A103="","",G103*N('Articles'!G103))</f>
        <v/>
      </c>
    </row>
    <row r="104">
      <c r="A104" s="39" t="str">
        <f>IF('Articles'!A104="","",'Articles'!A104)</f>
        <v/>
      </c>
      <c r="B104" s="39" t="str">
        <f>IF(A104="","",'Articles'!B104&amp;"")</f>
        <v/>
      </c>
      <c r="C104" s="39" t="str">
        <f>IF(A104="","",'Articles'!D104&amp;"")</f>
        <v/>
      </c>
      <c r="D104" s="39" t="str">
        <f>IF(A104="","",ROUND(N('Articles'!H104)+SUMIFS(mv_qty,mv_ref,A104,mv_type,"Entrée",mv_date,"&lt;"&amp;$E$1)-SUMIFS(mv_qty,mv_ref,A104,mv_type,"Sortie",mv_date,"&lt;"&amp;$E$1),6))</f>
        <v/>
      </c>
      <c r="E104" s="39" t="str">
        <f>IF(A104="","",SUMIFS(mv_qty,mv_ref,A104,mv_type,"Entrée",mv_date,"&gt;="&amp;$E$1,mv_date,"&lt;="&amp;$G$1))</f>
        <v/>
      </c>
      <c r="F104" s="39" t="str">
        <f>IF(A104="","",SUMIFS(mv_qty,mv_ref,A104,mv_type,"Sortie",mv_date,"&gt;="&amp;$E$1,mv_date,"&lt;="&amp;$G$1))</f>
        <v/>
      </c>
      <c r="G104" s="39" t="str">
        <f>IF(A104="","",ROUND(D104+E104-F104,6))</f>
        <v/>
      </c>
      <c r="H104" s="40" t="str">
        <f>IF(A104="","",G104*N('Articles'!G104))</f>
        <v/>
      </c>
    </row>
    <row r="105">
      <c r="A105" s="39" t="str">
        <f>IF('Articles'!A105="","",'Articles'!A105)</f>
        <v/>
      </c>
      <c r="B105" s="39" t="str">
        <f>IF(A105="","",'Articles'!B105&amp;"")</f>
        <v/>
      </c>
      <c r="C105" s="39" t="str">
        <f>IF(A105="","",'Articles'!D105&amp;"")</f>
        <v/>
      </c>
      <c r="D105" s="39" t="str">
        <f>IF(A105="","",ROUND(N('Articles'!H105)+SUMIFS(mv_qty,mv_ref,A105,mv_type,"Entrée",mv_date,"&lt;"&amp;$E$1)-SUMIFS(mv_qty,mv_ref,A105,mv_type,"Sortie",mv_date,"&lt;"&amp;$E$1),6))</f>
        <v/>
      </c>
      <c r="E105" s="39" t="str">
        <f>IF(A105="","",SUMIFS(mv_qty,mv_ref,A105,mv_type,"Entrée",mv_date,"&gt;="&amp;$E$1,mv_date,"&lt;="&amp;$G$1))</f>
        <v/>
      </c>
      <c r="F105" s="39" t="str">
        <f>IF(A105="","",SUMIFS(mv_qty,mv_ref,A105,mv_type,"Sortie",mv_date,"&gt;="&amp;$E$1,mv_date,"&lt;="&amp;$G$1))</f>
        <v/>
      </c>
      <c r="G105" s="39" t="str">
        <f>IF(A105="","",ROUND(D105+E105-F105,6))</f>
        <v/>
      </c>
      <c r="H105" s="40" t="str">
        <f>IF(A105="","",G105*N('Articles'!G105))</f>
        <v/>
      </c>
    </row>
    <row r="106">
      <c r="A106" s="39" t="str">
        <f>IF('Articles'!A106="","",'Articles'!A106)</f>
        <v/>
      </c>
      <c r="B106" s="39" t="str">
        <f>IF(A106="","",'Articles'!B106&amp;"")</f>
        <v/>
      </c>
      <c r="C106" s="39" t="str">
        <f>IF(A106="","",'Articles'!D106&amp;"")</f>
        <v/>
      </c>
      <c r="D106" s="39" t="str">
        <f>IF(A106="","",ROUND(N('Articles'!H106)+SUMIFS(mv_qty,mv_ref,A106,mv_type,"Entrée",mv_date,"&lt;"&amp;$E$1)-SUMIFS(mv_qty,mv_ref,A106,mv_type,"Sortie",mv_date,"&lt;"&amp;$E$1),6))</f>
        <v/>
      </c>
      <c r="E106" s="39" t="str">
        <f>IF(A106="","",SUMIFS(mv_qty,mv_ref,A106,mv_type,"Entrée",mv_date,"&gt;="&amp;$E$1,mv_date,"&lt;="&amp;$G$1))</f>
        <v/>
      </c>
      <c r="F106" s="39" t="str">
        <f>IF(A106="","",SUMIFS(mv_qty,mv_ref,A106,mv_type,"Sortie",mv_date,"&gt;="&amp;$E$1,mv_date,"&lt;="&amp;$G$1))</f>
        <v/>
      </c>
      <c r="G106" s="39" t="str">
        <f>IF(A106="","",ROUND(D106+E106-F106,6))</f>
        <v/>
      </c>
      <c r="H106" s="40" t="str">
        <f>IF(A106="","",G106*N('Articles'!G106))</f>
        <v/>
      </c>
    </row>
    <row r="107">
      <c r="A107" s="39" t="str">
        <f>IF('Articles'!A107="","",'Articles'!A107)</f>
        <v/>
      </c>
      <c r="B107" s="39" t="str">
        <f>IF(A107="","",'Articles'!B107&amp;"")</f>
        <v/>
      </c>
      <c r="C107" s="39" t="str">
        <f>IF(A107="","",'Articles'!D107&amp;"")</f>
        <v/>
      </c>
      <c r="D107" s="39" t="str">
        <f>IF(A107="","",ROUND(N('Articles'!H107)+SUMIFS(mv_qty,mv_ref,A107,mv_type,"Entrée",mv_date,"&lt;"&amp;$E$1)-SUMIFS(mv_qty,mv_ref,A107,mv_type,"Sortie",mv_date,"&lt;"&amp;$E$1),6))</f>
        <v/>
      </c>
      <c r="E107" s="39" t="str">
        <f>IF(A107="","",SUMIFS(mv_qty,mv_ref,A107,mv_type,"Entrée",mv_date,"&gt;="&amp;$E$1,mv_date,"&lt;="&amp;$G$1))</f>
        <v/>
      </c>
      <c r="F107" s="39" t="str">
        <f>IF(A107="","",SUMIFS(mv_qty,mv_ref,A107,mv_type,"Sortie",mv_date,"&gt;="&amp;$E$1,mv_date,"&lt;="&amp;$G$1))</f>
        <v/>
      </c>
      <c r="G107" s="39" t="str">
        <f>IF(A107="","",ROUND(D107+E107-F107,6))</f>
        <v/>
      </c>
      <c r="H107" s="40" t="str">
        <f>IF(A107="","",G107*N('Articles'!G107))</f>
        <v/>
      </c>
    </row>
    <row r="108">
      <c r="A108" s="39" t="str">
        <f>IF('Articles'!A108="","",'Articles'!A108)</f>
        <v/>
      </c>
      <c r="B108" s="39" t="str">
        <f>IF(A108="","",'Articles'!B108&amp;"")</f>
        <v/>
      </c>
      <c r="C108" s="39" t="str">
        <f>IF(A108="","",'Articles'!D108&amp;"")</f>
        <v/>
      </c>
      <c r="D108" s="39" t="str">
        <f>IF(A108="","",ROUND(N('Articles'!H108)+SUMIFS(mv_qty,mv_ref,A108,mv_type,"Entrée",mv_date,"&lt;"&amp;$E$1)-SUMIFS(mv_qty,mv_ref,A108,mv_type,"Sortie",mv_date,"&lt;"&amp;$E$1),6))</f>
        <v/>
      </c>
      <c r="E108" s="39" t="str">
        <f>IF(A108="","",SUMIFS(mv_qty,mv_ref,A108,mv_type,"Entrée",mv_date,"&gt;="&amp;$E$1,mv_date,"&lt;="&amp;$G$1))</f>
        <v/>
      </c>
      <c r="F108" s="39" t="str">
        <f>IF(A108="","",SUMIFS(mv_qty,mv_ref,A108,mv_type,"Sortie",mv_date,"&gt;="&amp;$E$1,mv_date,"&lt;="&amp;$G$1))</f>
        <v/>
      </c>
      <c r="G108" s="39" t="str">
        <f>IF(A108="","",ROUND(D108+E108-F108,6))</f>
        <v/>
      </c>
      <c r="H108" s="40" t="str">
        <f>IF(A108="","",G108*N('Articles'!G108))</f>
        <v/>
      </c>
    </row>
    <row r="109">
      <c r="A109" s="39" t="str">
        <f>IF('Articles'!A109="","",'Articles'!A109)</f>
        <v/>
      </c>
      <c r="B109" s="39" t="str">
        <f>IF(A109="","",'Articles'!B109&amp;"")</f>
        <v/>
      </c>
      <c r="C109" s="39" t="str">
        <f>IF(A109="","",'Articles'!D109&amp;"")</f>
        <v/>
      </c>
      <c r="D109" s="39" t="str">
        <f>IF(A109="","",ROUND(N('Articles'!H109)+SUMIFS(mv_qty,mv_ref,A109,mv_type,"Entrée",mv_date,"&lt;"&amp;$E$1)-SUMIFS(mv_qty,mv_ref,A109,mv_type,"Sortie",mv_date,"&lt;"&amp;$E$1),6))</f>
        <v/>
      </c>
      <c r="E109" s="39" t="str">
        <f>IF(A109="","",SUMIFS(mv_qty,mv_ref,A109,mv_type,"Entrée",mv_date,"&gt;="&amp;$E$1,mv_date,"&lt;="&amp;$G$1))</f>
        <v/>
      </c>
      <c r="F109" s="39" t="str">
        <f>IF(A109="","",SUMIFS(mv_qty,mv_ref,A109,mv_type,"Sortie",mv_date,"&gt;="&amp;$E$1,mv_date,"&lt;="&amp;$G$1))</f>
        <v/>
      </c>
      <c r="G109" s="39" t="str">
        <f>IF(A109="","",ROUND(D109+E109-F109,6))</f>
        <v/>
      </c>
      <c r="H109" s="40" t="str">
        <f>IF(A109="","",G109*N('Articles'!G109))</f>
        <v/>
      </c>
    </row>
    <row r="110">
      <c r="A110" s="39" t="str">
        <f>IF('Articles'!A110="","",'Articles'!A110)</f>
        <v/>
      </c>
      <c r="B110" s="39" t="str">
        <f>IF(A110="","",'Articles'!B110&amp;"")</f>
        <v/>
      </c>
      <c r="C110" s="39" t="str">
        <f>IF(A110="","",'Articles'!D110&amp;"")</f>
        <v/>
      </c>
      <c r="D110" s="39" t="str">
        <f>IF(A110="","",ROUND(N('Articles'!H110)+SUMIFS(mv_qty,mv_ref,A110,mv_type,"Entrée",mv_date,"&lt;"&amp;$E$1)-SUMIFS(mv_qty,mv_ref,A110,mv_type,"Sortie",mv_date,"&lt;"&amp;$E$1),6))</f>
        <v/>
      </c>
      <c r="E110" s="39" t="str">
        <f>IF(A110="","",SUMIFS(mv_qty,mv_ref,A110,mv_type,"Entrée",mv_date,"&gt;="&amp;$E$1,mv_date,"&lt;="&amp;$G$1))</f>
        <v/>
      </c>
      <c r="F110" s="39" t="str">
        <f>IF(A110="","",SUMIFS(mv_qty,mv_ref,A110,mv_type,"Sortie",mv_date,"&gt;="&amp;$E$1,mv_date,"&lt;="&amp;$G$1))</f>
        <v/>
      </c>
      <c r="G110" s="39" t="str">
        <f>IF(A110="","",ROUND(D110+E110-F110,6))</f>
        <v/>
      </c>
      <c r="H110" s="40" t="str">
        <f>IF(A110="","",G110*N('Articles'!G110))</f>
        <v/>
      </c>
    </row>
    <row r="111">
      <c r="A111" s="39" t="str">
        <f>IF('Articles'!A111="","",'Articles'!A111)</f>
        <v/>
      </c>
      <c r="B111" s="39" t="str">
        <f>IF(A111="","",'Articles'!B111&amp;"")</f>
        <v/>
      </c>
      <c r="C111" s="39" t="str">
        <f>IF(A111="","",'Articles'!D111&amp;"")</f>
        <v/>
      </c>
      <c r="D111" s="39" t="str">
        <f>IF(A111="","",ROUND(N('Articles'!H111)+SUMIFS(mv_qty,mv_ref,A111,mv_type,"Entrée",mv_date,"&lt;"&amp;$E$1)-SUMIFS(mv_qty,mv_ref,A111,mv_type,"Sortie",mv_date,"&lt;"&amp;$E$1),6))</f>
        <v/>
      </c>
      <c r="E111" s="39" t="str">
        <f>IF(A111="","",SUMIFS(mv_qty,mv_ref,A111,mv_type,"Entrée",mv_date,"&gt;="&amp;$E$1,mv_date,"&lt;="&amp;$G$1))</f>
        <v/>
      </c>
      <c r="F111" s="39" t="str">
        <f>IF(A111="","",SUMIFS(mv_qty,mv_ref,A111,mv_type,"Sortie",mv_date,"&gt;="&amp;$E$1,mv_date,"&lt;="&amp;$G$1))</f>
        <v/>
      </c>
      <c r="G111" s="39" t="str">
        <f>IF(A111="","",ROUND(D111+E111-F111,6))</f>
        <v/>
      </c>
      <c r="H111" s="40" t="str">
        <f>IF(A111="","",G111*N('Articles'!G111))</f>
        <v/>
      </c>
    </row>
    <row r="112">
      <c r="A112" s="39" t="str">
        <f>IF('Articles'!A112="","",'Articles'!A112)</f>
        <v/>
      </c>
      <c r="B112" s="39" t="str">
        <f>IF(A112="","",'Articles'!B112&amp;"")</f>
        <v/>
      </c>
      <c r="C112" s="39" t="str">
        <f>IF(A112="","",'Articles'!D112&amp;"")</f>
        <v/>
      </c>
      <c r="D112" s="39" t="str">
        <f>IF(A112="","",ROUND(N('Articles'!H112)+SUMIFS(mv_qty,mv_ref,A112,mv_type,"Entrée",mv_date,"&lt;"&amp;$E$1)-SUMIFS(mv_qty,mv_ref,A112,mv_type,"Sortie",mv_date,"&lt;"&amp;$E$1),6))</f>
        <v/>
      </c>
      <c r="E112" s="39" t="str">
        <f>IF(A112="","",SUMIFS(mv_qty,mv_ref,A112,mv_type,"Entrée",mv_date,"&gt;="&amp;$E$1,mv_date,"&lt;="&amp;$G$1))</f>
        <v/>
      </c>
      <c r="F112" s="39" t="str">
        <f>IF(A112="","",SUMIFS(mv_qty,mv_ref,A112,mv_type,"Sortie",mv_date,"&gt;="&amp;$E$1,mv_date,"&lt;="&amp;$G$1))</f>
        <v/>
      </c>
      <c r="G112" s="39" t="str">
        <f>IF(A112="","",ROUND(D112+E112-F112,6))</f>
        <v/>
      </c>
      <c r="H112" s="40" t="str">
        <f>IF(A112="","",G112*N('Articles'!G112))</f>
        <v/>
      </c>
    </row>
    <row r="113">
      <c r="A113" s="39" t="str">
        <f>IF('Articles'!A113="","",'Articles'!A113)</f>
        <v/>
      </c>
      <c r="B113" s="39" t="str">
        <f>IF(A113="","",'Articles'!B113&amp;"")</f>
        <v/>
      </c>
      <c r="C113" s="39" t="str">
        <f>IF(A113="","",'Articles'!D113&amp;"")</f>
        <v/>
      </c>
      <c r="D113" s="39" t="str">
        <f>IF(A113="","",ROUND(N('Articles'!H113)+SUMIFS(mv_qty,mv_ref,A113,mv_type,"Entrée",mv_date,"&lt;"&amp;$E$1)-SUMIFS(mv_qty,mv_ref,A113,mv_type,"Sortie",mv_date,"&lt;"&amp;$E$1),6))</f>
        <v/>
      </c>
      <c r="E113" s="39" t="str">
        <f>IF(A113="","",SUMIFS(mv_qty,mv_ref,A113,mv_type,"Entrée",mv_date,"&gt;="&amp;$E$1,mv_date,"&lt;="&amp;$G$1))</f>
        <v/>
      </c>
      <c r="F113" s="39" t="str">
        <f>IF(A113="","",SUMIFS(mv_qty,mv_ref,A113,mv_type,"Sortie",mv_date,"&gt;="&amp;$E$1,mv_date,"&lt;="&amp;$G$1))</f>
        <v/>
      </c>
      <c r="G113" s="39" t="str">
        <f>IF(A113="","",ROUND(D113+E113-F113,6))</f>
        <v/>
      </c>
      <c r="H113" s="40" t="str">
        <f>IF(A113="","",G113*N('Articles'!G113))</f>
        <v/>
      </c>
    </row>
    <row r="114">
      <c r="A114" s="39" t="str">
        <f>IF('Articles'!A114="","",'Articles'!A114)</f>
        <v/>
      </c>
      <c r="B114" s="39" t="str">
        <f>IF(A114="","",'Articles'!B114&amp;"")</f>
        <v/>
      </c>
      <c r="C114" s="39" t="str">
        <f>IF(A114="","",'Articles'!D114&amp;"")</f>
        <v/>
      </c>
      <c r="D114" s="39" t="str">
        <f>IF(A114="","",ROUND(N('Articles'!H114)+SUMIFS(mv_qty,mv_ref,A114,mv_type,"Entrée",mv_date,"&lt;"&amp;$E$1)-SUMIFS(mv_qty,mv_ref,A114,mv_type,"Sortie",mv_date,"&lt;"&amp;$E$1),6))</f>
        <v/>
      </c>
      <c r="E114" s="39" t="str">
        <f>IF(A114="","",SUMIFS(mv_qty,mv_ref,A114,mv_type,"Entrée",mv_date,"&gt;="&amp;$E$1,mv_date,"&lt;="&amp;$G$1))</f>
        <v/>
      </c>
      <c r="F114" s="39" t="str">
        <f>IF(A114="","",SUMIFS(mv_qty,mv_ref,A114,mv_type,"Sortie",mv_date,"&gt;="&amp;$E$1,mv_date,"&lt;="&amp;$G$1))</f>
        <v/>
      </c>
      <c r="G114" s="39" t="str">
        <f>IF(A114="","",ROUND(D114+E114-F114,6))</f>
        <v/>
      </c>
      <c r="H114" s="40" t="str">
        <f>IF(A114="","",G114*N('Articles'!G114))</f>
        <v/>
      </c>
    </row>
    <row r="115">
      <c r="A115" s="39" t="str">
        <f>IF('Articles'!A115="","",'Articles'!A115)</f>
        <v/>
      </c>
      <c r="B115" s="39" t="str">
        <f>IF(A115="","",'Articles'!B115&amp;"")</f>
        <v/>
      </c>
      <c r="C115" s="39" t="str">
        <f>IF(A115="","",'Articles'!D115&amp;"")</f>
        <v/>
      </c>
      <c r="D115" s="39" t="str">
        <f>IF(A115="","",ROUND(N('Articles'!H115)+SUMIFS(mv_qty,mv_ref,A115,mv_type,"Entrée",mv_date,"&lt;"&amp;$E$1)-SUMIFS(mv_qty,mv_ref,A115,mv_type,"Sortie",mv_date,"&lt;"&amp;$E$1),6))</f>
        <v/>
      </c>
      <c r="E115" s="39" t="str">
        <f>IF(A115="","",SUMIFS(mv_qty,mv_ref,A115,mv_type,"Entrée",mv_date,"&gt;="&amp;$E$1,mv_date,"&lt;="&amp;$G$1))</f>
        <v/>
      </c>
      <c r="F115" s="39" t="str">
        <f>IF(A115="","",SUMIFS(mv_qty,mv_ref,A115,mv_type,"Sortie",mv_date,"&gt;="&amp;$E$1,mv_date,"&lt;="&amp;$G$1))</f>
        <v/>
      </c>
      <c r="G115" s="39" t="str">
        <f>IF(A115="","",ROUND(D115+E115-F115,6))</f>
        <v/>
      </c>
      <c r="H115" s="40" t="str">
        <f>IF(A115="","",G115*N('Articles'!G115))</f>
        <v/>
      </c>
    </row>
    <row r="116">
      <c r="A116" s="39" t="str">
        <f>IF('Articles'!A116="","",'Articles'!A116)</f>
        <v/>
      </c>
      <c r="B116" s="39" t="str">
        <f>IF(A116="","",'Articles'!B116&amp;"")</f>
        <v/>
      </c>
      <c r="C116" s="39" t="str">
        <f>IF(A116="","",'Articles'!D116&amp;"")</f>
        <v/>
      </c>
      <c r="D116" s="39" t="str">
        <f>IF(A116="","",ROUND(N('Articles'!H116)+SUMIFS(mv_qty,mv_ref,A116,mv_type,"Entrée",mv_date,"&lt;"&amp;$E$1)-SUMIFS(mv_qty,mv_ref,A116,mv_type,"Sortie",mv_date,"&lt;"&amp;$E$1),6))</f>
        <v/>
      </c>
      <c r="E116" s="39" t="str">
        <f>IF(A116="","",SUMIFS(mv_qty,mv_ref,A116,mv_type,"Entrée",mv_date,"&gt;="&amp;$E$1,mv_date,"&lt;="&amp;$G$1))</f>
        <v/>
      </c>
      <c r="F116" s="39" t="str">
        <f>IF(A116="","",SUMIFS(mv_qty,mv_ref,A116,mv_type,"Sortie",mv_date,"&gt;="&amp;$E$1,mv_date,"&lt;="&amp;$G$1))</f>
        <v/>
      </c>
      <c r="G116" s="39" t="str">
        <f>IF(A116="","",ROUND(D116+E116-F116,6))</f>
        <v/>
      </c>
      <c r="H116" s="40" t="str">
        <f>IF(A116="","",G116*N('Articles'!G116))</f>
        <v/>
      </c>
    </row>
    <row r="117">
      <c r="A117" s="39" t="str">
        <f>IF('Articles'!A117="","",'Articles'!A117)</f>
        <v/>
      </c>
      <c r="B117" s="39" t="str">
        <f>IF(A117="","",'Articles'!B117&amp;"")</f>
        <v/>
      </c>
      <c r="C117" s="39" t="str">
        <f>IF(A117="","",'Articles'!D117&amp;"")</f>
        <v/>
      </c>
      <c r="D117" s="39" t="str">
        <f>IF(A117="","",ROUND(N('Articles'!H117)+SUMIFS(mv_qty,mv_ref,A117,mv_type,"Entrée",mv_date,"&lt;"&amp;$E$1)-SUMIFS(mv_qty,mv_ref,A117,mv_type,"Sortie",mv_date,"&lt;"&amp;$E$1),6))</f>
        <v/>
      </c>
      <c r="E117" s="39" t="str">
        <f>IF(A117="","",SUMIFS(mv_qty,mv_ref,A117,mv_type,"Entrée",mv_date,"&gt;="&amp;$E$1,mv_date,"&lt;="&amp;$G$1))</f>
        <v/>
      </c>
      <c r="F117" s="39" t="str">
        <f>IF(A117="","",SUMIFS(mv_qty,mv_ref,A117,mv_type,"Sortie",mv_date,"&gt;="&amp;$E$1,mv_date,"&lt;="&amp;$G$1))</f>
        <v/>
      </c>
      <c r="G117" s="39" t="str">
        <f>IF(A117="","",ROUND(D117+E117-F117,6))</f>
        <v/>
      </c>
      <c r="H117" s="40" t="str">
        <f>IF(A117="","",G117*N('Articles'!G117))</f>
        <v/>
      </c>
    </row>
    <row r="118">
      <c r="A118" s="39" t="str">
        <f>IF('Articles'!A118="","",'Articles'!A118)</f>
        <v/>
      </c>
      <c r="B118" s="39" t="str">
        <f>IF(A118="","",'Articles'!B118&amp;"")</f>
        <v/>
      </c>
      <c r="C118" s="39" t="str">
        <f>IF(A118="","",'Articles'!D118&amp;"")</f>
        <v/>
      </c>
      <c r="D118" s="39" t="str">
        <f>IF(A118="","",ROUND(N('Articles'!H118)+SUMIFS(mv_qty,mv_ref,A118,mv_type,"Entrée",mv_date,"&lt;"&amp;$E$1)-SUMIFS(mv_qty,mv_ref,A118,mv_type,"Sortie",mv_date,"&lt;"&amp;$E$1),6))</f>
        <v/>
      </c>
      <c r="E118" s="39" t="str">
        <f>IF(A118="","",SUMIFS(mv_qty,mv_ref,A118,mv_type,"Entrée",mv_date,"&gt;="&amp;$E$1,mv_date,"&lt;="&amp;$G$1))</f>
        <v/>
      </c>
      <c r="F118" s="39" t="str">
        <f>IF(A118="","",SUMIFS(mv_qty,mv_ref,A118,mv_type,"Sortie",mv_date,"&gt;="&amp;$E$1,mv_date,"&lt;="&amp;$G$1))</f>
        <v/>
      </c>
      <c r="G118" s="39" t="str">
        <f>IF(A118="","",ROUND(D118+E118-F118,6))</f>
        <v/>
      </c>
      <c r="H118" s="40" t="str">
        <f>IF(A118="","",G118*N('Articles'!G118))</f>
        <v/>
      </c>
    </row>
    <row r="119">
      <c r="A119" s="39" t="str">
        <f>IF('Articles'!A119="","",'Articles'!A119)</f>
        <v/>
      </c>
      <c r="B119" s="39" t="str">
        <f>IF(A119="","",'Articles'!B119&amp;"")</f>
        <v/>
      </c>
      <c r="C119" s="39" t="str">
        <f>IF(A119="","",'Articles'!D119&amp;"")</f>
        <v/>
      </c>
      <c r="D119" s="39" t="str">
        <f>IF(A119="","",ROUND(N('Articles'!H119)+SUMIFS(mv_qty,mv_ref,A119,mv_type,"Entrée",mv_date,"&lt;"&amp;$E$1)-SUMIFS(mv_qty,mv_ref,A119,mv_type,"Sortie",mv_date,"&lt;"&amp;$E$1),6))</f>
        <v/>
      </c>
      <c r="E119" s="39" t="str">
        <f>IF(A119="","",SUMIFS(mv_qty,mv_ref,A119,mv_type,"Entrée",mv_date,"&gt;="&amp;$E$1,mv_date,"&lt;="&amp;$G$1))</f>
        <v/>
      </c>
      <c r="F119" s="39" t="str">
        <f>IF(A119="","",SUMIFS(mv_qty,mv_ref,A119,mv_type,"Sortie",mv_date,"&gt;="&amp;$E$1,mv_date,"&lt;="&amp;$G$1))</f>
        <v/>
      </c>
      <c r="G119" s="39" t="str">
        <f>IF(A119="","",ROUND(D119+E119-F119,6))</f>
        <v/>
      </c>
      <c r="H119" s="40" t="str">
        <f>IF(A119="","",G119*N('Articles'!G119))</f>
        <v/>
      </c>
    </row>
    <row r="120">
      <c r="A120" s="39" t="str">
        <f>IF('Articles'!A120="","",'Articles'!A120)</f>
        <v/>
      </c>
      <c r="B120" s="39" t="str">
        <f>IF(A120="","",'Articles'!B120&amp;"")</f>
        <v/>
      </c>
      <c r="C120" s="39" t="str">
        <f>IF(A120="","",'Articles'!D120&amp;"")</f>
        <v/>
      </c>
      <c r="D120" s="39" t="str">
        <f>IF(A120="","",ROUND(N('Articles'!H120)+SUMIFS(mv_qty,mv_ref,A120,mv_type,"Entrée",mv_date,"&lt;"&amp;$E$1)-SUMIFS(mv_qty,mv_ref,A120,mv_type,"Sortie",mv_date,"&lt;"&amp;$E$1),6))</f>
        <v/>
      </c>
      <c r="E120" s="39" t="str">
        <f>IF(A120="","",SUMIFS(mv_qty,mv_ref,A120,mv_type,"Entrée",mv_date,"&gt;="&amp;$E$1,mv_date,"&lt;="&amp;$G$1))</f>
        <v/>
      </c>
      <c r="F120" s="39" t="str">
        <f>IF(A120="","",SUMIFS(mv_qty,mv_ref,A120,mv_type,"Sortie",mv_date,"&gt;="&amp;$E$1,mv_date,"&lt;="&amp;$G$1))</f>
        <v/>
      </c>
      <c r="G120" s="39" t="str">
        <f>IF(A120="","",ROUND(D120+E120-F120,6))</f>
        <v/>
      </c>
      <c r="H120" s="40" t="str">
        <f>IF(A120="","",G120*N('Articles'!G120))</f>
        <v/>
      </c>
    </row>
    <row r="121">
      <c r="A121" s="39" t="str">
        <f>IF('Articles'!A121="","",'Articles'!A121)</f>
        <v/>
      </c>
      <c r="B121" s="39" t="str">
        <f>IF(A121="","",'Articles'!B121&amp;"")</f>
        <v/>
      </c>
      <c r="C121" s="39" t="str">
        <f>IF(A121="","",'Articles'!D121&amp;"")</f>
        <v/>
      </c>
      <c r="D121" s="39" t="str">
        <f>IF(A121="","",ROUND(N('Articles'!H121)+SUMIFS(mv_qty,mv_ref,A121,mv_type,"Entrée",mv_date,"&lt;"&amp;$E$1)-SUMIFS(mv_qty,mv_ref,A121,mv_type,"Sortie",mv_date,"&lt;"&amp;$E$1),6))</f>
        <v/>
      </c>
      <c r="E121" s="39" t="str">
        <f>IF(A121="","",SUMIFS(mv_qty,mv_ref,A121,mv_type,"Entrée",mv_date,"&gt;="&amp;$E$1,mv_date,"&lt;="&amp;$G$1))</f>
        <v/>
      </c>
      <c r="F121" s="39" t="str">
        <f>IF(A121="","",SUMIFS(mv_qty,mv_ref,A121,mv_type,"Sortie",mv_date,"&gt;="&amp;$E$1,mv_date,"&lt;="&amp;$G$1))</f>
        <v/>
      </c>
      <c r="G121" s="39" t="str">
        <f>IF(A121="","",ROUND(D121+E121-F121,6))</f>
        <v/>
      </c>
      <c r="H121" s="40" t="str">
        <f>IF(A121="","",G121*N('Articles'!G121))</f>
        <v/>
      </c>
    </row>
    <row r="122">
      <c r="A122" s="39" t="str">
        <f>IF('Articles'!A122="","",'Articles'!A122)</f>
        <v/>
      </c>
      <c r="B122" s="39" t="str">
        <f>IF(A122="","",'Articles'!B122&amp;"")</f>
        <v/>
      </c>
      <c r="C122" s="39" t="str">
        <f>IF(A122="","",'Articles'!D122&amp;"")</f>
        <v/>
      </c>
      <c r="D122" s="39" t="str">
        <f>IF(A122="","",ROUND(N('Articles'!H122)+SUMIFS(mv_qty,mv_ref,A122,mv_type,"Entrée",mv_date,"&lt;"&amp;$E$1)-SUMIFS(mv_qty,mv_ref,A122,mv_type,"Sortie",mv_date,"&lt;"&amp;$E$1),6))</f>
        <v/>
      </c>
      <c r="E122" s="39" t="str">
        <f>IF(A122="","",SUMIFS(mv_qty,mv_ref,A122,mv_type,"Entrée",mv_date,"&gt;="&amp;$E$1,mv_date,"&lt;="&amp;$G$1))</f>
        <v/>
      </c>
      <c r="F122" s="39" t="str">
        <f>IF(A122="","",SUMIFS(mv_qty,mv_ref,A122,mv_type,"Sortie",mv_date,"&gt;="&amp;$E$1,mv_date,"&lt;="&amp;$G$1))</f>
        <v/>
      </c>
      <c r="G122" s="39" t="str">
        <f>IF(A122="","",ROUND(D122+E122-F122,6))</f>
        <v/>
      </c>
      <c r="H122" s="40" t="str">
        <f>IF(A122="","",G122*N('Articles'!G122))</f>
        <v/>
      </c>
    </row>
    <row r="123">
      <c r="A123" s="39" t="str">
        <f>IF('Articles'!A123="","",'Articles'!A123)</f>
        <v/>
      </c>
      <c r="B123" s="39" t="str">
        <f>IF(A123="","",'Articles'!B123&amp;"")</f>
        <v/>
      </c>
      <c r="C123" s="39" t="str">
        <f>IF(A123="","",'Articles'!D123&amp;"")</f>
        <v/>
      </c>
      <c r="D123" s="39" t="str">
        <f>IF(A123="","",ROUND(N('Articles'!H123)+SUMIFS(mv_qty,mv_ref,A123,mv_type,"Entrée",mv_date,"&lt;"&amp;$E$1)-SUMIFS(mv_qty,mv_ref,A123,mv_type,"Sortie",mv_date,"&lt;"&amp;$E$1),6))</f>
        <v/>
      </c>
      <c r="E123" s="39" t="str">
        <f>IF(A123="","",SUMIFS(mv_qty,mv_ref,A123,mv_type,"Entrée",mv_date,"&gt;="&amp;$E$1,mv_date,"&lt;="&amp;$G$1))</f>
        <v/>
      </c>
      <c r="F123" s="39" t="str">
        <f>IF(A123="","",SUMIFS(mv_qty,mv_ref,A123,mv_type,"Sortie",mv_date,"&gt;="&amp;$E$1,mv_date,"&lt;="&amp;$G$1))</f>
        <v/>
      </c>
      <c r="G123" s="39" t="str">
        <f>IF(A123="","",ROUND(D123+E123-F123,6))</f>
        <v/>
      </c>
      <c r="H123" s="40" t="str">
        <f>IF(A123="","",G123*N('Articles'!G123))</f>
        <v/>
      </c>
    </row>
    <row r="124">
      <c r="A124" s="39" t="str">
        <f>IF('Articles'!A124="","",'Articles'!A124)</f>
        <v/>
      </c>
      <c r="B124" s="39" t="str">
        <f>IF(A124="","",'Articles'!B124&amp;"")</f>
        <v/>
      </c>
      <c r="C124" s="39" t="str">
        <f>IF(A124="","",'Articles'!D124&amp;"")</f>
        <v/>
      </c>
      <c r="D124" s="39" t="str">
        <f>IF(A124="","",ROUND(N('Articles'!H124)+SUMIFS(mv_qty,mv_ref,A124,mv_type,"Entrée",mv_date,"&lt;"&amp;$E$1)-SUMIFS(mv_qty,mv_ref,A124,mv_type,"Sortie",mv_date,"&lt;"&amp;$E$1),6))</f>
        <v/>
      </c>
      <c r="E124" s="39" t="str">
        <f>IF(A124="","",SUMIFS(mv_qty,mv_ref,A124,mv_type,"Entrée",mv_date,"&gt;="&amp;$E$1,mv_date,"&lt;="&amp;$G$1))</f>
        <v/>
      </c>
      <c r="F124" s="39" t="str">
        <f>IF(A124="","",SUMIFS(mv_qty,mv_ref,A124,mv_type,"Sortie",mv_date,"&gt;="&amp;$E$1,mv_date,"&lt;="&amp;$G$1))</f>
        <v/>
      </c>
      <c r="G124" s="39" t="str">
        <f>IF(A124="","",ROUND(D124+E124-F124,6))</f>
        <v/>
      </c>
      <c r="H124" s="40" t="str">
        <f>IF(A124="","",G124*N('Articles'!G124))</f>
        <v/>
      </c>
    </row>
    <row r="125">
      <c r="A125" s="39" t="str">
        <f>IF('Articles'!A125="","",'Articles'!A125)</f>
        <v/>
      </c>
      <c r="B125" s="39" t="str">
        <f>IF(A125="","",'Articles'!B125&amp;"")</f>
        <v/>
      </c>
      <c r="C125" s="39" t="str">
        <f>IF(A125="","",'Articles'!D125&amp;"")</f>
        <v/>
      </c>
      <c r="D125" s="39" t="str">
        <f>IF(A125="","",ROUND(N('Articles'!H125)+SUMIFS(mv_qty,mv_ref,A125,mv_type,"Entrée",mv_date,"&lt;"&amp;$E$1)-SUMIFS(mv_qty,mv_ref,A125,mv_type,"Sortie",mv_date,"&lt;"&amp;$E$1),6))</f>
        <v/>
      </c>
      <c r="E125" s="39" t="str">
        <f>IF(A125="","",SUMIFS(mv_qty,mv_ref,A125,mv_type,"Entrée",mv_date,"&gt;="&amp;$E$1,mv_date,"&lt;="&amp;$G$1))</f>
        <v/>
      </c>
      <c r="F125" s="39" t="str">
        <f>IF(A125="","",SUMIFS(mv_qty,mv_ref,A125,mv_type,"Sortie",mv_date,"&gt;="&amp;$E$1,mv_date,"&lt;="&amp;$G$1))</f>
        <v/>
      </c>
      <c r="G125" s="39" t="str">
        <f>IF(A125="","",ROUND(D125+E125-F125,6))</f>
        <v/>
      </c>
      <c r="H125" s="40" t="str">
        <f>IF(A125="","",G125*N('Articles'!G125))</f>
        <v/>
      </c>
    </row>
    <row r="126">
      <c r="A126" s="39" t="str">
        <f>IF('Articles'!A126="","",'Articles'!A126)</f>
        <v/>
      </c>
      <c r="B126" s="39" t="str">
        <f>IF(A126="","",'Articles'!B126&amp;"")</f>
        <v/>
      </c>
      <c r="C126" s="39" t="str">
        <f>IF(A126="","",'Articles'!D126&amp;"")</f>
        <v/>
      </c>
      <c r="D126" s="39" t="str">
        <f>IF(A126="","",ROUND(N('Articles'!H126)+SUMIFS(mv_qty,mv_ref,A126,mv_type,"Entrée",mv_date,"&lt;"&amp;$E$1)-SUMIFS(mv_qty,mv_ref,A126,mv_type,"Sortie",mv_date,"&lt;"&amp;$E$1),6))</f>
        <v/>
      </c>
      <c r="E126" s="39" t="str">
        <f>IF(A126="","",SUMIFS(mv_qty,mv_ref,A126,mv_type,"Entrée",mv_date,"&gt;="&amp;$E$1,mv_date,"&lt;="&amp;$G$1))</f>
        <v/>
      </c>
      <c r="F126" s="39" t="str">
        <f>IF(A126="","",SUMIFS(mv_qty,mv_ref,A126,mv_type,"Sortie",mv_date,"&gt;="&amp;$E$1,mv_date,"&lt;="&amp;$G$1))</f>
        <v/>
      </c>
      <c r="G126" s="39" t="str">
        <f>IF(A126="","",ROUND(D126+E126-F126,6))</f>
        <v/>
      </c>
      <c r="H126" s="40" t="str">
        <f>IF(A126="","",G126*N('Articles'!G126))</f>
        <v/>
      </c>
    </row>
    <row r="127">
      <c r="A127" s="39" t="str">
        <f>IF('Articles'!A127="","",'Articles'!A127)</f>
        <v/>
      </c>
      <c r="B127" s="39" t="str">
        <f>IF(A127="","",'Articles'!B127&amp;"")</f>
        <v/>
      </c>
      <c r="C127" s="39" t="str">
        <f>IF(A127="","",'Articles'!D127&amp;"")</f>
        <v/>
      </c>
      <c r="D127" s="39" t="str">
        <f>IF(A127="","",ROUND(N('Articles'!H127)+SUMIFS(mv_qty,mv_ref,A127,mv_type,"Entrée",mv_date,"&lt;"&amp;$E$1)-SUMIFS(mv_qty,mv_ref,A127,mv_type,"Sortie",mv_date,"&lt;"&amp;$E$1),6))</f>
        <v/>
      </c>
      <c r="E127" s="39" t="str">
        <f>IF(A127="","",SUMIFS(mv_qty,mv_ref,A127,mv_type,"Entrée",mv_date,"&gt;="&amp;$E$1,mv_date,"&lt;="&amp;$G$1))</f>
        <v/>
      </c>
      <c r="F127" s="39" t="str">
        <f>IF(A127="","",SUMIFS(mv_qty,mv_ref,A127,mv_type,"Sortie",mv_date,"&gt;="&amp;$E$1,mv_date,"&lt;="&amp;$G$1))</f>
        <v/>
      </c>
      <c r="G127" s="39" t="str">
        <f>IF(A127="","",ROUND(D127+E127-F127,6))</f>
        <v/>
      </c>
      <c r="H127" s="40" t="str">
        <f>IF(A127="","",G127*N('Articles'!G127))</f>
        <v/>
      </c>
    </row>
    <row r="128">
      <c r="A128" s="39" t="str">
        <f>IF('Articles'!A128="","",'Articles'!A128)</f>
        <v/>
      </c>
      <c r="B128" s="39" t="str">
        <f>IF(A128="","",'Articles'!B128&amp;"")</f>
        <v/>
      </c>
      <c r="C128" s="39" t="str">
        <f>IF(A128="","",'Articles'!D128&amp;"")</f>
        <v/>
      </c>
      <c r="D128" s="39" t="str">
        <f>IF(A128="","",ROUND(N('Articles'!H128)+SUMIFS(mv_qty,mv_ref,A128,mv_type,"Entrée",mv_date,"&lt;"&amp;$E$1)-SUMIFS(mv_qty,mv_ref,A128,mv_type,"Sortie",mv_date,"&lt;"&amp;$E$1),6))</f>
        <v/>
      </c>
      <c r="E128" s="39" t="str">
        <f>IF(A128="","",SUMIFS(mv_qty,mv_ref,A128,mv_type,"Entrée",mv_date,"&gt;="&amp;$E$1,mv_date,"&lt;="&amp;$G$1))</f>
        <v/>
      </c>
      <c r="F128" s="39" t="str">
        <f>IF(A128="","",SUMIFS(mv_qty,mv_ref,A128,mv_type,"Sortie",mv_date,"&gt;="&amp;$E$1,mv_date,"&lt;="&amp;$G$1))</f>
        <v/>
      </c>
      <c r="G128" s="39" t="str">
        <f>IF(A128="","",ROUND(D128+E128-F128,6))</f>
        <v/>
      </c>
      <c r="H128" s="40" t="str">
        <f>IF(A128="","",G128*N('Articles'!G128))</f>
        <v/>
      </c>
    </row>
    <row r="129">
      <c r="A129" s="39" t="str">
        <f>IF('Articles'!A129="","",'Articles'!A129)</f>
        <v/>
      </c>
      <c r="B129" s="39" t="str">
        <f>IF(A129="","",'Articles'!B129&amp;"")</f>
        <v/>
      </c>
      <c r="C129" s="39" t="str">
        <f>IF(A129="","",'Articles'!D129&amp;"")</f>
        <v/>
      </c>
      <c r="D129" s="39" t="str">
        <f>IF(A129="","",ROUND(N('Articles'!H129)+SUMIFS(mv_qty,mv_ref,A129,mv_type,"Entrée",mv_date,"&lt;"&amp;$E$1)-SUMIFS(mv_qty,mv_ref,A129,mv_type,"Sortie",mv_date,"&lt;"&amp;$E$1),6))</f>
        <v/>
      </c>
      <c r="E129" s="39" t="str">
        <f>IF(A129="","",SUMIFS(mv_qty,mv_ref,A129,mv_type,"Entrée",mv_date,"&gt;="&amp;$E$1,mv_date,"&lt;="&amp;$G$1))</f>
        <v/>
      </c>
      <c r="F129" s="39" t="str">
        <f>IF(A129="","",SUMIFS(mv_qty,mv_ref,A129,mv_type,"Sortie",mv_date,"&gt;="&amp;$E$1,mv_date,"&lt;="&amp;$G$1))</f>
        <v/>
      </c>
      <c r="G129" s="39" t="str">
        <f>IF(A129="","",ROUND(D129+E129-F129,6))</f>
        <v/>
      </c>
      <c r="H129" s="40" t="str">
        <f>IF(A129="","",G129*N('Articles'!G129))</f>
        <v/>
      </c>
    </row>
    <row r="130">
      <c r="A130" s="39" t="str">
        <f>IF('Articles'!A130="","",'Articles'!A130)</f>
        <v/>
      </c>
      <c r="B130" s="39" t="str">
        <f>IF(A130="","",'Articles'!B130&amp;"")</f>
        <v/>
      </c>
      <c r="C130" s="39" t="str">
        <f>IF(A130="","",'Articles'!D130&amp;"")</f>
        <v/>
      </c>
      <c r="D130" s="39" t="str">
        <f>IF(A130="","",ROUND(N('Articles'!H130)+SUMIFS(mv_qty,mv_ref,A130,mv_type,"Entrée",mv_date,"&lt;"&amp;$E$1)-SUMIFS(mv_qty,mv_ref,A130,mv_type,"Sortie",mv_date,"&lt;"&amp;$E$1),6))</f>
        <v/>
      </c>
      <c r="E130" s="39" t="str">
        <f>IF(A130="","",SUMIFS(mv_qty,mv_ref,A130,mv_type,"Entrée",mv_date,"&gt;="&amp;$E$1,mv_date,"&lt;="&amp;$G$1))</f>
        <v/>
      </c>
      <c r="F130" s="39" t="str">
        <f>IF(A130="","",SUMIFS(mv_qty,mv_ref,A130,mv_type,"Sortie",mv_date,"&gt;="&amp;$E$1,mv_date,"&lt;="&amp;$G$1))</f>
        <v/>
      </c>
      <c r="G130" s="39" t="str">
        <f>IF(A130="","",ROUND(D130+E130-F130,6))</f>
        <v/>
      </c>
      <c r="H130" s="40" t="str">
        <f>IF(A130="","",G130*N('Articles'!G130))</f>
        <v/>
      </c>
    </row>
    <row r="131">
      <c r="A131" s="39" t="str">
        <f>IF('Articles'!A131="","",'Articles'!A131)</f>
        <v/>
      </c>
      <c r="B131" s="39" t="str">
        <f>IF(A131="","",'Articles'!B131&amp;"")</f>
        <v/>
      </c>
      <c r="C131" s="39" t="str">
        <f>IF(A131="","",'Articles'!D131&amp;"")</f>
        <v/>
      </c>
      <c r="D131" s="39" t="str">
        <f>IF(A131="","",ROUND(N('Articles'!H131)+SUMIFS(mv_qty,mv_ref,A131,mv_type,"Entrée",mv_date,"&lt;"&amp;$E$1)-SUMIFS(mv_qty,mv_ref,A131,mv_type,"Sortie",mv_date,"&lt;"&amp;$E$1),6))</f>
        <v/>
      </c>
      <c r="E131" s="39" t="str">
        <f>IF(A131="","",SUMIFS(mv_qty,mv_ref,A131,mv_type,"Entrée",mv_date,"&gt;="&amp;$E$1,mv_date,"&lt;="&amp;$G$1))</f>
        <v/>
      </c>
      <c r="F131" s="39" t="str">
        <f>IF(A131="","",SUMIFS(mv_qty,mv_ref,A131,mv_type,"Sortie",mv_date,"&gt;="&amp;$E$1,mv_date,"&lt;="&amp;$G$1))</f>
        <v/>
      </c>
      <c r="G131" s="39" t="str">
        <f>IF(A131="","",ROUND(D131+E131-F131,6))</f>
        <v/>
      </c>
      <c r="H131" s="40" t="str">
        <f>IF(A131="","",G131*N('Articles'!G131))</f>
        <v/>
      </c>
    </row>
    <row r="132">
      <c r="A132" s="39" t="str">
        <f>IF('Articles'!A132="","",'Articles'!A132)</f>
        <v/>
      </c>
      <c r="B132" s="39" t="str">
        <f>IF(A132="","",'Articles'!B132&amp;"")</f>
        <v/>
      </c>
      <c r="C132" s="39" t="str">
        <f>IF(A132="","",'Articles'!D132&amp;"")</f>
        <v/>
      </c>
      <c r="D132" s="39" t="str">
        <f>IF(A132="","",ROUND(N('Articles'!H132)+SUMIFS(mv_qty,mv_ref,A132,mv_type,"Entrée",mv_date,"&lt;"&amp;$E$1)-SUMIFS(mv_qty,mv_ref,A132,mv_type,"Sortie",mv_date,"&lt;"&amp;$E$1),6))</f>
        <v/>
      </c>
      <c r="E132" s="39" t="str">
        <f>IF(A132="","",SUMIFS(mv_qty,mv_ref,A132,mv_type,"Entrée",mv_date,"&gt;="&amp;$E$1,mv_date,"&lt;="&amp;$G$1))</f>
        <v/>
      </c>
      <c r="F132" s="39" t="str">
        <f>IF(A132="","",SUMIFS(mv_qty,mv_ref,A132,mv_type,"Sortie",mv_date,"&gt;="&amp;$E$1,mv_date,"&lt;="&amp;$G$1))</f>
        <v/>
      </c>
      <c r="G132" s="39" t="str">
        <f>IF(A132="","",ROUND(D132+E132-F132,6))</f>
        <v/>
      </c>
      <c r="H132" s="40" t="str">
        <f>IF(A132="","",G132*N('Articles'!G132))</f>
        <v/>
      </c>
    </row>
    <row r="133">
      <c r="A133" s="39" t="str">
        <f>IF('Articles'!A133="","",'Articles'!A133)</f>
        <v/>
      </c>
      <c r="B133" s="39" t="str">
        <f>IF(A133="","",'Articles'!B133&amp;"")</f>
        <v/>
      </c>
      <c r="C133" s="39" t="str">
        <f>IF(A133="","",'Articles'!D133&amp;"")</f>
        <v/>
      </c>
      <c r="D133" s="39" t="str">
        <f>IF(A133="","",ROUND(N('Articles'!H133)+SUMIFS(mv_qty,mv_ref,A133,mv_type,"Entrée",mv_date,"&lt;"&amp;$E$1)-SUMIFS(mv_qty,mv_ref,A133,mv_type,"Sortie",mv_date,"&lt;"&amp;$E$1),6))</f>
        <v/>
      </c>
      <c r="E133" s="39" t="str">
        <f>IF(A133="","",SUMIFS(mv_qty,mv_ref,A133,mv_type,"Entrée",mv_date,"&gt;="&amp;$E$1,mv_date,"&lt;="&amp;$G$1))</f>
        <v/>
      </c>
      <c r="F133" s="39" t="str">
        <f>IF(A133="","",SUMIFS(mv_qty,mv_ref,A133,mv_type,"Sortie",mv_date,"&gt;="&amp;$E$1,mv_date,"&lt;="&amp;$G$1))</f>
        <v/>
      </c>
      <c r="G133" s="39" t="str">
        <f>IF(A133="","",ROUND(D133+E133-F133,6))</f>
        <v/>
      </c>
      <c r="H133" s="40" t="str">
        <f>IF(A133="","",G133*N('Articles'!G133))</f>
        <v/>
      </c>
    </row>
    <row r="134">
      <c r="A134" s="39" t="str">
        <f>IF('Articles'!A134="","",'Articles'!A134)</f>
        <v/>
      </c>
      <c r="B134" s="39" t="str">
        <f>IF(A134="","",'Articles'!B134&amp;"")</f>
        <v/>
      </c>
      <c r="C134" s="39" t="str">
        <f>IF(A134="","",'Articles'!D134&amp;"")</f>
        <v/>
      </c>
      <c r="D134" s="39" t="str">
        <f>IF(A134="","",ROUND(N('Articles'!H134)+SUMIFS(mv_qty,mv_ref,A134,mv_type,"Entrée",mv_date,"&lt;"&amp;$E$1)-SUMIFS(mv_qty,mv_ref,A134,mv_type,"Sortie",mv_date,"&lt;"&amp;$E$1),6))</f>
        <v/>
      </c>
      <c r="E134" s="39" t="str">
        <f>IF(A134="","",SUMIFS(mv_qty,mv_ref,A134,mv_type,"Entrée",mv_date,"&gt;="&amp;$E$1,mv_date,"&lt;="&amp;$G$1))</f>
        <v/>
      </c>
      <c r="F134" s="39" t="str">
        <f>IF(A134="","",SUMIFS(mv_qty,mv_ref,A134,mv_type,"Sortie",mv_date,"&gt;="&amp;$E$1,mv_date,"&lt;="&amp;$G$1))</f>
        <v/>
      </c>
      <c r="G134" s="39" t="str">
        <f>IF(A134="","",ROUND(D134+E134-F134,6))</f>
        <v/>
      </c>
      <c r="H134" s="40" t="str">
        <f>IF(A134="","",G134*N('Articles'!G134))</f>
        <v/>
      </c>
    </row>
    <row r="135">
      <c r="A135" s="39" t="str">
        <f>IF('Articles'!A135="","",'Articles'!A135)</f>
        <v/>
      </c>
      <c r="B135" s="39" t="str">
        <f>IF(A135="","",'Articles'!B135&amp;"")</f>
        <v/>
      </c>
      <c r="C135" s="39" t="str">
        <f>IF(A135="","",'Articles'!D135&amp;"")</f>
        <v/>
      </c>
      <c r="D135" s="39" t="str">
        <f>IF(A135="","",ROUND(N('Articles'!H135)+SUMIFS(mv_qty,mv_ref,A135,mv_type,"Entrée",mv_date,"&lt;"&amp;$E$1)-SUMIFS(mv_qty,mv_ref,A135,mv_type,"Sortie",mv_date,"&lt;"&amp;$E$1),6))</f>
        <v/>
      </c>
      <c r="E135" s="39" t="str">
        <f>IF(A135="","",SUMIFS(mv_qty,mv_ref,A135,mv_type,"Entrée",mv_date,"&gt;="&amp;$E$1,mv_date,"&lt;="&amp;$G$1))</f>
        <v/>
      </c>
      <c r="F135" s="39" t="str">
        <f>IF(A135="","",SUMIFS(mv_qty,mv_ref,A135,mv_type,"Sortie",mv_date,"&gt;="&amp;$E$1,mv_date,"&lt;="&amp;$G$1))</f>
        <v/>
      </c>
      <c r="G135" s="39" t="str">
        <f>IF(A135="","",ROUND(D135+E135-F135,6))</f>
        <v/>
      </c>
      <c r="H135" s="40" t="str">
        <f>IF(A135="","",G135*N('Articles'!G135))</f>
        <v/>
      </c>
    </row>
    <row r="136">
      <c r="A136" s="39" t="str">
        <f>IF('Articles'!A136="","",'Articles'!A136)</f>
        <v/>
      </c>
      <c r="B136" s="39" t="str">
        <f>IF(A136="","",'Articles'!B136&amp;"")</f>
        <v/>
      </c>
      <c r="C136" s="39" t="str">
        <f>IF(A136="","",'Articles'!D136&amp;"")</f>
        <v/>
      </c>
      <c r="D136" s="39" t="str">
        <f>IF(A136="","",ROUND(N('Articles'!H136)+SUMIFS(mv_qty,mv_ref,A136,mv_type,"Entrée",mv_date,"&lt;"&amp;$E$1)-SUMIFS(mv_qty,mv_ref,A136,mv_type,"Sortie",mv_date,"&lt;"&amp;$E$1),6))</f>
        <v/>
      </c>
      <c r="E136" s="39" t="str">
        <f>IF(A136="","",SUMIFS(mv_qty,mv_ref,A136,mv_type,"Entrée",mv_date,"&gt;="&amp;$E$1,mv_date,"&lt;="&amp;$G$1))</f>
        <v/>
      </c>
      <c r="F136" s="39" t="str">
        <f>IF(A136="","",SUMIFS(mv_qty,mv_ref,A136,mv_type,"Sortie",mv_date,"&gt;="&amp;$E$1,mv_date,"&lt;="&amp;$G$1))</f>
        <v/>
      </c>
      <c r="G136" s="39" t="str">
        <f>IF(A136="","",ROUND(D136+E136-F136,6))</f>
        <v/>
      </c>
      <c r="H136" s="40" t="str">
        <f>IF(A136="","",G136*N('Articles'!G136))</f>
        <v/>
      </c>
    </row>
    <row r="137">
      <c r="A137" s="39" t="str">
        <f>IF('Articles'!A137="","",'Articles'!A137)</f>
        <v/>
      </c>
      <c r="B137" s="39" t="str">
        <f>IF(A137="","",'Articles'!B137&amp;"")</f>
        <v/>
      </c>
      <c r="C137" s="39" t="str">
        <f>IF(A137="","",'Articles'!D137&amp;"")</f>
        <v/>
      </c>
      <c r="D137" s="39" t="str">
        <f>IF(A137="","",ROUND(N('Articles'!H137)+SUMIFS(mv_qty,mv_ref,A137,mv_type,"Entrée",mv_date,"&lt;"&amp;$E$1)-SUMIFS(mv_qty,mv_ref,A137,mv_type,"Sortie",mv_date,"&lt;"&amp;$E$1),6))</f>
        <v/>
      </c>
      <c r="E137" s="39" t="str">
        <f>IF(A137="","",SUMIFS(mv_qty,mv_ref,A137,mv_type,"Entrée",mv_date,"&gt;="&amp;$E$1,mv_date,"&lt;="&amp;$G$1))</f>
        <v/>
      </c>
      <c r="F137" s="39" t="str">
        <f>IF(A137="","",SUMIFS(mv_qty,mv_ref,A137,mv_type,"Sortie",mv_date,"&gt;="&amp;$E$1,mv_date,"&lt;="&amp;$G$1))</f>
        <v/>
      </c>
      <c r="G137" s="39" t="str">
        <f>IF(A137="","",ROUND(D137+E137-F137,6))</f>
        <v/>
      </c>
      <c r="H137" s="40" t="str">
        <f>IF(A137="","",G137*N('Articles'!G137))</f>
        <v/>
      </c>
    </row>
    <row r="138">
      <c r="A138" s="39" t="str">
        <f>IF('Articles'!A138="","",'Articles'!A138)</f>
        <v/>
      </c>
      <c r="B138" s="39" t="str">
        <f>IF(A138="","",'Articles'!B138&amp;"")</f>
        <v/>
      </c>
      <c r="C138" s="39" t="str">
        <f>IF(A138="","",'Articles'!D138&amp;"")</f>
        <v/>
      </c>
      <c r="D138" s="39" t="str">
        <f>IF(A138="","",ROUND(N('Articles'!H138)+SUMIFS(mv_qty,mv_ref,A138,mv_type,"Entrée",mv_date,"&lt;"&amp;$E$1)-SUMIFS(mv_qty,mv_ref,A138,mv_type,"Sortie",mv_date,"&lt;"&amp;$E$1),6))</f>
        <v/>
      </c>
      <c r="E138" s="39" t="str">
        <f>IF(A138="","",SUMIFS(mv_qty,mv_ref,A138,mv_type,"Entrée",mv_date,"&gt;="&amp;$E$1,mv_date,"&lt;="&amp;$G$1))</f>
        <v/>
      </c>
      <c r="F138" s="39" t="str">
        <f>IF(A138="","",SUMIFS(mv_qty,mv_ref,A138,mv_type,"Sortie",mv_date,"&gt;="&amp;$E$1,mv_date,"&lt;="&amp;$G$1))</f>
        <v/>
      </c>
      <c r="G138" s="39" t="str">
        <f>IF(A138="","",ROUND(D138+E138-F138,6))</f>
        <v/>
      </c>
      <c r="H138" s="40" t="str">
        <f>IF(A138="","",G138*N('Articles'!G138))</f>
        <v/>
      </c>
    </row>
    <row r="139">
      <c r="A139" s="39" t="str">
        <f>IF('Articles'!A139="","",'Articles'!A139)</f>
        <v/>
      </c>
      <c r="B139" s="39" t="str">
        <f>IF(A139="","",'Articles'!B139&amp;"")</f>
        <v/>
      </c>
      <c r="C139" s="39" t="str">
        <f>IF(A139="","",'Articles'!D139&amp;"")</f>
        <v/>
      </c>
      <c r="D139" s="39" t="str">
        <f>IF(A139="","",ROUND(N('Articles'!H139)+SUMIFS(mv_qty,mv_ref,A139,mv_type,"Entrée",mv_date,"&lt;"&amp;$E$1)-SUMIFS(mv_qty,mv_ref,A139,mv_type,"Sortie",mv_date,"&lt;"&amp;$E$1),6))</f>
        <v/>
      </c>
      <c r="E139" s="39" t="str">
        <f>IF(A139="","",SUMIFS(mv_qty,mv_ref,A139,mv_type,"Entrée",mv_date,"&gt;="&amp;$E$1,mv_date,"&lt;="&amp;$G$1))</f>
        <v/>
      </c>
      <c r="F139" s="39" t="str">
        <f>IF(A139="","",SUMIFS(mv_qty,mv_ref,A139,mv_type,"Sortie",mv_date,"&gt;="&amp;$E$1,mv_date,"&lt;="&amp;$G$1))</f>
        <v/>
      </c>
      <c r="G139" s="39" t="str">
        <f>IF(A139="","",ROUND(D139+E139-F139,6))</f>
        <v/>
      </c>
      <c r="H139" s="40" t="str">
        <f>IF(A139="","",G139*N('Articles'!G139))</f>
        <v/>
      </c>
    </row>
    <row r="140">
      <c r="A140" s="39" t="str">
        <f>IF('Articles'!A140="","",'Articles'!A140)</f>
        <v/>
      </c>
      <c r="B140" s="39" t="str">
        <f>IF(A140="","",'Articles'!B140&amp;"")</f>
        <v/>
      </c>
      <c r="C140" s="39" t="str">
        <f>IF(A140="","",'Articles'!D140&amp;"")</f>
        <v/>
      </c>
      <c r="D140" s="39" t="str">
        <f>IF(A140="","",ROUND(N('Articles'!H140)+SUMIFS(mv_qty,mv_ref,A140,mv_type,"Entrée",mv_date,"&lt;"&amp;$E$1)-SUMIFS(mv_qty,mv_ref,A140,mv_type,"Sortie",mv_date,"&lt;"&amp;$E$1),6))</f>
        <v/>
      </c>
      <c r="E140" s="39" t="str">
        <f>IF(A140="","",SUMIFS(mv_qty,mv_ref,A140,mv_type,"Entrée",mv_date,"&gt;="&amp;$E$1,mv_date,"&lt;="&amp;$G$1))</f>
        <v/>
      </c>
      <c r="F140" s="39" t="str">
        <f>IF(A140="","",SUMIFS(mv_qty,mv_ref,A140,mv_type,"Sortie",mv_date,"&gt;="&amp;$E$1,mv_date,"&lt;="&amp;$G$1))</f>
        <v/>
      </c>
      <c r="G140" s="39" t="str">
        <f>IF(A140="","",ROUND(D140+E140-F140,6))</f>
        <v/>
      </c>
      <c r="H140" s="40" t="str">
        <f>IF(A140="","",G140*N('Articles'!G140))</f>
        <v/>
      </c>
    </row>
    <row r="141">
      <c r="A141" s="39" t="str">
        <f>IF('Articles'!A141="","",'Articles'!A141)</f>
        <v/>
      </c>
      <c r="B141" s="39" t="str">
        <f>IF(A141="","",'Articles'!B141&amp;"")</f>
        <v/>
      </c>
      <c r="C141" s="39" t="str">
        <f>IF(A141="","",'Articles'!D141&amp;"")</f>
        <v/>
      </c>
      <c r="D141" s="39" t="str">
        <f>IF(A141="","",ROUND(N('Articles'!H141)+SUMIFS(mv_qty,mv_ref,A141,mv_type,"Entrée",mv_date,"&lt;"&amp;$E$1)-SUMIFS(mv_qty,mv_ref,A141,mv_type,"Sortie",mv_date,"&lt;"&amp;$E$1),6))</f>
        <v/>
      </c>
      <c r="E141" s="39" t="str">
        <f>IF(A141="","",SUMIFS(mv_qty,mv_ref,A141,mv_type,"Entrée",mv_date,"&gt;="&amp;$E$1,mv_date,"&lt;="&amp;$G$1))</f>
        <v/>
      </c>
      <c r="F141" s="39" t="str">
        <f>IF(A141="","",SUMIFS(mv_qty,mv_ref,A141,mv_type,"Sortie",mv_date,"&gt;="&amp;$E$1,mv_date,"&lt;="&amp;$G$1))</f>
        <v/>
      </c>
      <c r="G141" s="39" t="str">
        <f>IF(A141="","",ROUND(D141+E141-F141,6))</f>
        <v/>
      </c>
      <c r="H141" s="40" t="str">
        <f>IF(A141="","",G141*N('Articles'!G141))</f>
        <v/>
      </c>
    </row>
    <row r="142">
      <c r="A142" s="39" t="str">
        <f>IF('Articles'!A142="","",'Articles'!A142)</f>
        <v/>
      </c>
      <c r="B142" s="39" t="str">
        <f>IF(A142="","",'Articles'!B142&amp;"")</f>
        <v/>
      </c>
      <c r="C142" s="39" t="str">
        <f>IF(A142="","",'Articles'!D142&amp;"")</f>
        <v/>
      </c>
      <c r="D142" s="39" t="str">
        <f>IF(A142="","",ROUND(N('Articles'!H142)+SUMIFS(mv_qty,mv_ref,A142,mv_type,"Entrée",mv_date,"&lt;"&amp;$E$1)-SUMIFS(mv_qty,mv_ref,A142,mv_type,"Sortie",mv_date,"&lt;"&amp;$E$1),6))</f>
        <v/>
      </c>
      <c r="E142" s="39" t="str">
        <f>IF(A142="","",SUMIFS(mv_qty,mv_ref,A142,mv_type,"Entrée",mv_date,"&gt;="&amp;$E$1,mv_date,"&lt;="&amp;$G$1))</f>
        <v/>
      </c>
      <c r="F142" s="39" t="str">
        <f>IF(A142="","",SUMIFS(mv_qty,mv_ref,A142,mv_type,"Sortie",mv_date,"&gt;="&amp;$E$1,mv_date,"&lt;="&amp;$G$1))</f>
        <v/>
      </c>
      <c r="G142" s="39" t="str">
        <f>IF(A142="","",ROUND(D142+E142-F142,6))</f>
        <v/>
      </c>
      <c r="H142" s="40" t="str">
        <f>IF(A142="","",G142*N('Articles'!G142))</f>
        <v/>
      </c>
    </row>
    <row r="143">
      <c r="A143" s="39" t="str">
        <f>IF('Articles'!A143="","",'Articles'!A143)</f>
        <v/>
      </c>
      <c r="B143" s="39" t="str">
        <f>IF(A143="","",'Articles'!B143&amp;"")</f>
        <v/>
      </c>
      <c r="C143" s="39" t="str">
        <f>IF(A143="","",'Articles'!D143&amp;"")</f>
        <v/>
      </c>
      <c r="D143" s="39" t="str">
        <f>IF(A143="","",ROUND(N('Articles'!H143)+SUMIFS(mv_qty,mv_ref,A143,mv_type,"Entrée",mv_date,"&lt;"&amp;$E$1)-SUMIFS(mv_qty,mv_ref,A143,mv_type,"Sortie",mv_date,"&lt;"&amp;$E$1),6))</f>
        <v/>
      </c>
      <c r="E143" s="39" t="str">
        <f>IF(A143="","",SUMIFS(mv_qty,mv_ref,A143,mv_type,"Entrée",mv_date,"&gt;="&amp;$E$1,mv_date,"&lt;="&amp;$G$1))</f>
        <v/>
      </c>
      <c r="F143" s="39" t="str">
        <f>IF(A143="","",SUMIFS(mv_qty,mv_ref,A143,mv_type,"Sortie",mv_date,"&gt;="&amp;$E$1,mv_date,"&lt;="&amp;$G$1))</f>
        <v/>
      </c>
      <c r="G143" s="39" t="str">
        <f>IF(A143="","",ROUND(D143+E143-F143,6))</f>
        <v/>
      </c>
      <c r="H143" s="40" t="str">
        <f>IF(A143="","",G143*N('Articles'!G143))</f>
        <v/>
      </c>
    </row>
    <row r="144">
      <c r="A144" s="39" t="str">
        <f>IF('Articles'!A144="","",'Articles'!A144)</f>
        <v/>
      </c>
      <c r="B144" s="39" t="str">
        <f>IF(A144="","",'Articles'!B144&amp;"")</f>
        <v/>
      </c>
      <c r="C144" s="39" t="str">
        <f>IF(A144="","",'Articles'!D144&amp;"")</f>
        <v/>
      </c>
      <c r="D144" s="39" t="str">
        <f>IF(A144="","",ROUND(N('Articles'!H144)+SUMIFS(mv_qty,mv_ref,A144,mv_type,"Entrée",mv_date,"&lt;"&amp;$E$1)-SUMIFS(mv_qty,mv_ref,A144,mv_type,"Sortie",mv_date,"&lt;"&amp;$E$1),6))</f>
        <v/>
      </c>
      <c r="E144" s="39" t="str">
        <f>IF(A144="","",SUMIFS(mv_qty,mv_ref,A144,mv_type,"Entrée",mv_date,"&gt;="&amp;$E$1,mv_date,"&lt;="&amp;$G$1))</f>
        <v/>
      </c>
      <c r="F144" s="39" t="str">
        <f>IF(A144="","",SUMIFS(mv_qty,mv_ref,A144,mv_type,"Sortie",mv_date,"&gt;="&amp;$E$1,mv_date,"&lt;="&amp;$G$1))</f>
        <v/>
      </c>
      <c r="G144" s="39" t="str">
        <f>IF(A144="","",ROUND(D144+E144-F144,6))</f>
        <v/>
      </c>
      <c r="H144" s="40" t="str">
        <f>IF(A144="","",G144*N('Articles'!G144))</f>
        <v/>
      </c>
    </row>
    <row r="145">
      <c r="A145" s="39" t="str">
        <f>IF('Articles'!A145="","",'Articles'!A145)</f>
        <v/>
      </c>
      <c r="B145" s="39" t="str">
        <f>IF(A145="","",'Articles'!B145&amp;"")</f>
        <v/>
      </c>
      <c r="C145" s="39" t="str">
        <f>IF(A145="","",'Articles'!D145&amp;"")</f>
        <v/>
      </c>
      <c r="D145" s="39" t="str">
        <f>IF(A145="","",ROUND(N('Articles'!H145)+SUMIFS(mv_qty,mv_ref,A145,mv_type,"Entrée",mv_date,"&lt;"&amp;$E$1)-SUMIFS(mv_qty,mv_ref,A145,mv_type,"Sortie",mv_date,"&lt;"&amp;$E$1),6))</f>
        <v/>
      </c>
      <c r="E145" s="39" t="str">
        <f>IF(A145="","",SUMIFS(mv_qty,mv_ref,A145,mv_type,"Entrée",mv_date,"&gt;="&amp;$E$1,mv_date,"&lt;="&amp;$G$1))</f>
        <v/>
      </c>
      <c r="F145" s="39" t="str">
        <f>IF(A145="","",SUMIFS(mv_qty,mv_ref,A145,mv_type,"Sortie",mv_date,"&gt;="&amp;$E$1,mv_date,"&lt;="&amp;$G$1))</f>
        <v/>
      </c>
      <c r="G145" s="39" t="str">
        <f>IF(A145="","",ROUND(D145+E145-F145,6))</f>
        <v/>
      </c>
      <c r="H145" s="40" t="str">
        <f>IF(A145="","",G145*N('Articles'!G145))</f>
        <v/>
      </c>
    </row>
    <row r="146">
      <c r="A146" s="39" t="str">
        <f>IF('Articles'!A146="","",'Articles'!A146)</f>
        <v/>
      </c>
      <c r="B146" s="39" t="str">
        <f>IF(A146="","",'Articles'!B146&amp;"")</f>
        <v/>
      </c>
      <c r="C146" s="39" t="str">
        <f>IF(A146="","",'Articles'!D146&amp;"")</f>
        <v/>
      </c>
      <c r="D146" s="39" t="str">
        <f>IF(A146="","",ROUND(N('Articles'!H146)+SUMIFS(mv_qty,mv_ref,A146,mv_type,"Entrée",mv_date,"&lt;"&amp;$E$1)-SUMIFS(mv_qty,mv_ref,A146,mv_type,"Sortie",mv_date,"&lt;"&amp;$E$1),6))</f>
        <v/>
      </c>
      <c r="E146" s="39" t="str">
        <f>IF(A146="","",SUMIFS(mv_qty,mv_ref,A146,mv_type,"Entrée",mv_date,"&gt;="&amp;$E$1,mv_date,"&lt;="&amp;$G$1))</f>
        <v/>
      </c>
      <c r="F146" s="39" t="str">
        <f>IF(A146="","",SUMIFS(mv_qty,mv_ref,A146,mv_type,"Sortie",mv_date,"&gt;="&amp;$E$1,mv_date,"&lt;="&amp;$G$1))</f>
        <v/>
      </c>
      <c r="G146" s="39" t="str">
        <f>IF(A146="","",ROUND(D146+E146-F146,6))</f>
        <v/>
      </c>
      <c r="H146" s="40" t="str">
        <f>IF(A146="","",G146*N('Articles'!G146))</f>
        <v/>
      </c>
    </row>
    <row r="147">
      <c r="A147" s="39" t="str">
        <f>IF('Articles'!A147="","",'Articles'!A147)</f>
        <v/>
      </c>
      <c r="B147" s="39" t="str">
        <f>IF(A147="","",'Articles'!B147&amp;"")</f>
        <v/>
      </c>
      <c r="C147" s="39" t="str">
        <f>IF(A147="","",'Articles'!D147&amp;"")</f>
        <v/>
      </c>
      <c r="D147" s="39" t="str">
        <f>IF(A147="","",ROUND(N('Articles'!H147)+SUMIFS(mv_qty,mv_ref,A147,mv_type,"Entrée",mv_date,"&lt;"&amp;$E$1)-SUMIFS(mv_qty,mv_ref,A147,mv_type,"Sortie",mv_date,"&lt;"&amp;$E$1),6))</f>
        <v/>
      </c>
      <c r="E147" s="39" t="str">
        <f>IF(A147="","",SUMIFS(mv_qty,mv_ref,A147,mv_type,"Entrée",mv_date,"&gt;="&amp;$E$1,mv_date,"&lt;="&amp;$G$1))</f>
        <v/>
      </c>
      <c r="F147" s="39" t="str">
        <f>IF(A147="","",SUMIFS(mv_qty,mv_ref,A147,mv_type,"Sortie",mv_date,"&gt;="&amp;$E$1,mv_date,"&lt;="&amp;$G$1))</f>
        <v/>
      </c>
      <c r="G147" s="39" t="str">
        <f>IF(A147="","",ROUND(D147+E147-F147,6))</f>
        <v/>
      </c>
      <c r="H147" s="40" t="str">
        <f>IF(A147="","",G147*N('Articles'!G147))</f>
        <v/>
      </c>
    </row>
    <row r="148">
      <c r="A148" s="39" t="str">
        <f>IF('Articles'!A148="","",'Articles'!A148)</f>
        <v/>
      </c>
      <c r="B148" s="39" t="str">
        <f>IF(A148="","",'Articles'!B148&amp;"")</f>
        <v/>
      </c>
      <c r="C148" s="39" t="str">
        <f>IF(A148="","",'Articles'!D148&amp;"")</f>
        <v/>
      </c>
      <c r="D148" s="39" t="str">
        <f>IF(A148="","",ROUND(N('Articles'!H148)+SUMIFS(mv_qty,mv_ref,A148,mv_type,"Entrée",mv_date,"&lt;"&amp;$E$1)-SUMIFS(mv_qty,mv_ref,A148,mv_type,"Sortie",mv_date,"&lt;"&amp;$E$1),6))</f>
        <v/>
      </c>
      <c r="E148" s="39" t="str">
        <f>IF(A148="","",SUMIFS(mv_qty,mv_ref,A148,mv_type,"Entrée",mv_date,"&gt;="&amp;$E$1,mv_date,"&lt;="&amp;$G$1))</f>
        <v/>
      </c>
      <c r="F148" s="39" t="str">
        <f>IF(A148="","",SUMIFS(mv_qty,mv_ref,A148,mv_type,"Sortie",mv_date,"&gt;="&amp;$E$1,mv_date,"&lt;="&amp;$G$1))</f>
        <v/>
      </c>
      <c r="G148" s="39" t="str">
        <f>IF(A148="","",ROUND(D148+E148-F148,6))</f>
        <v/>
      </c>
      <c r="H148" s="40" t="str">
        <f>IF(A148="","",G148*N('Articles'!G148))</f>
        <v/>
      </c>
    </row>
    <row r="149">
      <c r="A149" s="39" t="str">
        <f>IF('Articles'!A149="","",'Articles'!A149)</f>
        <v/>
      </c>
      <c r="B149" s="39" t="str">
        <f>IF(A149="","",'Articles'!B149&amp;"")</f>
        <v/>
      </c>
      <c r="C149" s="39" t="str">
        <f>IF(A149="","",'Articles'!D149&amp;"")</f>
        <v/>
      </c>
      <c r="D149" s="39" t="str">
        <f>IF(A149="","",ROUND(N('Articles'!H149)+SUMIFS(mv_qty,mv_ref,A149,mv_type,"Entrée",mv_date,"&lt;"&amp;$E$1)-SUMIFS(mv_qty,mv_ref,A149,mv_type,"Sortie",mv_date,"&lt;"&amp;$E$1),6))</f>
        <v/>
      </c>
      <c r="E149" s="39" t="str">
        <f>IF(A149="","",SUMIFS(mv_qty,mv_ref,A149,mv_type,"Entrée",mv_date,"&gt;="&amp;$E$1,mv_date,"&lt;="&amp;$G$1))</f>
        <v/>
      </c>
      <c r="F149" s="39" t="str">
        <f>IF(A149="","",SUMIFS(mv_qty,mv_ref,A149,mv_type,"Sortie",mv_date,"&gt;="&amp;$E$1,mv_date,"&lt;="&amp;$G$1))</f>
        <v/>
      </c>
      <c r="G149" s="39" t="str">
        <f>IF(A149="","",ROUND(D149+E149-F149,6))</f>
        <v/>
      </c>
      <c r="H149" s="40" t="str">
        <f>IF(A149="","",G149*N('Articles'!G149))</f>
        <v/>
      </c>
    </row>
    <row r="150">
      <c r="A150" s="39" t="str">
        <f>IF('Articles'!A150="","",'Articles'!A150)</f>
        <v/>
      </c>
      <c r="B150" s="39" t="str">
        <f>IF(A150="","",'Articles'!B150&amp;"")</f>
        <v/>
      </c>
      <c r="C150" s="39" t="str">
        <f>IF(A150="","",'Articles'!D150&amp;"")</f>
        <v/>
      </c>
      <c r="D150" s="39" t="str">
        <f>IF(A150="","",ROUND(N('Articles'!H150)+SUMIFS(mv_qty,mv_ref,A150,mv_type,"Entrée",mv_date,"&lt;"&amp;$E$1)-SUMIFS(mv_qty,mv_ref,A150,mv_type,"Sortie",mv_date,"&lt;"&amp;$E$1),6))</f>
        <v/>
      </c>
      <c r="E150" s="39" t="str">
        <f>IF(A150="","",SUMIFS(mv_qty,mv_ref,A150,mv_type,"Entrée",mv_date,"&gt;="&amp;$E$1,mv_date,"&lt;="&amp;$G$1))</f>
        <v/>
      </c>
      <c r="F150" s="39" t="str">
        <f>IF(A150="","",SUMIFS(mv_qty,mv_ref,A150,mv_type,"Sortie",mv_date,"&gt;="&amp;$E$1,mv_date,"&lt;="&amp;$G$1))</f>
        <v/>
      </c>
      <c r="G150" s="39" t="str">
        <f>IF(A150="","",ROUND(D150+E150-F150,6))</f>
        <v/>
      </c>
      <c r="H150" s="40" t="str">
        <f>IF(A150="","",G150*N('Articles'!G150))</f>
        <v/>
      </c>
    </row>
    <row r="151">
      <c r="A151" s="39" t="str">
        <f>IF('Articles'!A151="","",'Articles'!A151)</f>
        <v/>
      </c>
      <c r="B151" s="39" t="str">
        <f>IF(A151="","",'Articles'!B151&amp;"")</f>
        <v/>
      </c>
      <c r="C151" s="39" t="str">
        <f>IF(A151="","",'Articles'!D151&amp;"")</f>
        <v/>
      </c>
      <c r="D151" s="39" t="str">
        <f>IF(A151="","",ROUND(N('Articles'!H151)+SUMIFS(mv_qty,mv_ref,A151,mv_type,"Entrée",mv_date,"&lt;"&amp;$E$1)-SUMIFS(mv_qty,mv_ref,A151,mv_type,"Sortie",mv_date,"&lt;"&amp;$E$1),6))</f>
        <v/>
      </c>
      <c r="E151" s="39" t="str">
        <f>IF(A151="","",SUMIFS(mv_qty,mv_ref,A151,mv_type,"Entrée",mv_date,"&gt;="&amp;$E$1,mv_date,"&lt;="&amp;$G$1))</f>
        <v/>
      </c>
      <c r="F151" s="39" t="str">
        <f>IF(A151="","",SUMIFS(mv_qty,mv_ref,A151,mv_type,"Sortie",mv_date,"&gt;="&amp;$E$1,mv_date,"&lt;="&amp;$G$1))</f>
        <v/>
      </c>
      <c r="G151" s="39" t="str">
        <f>IF(A151="","",ROUND(D151+E151-F151,6))</f>
        <v/>
      </c>
      <c r="H151" s="40" t="str">
        <f>IF(A151="","",G151*N('Articles'!G151))</f>
        <v/>
      </c>
    </row>
    <row r="152">
      <c r="A152" s="39" t="str">
        <f>IF('Articles'!A152="","",'Articles'!A152)</f>
        <v/>
      </c>
      <c r="B152" s="39" t="str">
        <f>IF(A152="","",'Articles'!B152&amp;"")</f>
        <v/>
      </c>
      <c r="C152" s="39" t="str">
        <f>IF(A152="","",'Articles'!D152&amp;"")</f>
        <v/>
      </c>
      <c r="D152" s="39" t="str">
        <f>IF(A152="","",ROUND(N('Articles'!H152)+SUMIFS(mv_qty,mv_ref,A152,mv_type,"Entrée",mv_date,"&lt;"&amp;$E$1)-SUMIFS(mv_qty,mv_ref,A152,mv_type,"Sortie",mv_date,"&lt;"&amp;$E$1),6))</f>
        <v/>
      </c>
      <c r="E152" s="39" t="str">
        <f>IF(A152="","",SUMIFS(mv_qty,mv_ref,A152,mv_type,"Entrée",mv_date,"&gt;="&amp;$E$1,mv_date,"&lt;="&amp;$G$1))</f>
        <v/>
      </c>
      <c r="F152" s="39" t="str">
        <f>IF(A152="","",SUMIFS(mv_qty,mv_ref,A152,mv_type,"Sortie",mv_date,"&gt;="&amp;$E$1,mv_date,"&lt;="&amp;$G$1))</f>
        <v/>
      </c>
      <c r="G152" s="39" t="str">
        <f>IF(A152="","",ROUND(D152+E152-F152,6))</f>
        <v/>
      </c>
      <c r="H152" s="40" t="str">
        <f>IF(A152="","",G152*N('Articles'!G152))</f>
        <v/>
      </c>
    </row>
    <row r="153">
      <c r="A153" s="39" t="str">
        <f>IF('Articles'!A153="","",'Articles'!A153)</f>
        <v/>
      </c>
      <c r="B153" s="39" t="str">
        <f>IF(A153="","",'Articles'!B153&amp;"")</f>
        <v/>
      </c>
      <c r="C153" s="39" t="str">
        <f>IF(A153="","",'Articles'!D153&amp;"")</f>
        <v/>
      </c>
      <c r="D153" s="39" t="str">
        <f>IF(A153="","",ROUND(N('Articles'!H153)+SUMIFS(mv_qty,mv_ref,A153,mv_type,"Entrée",mv_date,"&lt;"&amp;$E$1)-SUMIFS(mv_qty,mv_ref,A153,mv_type,"Sortie",mv_date,"&lt;"&amp;$E$1),6))</f>
        <v/>
      </c>
      <c r="E153" s="39" t="str">
        <f>IF(A153="","",SUMIFS(mv_qty,mv_ref,A153,mv_type,"Entrée",mv_date,"&gt;="&amp;$E$1,mv_date,"&lt;="&amp;$G$1))</f>
        <v/>
      </c>
      <c r="F153" s="39" t="str">
        <f>IF(A153="","",SUMIFS(mv_qty,mv_ref,A153,mv_type,"Sortie",mv_date,"&gt;="&amp;$E$1,mv_date,"&lt;="&amp;$G$1))</f>
        <v/>
      </c>
      <c r="G153" s="39" t="str">
        <f>IF(A153="","",ROUND(D153+E153-F153,6))</f>
        <v/>
      </c>
      <c r="H153" s="40" t="str">
        <f>IF(A153="","",G153*N('Articles'!G153))</f>
        <v/>
      </c>
    </row>
    <row r="154">
      <c r="A154" s="39" t="str">
        <f>IF('Articles'!A154="","",'Articles'!A154)</f>
        <v/>
      </c>
      <c r="B154" s="39" t="str">
        <f>IF(A154="","",'Articles'!B154&amp;"")</f>
        <v/>
      </c>
      <c r="C154" s="39" t="str">
        <f>IF(A154="","",'Articles'!D154&amp;"")</f>
        <v/>
      </c>
      <c r="D154" s="39" t="str">
        <f>IF(A154="","",ROUND(N('Articles'!H154)+SUMIFS(mv_qty,mv_ref,A154,mv_type,"Entrée",mv_date,"&lt;"&amp;$E$1)-SUMIFS(mv_qty,mv_ref,A154,mv_type,"Sortie",mv_date,"&lt;"&amp;$E$1),6))</f>
        <v/>
      </c>
      <c r="E154" s="39" t="str">
        <f>IF(A154="","",SUMIFS(mv_qty,mv_ref,A154,mv_type,"Entrée",mv_date,"&gt;="&amp;$E$1,mv_date,"&lt;="&amp;$G$1))</f>
        <v/>
      </c>
      <c r="F154" s="39" t="str">
        <f>IF(A154="","",SUMIFS(mv_qty,mv_ref,A154,mv_type,"Sortie",mv_date,"&gt;="&amp;$E$1,mv_date,"&lt;="&amp;$G$1))</f>
        <v/>
      </c>
      <c r="G154" s="39" t="str">
        <f>IF(A154="","",ROUND(D154+E154-F154,6))</f>
        <v/>
      </c>
      <c r="H154" s="40" t="str">
        <f>IF(A154="","",G154*N('Articles'!G154))</f>
        <v/>
      </c>
    </row>
    <row r="155">
      <c r="A155" s="39" t="str">
        <f>IF('Articles'!A155="","",'Articles'!A155)</f>
        <v/>
      </c>
      <c r="B155" s="39" t="str">
        <f>IF(A155="","",'Articles'!B155&amp;"")</f>
        <v/>
      </c>
      <c r="C155" s="39" t="str">
        <f>IF(A155="","",'Articles'!D155&amp;"")</f>
        <v/>
      </c>
      <c r="D155" s="39" t="str">
        <f>IF(A155="","",ROUND(N('Articles'!H155)+SUMIFS(mv_qty,mv_ref,A155,mv_type,"Entrée",mv_date,"&lt;"&amp;$E$1)-SUMIFS(mv_qty,mv_ref,A155,mv_type,"Sortie",mv_date,"&lt;"&amp;$E$1),6))</f>
        <v/>
      </c>
      <c r="E155" s="39" t="str">
        <f>IF(A155="","",SUMIFS(mv_qty,mv_ref,A155,mv_type,"Entrée",mv_date,"&gt;="&amp;$E$1,mv_date,"&lt;="&amp;$G$1))</f>
        <v/>
      </c>
      <c r="F155" s="39" t="str">
        <f>IF(A155="","",SUMIFS(mv_qty,mv_ref,A155,mv_type,"Sortie",mv_date,"&gt;="&amp;$E$1,mv_date,"&lt;="&amp;$G$1))</f>
        <v/>
      </c>
      <c r="G155" s="39" t="str">
        <f>IF(A155="","",ROUND(D155+E155-F155,6))</f>
        <v/>
      </c>
      <c r="H155" s="40" t="str">
        <f>IF(A155="","",G155*N('Articles'!G155))</f>
        <v/>
      </c>
    </row>
    <row r="156">
      <c r="A156" s="39" t="str">
        <f>IF('Articles'!A156="","",'Articles'!A156)</f>
        <v/>
      </c>
      <c r="B156" s="39" t="str">
        <f>IF(A156="","",'Articles'!B156&amp;"")</f>
        <v/>
      </c>
      <c r="C156" s="39" t="str">
        <f>IF(A156="","",'Articles'!D156&amp;"")</f>
        <v/>
      </c>
      <c r="D156" s="39" t="str">
        <f>IF(A156="","",ROUND(N('Articles'!H156)+SUMIFS(mv_qty,mv_ref,A156,mv_type,"Entrée",mv_date,"&lt;"&amp;$E$1)-SUMIFS(mv_qty,mv_ref,A156,mv_type,"Sortie",mv_date,"&lt;"&amp;$E$1),6))</f>
        <v/>
      </c>
      <c r="E156" s="39" t="str">
        <f>IF(A156="","",SUMIFS(mv_qty,mv_ref,A156,mv_type,"Entrée",mv_date,"&gt;="&amp;$E$1,mv_date,"&lt;="&amp;$G$1))</f>
        <v/>
      </c>
      <c r="F156" s="39" t="str">
        <f>IF(A156="","",SUMIFS(mv_qty,mv_ref,A156,mv_type,"Sortie",mv_date,"&gt;="&amp;$E$1,mv_date,"&lt;="&amp;$G$1))</f>
        <v/>
      </c>
      <c r="G156" s="39" t="str">
        <f>IF(A156="","",ROUND(D156+E156-F156,6))</f>
        <v/>
      </c>
      <c r="H156" s="40" t="str">
        <f>IF(A156="","",G156*N('Articles'!G156))</f>
        <v/>
      </c>
    </row>
    <row r="157">
      <c r="A157" s="39" t="str">
        <f>IF('Articles'!A157="","",'Articles'!A157)</f>
        <v/>
      </c>
      <c r="B157" s="39" t="str">
        <f>IF(A157="","",'Articles'!B157&amp;"")</f>
        <v/>
      </c>
      <c r="C157" s="39" t="str">
        <f>IF(A157="","",'Articles'!D157&amp;"")</f>
        <v/>
      </c>
      <c r="D157" s="39" t="str">
        <f>IF(A157="","",ROUND(N('Articles'!H157)+SUMIFS(mv_qty,mv_ref,A157,mv_type,"Entrée",mv_date,"&lt;"&amp;$E$1)-SUMIFS(mv_qty,mv_ref,A157,mv_type,"Sortie",mv_date,"&lt;"&amp;$E$1),6))</f>
        <v/>
      </c>
      <c r="E157" s="39" t="str">
        <f>IF(A157="","",SUMIFS(mv_qty,mv_ref,A157,mv_type,"Entrée",mv_date,"&gt;="&amp;$E$1,mv_date,"&lt;="&amp;$G$1))</f>
        <v/>
      </c>
      <c r="F157" s="39" t="str">
        <f>IF(A157="","",SUMIFS(mv_qty,mv_ref,A157,mv_type,"Sortie",mv_date,"&gt;="&amp;$E$1,mv_date,"&lt;="&amp;$G$1))</f>
        <v/>
      </c>
      <c r="G157" s="39" t="str">
        <f>IF(A157="","",ROUND(D157+E157-F157,6))</f>
        <v/>
      </c>
      <c r="H157" s="40" t="str">
        <f>IF(A157="","",G157*N('Articles'!G157))</f>
        <v/>
      </c>
    </row>
    <row r="158">
      <c r="A158" s="39" t="str">
        <f>IF('Articles'!A158="","",'Articles'!A158)</f>
        <v/>
      </c>
      <c r="B158" s="39" t="str">
        <f>IF(A158="","",'Articles'!B158&amp;"")</f>
        <v/>
      </c>
      <c r="C158" s="39" t="str">
        <f>IF(A158="","",'Articles'!D158&amp;"")</f>
        <v/>
      </c>
      <c r="D158" s="39" t="str">
        <f>IF(A158="","",ROUND(N('Articles'!H158)+SUMIFS(mv_qty,mv_ref,A158,mv_type,"Entrée",mv_date,"&lt;"&amp;$E$1)-SUMIFS(mv_qty,mv_ref,A158,mv_type,"Sortie",mv_date,"&lt;"&amp;$E$1),6))</f>
        <v/>
      </c>
      <c r="E158" s="39" t="str">
        <f>IF(A158="","",SUMIFS(mv_qty,mv_ref,A158,mv_type,"Entrée",mv_date,"&gt;="&amp;$E$1,mv_date,"&lt;="&amp;$G$1))</f>
        <v/>
      </c>
      <c r="F158" s="39" t="str">
        <f>IF(A158="","",SUMIFS(mv_qty,mv_ref,A158,mv_type,"Sortie",mv_date,"&gt;="&amp;$E$1,mv_date,"&lt;="&amp;$G$1))</f>
        <v/>
      </c>
      <c r="G158" s="39" t="str">
        <f>IF(A158="","",ROUND(D158+E158-F158,6))</f>
        <v/>
      </c>
      <c r="H158" s="40" t="str">
        <f>IF(A158="","",G158*N('Articles'!G158))</f>
        <v/>
      </c>
    </row>
    <row r="159">
      <c r="A159" s="39" t="str">
        <f>IF('Articles'!A159="","",'Articles'!A159)</f>
        <v/>
      </c>
      <c r="B159" s="39" t="str">
        <f>IF(A159="","",'Articles'!B159&amp;"")</f>
        <v/>
      </c>
      <c r="C159" s="39" t="str">
        <f>IF(A159="","",'Articles'!D159&amp;"")</f>
        <v/>
      </c>
      <c r="D159" s="39" t="str">
        <f>IF(A159="","",ROUND(N('Articles'!H159)+SUMIFS(mv_qty,mv_ref,A159,mv_type,"Entrée",mv_date,"&lt;"&amp;$E$1)-SUMIFS(mv_qty,mv_ref,A159,mv_type,"Sortie",mv_date,"&lt;"&amp;$E$1),6))</f>
        <v/>
      </c>
      <c r="E159" s="39" t="str">
        <f>IF(A159="","",SUMIFS(mv_qty,mv_ref,A159,mv_type,"Entrée",mv_date,"&gt;="&amp;$E$1,mv_date,"&lt;="&amp;$G$1))</f>
        <v/>
      </c>
      <c r="F159" s="39" t="str">
        <f>IF(A159="","",SUMIFS(mv_qty,mv_ref,A159,mv_type,"Sortie",mv_date,"&gt;="&amp;$E$1,mv_date,"&lt;="&amp;$G$1))</f>
        <v/>
      </c>
      <c r="G159" s="39" t="str">
        <f>IF(A159="","",ROUND(D159+E159-F159,6))</f>
        <v/>
      </c>
      <c r="H159" s="40" t="str">
        <f>IF(A159="","",G159*N('Articles'!G159))</f>
        <v/>
      </c>
    </row>
    <row r="160">
      <c r="A160" s="39" t="str">
        <f>IF('Articles'!A160="","",'Articles'!A160)</f>
        <v/>
      </c>
      <c r="B160" s="39" t="str">
        <f>IF(A160="","",'Articles'!B160&amp;"")</f>
        <v/>
      </c>
      <c r="C160" s="39" t="str">
        <f>IF(A160="","",'Articles'!D160&amp;"")</f>
        <v/>
      </c>
      <c r="D160" s="39" t="str">
        <f>IF(A160="","",ROUND(N('Articles'!H160)+SUMIFS(mv_qty,mv_ref,A160,mv_type,"Entrée",mv_date,"&lt;"&amp;$E$1)-SUMIFS(mv_qty,mv_ref,A160,mv_type,"Sortie",mv_date,"&lt;"&amp;$E$1),6))</f>
        <v/>
      </c>
      <c r="E160" s="39" t="str">
        <f>IF(A160="","",SUMIFS(mv_qty,mv_ref,A160,mv_type,"Entrée",mv_date,"&gt;="&amp;$E$1,mv_date,"&lt;="&amp;$G$1))</f>
        <v/>
      </c>
      <c r="F160" s="39" t="str">
        <f>IF(A160="","",SUMIFS(mv_qty,mv_ref,A160,mv_type,"Sortie",mv_date,"&gt;="&amp;$E$1,mv_date,"&lt;="&amp;$G$1))</f>
        <v/>
      </c>
      <c r="G160" s="39" t="str">
        <f>IF(A160="","",ROUND(D160+E160-F160,6))</f>
        <v/>
      </c>
      <c r="H160" s="40" t="str">
        <f>IF(A160="","",G160*N('Articles'!G160))</f>
        <v/>
      </c>
    </row>
    <row r="161">
      <c r="A161" s="39" t="str">
        <f>IF('Articles'!A161="","",'Articles'!A161)</f>
        <v/>
      </c>
      <c r="B161" s="39" t="str">
        <f>IF(A161="","",'Articles'!B161&amp;"")</f>
        <v/>
      </c>
      <c r="C161" s="39" t="str">
        <f>IF(A161="","",'Articles'!D161&amp;"")</f>
        <v/>
      </c>
      <c r="D161" s="39" t="str">
        <f>IF(A161="","",ROUND(N('Articles'!H161)+SUMIFS(mv_qty,mv_ref,A161,mv_type,"Entrée",mv_date,"&lt;"&amp;$E$1)-SUMIFS(mv_qty,mv_ref,A161,mv_type,"Sortie",mv_date,"&lt;"&amp;$E$1),6))</f>
        <v/>
      </c>
      <c r="E161" s="39" t="str">
        <f>IF(A161="","",SUMIFS(mv_qty,mv_ref,A161,mv_type,"Entrée",mv_date,"&gt;="&amp;$E$1,mv_date,"&lt;="&amp;$G$1))</f>
        <v/>
      </c>
      <c r="F161" s="39" t="str">
        <f>IF(A161="","",SUMIFS(mv_qty,mv_ref,A161,mv_type,"Sortie",mv_date,"&gt;="&amp;$E$1,mv_date,"&lt;="&amp;$G$1))</f>
        <v/>
      </c>
      <c r="G161" s="39" t="str">
        <f>IF(A161="","",ROUND(D161+E161-F161,6))</f>
        <v/>
      </c>
      <c r="H161" s="40" t="str">
        <f>IF(A161="","",G161*N('Articles'!G161))</f>
        <v/>
      </c>
    </row>
    <row r="162">
      <c r="A162" s="39" t="str">
        <f>IF('Articles'!A162="","",'Articles'!A162)</f>
        <v/>
      </c>
      <c r="B162" s="39" t="str">
        <f>IF(A162="","",'Articles'!B162&amp;"")</f>
        <v/>
      </c>
      <c r="C162" s="39" t="str">
        <f>IF(A162="","",'Articles'!D162&amp;"")</f>
        <v/>
      </c>
      <c r="D162" s="39" t="str">
        <f>IF(A162="","",ROUND(N('Articles'!H162)+SUMIFS(mv_qty,mv_ref,A162,mv_type,"Entrée",mv_date,"&lt;"&amp;$E$1)-SUMIFS(mv_qty,mv_ref,A162,mv_type,"Sortie",mv_date,"&lt;"&amp;$E$1),6))</f>
        <v/>
      </c>
      <c r="E162" s="39" t="str">
        <f>IF(A162="","",SUMIFS(mv_qty,mv_ref,A162,mv_type,"Entrée",mv_date,"&gt;="&amp;$E$1,mv_date,"&lt;="&amp;$G$1))</f>
        <v/>
      </c>
      <c r="F162" s="39" t="str">
        <f>IF(A162="","",SUMIFS(mv_qty,mv_ref,A162,mv_type,"Sortie",mv_date,"&gt;="&amp;$E$1,mv_date,"&lt;="&amp;$G$1))</f>
        <v/>
      </c>
      <c r="G162" s="39" t="str">
        <f>IF(A162="","",ROUND(D162+E162-F162,6))</f>
        <v/>
      </c>
      <c r="H162" s="40" t="str">
        <f>IF(A162="","",G162*N('Articles'!G162))</f>
        <v/>
      </c>
    </row>
    <row r="163">
      <c r="A163" s="39" t="str">
        <f>IF('Articles'!A163="","",'Articles'!A163)</f>
        <v/>
      </c>
      <c r="B163" s="39" t="str">
        <f>IF(A163="","",'Articles'!B163&amp;"")</f>
        <v/>
      </c>
      <c r="C163" s="39" t="str">
        <f>IF(A163="","",'Articles'!D163&amp;"")</f>
        <v/>
      </c>
      <c r="D163" s="39" t="str">
        <f>IF(A163="","",ROUND(N('Articles'!H163)+SUMIFS(mv_qty,mv_ref,A163,mv_type,"Entrée",mv_date,"&lt;"&amp;$E$1)-SUMIFS(mv_qty,mv_ref,A163,mv_type,"Sortie",mv_date,"&lt;"&amp;$E$1),6))</f>
        <v/>
      </c>
      <c r="E163" s="39" t="str">
        <f>IF(A163="","",SUMIFS(mv_qty,mv_ref,A163,mv_type,"Entrée",mv_date,"&gt;="&amp;$E$1,mv_date,"&lt;="&amp;$G$1))</f>
        <v/>
      </c>
      <c r="F163" s="39" t="str">
        <f>IF(A163="","",SUMIFS(mv_qty,mv_ref,A163,mv_type,"Sortie",mv_date,"&gt;="&amp;$E$1,mv_date,"&lt;="&amp;$G$1))</f>
        <v/>
      </c>
      <c r="G163" s="39" t="str">
        <f>IF(A163="","",ROUND(D163+E163-F163,6))</f>
        <v/>
      </c>
      <c r="H163" s="40" t="str">
        <f>IF(A163="","",G163*N('Articles'!G163))</f>
        <v/>
      </c>
    </row>
    <row r="164">
      <c r="A164" s="39" t="str">
        <f>IF('Articles'!A164="","",'Articles'!A164)</f>
        <v/>
      </c>
      <c r="B164" s="39" t="str">
        <f>IF(A164="","",'Articles'!B164&amp;"")</f>
        <v/>
      </c>
      <c r="C164" s="39" t="str">
        <f>IF(A164="","",'Articles'!D164&amp;"")</f>
        <v/>
      </c>
      <c r="D164" s="39" t="str">
        <f>IF(A164="","",ROUND(N('Articles'!H164)+SUMIFS(mv_qty,mv_ref,A164,mv_type,"Entrée",mv_date,"&lt;"&amp;$E$1)-SUMIFS(mv_qty,mv_ref,A164,mv_type,"Sortie",mv_date,"&lt;"&amp;$E$1),6))</f>
        <v/>
      </c>
      <c r="E164" s="39" t="str">
        <f>IF(A164="","",SUMIFS(mv_qty,mv_ref,A164,mv_type,"Entrée",mv_date,"&gt;="&amp;$E$1,mv_date,"&lt;="&amp;$G$1))</f>
        <v/>
      </c>
      <c r="F164" s="39" t="str">
        <f>IF(A164="","",SUMIFS(mv_qty,mv_ref,A164,mv_type,"Sortie",mv_date,"&gt;="&amp;$E$1,mv_date,"&lt;="&amp;$G$1))</f>
        <v/>
      </c>
      <c r="G164" s="39" t="str">
        <f>IF(A164="","",ROUND(D164+E164-F164,6))</f>
        <v/>
      </c>
      <c r="H164" s="40" t="str">
        <f>IF(A164="","",G164*N('Articles'!G164))</f>
        <v/>
      </c>
    </row>
    <row r="165">
      <c r="A165" s="39" t="str">
        <f>IF('Articles'!A165="","",'Articles'!A165)</f>
        <v/>
      </c>
      <c r="B165" s="39" t="str">
        <f>IF(A165="","",'Articles'!B165&amp;"")</f>
        <v/>
      </c>
      <c r="C165" s="39" t="str">
        <f>IF(A165="","",'Articles'!D165&amp;"")</f>
        <v/>
      </c>
      <c r="D165" s="39" t="str">
        <f>IF(A165="","",ROUND(N('Articles'!H165)+SUMIFS(mv_qty,mv_ref,A165,mv_type,"Entrée",mv_date,"&lt;"&amp;$E$1)-SUMIFS(mv_qty,mv_ref,A165,mv_type,"Sortie",mv_date,"&lt;"&amp;$E$1),6))</f>
        <v/>
      </c>
      <c r="E165" s="39" t="str">
        <f>IF(A165="","",SUMIFS(mv_qty,mv_ref,A165,mv_type,"Entrée",mv_date,"&gt;="&amp;$E$1,mv_date,"&lt;="&amp;$G$1))</f>
        <v/>
      </c>
      <c r="F165" s="39" t="str">
        <f>IF(A165="","",SUMIFS(mv_qty,mv_ref,A165,mv_type,"Sortie",mv_date,"&gt;="&amp;$E$1,mv_date,"&lt;="&amp;$G$1))</f>
        <v/>
      </c>
      <c r="G165" s="39" t="str">
        <f>IF(A165="","",ROUND(D165+E165-F165,6))</f>
        <v/>
      </c>
      <c r="H165" s="40" t="str">
        <f>IF(A165="","",G165*N('Articles'!G165))</f>
        <v/>
      </c>
    </row>
    <row r="166">
      <c r="A166" s="39" t="str">
        <f>IF('Articles'!A166="","",'Articles'!A166)</f>
        <v/>
      </c>
      <c r="B166" s="39" t="str">
        <f>IF(A166="","",'Articles'!B166&amp;"")</f>
        <v/>
      </c>
      <c r="C166" s="39" t="str">
        <f>IF(A166="","",'Articles'!D166&amp;"")</f>
        <v/>
      </c>
      <c r="D166" s="39" t="str">
        <f>IF(A166="","",ROUND(N('Articles'!H166)+SUMIFS(mv_qty,mv_ref,A166,mv_type,"Entrée",mv_date,"&lt;"&amp;$E$1)-SUMIFS(mv_qty,mv_ref,A166,mv_type,"Sortie",mv_date,"&lt;"&amp;$E$1),6))</f>
        <v/>
      </c>
      <c r="E166" s="39" t="str">
        <f>IF(A166="","",SUMIFS(mv_qty,mv_ref,A166,mv_type,"Entrée",mv_date,"&gt;="&amp;$E$1,mv_date,"&lt;="&amp;$G$1))</f>
        <v/>
      </c>
      <c r="F166" s="39" t="str">
        <f>IF(A166="","",SUMIFS(mv_qty,mv_ref,A166,mv_type,"Sortie",mv_date,"&gt;="&amp;$E$1,mv_date,"&lt;="&amp;$G$1))</f>
        <v/>
      </c>
      <c r="G166" s="39" t="str">
        <f>IF(A166="","",ROUND(D166+E166-F166,6))</f>
        <v/>
      </c>
      <c r="H166" s="40" t="str">
        <f>IF(A166="","",G166*N('Articles'!G166))</f>
        <v/>
      </c>
    </row>
    <row r="167">
      <c r="A167" s="39" t="str">
        <f>IF('Articles'!A167="","",'Articles'!A167)</f>
        <v/>
      </c>
      <c r="B167" s="39" t="str">
        <f>IF(A167="","",'Articles'!B167&amp;"")</f>
        <v/>
      </c>
      <c r="C167" s="39" t="str">
        <f>IF(A167="","",'Articles'!D167&amp;"")</f>
        <v/>
      </c>
      <c r="D167" s="39" t="str">
        <f>IF(A167="","",ROUND(N('Articles'!H167)+SUMIFS(mv_qty,mv_ref,A167,mv_type,"Entrée",mv_date,"&lt;"&amp;$E$1)-SUMIFS(mv_qty,mv_ref,A167,mv_type,"Sortie",mv_date,"&lt;"&amp;$E$1),6))</f>
        <v/>
      </c>
      <c r="E167" s="39" t="str">
        <f>IF(A167="","",SUMIFS(mv_qty,mv_ref,A167,mv_type,"Entrée",mv_date,"&gt;="&amp;$E$1,mv_date,"&lt;="&amp;$G$1))</f>
        <v/>
      </c>
      <c r="F167" s="39" t="str">
        <f>IF(A167="","",SUMIFS(mv_qty,mv_ref,A167,mv_type,"Sortie",mv_date,"&gt;="&amp;$E$1,mv_date,"&lt;="&amp;$G$1))</f>
        <v/>
      </c>
      <c r="G167" s="39" t="str">
        <f>IF(A167="","",ROUND(D167+E167-F167,6))</f>
        <v/>
      </c>
      <c r="H167" s="40" t="str">
        <f>IF(A167="","",G167*N('Articles'!G167))</f>
        <v/>
      </c>
    </row>
    <row r="168">
      <c r="A168" s="39" t="str">
        <f>IF('Articles'!A168="","",'Articles'!A168)</f>
        <v/>
      </c>
      <c r="B168" s="39" t="str">
        <f>IF(A168="","",'Articles'!B168&amp;"")</f>
        <v/>
      </c>
      <c r="C168" s="39" t="str">
        <f>IF(A168="","",'Articles'!D168&amp;"")</f>
        <v/>
      </c>
      <c r="D168" s="39" t="str">
        <f>IF(A168="","",ROUND(N('Articles'!H168)+SUMIFS(mv_qty,mv_ref,A168,mv_type,"Entrée",mv_date,"&lt;"&amp;$E$1)-SUMIFS(mv_qty,mv_ref,A168,mv_type,"Sortie",mv_date,"&lt;"&amp;$E$1),6))</f>
        <v/>
      </c>
      <c r="E168" s="39" t="str">
        <f>IF(A168="","",SUMIFS(mv_qty,mv_ref,A168,mv_type,"Entrée",mv_date,"&gt;="&amp;$E$1,mv_date,"&lt;="&amp;$G$1))</f>
        <v/>
      </c>
      <c r="F168" s="39" t="str">
        <f>IF(A168="","",SUMIFS(mv_qty,mv_ref,A168,mv_type,"Sortie",mv_date,"&gt;="&amp;$E$1,mv_date,"&lt;="&amp;$G$1))</f>
        <v/>
      </c>
      <c r="G168" s="39" t="str">
        <f>IF(A168="","",ROUND(D168+E168-F168,6))</f>
        <v/>
      </c>
      <c r="H168" s="40" t="str">
        <f>IF(A168="","",G168*N('Articles'!G168))</f>
        <v/>
      </c>
    </row>
    <row r="169">
      <c r="A169" s="39" t="str">
        <f>IF('Articles'!A169="","",'Articles'!A169)</f>
        <v/>
      </c>
      <c r="B169" s="39" t="str">
        <f>IF(A169="","",'Articles'!B169&amp;"")</f>
        <v/>
      </c>
      <c r="C169" s="39" t="str">
        <f>IF(A169="","",'Articles'!D169&amp;"")</f>
        <v/>
      </c>
      <c r="D169" s="39" t="str">
        <f>IF(A169="","",ROUND(N('Articles'!H169)+SUMIFS(mv_qty,mv_ref,A169,mv_type,"Entrée",mv_date,"&lt;"&amp;$E$1)-SUMIFS(mv_qty,mv_ref,A169,mv_type,"Sortie",mv_date,"&lt;"&amp;$E$1),6))</f>
        <v/>
      </c>
      <c r="E169" s="39" t="str">
        <f>IF(A169="","",SUMIFS(mv_qty,mv_ref,A169,mv_type,"Entrée",mv_date,"&gt;="&amp;$E$1,mv_date,"&lt;="&amp;$G$1))</f>
        <v/>
      </c>
      <c r="F169" s="39" t="str">
        <f>IF(A169="","",SUMIFS(mv_qty,mv_ref,A169,mv_type,"Sortie",mv_date,"&gt;="&amp;$E$1,mv_date,"&lt;="&amp;$G$1))</f>
        <v/>
      </c>
      <c r="G169" s="39" t="str">
        <f>IF(A169="","",ROUND(D169+E169-F169,6))</f>
        <v/>
      </c>
      <c r="H169" s="40" t="str">
        <f>IF(A169="","",G169*N('Articles'!G169))</f>
        <v/>
      </c>
    </row>
    <row r="170">
      <c r="A170" s="39" t="str">
        <f>IF('Articles'!A170="","",'Articles'!A170)</f>
        <v/>
      </c>
      <c r="B170" s="39" t="str">
        <f>IF(A170="","",'Articles'!B170&amp;"")</f>
        <v/>
      </c>
      <c r="C170" s="39" t="str">
        <f>IF(A170="","",'Articles'!D170&amp;"")</f>
        <v/>
      </c>
      <c r="D170" s="39" t="str">
        <f>IF(A170="","",ROUND(N('Articles'!H170)+SUMIFS(mv_qty,mv_ref,A170,mv_type,"Entrée",mv_date,"&lt;"&amp;$E$1)-SUMIFS(mv_qty,mv_ref,A170,mv_type,"Sortie",mv_date,"&lt;"&amp;$E$1),6))</f>
        <v/>
      </c>
      <c r="E170" s="39" t="str">
        <f>IF(A170="","",SUMIFS(mv_qty,mv_ref,A170,mv_type,"Entrée",mv_date,"&gt;="&amp;$E$1,mv_date,"&lt;="&amp;$G$1))</f>
        <v/>
      </c>
      <c r="F170" s="39" t="str">
        <f>IF(A170="","",SUMIFS(mv_qty,mv_ref,A170,mv_type,"Sortie",mv_date,"&gt;="&amp;$E$1,mv_date,"&lt;="&amp;$G$1))</f>
        <v/>
      </c>
      <c r="G170" s="39" t="str">
        <f>IF(A170="","",ROUND(D170+E170-F170,6))</f>
        <v/>
      </c>
      <c r="H170" s="40" t="str">
        <f>IF(A170="","",G170*N('Articles'!G170))</f>
        <v/>
      </c>
    </row>
    <row r="171">
      <c r="A171" s="39" t="str">
        <f>IF('Articles'!A171="","",'Articles'!A171)</f>
        <v/>
      </c>
      <c r="B171" s="39" t="str">
        <f>IF(A171="","",'Articles'!B171&amp;"")</f>
        <v/>
      </c>
      <c r="C171" s="39" t="str">
        <f>IF(A171="","",'Articles'!D171&amp;"")</f>
        <v/>
      </c>
      <c r="D171" s="39" t="str">
        <f>IF(A171="","",ROUND(N('Articles'!H171)+SUMIFS(mv_qty,mv_ref,A171,mv_type,"Entrée",mv_date,"&lt;"&amp;$E$1)-SUMIFS(mv_qty,mv_ref,A171,mv_type,"Sortie",mv_date,"&lt;"&amp;$E$1),6))</f>
        <v/>
      </c>
      <c r="E171" s="39" t="str">
        <f>IF(A171="","",SUMIFS(mv_qty,mv_ref,A171,mv_type,"Entrée",mv_date,"&gt;="&amp;$E$1,mv_date,"&lt;="&amp;$G$1))</f>
        <v/>
      </c>
      <c r="F171" s="39" t="str">
        <f>IF(A171="","",SUMIFS(mv_qty,mv_ref,A171,mv_type,"Sortie",mv_date,"&gt;="&amp;$E$1,mv_date,"&lt;="&amp;$G$1))</f>
        <v/>
      </c>
      <c r="G171" s="39" t="str">
        <f>IF(A171="","",ROUND(D171+E171-F171,6))</f>
        <v/>
      </c>
      <c r="H171" s="40" t="str">
        <f>IF(A171="","",G171*N('Articles'!G171))</f>
        <v/>
      </c>
    </row>
    <row r="172">
      <c r="A172" s="39" t="str">
        <f>IF('Articles'!A172="","",'Articles'!A172)</f>
        <v/>
      </c>
      <c r="B172" s="39" t="str">
        <f>IF(A172="","",'Articles'!B172&amp;"")</f>
        <v/>
      </c>
      <c r="C172" s="39" t="str">
        <f>IF(A172="","",'Articles'!D172&amp;"")</f>
        <v/>
      </c>
      <c r="D172" s="39" t="str">
        <f>IF(A172="","",ROUND(N('Articles'!H172)+SUMIFS(mv_qty,mv_ref,A172,mv_type,"Entrée",mv_date,"&lt;"&amp;$E$1)-SUMIFS(mv_qty,mv_ref,A172,mv_type,"Sortie",mv_date,"&lt;"&amp;$E$1),6))</f>
        <v/>
      </c>
      <c r="E172" s="39" t="str">
        <f>IF(A172="","",SUMIFS(mv_qty,mv_ref,A172,mv_type,"Entrée",mv_date,"&gt;="&amp;$E$1,mv_date,"&lt;="&amp;$G$1))</f>
        <v/>
      </c>
      <c r="F172" s="39" t="str">
        <f>IF(A172="","",SUMIFS(mv_qty,mv_ref,A172,mv_type,"Sortie",mv_date,"&gt;="&amp;$E$1,mv_date,"&lt;="&amp;$G$1))</f>
        <v/>
      </c>
      <c r="G172" s="39" t="str">
        <f>IF(A172="","",ROUND(D172+E172-F172,6))</f>
        <v/>
      </c>
      <c r="H172" s="40" t="str">
        <f>IF(A172="","",G172*N('Articles'!G172))</f>
        <v/>
      </c>
    </row>
    <row r="173">
      <c r="A173" s="39" t="str">
        <f>IF('Articles'!A173="","",'Articles'!A173)</f>
        <v/>
      </c>
      <c r="B173" s="39" t="str">
        <f>IF(A173="","",'Articles'!B173&amp;"")</f>
        <v/>
      </c>
      <c r="C173" s="39" t="str">
        <f>IF(A173="","",'Articles'!D173&amp;"")</f>
        <v/>
      </c>
      <c r="D173" s="39" t="str">
        <f>IF(A173="","",ROUND(N('Articles'!H173)+SUMIFS(mv_qty,mv_ref,A173,mv_type,"Entrée",mv_date,"&lt;"&amp;$E$1)-SUMIFS(mv_qty,mv_ref,A173,mv_type,"Sortie",mv_date,"&lt;"&amp;$E$1),6))</f>
        <v/>
      </c>
      <c r="E173" s="39" t="str">
        <f>IF(A173="","",SUMIFS(mv_qty,mv_ref,A173,mv_type,"Entrée",mv_date,"&gt;="&amp;$E$1,mv_date,"&lt;="&amp;$G$1))</f>
        <v/>
      </c>
      <c r="F173" s="39" t="str">
        <f>IF(A173="","",SUMIFS(mv_qty,mv_ref,A173,mv_type,"Sortie",mv_date,"&gt;="&amp;$E$1,mv_date,"&lt;="&amp;$G$1))</f>
        <v/>
      </c>
      <c r="G173" s="39" t="str">
        <f>IF(A173="","",ROUND(D173+E173-F173,6))</f>
        <v/>
      </c>
      <c r="H173" s="40" t="str">
        <f>IF(A173="","",G173*N('Articles'!G173))</f>
        <v/>
      </c>
    </row>
    <row r="174">
      <c r="A174" s="39" t="str">
        <f>IF('Articles'!A174="","",'Articles'!A174)</f>
        <v/>
      </c>
      <c r="B174" s="39" t="str">
        <f>IF(A174="","",'Articles'!B174&amp;"")</f>
        <v/>
      </c>
      <c r="C174" s="39" t="str">
        <f>IF(A174="","",'Articles'!D174&amp;"")</f>
        <v/>
      </c>
      <c r="D174" s="39" t="str">
        <f>IF(A174="","",ROUND(N('Articles'!H174)+SUMIFS(mv_qty,mv_ref,A174,mv_type,"Entrée",mv_date,"&lt;"&amp;$E$1)-SUMIFS(mv_qty,mv_ref,A174,mv_type,"Sortie",mv_date,"&lt;"&amp;$E$1),6))</f>
        <v/>
      </c>
      <c r="E174" s="39" t="str">
        <f>IF(A174="","",SUMIFS(mv_qty,mv_ref,A174,mv_type,"Entrée",mv_date,"&gt;="&amp;$E$1,mv_date,"&lt;="&amp;$G$1))</f>
        <v/>
      </c>
      <c r="F174" s="39" t="str">
        <f>IF(A174="","",SUMIFS(mv_qty,mv_ref,A174,mv_type,"Sortie",mv_date,"&gt;="&amp;$E$1,mv_date,"&lt;="&amp;$G$1))</f>
        <v/>
      </c>
      <c r="G174" s="39" t="str">
        <f>IF(A174="","",ROUND(D174+E174-F174,6))</f>
        <v/>
      </c>
      <c r="H174" s="40" t="str">
        <f>IF(A174="","",G174*N('Articles'!G174))</f>
        <v/>
      </c>
    </row>
    <row r="175">
      <c r="A175" s="39" t="str">
        <f>IF('Articles'!A175="","",'Articles'!A175)</f>
        <v/>
      </c>
      <c r="B175" s="39" t="str">
        <f>IF(A175="","",'Articles'!B175&amp;"")</f>
        <v/>
      </c>
      <c r="C175" s="39" t="str">
        <f>IF(A175="","",'Articles'!D175&amp;"")</f>
        <v/>
      </c>
      <c r="D175" s="39" t="str">
        <f>IF(A175="","",ROUND(N('Articles'!H175)+SUMIFS(mv_qty,mv_ref,A175,mv_type,"Entrée",mv_date,"&lt;"&amp;$E$1)-SUMIFS(mv_qty,mv_ref,A175,mv_type,"Sortie",mv_date,"&lt;"&amp;$E$1),6))</f>
        <v/>
      </c>
      <c r="E175" s="39" t="str">
        <f>IF(A175="","",SUMIFS(mv_qty,mv_ref,A175,mv_type,"Entrée",mv_date,"&gt;="&amp;$E$1,mv_date,"&lt;="&amp;$G$1))</f>
        <v/>
      </c>
      <c r="F175" s="39" t="str">
        <f>IF(A175="","",SUMIFS(mv_qty,mv_ref,A175,mv_type,"Sortie",mv_date,"&gt;="&amp;$E$1,mv_date,"&lt;="&amp;$G$1))</f>
        <v/>
      </c>
      <c r="G175" s="39" t="str">
        <f>IF(A175="","",ROUND(D175+E175-F175,6))</f>
        <v/>
      </c>
      <c r="H175" s="40" t="str">
        <f>IF(A175="","",G175*N('Articles'!G175))</f>
        <v/>
      </c>
    </row>
    <row r="176">
      <c r="A176" s="39" t="str">
        <f>IF('Articles'!A176="","",'Articles'!A176)</f>
        <v/>
      </c>
      <c r="B176" s="39" t="str">
        <f>IF(A176="","",'Articles'!B176&amp;"")</f>
        <v/>
      </c>
      <c r="C176" s="39" t="str">
        <f>IF(A176="","",'Articles'!D176&amp;"")</f>
        <v/>
      </c>
      <c r="D176" s="39" t="str">
        <f>IF(A176="","",ROUND(N('Articles'!H176)+SUMIFS(mv_qty,mv_ref,A176,mv_type,"Entrée",mv_date,"&lt;"&amp;$E$1)-SUMIFS(mv_qty,mv_ref,A176,mv_type,"Sortie",mv_date,"&lt;"&amp;$E$1),6))</f>
        <v/>
      </c>
      <c r="E176" s="39" t="str">
        <f>IF(A176="","",SUMIFS(mv_qty,mv_ref,A176,mv_type,"Entrée",mv_date,"&gt;="&amp;$E$1,mv_date,"&lt;="&amp;$G$1))</f>
        <v/>
      </c>
      <c r="F176" s="39" t="str">
        <f>IF(A176="","",SUMIFS(mv_qty,mv_ref,A176,mv_type,"Sortie",mv_date,"&gt;="&amp;$E$1,mv_date,"&lt;="&amp;$G$1))</f>
        <v/>
      </c>
      <c r="G176" s="39" t="str">
        <f>IF(A176="","",ROUND(D176+E176-F176,6))</f>
        <v/>
      </c>
      <c r="H176" s="40" t="str">
        <f>IF(A176="","",G176*N('Articles'!G176))</f>
        <v/>
      </c>
    </row>
    <row r="177">
      <c r="A177" s="39" t="str">
        <f>IF('Articles'!A177="","",'Articles'!A177)</f>
        <v/>
      </c>
      <c r="B177" s="39" t="str">
        <f>IF(A177="","",'Articles'!B177&amp;"")</f>
        <v/>
      </c>
      <c r="C177" s="39" t="str">
        <f>IF(A177="","",'Articles'!D177&amp;"")</f>
        <v/>
      </c>
      <c r="D177" s="39" t="str">
        <f>IF(A177="","",ROUND(N('Articles'!H177)+SUMIFS(mv_qty,mv_ref,A177,mv_type,"Entrée",mv_date,"&lt;"&amp;$E$1)-SUMIFS(mv_qty,mv_ref,A177,mv_type,"Sortie",mv_date,"&lt;"&amp;$E$1),6))</f>
        <v/>
      </c>
      <c r="E177" s="39" t="str">
        <f>IF(A177="","",SUMIFS(mv_qty,mv_ref,A177,mv_type,"Entrée",mv_date,"&gt;="&amp;$E$1,mv_date,"&lt;="&amp;$G$1))</f>
        <v/>
      </c>
      <c r="F177" s="39" t="str">
        <f>IF(A177="","",SUMIFS(mv_qty,mv_ref,A177,mv_type,"Sortie",mv_date,"&gt;="&amp;$E$1,mv_date,"&lt;="&amp;$G$1))</f>
        <v/>
      </c>
      <c r="G177" s="39" t="str">
        <f>IF(A177="","",ROUND(D177+E177-F177,6))</f>
        <v/>
      </c>
      <c r="H177" s="40" t="str">
        <f>IF(A177="","",G177*N('Articles'!G177))</f>
        <v/>
      </c>
    </row>
    <row r="178">
      <c r="A178" s="39" t="str">
        <f>IF('Articles'!A178="","",'Articles'!A178)</f>
        <v/>
      </c>
      <c r="B178" s="39" t="str">
        <f>IF(A178="","",'Articles'!B178&amp;"")</f>
        <v/>
      </c>
      <c r="C178" s="39" t="str">
        <f>IF(A178="","",'Articles'!D178&amp;"")</f>
        <v/>
      </c>
      <c r="D178" s="39" t="str">
        <f>IF(A178="","",ROUND(N('Articles'!H178)+SUMIFS(mv_qty,mv_ref,A178,mv_type,"Entrée",mv_date,"&lt;"&amp;$E$1)-SUMIFS(mv_qty,mv_ref,A178,mv_type,"Sortie",mv_date,"&lt;"&amp;$E$1),6))</f>
        <v/>
      </c>
      <c r="E178" s="39" t="str">
        <f>IF(A178="","",SUMIFS(mv_qty,mv_ref,A178,mv_type,"Entrée",mv_date,"&gt;="&amp;$E$1,mv_date,"&lt;="&amp;$G$1))</f>
        <v/>
      </c>
      <c r="F178" s="39" t="str">
        <f>IF(A178="","",SUMIFS(mv_qty,mv_ref,A178,mv_type,"Sortie",mv_date,"&gt;="&amp;$E$1,mv_date,"&lt;="&amp;$G$1))</f>
        <v/>
      </c>
      <c r="G178" s="39" t="str">
        <f>IF(A178="","",ROUND(D178+E178-F178,6))</f>
        <v/>
      </c>
      <c r="H178" s="40" t="str">
        <f>IF(A178="","",G178*N('Articles'!G178))</f>
        <v/>
      </c>
    </row>
    <row r="179">
      <c r="A179" s="39" t="str">
        <f>IF('Articles'!A179="","",'Articles'!A179)</f>
        <v/>
      </c>
      <c r="B179" s="39" t="str">
        <f>IF(A179="","",'Articles'!B179&amp;"")</f>
        <v/>
      </c>
      <c r="C179" s="39" t="str">
        <f>IF(A179="","",'Articles'!D179&amp;"")</f>
        <v/>
      </c>
      <c r="D179" s="39" t="str">
        <f>IF(A179="","",ROUND(N('Articles'!H179)+SUMIFS(mv_qty,mv_ref,A179,mv_type,"Entrée",mv_date,"&lt;"&amp;$E$1)-SUMIFS(mv_qty,mv_ref,A179,mv_type,"Sortie",mv_date,"&lt;"&amp;$E$1),6))</f>
        <v/>
      </c>
      <c r="E179" s="39" t="str">
        <f>IF(A179="","",SUMIFS(mv_qty,mv_ref,A179,mv_type,"Entrée",mv_date,"&gt;="&amp;$E$1,mv_date,"&lt;="&amp;$G$1))</f>
        <v/>
      </c>
      <c r="F179" s="39" t="str">
        <f>IF(A179="","",SUMIFS(mv_qty,mv_ref,A179,mv_type,"Sortie",mv_date,"&gt;="&amp;$E$1,mv_date,"&lt;="&amp;$G$1))</f>
        <v/>
      </c>
      <c r="G179" s="39" t="str">
        <f>IF(A179="","",ROUND(D179+E179-F179,6))</f>
        <v/>
      </c>
      <c r="H179" s="40" t="str">
        <f>IF(A179="","",G179*N('Articles'!G179))</f>
        <v/>
      </c>
    </row>
    <row r="180">
      <c r="A180" s="39" t="str">
        <f>IF('Articles'!A180="","",'Articles'!A180)</f>
        <v/>
      </c>
      <c r="B180" s="39" t="str">
        <f>IF(A180="","",'Articles'!B180&amp;"")</f>
        <v/>
      </c>
      <c r="C180" s="39" t="str">
        <f>IF(A180="","",'Articles'!D180&amp;"")</f>
        <v/>
      </c>
      <c r="D180" s="39" t="str">
        <f>IF(A180="","",ROUND(N('Articles'!H180)+SUMIFS(mv_qty,mv_ref,A180,mv_type,"Entrée",mv_date,"&lt;"&amp;$E$1)-SUMIFS(mv_qty,mv_ref,A180,mv_type,"Sortie",mv_date,"&lt;"&amp;$E$1),6))</f>
        <v/>
      </c>
      <c r="E180" s="39" t="str">
        <f>IF(A180="","",SUMIFS(mv_qty,mv_ref,A180,mv_type,"Entrée",mv_date,"&gt;="&amp;$E$1,mv_date,"&lt;="&amp;$G$1))</f>
        <v/>
      </c>
      <c r="F180" s="39" t="str">
        <f>IF(A180="","",SUMIFS(mv_qty,mv_ref,A180,mv_type,"Sortie",mv_date,"&gt;="&amp;$E$1,mv_date,"&lt;="&amp;$G$1))</f>
        <v/>
      </c>
      <c r="G180" s="39" t="str">
        <f>IF(A180="","",ROUND(D180+E180-F180,6))</f>
        <v/>
      </c>
      <c r="H180" s="40" t="str">
        <f>IF(A180="","",G180*N('Articles'!G180))</f>
        <v/>
      </c>
    </row>
    <row r="181">
      <c r="A181" s="39" t="str">
        <f>IF('Articles'!A181="","",'Articles'!A181)</f>
        <v/>
      </c>
      <c r="B181" s="39" t="str">
        <f>IF(A181="","",'Articles'!B181&amp;"")</f>
        <v/>
      </c>
      <c r="C181" s="39" t="str">
        <f>IF(A181="","",'Articles'!D181&amp;"")</f>
        <v/>
      </c>
      <c r="D181" s="39" t="str">
        <f>IF(A181="","",ROUND(N('Articles'!H181)+SUMIFS(mv_qty,mv_ref,A181,mv_type,"Entrée",mv_date,"&lt;"&amp;$E$1)-SUMIFS(mv_qty,mv_ref,A181,mv_type,"Sortie",mv_date,"&lt;"&amp;$E$1),6))</f>
        <v/>
      </c>
      <c r="E181" s="39" t="str">
        <f>IF(A181="","",SUMIFS(mv_qty,mv_ref,A181,mv_type,"Entrée",mv_date,"&gt;="&amp;$E$1,mv_date,"&lt;="&amp;$G$1))</f>
        <v/>
      </c>
      <c r="F181" s="39" t="str">
        <f>IF(A181="","",SUMIFS(mv_qty,mv_ref,A181,mv_type,"Sortie",mv_date,"&gt;="&amp;$E$1,mv_date,"&lt;="&amp;$G$1))</f>
        <v/>
      </c>
      <c r="G181" s="39" t="str">
        <f>IF(A181="","",ROUND(D181+E181-F181,6))</f>
        <v/>
      </c>
      <c r="H181" s="40" t="str">
        <f>IF(A181="","",G181*N('Articles'!G181))</f>
        <v/>
      </c>
    </row>
    <row r="182">
      <c r="A182" s="39" t="str">
        <f>IF('Articles'!A182="","",'Articles'!A182)</f>
        <v/>
      </c>
      <c r="B182" s="39" t="str">
        <f>IF(A182="","",'Articles'!B182&amp;"")</f>
        <v/>
      </c>
      <c r="C182" s="39" t="str">
        <f>IF(A182="","",'Articles'!D182&amp;"")</f>
        <v/>
      </c>
      <c r="D182" s="39" t="str">
        <f>IF(A182="","",ROUND(N('Articles'!H182)+SUMIFS(mv_qty,mv_ref,A182,mv_type,"Entrée",mv_date,"&lt;"&amp;$E$1)-SUMIFS(mv_qty,mv_ref,A182,mv_type,"Sortie",mv_date,"&lt;"&amp;$E$1),6))</f>
        <v/>
      </c>
      <c r="E182" s="39" t="str">
        <f>IF(A182="","",SUMIFS(mv_qty,mv_ref,A182,mv_type,"Entrée",mv_date,"&gt;="&amp;$E$1,mv_date,"&lt;="&amp;$G$1))</f>
        <v/>
      </c>
      <c r="F182" s="39" t="str">
        <f>IF(A182="","",SUMIFS(mv_qty,mv_ref,A182,mv_type,"Sortie",mv_date,"&gt;="&amp;$E$1,mv_date,"&lt;="&amp;$G$1))</f>
        <v/>
      </c>
      <c r="G182" s="39" t="str">
        <f>IF(A182="","",ROUND(D182+E182-F182,6))</f>
        <v/>
      </c>
      <c r="H182" s="40" t="str">
        <f>IF(A182="","",G182*N('Articles'!G182))</f>
        <v/>
      </c>
    </row>
    <row r="183">
      <c r="A183" s="39" t="str">
        <f>IF('Articles'!A183="","",'Articles'!A183)</f>
        <v/>
      </c>
      <c r="B183" s="39" t="str">
        <f>IF(A183="","",'Articles'!B183&amp;"")</f>
        <v/>
      </c>
      <c r="C183" s="39" t="str">
        <f>IF(A183="","",'Articles'!D183&amp;"")</f>
        <v/>
      </c>
      <c r="D183" s="39" t="str">
        <f>IF(A183="","",ROUND(N('Articles'!H183)+SUMIFS(mv_qty,mv_ref,A183,mv_type,"Entrée",mv_date,"&lt;"&amp;$E$1)-SUMIFS(mv_qty,mv_ref,A183,mv_type,"Sortie",mv_date,"&lt;"&amp;$E$1),6))</f>
        <v/>
      </c>
      <c r="E183" s="39" t="str">
        <f>IF(A183="","",SUMIFS(mv_qty,mv_ref,A183,mv_type,"Entrée",mv_date,"&gt;="&amp;$E$1,mv_date,"&lt;="&amp;$G$1))</f>
        <v/>
      </c>
      <c r="F183" s="39" t="str">
        <f>IF(A183="","",SUMIFS(mv_qty,mv_ref,A183,mv_type,"Sortie",mv_date,"&gt;="&amp;$E$1,mv_date,"&lt;="&amp;$G$1))</f>
        <v/>
      </c>
      <c r="G183" s="39" t="str">
        <f>IF(A183="","",ROUND(D183+E183-F183,6))</f>
        <v/>
      </c>
      <c r="H183" s="40" t="str">
        <f>IF(A183="","",G183*N('Articles'!G183))</f>
        <v/>
      </c>
    </row>
    <row r="184">
      <c r="A184" s="39" t="str">
        <f>IF('Articles'!A184="","",'Articles'!A184)</f>
        <v/>
      </c>
      <c r="B184" s="39" t="str">
        <f>IF(A184="","",'Articles'!B184&amp;"")</f>
        <v/>
      </c>
      <c r="C184" s="39" t="str">
        <f>IF(A184="","",'Articles'!D184&amp;"")</f>
        <v/>
      </c>
      <c r="D184" s="39" t="str">
        <f>IF(A184="","",ROUND(N('Articles'!H184)+SUMIFS(mv_qty,mv_ref,A184,mv_type,"Entrée",mv_date,"&lt;"&amp;$E$1)-SUMIFS(mv_qty,mv_ref,A184,mv_type,"Sortie",mv_date,"&lt;"&amp;$E$1),6))</f>
        <v/>
      </c>
      <c r="E184" s="39" t="str">
        <f>IF(A184="","",SUMIFS(mv_qty,mv_ref,A184,mv_type,"Entrée",mv_date,"&gt;="&amp;$E$1,mv_date,"&lt;="&amp;$G$1))</f>
        <v/>
      </c>
      <c r="F184" s="39" t="str">
        <f>IF(A184="","",SUMIFS(mv_qty,mv_ref,A184,mv_type,"Sortie",mv_date,"&gt;="&amp;$E$1,mv_date,"&lt;="&amp;$G$1))</f>
        <v/>
      </c>
      <c r="G184" s="39" t="str">
        <f>IF(A184="","",ROUND(D184+E184-F184,6))</f>
        <v/>
      </c>
      <c r="H184" s="40" t="str">
        <f>IF(A184="","",G184*N('Articles'!G184))</f>
        <v/>
      </c>
    </row>
    <row r="185">
      <c r="A185" s="39" t="str">
        <f>IF('Articles'!A185="","",'Articles'!A185)</f>
        <v/>
      </c>
      <c r="B185" s="39" t="str">
        <f>IF(A185="","",'Articles'!B185&amp;"")</f>
        <v/>
      </c>
      <c r="C185" s="39" t="str">
        <f>IF(A185="","",'Articles'!D185&amp;"")</f>
        <v/>
      </c>
      <c r="D185" s="39" t="str">
        <f>IF(A185="","",ROUND(N('Articles'!H185)+SUMIFS(mv_qty,mv_ref,A185,mv_type,"Entrée",mv_date,"&lt;"&amp;$E$1)-SUMIFS(mv_qty,mv_ref,A185,mv_type,"Sortie",mv_date,"&lt;"&amp;$E$1),6))</f>
        <v/>
      </c>
      <c r="E185" s="39" t="str">
        <f>IF(A185="","",SUMIFS(mv_qty,mv_ref,A185,mv_type,"Entrée",mv_date,"&gt;="&amp;$E$1,mv_date,"&lt;="&amp;$G$1))</f>
        <v/>
      </c>
      <c r="F185" s="39" t="str">
        <f>IF(A185="","",SUMIFS(mv_qty,mv_ref,A185,mv_type,"Sortie",mv_date,"&gt;="&amp;$E$1,mv_date,"&lt;="&amp;$G$1))</f>
        <v/>
      </c>
      <c r="G185" s="39" t="str">
        <f>IF(A185="","",ROUND(D185+E185-F185,6))</f>
        <v/>
      </c>
      <c r="H185" s="40" t="str">
        <f>IF(A185="","",G185*N('Articles'!G185))</f>
        <v/>
      </c>
    </row>
    <row r="186">
      <c r="A186" s="39" t="str">
        <f>IF('Articles'!A186="","",'Articles'!A186)</f>
        <v/>
      </c>
      <c r="B186" s="39" t="str">
        <f>IF(A186="","",'Articles'!B186&amp;"")</f>
        <v/>
      </c>
      <c r="C186" s="39" t="str">
        <f>IF(A186="","",'Articles'!D186&amp;"")</f>
        <v/>
      </c>
      <c r="D186" s="39" t="str">
        <f>IF(A186="","",ROUND(N('Articles'!H186)+SUMIFS(mv_qty,mv_ref,A186,mv_type,"Entrée",mv_date,"&lt;"&amp;$E$1)-SUMIFS(mv_qty,mv_ref,A186,mv_type,"Sortie",mv_date,"&lt;"&amp;$E$1),6))</f>
        <v/>
      </c>
      <c r="E186" s="39" t="str">
        <f>IF(A186="","",SUMIFS(mv_qty,mv_ref,A186,mv_type,"Entrée",mv_date,"&gt;="&amp;$E$1,mv_date,"&lt;="&amp;$G$1))</f>
        <v/>
      </c>
      <c r="F186" s="39" t="str">
        <f>IF(A186="","",SUMIFS(mv_qty,mv_ref,A186,mv_type,"Sortie",mv_date,"&gt;="&amp;$E$1,mv_date,"&lt;="&amp;$G$1))</f>
        <v/>
      </c>
      <c r="G186" s="39" t="str">
        <f>IF(A186="","",ROUND(D186+E186-F186,6))</f>
        <v/>
      </c>
      <c r="H186" s="40" t="str">
        <f>IF(A186="","",G186*N('Articles'!G186))</f>
        <v/>
      </c>
    </row>
    <row r="187">
      <c r="A187" s="39" t="str">
        <f>IF('Articles'!A187="","",'Articles'!A187)</f>
        <v/>
      </c>
      <c r="B187" s="39" t="str">
        <f>IF(A187="","",'Articles'!B187&amp;"")</f>
        <v/>
      </c>
      <c r="C187" s="39" t="str">
        <f>IF(A187="","",'Articles'!D187&amp;"")</f>
        <v/>
      </c>
      <c r="D187" s="39" t="str">
        <f>IF(A187="","",ROUND(N('Articles'!H187)+SUMIFS(mv_qty,mv_ref,A187,mv_type,"Entrée",mv_date,"&lt;"&amp;$E$1)-SUMIFS(mv_qty,mv_ref,A187,mv_type,"Sortie",mv_date,"&lt;"&amp;$E$1),6))</f>
        <v/>
      </c>
      <c r="E187" s="39" t="str">
        <f>IF(A187="","",SUMIFS(mv_qty,mv_ref,A187,mv_type,"Entrée",mv_date,"&gt;="&amp;$E$1,mv_date,"&lt;="&amp;$G$1))</f>
        <v/>
      </c>
      <c r="F187" s="39" t="str">
        <f>IF(A187="","",SUMIFS(mv_qty,mv_ref,A187,mv_type,"Sortie",mv_date,"&gt;="&amp;$E$1,mv_date,"&lt;="&amp;$G$1))</f>
        <v/>
      </c>
      <c r="G187" s="39" t="str">
        <f>IF(A187="","",ROUND(D187+E187-F187,6))</f>
        <v/>
      </c>
      <c r="H187" s="40" t="str">
        <f>IF(A187="","",G187*N('Articles'!G187))</f>
        <v/>
      </c>
    </row>
    <row r="188">
      <c r="A188" s="39" t="str">
        <f>IF('Articles'!A188="","",'Articles'!A188)</f>
        <v/>
      </c>
      <c r="B188" s="39" t="str">
        <f>IF(A188="","",'Articles'!B188&amp;"")</f>
        <v/>
      </c>
      <c r="C188" s="39" t="str">
        <f>IF(A188="","",'Articles'!D188&amp;"")</f>
        <v/>
      </c>
      <c r="D188" s="39" t="str">
        <f>IF(A188="","",ROUND(N('Articles'!H188)+SUMIFS(mv_qty,mv_ref,A188,mv_type,"Entrée",mv_date,"&lt;"&amp;$E$1)-SUMIFS(mv_qty,mv_ref,A188,mv_type,"Sortie",mv_date,"&lt;"&amp;$E$1),6))</f>
        <v/>
      </c>
      <c r="E188" s="39" t="str">
        <f>IF(A188="","",SUMIFS(mv_qty,mv_ref,A188,mv_type,"Entrée",mv_date,"&gt;="&amp;$E$1,mv_date,"&lt;="&amp;$G$1))</f>
        <v/>
      </c>
      <c r="F188" s="39" t="str">
        <f>IF(A188="","",SUMIFS(mv_qty,mv_ref,A188,mv_type,"Sortie",mv_date,"&gt;="&amp;$E$1,mv_date,"&lt;="&amp;$G$1))</f>
        <v/>
      </c>
      <c r="G188" s="39" t="str">
        <f>IF(A188="","",ROUND(D188+E188-F188,6))</f>
        <v/>
      </c>
      <c r="H188" s="40" t="str">
        <f>IF(A188="","",G188*N('Articles'!G188))</f>
        <v/>
      </c>
    </row>
    <row r="189">
      <c r="A189" s="39" t="str">
        <f>IF('Articles'!A189="","",'Articles'!A189)</f>
        <v/>
      </c>
      <c r="B189" s="39" t="str">
        <f>IF(A189="","",'Articles'!B189&amp;"")</f>
        <v/>
      </c>
      <c r="C189" s="39" t="str">
        <f>IF(A189="","",'Articles'!D189&amp;"")</f>
        <v/>
      </c>
      <c r="D189" s="39" t="str">
        <f>IF(A189="","",ROUND(N('Articles'!H189)+SUMIFS(mv_qty,mv_ref,A189,mv_type,"Entrée",mv_date,"&lt;"&amp;$E$1)-SUMIFS(mv_qty,mv_ref,A189,mv_type,"Sortie",mv_date,"&lt;"&amp;$E$1),6))</f>
        <v/>
      </c>
      <c r="E189" s="39" t="str">
        <f>IF(A189="","",SUMIFS(mv_qty,mv_ref,A189,mv_type,"Entrée",mv_date,"&gt;="&amp;$E$1,mv_date,"&lt;="&amp;$G$1))</f>
        <v/>
      </c>
      <c r="F189" s="39" t="str">
        <f>IF(A189="","",SUMIFS(mv_qty,mv_ref,A189,mv_type,"Sortie",mv_date,"&gt;="&amp;$E$1,mv_date,"&lt;="&amp;$G$1))</f>
        <v/>
      </c>
      <c r="G189" s="39" t="str">
        <f>IF(A189="","",ROUND(D189+E189-F189,6))</f>
        <v/>
      </c>
      <c r="H189" s="40" t="str">
        <f>IF(A189="","",G189*N('Articles'!G189))</f>
        <v/>
      </c>
    </row>
    <row r="190">
      <c r="A190" s="39" t="str">
        <f>IF('Articles'!A190="","",'Articles'!A190)</f>
        <v/>
      </c>
      <c r="B190" s="39" t="str">
        <f>IF(A190="","",'Articles'!B190&amp;"")</f>
        <v/>
      </c>
      <c r="C190" s="39" t="str">
        <f>IF(A190="","",'Articles'!D190&amp;"")</f>
        <v/>
      </c>
      <c r="D190" s="39" t="str">
        <f>IF(A190="","",ROUND(N('Articles'!H190)+SUMIFS(mv_qty,mv_ref,A190,mv_type,"Entrée",mv_date,"&lt;"&amp;$E$1)-SUMIFS(mv_qty,mv_ref,A190,mv_type,"Sortie",mv_date,"&lt;"&amp;$E$1),6))</f>
        <v/>
      </c>
      <c r="E190" s="39" t="str">
        <f>IF(A190="","",SUMIFS(mv_qty,mv_ref,A190,mv_type,"Entrée",mv_date,"&gt;="&amp;$E$1,mv_date,"&lt;="&amp;$G$1))</f>
        <v/>
      </c>
      <c r="F190" s="39" t="str">
        <f>IF(A190="","",SUMIFS(mv_qty,mv_ref,A190,mv_type,"Sortie",mv_date,"&gt;="&amp;$E$1,mv_date,"&lt;="&amp;$G$1))</f>
        <v/>
      </c>
      <c r="G190" s="39" t="str">
        <f>IF(A190="","",ROUND(D190+E190-F190,6))</f>
        <v/>
      </c>
      <c r="H190" s="40" t="str">
        <f>IF(A190="","",G190*N('Articles'!G190))</f>
        <v/>
      </c>
    </row>
    <row r="191">
      <c r="A191" s="39" t="str">
        <f>IF('Articles'!A191="","",'Articles'!A191)</f>
        <v/>
      </c>
      <c r="B191" s="39" t="str">
        <f>IF(A191="","",'Articles'!B191&amp;"")</f>
        <v/>
      </c>
      <c r="C191" s="39" t="str">
        <f>IF(A191="","",'Articles'!D191&amp;"")</f>
        <v/>
      </c>
      <c r="D191" s="39" t="str">
        <f>IF(A191="","",ROUND(N('Articles'!H191)+SUMIFS(mv_qty,mv_ref,A191,mv_type,"Entrée",mv_date,"&lt;"&amp;$E$1)-SUMIFS(mv_qty,mv_ref,A191,mv_type,"Sortie",mv_date,"&lt;"&amp;$E$1),6))</f>
        <v/>
      </c>
      <c r="E191" s="39" t="str">
        <f>IF(A191="","",SUMIFS(mv_qty,mv_ref,A191,mv_type,"Entrée",mv_date,"&gt;="&amp;$E$1,mv_date,"&lt;="&amp;$G$1))</f>
        <v/>
      </c>
      <c r="F191" s="39" t="str">
        <f>IF(A191="","",SUMIFS(mv_qty,mv_ref,A191,mv_type,"Sortie",mv_date,"&gt;="&amp;$E$1,mv_date,"&lt;="&amp;$G$1))</f>
        <v/>
      </c>
      <c r="G191" s="39" t="str">
        <f>IF(A191="","",ROUND(D191+E191-F191,6))</f>
        <v/>
      </c>
      <c r="H191" s="40" t="str">
        <f>IF(A191="","",G191*N('Articles'!G191))</f>
        <v/>
      </c>
    </row>
    <row r="192">
      <c r="A192" s="39" t="str">
        <f>IF('Articles'!A192="","",'Articles'!A192)</f>
        <v/>
      </c>
      <c r="B192" s="39" t="str">
        <f>IF(A192="","",'Articles'!B192&amp;"")</f>
        <v/>
      </c>
      <c r="C192" s="39" t="str">
        <f>IF(A192="","",'Articles'!D192&amp;"")</f>
        <v/>
      </c>
      <c r="D192" s="39" t="str">
        <f>IF(A192="","",ROUND(N('Articles'!H192)+SUMIFS(mv_qty,mv_ref,A192,mv_type,"Entrée",mv_date,"&lt;"&amp;$E$1)-SUMIFS(mv_qty,mv_ref,A192,mv_type,"Sortie",mv_date,"&lt;"&amp;$E$1),6))</f>
        <v/>
      </c>
      <c r="E192" s="39" t="str">
        <f>IF(A192="","",SUMIFS(mv_qty,mv_ref,A192,mv_type,"Entrée",mv_date,"&gt;="&amp;$E$1,mv_date,"&lt;="&amp;$G$1))</f>
        <v/>
      </c>
      <c r="F192" s="39" t="str">
        <f>IF(A192="","",SUMIFS(mv_qty,mv_ref,A192,mv_type,"Sortie",mv_date,"&gt;="&amp;$E$1,mv_date,"&lt;="&amp;$G$1))</f>
        <v/>
      </c>
      <c r="G192" s="39" t="str">
        <f>IF(A192="","",ROUND(D192+E192-F192,6))</f>
        <v/>
      </c>
      <c r="H192" s="40" t="str">
        <f>IF(A192="","",G192*N('Articles'!G192))</f>
        <v/>
      </c>
    </row>
    <row r="193">
      <c r="A193" s="39" t="str">
        <f>IF('Articles'!A193="","",'Articles'!A193)</f>
        <v/>
      </c>
      <c r="B193" s="39" t="str">
        <f>IF(A193="","",'Articles'!B193&amp;"")</f>
        <v/>
      </c>
      <c r="C193" s="39" t="str">
        <f>IF(A193="","",'Articles'!D193&amp;"")</f>
        <v/>
      </c>
      <c r="D193" s="39" t="str">
        <f>IF(A193="","",ROUND(N('Articles'!H193)+SUMIFS(mv_qty,mv_ref,A193,mv_type,"Entrée",mv_date,"&lt;"&amp;$E$1)-SUMIFS(mv_qty,mv_ref,A193,mv_type,"Sortie",mv_date,"&lt;"&amp;$E$1),6))</f>
        <v/>
      </c>
      <c r="E193" s="39" t="str">
        <f>IF(A193="","",SUMIFS(mv_qty,mv_ref,A193,mv_type,"Entrée",mv_date,"&gt;="&amp;$E$1,mv_date,"&lt;="&amp;$G$1))</f>
        <v/>
      </c>
      <c r="F193" s="39" t="str">
        <f>IF(A193="","",SUMIFS(mv_qty,mv_ref,A193,mv_type,"Sortie",mv_date,"&gt;="&amp;$E$1,mv_date,"&lt;="&amp;$G$1))</f>
        <v/>
      </c>
      <c r="G193" s="39" t="str">
        <f>IF(A193="","",ROUND(D193+E193-F193,6))</f>
        <v/>
      </c>
      <c r="H193" s="40" t="str">
        <f>IF(A193="","",G193*N('Articles'!G193))</f>
        <v/>
      </c>
    </row>
    <row r="194">
      <c r="A194" s="39" t="str">
        <f>IF('Articles'!A194="","",'Articles'!A194)</f>
        <v/>
      </c>
      <c r="B194" s="39" t="str">
        <f>IF(A194="","",'Articles'!B194&amp;"")</f>
        <v/>
      </c>
      <c r="C194" s="39" t="str">
        <f>IF(A194="","",'Articles'!D194&amp;"")</f>
        <v/>
      </c>
      <c r="D194" s="39" t="str">
        <f>IF(A194="","",ROUND(N('Articles'!H194)+SUMIFS(mv_qty,mv_ref,A194,mv_type,"Entrée",mv_date,"&lt;"&amp;$E$1)-SUMIFS(mv_qty,mv_ref,A194,mv_type,"Sortie",mv_date,"&lt;"&amp;$E$1),6))</f>
        <v/>
      </c>
      <c r="E194" s="39" t="str">
        <f>IF(A194="","",SUMIFS(mv_qty,mv_ref,A194,mv_type,"Entrée",mv_date,"&gt;="&amp;$E$1,mv_date,"&lt;="&amp;$G$1))</f>
        <v/>
      </c>
      <c r="F194" s="39" t="str">
        <f>IF(A194="","",SUMIFS(mv_qty,mv_ref,A194,mv_type,"Sortie",mv_date,"&gt;="&amp;$E$1,mv_date,"&lt;="&amp;$G$1))</f>
        <v/>
      </c>
      <c r="G194" s="39" t="str">
        <f>IF(A194="","",ROUND(D194+E194-F194,6))</f>
        <v/>
      </c>
      <c r="H194" s="40" t="str">
        <f>IF(A194="","",G194*N('Articles'!G194))</f>
        <v/>
      </c>
    </row>
    <row r="195">
      <c r="A195" s="39" t="str">
        <f>IF('Articles'!A195="","",'Articles'!A195)</f>
        <v/>
      </c>
      <c r="B195" s="39" t="str">
        <f>IF(A195="","",'Articles'!B195&amp;"")</f>
        <v/>
      </c>
      <c r="C195" s="39" t="str">
        <f>IF(A195="","",'Articles'!D195&amp;"")</f>
        <v/>
      </c>
      <c r="D195" s="39" t="str">
        <f>IF(A195="","",ROUND(N('Articles'!H195)+SUMIFS(mv_qty,mv_ref,A195,mv_type,"Entrée",mv_date,"&lt;"&amp;$E$1)-SUMIFS(mv_qty,mv_ref,A195,mv_type,"Sortie",mv_date,"&lt;"&amp;$E$1),6))</f>
        <v/>
      </c>
      <c r="E195" s="39" t="str">
        <f>IF(A195="","",SUMIFS(mv_qty,mv_ref,A195,mv_type,"Entrée",mv_date,"&gt;="&amp;$E$1,mv_date,"&lt;="&amp;$G$1))</f>
        <v/>
      </c>
      <c r="F195" s="39" t="str">
        <f>IF(A195="","",SUMIFS(mv_qty,mv_ref,A195,mv_type,"Sortie",mv_date,"&gt;="&amp;$E$1,mv_date,"&lt;="&amp;$G$1))</f>
        <v/>
      </c>
      <c r="G195" s="39" t="str">
        <f>IF(A195="","",ROUND(D195+E195-F195,6))</f>
        <v/>
      </c>
      <c r="H195" s="40" t="str">
        <f>IF(A195="","",G195*N('Articles'!G195))</f>
        <v/>
      </c>
    </row>
    <row r="196">
      <c r="A196" s="39" t="str">
        <f>IF('Articles'!A196="","",'Articles'!A196)</f>
        <v/>
      </c>
      <c r="B196" s="39" t="str">
        <f>IF(A196="","",'Articles'!B196&amp;"")</f>
        <v/>
      </c>
      <c r="C196" s="39" t="str">
        <f>IF(A196="","",'Articles'!D196&amp;"")</f>
        <v/>
      </c>
      <c r="D196" s="39" t="str">
        <f>IF(A196="","",ROUND(N('Articles'!H196)+SUMIFS(mv_qty,mv_ref,A196,mv_type,"Entrée",mv_date,"&lt;"&amp;$E$1)-SUMIFS(mv_qty,mv_ref,A196,mv_type,"Sortie",mv_date,"&lt;"&amp;$E$1),6))</f>
        <v/>
      </c>
      <c r="E196" s="39" t="str">
        <f>IF(A196="","",SUMIFS(mv_qty,mv_ref,A196,mv_type,"Entrée",mv_date,"&gt;="&amp;$E$1,mv_date,"&lt;="&amp;$G$1))</f>
        <v/>
      </c>
      <c r="F196" s="39" t="str">
        <f>IF(A196="","",SUMIFS(mv_qty,mv_ref,A196,mv_type,"Sortie",mv_date,"&gt;="&amp;$E$1,mv_date,"&lt;="&amp;$G$1))</f>
        <v/>
      </c>
      <c r="G196" s="39" t="str">
        <f>IF(A196="","",ROUND(D196+E196-F196,6))</f>
        <v/>
      </c>
      <c r="H196" s="40" t="str">
        <f>IF(A196="","",G196*N('Articles'!G196))</f>
        <v/>
      </c>
    </row>
    <row r="197">
      <c r="A197" s="39" t="str">
        <f>IF('Articles'!A197="","",'Articles'!A197)</f>
        <v/>
      </c>
      <c r="B197" s="39" t="str">
        <f>IF(A197="","",'Articles'!B197&amp;"")</f>
        <v/>
      </c>
      <c r="C197" s="39" t="str">
        <f>IF(A197="","",'Articles'!D197&amp;"")</f>
        <v/>
      </c>
      <c r="D197" s="39" t="str">
        <f>IF(A197="","",ROUND(N('Articles'!H197)+SUMIFS(mv_qty,mv_ref,A197,mv_type,"Entrée",mv_date,"&lt;"&amp;$E$1)-SUMIFS(mv_qty,mv_ref,A197,mv_type,"Sortie",mv_date,"&lt;"&amp;$E$1),6))</f>
        <v/>
      </c>
      <c r="E197" s="39" t="str">
        <f>IF(A197="","",SUMIFS(mv_qty,mv_ref,A197,mv_type,"Entrée",mv_date,"&gt;="&amp;$E$1,mv_date,"&lt;="&amp;$G$1))</f>
        <v/>
      </c>
      <c r="F197" s="39" t="str">
        <f>IF(A197="","",SUMIFS(mv_qty,mv_ref,A197,mv_type,"Sortie",mv_date,"&gt;="&amp;$E$1,mv_date,"&lt;="&amp;$G$1))</f>
        <v/>
      </c>
      <c r="G197" s="39" t="str">
        <f>IF(A197="","",ROUND(D197+E197-F197,6))</f>
        <v/>
      </c>
      <c r="H197" s="40" t="str">
        <f>IF(A197="","",G197*N('Articles'!G197))</f>
        <v/>
      </c>
    </row>
    <row r="198">
      <c r="A198" s="39" t="str">
        <f>IF('Articles'!A198="","",'Articles'!A198)</f>
        <v/>
      </c>
      <c r="B198" s="39" t="str">
        <f>IF(A198="","",'Articles'!B198&amp;"")</f>
        <v/>
      </c>
      <c r="C198" s="39" t="str">
        <f>IF(A198="","",'Articles'!D198&amp;"")</f>
        <v/>
      </c>
      <c r="D198" s="39" t="str">
        <f>IF(A198="","",ROUND(N('Articles'!H198)+SUMIFS(mv_qty,mv_ref,A198,mv_type,"Entrée",mv_date,"&lt;"&amp;$E$1)-SUMIFS(mv_qty,mv_ref,A198,mv_type,"Sortie",mv_date,"&lt;"&amp;$E$1),6))</f>
        <v/>
      </c>
      <c r="E198" s="39" t="str">
        <f>IF(A198="","",SUMIFS(mv_qty,mv_ref,A198,mv_type,"Entrée",mv_date,"&gt;="&amp;$E$1,mv_date,"&lt;="&amp;$G$1))</f>
        <v/>
      </c>
      <c r="F198" s="39" t="str">
        <f>IF(A198="","",SUMIFS(mv_qty,mv_ref,A198,mv_type,"Sortie",mv_date,"&gt;="&amp;$E$1,mv_date,"&lt;="&amp;$G$1))</f>
        <v/>
      </c>
      <c r="G198" s="39" t="str">
        <f>IF(A198="","",ROUND(D198+E198-F198,6))</f>
        <v/>
      </c>
      <c r="H198" s="40" t="str">
        <f>IF(A198="","",G198*N('Articles'!G198))</f>
        <v/>
      </c>
    </row>
    <row r="199">
      <c r="A199" s="39" t="str">
        <f>IF('Articles'!A199="","",'Articles'!A199)</f>
        <v/>
      </c>
      <c r="B199" s="39" t="str">
        <f>IF(A199="","",'Articles'!B199&amp;"")</f>
        <v/>
      </c>
      <c r="C199" s="39" t="str">
        <f>IF(A199="","",'Articles'!D199&amp;"")</f>
        <v/>
      </c>
      <c r="D199" s="39" t="str">
        <f>IF(A199="","",ROUND(N('Articles'!H199)+SUMIFS(mv_qty,mv_ref,A199,mv_type,"Entrée",mv_date,"&lt;"&amp;$E$1)-SUMIFS(mv_qty,mv_ref,A199,mv_type,"Sortie",mv_date,"&lt;"&amp;$E$1),6))</f>
        <v/>
      </c>
      <c r="E199" s="39" t="str">
        <f>IF(A199="","",SUMIFS(mv_qty,mv_ref,A199,mv_type,"Entrée",mv_date,"&gt;="&amp;$E$1,mv_date,"&lt;="&amp;$G$1))</f>
        <v/>
      </c>
      <c r="F199" s="39" t="str">
        <f>IF(A199="","",SUMIFS(mv_qty,mv_ref,A199,mv_type,"Sortie",mv_date,"&gt;="&amp;$E$1,mv_date,"&lt;="&amp;$G$1))</f>
        <v/>
      </c>
      <c r="G199" s="39" t="str">
        <f>IF(A199="","",ROUND(D199+E199-F199,6))</f>
        <v/>
      </c>
      <c r="H199" s="40" t="str">
        <f>IF(A199="","",G199*N('Articles'!G199))</f>
        <v/>
      </c>
    </row>
    <row r="200">
      <c r="A200" s="39" t="str">
        <f>IF('Articles'!A200="","",'Articles'!A200)</f>
        <v/>
      </c>
      <c r="B200" s="39" t="str">
        <f>IF(A200="","",'Articles'!B200&amp;"")</f>
        <v/>
      </c>
      <c r="C200" s="39" t="str">
        <f>IF(A200="","",'Articles'!D200&amp;"")</f>
        <v/>
      </c>
      <c r="D200" s="39" t="str">
        <f>IF(A200="","",ROUND(N('Articles'!H200)+SUMIFS(mv_qty,mv_ref,A200,mv_type,"Entrée",mv_date,"&lt;"&amp;$E$1)-SUMIFS(mv_qty,mv_ref,A200,mv_type,"Sortie",mv_date,"&lt;"&amp;$E$1),6))</f>
        <v/>
      </c>
      <c r="E200" s="39" t="str">
        <f>IF(A200="","",SUMIFS(mv_qty,mv_ref,A200,mv_type,"Entrée",mv_date,"&gt;="&amp;$E$1,mv_date,"&lt;="&amp;$G$1))</f>
        <v/>
      </c>
      <c r="F200" s="39" t="str">
        <f>IF(A200="","",SUMIFS(mv_qty,mv_ref,A200,mv_type,"Sortie",mv_date,"&gt;="&amp;$E$1,mv_date,"&lt;="&amp;$G$1))</f>
        <v/>
      </c>
      <c r="G200" s="39" t="str">
        <f>IF(A200="","",ROUND(D200+E200-F200,6))</f>
        <v/>
      </c>
      <c r="H200" s="40" t="str">
        <f>IF(A200="","",G200*N('Articles'!G200))</f>
        <v/>
      </c>
    </row>
    <row r="201">
      <c r="A201" s="39" t="str">
        <f>IF('Articles'!A201="","",'Articles'!A201)</f>
        <v/>
      </c>
      <c r="B201" s="39" t="str">
        <f>IF(A201="","",'Articles'!B201&amp;"")</f>
        <v/>
      </c>
      <c r="C201" s="39" t="str">
        <f>IF(A201="","",'Articles'!D201&amp;"")</f>
        <v/>
      </c>
      <c r="D201" s="39" t="str">
        <f>IF(A201="","",ROUND(N('Articles'!H201)+SUMIFS(mv_qty,mv_ref,A201,mv_type,"Entrée",mv_date,"&lt;"&amp;$E$1)-SUMIFS(mv_qty,mv_ref,A201,mv_type,"Sortie",mv_date,"&lt;"&amp;$E$1),6))</f>
        <v/>
      </c>
      <c r="E201" s="39" t="str">
        <f>IF(A201="","",SUMIFS(mv_qty,mv_ref,A201,mv_type,"Entrée",mv_date,"&gt;="&amp;$E$1,mv_date,"&lt;="&amp;$G$1))</f>
        <v/>
      </c>
      <c r="F201" s="39" t="str">
        <f>IF(A201="","",SUMIFS(mv_qty,mv_ref,A201,mv_type,"Sortie",mv_date,"&gt;="&amp;$E$1,mv_date,"&lt;="&amp;$G$1))</f>
        <v/>
      </c>
      <c r="G201" s="39" t="str">
        <f>IF(A201="","",ROUND(D201+E201-F201,6))</f>
        <v/>
      </c>
      <c r="H201" s="40" t="str">
        <f>IF(A201="","",G201*N('Articles'!G201))</f>
        <v/>
      </c>
    </row>
    <row r="202">
      <c r="A202" s="39" t="str">
        <f>IF('Articles'!A202="","",'Articles'!A202)</f>
        <v/>
      </c>
      <c r="B202" s="39" t="str">
        <f>IF(A202="","",'Articles'!B202&amp;"")</f>
        <v/>
      </c>
      <c r="C202" s="39" t="str">
        <f>IF(A202="","",'Articles'!D202&amp;"")</f>
        <v/>
      </c>
      <c r="D202" s="39" t="str">
        <f>IF(A202="","",ROUND(N('Articles'!H202)+SUMIFS(mv_qty,mv_ref,A202,mv_type,"Entrée",mv_date,"&lt;"&amp;$E$1)-SUMIFS(mv_qty,mv_ref,A202,mv_type,"Sortie",mv_date,"&lt;"&amp;$E$1),6))</f>
        <v/>
      </c>
      <c r="E202" s="39" t="str">
        <f>IF(A202="","",SUMIFS(mv_qty,mv_ref,A202,mv_type,"Entrée",mv_date,"&gt;="&amp;$E$1,mv_date,"&lt;="&amp;$G$1))</f>
        <v/>
      </c>
      <c r="F202" s="39" t="str">
        <f>IF(A202="","",SUMIFS(mv_qty,mv_ref,A202,mv_type,"Sortie",mv_date,"&gt;="&amp;$E$1,mv_date,"&lt;="&amp;$G$1))</f>
        <v/>
      </c>
      <c r="G202" s="39" t="str">
        <f>IF(A202="","",ROUND(D202+E202-F202,6))</f>
        <v/>
      </c>
      <c r="H202" s="40" t="str">
        <f>IF(A202="","",G202*N('Articles'!G202))</f>
        <v/>
      </c>
    </row>
    <row r="203">
      <c r="A203" s="39" t="str">
        <f>IF('Articles'!A203="","",'Articles'!A203)</f>
        <v/>
      </c>
      <c r="B203" s="39" t="str">
        <f>IF(A203="","",'Articles'!B203&amp;"")</f>
        <v/>
      </c>
      <c r="C203" s="39" t="str">
        <f>IF(A203="","",'Articles'!D203&amp;"")</f>
        <v/>
      </c>
      <c r="D203" s="39" t="str">
        <f>IF(A203="","",ROUND(N('Articles'!H203)+SUMIFS(mv_qty,mv_ref,A203,mv_type,"Entrée",mv_date,"&lt;"&amp;$E$1)-SUMIFS(mv_qty,mv_ref,A203,mv_type,"Sortie",mv_date,"&lt;"&amp;$E$1),6))</f>
        <v/>
      </c>
      <c r="E203" s="39" t="str">
        <f>IF(A203="","",SUMIFS(mv_qty,mv_ref,A203,mv_type,"Entrée",mv_date,"&gt;="&amp;$E$1,mv_date,"&lt;="&amp;$G$1))</f>
        <v/>
      </c>
      <c r="F203" s="39" t="str">
        <f>IF(A203="","",SUMIFS(mv_qty,mv_ref,A203,mv_type,"Sortie",mv_date,"&gt;="&amp;$E$1,mv_date,"&lt;="&amp;$G$1))</f>
        <v/>
      </c>
      <c r="G203" s="39" t="str">
        <f>IF(A203="","",ROUND(D203+E203-F203,6))</f>
        <v/>
      </c>
      <c r="H203" s="40" t="str">
        <f>IF(A203="","",G203*N('Articles'!G203))</f>
        <v/>
      </c>
    </row>
    <row r="204">
      <c r="A204" s="39" t="str">
        <f>IF('Articles'!A204="","",'Articles'!A204)</f>
        <v/>
      </c>
      <c r="B204" s="39" t="str">
        <f>IF(A204="","",'Articles'!B204&amp;"")</f>
        <v/>
      </c>
      <c r="C204" s="39" t="str">
        <f>IF(A204="","",'Articles'!D204&amp;"")</f>
        <v/>
      </c>
      <c r="D204" s="39" t="str">
        <f>IF(A204="","",ROUND(N('Articles'!H204)+SUMIFS(mv_qty,mv_ref,A204,mv_type,"Entrée",mv_date,"&lt;"&amp;$E$1)-SUMIFS(mv_qty,mv_ref,A204,mv_type,"Sortie",mv_date,"&lt;"&amp;$E$1),6))</f>
        <v/>
      </c>
      <c r="E204" s="39" t="str">
        <f>IF(A204="","",SUMIFS(mv_qty,mv_ref,A204,mv_type,"Entrée",mv_date,"&gt;="&amp;$E$1,mv_date,"&lt;="&amp;$G$1))</f>
        <v/>
      </c>
      <c r="F204" s="39" t="str">
        <f>IF(A204="","",SUMIFS(mv_qty,mv_ref,A204,mv_type,"Sortie",mv_date,"&gt;="&amp;$E$1,mv_date,"&lt;="&amp;$G$1))</f>
        <v/>
      </c>
      <c r="G204" s="39" t="str">
        <f>IF(A204="","",ROUND(D204+E204-F204,6))</f>
        <v/>
      </c>
      <c r="H204" s="40" t="str">
        <f>IF(A204="","",G204*N('Articles'!G204))</f>
        <v/>
      </c>
    </row>
    <row r="205">
      <c r="A205" s="39" t="str">
        <f>IF('Articles'!A205="","",'Articles'!A205)</f>
        <v/>
      </c>
      <c r="B205" s="39" t="str">
        <f>IF(A205="","",'Articles'!B205&amp;"")</f>
        <v/>
      </c>
      <c r="C205" s="39" t="str">
        <f>IF(A205="","",'Articles'!D205&amp;"")</f>
        <v/>
      </c>
      <c r="D205" s="39" t="str">
        <f>IF(A205="","",ROUND(N('Articles'!H205)+SUMIFS(mv_qty,mv_ref,A205,mv_type,"Entrée",mv_date,"&lt;"&amp;$E$1)-SUMIFS(mv_qty,mv_ref,A205,mv_type,"Sortie",mv_date,"&lt;"&amp;$E$1),6))</f>
        <v/>
      </c>
      <c r="E205" s="39" t="str">
        <f>IF(A205="","",SUMIFS(mv_qty,mv_ref,A205,mv_type,"Entrée",mv_date,"&gt;="&amp;$E$1,mv_date,"&lt;="&amp;$G$1))</f>
        <v/>
      </c>
      <c r="F205" s="39" t="str">
        <f>IF(A205="","",SUMIFS(mv_qty,mv_ref,A205,mv_type,"Sortie",mv_date,"&gt;="&amp;$E$1,mv_date,"&lt;="&amp;$G$1))</f>
        <v/>
      </c>
      <c r="G205" s="39" t="str">
        <f>IF(A205="","",ROUND(D205+E205-F205,6))</f>
        <v/>
      </c>
      <c r="H205" s="40" t="str">
        <f>IF(A205="","",G205*N('Articles'!G205))</f>
        <v/>
      </c>
    </row>
    <row r="206">
      <c r="A206" s="39" t="str">
        <f>IF('Articles'!A206="","",'Articles'!A206)</f>
        <v/>
      </c>
      <c r="B206" s="39" t="str">
        <f>IF(A206="","",'Articles'!B206&amp;"")</f>
        <v/>
      </c>
      <c r="C206" s="39" t="str">
        <f>IF(A206="","",'Articles'!D206&amp;"")</f>
        <v/>
      </c>
      <c r="D206" s="39" t="str">
        <f>IF(A206="","",ROUND(N('Articles'!H206)+SUMIFS(mv_qty,mv_ref,A206,mv_type,"Entrée",mv_date,"&lt;"&amp;$E$1)-SUMIFS(mv_qty,mv_ref,A206,mv_type,"Sortie",mv_date,"&lt;"&amp;$E$1),6))</f>
        <v/>
      </c>
      <c r="E206" s="39" t="str">
        <f>IF(A206="","",SUMIFS(mv_qty,mv_ref,A206,mv_type,"Entrée",mv_date,"&gt;="&amp;$E$1,mv_date,"&lt;="&amp;$G$1))</f>
        <v/>
      </c>
      <c r="F206" s="39" t="str">
        <f>IF(A206="","",SUMIFS(mv_qty,mv_ref,A206,mv_type,"Sortie",mv_date,"&gt;="&amp;$E$1,mv_date,"&lt;="&amp;$G$1))</f>
        <v/>
      </c>
      <c r="G206" s="39" t="str">
        <f>IF(A206="","",ROUND(D206+E206-F206,6))</f>
        <v/>
      </c>
      <c r="H206" s="40" t="str">
        <f>IF(A206="","",G206*N('Articles'!G206))</f>
        <v/>
      </c>
    </row>
    <row r="207">
      <c r="A207" s="39" t="str">
        <f>IF('Articles'!A207="","",'Articles'!A207)</f>
        <v/>
      </c>
      <c r="B207" s="39" t="str">
        <f>IF(A207="","",'Articles'!B207&amp;"")</f>
        <v/>
      </c>
      <c r="C207" s="39" t="str">
        <f>IF(A207="","",'Articles'!D207&amp;"")</f>
        <v/>
      </c>
      <c r="D207" s="39" t="str">
        <f>IF(A207="","",ROUND(N('Articles'!H207)+SUMIFS(mv_qty,mv_ref,A207,mv_type,"Entrée",mv_date,"&lt;"&amp;$E$1)-SUMIFS(mv_qty,mv_ref,A207,mv_type,"Sortie",mv_date,"&lt;"&amp;$E$1),6))</f>
        <v/>
      </c>
      <c r="E207" s="39" t="str">
        <f>IF(A207="","",SUMIFS(mv_qty,mv_ref,A207,mv_type,"Entrée",mv_date,"&gt;="&amp;$E$1,mv_date,"&lt;="&amp;$G$1))</f>
        <v/>
      </c>
      <c r="F207" s="39" t="str">
        <f>IF(A207="","",SUMIFS(mv_qty,mv_ref,A207,mv_type,"Sortie",mv_date,"&gt;="&amp;$E$1,mv_date,"&lt;="&amp;$G$1))</f>
        <v/>
      </c>
      <c r="G207" s="39" t="str">
        <f>IF(A207="","",ROUND(D207+E207-F207,6))</f>
        <v/>
      </c>
      <c r="H207" s="40" t="str">
        <f>IF(A207="","",G207*N('Articles'!G207))</f>
        <v/>
      </c>
    </row>
    <row r="208">
      <c r="A208" s="39" t="str">
        <f>IF('Articles'!A208="","",'Articles'!A208)</f>
        <v/>
      </c>
      <c r="B208" s="39" t="str">
        <f>IF(A208="","",'Articles'!B208&amp;"")</f>
        <v/>
      </c>
      <c r="C208" s="39" t="str">
        <f>IF(A208="","",'Articles'!D208&amp;"")</f>
        <v/>
      </c>
      <c r="D208" s="39" t="str">
        <f>IF(A208="","",ROUND(N('Articles'!H208)+SUMIFS(mv_qty,mv_ref,A208,mv_type,"Entrée",mv_date,"&lt;"&amp;$E$1)-SUMIFS(mv_qty,mv_ref,A208,mv_type,"Sortie",mv_date,"&lt;"&amp;$E$1),6))</f>
        <v/>
      </c>
      <c r="E208" s="39" t="str">
        <f>IF(A208="","",SUMIFS(mv_qty,mv_ref,A208,mv_type,"Entrée",mv_date,"&gt;="&amp;$E$1,mv_date,"&lt;="&amp;$G$1))</f>
        <v/>
      </c>
      <c r="F208" s="39" t="str">
        <f>IF(A208="","",SUMIFS(mv_qty,mv_ref,A208,mv_type,"Sortie",mv_date,"&gt;="&amp;$E$1,mv_date,"&lt;="&amp;$G$1))</f>
        <v/>
      </c>
      <c r="G208" s="39" t="str">
        <f>IF(A208="","",ROUND(D208+E208-F208,6))</f>
        <v/>
      </c>
      <c r="H208" s="40" t="str">
        <f>IF(A208="","",G208*N('Articles'!G208))</f>
        <v/>
      </c>
    </row>
    <row r="209">
      <c r="A209" s="39" t="str">
        <f>IF('Articles'!A209="","",'Articles'!A209)</f>
        <v/>
      </c>
      <c r="B209" s="39" t="str">
        <f>IF(A209="","",'Articles'!B209&amp;"")</f>
        <v/>
      </c>
      <c r="C209" s="39" t="str">
        <f>IF(A209="","",'Articles'!D209&amp;"")</f>
        <v/>
      </c>
      <c r="D209" s="39" t="str">
        <f>IF(A209="","",ROUND(N('Articles'!H209)+SUMIFS(mv_qty,mv_ref,A209,mv_type,"Entrée",mv_date,"&lt;"&amp;$E$1)-SUMIFS(mv_qty,mv_ref,A209,mv_type,"Sortie",mv_date,"&lt;"&amp;$E$1),6))</f>
        <v/>
      </c>
      <c r="E209" s="39" t="str">
        <f>IF(A209="","",SUMIFS(mv_qty,mv_ref,A209,mv_type,"Entrée",mv_date,"&gt;="&amp;$E$1,mv_date,"&lt;="&amp;$G$1))</f>
        <v/>
      </c>
      <c r="F209" s="39" t="str">
        <f>IF(A209="","",SUMIFS(mv_qty,mv_ref,A209,mv_type,"Sortie",mv_date,"&gt;="&amp;$E$1,mv_date,"&lt;="&amp;$G$1))</f>
        <v/>
      </c>
      <c r="G209" s="39" t="str">
        <f>IF(A209="","",ROUND(D209+E209-F209,6))</f>
        <v/>
      </c>
      <c r="H209" s="40" t="str">
        <f>IF(A209="","",G209*N('Articles'!G209))</f>
        <v/>
      </c>
    </row>
    <row r="210">
      <c r="A210" s="39" t="str">
        <f>IF('Articles'!A210="","",'Articles'!A210)</f>
        <v/>
      </c>
      <c r="B210" s="39" t="str">
        <f>IF(A210="","",'Articles'!B210&amp;"")</f>
        <v/>
      </c>
      <c r="C210" s="39" t="str">
        <f>IF(A210="","",'Articles'!D210&amp;"")</f>
        <v/>
      </c>
      <c r="D210" s="39" t="str">
        <f>IF(A210="","",ROUND(N('Articles'!H210)+SUMIFS(mv_qty,mv_ref,A210,mv_type,"Entrée",mv_date,"&lt;"&amp;$E$1)-SUMIFS(mv_qty,mv_ref,A210,mv_type,"Sortie",mv_date,"&lt;"&amp;$E$1),6))</f>
        <v/>
      </c>
      <c r="E210" s="39" t="str">
        <f>IF(A210="","",SUMIFS(mv_qty,mv_ref,A210,mv_type,"Entrée",mv_date,"&gt;="&amp;$E$1,mv_date,"&lt;="&amp;$G$1))</f>
        <v/>
      </c>
      <c r="F210" s="39" t="str">
        <f>IF(A210="","",SUMIFS(mv_qty,mv_ref,A210,mv_type,"Sortie",mv_date,"&gt;="&amp;$E$1,mv_date,"&lt;="&amp;$G$1))</f>
        <v/>
      </c>
      <c r="G210" s="39" t="str">
        <f>IF(A210="","",ROUND(D210+E210-F210,6))</f>
        <v/>
      </c>
      <c r="H210" s="40" t="str">
        <f>IF(A210="","",G210*N('Articles'!G210))</f>
        <v/>
      </c>
    </row>
    <row r="211">
      <c r="A211" s="39" t="str">
        <f>IF('Articles'!A211="","",'Articles'!A211)</f>
        <v/>
      </c>
      <c r="B211" s="39" t="str">
        <f>IF(A211="","",'Articles'!B211&amp;"")</f>
        <v/>
      </c>
      <c r="C211" s="39" t="str">
        <f>IF(A211="","",'Articles'!D211&amp;"")</f>
        <v/>
      </c>
      <c r="D211" s="39" t="str">
        <f>IF(A211="","",ROUND(N('Articles'!H211)+SUMIFS(mv_qty,mv_ref,A211,mv_type,"Entrée",mv_date,"&lt;"&amp;$E$1)-SUMIFS(mv_qty,mv_ref,A211,mv_type,"Sortie",mv_date,"&lt;"&amp;$E$1),6))</f>
        <v/>
      </c>
      <c r="E211" s="39" t="str">
        <f>IF(A211="","",SUMIFS(mv_qty,mv_ref,A211,mv_type,"Entrée",mv_date,"&gt;="&amp;$E$1,mv_date,"&lt;="&amp;$G$1))</f>
        <v/>
      </c>
      <c r="F211" s="39" t="str">
        <f>IF(A211="","",SUMIFS(mv_qty,mv_ref,A211,mv_type,"Sortie",mv_date,"&gt;="&amp;$E$1,mv_date,"&lt;="&amp;$G$1))</f>
        <v/>
      </c>
      <c r="G211" s="39" t="str">
        <f>IF(A211="","",ROUND(D211+E211-F211,6))</f>
        <v/>
      </c>
      <c r="H211" s="40" t="str">
        <f>IF(A211="","",G211*N('Articles'!G211))</f>
        <v/>
      </c>
    </row>
    <row r="212">
      <c r="A212" s="39" t="str">
        <f>IF('Articles'!A212="","",'Articles'!A212)</f>
        <v/>
      </c>
      <c r="B212" s="39" t="str">
        <f>IF(A212="","",'Articles'!B212&amp;"")</f>
        <v/>
      </c>
      <c r="C212" s="39" t="str">
        <f>IF(A212="","",'Articles'!D212&amp;"")</f>
        <v/>
      </c>
      <c r="D212" s="39" t="str">
        <f>IF(A212="","",ROUND(N('Articles'!H212)+SUMIFS(mv_qty,mv_ref,A212,mv_type,"Entrée",mv_date,"&lt;"&amp;$E$1)-SUMIFS(mv_qty,mv_ref,A212,mv_type,"Sortie",mv_date,"&lt;"&amp;$E$1),6))</f>
        <v/>
      </c>
      <c r="E212" s="39" t="str">
        <f>IF(A212="","",SUMIFS(mv_qty,mv_ref,A212,mv_type,"Entrée",mv_date,"&gt;="&amp;$E$1,mv_date,"&lt;="&amp;$G$1))</f>
        <v/>
      </c>
      <c r="F212" s="39" t="str">
        <f>IF(A212="","",SUMIFS(mv_qty,mv_ref,A212,mv_type,"Sortie",mv_date,"&gt;="&amp;$E$1,mv_date,"&lt;="&amp;$G$1))</f>
        <v/>
      </c>
      <c r="G212" s="39" t="str">
        <f>IF(A212="","",ROUND(D212+E212-F212,6))</f>
        <v/>
      </c>
      <c r="H212" s="40" t="str">
        <f>IF(A212="","",G212*N('Articles'!G212))</f>
        <v/>
      </c>
    </row>
    <row r="213">
      <c r="A213" s="39" t="str">
        <f>IF('Articles'!A213="","",'Articles'!A213)</f>
        <v/>
      </c>
      <c r="B213" s="39" t="str">
        <f>IF(A213="","",'Articles'!B213&amp;"")</f>
        <v/>
      </c>
      <c r="C213" s="39" t="str">
        <f>IF(A213="","",'Articles'!D213&amp;"")</f>
        <v/>
      </c>
      <c r="D213" s="39" t="str">
        <f>IF(A213="","",ROUND(N('Articles'!H213)+SUMIFS(mv_qty,mv_ref,A213,mv_type,"Entrée",mv_date,"&lt;"&amp;$E$1)-SUMIFS(mv_qty,mv_ref,A213,mv_type,"Sortie",mv_date,"&lt;"&amp;$E$1),6))</f>
        <v/>
      </c>
      <c r="E213" s="39" t="str">
        <f>IF(A213="","",SUMIFS(mv_qty,mv_ref,A213,mv_type,"Entrée",mv_date,"&gt;="&amp;$E$1,mv_date,"&lt;="&amp;$G$1))</f>
        <v/>
      </c>
      <c r="F213" s="39" t="str">
        <f>IF(A213="","",SUMIFS(mv_qty,mv_ref,A213,mv_type,"Sortie",mv_date,"&gt;="&amp;$E$1,mv_date,"&lt;="&amp;$G$1))</f>
        <v/>
      </c>
      <c r="G213" s="39" t="str">
        <f>IF(A213="","",ROUND(D213+E213-F213,6))</f>
        <v/>
      </c>
      <c r="H213" s="40" t="str">
        <f>IF(A213="","",G213*N('Articles'!G213))</f>
        <v/>
      </c>
    </row>
    <row r="214">
      <c r="A214" s="39" t="str">
        <f>IF('Articles'!A214="","",'Articles'!A214)</f>
        <v/>
      </c>
      <c r="B214" s="39" t="str">
        <f>IF(A214="","",'Articles'!B214&amp;"")</f>
        <v/>
      </c>
      <c r="C214" s="39" t="str">
        <f>IF(A214="","",'Articles'!D214&amp;"")</f>
        <v/>
      </c>
      <c r="D214" s="39" t="str">
        <f>IF(A214="","",ROUND(N('Articles'!H214)+SUMIFS(mv_qty,mv_ref,A214,mv_type,"Entrée",mv_date,"&lt;"&amp;$E$1)-SUMIFS(mv_qty,mv_ref,A214,mv_type,"Sortie",mv_date,"&lt;"&amp;$E$1),6))</f>
        <v/>
      </c>
      <c r="E214" s="39" t="str">
        <f>IF(A214="","",SUMIFS(mv_qty,mv_ref,A214,mv_type,"Entrée",mv_date,"&gt;="&amp;$E$1,mv_date,"&lt;="&amp;$G$1))</f>
        <v/>
      </c>
      <c r="F214" s="39" t="str">
        <f>IF(A214="","",SUMIFS(mv_qty,mv_ref,A214,mv_type,"Sortie",mv_date,"&gt;="&amp;$E$1,mv_date,"&lt;="&amp;$G$1))</f>
        <v/>
      </c>
      <c r="G214" s="39" t="str">
        <f>IF(A214="","",ROUND(D214+E214-F214,6))</f>
        <v/>
      </c>
      <c r="H214" s="40" t="str">
        <f>IF(A214="","",G214*N('Articles'!G214))</f>
        <v/>
      </c>
    </row>
    <row r="215">
      <c r="A215" s="39" t="str">
        <f>IF('Articles'!A215="","",'Articles'!A215)</f>
        <v/>
      </c>
      <c r="B215" s="39" t="str">
        <f>IF(A215="","",'Articles'!B215&amp;"")</f>
        <v/>
      </c>
      <c r="C215" s="39" t="str">
        <f>IF(A215="","",'Articles'!D215&amp;"")</f>
        <v/>
      </c>
      <c r="D215" s="39" t="str">
        <f>IF(A215="","",ROUND(N('Articles'!H215)+SUMIFS(mv_qty,mv_ref,A215,mv_type,"Entrée",mv_date,"&lt;"&amp;$E$1)-SUMIFS(mv_qty,mv_ref,A215,mv_type,"Sortie",mv_date,"&lt;"&amp;$E$1),6))</f>
        <v/>
      </c>
      <c r="E215" s="39" t="str">
        <f>IF(A215="","",SUMIFS(mv_qty,mv_ref,A215,mv_type,"Entrée",mv_date,"&gt;="&amp;$E$1,mv_date,"&lt;="&amp;$G$1))</f>
        <v/>
      </c>
      <c r="F215" s="39" t="str">
        <f>IF(A215="","",SUMIFS(mv_qty,mv_ref,A215,mv_type,"Sortie",mv_date,"&gt;="&amp;$E$1,mv_date,"&lt;="&amp;$G$1))</f>
        <v/>
      </c>
      <c r="G215" s="39" t="str">
        <f>IF(A215="","",ROUND(D215+E215-F215,6))</f>
        <v/>
      </c>
      <c r="H215" s="40" t="str">
        <f>IF(A215="","",G215*N('Articles'!G215))</f>
        <v/>
      </c>
    </row>
    <row r="216">
      <c r="A216" s="39" t="str">
        <f>IF('Articles'!A216="","",'Articles'!A216)</f>
        <v/>
      </c>
      <c r="B216" s="39" t="str">
        <f>IF(A216="","",'Articles'!B216&amp;"")</f>
        <v/>
      </c>
      <c r="C216" s="39" t="str">
        <f>IF(A216="","",'Articles'!D216&amp;"")</f>
        <v/>
      </c>
      <c r="D216" s="39" t="str">
        <f>IF(A216="","",ROUND(N('Articles'!H216)+SUMIFS(mv_qty,mv_ref,A216,mv_type,"Entrée",mv_date,"&lt;"&amp;$E$1)-SUMIFS(mv_qty,mv_ref,A216,mv_type,"Sortie",mv_date,"&lt;"&amp;$E$1),6))</f>
        <v/>
      </c>
      <c r="E216" s="39" t="str">
        <f>IF(A216="","",SUMIFS(mv_qty,mv_ref,A216,mv_type,"Entrée",mv_date,"&gt;="&amp;$E$1,mv_date,"&lt;="&amp;$G$1))</f>
        <v/>
      </c>
      <c r="F216" s="39" t="str">
        <f>IF(A216="","",SUMIFS(mv_qty,mv_ref,A216,mv_type,"Sortie",mv_date,"&gt;="&amp;$E$1,mv_date,"&lt;="&amp;$G$1))</f>
        <v/>
      </c>
      <c r="G216" s="39" t="str">
        <f>IF(A216="","",ROUND(D216+E216-F216,6))</f>
        <v/>
      </c>
      <c r="H216" s="40" t="str">
        <f>IF(A216="","",G216*N('Articles'!G216))</f>
        <v/>
      </c>
    </row>
    <row r="217">
      <c r="A217" s="39" t="str">
        <f>IF('Articles'!A217="","",'Articles'!A217)</f>
        <v/>
      </c>
      <c r="B217" s="39" t="str">
        <f>IF(A217="","",'Articles'!B217&amp;"")</f>
        <v/>
      </c>
      <c r="C217" s="39" t="str">
        <f>IF(A217="","",'Articles'!D217&amp;"")</f>
        <v/>
      </c>
      <c r="D217" s="39" t="str">
        <f>IF(A217="","",ROUND(N('Articles'!H217)+SUMIFS(mv_qty,mv_ref,A217,mv_type,"Entrée",mv_date,"&lt;"&amp;$E$1)-SUMIFS(mv_qty,mv_ref,A217,mv_type,"Sortie",mv_date,"&lt;"&amp;$E$1),6))</f>
        <v/>
      </c>
      <c r="E217" s="39" t="str">
        <f>IF(A217="","",SUMIFS(mv_qty,mv_ref,A217,mv_type,"Entrée",mv_date,"&gt;="&amp;$E$1,mv_date,"&lt;="&amp;$G$1))</f>
        <v/>
      </c>
      <c r="F217" s="39" t="str">
        <f>IF(A217="","",SUMIFS(mv_qty,mv_ref,A217,mv_type,"Sortie",mv_date,"&gt;="&amp;$E$1,mv_date,"&lt;="&amp;$G$1))</f>
        <v/>
      </c>
      <c r="G217" s="39" t="str">
        <f>IF(A217="","",ROUND(D217+E217-F217,6))</f>
        <v/>
      </c>
      <c r="H217" s="40" t="str">
        <f>IF(A217="","",G217*N('Articles'!G217))</f>
        <v/>
      </c>
    </row>
    <row r="218">
      <c r="A218" s="39" t="str">
        <f>IF('Articles'!A218="","",'Articles'!A218)</f>
        <v/>
      </c>
      <c r="B218" s="39" t="str">
        <f>IF(A218="","",'Articles'!B218&amp;"")</f>
        <v/>
      </c>
      <c r="C218" s="39" t="str">
        <f>IF(A218="","",'Articles'!D218&amp;"")</f>
        <v/>
      </c>
      <c r="D218" s="39" t="str">
        <f>IF(A218="","",ROUND(N('Articles'!H218)+SUMIFS(mv_qty,mv_ref,A218,mv_type,"Entrée",mv_date,"&lt;"&amp;$E$1)-SUMIFS(mv_qty,mv_ref,A218,mv_type,"Sortie",mv_date,"&lt;"&amp;$E$1),6))</f>
        <v/>
      </c>
      <c r="E218" s="39" t="str">
        <f>IF(A218="","",SUMIFS(mv_qty,mv_ref,A218,mv_type,"Entrée",mv_date,"&gt;="&amp;$E$1,mv_date,"&lt;="&amp;$G$1))</f>
        <v/>
      </c>
      <c r="F218" s="39" t="str">
        <f>IF(A218="","",SUMIFS(mv_qty,mv_ref,A218,mv_type,"Sortie",mv_date,"&gt;="&amp;$E$1,mv_date,"&lt;="&amp;$G$1))</f>
        <v/>
      </c>
      <c r="G218" s="39" t="str">
        <f>IF(A218="","",ROUND(D218+E218-F218,6))</f>
        <v/>
      </c>
      <c r="H218" s="40" t="str">
        <f>IF(A218="","",G218*N('Articles'!G218))</f>
        <v/>
      </c>
    </row>
    <row r="219">
      <c r="A219" s="39" t="str">
        <f>IF('Articles'!A219="","",'Articles'!A219)</f>
        <v/>
      </c>
      <c r="B219" s="39" t="str">
        <f>IF(A219="","",'Articles'!B219&amp;"")</f>
        <v/>
      </c>
      <c r="C219" s="39" t="str">
        <f>IF(A219="","",'Articles'!D219&amp;"")</f>
        <v/>
      </c>
      <c r="D219" s="39" t="str">
        <f>IF(A219="","",ROUND(N('Articles'!H219)+SUMIFS(mv_qty,mv_ref,A219,mv_type,"Entrée",mv_date,"&lt;"&amp;$E$1)-SUMIFS(mv_qty,mv_ref,A219,mv_type,"Sortie",mv_date,"&lt;"&amp;$E$1),6))</f>
        <v/>
      </c>
      <c r="E219" s="39" t="str">
        <f>IF(A219="","",SUMIFS(mv_qty,mv_ref,A219,mv_type,"Entrée",mv_date,"&gt;="&amp;$E$1,mv_date,"&lt;="&amp;$G$1))</f>
        <v/>
      </c>
      <c r="F219" s="39" t="str">
        <f>IF(A219="","",SUMIFS(mv_qty,mv_ref,A219,mv_type,"Sortie",mv_date,"&gt;="&amp;$E$1,mv_date,"&lt;="&amp;$G$1))</f>
        <v/>
      </c>
      <c r="G219" s="39" t="str">
        <f>IF(A219="","",ROUND(D219+E219-F219,6))</f>
        <v/>
      </c>
      <c r="H219" s="40" t="str">
        <f>IF(A219="","",G219*N('Articles'!G219))</f>
        <v/>
      </c>
    </row>
    <row r="220">
      <c r="A220" s="39" t="str">
        <f>IF('Articles'!A220="","",'Articles'!A220)</f>
        <v/>
      </c>
      <c r="B220" s="39" t="str">
        <f>IF(A220="","",'Articles'!B220&amp;"")</f>
        <v/>
      </c>
      <c r="C220" s="39" t="str">
        <f>IF(A220="","",'Articles'!D220&amp;"")</f>
        <v/>
      </c>
      <c r="D220" s="39" t="str">
        <f>IF(A220="","",ROUND(N('Articles'!H220)+SUMIFS(mv_qty,mv_ref,A220,mv_type,"Entrée",mv_date,"&lt;"&amp;$E$1)-SUMIFS(mv_qty,mv_ref,A220,mv_type,"Sortie",mv_date,"&lt;"&amp;$E$1),6))</f>
        <v/>
      </c>
      <c r="E220" s="39" t="str">
        <f>IF(A220="","",SUMIFS(mv_qty,mv_ref,A220,mv_type,"Entrée",mv_date,"&gt;="&amp;$E$1,mv_date,"&lt;="&amp;$G$1))</f>
        <v/>
      </c>
      <c r="F220" s="39" t="str">
        <f>IF(A220="","",SUMIFS(mv_qty,mv_ref,A220,mv_type,"Sortie",mv_date,"&gt;="&amp;$E$1,mv_date,"&lt;="&amp;$G$1))</f>
        <v/>
      </c>
      <c r="G220" s="39" t="str">
        <f>IF(A220="","",ROUND(D220+E220-F220,6))</f>
        <v/>
      </c>
      <c r="H220" s="40" t="str">
        <f>IF(A220="","",G220*N('Articles'!G220))</f>
        <v/>
      </c>
    </row>
    <row r="221">
      <c r="A221" s="39" t="str">
        <f>IF('Articles'!A221="","",'Articles'!A221)</f>
        <v/>
      </c>
      <c r="B221" s="39" t="str">
        <f>IF(A221="","",'Articles'!B221&amp;"")</f>
        <v/>
      </c>
      <c r="C221" s="39" t="str">
        <f>IF(A221="","",'Articles'!D221&amp;"")</f>
        <v/>
      </c>
      <c r="D221" s="39" t="str">
        <f>IF(A221="","",ROUND(N('Articles'!H221)+SUMIFS(mv_qty,mv_ref,A221,mv_type,"Entrée",mv_date,"&lt;"&amp;$E$1)-SUMIFS(mv_qty,mv_ref,A221,mv_type,"Sortie",mv_date,"&lt;"&amp;$E$1),6))</f>
        <v/>
      </c>
      <c r="E221" s="39" t="str">
        <f>IF(A221="","",SUMIFS(mv_qty,mv_ref,A221,mv_type,"Entrée",mv_date,"&gt;="&amp;$E$1,mv_date,"&lt;="&amp;$G$1))</f>
        <v/>
      </c>
      <c r="F221" s="39" t="str">
        <f>IF(A221="","",SUMIFS(mv_qty,mv_ref,A221,mv_type,"Sortie",mv_date,"&gt;="&amp;$E$1,mv_date,"&lt;="&amp;$G$1))</f>
        <v/>
      </c>
      <c r="G221" s="39" t="str">
        <f>IF(A221="","",ROUND(D221+E221-F221,6))</f>
        <v/>
      </c>
      <c r="H221" s="40" t="str">
        <f>IF(A221="","",G221*N('Articles'!G221))</f>
        <v/>
      </c>
    </row>
    <row r="222">
      <c r="A222" s="39" t="str">
        <f>IF('Articles'!A222="","",'Articles'!A222)</f>
        <v/>
      </c>
      <c r="B222" s="39" t="str">
        <f>IF(A222="","",'Articles'!B222&amp;"")</f>
        <v/>
      </c>
      <c r="C222" s="39" t="str">
        <f>IF(A222="","",'Articles'!D222&amp;"")</f>
        <v/>
      </c>
      <c r="D222" s="39" t="str">
        <f>IF(A222="","",ROUND(N('Articles'!H222)+SUMIFS(mv_qty,mv_ref,A222,mv_type,"Entrée",mv_date,"&lt;"&amp;$E$1)-SUMIFS(mv_qty,mv_ref,A222,mv_type,"Sortie",mv_date,"&lt;"&amp;$E$1),6))</f>
        <v/>
      </c>
      <c r="E222" s="39" t="str">
        <f>IF(A222="","",SUMIFS(mv_qty,mv_ref,A222,mv_type,"Entrée",mv_date,"&gt;="&amp;$E$1,mv_date,"&lt;="&amp;$G$1))</f>
        <v/>
      </c>
      <c r="F222" s="39" t="str">
        <f>IF(A222="","",SUMIFS(mv_qty,mv_ref,A222,mv_type,"Sortie",mv_date,"&gt;="&amp;$E$1,mv_date,"&lt;="&amp;$G$1))</f>
        <v/>
      </c>
      <c r="G222" s="39" t="str">
        <f>IF(A222="","",ROUND(D222+E222-F222,6))</f>
        <v/>
      </c>
      <c r="H222" s="40" t="str">
        <f>IF(A222="","",G222*N('Articles'!G222))</f>
        <v/>
      </c>
    </row>
    <row r="223">
      <c r="A223" s="39" t="str">
        <f>IF('Articles'!A223="","",'Articles'!A223)</f>
        <v/>
      </c>
      <c r="B223" s="39" t="str">
        <f>IF(A223="","",'Articles'!B223&amp;"")</f>
        <v/>
      </c>
      <c r="C223" s="39" t="str">
        <f>IF(A223="","",'Articles'!D223&amp;"")</f>
        <v/>
      </c>
      <c r="D223" s="39" t="str">
        <f>IF(A223="","",ROUND(N('Articles'!H223)+SUMIFS(mv_qty,mv_ref,A223,mv_type,"Entrée",mv_date,"&lt;"&amp;$E$1)-SUMIFS(mv_qty,mv_ref,A223,mv_type,"Sortie",mv_date,"&lt;"&amp;$E$1),6))</f>
        <v/>
      </c>
      <c r="E223" s="39" t="str">
        <f>IF(A223="","",SUMIFS(mv_qty,mv_ref,A223,mv_type,"Entrée",mv_date,"&gt;="&amp;$E$1,mv_date,"&lt;="&amp;$G$1))</f>
        <v/>
      </c>
      <c r="F223" s="39" t="str">
        <f>IF(A223="","",SUMIFS(mv_qty,mv_ref,A223,mv_type,"Sortie",mv_date,"&gt;="&amp;$E$1,mv_date,"&lt;="&amp;$G$1))</f>
        <v/>
      </c>
      <c r="G223" s="39" t="str">
        <f>IF(A223="","",ROUND(D223+E223-F223,6))</f>
        <v/>
      </c>
      <c r="H223" s="40" t="str">
        <f>IF(A223="","",G223*N('Articles'!G223))</f>
        <v/>
      </c>
    </row>
    <row r="224">
      <c r="A224" s="39" t="str">
        <f>IF('Articles'!A224="","",'Articles'!A224)</f>
        <v/>
      </c>
      <c r="B224" s="39" t="str">
        <f>IF(A224="","",'Articles'!B224&amp;"")</f>
        <v/>
      </c>
      <c r="C224" s="39" t="str">
        <f>IF(A224="","",'Articles'!D224&amp;"")</f>
        <v/>
      </c>
      <c r="D224" s="39" t="str">
        <f>IF(A224="","",ROUND(N('Articles'!H224)+SUMIFS(mv_qty,mv_ref,A224,mv_type,"Entrée",mv_date,"&lt;"&amp;$E$1)-SUMIFS(mv_qty,mv_ref,A224,mv_type,"Sortie",mv_date,"&lt;"&amp;$E$1),6))</f>
        <v/>
      </c>
      <c r="E224" s="39" t="str">
        <f>IF(A224="","",SUMIFS(mv_qty,mv_ref,A224,mv_type,"Entrée",mv_date,"&gt;="&amp;$E$1,mv_date,"&lt;="&amp;$G$1))</f>
        <v/>
      </c>
      <c r="F224" s="39" t="str">
        <f>IF(A224="","",SUMIFS(mv_qty,mv_ref,A224,mv_type,"Sortie",mv_date,"&gt;="&amp;$E$1,mv_date,"&lt;="&amp;$G$1))</f>
        <v/>
      </c>
      <c r="G224" s="39" t="str">
        <f>IF(A224="","",ROUND(D224+E224-F224,6))</f>
        <v/>
      </c>
      <c r="H224" s="40" t="str">
        <f>IF(A224="","",G224*N('Articles'!G224))</f>
        <v/>
      </c>
    </row>
    <row r="225">
      <c r="A225" s="39" t="str">
        <f>IF('Articles'!A225="","",'Articles'!A225)</f>
        <v/>
      </c>
      <c r="B225" s="39" t="str">
        <f>IF(A225="","",'Articles'!B225&amp;"")</f>
        <v/>
      </c>
      <c r="C225" s="39" t="str">
        <f>IF(A225="","",'Articles'!D225&amp;"")</f>
        <v/>
      </c>
      <c r="D225" s="39" t="str">
        <f>IF(A225="","",ROUND(N('Articles'!H225)+SUMIFS(mv_qty,mv_ref,A225,mv_type,"Entrée",mv_date,"&lt;"&amp;$E$1)-SUMIFS(mv_qty,mv_ref,A225,mv_type,"Sortie",mv_date,"&lt;"&amp;$E$1),6))</f>
        <v/>
      </c>
      <c r="E225" s="39" t="str">
        <f>IF(A225="","",SUMIFS(mv_qty,mv_ref,A225,mv_type,"Entrée",mv_date,"&gt;="&amp;$E$1,mv_date,"&lt;="&amp;$G$1))</f>
        <v/>
      </c>
      <c r="F225" s="39" t="str">
        <f>IF(A225="","",SUMIFS(mv_qty,mv_ref,A225,mv_type,"Sortie",mv_date,"&gt;="&amp;$E$1,mv_date,"&lt;="&amp;$G$1))</f>
        <v/>
      </c>
      <c r="G225" s="39" t="str">
        <f>IF(A225="","",ROUND(D225+E225-F225,6))</f>
        <v/>
      </c>
      <c r="H225" s="40" t="str">
        <f>IF(A225="","",G225*N('Articles'!G225))</f>
        <v/>
      </c>
    </row>
    <row r="226">
      <c r="A226" s="39" t="str">
        <f>IF('Articles'!A226="","",'Articles'!A226)</f>
        <v/>
      </c>
      <c r="B226" s="39" t="str">
        <f>IF(A226="","",'Articles'!B226&amp;"")</f>
        <v/>
      </c>
      <c r="C226" s="39" t="str">
        <f>IF(A226="","",'Articles'!D226&amp;"")</f>
        <v/>
      </c>
      <c r="D226" s="39" t="str">
        <f>IF(A226="","",ROUND(N('Articles'!H226)+SUMIFS(mv_qty,mv_ref,A226,mv_type,"Entrée",mv_date,"&lt;"&amp;$E$1)-SUMIFS(mv_qty,mv_ref,A226,mv_type,"Sortie",mv_date,"&lt;"&amp;$E$1),6))</f>
        <v/>
      </c>
      <c r="E226" s="39" t="str">
        <f>IF(A226="","",SUMIFS(mv_qty,mv_ref,A226,mv_type,"Entrée",mv_date,"&gt;="&amp;$E$1,mv_date,"&lt;="&amp;$G$1))</f>
        <v/>
      </c>
      <c r="F226" s="39" t="str">
        <f>IF(A226="","",SUMIFS(mv_qty,mv_ref,A226,mv_type,"Sortie",mv_date,"&gt;="&amp;$E$1,mv_date,"&lt;="&amp;$G$1))</f>
        <v/>
      </c>
      <c r="G226" s="39" t="str">
        <f>IF(A226="","",ROUND(D226+E226-F226,6))</f>
        <v/>
      </c>
      <c r="H226" s="40" t="str">
        <f>IF(A226="","",G226*N('Articles'!G226))</f>
        <v/>
      </c>
    </row>
    <row r="227">
      <c r="A227" s="39" t="str">
        <f>IF('Articles'!A227="","",'Articles'!A227)</f>
        <v/>
      </c>
      <c r="B227" s="39" t="str">
        <f>IF(A227="","",'Articles'!B227&amp;"")</f>
        <v/>
      </c>
      <c r="C227" s="39" t="str">
        <f>IF(A227="","",'Articles'!D227&amp;"")</f>
        <v/>
      </c>
      <c r="D227" s="39" t="str">
        <f>IF(A227="","",ROUND(N('Articles'!H227)+SUMIFS(mv_qty,mv_ref,A227,mv_type,"Entrée",mv_date,"&lt;"&amp;$E$1)-SUMIFS(mv_qty,mv_ref,A227,mv_type,"Sortie",mv_date,"&lt;"&amp;$E$1),6))</f>
        <v/>
      </c>
      <c r="E227" s="39" t="str">
        <f>IF(A227="","",SUMIFS(mv_qty,mv_ref,A227,mv_type,"Entrée",mv_date,"&gt;="&amp;$E$1,mv_date,"&lt;="&amp;$G$1))</f>
        <v/>
      </c>
      <c r="F227" s="39" t="str">
        <f>IF(A227="","",SUMIFS(mv_qty,mv_ref,A227,mv_type,"Sortie",mv_date,"&gt;="&amp;$E$1,mv_date,"&lt;="&amp;$G$1))</f>
        <v/>
      </c>
      <c r="G227" s="39" t="str">
        <f>IF(A227="","",ROUND(D227+E227-F227,6))</f>
        <v/>
      </c>
      <c r="H227" s="40" t="str">
        <f>IF(A227="","",G227*N('Articles'!G227))</f>
        <v/>
      </c>
    </row>
    <row r="228">
      <c r="A228" s="39" t="str">
        <f>IF('Articles'!A228="","",'Articles'!A228)</f>
        <v/>
      </c>
      <c r="B228" s="39" t="str">
        <f>IF(A228="","",'Articles'!B228&amp;"")</f>
        <v/>
      </c>
      <c r="C228" s="39" t="str">
        <f>IF(A228="","",'Articles'!D228&amp;"")</f>
        <v/>
      </c>
      <c r="D228" s="39" t="str">
        <f>IF(A228="","",ROUND(N('Articles'!H228)+SUMIFS(mv_qty,mv_ref,A228,mv_type,"Entrée",mv_date,"&lt;"&amp;$E$1)-SUMIFS(mv_qty,mv_ref,A228,mv_type,"Sortie",mv_date,"&lt;"&amp;$E$1),6))</f>
        <v/>
      </c>
      <c r="E228" s="39" t="str">
        <f>IF(A228="","",SUMIFS(mv_qty,mv_ref,A228,mv_type,"Entrée",mv_date,"&gt;="&amp;$E$1,mv_date,"&lt;="&amp;$G$1))</f>
        <v/>
      </c>
      <c r="F228" s="39" t="str">
        <f>IF(A228="","",SUMIFS(mv_qty,mv_ref,A228,mv_type,"Sortie",mv_date,"&gt;="&amp;$E$1,mv_date,"&lt;="&amp;$G$1))</f>
        <v/>
      </c>
      <c r="G228" s="39" t="str">
        <f>IF(A228="","",ROUND(D228+E228-F228,6))</f>
        <v/>
      </c>
      <c r="H228" s="40" t="str">
        <f>IF(A228="","",G228*N('Articles'!G228))</f>
        <v/>
      </c>
    </row>
    <row r="229">
      <c r="A229" s="39" t="str">
        <f>IF('Articles'!A229="","",'Articles'!A229)</f>
        <v/>
      </c>
      <c r="B229" s="39" t="str">
        <f>IF(A229="","",'Articles'!B229&amp;"")</f>
        <v/>
      </c>
      <c r="C229" s="39" t="str">
        <f>IF(A229="","",'Articles'!D229&amp;"")</f>
        <v/>
      </c>
      <c r="D229" s="39" t="str">
        <f>IF(A229="","",ROUND(N('Articles'!H229)+SUMIFS(mv_qty,mv_ref,A229,mv_type,"Entrée",mv_date,"&lt;"&amp;$E$1)-SUMIFS(mv_qty,mv_ref,A229,mv_type,"Sortie",mv_date,"&lt;"&amp;$E$1),6))</f>
        <v/>
      </c>
      <c r="E229" s="39" t="str">
        <f>IF(A229="","",SUMIFS(mv_qty,mv_ref,A229,mv_type,"Entrée",mv_date,"&gt;="&amp;$E$1,mv_date,"&lt;="&amp;$G$1))</f>
        <v/>
      </c>
      <c r="F229" s="39" t="str">
        <f>IF(A229="","",SUMIFS(mv_qty,mv_ref,A229,mv_type,"Sortie",mv_date,"&gt;="&amp;$E$1,mv_date,"&lt;="&amp;$G$1))</f>
        <v/>
      </c>
      <c r="G229" s="39" t="str">
        <f>IF(A229="","",ROUND(D229+E229-F229,6))</f>
        <v/>
      </c>
      <c r="H229" s="40" t="str">
        <f>IF(A229="","",G229*N('Articles'!G229))</f>
        <v/>
      </c>
    </row>
    <row r="230">
      <c r="A230" s="39" t="str">
        <f>IF('Articles'!A230="","",'Articles'!A230)</f>
        <v/>
      </c>
      <c r="B230" s="39" t="str">
        <f>IF(A230="","",'Articles'!B230&amp;"")</f>
        <v/>
      </c>
      <c r="C230" s="39" t="str">
        <f>IF(A230="","",'Articles'!D230&amp;"")</f>
        <v/>
      </c>
      <c r="D230" s="39" t="str">
        <f>IF(A230="","",ROUND(N('Articles'!H230)+SUMIFS(mv_qty,mv_ref,A230,mv_type,"Entrée",mv_date,"&lt;"&amp;$E$1)-SUMIFS(mv_qty,mv_ref,A230,mv_type,"Sortie",mv_date,"&lt;"&amp;$E$1),6))</f>
        <v/>
      </c>
      <c r="E230" s="39" t="str">
        <f>IF(A230="","",SUMIFS(mv_qty,mv_ref,A230,mv_type,"Entrée",mv_date,"&gt;="&amp;$E$1,mv_date,"&lt;="&amp;$G$1))</f>
        <v/>
      </c>
      <c r="F230" s="39" t="str">
        <f>IF(A230="","",SUMIFS(mv_qty,mv_ref,A230,mv_type,"Sortie",mv_date,"&gt;="&amp;$E$1,mv_date,"&lt;="&amp;$G$1))</f>
        <v/>
      </c>
      <c r="G230" s="39" t="str">
        <f>IF(A230="","",ROUND(D230+E230-F230,6))</f>
        <v/>
      </c>
      <c r="H230" s="40" t="str">
        <f>IF(A230="","",G230*N('Articles'!G230))</f>
        <v/>
      </c>
    </row>
    <row r="231">
      <c r="A231" s="39" t="str">
        <f>IF('Articles'!A231="","",'Articles'!A231)</f>
        <v/>
      </c>
      <c r="B231" s="39" t="str">
        <f>IF(A231="","",'Articles'!B231&amp;"")</f>
        <v/>
      </c>
      <c r="C231" s="39" t="str">
        <f>IF(A231="","",'Articles'!D231&amp;"")</f>
        <v/>
      </c>
      <c r="D231" s="39" t="str">
        <f>IF(A231="","",ROUND(N('Articles'!H231)+SUMIFS(mv_qty,mv_ref,A231,mv_type,"Entrée",mv_date,"&lt;"&amp;$E$1)-SUMIFS(mv_qty,mv_ref,A231,mv_type,"Sortie",mv_date,"&lt;"&amp;$E$1),6))</f>
        <v/>
      </c>
      <c r="E231" s="39" t="str">
        <f>IF(A231="","",SUMIFS(mv_qty,mv_ref,A231,mv_type,"Entrée",mv_date,"&gt;="&amp;$E$1,mv_date,"&lt;="&amp;$G$1))</f>
        <v/>
      </c>
      <c r="F231" s="39" t="str">
        <f>IF(A231="","",SUMIFS(mv_qty,mv_ref,A231,mv_type,"Sortie",mv_date,"&gt;="&amp;$E$1,mv_date,"&lt;="&amp;$G$1))</f>
        <v/>
      </c>
      <c r="G231" s="39" t="str">
        <f>IF(A231="","",ROUND(D231+E231-F231,6))</f>
        <v/>
      </c>
      <c r="H231" s="40" t="str">
        <f>IF(A231="","",G231*N('Articles'!G231))</f>
        <v/>
      </c>
    </row>
    <row r="232">
      <c r="A232" s="39" t="str">
        <f>IF('Articles'!A232="","",'Articles'!A232)</f>
        <v/>
      </c>
      <c r="B232" s="39" t="str">
        <f>IF(A232="","",'Articles'!B232&amp;"")</f>
        <v/>
      </c>
      <c r="C232" s="39" t="str">
        <f>IF(A232="","",'Articles'!D232&amp;"")</f>
        <v/>
      </c>
      <c r="D232" s="39" t="str">
        <f>IF(A232="","",ROUND(N('Articles'!H232)+SUMIFS(mv_qty,mv_ref,A232,mv_type,"Entrée",mv_date,"&lt;"&amp;$E$1)-SUMIFS(mv_qty,mv_ref,A232,mv_type,"Sortie",mv_date,"&lt;"&amp;$E$1),6))</f>
        <v/>
      </c>
      <c r="E232" s="39" t="str">
        <f>IF(A232="","",SUMIFS(mv_qty,mv_ref,A232,mv_type,"Entrée",mv_date,"&gt;="&amp;$E$1,mv_date,"&lt;="&amp;$G$1))</f>
        <v/>
      </c>
      <c r="F232" s="39" t="str">
        <f>IF(A232="","",SUMIFS(mv_qty,mv_ref,A232,mv_type,"Sortie",mv_date,"&gt;="&amp;$E$1,mv_date,"&lt;="&amp;$G$1))</f>
        <v/>
      </c>
      <c r="G232" s="39" t="str">
        <f>IF(A232="","",ROUND(D232+E232-F232,6))</f>
        <v/>
      </c>
      <c r="H232" s="40" t="str">
        <f>IF(A232="","",G232*N('Articles'!G232))</f>
        <v/>
      </c>
    </row>
    <row r="233">
      <c r="A233" s="39" t="str">
        <f>IF('Articles'!A233="","",'Articles'!A233)</f>
        <v/>
      </c>
      <c r="B233" s="39" t="str">
        <f>IF(A233="","",'Articles'!B233&amp;"")</f>
        <v/>
      </c>
      <c r="C233" s="39" t="str">
        <f>IF(A233="","",'Articles'!D233&amp;"")</f>
        <v/>
      </c>
      <c r="D233" s="39" t="str">
        <f>IF(A233="","",ROUND(N('Articles'!H233)+SUMIFS(mv_qty,mv_ref,A233,mv_type,"Entrée",mv_date,"&lt;"&amp;$E$1)-SUMIFS(mv_qty,mv_ref,A233,mv_type,"Sortie",mv_date,"&lt;"&amp;$E$1),6))</f>
        <v/>
      </c>
      <c r="E233" s="39" t="str">
        <f>IF(A233="","",SUMIFS(mv_qty,mv_ref,A233,mv_type,"Entrée",mv_date,"&gt;="&amp;$E$1,mv_date,"&lt;="&amp;$G$1))</f>
        <v/>
      </c>
      <c r="F233" s="39" t="str">
        <f>IF(A233="","",SUMIFS(mv_qty,mv_ref,A233,mv_type,"Sortie",mv_date,"&gt;="&amp;$E$1,mv_date,"&lt;="&amp;$G$1))</f>
        <v/>
      </c>
      <c r="G233" s="39" t="str">
        <f>IF(A233="","",ROUND(D233+E233-F233,6))</f>
        <v/>
      </c>
      <c r="H233" s="40" t="str">
        <f>IF(A233="","",G233*N('Articles'!G233))</f>
        <v/>
      </c>
    </row>
    <row r="234">
      <c r="A234" s="39" t="str">
        <f>IF('Articles'!A234="","",'Articles'!A234)</f>
        <v/>
      </c>
      <c r="B234" s="39" t="str">
        <f>IF(A234="","",'Articles'!B234&amp;"")</f>
        <v/>
      </c>
      <c r="C234" s="39" t="str">
        <f>IF(A234="","",'Articles'!D234&amp;"")</f>
        <v/>
      </c>
      <c r="D234" s="39" t="str">
        <f>IF(A234="","",ROUND(N('Articles'!H234)+SUMIFS(mv_qty,mv_ref,A234,mv_type,"Entrée",mv_date,"&lt;"&amp;$E$1)-SUMIFS(mv_qty,mv_ref,A234,mv_type,"Sortie",mv_date,"&lt;"&amp;$E$1),6))</f>
        <v/>
      </c>
      <c r="E234" s="39" t="str">
        <f>IF(A234="","",SUMIFS(mv_qty,mv_ref,A234,mv_type,"Entrée",mv_date,"&gt;="&amp;$E$1,mv_date,"&lt;="&amp;$G$1))</f>
        <v/>
      </c>
      <c r="F234" s="39" t="str">
        <f>IF(A234="","",SUMIFS(mv_qty,mv_ref,A234,mv_type,"Sortie",mv_date,"&gt;="&amp;$E$1,mv_date,"&lt;="&amp;$G$1))</f>
        <v/>
      </c>
      <c r="G234" s="39" t="str">
        <f>IF(A234="","",ROUND(D234+E234-F234,6))</f>
        <v/>
      </c>
      <c r="H234" s="40" t="str">
        <f>IF(A234="","",G234*N('Articles'!G234))</f>
        <v/>
      </c>
    </row>
    <row r="235">
      <c r="A235" s="39" t="str">
        <f>IF('Articles'!A235="","",'Articles'!A235)</f>
        <v/>
      </c>
      <c r="B235" s="39" t="str">
        <f>IF(A235="","",'Articles'!B235&amp;"")</f>
        <v/>
      </c>
      <c r="C235" s="39" t="str">
        <f>IF(A235="","",'Articles'!D235&amp;"")</f>
        <v/>
      </c>
      <c r="D235" s="39" t="str">
        <f>IF(A235="","",ROUND(N('Articles'!H235)+SUMIFS(mv_qty,mv_ref,A235,mv_type,"Entrée",mv_date,"&lt;"&amp;$E$1)-SUMIFS(mv_qty,mv_ref,A235,mv_type,"Sortie",mv_date,"&lt;"&amp;$E$1),6))</f>
        <v/>
      </c>
      <c r="E235" s="39" t="str">
        <f>IF(A235="","",SUMIFS(mv_qty,mv_ref,A235,mv_type,"Entrée",mv_date,"&gt;="&amp;$E$1,mv_date,"&lt;="&amp;$G$1))</f>
        <v/>
      </c>
      <c r="F235" s="39" t="str">
        <f>IF(A235="","",SUMIFS(mv_qty,mv_ref,A235,mv_type,"Sortie",mv_date,"&gt;="&amp;$E$1,mv_date,"&lt;="&amp;$G$1))</f>
        <v/>
      </c>
      <c r="G235" s="39" t="str">
        <f>IF(A235="","",ROUND(D235+E235-F235,6))</f>
        <v/>
      </c>
      <c r="H235" s="40" t="str">
        <f>IF(A235="","",G235*N('Articles'!G235))</f>
        <v/>
      </c>
    </row>
    <row r="236">
      <c r="A236" s="39" t="str">
        <f>IF('Articles'!A236="","",'Articles'!A236)</f>
        <v/>
      </c>
      <c r="B236" s="39" t="str">
        <f>IF(A236="","",'Articles'!B236&amp;"")</f>
        <v/>
      </c>
      <c r="C236" s="39" t="str">
        <f>IF(A236="","",'Articles'!D236&amp;"")</f>
        <v/>
      </c>
      <c r="D236" s="39" t="str">
        <f>IF(A236="","",ROUND(N('Articles'!H236)+SUMIFS(mv_qty,mv_ref,A236,mv_type,"Entrée",mv_date,"&lt;"&amp;$E$1)-SUMIFS(mv_qty,mv_ref,A236,mv_type,"Sortie",mv_date,"&lt;"&amp;$E$1),6))</f>
        <v/>
      </c>
      <c r="E236" s="39" t="str">
        <f>IF(A236="","",SUMIFS(mv_qty,mv_ref,A236,mv_type,"Entrée",mv_date,"&gt;="&amp;$E$1,mv_date,"&lt;="&amp;$G$1))</f>
        <v/>
      </c>
      <c r="F236" s="39" t="str">
        <f>IF(A236="","",SUMIFS(mv_qty,mv_ref,A236,mv_type,"Sortie",mv_date,"&gt;="&amp;$E$1,mv_date,"&lt;="&amp;$G$1))</f>
        <v/>
      </c>
      <c r="G236" s="39" t="str">
        <f>IF(A236="","",ROUND(D236+E236-F236,6))</f>
        <v/>
      </c>
      <c r="H236" s="40" t="str">
        <f>IF(A236="","",G236*N('Articles'!G236))</f>
        <v/>
      </c>
    </row>
    <row r="237">
      <c r="A237" s="39" t="str">
        <f>IF('Articles'!A237="","",'Articles'!A237)</f>
        <v/>
      </c>
      <c r="B237" s="39" t="str">
        <f>IF(A237="","",'Articles'!B237&amp;"")</f>
        <v/>
      </c>
      <c r="C237" s="39" t="str">
        <f>IF(A237="","",'Articles'!D237&amp;"")</f>
        <v/>
      </c>
      <c r="D237" s="39" t="str">
        <f>IF(A237="","",ROUND(N('Articles'!H237)+SUMIFS(mv_qty,mv_ref,A237,mv_type,"Entrée",mv_date,"&lt;"&amp;$E$1)-SUMIFS(mv_qty,mv_ref,A237,mv_type,"Sortie",mv_date,"&lt;"&amp;$E$1),6))</f>
        <v/>
      </c>
      <c r="E237" s="39" t="str">
        <f>IF(A237="","",SUMIFS(mv_qty,mv_ref,A237,mv_type,"Entrée",mv_date,"&gt;="&amp;$E$1,mv_date,"&lt;="&amp;$G$1))</f>
        <v/>
      </c>
      <c r="F237" s="39" t="str">
        <f>IF(A237="","",SUMIFS(mv_qty,mv_ref,A237,mv_type,"Sortie",mv_date,"&gt;="&amp;$E$1,mv_date,"&lt;="&amp;$G$1))</f>
        <v/>
      </c>
      <c r="G237" s="39" t="str">
        <f>IF(A237="","",ROUND(D237+E237-F237,6))</f>
        <v/>
      </c>
      <c r="H237" s="40" t="str">
        <f>IF(A237="","",G237*N('Articles'!G237))</f>
        <v/>
      </c>
    </row>
    <row r="238">
      <c r="A238" s="39" t="str">
        <f>IF('Articles'!A238="","",'Articles'!A238)</f>
        <v/>
      </c>
      <c r="B238" s="39" t="str">
        <f>IF(A238="","",'Articles'!B238&amp;"")</f>
        <v/>
      </c>
      <c r="C238" s="39" t="str">
        <f>IF(A238="","",'Articles'!D238&amp;"")</f>
        <v/>
      </c>
      <c r="D238" s="39" t="str">
        <f>IF(A238="","",ROUND(N('Articles'!H238)+SUMIFS(mv_qty,mv_ref,A238,mv_type,"Entrée",mv_date,"&lt;"&amp;$E$1)-SUMIFS(mv_qty,mv_ref,A238,mv_type,"Sortie",mv_date,"&lt;"&amp;$E$1),6))</f>
        <v/>
      </c>
      <c r="E238" s="39" t="str">
        <f>IF(A238="","",SUMIFS(mv_qty,mv_ref,A238,mv_type,"Entrée",mv_date,"&gt;="&amp;$E$1,mv_date,"&lt;="&amp;$G$1))</f>
        <v/>
      </c>
      <c r="F238" s="39" t="str">
        <f>IF(A238="","",SUMIFS(mv_qty,mv_ref,A238,mv_type,"Sortie",mv_date,"&gt;="&amp;$E$1,mv_date,"&lt;="&amp;$G$1))</f>
        <v/>
      </c>
      <c r="G238" s="39" t="str">
        <f>IF(A238="","",ROUND(D238+E238-F238,6))</f>
        <v/>
      </c>
      <c r="H238" s="40" t="str">
        <f>IF(A238="","",G238*N('Articles'!G238))</f>
        <v/>
      </c>
    </row>
    <row r="239">
      <c r="A239" s="39" t="str">
        <f>IF('Articles'!A239="","",'Articles'!A239)</f>
        <v/>
      </c>
      <c r="B239" s="39" t="str">
        <f>IF(A239="","",'Articles'!B239&amp;"")</f>
        <v/>
      </c>
      <c r="C239" s="39" t="str">
        <f>IF(A239="","",'Articles'!D239&amp;"")</f>
        <v/>
      </c>
      <c r="D239" s="39" t="str">
        <f>IF(A239="","",ROUND(N('Articles'!H239)+SUMIFS(mv_qty,mv_ref,A239,mv_type,"Entrée",mv_date,"&lt;"&amp;$E$1)-SUMIFS(mv_qty,mv_ref,A239,mv_type,"Sortie",mv_date,"&lt;"&amp;$E$1),6))</f>
        <v/>
      </c>
      <c r="E239" s="39" t="str">
        <f>IF(A239="","",SUMIFS(mv_qty,mv_ref,A239,mv_type,"Entrée",mv_date,"&gt;="&amp;$E$1,mv_date,"&lt;="&amp;$G$1))</f>
        <v/>
      </c>
      <c r="F239" s="39" t="str">
        <f>IF(A239="","",SUMIFS(mv_qty,mv_ref,A239,mv_type,"Sortie",mv_date,"&gt;="&amp;$E$1,mv_date,"&lt;="&amp;$G$1))</f>
        <v/>
      </c>
      <c r="G239" s="39" t="str">
        <f>IF(A239="","",ROUND(D239+E239-F239,6))</f>
        <v/>
      </c>
      <c r="H239" s="40" t="str">
        <f>IF(A239="","",G239*N('Articles'!G239))</f>
        <v/>
      </c>
    </row>
    <row r="240">
      <c r="A240" s="39" t="str">
        <f>IF('Articles'!A240="","",'Articles'!A240)</f>
        <v/>
      </c>
      <c r="B240" s="39" t="str">
        <f>IF(A240="","",'Articles'!B240&amp;"")</f>
        <v/>
      </c>
      <c r="C240" s="39" t="str">
        <f>IF(A240="","",'Articles'!D240&amp;"")</f>
        <v/>
      </c>
      <c r="D240" s="39" t="str">
        <f>IF(A240="","",ROUND(N('Articles'!H240)+SUMIFS(mv_qty,mv_ref,A240,mv_type,"Entrée",mv_date,"&lt;"&amp;$E$1)-SUMIFS(mv_qty,mv_ref,A240,mv_type,"Sortie",mv_date,"&lt;"&amp;$E$1),6))</f>
        <v/>
      </c>
      <c r="E240" s="39" t="str">
        <f>IF(A240="","",SUMIFS(mv_qty,mv_ref,A240,mv_type,"Entrée",mv_date,"&gt;="&amp;$E$1,mv_date,"&lt;="&amp;$G$1))</f>
        <v/>
      </c>
      <c r="F240" s="39" t="str">
        <f>IF(A240="","",SUMIFS(mv_qty,mv_ref,A240,mv_type,"Sortie",mv_date,"&gt;="&amp;$E$1,mv_date,"&lt;="&amp;$G$1))</f>
        <v/>
      </c>
      <c r="G240" s="39" t="str">
        <f>IF(A240="","",ROUND(D240+E240-F240,6))</f>
        <v/>
      </c>
      <c r="H240" s="40" t="str">
        <f>IF(A240="","",G240*N('Articles'!G240))</f>
        <v/>
      </c>
    </row>
    <row r="241">
      <c r="A241" s="39" t="str">
        <f>IF('Articles'!A241="","",'Articles'!A241)</f>
        <v/>
      </c>
      <c r="B241" s="39" t="str">
        <f>IF(A241="","",'Articles'!B241&amp;"")</f>
        <v/>
      </c>
      <c r="C241" s="39" t="str">
        <f>IF(A241="","",'Articles'!D241&amp;"")</f>
        <v/>
      </c>
      <c r="D241" s="39" t="str">
        <f>IF(A241="","",ROUND(N('Articles'!H241)+SUMIFS(mv_qty,mv_ref,A241,mv_type,"Entrée",mv_date,"&lt;"&amp;$E$1)-SUMIFS(mv_qty,mv_ref,A241,mv_type,"Sortie",mv_date,"&lt;"&amp;$E$1),6))</f>
        <v/>
      </c>
      <c r="E241" s="39" t="str">
        <f>IF(A241="","",SUMIFS(mv_qty,mv_ref,A241,mv_type,"Entrée",mv_date,"&gt;="&amp;$E$1,mv_date,"&lt;="&amp;$G$1))</f>
        <v/>
      </c>
      <c r="F241" s="39" t="str">
        <f>IF(A241="","",SUMIFS(mv_qty,mv_ref,A241,mv_type,"Sortie",mv_date,"&gt;="&amp;$E$1,mv_date,"&lt;="&amp;$G$1))</f>
        <v/>
      </c>
      <c r="G241" s="39" t="str">
        <f>IF(A241="","",ROUND(D241+E241-F241,6))</f>
        <v/>
      </c>
      <c r="H241" s="40" t="str">
        <f>IF(A241="","",G241*N('Articles'!G241))</f>
        <v/>
      </c>
    </row>
    <row r="242">
      <c r="A242" s="39" t="str">
        <f>IF('Articles'!A242="","",'Articles'!A242)</f>
        <v/>
      </c>
      <c r="B242" s="39" t="str">
        <f>IF(A242="","",'Articles'!B242&amp;"")</f>
        <v/>
      </c>
      <c r="C242" s="39" t="str">
        <f>IF(A242="","",'Articles'!D242&amp;"")</f>
        <v/>
      </c>
      <c r="D242" s="39" t="str">
        <f>IF(A242="","",ROUND(N('Articles'!H242)+SUMIFS(mv_qty,mv_ref,A242,mv_type,"Entrée",mv_date,"&lt;"&amp;$E$1)-SUMIFS(mv_qty,mv_ref,A242,mv_type,"Sortie",mv_date,"&lt;"&amp;$E$1),6))</f>
        <v/>
      </c>
      <c r="E242" s="39" t="str">
        <f>IF(A242="","",SUMIFS(mv_qty,mv_ref,A242,mv_type,"Entrée",mv_date,"&gt;="&amp;$E$1,mv_date,"&lt;="&amp;$G$1))</f>
        <v/>
      </c>
      <c r="F242" s="39" t="str">
        <f>IF(A242="","",SUMIFS(mv_qty,mv_ref,A242,mv_type,"Sortie",mv_date,"&gt;="&amp;$E$1,mv_date,"&lt;="&amp;$G$1))</f>
        <v/>
      </c>
      <c r="G242" s="39" t="str">
        <f>IF(A242="","",ROUND(D242+E242-F242,6))</f>
        <v/>
      </c>
      <c r="H242" s="40" t="str">
        <f>IF(A242="","",G242*N('Articles'!G242))</f>
        <v/>
      </c>
    </row>
    <row r="243">
      <c r="A243" s="39" t="str">
        <f>IF('Articles'!A243="","",'Articles'!A243)</f>
        <v/>
      </c>
      <c r="B243" s="39" t="str">
        <f>IF(A243="","",'Articles'!B243&amp;"")</f>
        <v/>
      </c>
      <c r="C243" s="39" t="str">
        <f>IF(A243="","",'Articles'!D243&amp;"")</f>
        <v/>
      </c>
      <c r="D243" s="39" t="str">
        <f>IF(A243="","",ROUND(N('Articles'!H243)+SUMIFS(mv_qty,mv_ref,A243,mv_type,"Entrée",mv_date,"&lt;"&amp;$E$1)-SUMIFS(mv_qty,mv_ref,A243,mv_type,"Sortie",mv_date,"&lt;"&amp;$E$1),6))</f>
        <v/>
      </c>
      <c r="E243" s="39" t="str">
        <f>IF(A243="","",SUMIFS(mv_qty,mv_ref,A243,mv_type,"Entrée",mv_date,"&gt;="&amp;$E$1,mv_date,"&lt;="&amp;$G$1))</f>
        <v/>
      </c>
      <c r="F243" s="39" t="str">
        <f>IF(A243="","",SUMIFS(mv_qty,mv_ref,A243,mv_type,"Sortie",mv_date,"&gt;="&amp;$E$1,mv_date,"&lt;="&amp;$G$1))</f>
        <v/>
      </c>
      <c r="G243" s="39" t="str">
        <f>IF(A243="","",ROUND(D243+E243-F243,6))</f>
        <v/>
      </c>
      <c r="H243" s="40" t="str">
        <f>IF(A243="","",G243*N('Articles'!G243))</f>
        <v/>
      </c>
    </row>
    <row r="244">
      <c r="A244" s="39" t="str">
        <f>IF('Articles'!A244="","",'Articles'!A244)</f>
        <v/>
      </c>
      <c r="B244" s="39" t="str">
        <f>IF(A244="","",'Articles'!B244&amp;"")</f>
        <v/>
      </c>
      <c r="C244" s="39" t="str">
        <f>IF(A244="","",'Articles'!D244&amp;"")</f>
        <v/>
      </c>
      <c r="D244" s="39" t="str">
        <f>IF(A244="","",ROUND(N('Articles'!H244)+SUMIFS(mv_qty,mv_ref,A244,mv_type,"Entrée",mv_date,"&lt;"&amp;$E$1)-SUMIFS(mv_qty,mv_ref,A244,mv_type,"Sortie",mv_date,"&lt;"&amp;$E$1),6))</f>
        <v/>
      </c>
      <c r="E244" s="39" t="str">
        <f>IF(A244="","",SUMIFS(mv_qty,mv_ref,A244,mv_type,"Entrée",mv_date,"&gt;="&amp;$E$1,mv_date,"&lt;="&amp;$G$1))</f>
        <v/>
      </c>
      <c r="F244" s="39" t="str">
        <f>IF(A244="","",SUMIFS(mv_qty,mv_ref,A244,mv_type,"Sortie",mv_date,"&gt;="&amp;$E$1,mv_date,"&lt;="&amp;$G$1))</f>
        <v/>
      </c>
      <c r="G244" s="39" t="str">
        <f>IF(A244="","",ROUND(D244+E244-F244,6))</f>
        <v/>
      </c>
      <c r="H244" s="40" t="str">
        <f>IF(A244="","",G244*N('Articles'!G244))</f>
        <v/>
      </c>
    </row>
    <row r="245">
      <c r="A245" s="39" t="str">
        <f>IF('Articles'!A245="","",'Articles'!A245)</f>
        <v/>
      </c>
      <c r="B245" s="39" t="str">
        <f>IF(A245="","",'Articles'!B245&amp;"")</f>
        <v/>
      </c>
      <c r="C245" s="39" t="str">
        <f>IF(A245="","",'Articles'!D245&amp;"")</f>
        <v/>
      </c>
      <c r="D245" s="39" t="str">
        <f>IF(A245="","",ROUND(N('Articles'!H245)+SUMIFS(mv_qty,mv_ref,A245,mv_type,"Entrée",mv_date,"&lt;"&amp;$E$1)-SUMIFS(mv_qty,mv_ref,A245,mv_type,"Sortie",mv_date,"&lt;"&amp;$E$1),6))</f>
        <v/>
      </c>
      <c r="E245" s="39" t="str">
        <f>IF(A245="","",SUMIFS(mv_qty,mv_ref,A245,mv_type,"Entrée",mv_date,"&gt;="&amp;$E$1,mv_date,"&lt;="&amp;$G$1))</f>
        <v/>
      </c>
      <c r="F245" s="39" t="str">
        <f>IF(A245="","",SUMIFS(mv_qty,mv_ref,A245,mv_type,"Sortie",mv_date,"&gt;="&amp;$E$1,mv_date,"&lt;="&amp;$G$1))</f>
        <v/>
      </c>
      <c r="G245" s="39" t="str">
        <f>IF(A245="","",ROUND(D245+E245-F245,6))</f>
        <v/>
      </c>
      <c r="H245" s="40" t="str">
        <f>IF(A245="","",G245*N('Articles'!G245))</f>
        <v/>
      </c>
    </row>
    <row r="246">
      <c r="A246" s="39" t="str">
        <f>IF('Articles'!A246="","",'Articles'!A246)</f>
        <v/>
      </c>
      <c r="B246" s="39" t="str">
        <f>IF(A246="","",'Articles'!B246&amp;"")</f>
        <v/>
      </c>
      <c r="C246" s="39" t="str">
        <f>IF(A246="","",'Articles'!D246&amp;"")</f>
        <v/>
      </c>
      <c r="D246" s="39" t="str">
        <f>IF(A246="","",ROUND(N('Articles'!H246)+SUMIFS(mv_qty,mv_ref,A246,mv_type,"Entrée",mv_date,"&lt;"&amp;$E$1)-SUMIFS(mv_qty,mv_ref,A246,mv_type,"Sortie",mv_date,"&lt;"&amp;$E$1),6))</f>
        <v/>
      </c>
      <c r="E246" s="39" t="str">
        <f>IF(A246="","",SUMIFS(mv_qty,mv_ref,A246,mv_type,"Entrée",mv_date,"&gt;="&amp;$E$1,mv_date,"&lt;="&amp;$G$1))</f>
        <v/>
      </c>
      <c r="F246" s="39" t="str">
        <f>IF(A246="","",SUMIFS(mv_qty,mv_ref,A246,mv_type,"Sortie",mv_date,"&gt;="&amp;$E$1,mv_date,"&lt;="&amp;$G$1))</f>
        <v/>
      </c>
      <c r="G246" s="39" t="str">
        <f>IF(A246="","",ROUND(D246+E246-F246,6))</f>
        <v/>
      </c>
      <c r="H246" s="40" t="str">
        <f>IF(A246="","",G246*N('Articles'!G246))</f>
        <v/>
      </c>
    </row>
    <row r="247">
      <c r="A247" s="39" t="str">
        <f>IF('Articles'!A247="","",'Articles'!A247)</f>
        <v/>
      </c>
      <c r="B247" s="39" t="str">
        <f>IF(A247="","",'Articles'!B247&amp;"")</f>
        <v/>
      </c>
      <c r="C247" s="39" t="str">
        <f>IF(A247="","",'Articles'!D247&amp;"")</f>
        <v/>
      </c>
      <c r="D247" s="39" t="str">
        <f>IF(A247="","",ROUND(N('Articles'!H247)+SUMIFS(mv_qty,mv_ref,A247,mv_type,"Entrée",mv_date,"&lt;"&amp;$E$1)-SUMIFS(mv_qty,mv_ref,A247,mv_type,"Sortie",mv_date,"&lt;"&amp;$E$1),6))</f>
        <v/>
      </c>
      <c r="E247" s="39" t="str">
        <f>IF(A247="","",SUMIFS(mv_qty,mv_ref,A247,mv_type,"Entrée",mv_date,"&gt;="&amp;$E$1,mv_date,"&lt;="&amp;$G$1))</f>
        <v/>
      </c>
      <c r="F247" s="39" t="str">
        <f>IF(A247="","",SUMIFS(mv_qty,mv_ref,A247,mv_type,"Sortie",mv_date,"&gt;="&amp;$E$1,mv_date,"&lt;="&amp;$G$1))</f>
        <v/>
      </c>
      <c r="G247" s="39" t="str">
        <f>IF(A247="","",ROUND(D247+E247-F247,6))</f>
        <v/>
      </c>
      <c r="H247" s="40" t="str">
        <f>IF(A247="","",G247*N('Articles'!G247))</f>
        <v/>
      </c>
    </row>
    <row r="248">
      <c r="A248" s="39" t="str">
        <f>IF('Articles'!A248="","",'Articles'!A248)</f>
        <v/>
      </c>
      <c r="B248" s="39" t="str">
        <f>IF(A248="","",'Articles'!B248&amp;"")</f>
        <v/>
      </c>
      <c r="C248" s="39" t="str">
        <f>IF(A248="","",'Articles'!D248&amp;"")</f>
        <v/>
      </c>
      <c r="D248" s="39" t="str">
        <f>IF(A248="","",ROUND(N('Articles'!H248)+SUMIFS(mv_qty,mv_ref,A248,mv_type,"Entrée",mv_date,"&lt;"&amp;$E$1)-SUMIFS(mv_qty,mv_ref,A248,mv_type,"Sortie",mv_date,"&lt;"&amp;$E$1),6))</f>
        <v/>
      </c>
      <c r="E248" s="39" t="str">
        <f>IF(A248="","",SUMIFS(mv_qty,mv_ref,A248,mv_type,"Entrée",mv_date,"&gt;="&amp;$E$1,mv_date,"&lt;="&amp;$G$1))</f>
        <v/>
      </c>
      <c r="F248" s="39" t="str">
        <f>IF(A248="","",SUMIFS(mv_qty,mv_ref,A248,mv_type,"Sortie",mv_date,"&gt;="&amp;$E$1,mv_date,"&lt;="&amp;$G$1))</f>
        <v/>
      </c>
      <c r="G248" s="39" t="str">
        <f>IF(A248="","",ROUND(D248+E248-F248,6))</f>
        <v/>
      </c>
      <c r="H248" s="40" t="str">
        <f>IF(A248="","",G248*N('Articles'!G248))</f>
        <v/>
      </c>
    </row>
    <row r="249">
      <c r="A249" s="39" t="str">
        <f>IF('Articles'!A249="","",'Articles'!A249)</f>
        <v/>
      </c>
      <c r="B249" s="39" t="str">
        <f>IF(A249="","",'Articles'!B249&amp;"")</f>
        <v/>
      </c>
      <c r="C249" s="39" t="str">
        <f>IF(A249="","",'Articles'!D249&amp;"")</f>
        <v/>
      </c>
      <c r="D249" s="39" t="str">
        <f>IF(A249="","",ROUND(N('Articles'!H249)+SUMIFS(mv_qty,mv_ref,A249,mv_type,"Entrée",mv_date,"&lt;"&amp;$E$1)-SUMIFS(mv_qty,mv_ref,A249,mv_type,"Sortie",mv_date,"&lt;"&amp;$E$1),6))</f>
        <v/>
      </c>
      <c r="E249" s="39" t="str">
        <f>IF(A249="","",SUMIFS(mv_qty,mv_ref,A249,mv_type,"Entrée",mv_date,"&gt;="&amp;$E$1,mv_date,"&lt;="&amp;$G$1))</f>
        <v/>
      </c>
      <c r="F249" s="39" t="str">
        <f>IF(A249="","",SUMIFS(mv_qty,mv_ref,A249,mv_type,"Sortie",mv_date,"&gt;="&amp;$E$1,mv_date,"&lt;="&amp;$G$1))</f>
        <v/>
      </c>
      <c r="G249" s="39" t="str">
        <f>IF(A249="","",ROUND(D249+E249-F249,6))</f>
        <v/>
      </c>
      <c r="H249" s="40" t="str">
        <f>IF(A249="","",G249*N('Articles'!G249))</f>
        <v/>
      </c>
    </row>
    <row r="250">
      <c r="A250" s="39" t="str">
        <f>IF('Articles'!A250="","",'Articles'!A250)</f>
        <v/>
      </c>
      <c r="B250" s="39" t="str">
        <f>IF(A250="","",'Articles'!B250&amp;"")</f>
        <v/>
      </c>
      <c r="C250" s="39" t="str">
        <f>IF(A250="","",'Articles'!D250&amp;"")</f>
        <v/>
      </c>
      <c r="D250" s="39" t="str">
        <f>IF(A250="","",ROUND(N('Articles'!H250)+SUMIFS(mv_qty,mv_ref,A250,mv_type,"Entrée",mv_date,"&lt;"&amp;$E$1)-SUMIFS(mv_qty,mv_ref,A250,mv_type,"Sortie",mv_date,"&lt;"&amp;$E$1),6))</f>
        <v/>
      </c>
      <c r="E250" s="39" t="str">
        <f>IF(A250="","",SUMIFS(mv_qty,mv_ref,A250,mv_type,"Entrée",mv_date,"&gt;="&amp;$E$1,mv_date,"&lt;="&amp;$G$1))</f>
        <v/>
      </c>
      <c r="F250" s="39" t="str">
        <f>IF(A250="","",SUMIFS(mv_qty,mv_ref,A250,mv_type,"Sortie",mv_date,"&gt;="&amp;$E$1,mv_date,"&lt;="&amp;$G$1))</f>
        <v/>
      </c>
      <c r="G250" s="39" t="str">
        <f>IF(A250="","",ROUND(D250+E250-F250,6))</f>
        <v/>
      </c>
      <c r="H250" s="40" t="str">
        <f>IF(A250="","",G250*N('Articles'!G250))</f>
        <v/>
      </c>
    </row>
    <row r="251">
      <c r="A251" s="39" t="str">
        <f>IF('Articles'!A251="","",'Articles'!A251)</f>
        <v/>
      </c>
      <c r="B251" s="39" t="str">
        <f>IF(A251="","",'Articles'!B251&amp;"")</f>
        <v/>
      </c>
      <c r="C251" s="39" t="str">
        <f>IF(A251="","",'Articles'!D251&amp;"")</f>
        <v/>
      </c>
      <c r="D251" s="39" t="str">
        <f>IF(A251="","",ROUND(N('Articles'!H251)+SUMIFS(mv_qty,mv_ref,A251,mv_type,"Entrée",mv_date,"&lt;"&amp;$E$1)-SUMIFS(mv_qty,mv_ref,A251,mv_type,"Sortie",mv_date,"&lt;"&amp;$E$1),6))</f>
        <v/>
      </c>
      <c r="E251" s="39" t="str">
        <f>IF(A251="","",SUMIFS(mv_qty,mv_ref,A251,mv_type,"Entrée",mv_date,"&gt;="&amp;$E$1,mv_date,"&lt;="&amp;$G$1))</f>
        <v/>
      </c>
      <c r="F251" s="39" t="str">
        <f>IF(A251="","",SUMIFS(mv_qty,mv_ref,A251,mv_type,"Sortie",mv_date,"&gt;="&amp;$E$1,mv_date,"&lt;="&amp;$G$1))</f>
        <v/>
      </c>
      <c r="G251" s="39" t="str">
        <f>IF(A251="","",ROUND(D251+E251-F251,6))</f>
        <v/>
      </c>
      <c r="H251" s="40" t="str">
        <f>IF(A251="","",G251*N('Articles'!G251))</f>
        <v/>
      </c>
    </row>
    <row r="252">
      <c r="A252" s="39" t="str">
        <f>IF('Articles'!A252="","",'Articles'!A252)</f>
        <v/>
      </c>
      <c r="B252" s="39" t="str">
        <f>IF(A252="","",'Articles'!B252&amp;"")</f>
        <v/>
      </c>
      <c r="C252" s="39" t="str">
        <f>IF(A252="","",'Articles'!D252&amp;"")</f>
        <v/>
      </c>
      <c r="D252" s="39" t="str">
        <f>IF(A252="","",ROUND(N('Articles'!H252)+SUMIFS(mv_qty,mv_ref,A252,mv_type,"Entrée",mv_date,"&lt;"&amp;$E$1)-SUMIFS(mv_qty,mv_ref,A252,mv_type,"Sortie",mv_date,"&lt;"&amp;$E$1),6))</f>
        <v/>
      </c>
      <c r="E252" s="39" t="str">
        <f>IF(A252="","",SUMIFS(mv_qty,mv_ref,A252,mv_type,"Entrée",mv_date,"&gt;="&amp;$E$1,mv_date,"&lt;="&amp;$G$1))</f>
        <v/>
      </c>
      <c r="F252" s="39" t="str">
        <f>IF(A252="","",SUMIFS(mv_qty,mv_ref,A252,mv_type,"Sortie",mv_date,"&gt;="&amp;$E$1,mv_date,"&lt;="&amp;$G$1))</f>
        <v/>
      </c>
      <c r="G252" s="39" t="str">
        <f>IF(A252="","",ROUND(D252+E252-F252,6))</f>
        <v/>
      </c>
      <c r="H252" s="40" t="str">
        <f>IF(A252="","",G252*N('Articles'!G252))</f>
        <v/>
      </c>
    </row>
    <row r="253">
      <c r="A253" s="39" t="str">
        <f>IF('Articles'!A253="","",'Articles'!A253)</f>
        <v/>
      </c>
      <c r="B253" s="39" t="str">
        <f>IF(A253="","",'Articles'!B253&amp;"")</f>
        <v/>
      </c>
      <c r="C253" s="39" t="str">
        <f>IF(A253="","",'Articles'!D253&amp;"")</f>
        <v/>
      </c>
      <c r="D253" s="39" t="str">
        <f>IF(A253="","",ROUND(N('Articles'!H253)+SUMIFS(mv_qty,mv_ref,A253,mv_type,"Entrée",mv_date,"&lt;"&amp;$E$1)-SUMIFS(mv_qty,mv_ref,A253,mv_type,"Sortie",mv_date,"&lt;"&amp;$E$1),6))</f>
        <v/>
      </c>
      <c r="E253" s="39" t="str">
        <f>IF(A253="","",SUMIFS(mv_qty,mv_ref,A253,mv_type,"Entrée",mv_date,"&gt;="&amp;$E$1,mv_date,"&lt;="&amp;$G$1))</f>
        <v/>
      </c>
      <c r="F253" s="39" t="str">
        <f>IF(A253="","",SUMIFS(mv_qty,mv_ref,A253,mv_type,"Sortie",mv_date,"&gt;="&amp;$E$1,mv_date,"&lt;="&amp;$G$1))</f>
        <v/>
      </c>
      <c r="G253" s="39" t="str">
        <f>IF(A253="","",ROUND(D253+E253-F253,6))</f>
        <v/>
      </c>
      <c r="H253" s="40" t="str">
        <f>IF(A253="","",G253*N('Articles'!G253))</f>
        <v/>
      </c>
    </row>
    <row r="254">
      <c r="A254" s="39" t="str">
        <f>IF('Articles'!A254="","",'Articles'!A254)</f>
        <v/>
      </c>
      <c r="B254" s="39" t="str">
        <f>IF(A254="","",'Articles'!B254&amp;"")</f>
        <v/>
      </c>
      <c r="C254" s="39" t="str">
        <f>IF(A254="","",'Articles'!D254&amp;"")</f>
        <v/>
      </c>
      <c r="D254" s="39" t="str">
        <f>IF(A254="","",ROUND(N('Articles'!H254)+SUMIFS(mv_qty,mv_ref,A254,mv_type,"Entrée",mv_date,"&lt;"&amp;$E$1)-SUMIFS(mv_qty,mv_ref,A254,mv_type,"Sortie",mv_date,"&lt;"&amp;$E$1),6))</f>
        <v/>
      </c>
      <c r="E254" s="39" t="str">
        <f>IF(A254="","",SUMIFS(mv_qty,mv_ref,A254,mv_type,"Entrée",mv_date,"&gt;="&amp;$E$1,mv_date,"&lt;="&amp;$G$1))</f>
        <v/>
      </c>
      <c r="F254" s="39" t="str">
        <f>IF(A254="","",SUMIFS(mv_qty,mv_ref,A254,mv_type,"Sortie",mv_date,"&gt;="&amp;$E$1,mv_date,"&lt;="&amp;$G$1))</f>
        <v/>
      </c>
      <c r="G254" s="39" t="str">
        <f>IF(A254="","",ROUND(D254+E254-F254,6))</f>
        <v/>
      </c>
      <c r="H254" s="40" t="str">
        <f>IF(A254="","",G254*N('Articles'!G254))</f>
        <v/>
      </c>
    </row>
    <row r="255">
      <c r="A255" s="39" t="str">
        <f>IF('Articles'!A255="","",'Articles'!A255)</f>
        <v/>
      </c>
      <c r="B255" s="39" t="str">
        <f>IF(A255="","",'Articles'!B255&amp;"")</f>
        <v/>
      </c>
      <c r="C255" s="39" t="str">
        <f>IF(A255="","",'Articles'!D255&amp;"")</f>
        <v/>
      </c>
      <c r="D255" s="39" t="str">
        <f>IF(A255="","",ROUND(N('Articles'!H255)+SUMIFS(mv_qty,mv_ref,A255,mv_type,"Entrée",mv_date,"&lt;"&amp;$E$1)-SUMIFS(mv_qty,mv_ref,A255,mv_type,"Sortie",mv_date,"&lt;"&amp;$E$1),6))</f>
        <v/>
      </c>
      <c r="E255" s="39" t="str">
        <f>IF(A255="","",SUMIFS(mv_qty,mv_ref,A255,mv_type,"Entrée",mv_date,"&gt;="&amp;$E$1,mv_date,"&lt;="&amp;$G$1))</f>
        <v/>
      </c>
      <c r="F255" s="39" t="str">
        <f>IF(A255="","",SUMIFS(mv_qty,mv_ref,A255,mv_type,"Sortie",mv_date,"&gt;="&amp;$E$1,mv_date,"&lt;="&amp;$G$1))</f>
        <v/>
      </c>
      <c r="G255" s="39" t="str">
        <f>IF(A255="","",ROUND(D255+E255-F255,6))</f>
        <v/>
      </c>
      <c r="H255" s="40" t="str">
        <f>IF(A255="","",G255*N('Articles'!G255))</f>
        <v/>
      </c>
    </row>
    <row r="256">
      <c r="A256" s="39" t="str">
        <f>IF('Articles'!A256="","",'Articles'!A256)</f>
        <v/>
      </c>
      <c r="B256" s="39" t="str">
        <f>IF(A256="","",'Articles'!B256&amp;"")</f>
        <v/>
      </c>
      <c r="C256" s="39" t="str">
        <f>IF(A256="","",'Articles'!D256&amp;"")</f>
        <v/>
      </c>
      <c r="D256" s="39" t="str">
        <f>IF(A256="","",ROUND(N('Articles'!H256)+SUMIFS(mv_qty,mv_ref,A256,mv_type,"Entrée",mv_date,"&lt;"&amp;$E$1)-SUMIFS(mv_qty,mv_ref,A256,mv_type,"Sortie",mv_date,"&lt;"&amp;$E$1),6))</f>
        <v/>
      </c>
      <c r="E256" s="39" t="str">
        <f>IF(A256="","",SUMIFS(mv_qty,mv_ref,A256,mv_type,"Entrée",mv_date,"&gt;="&amp;$E$1,mv_date,"&lt;="&amp;$G$1))</f>
        <v/>
      </c>
      <c r="F256" s="39" t="str">
        <f>IF(A256="","",SUMIFS(mv_qty,mv_ref,A256,mv_type,"Sortie",mv_date,"&gt;="&amp;$E$1,mv_date,"&lt;="&amp;$G$1))</f>
        <v/>
      </c>
      <c r="G256" s="39" t="str">
        <f>IF(A256="","",ROUND(D256+E256-F256,6))</f>
        <v/>
      </c>
      <c r="H256" s="40" t="str">
        <f>IF(A256="","",G256*N('Articles'!G256))</f>
        <v/>
      </c>
    </row>
    <row r="257">
      <c r="A257" s="39" t="str">
        <f>IF('Articles'!A257="","",'Articles'!A257)</f>
        <v/>
      </c>
      <c r="B257" s="39" t="str">
        <f>IF(A257="","",'Articles'!B257&amp;"")</f>
        <v/>
      </c>
      <c r="C257" s="39" t="str">
        <f>IF(A257="","",'Articles'!D257&amp;"")</f>
        <v/>
      </c>
      <c r="D257" s="39" t="str">
        <f>IF(A257="","",ROUND(N('Articles'!H257)+SUMIFS(mv_qty,mv_ref,A257,mv_type,"Entrée",mv_date,"&lt;"&amp;$E$1)-SUMIFS(mv_qty,mv_ref,A257,mv_type,"Sortie",mv_date,"&lt;"&amp;$E$1),6))</f>
        <v/>
      </c>
      <c r="E257" s="39" t="str">
        <f>IF(A257="","",SUMIFS(mv_qty,mv_ref,A257,mv_type,"Entrée",mv_date,"&gt;="&amp;$E$1,mv_date,"&lt;="&amp;$G$1))</f>
        <v/>
      </c>
      <c r="F257" s="39" t="str">
        <f>IF(A257="","",SUMIFS(mv_qty,mv_ref,A257,mv_type,"Sortie",mv_date,"&gt;="&amp;$E$1,mv_date,"&lt;="&amp;$G$1))</f>
        <v/>
      </c>
      <c r="G257" s="39" t="str">
        <f>IF(A257="","",ROUND(D257+E257-F257,6))</f>
        <v/>
      </c>
      <c r="H257" s="40" t="str">
        <f>IF(A257="","",G257*N('Articles'!G257))</f>
        <v/>
      </c>
    </row>
    <row r="258">
      <c r="A258" s="39" t="str">
        <f>IF('Articles'!A258="","",'Articles'!A258)</f>
        <v/>
      </c>
      <c r="B258" s="39" t="str">
        <f>IF(A258="","",'Articles'!B258&amp;"")</f>
        <v/>
      </c>
      <c r="C258" s="39" t="str">
        <f>IF(A258="","",'Articles'!D258&amp;"")</f>
        <v/>
      </c>
      <c r="D258" s="39" t="str">
        <f>IF(A258="","",ROUND(N('Articles'!H258)+SUMIFS(mv_qty,mv_ref,A258,mv_type,"Entrée",mv_date,"&lt;"&amp;$E$1)-SUMIFS(mv_qty,mv_ref,A258,mv_type,"Sortie",mv_date,"&lt;"&amp;$E$1),6))</f>
        <v/>
      </c>
      <c r="E258" s="39" t="str">
        <f>IF(A258="","",SUMIFS(mv_qty,mv_ref,A258,mv_type,"Entrée",mv_date,"&gt;="&amp;$E$1,mv_date,"&lt;="&amp;$G$1))</f>
        <v/>
      </c>
      <c r="F258" s="39" t="str">
        <f>IF(A258="","",SUMIFS(mv_qty,mv_ref,A258,mv_type,"Sortie",mv_date,"&gt;="&amp;$E$1,mv_date,"&lt;="&amp;$G$1))</f>
        <v/>
      </c>
      <c r="G258" s="39" t="str">
        <f>IF(A258="","",ROUND(D258+E258-F258,6))</f>
        <v/>
      </c>
      <c r="H258" s="40" t="str">
        <f>IF(A258="","",G258*N('Articles'!G258))</f>
        <v/>
      </c>
    </row>
    <row r="259">
      <c r="A259" s="39" t="str">
        <f>IF('Articles'!A259="","",'Articles'!A259)</f>
        <v/>
      </c>
      <c r="B259" s="39" t="str">
        <f>IF(A259="","",'Articles'!B259&amp;"")</f>
        <v/>
      </c>
      <c r="C259" s="39" t="str">
        <f>IF(A259="","",'Articles'!D259&amp;"")</f>
        <v/>
      </c>
      <c r="D259" s="39" t="str">
        <f>IF(A259="","",ROUND(N('Articles'!H259)+SUMIFS(mv_qty,mv_ref,A259,mv_type,"Entrée",mv_date,"&lt;"&amp;$E$1)-SUMIFS(mv_qty,mv_ref,A259,mv_type,"Sortie",mv_date,"&lt;"&amp;$E$1),6))</f>
        <v/>
      </c>
      <c r="E259" s="39" t="str">
        <f>IF(A259="","",SUMIFS(mv_qty,mv_ref,A259,mv_type,"Entrée",mv_date,"&gt;="&amp;$E$1,mv_date,"&lt;="&amp;$G$1))</f>
        <v/>
      </c>
      <c r="F259" s="39" t="str">
        <f>IF(A259="","",SUMIFS(mv_qty,mv_ref,A259,mv_type,"Sortie",mv_date,"&gt;="&amp;$E$1,mv_date,"&lt;="&amp;$G$1))</f>
        <v/>
      </c>
      <c r="G259" s="39" t="str">
        <f>IF(A259="","",ROUND(D259+E259-F259,6))</f>
        <v/>
      </c>
      <c r="H259" s="40" t="str">
        <f>IF(A259="","",G259*N('Articles'!G259))</f>
        <v/>
      </c>
    </row>
    <row r="260">
      <c r="A260" s="39" t="str">
        <f>IF('Articles'!A260="","",'Articles'!A260)</f>
        <v/>
      </c>
      <c r="B260" s="39" t="str">
        <f>IF(A260="","",'Articles'!B260&amp;"")</f>
        <v/>
      </c>
      <c r="C260" s="39" t="str">
        <f>IF(A260="","",'Articles'!D260&amp;"")</f>
        <v/>
      </c>
      <c r="D260" s="39" t="str">
        <f>IF(A260="","",ROUND(N('Articles'!H260)+SUMIFS(mv_qty,mv_ref,A260,mv_type,"Entrée",mv_date,"&lt;"&amp;$E$1)-SUMIFS(mv_qty,mv_ref,A260,mv_type,"Sortie",mv_date,"&lt;"&amp;$E$1),6))</f>
        <v/>
      </c>
      <c r="E260" s="39" t="str">
        <f>IF(A260="","",SUMIFS(mv_qty,mv_ref,A260,mv_type,"Entrée",mv_date,"&gt;="&amp;$E$1,mv_date,"&lt;="&amp;$G$1))</f>
        <v/>
      </c>
      <c r="F260" s="39" t="str">
        <f>IF(A260="","",SUMIFS(mv_qty,mv_ref,A260,mv_type,"Sortie",mv_date,"&gt;="&amp;$E$1,mv_date,"&lt;="&amp;$G$1))</f>
        <v/>
      </c>
      <c r="G260" s="39" t="str">
        <f>IF(A260="","",ROUND(D260+E260-F260,6))</f>
        <v/>
      </c>
      <c r="H260" s="40" t="str">
        <f>IF(A260="","",G260*N('Articles'!G260))</f>
        <v/>
      </c>
    </row>
    <row r="261">
      <c r="A261" s="39" t="str">
        <f>IF('Articles'!A261="","",'Articles'!A261)</f>
        <v/>
      </c>
      <c r="B261" s="39" t="str">
        <f>IF(A261="","",'Articles'!B261&amp;"")</f>
        <v/>
      </c>
      <c r="C261" s="39" t="str">
        <f>IF(A261="","",'Articles'!D261&amp;"")</f>
        <v/>
      </c>
      <c r="D261" s="39" t="str">
        <f>IF(A261="","",ROUND(N('Articles'!H261)+SUMIFS(mv_qty,mv_ref,A261,mv_type,"Entrée",mv_date,"&lt;"&amp;$E$1)-SUMIFS(mv_qty,mv_ref,A261,mv_type,"Sortie",mv_date,"&lt;"&amp;$E$1),6))</f>
        <v/>
      </c>
      <c r="E261" s="39" t="str">
        <f>IF(A261="","",SUMIFS(mv_qty,mv_ref,A261,mv_type,"Entrée",mv_date,"&gt;="&amp;$E$1,mv_date,"&lt;="&amp;$G$1))</f>
        <v/>
      </c>
      <c r="F261" s="39" t="str">
        <f>IF(A261="","",SUMIFS(mv_qty,mv_ref,A261,mv_type,"Sortie",mv_date,"&gt;="&amp;$E$1,mv_date,"&lt;="&amp;$G$1))</f>
        <v/>
      </c>
      <c r="G261" s="39" t="str">
        <f>IF(A261="","",ROUND(D261+E261-F261,6))</f>
        <v/>
      </c>
      <c r="H261" s="40" t="str">
        <f>IF(A261="","",G261*N('Articles'!G261))</f>
        <v/>
      </c>
    </row>
    <row r="262">
      <c r="A262" s="39" t="str">
        <f>IF('Articles'!A262="","",'Articles'!A262)</f>
        <v/>
      </c>
      <c r="B262" s="39" t="str">
        <f>IF(A262="","",'Articles'!B262&amp;"")</f>
        <v/>
      </c>
      <c r="C262" s="39" t="str">
        <f>IF(A262="","",'Articles'!D262&amp;"")</f>
        <v/>
      </c>
      <c r="D262" s="39" t="str">
        <f>IF(A262="","",ROUND(N('Articles'!H262)+SUMIFS(mv_qty,mv_ref,A262,mv_type,"Entrée",mv_date,"&lt;"&amp;$E$1)-SUMIFS(mv_qty,mv_ref,A262,mv_type,"Sortie",mv_date,"&lt;"&amp;$E$1),6))</f>
        <v/>
      </c>
      <c r="E262" s="39" t="str">
        <f>IF(A262="","",SUMIFS(mv_qty,mv_ref,A262,mv_type,"Entrée",mv_date,"&gt;="&amp;$E$1,mv_date,"&lt;="&amp;$G$1))</f>
        <v/>
      </c>
      <c r="F262" s="39" t="str">
        <f>IF(A262="","",SUMIFS(mv_qty,mv_ref,A262,mv_type,"Sortie",mv_date,"&gt;="&amp;$E$1,mv_date,"&lt;="&amp;$G$1))</f>
        <v/>
      </c>
      <c r="G262" s="39" t="str">
        <f>IF(A262="","",ROUND(D262+E262-F262,6))</f>
        <v/>
      </c>
      <c r="H262" s="40" t="str">
        <f>IF(A262="","",G262*N('Articles'!G262))</f>
        <v/>
      </c>
    </row>
    <row r="263">
      <c r="A263" s="39" t="str">
        <f>IF('Articles'!A263="","",'Articles'!A263)</f>
        <v/>
      </c>
      <c r="B263" s="39" t="str">
        <f>IF(A263="","",'Articles'!B263&amp;"")</f>
        <v/>
      </c>
      <c r="C263" s="39" t="str">
        <f>IF(A263="","",'Articles'!D263&amp;"")</f>
        <v/>
      </c>
      <c r="D263" s="39" t="str">
        <f>IF(A263="","",ROUND(N('Articles'!H263)+SUMIFS(mv_qty,mv_ref,A263,mv_type,"Entrée",mv_date,"&lt;"&amp;$E$1)-SUMIFS(mv_qty,mv_ref,A263,mv_type,"Sortie",mv_date,"&lt;"&amp;$E$1),6))</f>
        <v/>
      </c>
      <c r="E263" s="39" t="str">
        <f>IF(A263="","",SUMIFS(mv_qty,mv_ref,A263,mv_type,"Entrée",mv_date,"&gt;="&amp;$E$1,mv_date,"&lt;="&amp;$G$1))</f>
        <v/>
      </c>
      <c r="F263" s="39" t="str">
        <f>IF(A263="","",SUMIFS(mv_qty,mv_ref,A263,mv_type,"Sortie",mv_date,"&gt;="&amp;$E$1,mv_date,"&lt;="&amp;$G$1))</f>
        <v/>
      </c>
      <c r="G263" s="39" t="str">
        <f>IF(A263="","",ROUND(D263+E263-F263,6))</f>
        <v/>
      </c>
      <c r="H263" s="40" t="str">
        <f>IF(A263="","",G263*N('Articles'!G263))</f>
        <v/>
      </c>
    </row>
    <row r="264">
      <c r="A264" s="39" t="str">
        <f>IF('Articles'!A264="","",'Articles'!A264)</f>
        <v/>
      </c>
      <c r="B264" s="39" t="str">
        <f>IF(A264="","",'Articles'!B264&amp;"")</f>
        <v/>
      </c>
      <c r="C264" s="39" t="str">
        <f>IF(A264="","",'Articles'!D264&amp;"")</f>
        <v/>
      </c>
      <c r="D264" s="39" t="str">
        <f>IF(A264="","",ROUND(N('Articles'!H264)+SUMIFS(mv_qty,mv_ref,A264,mv_type,"Entrée",mv_date,"&lt;"&amp;$E$1)-SUMIFS(mv_qty,mv_ref,A264,mv_type,"Sortie",mv_date,"&lt;"&amp;$E$1),6))</f>
        <v/>
      </c>
      <c r="E264" s="39" t="str">
        <f>IF(A264="","",SUMIFS(mv_qty,mv_ref,A264,mv_type,"Entrée",mv_date,"&gt;="&amp;$E$1,mv_date,"&lt;="&amp;$G$1))</f>
        <v/>
      </c>
      <c r="F264" s="39" t="str">
        <f>IF(A264="","",SUMIFS(mv_qty,mv_ref,A264,mv_type,"Sortie",mv_date,"&gt;="&amp;$E$1,mv_date,"&lt;="&amp;$G$1))</f>
        <v/>
      </c>
      <c r="G264" s="39" t="str">
        <f>IF(A264="","",ROUND(D264+E264-F264,6))</f>
        <v/>
      </c>
      <c r="H264" s="40" t="str">
        <f>IF(A264="","",G264*N('Articles'!G264))</f>
        <v/>
      </c>
    </row>
    <row r="265">
      <c r="A265" s="39" t="str">
        <f>IF('Articles'!A265="","",'Articles'!A265)</f>
        <v/>
      </c>
      <c r="B265" s="39" t="str">
        <f>IF(A265="","",'Articles'!B265&amp;"")</f>
        <v/>
      </c>
      <c r="C265" s="39" t="str">
        <f>IF(A265="","",'Articles'!D265&amp;"")</f>
        <v/>
      </c>
      <c r="D265" s="39" t="str">
        <f>IF(A265="","",ROUND(N('Articles'!H265)+SUMIFS(mv_qty,mv_ref,A265,mv_type,"Entrée",mv_date,"&lt;"&amp;$E$1)-SUMIFS(mv_qty,mv_ref,A265,mv_type,"Sortie",mv_date,"&lt;"&amp;$E$1),6))</f>
        <v/>
      </c>
      <c r="E265" s="39" t="str">
        <f>IF(A265="","",SUMIFS(mv_qty,mv_ref,A265,mv_type,"Entrée",mv_date,"&gt;="&amp;$E$1,mv_date,"&lt;="&amp;$G$1))</f>
        <v/>
      </c>
      <c r="F265" s="39" t="str">
        <f>IF(A265="","",SUMIFS(mv_qty,mv_ref,A265,mv_type,"Sortie",mv_date,"&gt;="&amp;$E$1,mv_date,"&lt;="&amp;$G$1))</f>
        <v/>
      </c>
      <c r="G265" s="39" t="str">
        <f>IF(A265="","",ROUND(D265+E265-F265,6))</f>
        <v/>
      </c>
      <c r="H265" s="40" t="str">
        <f>IF(A265="","",G265*N('Articles'!G265))</f>
        <v/>
      </c>
    </row>
    <row r="266">
      <c r="A266" s="39" t="str">
        <f>IF('Articles'!A266="","",'Articles'!A266)</f>
        <v/>
      </c>
      <c r="B266" s="39" t="str">
        <f>IF(A266="","",'Articles'!B266&amp;"")</f>
        <v/>
      </c>
      <c r="C266" s="39" t="str">
        <f>IF(A266="","",'Articles'!D266&amp;"")</f>
        <v/>
      </c>
      <c r="D266" s="39" t="str">
        <f>IF(A266="","",ROUND(N('Articles'!H266)+SUMIFS(mv_qty,mv_ref,A266,mv_type,"Entrée",mv_date,"&lt;"&amp;$E$1)-SUMIFS(mv_qty,mv_ref,A266,mv_type,"Sortie",mv_date,"&lt;"&amp;$E$1),6))</f>
        <v/>
      </c>
      <c r="E266" s="39" t="str">
        <f>IF(A266="","",SUMIFS(mv_qty,mv_ref,A266,mv_type,"Entrée",mv_date,"&gt;="&amp;$E$1,mv_date,"&lt;="&amp;$G$1))</f>
        <v/>
      </c>
      <c r="F266" s="39" t="str">
        <f>IF(A266="","",SUMIFS(mv_qty,mv_ref,A266,mv_type,"Sortie",mv_date,"&gt;="&amp;$E$1,mv_date,"&lt;="&amp;$G$1))</f>
        <v/>
      </c>
      <c r="G266" s="39" t="str">
        <f>IF(A266="","",ROUND(D266+E266-F266,6))</f>
        <v/>
      </c>
      <c r="H266" s="40" t="str">
        <f>IF(A266="","",G266*N('Articles'!G266))</f>
        <v/>
      </c>
    </row>
    <row r="267">
      <c r="A267" s="39" t="str">
        <f>IF('Articles'!A267="","",'Articles'!A267)</f>
        <v/>
      </c>
      <c r="B267" s="39" t="str">
        <f>IF(A267="","",'Articles'!B267&amp;"")</f>
        <v/>
      </c>
      <c r="C267" s="39" t="str">
        <f>IF(A267="","",'Articles'!D267&amp;"")</f>
        <v/>
      </c>
      <c r="D267" s="39" t="str">
        <f>IF(A267="","",ROUND(N('Articles'!H267)+SUMIFS(mv_qty,mv_ref,A267,mv_type,"Entrée",mv_date,"&lt;"&amp;$E$1)-SUMIFS(mv_qty,mv_ref,A267,mv_type,"Sortie",mv_date,"&lt;"&amp;$E$1),6))</f>
        <v/>
      </c>
      <c r="E267" s="39" t="str">
        <f>IF(A267="","",SUMIFS(mv_qty,mv_ref,A267,mv_type,"Entrée",mv_date,"&gt;="&amp;$E$1,mv_date,"&lt;="&amp;$G$1))</f>
        <v/>
      </c>
      <c r="F267" s="39" t="str">
        <f>IF(A267="","",SUMIFS(mv_qty,mv_ref,A267,mv_type,"Sortie",mv_date,"&gt;="&amp;$E$1,mv_date,"&lt;="&amp;$G$1))</f>
        <v/>
      </c>
      <c r="G267" s="39" t="str">
        <f>IF(A267="","",ROUND(D267+E267-F267,6))</f>
        <v/>
      </c>
      <c r="H267" s="40" t="str">
        <f>IF(A267="","",G267*N('Articles'!G267))</f>
        <v/>
      </c>
    </row>
    <row r="268">
      <c r="A268" s="39" t="str">
        <f>IF('Articles'!A268="","",'Articles'!A268)</f>
        <v/>
      </c>
      <c r="B268" s="39" t="str">
        <f>IF(A268="","",'Articles'!B268&amp;"")</f>
        <v/>
      </c>
      <c r="C268" s="39" t="str">
        <f>IF(A268="","",'Articles'!D268&amp;"")</f>
        <v/>
      </c>
      <c r="D268" s="39" t="str">
        <f>IF(A268="","",ROUND(N('Articles'!H268)+SUMIFS(mv_qty,mv_ref,A268,mv_type,"Entrée",mv_date,"&lt;"&amp;$E$1)-SUMIFS(mv_qty,mv_ref,A268,mv_type,"Sortie",mv_date,"&lt;"&amp;$E$1),6))</f>
        <v/>
      </c>
      <c r="E268" s="39" t="str">
        <f>IF(A268="","",SUMIFS(mv_qty,mv_ref,A268,mv_type,"Entrée",mv_date,"&gt;="&amp;$E$1,mv_date,"&lt;="&amp;$G$1))</f>
        <v/>
      </c>
      <c r="F268" s="39" t="str">
        <f>IF(A268="","",SUMIFS(mv_qty,mv_ref,A268,mv_type,"Sortie",mv_date,"&gt;="&amp;$E$1,mv_date,"&lt;="&amp;$G$1))</f>
        <v/>
      </c>
      <c r="G268" s="39" t="str">
        <f>IF(A268="","",ROUND(D268+E268-F268,6))</f>
        <v/>
      </c>
      <c r="H268" s="40" t="str">
        <f>IF(A268="","",G268*N('Articles'!G268))</f>
        <v/>
      </c>
    </row>
    <row r="269">
      <c r="A269" s="39" t="str">
        <f>IF('Articles'!A269="","",'Articles'!A269)</f>
        <v/>
      </c>
      <c r="B269" s="39" t="str">
        <f>IF(A269="","",'Articles'!B269&amp;"")</f>
        <v/>
      </c>
      <c r="C269" s="39" t="str">
        <f>IF(A269="","",'Articles'!D269&amp;"")</f>
        <v/>
      </c>
      <c r="D269" s="39" t="str">
        <f>IF(A269="","",ROUND(N('Articles'!H269)+SUMIFS(mv_qty,mv_ref,A269,mv_type,"Entrée",mv_date,"&lt;"&amp;$E$1)-SUMIFS(mv_qty,mv_ref,A269,mv_type,"Sortie",mv_date,"&lt;"&amp;$E$1),6))</f>
        <v/>
      </c>
      <c r="E269" s="39" t="str">
        <f>IF(A269="","",SUMIFS(mv_qty,mv_ref,A269,mv_type,"Entrée",mv_date,"&gt;="&amp;$E$1,mv_date,"&lt;="&amp;$G$1))</f>
        <v/>
      </c>
      <c r="F269" s="39" t="str">
        <f>IF(A269="","",SUMIFS(mv_qty,mv_ref,A269,mv_type,"Sortie",mv_date,"&gt;="&amp;$E$1,mv_date,"&lt;="&amp;$G$1))</f>
        <v/>
      </c>
      <c r="G269" s="39" t="str">
        <f>IF(A269="","",ROUND(D269+E269-F269,6))</f>
        <v/>
      </c>
      <c r="H269" s="40" t="str">
        <f>IF(A269="","",G269*N('Articles'!G269))</f>
        <v/>
      </c>
    </row>
    <row r="270">
      <c r="A270" s="39" t="str">
        <f>IF('Articles'!A270="","",'Articles'!A270)</f>
        <v/>
      </c>
      <c r="B270" s="39" t="str">
        <f>IF(A270="","",'Articles'!B270&amp;"")</f>
        <v/>
      </c>
      <c r="C270" s="39" t="str">
        <f>IF(A270="","",'Articles'!D270&amp;"")</f>
        <v/>
      </c>
      <c r="D270" s="39" t="str">
        <f>IF(A270="","",ROUND(N('Articles'!H270)+SUMIFS(mv_qty,mv_ref,A270,mv_type,"Entrée",mv_date,"&lt;"&amp;$E$1)-SUMIFS(mv_qty,mv_ref,A270,mv_type,"Sortie",mv_date,"&lt;"&amp;$E$1),6))</f>
        <v/>
      </c>
      <c r="E270" s="39" t="str">
        <f>IF(A270="","",SUMIFS(mv_qty,mv_ref,A270,mv_type,"Entrée",mv_date,"&gt;="&amp;$E$1,mv_date,"&lt;="&amp;$G$1))</f>
        <v/>
      </c>
      <c r="F270" s="39" t="str">
        <f>IF(A270="","",SUMIFS(mv_qty,mv_ref,A270,mv_type,"Sortie",mv_date,"&gt;="&amp;$E$1,mv_date,"&lt;="&amp;$G$1))</f>
        <v/>
      </c>
      <c r="G270" s="39" t="str">
        <f>IF(A270="","",ROUND(D270+E270-F270,6))</f>
        <v/>
      </c>
      <c r="H270" s="40" t="str">
        <f>IF(A270="","",G270*N('Articles'!G270))</f>
        <v/>
      </c>
    </row>
    <row r="271">
      <c r="A271" s="39" t="str">
        <f>IF('Articles'!A271="","",'Articles'!A271)</f>
        <v/>
      </c>
      <c r="B271" s="39" t="str">
        <f>IF(A271="","",'Articles'!B271&amp;"")</f>
        <v/>
      </c>
      <c r="C271" s="39" t="str">
        <f>IF(A271="","",'Articles'!D271&amp;"")</f>
        <v/>
      </c>
      <c r="D271" s="39" t="str">
        <f>IF(A271="","",ROUND(N('Articles'!H271)+SUMIFS(mv_qty,mv_ref,A271,mv_type,"Entrée",mv_date,"&lt;"&amp;$E$1)-SUMIFS(mv_qty,mv_ref,A271,mv_type,"Sortie",mv_date,"&lt;"&amp;$E$1),6))</f>
        <v/>
      </c>
      <c r="E271" s="39" t="str">
        <f>IF(A271="","",SUMIFS(mv_qty,mv_ref,A271,mv_type,"Entrée",mv_date,"&gt;="&amp;$E$1,mv_date,"&lt;="&amp;$G$1))</f>
        <v/>
      </c>
      <c r="F271" s="39" t="str">
        <f>IF(A271="","",SUMIFS(mv_qty,mv_ref,A271,mv_type,"Sortie",mv_date,"&gt;="&amp;$E$1,mv_date,"&lt;="&amp;$G$1))</f>
        <v/>
      </c>
      <c r="G271" s="39" t="str">
        <f>IF(A271="","",ROUND(D271+E271-F271,6))</f>
        <v/>
      </c>
      <c r="H271" s="40" t="str">
        <f>IF(A271="","",G271*N('Articles'!G271))</f>
        <v/>
      </c>
    </row>
    <row r="272">
      <c r="A272" s="39" t="str">
        <f>IF('Articles'!A272="","",'Articles'!A272)</f>
        <v/>
      </c>
      <c r="B272" s="39" t="str">
        <f>IF(A272="","",'Articles'!B272&amp;"")</f>
        <v/>
      </c>
      <c r="C272" s="39" t="str">
        <f>IF(A272="","",'Articles'!D272&amp;"")</f>
        <v/>
      </c>
      <c r="D272" s="39" t="str">
        <f>IF(A272="","",ROUND(N('Articles'!H272)+SUMIFS(mv_qty,mv_ref,A272,mv_type,"Entrée",mv_date,"&lt;"&amp;$E$1)-SUMIFS(mv_qty,mv_ref,A272,mv_type,"Sortie",mv_date,"&lt;"&amp;$E$1),6))</f>
        <v/>
      </c>
      <c r="E272" s="39" t="str">
        <f>IF(A272="","",SUMIFS(mv_qty,mv_ref,A272,mv_type,"Entrée",mv_date,"&gt;="&amp;$E$1,mv_date,"&lt;="&amp;$G$1))</f>
        <v/>
      </c>
      <c r="F272" s="39" t="str">
        <f>IF(A272="","",SUMIFS(mv_qty,mv_ref,A272,mv_type,"Sortie",mv_date,"&gt;="&amp;$E$1,mv_date,"&lt;="&amp;$G$1))</f>
        <v/>
      </c>
      <c r="G272" s="39" t="str">
        <f>IF(A272="","",ROUND(D272+E272-F272,6))</f>
        <v/>
      </c>
      <c r="H272" s="40" t="str">
        <f>IF(A272="","",G272*N('Articles'!G272))</f>
        <v/>
      </c>
    </row>
    <row r="273">
      <c r="A273" s="39" t="str">
        <f>IF('Articles'!A273="","",'Articles'!A273)</f>
        <v/>
      </c>
      <c r="B273" s="39" t="str">
        <f>IF(A273="","",'Articles'!B273&amp;"")</f>
        <v/>
      </c>
      <c r="C273" s="39" t="str">
        <f>IF(A273="","",'Articles'!D273&amp;"")</f>
        <v/>
      </c>
      <c r="D273" s="39" t="str">
        <f>IF(A273="","",ROUND(N('Articles'!H273)+SUMIFS(mv_qty,mv_ref,A273,mv_type,"Entrée",mv_date,"&lt;"&amp;$E$1)-SUMIFS(mv_qty,mv_ref,A273,mv_type,"Sortie",mv_date,"&lt;"&amp;$E$1),6))</f>
        <v/>
      </c>
      <c r="E273" s="39" t="str">
        <f>IF(A273="","",SUMIFS(mv_qty,mv_ref,A273,mv_type,"Entrée",mv_date,"&gt;="&amp;$E$1,mv_date,"&lt;="&amp;$G$1))</f>
        <v/>
      </c>
      <c r="F273" s="39" t="str">
        <f>IF(A273="","",SUMIFS(mv_qty,mv_ref,A273,mv_type,"Sortie",mv_date,"&gt;="&amp;$E$1,mv_date,"&lt;="&amp;$G$1))</f>
        <v/>
      </c>
      <c r="G273" s="39" t="str">
        <f>IF(A273="","",ROUND(D273+E273-F273,6))</f>
        <v/>
      </c>
      <c r="H273" s="40" t="str">
        <f>IF(A273="","",G273*N('Articles'!G273))</f>
        <v/>
      </c>
    </row>
    <row r="274">
      <c r="A274" s="39" t="str">
        <f>IF('Articles'!A274="","",'Articles'!A274)</f>
        <v/>
      </c>
      <c r="B274" s="39" t="str">
        <f>IF(A274="","",'Articles'!B274&amp;"")</f>
        <v/>
      </c>
      <c r="C274" s="39" t="str">
        <f>IF(A274="","",'Articles'!D274&amp;"")</f>
        <v/>
      </c>
      <c r="D274" s="39" t="str">
        <f>IF(A274="","",ROUND(N('Articles'!H274)+SUMIFS(mv_qty,mv_ref,A274,mv_type,"Entrée",mv_date,"&lt;"&amp;$E$1)-SUMIFS(mv_qty,mv_ref,A274,mv_type,"Sortie",mv_date,"&lt;"&amp;$E$1),6))</f>
        <v/>
      </c>
      <c r="E274" s="39" t="str">
        <f>IF(A274="","",SUMIFS(mv_qty,mv_ref,A274,mv_type,"Entrée",mv_date,"&gt;="&amp;$E$1,mv_date,"&lt;="&amp;$G$1))</f>
        <v/>
      </c>
      <c r="F274" s="39" t="str">
        <f>IF(A274="","",SUMIFS(mv_qty,mv_ref,A274,mv_type,"Sortie",mv_date,"&gt;="&amp;$E$1,mv_date,"&lt;="&amp;$G$1))</f>
        <v/>
      </c>
      <c r="G274" s="39" t="str">
        <f>IF(A274="","",ROUND(D274+E274-F274,6))</f>
        <v/>
      </c>
      <c r="H274" s="40" t="str">
        <f>IF(A274="","",G274*N('Articles'!G274))</f>
        <v/>
      </c>
    </row>
    <row r="275">
      <c r="A275" s="39" t="str">
        <f>IF('Articles'!A275="","",'Articles'!A275)</f>
        <v/>
      </c>
      <c r="B275" s="39" t="str">
        <f>IF(A275="","",'Articles'!B275&amp;"")</f>
        <v/>
      </c>
      <c r="C275" s="39" t="str">
        <f>IF(A275="","",'Articles'!D275&amp;"")</f>
        <v/>
      </c>
      <c r="D275" s="39" t="str">
        <f>IF(A275="","",ROUND(N('Articles'!H275)+SUMIFS(mv_qty,mv_ref,A275,mv_type,"Entrée",mv_date,"&lt;"&amp;$E$1)-SUMIFS(mv_qty,mv_ref,A275,mv_type,"Sortie",mv_date,"&lt;"&amp;$E$1),6))</f>
        <v/>
      </c>
      <c r="E275" s="39" t="str">
        <f>IF(A275="","",SUMIFS(mv_qty,mv_ref,A275,mv_type,"Entrée",mv_date,"&gt;="&amp;$E$1,mv_date,"&lt;="&amp;$G$1))</f>
        <v/>
      </c>
      <c r="F275" s="39" t="str">
        <f>IF(A275="","",SUMIFS(mv_qty,mv_ref,A275,mv_type,"Sortie",mv_date,"&gt;="&amp;$E$1,mv_date,"&lt;="&amp;$G$1))</f>
        <v/>
      </c>
      <c r="G275" s="39" t="str">
        <f>IF(A275="","",ROUND(D275+E275-F275,6))</f>
        <v/>
      </c>
      <c r="H275" s="40" t="str">
        <f>IF(A275="","",G275*N('Articles'!G275))</f>
        <v/>
      </c>
    </row>
    <row r="276">
      <c r="A276" s="39" t="str">
        <f>IF('Articles'!A276="","",'Articles'!A276)</f>
        <v/>
      </c>
      <c r="B276" s="39" t="str">
        <f>IF(A276="","",'Articles'!B276&amp;"")</f>
        <v/>
      </c>
      <c r="C276" s="39" t="str">
        <f>IF(A276="","",'Articles'!D276&amp;"")</f>
        <v/>
      </c>
      <c r="D276" s="39" t="str">
        <f>IF(A276="","",ROUND(N('Articles'!H276)+SUMIFS(mv_qty,mv_ref,A276,mv_type,"Entrée",mv_date,"&lt;"&amp;$E$1)-SUMIFS(mv_qty,mv_ref,A276,mv_type,"Sortie",mv_date,"&lt;"&amp;$E$1),6))</f>
        <v/>
      </c>
      <c r="E276" s="39" t="str">
        <f>IF(A276="","",SUMIFS(mv_qty,mv_ref,A276,mv_type,"Entrée",mv_date,"&gt;="&amp;$E$1,mv_date,"&lt;="&amp;$G$1))</f>
        <v/>
      </c>
      <c r="F276" s="39" t="str">
        <f>IF(A276="","",SUMIFS(mv_qty,mv_ref,A276,mv_type,"Sortie",mv_date,"&gt;="&amp;$E$1,mv_date,"&lt;="&amp;$G$1))</f>
        <v/>
      </c>
      <c r="G276" s="39" t="str">
        <f>IF(A276="","",ROUND(D276+E276-F276,6))</f>
        <v/>
      </c>
      <c r="H276" s="40" t="str">
        <f>IF(A276="","",G276*N('Articles'!G276))</f>
        <v/>
      </c>
    </row>
    <row r="277">
      <c r="A277" s="39" t="str">
        <f>IF('Articles'!A277="","",'Articles'!A277)</f>
        <v/>
      </c>
      <c r="B277" s="39" t="str">
        <f>IF(A277="","",'Articles'!B277&amp;"")</f>
        <v/>
      </c>
      <c r="C277" s="39" t="str">
        <f>IF(A277="","",'Articles'!D277&amp;"")</f>
        <v/>
      </c>
      <c r="D277" s="39" t="str">
        <f>IF(A277="","",ROUND(N('Articles'!H277)+SUMIFS(mv_qty,mv_ref,A277,mv_type,"Entrée",mv_date,"&lt;"&amp;$E$1)-SUMIFS(mv_qty,mv_ref,A277,mv_type,"Sortie",mv_date,"&lt;"&amp;$E$1),6))</f>
        <v/>
      </c>
      <c r="E277" s="39" t="str">
        <f>IF(A277="","",SUMIFS(mv_qty,mv_ref,A277,mv_type,"Entrée",mv_date,"&gt;="&amp;$E$1,mv_date,"&lt;="&amp;$G$1))</f>
        <v/>
      </c>
      <c r="F277" s="39" t="str">
        <f>IF(A277="","",SUMIFS(mv_qty,mv_ref,A277,mv_type,"Sortie",mv_date,"&gt;="&amp;$E$1,mv_date,"&lt;="&amp;$G$1))</f>
        <v/>
      </c>
      <c r="G277" s="39" t="str">
        <f>IF(A277="","",ROUND(D277+E277-F277,6))</f>
        <v/>
      </c>
      <c r="H277" s="40" t="str">
        <f>IF(A277="","",G277*N('Articles'!G277))</f>
        <v/>
      </c>
    </row>
    <row r="278">
      <c r="A278" s="39" t="str">
        <f>IF('Articles'!A278="","",'Articles'!A278)</f>
        <v/>
      </c>
      <c r="B278" s="39" t="str">
        <f>IF(A278="","",'Articles'!B278&amp;"")</f>
        <v/>
      </c>
      <c r="C278" s="39" t="str">
        <f>IF(A278="","",'Articles'!D278&amp;"")</f>
        <v/>
      </c>
      <c r="D278" s="39" t="str">
        <f>IF(A278="","",ROUND(N('Articles'!H278)+SUMIFS(mv_qty,mv_ref,A278,mv_type,"Entrée",mv_date,"&lt;"&amp;$E$1)-SUMIFS(mv_qty,mv_ref,A278,mv_type,"Sortie",mv_date,"&lt;"&amp;$E$1),6))</f>
        <v/>
      </c>
      <c r="E278" s="39" t="str">
        <f>IF(A278="","",SUMIFS(mv_qty,mv_ref,A278,mv_type,"Entrée",mv_date,"&gt;="&amp;$E$1,mv_date,"&lt;="&amp;$G$1))</f>
        <v/>
      </c>
      <c r="F278" s="39" t="str">
        <f>IF(A278="","",SUMIFS(mv_qty,mv_ref,A278,mv_type,"Sortie",mv_date,"&gt;="&amp;$E$1,mv_date,"&lt;="&amp;$G$1))</f>
        <v/>
      </c>
      <c r="G278" s="39" t="str">
        <f>IF(A278="","",ROUND(D278+E278-F278,6))</f>
        <v/>
      </c>
      <c r="H278" s="40" t="str">
        <f>IF(A278="","",G278*N('Articles'!G278))</f>
        <v/>
      </c>
    </row>
    <row r="279">
      <c r="A279" s="39" t="str">
        <f>IF('Articles'!A279="","",'Articles'!A279)</f>
        <v/>
      </c>
      <c r="B279" s="39" t="str">
        <f>IF(A279="","",'Articles'!B279&amp;"")</f>
        <v/>
      </c>
      <c r="C279" s="39" t="str">
        <f>IF(A279="","",'Articles'!D279&amp;"")</f>
        <v/>
      </c>
      <c r="D279" s="39" t="str">
        <f>IF(A279="","",ROUND(N('Articles'!H279)+SUMIFS(mv_qty,mv_ref,A279,mv_type,"Entrée",mv_date,"&lt;"&amp;$E$1)-SUMIFS(mv_qty,mv_ref,A279,mv_type,"Sortie",mv_date,"&lt;"&amp;$E$1),6))</f>
        <v/>
      </c>
      <c r="E279" s="39" t="str">
        <f>IF(A279="","",SUMIFS(mv_qty,mv_ref,A279,mv_type,"Entrée",mv_date,"&gt;="&amp;$E$1,mv_date,"&lt;="&amp;$G$1))</f>
        <v/>
      </c>
      <c r="F279" s="39" t="str">
        <f>IF(A279="","",SUMIFS(mv_qty,mv_ref,A279,mv_type,"Sortie",mv_date,"&gt;="&amp;$E$1,mv_date,"&lt;="&amp;$G$1))</f>
        <v/>
      </c>
      <c r="G279" s="39" t="str">
        <f>IF(A279="","",ROUND(D279+E279-F279,6))</f>
        <v/>
      </c>
      <c r="H279" s="40" t="str">
        <f>IF(A279="","",G279*N('Articles'!G279))</f>
        <v/>
      </c>
    </row>
    <row r="280">
      <c r="A280" s="39" t="str">
        <f>IF('Articles'!A280="","",'Articles'!A280)</f>
        <v/>
      </c>
      <c r="B280" s="39" t="str">
        <f>IF(A280="","",'Articles'!B280&amp;"")</f>
        <v/>
      </c>
      <c r="C280" s="39" t="str">
        <f>IF(A280="","",'Articles'!D280&amp;"")</f>
        <v/>
      </c>
      <c r="D280" s="39" t="str">
        <f>IF(A280="","",ROUND(N('Articles'!H280)+SUMIFS(mv_qty,mv_ref,A280,mv_type,"Entrée",mv_date,"&lt;"&amp;$E$1)-SUMIFS(mv_qty,mv_ref,A280,mv_type,"Sortie",mv_date,"&lt;"&amp;$E$1),6))</f>
        <v/>
      </c>
      <c r="E280" s="39" t="str">
        <f>IF(A280="","",SUMIFS(mv_qty,mv_ref,A280,mv_type,"Entrée",mv_date,"&gt;="&amp;$E$1,mv_date,"&lt;="&amp;$G$1))</f>
        <v/>
      </c>
      <c r="F280" s="39" t="str">
        <f>IF(A280="","",SUMIFS(mv_qty,mv_ref,A280,mv_type,"Sortie",mv_date,"&gt;="&amp;$E$1,mv_date,"&lt;="&amp;$G$1))</f>
        <v/>
      </c>
      <c r="G280" s="39" t="str">
        <f>IF(A280="","",ROUND(D280+E280-F280,6))</f>
        <v/>
      </c>
      <c r="H280" s="40" t="str">
        <f>IF(A280="","",G280*N('Articles'!G280))</f>
        <v/>
      </c>
    </row>
    <row r="281">
      <c r="A281" s="39" t="str">
        <f>IF('Articles'!A281="","",'Articles'!A281)</f>
        <v/>
      </c>
      <c r="B281" s="39" t="str">
        <f>IF(A281="","",'Articles'!B281&amp;"")</f>
        <v/>
      </c>
      <c r="C281" s="39" t="str">
        <f>IF(A281="","",'Articles'!D281&amp;"")</f>
        <v/>
      </c>
      <c r="D281" s="39" t="str">
        <f>IF(A281="","",ROUND(N('Articles'!H281)+SUMIFS(mv_qty,mv_ref,A281,mv_type,"Entrée",mv_date,"&lt;"&amp;$E$1)-SUMIFS(mv_qty,mv_ref,A281,mv_type,"Sortie",mv_date,"&lt;"&amp;$E$1),6))</f>
        <v/>
      </c>
      <c r="E281" s="39" t="str">
        <f>IF(A281="","",SUMIFS(mv_qty,mv_ref,A281,mv_type,"Entrée",mv_date,"&gt;="&amp;$E$1,mv_date,"&lt;="&amp;$G$1))</f>
        <v/>
      </c>
      <c r="F281" s="39" t="str">
        <f>IF(A281="","",SUMIFS(mv_qty,mv_ref,A281,mv_type,"Sortie",mv_date,"&gt;="&amp;$E$1,mv_date,"&lt;="&amp;$G$1))</f>
        <v/>
      </c>
      <c r="G281" s="39" t="str">
        <f>IF(A281="","",ROUND(D281+E281-F281,6))</f>
        <v/>
      </c>
      <c r="H281" s="40" t="str">
        <f>IF(A281="","",G281*N('Articles'!G281))</f>
        <v/>
      </c>
    </row>
    <row r="282">
      <c r="A282" s="39" t="str">
        <f>IF('Articles'!A282="","",'Articles'!A282)</f>
        <v/>
      </c>
      <c r="B282" s="39" t="str">
        <f>IF(A282="","",'Articles'!B282&amp;"")</f>
        <v/>
      </c>
      <c r="C282" s="39" t="str">
        <f>IF(A282="","",'Articles'!D282&amp;"")</f>
        <v/>
      </c>
      <c r="D282" s="39" t="str">
        <f>IF(A282="","",ROUND(N('Articles'!H282)+SUMIFS(mv_qty,mv_ref,A282,mv_type,"Entrée",mv_date,"&lt;"&amp;$E$1)-SUMIFS(mv_qty,mv_ref,A282,mv_type,"Sortie",mv_date,"&lt;"&amp;$E$1),6))</f>
        <v/>
      </c>
      <c r="E282" s="39" t="str">
        <f>IF(A282="","",SUMIFS(mv_qty,mv_ref,A282,mv_type,"Entrée",mv_date,"&gt;="&amp;$E$1,mv_date,"&lt;="&amp;$G$1))</f>
        <v/>
      </c>
      <c r="F282" s="39" t="str">
        <f>IF(A282="","",SUMIFS(mv_qty,mv_ref,A282,mv_type,"Sortie",mv_date,"&gt;="&amp;$E$1,mv_date,"&lt;="&amp;$G$1))</f>
        <v/>
      </c>
      <c r="G282" s="39" t="str">
        <f>IF(A282="","",ROUND(D282+E282-F282,6))</f>
        <v/>
      </c>
      <c r="H282" s="40" t="str">
        <f>IF(A282="","",G282*N('Articles'!G282))</f>
        <v/>
      </c>
    </row>
    <row r="283">
      <c r="A283" s="39" t="str">
        <f>IF('Articles'!A283="","",'Articles'!A283)</f>
        <v/>
      </c>
      <c r="B283" s="39" t="str">
        <f>IF(A283="","",'Articles'!B283&amp;"")</f>
        <v/>
      </c>
      <c r="C283" s="39" t="str">
        <f>IF(A283="","",'Articles'!D283&amp;"")</f>
        <v/>
      </c>
      <c r="D283" s="39" t="str">
        <f>IF(A283="","",ROUND(N('Articles'!H283)+SUMIFS(mv_qty,mv_ref,A283,mv_type,"Entrée",mv_date,"&lt;"&amp;$E$1)-SUMIFS(mv_qty,mv_ref,A283,mv_type,"Sortie",mv_date,"&lt;"&amp;$E$1),6))</f>
        <v/>
      </c>
      <c r="E283" s="39" t="str">
        <f>IF(A283="","",SUMIFS(mv_qty,mv_ref,A283,mv_type,"Entrée",mv_date,"&gt;="&amp;$E$1,mv_date,"&lt;="&amp;$G$1))</f>
        <v/>
      </c>
      <c r="F283" s="39" t="str">
        <f>IF(A283="","",SUMIFS(mv_qty,mv_ref,A283,mv_type,"Sortie",mv_date,"&gt;="&amp;$E$1,mv_date,"&lt;="&amp;$G$1))</f>
        <v/>
      </c>
      <c r="G283" s="39" t="str">
        <f>IF(A283="","",ROUND(D283+E283-F283,6))</f>
        <v/>
      </c>
      <c r="H283" s="40" t="str">
        <f>IF(A283="","",G283*N('Articles'!G283))</f>
        <v/>
      </c>
    </row>
    <row r="284">
      <c r="A284" s="39" t="str">
        <f>IF('Articles'!A284="","",'Articles'!A284)</f>
        <v/>
      </c>
      <c r="B284" s="39" t="str">
        <f>IF(A284="","",'Articles'!B284&amp;"")</f>
        <v/>
      </c>
      <c r="C284" s="39" t="str">
        <f>IF(A284="","",'Articles'!D284&amp;"")</f>
        <v/>
      </c>
      <c r="D284" s="39" t="str">
        <f>IF(A284="","",ROUND(N('Articles'!H284)+SUMIFS(mv_qty,mv_ref,A284,mv_type,"Entrée",mv_date,"&lt;"&amp;$E$1)-SUMIFS(mv_qty,mv_ref,A284,mv_type,"Sortie",mv_date,"&lt;"&amp;$E$1),6))</f>
        <v/>
      </c>
      <c r="E284" s="39" t="str">
        <f>IF(A284="","",SUMIFS(mv_qty,mv_ref,A284,mv_type,"Entrée",mv_date,"&gt;="&amp;$E$1,mv_date,"&lt;="&amp;$G$1))</f>
        <v/>
      </c>
      <c r="F284" s="39" t="str">
        <f>IF(A284="","",SUMIFS(mv_qty,mv_ref,A284,mv_type,"Sortie",mv_date,"&gt;="&amp;$E$1,mv_date,"&lt;="&amp;$G$1))</f>
        <v/>
      </c>
      <c r="G284" s="39" t="str">
        <f>IF(A284="","",ROUND(D284+E284-F284,6))</f>
        <v/>
      </c>
      <c r="H284" s="40" t="str">
        <f>IF(A284="","",G284*N('Articles'!G284))</f>
        <v/>
      </c>
    </row>
    <row r="285">
      <c r="A285" s="39" t="str">
        <f>IF('Articles'!A285="","",'Articles'!A285)</f>
        <v/>
      </c>
      <c r="B285" s="39" t="str">
        <f>IF(A285="","",'Articles'!B285&amp;"")</f>
        <v/>
      </c>
      <c r="C285" s="39" t="str">
        <f>IF(A285="","",'Articles'!D285&amp;"")</f>
        <v/>
      </c>
      <c r="D285" s="39" t="str">
        <f>IF(A285="","",ROUND(N('Articles'!H285)+SUMIFS(mv_qty,mv_ref,A285,mv_type,"Entrée",mv_date,"&lt;"&amp;$E$1)-SUMIFS(mv_qty,mv_ref,A285,mv_type,"Sortie",mv_date,"&lt;"&amp;$E$1),6))</f>
        <v/>
      </c>
      <c r="E285" s="39" t="str">
        <f>IF(A285="","",SUMIFS(mv_qty,mv_ref,A285,mv_type,"Entrée",mv_date,"&gt;="&amp;$E$1,mv_date,"&lt;="&amp;$G$1))</f>
        <v/>
      </c>
      <c r="F285" s="39" t="str">
        <f>IF(A285="","",SUMIFS(mv_qty,mv_ref,A285,mv_type,"Sortie",mv_date,"&gt;="&amp;$E$1,mv_date,"&lt;="&amp;$G$1))</f>
        <v/>
      </c>
      <c r="G285" s="39" t="str">
        <f>IF(A285="","",ROUND(D285+E285-F285,6))</f>
        <v/>
      </c>
      <c r="H285" s="40" t="str">
        <f>IF(A285="","",G285*N('Articles'!G285))</f>
        <v/>
      </c>
    </row>
    <row r="286">
      <c r="A286" s="39" t="str">
        <f>IF('Articles'!A286="","",'Articles'!A286)</f>
        <v/>
      </c>
      <c r="B286" s="39" t="str">
        <f>IF(A286="","",'Articles'!B286&amp;"")</f>
        <v/>
      </c>
      <c r="C286" s="39" t="str">
        <f>IF(A286="","",'Articles'!D286&amp;"")</f>
        <v/>
      </c>
      <c r="D286" s="39" t="str">
        <f>IF(A286="","",ROUND(N('Articles'!H286)+SUMIFS(mv_qty,mv_ref,A286,mv_type,"Entrée",mv_date,"&lt;"&amp;$E$1)-SUMIFS(mv_qty,mv_ref,A286,mv_type,"Sortie",mv_date,"&lt;"&amp;$E$1),6))</f>
        <v/>
      </c>
      <c r="E286" s="39" t="str">
        <f>IF(A286="","",SUMIFS(mv_qty,mv_ref,A286,mv_type,"Entrée",mv_date,"&gt;="&amp;$E$1,mv_date,"&lt;="&amp;$G$1))</f>
        <v/>
      </c>
      <c r="F286" s="39" t="str">
        <f>IF(A286="","",SUMIFS(mv_qty,mv_ref,A286,mv_type,"Sortie",mv_date,"&gt;="&amp;$E$1,mv_date,"&lt;="&amp;$G$1))</f>
        <v/>
      </c>
      <c r="G286" s="39" t="str">
        <f>IF(A286="","",ROUND(D286+E286-F286,6))</f>
        <v/>
      </c>
      <c r="H286" s="40" t="str">
        <f>IF(A286="","",G286*N('Articles'!G286))</f>
        <v/>
      </c>
    </row>
    <row r="287">
      <c r="A287" s="39" t="str">
        <f>IF('Articles'!A287="","",'Articles'!A287)</f>
        <v/>
      </c>
      <c r="B287" s="39" t="str">
        <f>IF(A287="","",'Articles'!B287&amp;"")</f>
        <v/>
      </c>
      <c r="C287" s="39" t="str">
        <f>IF(A287="","",'Articles'!D287&amp;"")</f>
        <v/>
      </c>
      <c r="D287" s="39" t="str">
        <f>IF(A287="","",ROUND(N('Articles'!H287)+SUMIFS(mv_qty,mv_ref,A287,mv_type,"Entrée",mv_date,"&lt;"&amp;$E$1)-SUMIFS(mv_qty,mv_ref,A287,mv_type,"Sortie",mv_date,"&lt;"&amp;$E$1),6))</f>
        <v/>
      </c>
      <c r="E287" s="39" t="str">
        <f>IF(A287="","",SUMIFS(mv_qty,mv_ref,A287,mv_type,"Entrée",mv_date,"&gt;="&amp;$E$1,mv_date,"&lt;="&amp;$G$1))</f>
        <v/>
      </c>
      <c r="F287" s="39" t="str">
        <f>IF(A287="","",SUMIFS(mv_qty,mv_ref,A287,mv_type,"Sortie",mv_date,"&gt;="&amp;$E$1,mv_date,"&lt;="&amp;$G$1))</f>
        <v/>
      </c>
      <c r="G287" s="39" t="str">
        <f>IF(A287="","",ROUND(D287+E287-F287,6))</f>
        <v/>
      </c>
      <c r="H287" s="40" t="str">
        <f>IF(A287="","",G287*N('Articles'!G287))</f>
        <v/>
      </c>
    </row>
    <row r="288">
      <c r="A288" s="39" t="str">
        <f>IF('Articles'!A288="","",'Articles'!A288)</f>
        <v/>
      </c>
      <c r="B288" s="39" t="str">
        <f>IF(A288="","",'Articles'!B288&amp;"")</f>
        <v/>
      </c>
      <c r="C288" s="39" t="str">
        <f>IF(A288="","",'Articles'!D288&amp;"")</f>
        <v/>
      </c>
      <c r="D288" s="39" t="str">
        <f>IF(A288="","",ROUND(N('Articles'!H288)+SUMIFS(mv_qty,mv_ref,A288,mv_type,"Entrée",mv_date,"&lt;"&amp;$E$1)-SUMIFS(mv_qty,mv_ref,A288,mv_type,"Sortie",mv_date,"&lt;"&amp;$E$1),6))</f>
        <v/>
      </c>
      <c r="E288" s="39" t="str">
        <f>IF(A288="","",SUMIFS(mv_qty,mv_ref,A288,mv_type,"Entrée",mv_date,"&gt;="&amp;$E$1,mv_date,"&lt;="&amp;$G$1))</f>
        <v/>
      </c>
      <c r="F288" s="39" t="str">
        <f>IF(A288="","",SUMIFS(mv_qty,mv_ref,A288,mv_type,"Sortie",mv_date,"&gt;="&amp;$E$1,mv_date,"&lt;="&amp;$G$1))</f>
        <v/>
      </c>
      <c r="G288" s="39" t="str">
        <f>IF(A288="","",ROUND(D288+E288-F288,6))</f>
        <v/>
      </c>
      <c r="H288" s="40" t="str">
        <f>IF(A288="","",G288*N('Articles'!G288))</f>
        <v/>
      </c>
    </row>
    <row r="289">
      <c r="A289" s="39" t="str">
        <f>IF('Articles'!A289="","",'Articles'!A289)</f>
        <v/>
      </c>
      <c r="B289" s="39" t="str">
        <f>IF(A289="","",'Articles'!B289&amp;"")</f>
        <v/>
      </c>
      <c r="C289" s="39" t="str">
        <f>IF(A289="","",'Articles'!D289&amp;"")</f>
        <v/>
      </c>
      <c r="D289" s="39" t="str">
        <f>IF(A289="","",ROUND(N('Articles'!H289)+SUMIFS(mv_qty,mv_ref,A289,mv_type,"Entrée",mv_date,"&lt;"&amp;$E$1)-SUMIFS(mv_qty,mv_ref,A289,mv_type,"Sortie",mv_date,"&lt;"&amp;$E$1),6))</f>
        <v/>
      </c>
      <c r="E289" s="39" t="str">
        <f>IF(A289="","",SUMIFS(mv_qty,mv_ref,A289,mv_type,"Entrée",mv_date,"&gt;="&amp;$E$1,mv_date,"&lt;="&amp;$G$1))</f>
        <v/>
      </c>
      <c r="F289" s="39" t="str">
        <f>IF(A289="","",SUMIFS(mv_qty,mv_ref,A289,mv_type,"Sortie",mv_date,"&gt;="&amp;$E$1,mv_date,"&lt;="&amp;$G$1))</f>
        <v/>
      </c>
      <c r="G289" s="39" t="str">
        <f>IF(A289="","",ROUND(D289+E289-F289,6))</f>
        <v/>
      </c>
      <c r="H289" s="40" t="str">
        <f>IF(A289="","",G289*N('Articles'!G289))</f>
        <v/>
      </c>
    </row>
    <row r="290">
      <c r="A290" s="39" t="str">
        <f>IF('Articles'!A290="","",'Articles'!A290)</f>
        <v/>
      </c>
      <c r="B290" s="39" t="str">
        <f>IF(A290="","",'Articles'!B290&amp;"")</f>
        <v/>
      </c>
      <c r="C290" s="39" t="str">
        <f>IF(A290="","",'Articles'!D290&amp;"")</f>
        <v/>
      </c>
      <c r="D290" s="39" t="str">
        <f>IF(A290="","",ROUND(N('Articles'!H290)+SUMIFS(mv_qty,mv_ref,A290,mv_type,"Entrée",mv_date,"&lt;"&amp;$E$1)-SUMIFS(mv_qty,mv_ref,A290,mv_type,"Sortie",mv_date,"&lt;"&amp;$E$1),6))</f>
        <v/>
      </c>
      <c r="E290" s="39" t="str">
        <f>IF(A290="","",SUMIFS(mv_qty,mv_ref,A290,mv_type,"Entrée",mv_date,"&gt;="&amp;$E$1,mv_date,"&lt;="&amp;$G$1))</f>
        <v/>
      </c>
      <c r="F290" s="39" t="str">
        <f>IF(A290="","",SUMIFS(mv_qty,mv_ref,A290,mv_type,"Sortie",mv_date,"&gt;="&amp;$E$1,mv_date,"&lt;="&amp;$G$1))</f>
        <v/>
      </c>
      <c r="G290" s="39" t="str">
        <f>IF(A290="","",ROUND(D290+E290-F290,6))</f>
        <v/>
      </c>
      <c r="H290" s="40" t="str">
        <f>IF(A290="","",G290*N('Articles'!G290))</f>
        <v/>
      </c>
    </row>
    <row r="291">
      <c r="A291" s="39" t="str">
        <f>IF('Articles'!A291="","",'Articles'!A291)</f>
        <v/>
      </c>
      <c r="B291" s="39" t="str">
        <f>IF(A291="","",'Articles'!B291&amp;"")</f>
        <v/>
      </c>
      <c r="C291" s="39" t="str">
        <f>IF(A291="","",'Articles'!D291&amp;"")</f>
        <v/>
      </c>
      <c r="D291" s="39" t="str">
        <f>IF(A291="","",ROUND(N('Articles'!H291)+SUMIFS(mv_qty,mv_ref,A291,mv_type,"Entrée",mv_date,"&lt;"&amp;$E$1)-SUMIFS(mv_qty,mv_ref,A291,mv_type,"Sortie",mv_date,"&lt;"&amp;$E$1),6))</f>
        <v/>
      </c>
      <c r="E291" s="39" t="str">
        <f>IF(A291="","",SUMIFS(mv_qty,mv_ref,A291,mv_type,"Entrée",mv_date,"&gt;="&amp;$E$1,mv_date,"&lt;="&amp;$G$1))</f>
        <v/>
      </c>
      <c r="F291" s="39" t="str">
        <f>IF(A291="","",SUMIFS(mv_qty,mv_ref,A291,mv_type,"Sortie",mv_date,"&gt;="&amp;$E$1,mv_date,"&lt;="&amp;$G$1))</f>
        <v/>
      </c>
      <c r="G291" s="39" t="str">
        <f>IF(A291="","",ROUND(D291+E291-F291,6))</f>
        <v/>
      </c>
      <c r="H291" s="40" t="str">
        <f>IF(A291="","",G291*N('Articles'!G291))</f>
        <v/>
      </c>
    </row>
    <row r="292">
      <c r="A292" s="39" t="str">
        <f>IF('Articles'!A292="","",'Articles'!A292)</f>
        <v/>
      </c>
      <c r="B292" s="39" t="str">
        <f>IF(A292="","",'Articles'!B292&amp;"")</f>
        <v/>
      </c>
      <c r="C292" s="39" t="str">
        <f>IF(A292="","",'Articles'!D292&amp;"")</f>
        <v/>
      </c>
      <c r="D292" s="39" t="str">
        <f>IF(A292="","",ROUND(N('Articles'!H292)+SUMIFS(mv_qty,mv_ref,A292,mv_type,"Entrée",mv_date,"&lt;"&amp;$E$1)-SUMIFS(mv_qty,mv_ref,A292,mv_type,"Sortie",mv_date,"&lt;"&amp;$E$1),6))</f>
        <v/>
      </c>
      <c r="E292" s="39" t="str">
        <f>IF(A292="","",SUMIFS(mv_qty,mv_ref,A292,mv_type,"Entrée",mv_date,"&gt;="&amp;$E$1,mv_date,"&lt;="&amp;$G$1))</f>
        <v/>
      </c>
      <c r="F292" s="39" t="str">
        <f>IF(A292="","",SUMIFS(mv_qty,mv_ref,A292,mv_type,"Sortie",mv_date,"&gt;="&amp;$E$1,mv_date,"&lt;="&amp;$G$1))</f>
        <v/>
      </c>
      <c r="G292" s="39" t="str">
        <f>IF(A292="","",ROUND(D292+E292-F292,6))</f>
        <v/>
      </c>
      <c r="H292" s="40" t="str">
        <f>IF(A292="","",G292*N('Articles'!G292))</f>
        <v/>
      </c>
    </row>
    <row r="293">
      <c r="A293" s="39" t="str">
        <f>IF('Articles'!A293="","",'Articles'!A293)</f>
        <v/>
      </c>
      <c r="B293" s="39" t="str">
        <f>IF(A293="","",'Articles'!B293&amp;"")</f>
        <v/>
      </c>
      <c r="C293" s="39" t="str">
        <f>IF(A293="","",'Articles'!D293&amp;"")</f>
        <v/>
      </c>
      <c r="D293" s="39" t="str">
        <f>IF(A293="","",ROUND(N('Articles'!H293)+SUMIFS(mv_qty,mv_ref,A293,mv_type,"Entrée",mv_date,"&lt;"&amp;$E$1)-SUMIFS(mv_qty,mv_ref,A293,mv_type,"Sortie",mv_date,"&lt;"&amp;$E$1),6))</f>
        <v/>
      </c>
      <c r="E293" s="39" t="str">
        <f>IF(A293="","",SUMIFS(mv_qty,mv_ref,A293,mv_type,"Entrée",mv_date,"&gt;="&amp;$E$1,mv_date,"&lt;="&amp;$G$1))</f>
        <v/>
      </c>
      <c r="F293" s="39" t="str">
        <f>IF(A293="","",SUMIFS(mv_qty,mv_ref,A293,mv_type,"Sortie",mv_date,"&gt;="&amp;$E$1,mv_date,"&lt;="&amp;$G$1))</f>
        <v/>
      </c>
      <c r="G293" s="39" t="str">
        <f>IF(A293="","",ROUND(D293+E293-F293,6))</f>
        <v/>
      </c>
      <c r="H293" s="40" t="str">
        <f>IF(A293="","",G293*N('Articles'!G293))</f>
        <v/>
      </c>
    </row>
    <row r="294">
      <c r="A294" s="39" t="str">
        <f>IF('Articles'!A294="","",'Articles'!A294)</f>
        <v/>
      </c>
      <c r="B294" s="39" t="str">
        <f>IF(A294="","",'Articles'!B294&amp;"")</f>
        <v/>
      </c>
      <c r="C294" s="39" t="str">
        <f>IF(A294="","",'Articles'!D294&amp;"")</f>
        <v/>
      </c>
      <c r="D294" s="39" t="str">
        <f>IF(A294="","",ROUND(N('Articles'!H294)+SUMIFS(mv_qty,mv_ref,A294,mv_type,"Entrée",mv_date,"&lt;"&amp;$E$1)-SUMIFS(mv_qty,mv_ref,A294,mv_type,"Sortie",mv_date,"&lt;"&amp;$E$1),6))</f>
        <v/>
      </c>
      <c r="E294" s="39" t="str">
        <f>IF(A294="","",SUMIFS(mv_qty,mv_ref,A294,mv_type,"Entrée",mv_date,"&gt;="&amp;$E$1,mv_date,"&lt;="&amp;$G$1))</f>
        <v/>
      </c>
      <c r="F294" s="39" t="str">
        <f>IF(A294="","",SUMIFS(mv_qty,mv_ref,A294,mv_type,"Sortie",mv_date,"&gt;="&amp;$E$1,mv_date,"&lt;="&amp;$G$1))</f>
        <v/>
      </c>
      <c r="G294" s="39" t="str">
        <f>IF(A294="","",ROUND(D294+E294-F294,6))</f>
        <v/>
      </c>
      <c r="H294" s="40" t="str">
        <f>IF(A294="","",G294*N('Articles'!G294))</f>
        <v/>
      </c>
    </row>
    <row r="295">
      <c r="A295" s="39" t="str">
        <f>IF('Articles'!A295="","",'Articles'!A295)</f>
        <v/>
      </c>
      <c r="B295" s="39" t="str">
        <f>IF(A295="","",'Articles'!B295&amp;"")</f>
        <v/>
      </c>
      <c r="C295" s="39" t="str">
        <f>IF(A295="","",'Articles'!D295&amp;"")</f>
        <v/>
      </c>
      <c r="D295" s="39" t="str">
        <f>IF(A295="","",ROUND(N('Articles'!H295)+SUMIFS(mv_qty,mv_ref,A295,mv_type,"Entrée",mv_date,"&lt;"&amp;$E$1)-SUMIFS(mv_qty,mv_ref,A295,mv_type,"Sortie",mv_date,"&lt;"&amp;$E$1),6))</f>
        <v/>
      </c>
      <c r="E295" s="39" t="str">
        <f>IF(A295="","",SUMIFS(mv_qty,mv_ref,A295,mv_type,"Entrée",mv_date,"&gt;="&amp;$E$1,mv_date,"&lt;="&amp;$G$1))</f>
        <v/>
      </c>
      <c r="F295" s="39" t="str">
        <f>IF(A295="","",SUMIFS(mv_qty,mv_ref,A295,mv_type,"Sortie",mv_date,"&gt;="&amp;$E$1,mv_date,"&lt;="&amp;$G$1))</f>
        <v/>
      </c>
      <c r="G295" s="39" t="str">
        <f>IF(A295="","",ROUND(D295+E295-F295,6))</f>
        <v/>
      </c>
      <c r="H295" s="40" t="str">
        <f>IF(A295="","",G295*N('Articles'!G295))</f>
        <v/>
      </c>
    </row>
    <row r="296">
      <c r="A296" s="39" t="str">
        <f>IF('Articles'!A296="","",'Articles'!A296)</f>
        <v/>
      </c>
      <c r="B296" s="39" t="str">
        <f>IF(A296="","",'Articles'!B296&amp;"")</f>
        <v/>
      </c>
      <c r="C296" s="39" t="str">
        <f>IF(A296="","",'Articles'!D296&amp;"")</f>
        <v/>
      </c>
      <c r="D296" s="39" t="str">
        <f>IF(A296="","",ROUND(N('Articles'!H296)+SUMIFS(mv_qty,mv_ref,A296,mv_type,"Entrée",mv_date,"&lt;"&amp;$E$1)-SUMIFS(mv_qty,mv_ref,A296,mv_type,"Sortie",mv_date,"&lt;"&amp;$E$1),6))</f>
        <v/>
      </c>
      <c r="E296" s="39" t="str">
        <f>IF(A296="","",SUMIFS(mv_qty,mv_ref,A296,mv_type,"Entrée",mv_date,"&gt;="&amp;$E$1,mv_date,"&lt;="&amp;$G$1))</f>
        <v/>
      </c>
      <c r="F296" s="39" t="str">
        <f>IF(A296="","",SUMIFS(mv_qty,mv_ref,A296,mv_type,"Sortie",mv_date,"&gt;="&amp;$E$1,mv_date,"&lt;="&amp;$G$1))</f>
        <v/>
      </c>
      <c r="G296" s="39" t="str">
        <f>IF(A296="","",ROUND(D296+E296-F296,6))</f>
        <v/>
      </c>
      <c r="H296" s="40" t="str">
        <f>IF(A296="","",G296*N('Articles'!G296))</f>
        <v/>
      </c>
    </row>
    <row r="297">
      <c r="A297" s="39" t="str">
        <f>IF('Articles'!A297="","",'Articles'!A297)</f>
        <v/>
      </c>
      <c r="B297" s="39" t="str">
        <f>IF(A297="","",'Articles'!B297&amp;"")</f>
        <v/>
      </c>
      <c r="C297" s="39" t="str">
        <f>IF(A297="","",'Articles'!D297&amp;"")</f>
        <v/>
      </c>
      <c r="D297" s="39" t="str">
        <f>IF(A297="","",ROUND(N('Articles'!H297)+SUMIFS(mv_qty,mv_ref,A297,mv_type,"Entrée",mv_date,"&lt;"&amp;$E$1)-SUMIFS(mv_qty,mv_ref,A297,mv_type,"Sortie",mv_date,"&lt;"&amp;$E$1),6))</f>
        <v/>
      </c>
      <c r="E297" s="39" t="str">
        <f>IF(A297="","",SUMIFS(mv_qty,mv_ref,A297,mv_type,"Entrée",mv_date,"&gt;="&amp;$E$1,mv_date,"&lt;="&amp;$G$1))</f>
        <v/>
      </c>
      <c r="F297" s="39" t="str">
        <f>IF(A297="","",SUMIFS(mv_qty,mv_ref,A297,mv_type,"Sortie",mv_date,"&gt;="&amp;$E$1,mv_date,"&lt;="&amp;$G$1))</f>
        <v/>
      </c>
      <c r="G297" s="39" t="str">
        <f>IF(A297="","",ROUND(D297+E297-F297,6))</f>
        <v/>
      </c>
      <c r="H297" s="40" t="str">
        <f>IF(A297="","",G297*N('Articles'!G297))</f>
        <v/>
      </c>
    </row>
    <row r="298">
      <c r="A298" s="39" t="str">
        <f>IF('Articles'!A298="","",'Articles'!A298)</f>
        <v/>
      </c>
      <c r="B298" s="39" t="str">
        <f>IF(A298="","",'Articles'!B298&amp;"")</f>
        <v/>
      </c>
      <c r="C298" s="39" t="str">
        <f>IF(A298="","",'Articles'!D298&amp;"")</f>
        <v/>
      </c>
      <c r="D298" s="39" t="str">
        <f>IF(A298="","",ROUND(N('Articles'!H298)+SUMIFS(mv_qty,mv_ref,A298,mv_type,"Entrée",mv_date,"&lt;"&amp;$E$1)-SUMIFS(mv_qty,mv_ref,A298,mv_type,"Sortie",mv_date,"&lt;"&amp;$E$1),6))</f>
        <v/>
      </c>
      <c r="E298" s="39" t="str">
        <f>IF(A298="","",SUMIFS(mv_qty,mv_ref,A298,mv_type,"Entrée",mv_date,"&gt;="&amp;$E$1,mv_date,"&lt;="&amp;$G$1))</f>
        <v/>
      </c>
      <c r="F298" s="39" t="str">
        <f>IF(A298="","",SUMIFS(mv_qty,mv_ref,A298,mv_type,"Sortie",mv_date,"&gt;="&amp;$E$1,mv_date,"&lt;="&amp;$G$1))</f>
        <v/>
      </c>
      <c r="G298" s="39" t="str">
        <f>IF(A298="","",ROUND(D298+E298-F298,6))</f>
        <v/>
      </c>
      <c r="H298" s="40" t="str">
        <f>IF(A298="","",G298*N('Articles'!G298))</f>
        <v/>
      </c>
    </row>
    <row r="299">
      <c r="A299" s="39" t="str">
        <f>IF('Articles'!A299="","",'Articles'!A299)</f>
        <v/>
      </c>
      <c r="B299" s="39" t="str">
        <f>IF(A299="","",'Articles'!B299&amp;"")</f>
        <v/>
      </c>
      <c r="C299" s="39" t="str">
        <f>IF(A299="","",'Articles'!D299&amp;"")</f>
        <v/>
      </c>
      <c r="D299" s="39" t="str">
        <f>IF(A299="","",ROUND(N('Articles'!H299)+SUMIFS(mv_qty,mv_ref,A299,mv_type,"Entrée",mv_date,"&lt;"&amp;$E$1)-SUMIFS(mv_qty,mv_ref,A299,mv_type,"Sortie",mv_date,"&lt;"&amp;$E$1),6))</f>
        <v/>
      </c>
      <c r="E299" s="39" t="str">
        <f>IF(A299="","",SUMIFS(mv_qty,mv_ref,A299,mv_type,"Entrée",mv_date,"&gt;="&amp;$E$1,mv_date,"&lt;="&amp;$G$1))</f>
        <v/>
      </c>
      <c r="F299" s="39" t="str">
        <f>IF(A299="","",SUMIFS(mv_qty,mv_ref,A299,mv_type,"Sortie",mv_date,"&gt;="&amp;$E$1,mv_date,"&lt;="&amp;$G$1))</f>
        <v/>
      </c>
      <c r="G299" s="39" t="str">
        <f>IF(A299="","",ROUND(D299+E299-F299,6))</f>
        <v/>
      </c>
      <c r="H299" s="40" t="str">
        <f>IF(A299="","",G299*N('Articles'!G299))</f>
        <v/>
      </c>
    </row>
    <row r="300">
      <c r="A300" s="39" t="str">
        <f>IF('Articles'!A300="","",'Articles'!A300)</f>
        <v/>
      </c>
      <c r="B300" s="39" t="str">
        <f>IF(A300="","",'Articles'!B300&amp;"")</f>
        <v/>
      </c>
      <c r="C300" s="39" t="str">
        <f>IF(A300="","",'Articles'!D300&amp;"")</f>
        <v/>
      </c>
      <c r="D300" s="39" t="str">
        <f>IF(A300="","",ROUND(N('Articles'!H300)+SUMIFS(mv_qty,mv_ref,A300,mv_type,"Entrée",mv_date,"&lt;"&amp;$E$1)-SUMIFS(mv_qty,mv_ref,A300,mv_type,"Sortie",mv_date,"&lt;"&amp;$E$1),6))</f>
        <v/>
      </c>
      <c r="E300" s="39" t="str">
        <f>IF(A300="","",SUMIFS(mv_qty,mv_ref,A300,mv_type,"Entrée",mv_date,"&gt;="&amp;$E$1,mv_date,"&lt;="&amp;$G$1))</f>
        <v/>
      </c>
      <c r="F300" s="39" t="str">
        <f>IF(A300="","",SUMIFS(mv_qty,mv_ref,A300,mv_type,"Sortie",mv_date,"&gt;="&amp;$E$1,mv_date,"&lt;="&amp;$G$1))</f>
        <v/>
      </c>
      <c r="G300" s="39" t="str">
        <f>IF(A300="","",ROUND(D300+E300-F300,6))</f>
        <v/>
      </c>
      <c r="H300" s="40" t="str">
        <f>IF(A300="","",G300*N('Articles'!G300))</f>
        <v/>
      </c>
    </row>
    <row r="301">
      <c r="A301" s="39" t="str">
        <f>IF('Articles'!A301="","",'Articles'!A301)</f>
        <v/>
      </c>
      <c r="B301" s="39" t="str">
        <f>IF(A301="","",'Articles'!B301&amp;"")</f>
        <v/>
      </c>
      <c r="C301" s="39" t="str">
        <f>IF(A301="","",'Articles'!D301&amp;"")</f>
        <v/>
      </c>
      <c r="D301" s="39" t="str">
        <f>IF(A301="","",ROUND(N('Articles'!H301)+SUMIFS(mv_qty,mv_ref,A301,mv_type,"Entrée",mv_date,"&lt;"&amp;$E$1)-SUMIFS(mv_qty,mv_ref,A301,mv_type,"Sortie",mv_date,"&lt;"&amp;$E$1),6))</f>
        <v/>
      </c>
      <c r="E301" s="39" t="str">
        <f>IF(A301="","",SUMIFS(mv_qty,mv_ref,A301,mv_type,"Entrée",mv_date,"&gt;="&amp;$E$1,mv_date,"&lt;="&amp;$G$1))</f>
        <v/>
      </c>
      <c r="F301" s="39" t="str">
        <f>IF(A301="","",SUMIFS(mv_qty,mv_ref,A301,mv_type,"Sortie",mv_date,"&gt;="&amp;$E$1,mv_date,"&lt;="&amp;$G$1))</f>
        <v/>
      </c>
      <c r="G301" s="39" t="str">
        <f>IF(A301="","",ROUND(D301+E301-F301,6))</f>
        <v/>
      </c>
      <c r="H301" s="40" t="str">
        <f>IF(A301="","",G301*N('Articles'!G301))</f>
        <v/>
      </c>
    </row>
    <row r="302">
      <c r="A302" s="39" t="str">
        <f>IF('Articles'!A302="","",'Articles'!A302)</f>
        <v/>
      </c>
      <c r="B302" s="39" t="str">
        <f>IF(A302="","",'Articles'!B302&amp;"")</f>
        <v/>
      </c>
      <c r="C302" s="39" t="str">
        <f>IF(A302="","",'Articles'!D302&amp;"")</f>
        <v/>
      </c>
      <c r="D302" s="39" t="str">
        <f>IF(A302="","",ROUND(N('Articles'!H302)+SUMIFS(mv_qty,mv_ref,A302,mv_type,"Entrée",mv_date,"&lt;"&amp;$E$1)-SUMIFS(mv_qty,mv_ref,A302,mv_type,"Sortie",mv_date,"&lt;"&amp;$E$1),6))</f>
        <v/>
      </c>
      <c r="E302" s="39" t="str">
        <f>IF(A302="","",SUMIFS(mv_qty,mv_ref,A302,mv_type,"Entrée",mv_date,"&gt;="&amp;$E$1,mv_date,"&lt;="&amp;$G$1))</f>
        <v/>
      </c>
      <c r="F302" s="39" t="str">
        <f>IF(A302="","",SUMIFS(mv_qty,mv_ref,A302,mv_type,"Sortie",mv_date,"&gt;="&amp;$E$1,mv_date,"&lt;="&amp;$G$1))</f>
        <v/>
      </c>
      <c r="G302" s="39" t="str">
        <f>IF(A302="","",ROUND(D302+E302-F302,6))</f>
        <v/>
      </c>
      <c r="H302" s="40" t="str">
        <f>IF(A302="","",G302*N('Articles'!G302))</f>
        <v/>
      </c>
    </row>
    <row r="303">
      <c r="A303" s="39" t="str">
        <f>IF('Articles'!A303="","",'Articles'!A303)</f>
        <v/>
      </c>
      <c r="B303" s="39" t="str">
        <f>IF(A303="","",'Articles'!B303&amp;"")</f>
        <v/>
      </c>
      <c r="C303" s="39" t="str">
        <f>IF(A303="","",'Articles'!D303&amp;"")</f>
        <v/>
      </c>
      <c r="D303" s="39" t="str">
        <f>IF(A303="","",ROUND(N('Articles'!H303)+SUMIFS(mv_qty,mv_ref,A303,mv_type,"Entrée",mv_date,"&lt;"&amp;$E$1)-SUMIFS(mv_qty,mv_ref,A303,mv_type,"Sortie",mv_date,"&lt;"&amp;$E$1),6))</f>
        <v/>
      </c>
      <c r="E303" s="39" t="str">
        <f>IF(A303="","",SUMIFS(mv_qty,mv_ref,A303,mv_type,"Entrée",mv_date,"&gt;="&amp;$E$1,mv_date,"&lt;="&amp;$G$1))</f>
        <v/>
      </c>
      <c r="F303" s="39" t="str">
        <f>IF(A303="","",SUMIFS(mv_qty,mv_ref,A303,mv_type,"Sortie",mv_date,"&gt;="&amp;$E$1,mv_date,"&lt;="&amp;$G$1))</f>
        <v/>
      </c>
      <c r="G303" s="39" t="str">
        <f>IF(A303="","",ROUND(D303+E303-F303,6))</f>
        <v/>
      </c>
      <c r="H303" s="40" t="str">
        <f>IF(A303="","",G303*N('Articles'!G303))</f>
        <v/>
      </c>
    </row>
    <row r="304">
      <c r="A304" s="39" t="str">
        <f>IF('Articles'!A304="","",'Articles'!A304)</f>
        <v/>
      </c>
      <c r="B304" s="39" t="str">
        <f>IF(A304="","",'Articles'!B304&amp;"")</f>
        <v/>
      </c>
      <c r="C304" s="39" t="str">
        <f>IF(A304="","",'Articles'!D304&amp;"")</f>
        <v/>
      </c>
      <c r="D304" s="39" t="str">
        <f>IF(A304="","",ROUND(N('Articles'!H304)+SUMIFS(mv_qty,mv_ref,A304,mv_type,"Entrée",mv_date,"&lt;"&amp;$E$1)-SUMIFS(mv_qty,mv_ref,A304,mv_type,"Sortie",mv_date,"&lt;"&amp;$E$1),6))</f>
        <v/>
      </c>
      <c r="E304" s="39" t="str">
        <f>IF(A304="","",SUMIFS(mv_qty,mv_ref,A304,mv_type,"Entrée",mv_date,"&gt;="&amp;$E$1,mv_date,"&lt;="&amp;$G$1))</f>
        <v/>
      </c>
      <c r="F304" s="39" t="str">
        <f>IF(A304="","",SUMIFS(mv_qty,mv_ref,A304,mv_type,"Sortie",mv_date,"&gt;="&amp;$E$1,mv_date,"&lt;="&amp;$G$1))</f>
        <v/>
      </c>
      <c r="G304" s="39" t="str">
        <f>IF(A304="","",ROUND(D304+E304-F304,6))</f>
        <v/>
      </c>
      <c r="H304" s="40" t="str">
        <f>IF(A304="","",G304*N('Articles'!G304))</f>
        <v/>
      </c>
    </row>
    <row r="305">
      <c r="A305" s="39" t="str">
        <f>IF('Articles'!A305="","",'Articles'!A305)</f>
        <v/>
      </c>
      <c r="B305" s="39" t="str">
        <f>IF(A305="","",'Articles'!B305&amp;"")</f>
        <v/>
      </c>
      <c r="C305" s="39" t="str">
        <f>IF(A305="","",'Articles'!D305&amp;"")</f>
        <v/>
      </c>
      <c r="D305" s="39" t="str">
        <f>IF(A305="","",ROUND(N('Articles'!H305)+SUMIFS(mv_qty,mv_ref,A305,mv_type,"Entrée",mv_date,"&lt;"&amp;$E$1)-SUMIFS(mv_qty,mv_ref,A305,mv_type,"Sortie",mv_date,"&lt;"&amp;$E$1),6))</f>
        <v/>
      </c>
      <c r="E305" s="39" t="str">
        <f>IF(A305="","",SUMIFS(mv_qty,mv_ref,A305,mv_type,"Entrée",mv_date,"&gt;="&amp;$E$1,mv_date,"&lt;="&amp;$G$1))</f>
        <v/>
      </c>
      <c r="F305" s="39" t="str">
        <f>IF(A305="","",SUMIFS(mv_qty,mv_ref,A305,mv_type,"Sortie",mv_date,"&gt;="&amp;$E$1,mv_date,"&lt;="&amp;$G$1))</f>
        <v/>
      </c>
      <c r="G305" s="39" t="str">
        <f>IF(A305="","",ROUND(D305+E305-F305,6))</f>
        <v/>
      </c>
      <c r="H305" s="40" t="str">
        <f>IF(A305="","",G305*N('Articles'!G305))</f>
        <v/>
      </c>
    </row>
    <row r="306">
      <c r="A306" s="39" t="str">
        <f>IF('Articles'!A306="","",'Articles'!A306)</f>
        <v/>
      </c>
      <c r="B306" s="39" t="str">
        <f>IF(A306="","",'Articles'!B306&amp;"")</f>
        <v/>
      </c>
      <c r="C306" s="39" t="str">
        <f>IF(A306="","",'Articles'!D306&amp;"")</f>
        <v/>
      </c>
      <c r="D306" s="39" t="str">
        <f>IF(A306="","",ROUND(N('Articles'!H306)+SUMIFS(mv_qty,mv_ref,A306,mv_type,"Entrée",mv_date,"&lt;"&amp;$E$1)-SUMIFS(mv_qty,mv_ref,A306,mv_type,"Sortie",mv_date,"&lt;"&amp;$E$1),6))</f>
        <v/>
      </c>
      <c r="E306" s="39" t="str">
        <f>IF(A306="","",SUMIFS(mv_qty,mv_ref,A306,mv_type,"Entrée",mv_date,"&gt;="&amp;$E$1,mv_date,"&lt;="&amp;$G$1))</f>
        <v/>
      </c>
      <c r="F306" s="39" t="str">
        <f>IF(A306="","",SUMIFS(mv_qty,mv_ref,A306,mv_type,"Sortie",mv_date,"&gt;="&amp;$E$1,mv_date,"&lt;="&amp;$G$1))</f>
        <v/>
      </c>
      <c r="G306" s="39" t="str">
        <f>IF(A306="","",ROUND(D306+E306-F306,6))</f>
        <v/>
      </c>
      <c r="H306" s="40" t="str">
        <f>IF(A306="","",G306*N('Articles'!G306))</f>
        <v/>
      </c>
    </row>
    <row r="307">
      <c r="A307" s="39" t="str">
        <f>IF('Articles'!A307="","",'Articles'!A307)</f>
        <v/>
      </c>
      <c r="B307" s="39" t="str">
        <f>IF(A307="","",'Articles'!B307&amp;"")</f>
        <v/>
      </c>
      <c r="C307" s="39" t="str">
        <f>IF(A307="","",'Articles'!D307&amp;"")</f>
        <v/>
      </c>
      <c r="D307" s="39" t="str">
        <f>IF(A307="","",ROUND(N('Articles'!H307)+SUMIFS(mv_qty,mv_ref,A307,mv_type,"Entrée",mv_date,"&lt;"&amp;$E$1)-SUMIFS(mv_qty,mv_ref,A307,mv_type,"Sortie",mv_date,"&lt;"&amp;$E$1),6))</f>
        <v/>
      </c>
      <c r="E307" s="39" t="str">
        <f>IF(A307="","",SUMIFS(mv_qty,mv_ref,A307,mv_type,"Entrée",mv_date,"&gt;="&amp;$E$1,mv_date,"&lt;="&amp;$G$1))</f>
        <v/>
      </c>
      <c r="F307" s="39" t="str">
        <f>IF(A307="","",SUMIFS(mv_qty,mv_ref,A307,mv_type,"Sortie",mv_date,"&gt;="&amp;$E$1,mv_date,"&lt;="&amp;$G$1))</f>
        <v/>
      </c>
      <c r="G307" s="39" t="str">
        <f>IF(A307="","",ROUND(D307+E307-F307,6))</f>
        <v/>
      </c>
      <c r="H307" s="40" t="str">
        <f>IF(A307="","",G307*N('Articles'!G307))</f>
        <v/>
      </c>
    </row>
    <row r="308">
      <c r="A308" s="39" t="str">
        <f>IF('Articles'!A308="","",'Articles'!A308)</f>
        <v/>
      </c>
      <c r="B308" s="39" t="str">
        <f>IF(A308="","",'Articles'!B308&amp;"")</f>
        <v/>
      </c>
      <c r="C308" s="39" t="str">
        <f>IF(A308="","",'Articles'!D308&amp;"")</f>
        <v/>
      </c>
      <c r="D308" s="39" t="str">
        <f>IF(A308="","",ROUND(N('Articles'!H308)+SUMIFS(mv_qty,mv_ref,A308,mv_type,"Entrée",mv_date,"&lt;"&amp;$E$1)-SUMIFS(mv_qty,mv_ref,A308,mv_type,"Sortie",mv_date,"&lt;"&amp;$E$1),6))</f>
        <v/>
      </c>
      <c r="E308" s="39" t="str">
        <f>IF(A308="","",SUMIFS(mv_qty,mv_ref,A308,mv_type,"Entrée",mv_date,"&gt;="&amp;$E$1,mv_date,"&lt;="&amp;$G$1))</f>
        <v/>
      </c>
      <c r="F308" s="39" t="str">
        <f>IF(A308="","",SUMIFS(mv_qty,mv_ref,A308,mv_type,"Sortie",mv_date,"&gt;="&amp;$E$1,mv_date,"&lt;="&amp;$G$1))</f>
        <v/>
      </c>
      <c r="G308" s="39" t="str">
        <f>IF(A308="","",ROUND(D308+E308-F308,6))</f>
        <v/>
      </c>
      <c r="H308" s="40" t="str">
        <f>IF(A308="","",G308*N('Articles'!G308))</f>
        <v/>
      </c>
    </row>
    <row r="309">
      <c r="A309" s="39" t="str">
        <f>IF('Articles'!A309="","",'Articles'!A309)</f>
        <v/>
      </c>
      <c r="B309" s="39" t="str">
        <f>IF(A309="","",'Articles'!B309&amp;"")</f>
        <v/>
      </c>
      <c r="C309" s="39" t="str">
        <f>IF(A309="","",'Articles'!D309&amp;"")</f>
        <v/>
      </c>
      <c r="D309" s="39" t="str">
        <f>IF(A309="","",ROUND(N('Articles'!H309)+SUMIFS(mv_qty,mv_ref,A309,mv_type,"Entrée",mv_date,"&lt;"&amp;$E$1)-SUMIFS(mv_qty,mv_ref,A309,mv_type,"Sortie",mv_date,"&lt;"&amp;$E$1),6))</f>
        <v/>
      </c>
      <c r="E309" s="39" t="str">
        <f>IF(A309="","",SUMIFS(mv_qty,mv_ref,A309,mv_type,"Entrée",mv_date,"&gt;="&amp;$E$1,mv_date,"&lt;="&amp;$G$1))</f>
        <v/>
      </c>
      <c r="F309" s="39" t="str">
        <f>IF(A309="","",SUMIFS(mv_qty,mv_ref,A309,mv_type,"Sortie",mv_date,"&gt;="&amp;$E$1,mv_date,"&lt;="&amp;$G$1))</f>
        <v/>
      </c>
      <c r="G309" s="39" t="str">
        <f>IF(A309="","",ROUND(D309+E309-F309,6))</f>
        <v/>
      </c>
      <c r="H309" s="40" t="str">
        <f>IF(A309="","",G309*N('Articles'!G309))</f>
        <v/>
      </c>
    </row>
    <row r="310">
      <c r="A310" s="39" t="str">
        <f>IF('Articles'!A310="","",'Articles'!A310)</f>
        <v/>
      </c>
      <c r="B310" s="39" t="str">
        <f>IF(A310="","",'Articles'!B310&amp;"")</f>
        <v/>
      </c>
      <c r="C310" s="39" t="str">
        <f>IF(A310="","",'Articles'!D310&amp;"")</f>
        <v/>
      </c>
      <c r="D310" s="39" t="str">
        <f>IF(A310="","",ROUND(N('Articles'!H310)+SUMIFS(mv_qty,mv_ref,A310,mv_type,"Entrée",mv_date,"&lt;"&amp;$E$1)-SUMIFS(mv_qty,mv_ref,A310,mv_type,"Sortie",mv_date,"&lt;"&amp;$E$1),6))</f>
        <v/>
      </c>
      <c r="E310" s="39" t="str">
        <f>IF(A310="","",SUMIFS(mv_qty,mv_ref,A310,mv_type,"Entrée",mv_date,"&gt;="&amp;$E$1,mv_date,"&lt;="&amp;$G$1))</f>
        <v/>
      </c>
      <c r="F310" s="39" t="str">
        <f>IF(A310="","",SUMIFS(mv_qty,mv_ref,A310,mv_type,"Sortie",mv_date,"&gt;="&amp;$E$1,mv_date,"&lt;="&amp;$G$1))</f>
        <v/>
      </c>
      <c r="G310" s="39" t="str">
        <f>IF(A310="","",ROUND(D310+E310-F310,6))</f>
        <v/>
      </c>
      <c r="H310" s="40" t="str">
        <f>IF(A310="","",G310*N('Articles'!G310))</f>
        <v/>
      </c>
    </row>
    <row r="311">
      <c r="A311" s="39" t="str">
        <f>IF('Articles'!A311="","",'Articles'!A311)</f>
        <v/>
      </c>
      <c r="B311" s="39" t="str">
        <f>IF(A311="","",'Articles'!B311&amp;"")</f>
        <v/>
      </c>
      <c r="C311" s="39" t="str">
        <f>IF(A311="","",'Articles'!D311&amp;"")</f>
        <v/>
      </c>
      <c r="D311" s="39" t="str">
        <f>IF(A311="","",ROUND(N('Articles'!H311)+SUMIFS(mv_qty,mv_ref,A311,mv_type,"Entrée",mv_date,"&lt;"&amp;$E$1)-SUMIFS(mv_qty,mv_ref,A311,mv_type,"Sortie",mv_date,"&lt;"&amp;$E$1),6))</f>
        <v/>
      </c>
      <c r="E311" s="39" t="str">
        <f>IF(A311="","",SUMIFS(mv_qty,mv_ref,A311,mv_type,"Entrée",mv_date,"&gt;="&amp;$E$1,mv_date,"&lt;="&amp;$G$1))</f>
        <v/>
      </c>
      <c r="F311" s="39" t="str">
        <f>IF(A311="","",SUMIFS(mv_qty,mv_ref,A311,mv_type,"Sortie",mv_date,"&gt;="&amp;$E$1,mv_date,"&lt;="&amp;$G$1))</f>
        <v/>
      </c>
      <c r="G311" s="39" t="str">
        <f>IF(A311="","",ROUND(D311+E311-F311,6))</f>
        <v/>
      </c>
      <c r="H311" s="40" t="str">
        <f>IF(A311="","",G311*N('Articles'!G311))</f>
        <v/>
      </c>
    </row>
    <row r="312">
      <c r="A312" s="39" t="str">
        <f>IF('Articles'!A312="","",'Articles'!A312)</f>
        <v/>
      </c>
      <c r="B312" s="39" t="str">
        <f>IF(A312="","",'Articles'!B312&amp;"")</f>
        <v/>
      </c>
      <c r="C312" s="39" t="str">
        <f>IF(A312="","",'Articles'!D312&amp;"")</f>
        <v/>
      </c>
      <c r="D312" s="39" t="str">
        <f>IF(A312="","",ROUND(N('Articles'!H312)+SUMIFS(mv_qty,mv_ref,A312,mv_type,"Entrée",mv_date,"&lt;"&amp;$E$1)-SUMIFS(mv_qty,mv_ref,A312,mv_type,"Sortie",mv_date,"&lt;"&amp;$E$1),6))</f>
        <v/>
      </c>
      <c r="E312" s="39" t="str">
        <f>IF(A312="","",SUMIFS(mv_qty,mv_ref,A312,mv_type,"Entrée",mv_date,"&gt;="&amp;$E$1,mv_date,"&lt;="&amp;$G$1))</f>
        <v/>
      </c>
      <c r="F312" s="39" t="str">
        <f>IF(A312="","",SUMIFS(mv_qty,mv_ref,A312,mv_type,"Sortie",mv_date,"&gt;="&amp;$E$1,mv_date,"&lt;="&amp;$G$1))</f>
        <v/>
      </c>
      <c r="G312" s="39" t="str">
        <f>IF(A312="","",ROUND(D312+E312-F312,6))</f>
        <v/>
      </c>
      <c r="H312" s="40" t="str">
        <f>IF(A312="","",G312*N('Articles'!G312))</f>
        <v/>
      </c>
    </row>
    <row r="313">
      <c r="A313" s="39" t="str">
        <f>IF('Articles'!A313="","",'Articles'!A313)</f>
        <v/>
      </c>
      <c r="B313" s="39" t="str">
        <f>IF(A313="","",'Articles'!B313&amp;"")</f>
        <v/>
      </c>
      <c r="C313" s="39" t="str">
        <f>IF(A313="","",'Articles'!D313&amp;"")</f>
        <v/>
      </c>
      <c r="D313" s="39" t="str">
        <f>IF(A313="","",ROUND(N('Articles'!H313)+SUMIFS(mv_qty,mv_ref,A313,mv_type,"Entrée",mv_date,"&lt;"&amp;$E$1)-SUMIFS(mv_qty,mv_ref,A313,mv_type,"Sortie",mv_date,"&lt;"&amp;$E$1),6))</f>
        <v/>
      </c>
      <c r="E313" s="39" t="str">
        <f>IF(A313="","",SUMIFS(mv_qty,mv_ref,A313,mv_type,"Entrée",mv_date,"&gt;="&amp;$E$1,mv_date,"&lt;="&amp;$G$1))</f>
        <v/>
      </c>
      <c r="F313" s="39" t="str">
        <f>IF(A313="","",SUMIFS(mv_qty,mv_ref,A313,mv_type,"Sortie",mv_date,"&gt;="&amp;$E$1,mv_date,"&lt;="&amp;$G$1))</f>
        <v/>
      </c>
      <c r="G313" s="39" t="str">
        <f>IF(A313="","",ROUND(D313+E313-F313,6))</f>
        <v/>
      </c>
      <c r="H313" s="40" t="str">
        <f>IF(A313="","",G313*N('Articles'!G313))</f>
        <v/>
      </c>
    </row>
    <row r="314">
      <c r="A314" s="39" t="str">
        <f>IF('Articles'!A314="","",'Articles'!A314)</f>
        <v/>
      </c>
      <c r="B314" s="39" t="str">
        <f>IF(A314="","",'Articles'!B314&amp;"")</f>
        <v/>
      </c>
      <c r="C314" s="39" t="str">
        <f>IF(A314="","",'Articles'!D314&amp;"")</f>
        <v/>
      </c>
      <c r="D314" s="39" t="str">
        <f>IF(A314="","",ROUND(N('Articles'!H314)+SUMIFS(mv_qty,mv_ref,A314,mv_type,"Entrée",mv_date,"&lt;"&amp;$E$1)-SUMIFS(mv_qty,mv_ref,A314,mv_type,"Sortie",mv_date,"&lt;"&amp;$E$1),6))</f>
        <v/>
      </c>
      <c r="E314" s="39" t="str">
        <f>IF(A314="","",SUMIFS(mv_qty,mv_ref,A314,mv_type,"Entrée",mv_date,"&gt;="&amp;$E$1,mv_date,"&lt;="&amp;$G$1))</f>
        <v/>
      </c>
      <c r="F314" s="39" t="str">
        <f>IF(A314="","",SUMIFS(mv_qty,mv_ref,A314,mv_type,"Sortie",mv_date,"&gt;="&amp;$E$1,mv_date,"&lt;="&amp;$G$1))</f>
        <v/>
      </c>
      <c r="G314" s="39" t="str">
        <f>IF(A314="","",ROUND(D314+E314-F314,6))</f>
        <v/>
      </c>
      <c r="H314" s="40" t="str">
        <f>IF(A314="","",G314*N('Articles'!G314))</f>
        <v/>
      </c>
    </row>
    <row r="315">
      <c r="A315" s="39" t="str">
        <f>IF('Articles'!A315="","",'Articles'!A315)</f>
        <v/>
      </c>
      <c r="B315" s="39" t="str">
        <f>IF(A315="","",'Articles'!B315&amp;"")</f>
        <v/>
      </c>
      <c r="C315" s="39" t="str">
        <f>IF(A315="","",'Articles'!D315&amp;"")</f>
        <v/>
      </c>
      <c r="D315" s="39" t="str">
        <f>IF(A315="","",ROUND(N('Articles'!H315)+SUMIFS(mv_qty,mv_ref,A315,mv_type,"Entrée",mv_date,"&lt;"&amp;$E$1)-SUMIFS(mv_qty,mv_ref,A315,mv_type,"Sortie",mv_date,"&lt;"&amp;$E$1),6))</f>
        <v/>
      </c>
      <c r="E315" s="39" t="str">
        <f>IF(A315="","",SUMIFS(mv_qty,mv_ref,A315,mv_type,"Entrée",mv_date,"&gt;="&amp;$E$1,mv_date,"&lt;="&amp;$G$1))</f>
        <v/>
      </c>
      <c r="F315" s="39" t="str">
        <f>IF(A315="","",SUMIFS(mv_qty,mv_ref,A315,mv_type,"Sortie",mv_date,"&gt;="&amp;$E$1,mv_date,"&lt;="&amp;$G$1))</f>
        <v/>
      </c>
      <c r="G315" s="39" t="str">
        <f>IF(A315="","",ROUND(D315+E315-F315,6))</f>
        <v/>
      </c>
      <c r="H315" s="40" t="str">
        <f>IF(A315="","",G315*N('Articles'!G315))</f>
        <v/>
      </c>
    </row>
    <row r="316">
      <c r="A316" s="39" t="str">
        <f>IF('Articles'!A316="","",'Articles'!A316)</f>
        <v/>
      </c>
      <c r="B316" s="39" t="str">
        <f>IF(A316="","",'Articles'!B316&amp;"")</f>
        <v/>
      </c>
      <c r="C316" s="39" t="str">
        <f>IF(A316="","",'Articles'!D316&amp;"")</f>
        <v/>
      </c>
      <c r="D316" s="39" t="str">
        <f>IF(A316="","",ROUND(N('Articles'!H316)+SUMIFS(mv_qty,mv_ref,A316,mv_type,"Entrée",mv_date,"&lt;"&amp;$E$1)-SUMIFS(mv_qty,mv_ref,A316,mv_type,"Sortie",mv_date,"&lt;"&amp;$E$1),6))</f>
        <v/>
      </c>
      <c r="E316" s="39" t="str">
        <f>IF(A316="","",SUMIFS(mv_qty,mv_ref,A316,mv_type,"Entrée",mv_date,"&gt;="&amp;$E$1,mv_date,"&lt;="&amp;$G$1))</f>
        <v/>
      </c>
      <c r="F316" s="39" t="str">
        <f>IF(A316="","",SUMIFS(mv_qty,mv_ref,A316,mv_type,"Sortie",mv_date,"&gt;="&amp;$E$1,mv_date,"&lt;="&amp;$G$1))</f>
        <v/>
      </c>
      <c r="G316" s="39" t="str">
        <f>IF(A316="","",ROUND(D316+E316-F316,6))</f>
        <v/>
      </c>
      <c r="H316" s="40" t="str">
        <f>IF(A316="","",G316*N('Articles'!G316))</f>
        <v/>
      </c>
    </row>
    <row r="317">
      <c r="A317" s="39" t="str">
        <f>IF('Articles'!A317="","",'Articles'!A317)</f>
        <v/>
      </c>
      <c r="B317" s="39" t="str">
        <f>IF(A317="","",'Articles'!B317&amp;"")</f>
        <v/>
      </c>
      <c r="C317" s="39" t="str">
        <f>IF(A317="","",'Articles'!D317&amp;"")</f>
        <v/>
      </c>
      <c r="D317" s="39" t="str">
        <f>IF(A317="","",ROUND(N('Articles'!H317)+SUMIFS(mv_qty,mv_ref,A317,mv_type,"Entrée",mv_date,"&lt;"&amp;$E$1)-SUMIFS(mv_qty,mv_ref,A317,mv_type,"Sortie",mv_date,"&lt;"&amp;$E$1),6))</f>
        <v/>
      </c>
      <c r="E317" s="39" t="str">
        <f>IF(A317="","",SUMIFS(mv_qty,mv_ref,A317,mv_type,"Entrée",mv_date,"&gt;="&amp;$E$1,mv_date,"&lt;="&amp;$G$1))</f>
        <v/>
      </c>
      <c r="F317" s="39" t="str">
        <f>IF(A317="","",SUMIFS(mv_qty,mv_ref,A317,mv_type,"Sortie",mv_date,"&gt;="&amp;$E$1,mv_date,"&lt;="&amp;$G$1))</f>
        <v/>
      </c>
      <c r="G317" s="39" t="str">
        <f>IF(A317="","",ROUND(D317+E317-F317,6))</f>
        <v/>
      </c>
      <c r="H317" s="40" t="str">
        <f>IF(A317="","",G317*N('Articles'!G317))</f>
        <v/>
      </c>
    </row>
    <row r="318">
      <c r="A318" s="39" t="str">
        <f>IF('Articles'!A318="","",'Articles'!A318)</f>
        <v/>
      </c>
      <c r="B318" s="39" t="str">
        <f>IF(A318="","",'Articles'!B318&amp;"")</f>
        <v/>
      </c>
      <c r="C318" s="39" t="str">
        <f>IF(A318="","",'Articles'!D318&amp;"")</f>
        <v/>
      </c>
      <c r="D318" s="39" t="str">
        <f>IF(A318="","",ROUND(N('Articles'!H318)+SUMIFS(mv_qty,mv_ref,A318,mv_type,"Entrée",mv_date,"&lt;"&amp;$E$1)-SUMIFS(mv_qty,mv_ref,A318,mv_type,"Sortie",mv_date,"&lt;"&amp;$E$1),6))</f>
        <v/>
      </c>
      <c r="E318" s="39" t="str">
        <f>IF(A318="","",SUMIFS(mv_qty,mv_ref,A318,mv_type,"Entrée",mv_date,"&gt;="&amp;$E$1,mv_date,"&lt;="&amp;$G$1))</f>
        <v/>
      </c>
      <c r="F318" s="39" t="str">
        <f>IF(A318="","",SUMIFS(mv_qty,mv_ref,A318,mv_type,"Sortie",mv_date,"&gt;="&amp;$E$1,mv_date,"&lt;="&amp;$G$1))</f>
        <v/>
      </c>
      <c r="G318" s="39" t="str">
        <f>IF(A318="","",ROUND(D318+E318-F318,6))</f>
        <v/>
      </c>
      <c r="H318" s="40" t="str">
        <f>IF(A318="","",G318*N('Articles'!G318))</f>
        <v/>
      </c>
    </row>
    <row r="319">
      <c r="A319" s="39" t="str">
        <f>IF('Articles'!A319="","",'Articles'!A319)</f>
        <v/>
      </c>
      <c r="B319" s="39" t="str">
        <f>IF(A319="","",'Articles'!B319&amp;"")</f>
        <v/>
      </c>
      <c r="C319" s="39" t="str">
        <f>IF(A319="","",'Articles'!D319&amp;"")</f>
        <v/>
      </c>
      <c r="D319" s="39" t="str">
        <f>IF(A319="","",ROUND(N('Articles'!H319)+SUMIFS(mv_qty,mv_ref,A319,mv_type,"Entrée",mv_date,"&lt;"&amp;$E$1)-SUMIFS(mv_qty,mv_ref,A319,mv_type,"Sortie",mv_date,"&lt;"&amp;$E$1),6))</f>
        <v/>
      </c>
      <c r="E319" s="39" t="str">
        <f>IF(A319="","",SUMIFS(mv_qty,mv_ref,A319,mv_type,"Entrée",mv_date,"&gt;="&amp;$E$1,mv_date,"&lt;="&amp;$G$1))</f>
        <v/>
      </c>
      <c r="F319" s="39" t="str">
        <f>IF(A319="","",SUMIFS(mv_qty,mv_ref,A319,mv_type,"Sortie",mv_date,"&gt;="&amp;$E$1,mv_date,"&lt;="&amp;$G$1))</f>
        <v/>
      </c>
      <c r="G319" s="39" t="str">
        <f>IF(A319="","",ROUND(D319+E319-F319,6))</f>
        <v/>
      </c>
      <c r="H319" s="40" t="str">
        <f>IF(A319="","",G319*N('Articles'!G319))</f>
        <v/>
      </c>
    </row>
    <row r="320">
      <c r="A320" s="39" t="str">
        <f>IF('Articles'!A320="","",'Articles'!A320)</f>
        <v/>
      </c>
      <c r="B320" s="39" t="str">
        <f>IF(A320="","",'Articles'!B320&amp;"")</f>
        <v/>
      </c>
      <c r="C320" s="39" t="str">
        <f>IF(A320="","",'Articles'!D320&amp;"")</f>
        <v/>
      </c>
      <c r="D320" s="39" t="str">
        <f>IF(A320="","",ROUND(N('Articles'!H320)+SUMIFS(mv_qty,mv_ref,A320,mv_type,"Entrée",mv_date,"&lt;"&amp;$E$1)-SUMIFS(mv_qty,mv_ref,A320,mv_type,"Sortie",mv_date,"&lt;"&amp;$E$1),6))</f>
        <v/>
      </c>
      <c r="E320" s="39" t="str">
        <f>IF(A320="","",SUMIFS(mv_qty,mv_ref,A320,mv_type,"Entrée",mv_date,"&gt;="&amp;$E$1,mv_date,"&lt;="&amp;$G$1))</f>
        <v/>
      </c>
      <c r="F320" s="39" t="str">
        <f>IF(A320="","",SUMIFS(mv_qty,mv_ref,A320,mv_type,"Sortie",mv_date,"&gt;="&amp;$E$1,mv_date,"&lt;="&amp;$G$1))</f>
        <v/>
      </c>
      <c r="G320" s="39" t="str">
        <f>IF(A320="","",ROUND(D320+E320-F320,6))</f>
        <v/>
      </c>
      <c r="H320" s="40" t="str">
        <f>IF(A320="","",G320*N('Articles'!G320))</f>
        <v/>
      </c>
    </row>
    <row r="321">
      <c r="A321" s="39" t="str">
        <f>IF('Articles'!A321="","",'Articles'!A321)</f>
        <v/>
      </c>
      <c r="B321" s="39" t="str">
        <f>IF(A321="","",'Articles'!B321&amp;"")</f>
        <v/>
      </c>
      <c r="C321" s="39" t="str">
        <f>IF(A321="","",'Articles'!D321&amp;"")</f>
        <v/>
      </c>
      <c r="D321" s="39" t="str">
        <f>IF(A321="","",ROUND(N('Articles'!H321)+SUMIFS(mv_qty,mv_ref,A321,mv_type,"Entrée",mv_date,"&lt;"&amp;$E$1)-SUMIFS(mv_qty,mv_ref,A321,mv_type,"Sortie",mv_date,"&lt;"&amp;$E$1),6))</f>
        <v/>
      </c>
      <c r="E321" s="39" t="str">
        <f>IF(A321="","",SUMIFS(mv_qty,mv_ref,A321,mv_type,"Entrée",mv_date,"&gt;="&amp;$E$1,mv_date,"&lt;="&amp;$G$1))</f>
        <v/>
      </c>
      <c r="F321" s="39" t="str">
        <f>IF(A321="","",SUMIFS(mv_qty,mv_ref,A321,mv_type,"Sortie",mv_date,"&gt;="&amp;$E$1,mv_date,"&lt;="&amp;$G$1))</f>
        <v/>
      </c>
      <c r="G321" s="39" t="str">
        <f>IF(A321="","",ROUND(D321+E321-F321,6))</f>
        <v/>
      </c>
      <c r="H321" s="40" t="str">
        <f>IF(A321="","",G321*N('Articles'!G321))</f>
        <v/>
      </c>
    </row>
    <row r="322">
      <c r="A322" s="39" t="str">
        <f>IF('Articles'!A322="","",'Articles'!A322)</f>
        <v/>
      </c>
      <c r="B322" s="39" t="str">
        <f>IF(A322="","",'Articles'!B322&amp;"")</f>
        <v/>
      </c>
      <c r="C322" s="39" t="str">
        <f>IF(A322="","",'Articles'!D322&amp;"")</f>
        <v/>
      </c>
      <c r="D322" s="39" t="str">
        <f>IF(A322="","",ROUND(N('Articles'!H322)+SUMIFS(mv_qty,mv_ref,A322,mv_type,"Entrée",mv_date,"&lt;"&amp;$E$1)-SUMIFS(mv_qty,mv_ref,A322,mv_type,"Sortie",mv_date,"&lt;"&amp;$E$1),6))</f>
        <v/>
      </c>
      <c r="E322" s="39" t="str">
        <f>IF(A322="","",SUMIFS(mv_qty,mv_ref,A322,mv_type,"Entrée",mv_date,"&gt;="&amp;$E$1,mv_date,"&lt;="&amp;$G$1))</f>
        <v/>
      </c>
      <c r="F322" s="39" t="str">
        <f>IF(A322="","",SUMIFS(mv_qty,mv_ref,A322,mv_type,"Sortie",mv_date,"&gt;="&amp;$E$1,mv_date,"&lt;="&amp;$G$1))</f>
        <v/>
      </c>
      <c r="G322" s="39" t="str">
        <f>IF(A322="","",ROUND(D322+E322-F322,6))</f>
        <v/>
      </c>
      <c r="H322" s="40" t="str">
        <f>IF(A322="","",G322*N('Articles'!G322))</f>
        <v/>
      </c>
    </row>
    <row r="323">
      <c r="A323" s="39" t="str">
        <f>IF('Articles'!A323="","",'Articles'!A323)</f>
        <v/>
      </c>
      <c r="B323" s="39" t="str">
        <f>IF(A323="","",'Articles'!B323&amp;"")</f>
        <v/>
      </c>
      <c r="C323" s="39" t="str">
        <f>IF(A323="","",'Articles'!D323&amp;"")</f>
        <v/>
      </c>
      <c r="D323" s="39" t="str">
        <f>IF(A323="","",ROUND(N('Articles'!H323)+SUMIFS(mv_qty,mv_ref,A323,mv_type,"Entrée",mv_date,"&lt;"&amp;$E$1)-SUMIFS(mv_qty,mv_ref,A323,mv_type,"Sortie",mv_date,"&lt;"&amp;$E$1),6))</f>
        <v/>
      </c>
      <c r="E323" s="39" t="str">
        <f>IF(A323="","",SUMIFS(mv_qty,mv_ref,A323,mv_type,"Entrée",mv_date,"&gt;="&amp;$E$1,mv_date,"&lt;="&amp;$G$1))</f>
        <v/>
      </c>
      <c r="F323" s="39" t="str">
        <f>IF(A323="","",SUMIFS(mv_qty,mv_ref,A323,mv_type,"Sortie",mv_date,"&gt;="&amp;$E$1,mv_date,"&lt;="&amp;$G$1))</f>
        <v/>
      </c>
      <c r="G323" s="39" t="str">
        <f>IF(A323="","",ROUND(D323+E323-F323,6))</f>
        <v/>
      </c>
      <c r="H323" s="40" t="str">
        <f>IF(A323="","",G323*N('Articles'!G323))</f>
        <v/>
      </c>
    </row>
    <row r="324">
      <c r="A324" s="39" t="str">
        <f>IF('Articles'!A324="","",'Articles'!A324)</f>
        <v/>
      </c>
      <c r="B324" s="39" t="str">
        <f>IF(A324="","",'Articles'!B324&amp;"")</f>
        <v/>
      </c>
      <c r="C324" s="39" t="str">
        <f>IF(A324="","",'Articles'!D324&amp;"")</f>
        <v/>
      </c>
      <c r="D324" s="39" t="str">
        <f>IF(A324="","",ROUND(N('Articles'!H324)+SUMIFS(mv_qty,mv_ref,A324,mv_type,"Entrée",mv_date,"&lt;"&amp;$E$1)-SUMIFS(mv_qty,mv_ref,A324,mv_type,"Sortie",mv_date,"&lt;"&amp;$E$1),6))</f>
        <v/>
      </c>
      <c r="E324" s="39" t="str">
        <f>IF(A324="","",SUMIFS(mv_qty,mv_ref,A324,mv_type,"Entrée",mv_date,"&gt;="&amp;$E$1,mv_date,"&lt;="&amp;$G$1))</f>
        <v/>
      </c>
      <c r="F324" s="39" t="str">
        <f>IF(A324="","",SUMIFS(mv_qty,mv_ref,A324,mv_type,"Sortie",mv_date,"&gt;="&amp;$E$1,mv_date,"&lt;="&amp;$G$1))</f>
        <v/>
      </c>
      <c r="G324" s="39" t="str">
        <f>IF(A324="","",ROUND(D324+E324-F324,6))</f>
        <v/>
      </c>
      <c r="H324" s="40" t="str">
        <f>IF(A324="","",G324*N('Articles'!G324))</f>
        <v/>
      </c>
    </row>
    <row r="325">
      <c r="A325" s="39" t="str">
        <f>IF('Articles'!A325="","",'Articles'!A325)</f>
        <v/>
      </c>
      <c r="B325" s="39" t="str">
        <f>IF(A325="","",'Articles'!B325&amp;"")</f>
        <v/>
      </c>
      <c r="C325" s="39" t="str">
        <f>IF(A325="","",'Articles'!D325&amp;"")</f>
        <v/>
      </c>
      <c r="D325" s="39" t="str">
        <f>IF(A325="","",ROUND(N('Articles'!H325)+SUMIFS(mv_qty,mv_ref,A325,mv_type,"Entrée",mv_date,"&lt;"&amp;$E$1)-SUMIFS(mv_qty,mv_ref,A325,mv_type,"Sortie",mv_date,"&lt;"&amp;$E$1),6))</f>
        <v/>
      </c>
      <c r="E325" s="39" t="str">
        <f>IF(A325="","",SUMIFS(mv_qty,mv_ref,A325,mv_type,"Entrée",mv_date,"&gt;="&amp;$E$1,mv_date,"&lt;="&amp;$G$1))</f>
        <v/>
      </c>
      <c r="F325" s="39" t="str">
        <f>IF(A325="","",SUMIFS(mv_qty,mv_ref,A325,mv_type,"Sortie",mv_date,"&gt;="&amp;$E$1,mv_date,"&lt;="&amp;$G$1))</f>
        <v/>
      </c>
      <c r="G325" s="39" t="str">
        <f>IF(A325="","",ROUND(D325+E325-F325,6))</f>
        <v/>
      </c>
      <c r="H325" s="40" t="str">
        <f>IF(A325="","",G325*N('Articles'!G325))</f>
        <v/>
      </c>
    </row>
    <row r="326">
      <c r="A326" s="39" t="str">
        <f>IF('Articles'!A326="","",'Articles'!A326)</f>
        <v/>
      </c>
      <c r="B326" s="39" t="str">
        <f>IF(A326="","",'Articles'!B326&amp;"")</f>
        <v/>
      </c>
      <c r="C326" s="39" t="str">
        <f>IF(A326="","",'Articles'!D326&amp;"")</f>
        <v/>
      </c>
      <c r="D326" s="39" t="str">
        <f>IF(A326="","",ROUND(N('Articles'!H326)+SUMIFS(mv_qty,mv_ref,A326,mv_type,"Entrée",mv_date,"&lt;"&amp;$E$1)-SUMIFS(mv_qty,mv_ref,A326,mv_type,"Sortie",mv_date,"&lt;"&amp;$E$1),6))</f>
        <v/>
      </c>
      <c r="E326" s="39" t="str">
        <f>IF(A326="","",SUMIFS(mv_qty,mv_ref,A326,mv_type,"Entrée",mv_date,"&gt;="&amp;$E$1,mv_date,"&lt;="&amp;$G$1))</f>
        <v/>
      </c>
      <c r="F326" s="39" t="str">
        <f>IF(A326="","",SUMIFS(mv_qty,mv_ref,A326,mv_type,"Sortie",mv_date,"&gt;="&amp;$E$1,mv_date,"&lt;="&amp;$G$1))</f>
        <v/>
      </c>
      <c r="G326" s="39" t="str">
        <f>IF(A326="","",ROUND(D326+E326-F326,6))</f>
        <v/>
      </c>
      <c r="H326" s="40" t="str">
        <f>IF(A326="","",G326*N('Articles'!G326))</f>
        <v/>
      </c>
    </row>
    <row r="327">
      <c r="A327" s="39" t="str">
        <f>IF('Articles'!A327="","",'Articles'!A327)</f>
        <v/>
      </c>
      <c r="B327" s="39" t="str">
        <f>IF(A327="","",'Articles'!B327&amp;"")</f>
        <v/>
      </c>
      <c r="C327" s="39" t="str">
        <f>IF(A327="","",'Articles'!D327&amp;"")</f>
        <v/>
      </c>
      <c r="D327" s="39" t="str">
        <f>IF(A327="","",ROUND(N('Articles'!H327)+SUMIFS(mv_qty,mv_ref,A327,mv_type,"Entrée",mv_date,"&lt;"&amp;$E$1)-SUMIFS(mv_qty,mv_ref,A327,mv_type,"Sortie",mv_date,"&lt;"&amp;$E$1),6))</f>
        <v/>
      </c>
      <c r="E327" s="39" t="str">
        <f>IF(A327="","",SUMIFS(mv_qty,mv_ref,A327,mv_type,"Entrée",mv_date,"&gt;="&amp;$E$1,mv_date,"&lt;="&amp;$G$1))</f>
        <v/>
      </c>
      <c r="F327" s="39" t="str">
        <f>IF(A327="","",SUMIFS(mv_qty,mv_ref,A327,mv_type,"Sortie",mv_date,"&gt;="&amp;$E$1,mv_date,"&lt;="&amp;$G$1))</f>
        <v/>
      </c>
      <c r="G327" s="39" t="str">
        <f>IF(A327="","",ROUND(D327+E327-F327,6))</f>
        <v/>
      </c>
      <c r="H327" s="40" t="str">
        <f>IF(A327="","",G327*N('Articles'!G327))</f>
        <v/>
      </c>
    </row>
    <row r="328">
      <c r="A328" s="39" t="str">
        <f>IF('Articles'!A328="","",'Articles'!A328)</f>
        <v/>
      </c>
      <c r="B328" s="39" t="str">
        <f>IF(A328="","",'Articles'!B328&amp;"")</f>
        <v/>
      </c>
      <c r="C328" s="39" t="str">
        <f>IF(A328="","",'Articles'!D328&amp;"")</f>
        <v/>
      </c>
      <c r="D328" s="39" t="str">
        <f>IF(A328="","",ROUND(N('Articles'!H328)+SUMIFS(mv_qty,mv_ref,A328,mv_type,"Entrée",mv_date,"&lt;"&amp;$E$1)-SUMIFS(mv_qty,mv_ref,A328,mv_type,"Sortie",mv_date,"&lt;"&amp;$E$1),6))</f>
        <v/>
      </c>
      <c r="E328" s="39" t="str">
        <f>IF(A328="","",SUMIFS(mv_qty,mv_ref,A328,mv_type,"Entrée",mv_date,"&gt;="&amp;$E$1,mv_date,"&lt;="&amp;$G$1))</f>
        <v/>
      </c>
      <c r="F328" s="39" t="str">
        <f>IF(A328="","",SUMIFS(mv_qty,mv_ref,A328,mv_type,"Sortie",mv_date,"&gt;="&amp;$E$1,mv_date,"&lt;="&amp;$G$1))</f>
        <v/>
      </c>
      <c r="G328" s="39" t="str">
        <f>IF(A328="","",ROUND(D328+E328-F328,6))</f>
        <v/>
      </c>
      <c r="H328" s="40" t="str">
        <f>IF(A328="","",G328*N('Articles'!G328))</f>
        <v/>
      </c>
    </row>
    <row r="329">
      <c r="A329" s="39" t="str">
        <f>IF('Articles'!A329="","",'Articles'!A329)</f>
        <v/>
      </c>
      <c r="B329" s="39" t="str">
        <f>IF(A329="","",'Articles'!B329&amp;"")</f>
        <v/>
      </c>
      <c r="C329" s="39" t="str">
        <f>IF(A329="","",'Articles'!D329&amp;"")</f>
        <v/>
      </c>
      <c r="D329" s="39" t="str">
        <f>IF(A329="","",ROUND(N('Articles'!H329)+SUMIFS(mv_qty,mv_ref,A329,mv_type,"Entrée",mv_date,"&lt;"&amp;$E$1)-SUMIFS(mv_qty,mv_ref,A329,mv_type,"Sortie",mv_date,"&lt;"&amp;$E$1),6))</f>
        <v/>
      </c>
      <c r="E329" s="39" t="str">
        <f>IF(A329="","",SUMIFS(mv_qty,mv_ref,A329,mv_type,"Entrée",mv_date,"&gt;="&amp;$E$1,mv_date,"&lt;="&amp;$G$1))</f>
        <v/>
      </c>
      <c r="F329" s="39" t="str">
        <f>IF(A329="","",SUMIFS(mv_qty,mv_ref,A329,mv_type,"Sortie",mv_date,"&gt;="&amp;$E$1,mv_date,"&lt;="&amp;$G$1))</f>
        <v/>
      </c>
      <c r="G329" s="39" t="str">
        <f>IF(A329="","",ROUND(D329+E329-F329,6))</f>
        <v/>
      </c>
      <c r="H329" s="40" t="str">
        <f>IF(A329="","",G329*N('Articles'!G329))</f>
        <v/>
      </c>
    </row>
    <row r="330">
      <c r="A330" s="39" t="str">
        <f>IF('Articles'!A330="","",'Articles'!A330)</f>
        <v/>
      </c>
      <c r="B330" s="39" t="str">
        <f>IF(A330="","",'Articles'!B330&amp;"")</f>
        <v/>
      </c>
      <c r="C330" s="39" t="str">
        <f>IF(A330="","",'Articles'!D330&amp;"")</f>
        <v/>
      </c>
      <c r="D330" s="39" t="str">
        <f>IF(A330="","",ROUND(N('Articles'!H330)+SUMIFS(mv_qty,mv_ref,A330,mv_type,"Entrée",mv_date,"&lt;"&amp;$E$1)-SUMIFS(mv_qty,mv_ref,A330,mv_type,"Sortie",mv_date,"&lt;"&amp;$E$1),6))</f>
        <v/>
      </c>
      <c r="E330" s="39" t="str">
        <f>IF(A330="","",SUMIFS(mv_qty,mv_ref,A330,mv_type,"Entrée",mv_date,"&gt;="&amp;$E$1,mv_date,"&lt;="&amp;$G$1))</f>
        <v/>
      </c>
      <c r="F330" s="39" t="str">
        <f>IF(A330="","",SUMIFS(mv_qty,mv_ref,A330,mv_type,"Sortie",mv_date,"&gt;="&amp;$E$1,mv_date,"&lt;="&amp;$G$1))</f>
        <v/>
      </c>
      <c r="G330" s="39" t="str">
        <f>IF(A330="","",ROUND(D330+E330-F330,6))</f>
        <v/>
      </c>
      <c r="H330" s="40" t="str">
        <f>IF(A330="","",G330*N('Articles'!G330))</f>
        <v/>
      </c>
    </row>
    <row r="331">
      <c r="A331" s="39" t="str">
        <f>IF('Articles'!A331="","",'Articles'!A331)</f>
        <v/>
      </c>
      <c r="B331" s="39" t="str">
        <f>IF(A331="","",'Articles'!B331&amp;"")</f>
        <v/>
      </c>
      <c r="C331" s="39" t="str">
        <f>IF(A331="","",'Articles'!D331&amp;"")</f>
        <v/>
      </c>
      <c r="D331" s="39" t="str">
        <f>IF(A331="","",ROUND(N('Articles'!H331)+SUMIFS(mv_qty,mv_ref,A331,mv_type,"Entrée",mv_date,"&lt;"&amp;$E$1)-SUMIFS(mv_qty,mv_ref,A331,mv_type,"Sortie",mv_date,"&lt;"&amp;$E$1),6))</f>
        <v/>
      </c>
      <c r="E331" s="39" t="str">
        <f>IF(A331="","",SUMIFS(mv_qty,mv_ref,A331,mv_type,"Entrée",mv_date,"&gt;="&amp;$E$1,mv_date,"&lt;="&amp;$G$1))</f>
        <v/>
      </c>
      <c r="F331" s="39" t="str">
        <f>IF(A331="","",SUMIFS(mv_qty,mv_ref,A331,mv_type,"Sortie",mv_date,"&gt;="&amp;$E$1,mv_date,"&lt;="&amp;$G$1))</f>
        <v/>
      </c>
      <c r="G331" s="39" t="str">
        <f>IF(A331="","",ROUND(D331+E331-F331,6))</f>
        <v/>
      </c>
      <c r="H331" s="40" t="str">
        <f>IF(A331="","",G331*N('Articles'!G331))</f>
        <v/>
      </c>
    </row>
    <row r="332">
      <c r="A332" s="39" t="str">
        <f>IF('Articles'!A332="","",'Articles'!A332)</f>
        <v/>
      </c>
      <c r="B332" s="39" t="str">
        <f>IF(A332="","",'Articles'!B332&amp;"")</f>
        <v/>
      </c>
      <c r="C332" s="39" t="str">
        <f>IF(A332="","",'Articles'!D332&amp;"")</f>
        <v/>
      </c>
      <c r="D332" s="39" t="str">
        <f>IF(A332="","",ROUND(N('Articles'!H332)+SUMIFS(mv_qty,mv_ref,A332,mv_type,"Entrée",mv_date,"&lt;"&amp;$E$1)-SUMIFS(mv_qty,mv_ref,A332,mv_type,"Sortie",mv_date,"&lt;"&amp;$E$1),6))</f>
        <v/>
      </c>
      <c r="E332" s="39" t="str">
        <f>IF(A332="","",SUMIFS(mv_qty,mv_ref,A332,mv_type,"Entrée",mv_date,"&gt;="&amp;$E$1,mv_date,"&lt;="&amp;$G$1))</f>
        <v/>
      </c>
      <c r="F332" s="39" t="str">
        <f>IF(A332="","",SUMIFS(mv_qty,mv_ref,A332,mv_type,"Sortie",mv_date,"&gt;="&amp;$E$1,mv_date,"&lt;="&amp;$G$1))</f>
        <v/>
      </c>
      <c r="G332" s="39" t="str">
        <f>IF(A332="","",ROUND(D332+E332-F332,6))</f>
        <v/>
      </c>
      <c r="H332" s="40" t="str">
        <f>IF(A332="","",G332*N('Articles'!G332))</f>
        <v/>
      </c>
    </row>
    <row r="333">
      <c r="A333" s="39" t="str">
        <f>IF('Articles'!A333="","",'Articles'!A333)</f>
        <v/>
      </c>
      <c r="B333" s="39" t="str">
        <f>IF(A333="","",'Articles'!B333&amp;"")</f>
        <v/>
      </c>
      <c r="C333" s="39" t="str">
        <f>IF(A333="","",'Articles'!D333&amp;"")</f>
        <v/>
      </c>
      <c r="D333" s="39" t="str">
        <f>IF(A333="","",ROUND(N('Articles'!H333)+SUMIFS(mv_qty,mv_ref,A333,mv_type,"Entrée",mv_date,"&lt;"&amp;$E$1)-SUMIFS(mv_qty,mv_ref,A333,mv_type,"Sortie",mv_date,"&lt;"&amp;$E$1),6))</f>
        <v/>
      </c>
      <c r="E333" s="39" t="str">
        <f>IF(A333="","",SUMIFS(mv_qty,mv_ref,A333,mv_type,"Entrée",mv_date,"&gt;="&amp;$E$1,mv_date,"&lt;="&amp;$G$1))</f>
        <v/>
      </c>
      <c r="F333" s="39" t="str">
        <f>IF(A333="","",SUMIFS(mv_qty,mv_ref,A333,mv_type,"Sortie",mv_date,"&gt;="&amp;$E$1,mv_date,"&lt;="&amp;$G$1))</f>
        <v/>
      </c>
      <c r="G333" s="39" t="str">
        <f>IF(A333="","",ROUND(D333+E333-F333,6))</f>
        <v/>
      </c>
      <c r="H333" s="40" t="str">
        <f>IF(A333="","",G333*N('Articles'!G333))</f>
        <v/>
      </c>
    </row>
    <row r="334">
      <c r="A334" s="39" t="str">
        <f>IF('Articles'!A334="","",'Articles'!A334)</f>
        <v/>
      </c>
      <c r="B334" s="39" t="str">
        <f>IF(A334="","",'Articles'!B334&amp;"")</f>
        <v/>
      </c>
      <c r="C334" s="39" t="str">
        <f>IF(A334="","",'Articles'!D334&amp;"")</f>
        <v/>
      </c>
      <c r="D334" s="39" t="str">
        <f>IF(A334="","",ROUND(N('Articles'!H334)+SUMIFS(mv_qty,mv_ref,A334,mv_type,"Entrée",mv_date,"&lt;"&amp;$E$1)-SUMIFS(mv_qty,mv_ref,A334,mv_type,"Sortie",mv_date,"&lt;"&amp;$E$1),6))</f>
        <v/>
      </c>
      <c r="E334" s="39" t="str">
        <f>IF(A334="","",SUMIFS(mv_qty,mv_ref,A334,mv_type,"Entrée",mv_date,"&gt;="&amp;$E$1,mv_date,"&lt;="&amp;$G$1))</f>
        <v/>
      </c>
      <c r="F334" s="39" t="str">
        <f>IF(A334="","",SUMIFS(mv_qty,mv_ref,A334,mv_type,"Sortie",mv_date,"&gt;="&amp;$E$1,mv_date,"&lt;="&amp;$G$1))</f>
        <v/>
      </c>
      <c r="G334" s="39" t="str">
        <f>IF(A334="","",ROUND(D334+E334-F334,6))</f>
        <v/>
      </c>
      <c r="H334" s="40" t="str">
        <f>IF(A334="","",G334*N('Articles'!G334))</f>
        <v/>
      </c>
    </row>
    <row r="335">
      <c r="A335" s="39" t="str">
        <f>IF('Articles'!A335="","",'Articles'!A335)</f>
        <v/>
      </c>
      <c r="B335" s="39" t="str">
        <f>IF(A335="","",'Articles'!B335&amp;"")</f>
        <v/>
      </c>
      <c r="C335" s="39" t="str">
        <f>IF(A335="","",'Articles'!D335&amp;"")</f>
        <v/>
      </c>
      <c r="D335" s="39" t="str">
        <f>IF(A335="","",ROUND(N('Articles'!H335)+SUMIFS(mv_qty,mv_ref,A335,mv_type,"Entrée",mv_date,"&lt;"&amp;$E$1)-SUMIFS(mv_qty,mv_ref,A335,mv_type,"Sortie",mv_date,"&lt;"&amp;$E$1),6))</f>
        <v/>
      </c>
      <c r="E335" s="39" t="str">
        <f>IF(A335="","",SUMIFS(mv_qty,mv_ref,A335,mv_type,"Entrée",mv_date,"&gt;="&amp;$E$1,mv_date,"&lt;="&amp;$G$1))</f>
        <v/>
      </c>
      <c r="F335" s="39" t="str">
        <f>IF(A335="","",SUMIFS(mv_qty,mv_ref,A335,mv_type,"Sortie",mv_date,"&gt;="&amp;$E$1,mv_date,"&lt;="&amp;$G$1))</f>
        <v/>
      </c>
      <c r="G335" s="39" t="str">
        <f>IF(A335="","",ROUND(D335+E335-F335,6))</f>
        <v/>
      </c>
      <c r="H335" s="40" t="str">
        <f>IF(A335="","",G335*N('Articles'!G335))</f>
        <v/>
      </c>
    </row>
    <row r="336">
      <c r="A336" s="39" t="str">
        <f>IF('Articles'!A336="","",'Articles'!A336)</f>
        <v/>
      </c>
      <c r="B336" s="39" t="str">
        <f>IF(A336="","",'Articles'!B336&amp;"")</f>
        <v/>
      </c>
      <c r="C336" s="39" t="str">
        <f>IF(A336="","",'Articles'!D336&amp;"")</f>
        <v/>
      </c>
      <c r="D336" s="39" t="str">
        <f>IF(A336="","",ROUND(N('Articles'!H336)+SUMIFS(mv_qty,mv_ref,A336,mv_type,"Entrée",mv_date,"&lt;"&amp;$E$1)-SUMIFS(mv_qty,mv_ref,A336,mv_type,"Sortie",mv_date,"&lt;"&amp;$E$1),6))</f>
        <v/>
      </c>
      <c r="E336" s="39" t="str">
        <f>IF(A336="","",SUMIFS(mv_qty,mv_ref,A336,mv_type,"Entrée",mv_date,"&gt;="&amp;$E$1,mv_date,"&lt;="&amp;$G$1))</f>
        <v/>
      </c>
      <c r="F336" s="39" t="str">
        <f>IF(A336="","",SUMIFS(mv_qty,mv_ref,A336,mv_type,"Sortie",mv_date,"&gt;="&amp;$E$1,mv_date,"&lt;="&amp;$G$1))</f>
        <v/>
      </c>
      <c r="G336" s="39" t="str">
        <f>IF(A336="","",ROUND(D336+E336-F336,6))</f>
        <v/>
      </c>
      <c r="H336" s="40" t="str">
        <f>IF(A336="","",G336*N('Articles'!G336))</f>
        <v/>
      </c>
    </row>
    <row r="337">
      <c r="A337" s="39" t="str">
        <f>IF('Articles'!A337="","",'Articles'!A337)</f>
        <v/>
      </c>
      <c r="B337" s="39" t="str">
        <f>IF(A337="","",'Articles'!B337&amp;"")</f>
        <v/>
      </c>
      <c r="C337" s="39" t="str">
        <f>IF(A337="","",'Articles'!D337&amp;"")</f>
        <v/>
      </c>
      <c r="D337" s="39" t="str">
        <f>IF(A337="","",ROUND(N('Articles'!H337)+SUMIFS(mv_qty,mv_ref,A337,mv_type,"Entrée",mv_date,"&lt;"&amp;$E$1)-SUMIFS(mv_qty,mv_ref,A337,mv_type,"Sortie",mv_date,"&lt;"&amp;$E$1),6))</f>
        <v/>
      </c>
      <c r="E337" s="39" t="str">
        <f>IF(A337="","",SUMIFS(mv_qty,mv_ref,A337,mv_type,"Entrée",mv_date,"&gt;="&amp;$E$1,mv_date,"&lt;="&amp;$G$1))</f>
        <v/>
      </c>
      <c r="F337" s="39" t="str">
        <f>IF(A337="","",SUMIFS(mv_qty,mv_ref,A337,mv_type,"Sortie",mv_date,"&gt;="&amp;$E$1,mv_date,"&lt;="&amp;$G$1))</f>
        <v/>
      </c>
      <c r="G337" s="39" t="str">
        <f>IF(A337="","",ROUND(D337+E337-F337,6))</f>
        <v/>
      </c>
      <c r="H337" s="40" t="str">
        <f>IF(A337="","",G337*N('Articles'!G337))</f>
        <v/>
      </c>
    </row>
    <row r="338">
      <c r="A338" s="39" t="str">
        <f>IF('Articles'!A338="","",'Articles'!A338)</f>
        <v/>
      </c>
      <c r="B338" s="39" t="str">
        <f>IF(A338="","",'Articles'!B338&amp;"")</f>
        <v/>
      </c>
      <c r="C338" s="39" t="str">
        <f>IF(A338="","",'Articles'!D338&amp;"")</f>
        <v/>
      </c>
      <c r="D338" s="39" t="str">
        <f>IF(A338="","",ROUND(N('Articles'!H338)+SUMIFS(mv_qty,mv_ref,A338,mv_type,"Entrée",mv_date,"&lt;"&amp;$E$1)-SUMIFS(mv_qty,mv_ref,A338,mv_type,"Sortie",mv_date,"&lt;"&amp;$E$1),6))</f>
        <v/>
      </c>
      <c r="E338" s="39" t="str">
        <f>IF(A338="","",SUMIFS(mv_qty,mv_ref,A338,mv_type,"Entrée",mv_date,"&gt;="&amp;$E$1,mv_date,"&lt;="&amp;$G$1))</f>
        <v/>
      </c>
      <c r="F338" s="39" t="str">
        <f>IF(A338="","",SUMIFS(mv_qty,mv_ref,A338,mv_type,"Sortie",mv_date,"&gt;="&amp;$E$1,mv_date,"&lt;="&amp;$G$1))</f>
        <v/>
      </c>
      <c r="G338" s="39" t="str">
        <f>IF(A338="","",ROUND(D338+E338-F338,6))</f>
        <v/>
      </c>
      <c r="H338" s="40" t="str">
        <f>IF(A338="","",G338*N('Articles'!G338))</f>
        <v/>
      </c>
    </row>
    <row r="339">
      <c r="A339" s="39" t="str">
        <f>IF('Articles'!A339="","",'Articles'!A339)</f>
        <v/>
      </c>
      <c r="B339" s="39" t="str">
        <f>IF(A339="","",'Articles'!B339&amp;"")</f>
        <v/>
      </c>
      <c r="C339" s="39" t="str">
        <f>IF(A339="","",'Articles'!D339&amp;"")</f>
        <v/>
      </c>
      <c r="D339" s="39" t="str">
        <f>IF(A339="","",ROUND(N('Articles'!H339)+SUMIFS(mv_qty,mv_ref,A339,mv_type,"Entrée",mv_date,"&lt;"&amp;$E$1)-SUMIFS(mv_qty,mv_ref,A339,mv_type,"Sortie",mv_date,"&lt;"&amp;$E$1),6))</f>
        <v/>
      </c>
      <c r="E339" s="39" t="str">
        <f>IF(A339="","",SUMIFS(mv_qty,mv_ref,A339,mv_type,"Entrée",mv_date,"&gt;="&amp;$E$1,mv_date,"&lt;="&amp;$G$1))</f>
        <v/>
      </c>
      <c r="F339" s="39" t="str">
        <f>IF(A339="","",SUMIFS(mv_qty,mv_ref,A339,mv_type,"Sortie",mv_date,"&gt;="&amp;$E$1,mv_date,"&lt;="&amp;$G$1))</f>
        <v/>
      </c>
      <c r="G339" s="39" t="str">
        <f>IF(A339="","",ROUND(D339+E339-F339,6))</f>
        <v/>
      </c>
      <c r="H339" s="40" t="str">
        <f>IF(A339="","",G339*N('Articles'!G339))</f>
        <v/>
      </c>
    </row>
    <row r="340">
      <c r="A340" s="39" t="str">
        <f>IF('Articles'!A340="","",'Articles'!A340)</f>
        <v/>
      </c>
      <c r="B340" s="39" t="str">
        <f>IF(A340="","",'Articles'!B340&amp;"")</f>
        <v/>
      </c>
      <c r="C340" s="39" t="str">
        <f>IF(A340="","",'Articles'!D340&amp;"")</f>
        <v/>
      </c>
      <c r="D340" s="39" t="str">
        <f>IF(A340="","",ROUND(N('Articles'!H340)+SUMIFS(mv_qty,mv_ref,A340,mv_type,"Entrée",mv_date,"&lt;"&amp;$E$1)-SUMIFS(mv_qty,mv_ref,A340,mv_type,"Sortie",mv_date,"&lt;"&amp;$E$1),6))</f>
        <v/>
      </c>
      <c r="E340" s="39" t="str">
        <f>IF(A340="","",SUMIFS(mv_qty,mv_ref,A340,mv_type,"Entrée",mv_date,"&gt;="&amp;$E$1,mv_date,"&lt;="&amp;$G$1))</f>
        <v/>
      </c>
      <c r="F340" s="39" t="str">
        <f>IF(A340="","",SUMIFS(mv_qty,mv_ref,A340,mv_type,"Sortie",mv_date,"&gt;="&amp;$E$1,mv_date,"&lt;="&amp;$G$1))</f>
        <v/>
      </c>
      <c r="G340" s="39" t="str">
        <f>IF(A340="","",ROUND(D340+E340-F340,6))</f>
        <v/>
      </c>
      <c r="H340" s="40" t="str">
        <f>IF(A340="","",G340*N('Articles'!G340))</f>
        <v/>
      </c>
    </row>
    <row r="341">
      <c r="A341" s="39" t="str">
        <f>IF('Articles'!A341="","",'Articles'!A341)</f>
        <v/>
      </c>
      <c r="B341" s="39" t="str">
        <f>IF(A341="","",'Articles'!B341&amp;"")</f>
        <v/>
      </c>
      <c r="C341" s="39" t="str">
        <f>IF(A341="","",'Articles'!D341&amp;"")</f>
        <v/>
      </c>
      <c r="D341" s="39" t="str">
        <f>IF(A341="","",ROUND(N('Articles'!H341)+SUMIFS(mv_qty,mv_ref,A341,mv_type,"Entrée",mv_date,"&lt;"&amp;$E$1)-SUMIFS(mv_qty,mv_ref,A341,mv_type,"Sortie",mv_date,"&lt;"&amp;$E$1),6))</f>
        <v/>
      </c>
      <c r="E341" s="39" t="str">
        <f>IF(A341="","",SUMIFS(mv_qty,mv_ref,A341,mv_type,"Entrée",mv_date,"&gt;="&amp;$E$1,mv_date,"&lt;="&amp;$G$1))</f>
        <v/>
      </c>
      <c r="F341" s="39" t="str">
        <f>IF(A341="","",SUMIFS(mv_qty,mv_ref,A341,mv_type,"Sortie",mv_date,"&gt;="&amp;$E$1,mv_date,"&lt;="&amp;$G$1))</f>
        <v/>
      </c>
      <c r="G341" s="39" t="str">
        <f>IF(A341="","",ROUND(D341+E341-F341,6))</f>
        <v/>
      </c>
      <c r="H341" s="40" t="str">
        <f>IF(A341="","",G341*N('Articles'!G341))</f>
        <v/>
      </c>
    </row>
    <row r="342">
      <c r="A342" s="39" t="str">
        <f>IF('Articles'!A342="","",'Articles'!A342)</f>
        <v/>
      </c>
      <c r="B342" s="39" t="str">
        <f>IF(A342="","",'Articles'!B342&amp;"")</f>
        <v/>
      </c>
      <c r="C342" s="39" t="str">
        <f>IF(A342="","",'Articles'!D342&amp;"")</f>
        <v/>
      </c>
      <c r="D342" s="39" t="str">
        <f>IF(A342="","",ROUND(N('Articles'!H342)+SUMIFS(mv_qty,mv_ref,A342,mv_type,"Entrée",mv_date,"&lt;"&amp;$E$1)-SUMIFS(mv_qty,mv_ref,A342,mv_type,"Sortie",mv_date,"&lt;"&amp;$E$1),6))</f>
        <v/>
      </c>
      <c r="E342" s="39" t="str">
        <f>IF(A342="","",SUMIFS(mv_qty,mv_ref,A342,mv_type,"Entrée",mv_date,"&gt;="&amp;$E$1,mv_date,"&lt;="&amp;$G$1))</f>
        <v/>
      </c>
      <c r="F342" s="39" t="str">
        <f>IF(A342="","",SUMIFS(mv_qty,mv_ref,A342,mv_type,"Sortie",mv_date,"&gt;="&amp;$E$1,mv_date,"&lt;="&amp;$G$1))</f>
        <v/>
      </c>
      <c r="G342" s="39" t="str">
        <f>IF(A342="","",ROUND(D342+E342-F342,6))</f>
        <v/>
      </c>
      <c r="H342" s="40" t="str">
        <f>IF(A342="","",G342*N('Articles'!G342))</f>
        <v/>
      </c>
    </row>
    <row r="343">
      <c r="A343" s="39" t="str">
        <f>IF('Articles'!A343="","",'Articles'!A343)</f>
        <v/>
      </c>
      <c r="B343" s="39" t="str">
        <f>IF(A343="","",'Articles'!B343&amp;"")</f>
        <v/>
      </c>
      <c r="C343" s="39" t="str">
        <f>IF(A343="","",'Articles'!D343&amp;"")</f>
        <v/>
      </c>
      <c r="D343" s="39" t="str">
        <f>IF(A343="","",ROUND(N('Articles'!H343)+SUMIFS(mv_qty,mv_ref,A343,mv_type,"Entrée",mv_date,"&lt;"&amp;$E$1)-SUMIFS(mv_qty,mv_ref,A343,mv_type,"Sortie",mv_date,"&lt;"&amp;$E$1),6))</f>
        <v/>
      </c>
      <c r="E343" s="39" t="str">
        <f>IF(A343="","",SUMIFS(mv_qty,mv_ref,A343,mv_type,"Entrée",mv_date,"&gt;="&amp;$E$1,mv_date,"&lt;="&amp;$G$1))</f>
        <v/>
      </c>
      <c r="F343" s="39" t="str">
        <f>IF(A343="","",SUMIFS(mv_qty,mv_ref,A343,mv_type,"Sortie",mv_date,"&gt;="&amp;$E$1,mv_date,"&lt;="&amp;$G$1))</f>
        <v/>
      </c>
      <c r="G343" s="39" t="str">
        <f>IF(A343="","",ROUND(D343+E343-F343,6))</f>
        <v/>
      </c>
      <c r="H343" s="40" t="str">
        <f>IF(A343="","",G343*N('Articles'!G343))</f>
        <v/>
      </c>
    </row>
    <row r="344">
      <c r="A344" s="39" t="str">
        <f>IF('Articles'!A344="","",'Articles'!A344)</f>
        <v/>
      </c>
      <c r="B344" s="39" t="str">
        <f>IF(A344="","",'Articles'!B344&amp;"")</f>
        <v/>
      </c>
      <c r="C344" s="39" t="str">
        <f>IF(A344="","",'Articles'!D344&amp;"")</f>
        <v/>
      </c>
      <c r="D344" s="39" t="str">
        <f>IF(A344="","",ROUND(N('Articles'!H344)+SUMIFS(mv_qty,mv_ref,A344,mv_type,"Entrée",mv_date,"&lt;"&amp;$E$1)-SUMIFS(mv_qty,mv_ref,A344,mv_type,"Sortie",mv_date,"&lt;"&amp;$E$1),6))</f>
        <v/>
      </c>
      <c r="E344" s="39" t="str">
        <f>IF(A344="","",SUMIFS(mv_qty,mv_ref,A344,mv_type,"Entrée",mv_date,"&gt;="&amp;$E$1,mv_date,"&lt;="&amp;$G$1))</f>
        <v/>
      </c>
      <c r="F344" s="39" t="str">
        <f>IF(A344="","",SUMIFS(mv_qty,mv_ref,A344,mv_type,"Sortie",mv_date,"&gt;="&amp;$E$1,mv_date,"&lt;="&amp;$G$1))</f>
        <v/>
      </c>
      <c r="G344" s="39" t="str">
        <f>IF(A344="","",ROUND(D344+E344-F344,6))</f>
        <v/>
      </c>
      <c r="H344" s="40" t="str">
        <f>IF(A344="","",G344*N('Articles'!G344))</f>
        <v/>
      </c>
    </row>
    <row r="345">
      <c r="A345" s="39" t="str">
        <f>IF('Articles'!A345="","",'Articles'!A345)</f>
        <v/>
      </c>
      <c r="B345" s="39" t="str">
        <f>IF(A345="","",'Articles'!B345&amp;"")</f>
        <v/>
      </c>
      <c r="C345" s="39" t="str">
        <f>IF(A345="","",'Articles'!D345&amp;"")</f>
        <v/>
      </c>
      <c r="D345" s="39" t="str">
        <f>IF(A345="","",ROUND(N('Articles'!H345)+SUMIFS(mv_qty,mv_ref,A345,mv_type,"Entrée",mv_date,"&lt;"&amp;$E$1)-SUMIFS(mv_qty,mv_ref,A345,mv_type,"Sortie",mv_date,"&lt;"&amp;$E$1),6))</f>
        <v/>
      </c>
      <c r="E345" s="39" t="str">
        <f>IF(A345="","",SUMIFS(mv_qty,mv_ref,A345,mv_type,"Entrée",mv_date,"&gt;="&amp;$E$1,mv_date,"&lt;="&amp;$G$1))</f>
        <v/>
      </c>
      <c r="F345" s="39" t="str">
        <f>IF(A345="","",SUMIFS(mv_qty,mv_ref,A345,mv_type,"Sortie",mv_date,"&gt;="&amp;$E$1,mv_date,"&lt;="&amp;$G$1))</f>
        <v/>
      </c>
      <c r="G345" s="39" t="str">
        <f>IF(A345="","",ROUND(D345+E345-F345,6))</f>
        <v/>
      </c>
      <c r="H345" s="40" t="str">
        <f>IF(A345="","",G345*N('Articles'!G345))</f>
        <v/>
      </c>
    </row>
    <row r="346">
      <c r="A346" s="39" t="str">
        <f>IF('Articles'!A346="","",'Articles'!A346)</f>
        <v/>
      </c>
      <c r="B346" s="39" t="str">
        <f>IF(A346="","",'Articles'!B346&amp;"")</f>
        <v/>
      </c>
      <c r="C346" s="39" t="str">
        <f>IF(A346="","",'Articles'!D346&amp;"")</f>
        <v/>
      </c>
      <c r="D346" s="39" t="str">
        <f>IF(A346="","",ROUND(N('Articles'!H346)+SUMIFS(mv_qty,mv_ref,A346,mv_type,"Entrée",mv_date,"&lt;"&amp;$E$1)-SUMIFS(mv_qty,mv_ref,A346,mv_type,"Sortie",mv_date,"&lt;"&amp;$E$1),6))</f>
        <v/>
      </c>
      <c r="E346" s="39" t="str">
        <f>IF(A346="","",SUMIFS(mv_qty,mv_ref,A346,mv_type,"Entrée",mv_date,"&gt;="&amp;$E$1,mv_date,"&lt;="&amp;$G$1))</f>
        <v/>
      </c>
      <c r="F346" s="39" t="str">
        <f>IF(A346="","",SUMIFS(mv_qty,mv_ref,A346,mv_type,"Sortie",mv_date,"&gt;="&amp;$E$1,mv_date,"&lt;="&amp;$G$1))</f>
        <v/>
      </c>
      <c r="G346" s="39" t="str">
        <f>IF(A346="","",ROUND(D346+E346-F346,6))</f>
        <v/>
      </c>
      <c r="H346" s="40" t="str">
        <f>IF(A346="","",G346*N('Articles'!G346))</f>
        <v/>
      </c>
    </row>
    <row r="347">
      <c r="A347" s="39" t="str">
        <f>IF('Articles'!A347="","",'Articles'!A347)</f>
        <v/>
      </c>
      <c r="B347" s="39" t="str">
        <f>IF(A347="","",'Articles'!B347&amp;"")</f>
        <v/>
      </c>
      <c r="C347" s="39" t="str">
        <f>IF(A347="","",'Articles'!D347&amp;"")</f>
        <v/>
      </c>
      <c r="D347" s="39" t="str">
        <f>IF(A347="","",ROUND(N('Articles'!H347)+SUMIFS(mv_qty,mv_ref,A347,mv_type,"Entrée",mv_date,"&lt;"&amp;$E$1)-SUMIFS(mv_qty,mv_ref,A347,mv_type,"Sortie",mv_date,"&lt;"&amp;$E$1),6))</f>
        <v/>
      </c>
      <c r="E347" s="39" t="str">
        <f>IF(A347="","",SUMIFS(mv_qty,mv_ref,A347,mv_type,"Entrée",mv_date,"&gt;="&amp;$E$1,mv_date,"&lt;="&amp;$G$1))</f>
        <v/>
      </c>
      <c r="F347" s="39" t="str">
        <f>IF(A347="","",SUMIFS(mv_qty,mv_ref,A347,mv_type,"Sortie",mv_date,"&gt;="&amp;$E$1,mv_date,"&lt;="&amp;$G$1))</f>
        <v/>
      </c>
      <c r="G347" s="39" t="str">
        <f>IF(A347="","",ROUND(D347+E347-F347,6))</f>
        <v/>
      </c>
      <c r="H347" s="40" t="str">
        <f>IF(A347="","",G347*N('Articles'!G347))</f>
        <v/>
      </c>
    </row>
    <row r="348">
      <c r="A348" s="39" t="str">
        <f>IF('Articles'!A348="","",'Articles'!A348)</f>
        <v/>
      </c>
      <c r="B348" s="39" t="str">
        <f>IF(A348="","",'Articles'!B348&amp;"")</f>
        <v/>
      </c>
      <c r="C348" s="39" t="str">
        <f>IF(A348="","",'Articles'!D348&amp;"")</f>
        <v/>
      </c>
      <c r="D348" s="39" t="str">
        <f>IF(A348="","",ROUND(N('Articles'!H348)+SUMIFS(mv_qty,mv_ref,A348,mv_type,"Entrée",mv_date,"&lt;"&amp;$E$1)-SUMIFS(mv_qty,mv_ref,A348,mv_type,"Sortie",mv_date,"&lt;"&amp;$E$1),6))</f>
        <v/>
      </c>
      <c r="E348" s="39" t="str">
        <f>IF(A348="","",SUMIFS(mv_qty,mv_ref,A348,mv_type,"Entrée",mv_date,"&gt;="&amp;$E$1,mv_date,"&lt;="&amp;$G$1))</f>
        <v/>
      </c>
      <c r="F348" s="39" t="str">
        <f>IF(A348="","",SUMIFS(mv_qty,mv_ref,A348,mv_type,"Sortie",mv_date,"&gt;="&amp;$E$1,mv_date,"&lt;="&amp;$G$1))</f>
        <v/>
      </c>
      <c r="G348" s="39" t="str">
        <f>IF(A348="","",ROUND(D348+E348-F348,6))</f>
        <v/>
      </c>
      <c r="H348" s="40" t="str">
        <f>IF(A348="","",G348*N('Articles'!G348))</f>
        <v/>
      </c>
    </row>
    <row r="349">
      <c r="A349" s="39" t="str">
        <f>IF('Articles'!A349="","",'Articles'!A349)</f>
        <v/>
      </c>
      <c r="B349" s="39" t="str">
        <f>IF(A349="","",'Articles'!B349&amp;"")</f>
        <v/>
      </c>
      <c r="C349" s="39" t="str">
        <f>IF(A349="","",'Articles'!D349&amp;"")</f>
        <v/>
      </c>
      <c r="D349" s="39" t="str">
        <f>IF(A349="","",ROUND(N('Articles'!H349)+SUMIFS(mv_qty,mv_ref,A349,mv_type,"Entrée",mv_date,"&lt;"&amp;$E$1)-SUMIFS(mv_qty,mv_ref,A349,mv_type,"Sortie",mv_date,"&lt;"&amp;$E$1),6))</f>
        <v/>
      </c>
      <c r="E349" s="39" t="str">
        <f>IF(A349="","",SUMIFS(mv_qty,mv_ref,A349,mv_type,"Entrée",mv_date,"&gt;="&amp;$E$1,mv_date,"&lt;="&amp;$G$1))</f>
        <v/>
      </c>
      <c r="F349" s="39" t="str">
        <f>IF(A349="","",SUMIFS(mv_qty,mv_ref,A349,mv_type,"Sortie",mv_date,"&gt;="&amp;$E$1,mv_date,"&lt;="&amp;$G$1))</f>
        <v/>
      </c>
      <c r="G349" s="39" t="str">
        <f>IF(A349="","",ROUND(D349+E349-F349,6))</f>
        <v/>
      </c>
      <c r="H349" s="40" t="str">
        <f>IF(A349="","",G349*N('Articles'!G349))</f>
        <v/>
      </c>
    </row>
    <row r="350">
      <c r="A350" s="39" t="str">
        <f>IF('Articles'!A350="","",'Articles'!A350)</f>
        <v/>
      </c>
      <c r="B350" s="39" t="str">
        <f>IF(A350="","",'Articles'!B350&amp;"")</f>
        <v/>
      </c>
      <c r="C350" s="39" t="str">
        <f>IF(A350="","",'Articles'!D350&amp;"")</f>
        <v/>
      </c>
      <c r="D350" s="39" t="str">
        <f>IF(A350="","",ROUND(N('Articles'!H350)+SUMIFS(mv_qty,mv_ref,A350,mv_type,"Entrée",mv_date,"&lt;"&amp;$E$1)-SUMIFS(mv_qty,mv_ref,A350,mv_type,"Sortie",mv_date,"&lt;"&amp;$E$1),6))</f>
        <v/>
      </c>
      <c r="E350" s="39" t="str">
        <f>IF(A350="","",SUMIFS(mv_qty,mv_ref,A350,mv_type,"Entrée",mv_date,"&gt;="&amp;$E$1,mv_date,"&lt;="&amp;$G$1))</f>
        <v/>
      </c>
      <c r="F350" s="39" t="str">
        <f>IF(A350="","",SUMIFS(mv_qty,mv_ref,A350,mv_type,"Sortie",mv_date,"&gt;="&amp;$E$1,mv_date,"&lt;="&amp;$G$1))</f>
        <v/>
      </c>
      <c r="G350" s="39" t="str">
        <f>IF(A350="","",ROUND(D350+E350-F350,6))</f>
        <v/>
      </c>
      <c r="H350" s="40" t="str">
        <f>IF(A350="","",G350*N('Articles'!G350))</f>
        <v/>
      </c>
    </row>
    <row r="351">
      <c r="A351" s="39" t="str">
        <f>IF('Articles'!A351="","",'Articles'!A351)</f>
        <v/>
      </c>
      <c r="B351" s="39" t="str">
        <f>IF(A351="","",'Articles'!B351&amp;"")</f>
        <v/>
      </c>
      <c r="C351" s="39" t="str">
        <f>IF(A351="","",'Articles'!D351&amp;"")</f>
        <v/>
      </c>
      <c r="D351" s="39" t="str">
        <f>IF(A351="","",ROUND(N('Articles'!H351)+SUMIFS(mv_qty,mv_ref,A351,mv_type,"Entrée",mv_date,"&lt;"&amp;$E$1)-SUMIFS(mv_qty,mv_ref,A351,mv_type,"Sortie",mv_date,"&lt;"&amp;$E$1),6))</f>
        <v/>
      </c>
      <c r="E351" s="39" t="str">
        <f>IF(A351="","",SUMIFS(mv_qty,mv_ref,A351,mv_type,"Entrée",mv_date,"&gt;="&amp;$E$1,mv_date,"&lt;="&amp;$G$1))</f>
        <v/>
      </c>
      <c r="F351" s="39" t="str">
        <f>IF(A351="","",SUMIFS(mv_qty,mv_ref,A351,mv_type,"Sortie",mv_date,"&gt;="&amp;$E$1,mv_date,"&lt;="&amp;$G$1))</f>
        <v/>
      </c>
      <c r="G351" s="39" t="str">
        <f>IF(A351="","",ROUND(D351+E351-F351,6))</f>
        <v/>
      </c>
      <c r="H351" s="40" t="str">
        <f>IF(A351="","",G351*N('Articles'!G351))</f>
        <v/>
      </c>
    </row>
    <row r="352">
      <c r="A352" s="39" t="str">
        <f>IF('Articles'!A352="","",'Articles'!A352)</f>
        <v/>
      </c>
      <c r="B352" s="39" t="str">
        <f>IF(A352="","",'Articles'!B352&amp;"")</f>
        <v/>
      </c>
      <c r="C352" s="39" t="str">
        <f>IF(A352="","",'Articles'!D352&amp;"")</f>
        <v/>
      </c>
      <c r="D352" s="39" t="str">
        <f>IF(A352="","",ROUND(N('Articles'!H352)+SUMIFS(mv_qty,mv_ref,A352,mv_type,"Entrée",mv_date,"&lt;"&amp;$E$1)-SUMIFS(mv_qty,mv_ref,A352,mv_type,"Sortie",mv_date,"&lt;"&amp;$E$1),6))</f>
        <v/>
      </c>
      <c r="E352" s="39" t="str">
        <f>IF(A352="","",SUMIFS(mv_qty,mv_ref,A352,mv_type,"Entrée",mv_date,"&gt;="&amp;$E$1,mv_date,"&lt;="&amp;$G$1))</f>
        <v/>
      </c>
      <c r="F352" s="39" t="str">
        <f>IF(A352="","",SUMIFS(mv_qty,mv_ref,A352,mv_type,"Sortie",mv_date,"&gt;="&amp;$E$1,mv_date,"&lt;="&amp;$G$1))</f>
        <v/>
      </c>
      <c r="G352" s="39" t="str">
        <f>IF(A352="","",ROUND(D352+E352-F352,6))</f>
        <v/>
      </c>
      <c r="H352" s="40" t="str">
        <f>IF(A352="","",G352*N('Articles'!G352))</f>
        <v/>
      </c>
    </row>
    <row r="353">
      <c r="A353" s="39" t="str">
        <f>IF('Articles'!A353="","",'Articles'!A353)</f>
        <v/>
      </c>
      <c r="B353" s="39" t="str">
        <f>IF(A353="","",'Articles'!B353&amp;"")</f>
        <v/>
      </c>
      <c r="C353" s="39" t="str">
        <f>IF(A353="","",'Articles'!D353&amp;"")</f>
        <v/>
      </c>
      <c r="D353" s="39" t="str">
        <f>IF(A353="","",ROUND(N('Articles'!H353)+SUMIFS(mv_qty,mv_ref,A353,mv_type,"Entrée",mv_date,"&lt;"&amp;$E$1)-SUMIFS(mv_qty,mv_ref,A353,mv_type,"Sortie",mv_date,"&lt;"&amp;$E$1),6))</f>
        <v/>
      </c>
      <c r="E353" s="39" t="str">
        <f>IF(A353="","",SUMIFS(mv_qty,mv_ref,A353,mv_type,"Entrée",mv_date,"&gt;="&amp;$E$1,mv_date,"&lt;="&amp;$G$1))</f>
        <v/>
      </c>
      <c r="F353" s="39" t="str">
        <f>IF(A353="","",SUMIFS(mv_qty,mv_ref,A353,mv_type,"Sortie",mv_date,"&gt;="&amp;$E$1,mv_date,"&lt;="&amp;$G$1))</f>
        <v/>
      </c>
      <c r="G353" s="39" t="str">
        <f>IF(A353="","",ROUND(D353+E353-F353,6))</f>
        <v/>
      </c>
      <c r="H353" s="40" t="str">
        <f>IF(A353="","",G353*N('Articles'!G353))</f>
        <v/>
      </c>
    </row>
    <row r="354">
      <c r="A354" s="39" t="str">
        <f>IF('Articles'!A354="","",'Articles'!A354)</f>
        <v/>
      </c>
      <c r="B354" s="39" t="str">
        <f>IF(A354="","",'Articles'!B354&amp;"")</f>
        <v/>
      </c>
      <c r="C354" s="39" t="str">
        <f>IF(A354="","",'Articles'!D354&amp;"")</f>
        <v/>
      </c>
      <c r="D354" s="39" t="str">
        <f>IF(A354="","",ROUND(N('Articles'!H354)+SUMIFS(mv_qty,mv_ref,A354,mv_type,"Entrée",mv_date,"&lt;"&amp;$E$1)-SUMIFS(mv_qty,mv_ref,A354,mv_type,"Sortie",mv_date,"&lt;"&amp;$E$1),6))</f>
        <v/>
      </c>
      <c r="E354" s="39" t="str">
        <f>IF(A354="","",SUMIFS(mv_qty,mv_ref,A354,mv_type,"Entrée",mv_date,"&gt;="&amp;$E$1,mv_date,"&lt;="&amp;$G$1))</f>
        <v/>
      </c>
      <c r="F354" s="39" t="str">
        <f>IF(A354="","",SUMIFS(mv_qty,mv_ref,A354,mv_type,"Sortie",mv_date,"&gt;="&amp;$E$1,mv_date,"&lt;="&amp;$G$1))</f>
        <v/>
      </c>
      <c r="G354" s="39" t="str">
        <f>IF(A354="","",ROUND(D354+E354-F354,6))</f>
        <v/>
      </c>
      <c r="H354" s="40" t="str">
        <f>IF(A354="","",G354*N('Articles'!G354))</f>
        <v/>
      </c>
    </row>
    <row r="355">
      <c r="A355" s="39" t="str">
        <f>IF('Articles'!A355="","",'Articles'!A355)</f>
        <v/>
      </c>
      <c r="B355" s="39" t="str">
        <f>IF(A355="","",'Articles'!B355&amp;"")</f>
        <v/>
      </c>
      <c r="C355" s="39" t="str">
        <f>IF(A355="","",'Articles'!D355&amp;"")</f>
        <v/>
      </c>
      <c r="D355" s="39" t="str">
        <f>IF(A355="","",ROUND(N('Articles'!H355)+SUMIFS(mv_qty,mv_ref,A355,mv_type,"Entrée",mv_date,"&lt;"&amp;$E$1)-SUMIFS(mv_qty,mv_ref,A355,mv_type,"Sortie",mv_date,"&lt;"&amp;$E$1),6))</f>
        <v/>
      </c>
      <c r="E355" s="39" t="str">
        <f>IF(A355="","",SUMIFS(mv_qty,mv_ref,A355,mv_type,"Entrée",mv_date,"&gt;="&amp;$E$1,mv_date,"&lt;="&amp;$G$1))</f>
        <v/>
      </c>
      <c r="F355" s="39" t="str">
        <f>IF(A355="","",SUMIFS(mv_qty,mv_ref,A355,mv_type,"Sortie",mv_date,"&gt;="&amp;$E$1,mv_date,"&lt;="&amp;$G$1))</f>
        <v/>
      </c>
      <c r="G355" s="39" t="str">
        <f>IF(A355="","",ROUND(D355+E355-F355,6))</f>
        <v/>
      </c>
      <c r="H355" s="40" t="str">
        <f>IF(A355="","",G355*N('Articles'!G355))</f>
        <v/>
      </c>
    </row>
    <row r="356">
      <c r="A356" s="39" t="str">
        <f>IF('Articles'!A356="","",'Articles'!A356)</f>
        <v/>
      </c>
      <c r="B356" s="39" t="str">
        <f>IF(A356="","",'Articles'!B356&amp;"")</f>
        <v/>
      </c>
      <c r="C356" s="39" t="str">
        <f>IF(A356="","",'Articles'!D356&amp;"")</f>
        <v/>
      </c>
      <c r="D356" s="39" t="str">
        <f>IF(A356="","",ROUND(N('Articles'!H356)+SUMIFS(mv_qty,mv_ref,A356,mv_type,"Entrée",mv_date,"&lt;"&amp;$E$1)-SUMIFS(mv_qty,mv_ref,A356,mv_type,"Sortie",mv_date,"&lt;"&amp;$E$1),6))</f>
        <v/>
      </c>
      <c r="E356" s="39" t="str">
        <f>IF(A356="","",SUMIFS(mv_qty,mv_ref,A356,mv_type,"Entrée",mv_date,"&gt;="&amp;$E$1,mv_date,"&lt;="&amp;$G$1))</f>
        <v/>
      </c>
      <c r="F356" s="39" t="str">
        <f>IF(A356="","",SUMIFS(mv_qty,mv_ref,A356,mv_type,"Sortie",mv_date,"&gt;="&amp;$E$1,mv_date,"&lt;="&amp;$G$1))</f>
        <v/>
      </c>
      <c r="G356" s="39" t="str">
        <f>IF(A356="","",ROUND(D356+E356-F356,6))</f>
        <v/>
      </c>
      <c r="H356" s="40" t="str">
        <f>IF(A356="","",G356*N('Articles'!G356))</f>
        <v/>
      </c>
    </row>
    <row r="357">
      <c r="A357" s="39" t="str">
        <f>IF('Articles'!A357="","",'Articles'!A357)</f>
        <v/>
      </c>
      <c r="B357" s="39" t="str">
        <f>IF(A357="","",'Articles'!B357&amp;"")</f>
        <v/>
      </c>
      <c r="C357" s="39" t="str">
        <f>IF(A357="","",'Articles'!D357&amp;"")</f>
        <v/>
      </c>
      <c r="D357" s="39" t="str">
        <f>IF(A357="","",ROUND(N('Articles'!H357)+SUMIFS(mv_qty,mv_ref,A357,mv_type,"Entrée",mv_date,"&lt;"&amp;$E$1)-SUMIFS(mv_qty,mv_ref,A357,mv_type,"Sortie",mv_date,"&lt;"&amp;$E$1),6))</f>
        <v/>
      </c>
      <c r="E357" s="39" t="str">
        <f>IF(A357="","",SUMIFS(mv_qty,mv_ref,A357,mv_type,"Entrée",mv_date,"&gt;="&amp;$E$1,mv_date,"&lt;="&amp;$G$1))</f>
        <v/>
      </c>
      <c r="F357" s="39" t="str">
        <f>IF(A357="","",SUMIFS(mv_qty,mv_ref,A357,mv_type,"Sortie",mv_date,"&gt;="&amp;$E$1,mv_date,"&lt;="&amp;$G$1))</f>
        <v/>
      </c>
      <c r="G357" s="39" t="str">
        <f>IF(A357="","",ROUND(D357+E357-F357,6))</f>
        <v/>
      </c>
      <c r="H357" s="40" t="str">
        <f>IF(A357="","",G357*N('Articles'!G357))</f>
        <v/>
      </c>
    </row>
    <row r="358">
      <c r="A358" s="39" t="str">
        <f>IF('Articles'!A358="","",'Articles'!A358)</f>
        <v/>
      </c>
      <c r="B358" s="39" t="str">
        <f>IF(A358="","",'Articles'!B358&amp;"")</f>
        <v/>
      </c>
      <c r="C358" s="39" t="str">
        <f>IF(A358="","",'Articles'!D358&amp;"")</f>
        <v/>
      </c>
      <c r="D358" s="39" t="str">
        <f>IF(A358="","",ROUND(N('Articles'!H358)+SUMIFS(mv_qty,mv_ref,A358,mv_type,"Entrée",mv_date,"&lt;"&amp;$E$1)-SUMIFS(mv_qty,mv_ref,A358,mv_type,"Sortie",mv_date,"&lt;"&amp;$E$1),6))</f>
        <v/>
      </c>
      <c r="E358" s="39" t="str">
        <f>IF(A358="","",SUMIFS(mv_qty,mv_ref,A358,mv_type,"Entrée",mv_date,"&gt;="&amp;$E$1,mv_date,"&lt;="&amp;$G$1))</f>
        <v/>
      </c>
      <c r="F358" s="39" t="str">
        <f>IF(A358="","",SUMIFS(mv_qty,mv_ref,A358,mv_type,"Sortie",mv_date,"&gt;="&amp;$E$1,mv_date,"&lt;="&amp;$G$1))</f>
        <v/>
      </c>
      <c r="G358" s="39" t="str">
        <f>IF(A358="","",ROUND(D358+E358-F358,6))</f>
        <v/>
      </c>
      <c r="H358" s="40" t="str">
        <f>IF(A358="","",G358*N('Articles'!G358))</f>
        <v/>
      </c>
    </row>
    <row r="359">
      <c r="A359" s="39" t="str">
        <f>IF('Articles'!A359="","",'Articles'!A359)</f>
        <v/>
      </c>
      <c r="B359" s="39" t="str">
        <f>IF(A359="","",'Articles'!B359&amp;"")</f>
        <v/>
      </c>
      <c r="C359" s="39" t="str">
        <f>IF(A359="","",'Articles'!D359&amp;"")</f>
        <v/>
      </c>
      <c r="D359" s="39" t="str">
        <f>IF(A359="","",ROUND(N('Articles'!H359)+SUMIFS(mv_qty,mv_ref,A359,mv_type,"Entrée",mv_date,"&lt;"&amp;$E$1)-SUMIFS(mv_qty,mv_ref,A359,mv_type,"Sortie",mv_date,"&lt;"&amp;$E$1),6))</f>
        <v/>
      </c>
      <c r="E359" s="39" t="str">
        <f>IF(A359="","",SUMIFS(mv_qty,mv_ref,A359,mv_type,"Entrée",mv_date,"&gt;="&amp;$E$1,mv_date,"&lt;="&amp;$G$1))</f>
        <v/>
      </c>
      <c r="F359" s="39" t="str">
        <f>IF(A359="","",SUMIFS(mv_qty,mv_ref,A359,mv_type,"Sortie",mv_date,"&gt;="&amp;$E$1,mv_date,"&lt;="&amp;$G$1))</f>
        <v/>
      </c>
      <c r="G359" s="39" t="str">
        <f>IF(A359="","",ROUND(D359+E359-F359,6))</f>
        <v/>
      </c>
      <c r="H359" s="40" t="str">
        <f>IF(A359="","",G359*N('Articles'!G359))</f>
        <v/>
      </c>
    </row>
    <row r="360">
      <c r="A360" s="39" t="str">
        <f>IF('Articles'!A360="","",'Articles'!A360)</f>
        <v/>
      </c>
      <c r="B360" s="39" t="str">
        <f>IF(A360="","",'Articles'!B360&amp;"")</f>
        <v/>
      </c>
      <c r="C360" s="39" t="str">
        <f>IF(A360="","",'Articles'!D360&amp;"")</f>
        <v/>
      </c>
      <c r="D360" s="39" t="str">
        <f>IF(A360="","",ROUND(N('Articles'!H360)+SUMIFS(mv_qty,mv_ref,A360,mv_type,"Entrée",mv_date,"&lt;"&amp;$E$1)-SUMIFS(mv_qty,mv_ref,A360,mv_type,"Sortie",mv_date,"&lt;"&amp;$E$1),6))</f>
        <v/>
      </c>
      <c r="E360" s="39" t="str">
        <f>IF(A360="","",SUMIFS(mv_qty,mv_ref,A360,mv_type,"Entrée",mv_date,"&gt;="&amp;$E$1,mv_date,"&lt;="&amp;$G$1))</f>
        <v/>
      </c>
      <c r="F360" s="39" t="str">
        <f>IF(A360="","",SUMIFS(mv_qty,mv_ref,A360,mv_type,"Sortie",mv_date,"&gt;="&amp;$E$1,mv_date,"&lt;="&amp;$G$1))</f>
        <v/>
      </c>
      <c r="G360" s="39" t="str">
        <f>IF(A360="","",ROUND(D360+E360-F360,6))</f>
        <v/>
      </c>
      <c r="H360" s="40" t="str">
        <f>IF(A360="","",G360*N('Articles'!G360))</f>
        <v/>
      </c>
    </row>
    <row r="361">
      <c r="A361" s="39" t="str">
        <f>IF('Articles'!A361="","",'Articles'!A361)</f>
        <v/>
      </c>
      <c r="B361" s="39" t="str">
        <f>IF(A361="","",'Articles'!B361&amp;"")</f>
        <v/>
      </c>
      <c r="C361" s="39" t="str">
        <f>IF(A361="","",'Articles'!D361&amp;"")</f>
        <v/>
      </c>
      <c r="D361" s="39" t="str">
        <f>IF(A361="","",ROUND(N('Articles'!H361)+SUMIFS(mv_qty,mv_ref,A361,mv_type,"Entrée",mv_date,"&lt;"&amp;$E$1)-SUMIFS(mv_qty,mv_ref,A361,mv_type,"Sortie",mv_date,"&lt;"&amp;$E$1),6))</f>
        <v/>
      </c>
      <c r="E361" s="39" t="str">
        <f>IF(A361="","",SUMIFS(mv_qty,mv_ref,A361,mv_type,"Entrée",mv_date,"&gt;="&amp;$E$1,mv_date,"&lt;="&amp;$G$1))</f>
        <v/>
      </c>
      <c r="F361" s="39" t="str">
        <f>IF(A361="","",SUMIFS(mv_qty,mv_ref,A361,mv_type,"Sortie",mv_date,"&gt;="&amp;$E$1,mv_date,"&lt;="&amp;$G$1))</f>
        <v/>
      </c>
      <c r="G361" s="39" t="str">
        <f>IF(A361="","",ROUND(D361+E361-F361,6))</f>
        <v/>
      </c>
      <c r="H361" s="40" t="str">
        <f>IF(A361="","",G361*N('Articles'!G361))</f>
        <v/>
      </c>
    </row>
    <row r="362">
      <c r="A362" s="39" t="str">
        <f>IF('Articles'!A362="","",'Articles'!A362)</f>
        <v/>
      </c>
      <c r="B362" s="39" t="str">
        <f>IF(A362="","",'Articles'!B362&amp;"")</f>
        <v/>
      </c>
      <c r="C362" s="39" t="str">
        <f>IF(A362="","",'Articles'!D362&amp;"")</f>
        <v/>
      </c>
      <c r="D362" s="39" t="str">
        <f>IF(A362="","",ROUND(N('Articles'!H362)+SUMIFS(mv_qty,mv_ref,A362,mv_type,"Entrée",mv_date,"&lt;"&amp;$E$1)-SUMIFS(mv_qty,mv_ref,A362,mv_type,"Sortie",mv_date,"&lt;"&amp;$E$1),6))</f>
        <v/>
      </c>
      <c r="E362" s="39" t="str">
        <f>IF(A362="","",SUMIFS(mv_qty,mv_ref,A362,mv_type,"Entrée",mv_date,"&gt;="&amp;$E$1,mv_date,"&lt;="&amp;$G$1))</f>
        <v/>
      </c>
      <c r="F362" s="39" t="str">
        <f>IF(A362="","",SUMIFS(mv_qty,mv_ref,A362,mv_type,"Sortie",mv_date,"&gt;="&amp;$E$1,mv_date,"&lt;="&amp;$G$1))</f>
        <v/>
      </c>
      <c r="G362" s="39" t="str">
        <f>IF(A362="","",ROUND(D362+E362-F362,6))</f>
        <v/>
      </c>
      <c r="H362" s="40" t="str">
        <f>IF(A362="","",G362*N('Articles'!G362))</f>
        <v/>
      </c>
    </row>
    <row r="363">
      <c r="A363" s="39" t="str">
        <f>IF('Articles'!A363="","",'Articles'!A363)</f>
        <v/>
      </c>
      <c r="B363" s="39" t="str">
        <f>IF(A363="","",'Articles'!B363&amp;"")</f>
        <v/>
      </c>
      <c r="C363" s="39" t="str">
        <f>IF(A363="","",'Articles'!D363&amp;"")</f>
        <v/>
      </c>
      <c r="D363" s="39" t="str">
        <f>IF(A363="","",ROUND(N('Articles'!H363)+SUMIFS(mv_qty,mv_ref,A363,mv_type,"Entrée",mv_date,"&lt;"&amp;$E$1)-SUMIFS(mv_qty,mv_ref,A363,mv_type,"Sortie",mv_date,"&lt;"&amp;$E$1),6))</f>
        <v/>
      </c>
      <c r="E363" s="39" t="str">
        <f>IF(A363="","",SUMIFS(mv_qty,mv_ref,A363,mv_type,"Entrée",mv_date,"&gt;="&amp;$E$1,mv_date,"&lt;="&amp;$G$1))</f>
        <v/>
      </c>
      <c r="F363" s="39" t="str">
        <f>IF(A363="","",SUMIFS(mv_qty,mv_ref,A363,mv_type,"Sortie",mv_date,"&gt;="&amp;$E$1,mv_date,"&lt;="&amp;$G$1))</f>
        <v/>
      </c>
      <c r="G363" s="39" t="str">
        <f>IF(A363="","",ROUND(D363+E363-F363,6))</f>
        <v/>
      </c>
      <c r="H363" s="40" t="str">
        <f>IF(A363="","",G363*N('Articles'!G363))</f>
        <v/>
      </c>
    </row>
    <row r="364">
      <c r="A364" s="39" t="str">
        <f>IF('Articles'!A364="","",'Articles'!A364)</f>
        <v/>
      </c>
      <c r="B364" s="39" t="str">
        <f>IF(A364="","",'Articles'!B364&amp;"")</f>
        <v/>
      </c>
      <c r="C364" s="39" t="str">
        <f>IF(A364="","",'Articles'!D364&amp;"")</f>
        <v/>
      </c>
      <c r="D364" s="39" t="str">
        <f>IF(A364="","",ROUND(N('Articles'!H364)+SUMIFS(mv_qty,mv_ref,A364,mv_type,"Entrée",mv_date,"&lt;"&amp;$E$1)-SUMIFS(mv_qty,mv_ref,A364,mv_type,"Sortie",mv_date,"&lt;"&amp;$E$1),6))</f>
        <v/>
      </c>
      <c r="E364" s="39" t="str">
        <f>IF(A364="","",SUMIFS(mv_qty,mv_ref,A364,mv_type,"Entrée",mv_date,"&gt;="&amp;$E$1,mv_date,"&lt;="&amp;$G$1))</f>
        <v/>
      </c>
      <c r="F364" s="39" t="str">
        <f>IF(A364="","",SUMIFS(mv_qty,mv_ref,A364,mv_type,"Sortie",mv_date,"&gt;="&amp;$E$1,mv_date,"&lt;="&amp;$G$1))</f>
        <v/>
      </c>
      <c r="G364" s="39" t="str">
        <f>IF(A364="","",ROUND(D364+E364-F364,6))</f>
        <v/>
      </c>
      <c r="H364" s="40" t="str">
        <f>IF(A364="","",G364*N('Articles'!G364))</f>
        <v/>
      </c>
    </row>
    <row r="365">
      <c r="A365" s="39" t="str">
        <f>IF('Articles'!A365="","",'Articles'!A365)</f>
        <v/>
      </c>
      <c r="B365" s="39" t="str">
        <f>IF(A365="","",'Articles'!B365&amp;"")</f>
        <v/>
      </c>
      <c r="C365" s="39" t="str">
        <f>IF(A365="","",'Articles'!D365&amp;"")</f>
        <v/>
      </c>
      <c r="D365" s="39" t="str">
        <f>IF(A365="","",ROUND(N('Articles'!H365)+SUMIFS(mv_qty,mv_ref,A365,mv_type,"Entrée",mv_date,"&lt;"&amp;$E$1)-SUMIFS(mv_qty,mv_ref,A365,mv_type,"Sortie",mv_date,"&lt;"&amp;$E$1),6))</f>
        <v/>
      </c>
      <c r="E365" s="39" t="str">
        <f>IF(A365="","",SUMIFS(mv_qty,mv_ref,A365,mv_type,"Entrée",mv_date,"&gt;="&amp;$E$1,mv_date,"&lt;="&amp;$G$1))</f>
        <v/>
      </c>
      <c r="F365" s="39" t="str">
        <f>IF(A365="","",SUMIFS(mv_qty,mv_ref,A365,mv_type,"Sortie",mv_date,"&gt;="&amp;$E$1,mv_date,"&lt;="&amp;$G$1))</f>
        <v/>
      </c>
      <c r="G365" s="39" t="str">
        <f>IF(A365="","",ROUND(D365+E365-F365,6))</f>
        <v/>
      </c>
      <c r="H365" s="40" t="str">
        <f>IF(A365="","",G365*N('Articles'!G365))</f>
        <v/>
      </c>
    </row>
    <row r="366">
      <c r="A366" s="39" t="str">
        <f>IF('Articles'!A366="","",'Articles'!A366)</f>
        <v/>
      </c>
      <c r="B366" s="39" t="str">
        <f>IF(A366="","",'Articles'!B366&amp;"")</f>
        <v/>
      </c>
      <c r="C366" s="39" t="str">
        <f>IF(A366="","",'Articles'!D366&amp;"")</f>
        <v/>
      </c>
      <c r="D366" s="39" t="str">
        <f>IF(A366="","",ROUND(N('Articles'!H366)+SUMIFS(mv_qty,mv_ref,A366,mv_type,"Entrée",mv_date,"&lt;"&amp;$E$1)-SUMIFS(mv_qty,mv_ref,A366,mv_type,"Sortie",mv_date,"&lt;"&amp;$E$1),6))</f>
        <v/>
      </c>
      <c r="E366" s="39" t="str">
        <f>IF(A366="","",SUMIFS(mv_qty,mv_ref,A366,mv_type,"Entrée",mv_date,"&gt;="&amp;$E$1,mv_date,"&lt;="&amp;$G$1))</f>
        <v/>
      </c>
      <c r="F366" s="39" t="str">
        <f>IF(A366="","",SUMIFS(mv_qty,mv_ref,A366,mv_type,"Sortie",mv_date,"&gt;="&amp;$E$1,mv_date,"&lt;="&amp;$G$1))</f>
        <v/>
      </c>
      <c r="G366" s="39" t="str">
        <f>IF(A366="","",ROUND(D366+E366-F366,6))</f>
        <v/>
      </c>
      <c r="H366" s="40" t="str">
        <f>IF(A366="","",G366*N('Articles'!G366))</f>
        <v/>
      </c>
    </row>
    <row r="367">
      <c r="A367" s="39" t="str">
        <f>IF('Articles'!A367="","",'Articles'!A367)</f>
        <v/>
      </c>
      <c r="B367" s="39" t="str">
        <f>IF(A367="","",'Articles'!B367&amp;"")</f>
        <v/>
      </c>
      <c r="C367" s="39" t="str">
        <f>IF(A367="","",'Articles'!D367&amp;"")</f>
        <v/>
      </c>
      <c r="D367" s="39" t="str">
        <f>IF(A367="","",ROUND(N('Articles'!H367)+SUMIFS(mv_qty,mv_ref,A367,mv_type,"Entrée",mv_date,"&lt;"&amp;$E$1)-SUMIFS(mv_qty,mv_ref,A367,mv_type,"Sortie",mv_date,"&lt;"&amp;$E$1),6))</f>
        <v/>
      </c>
      <c r="E367" s="39" t="str">
        <f>IF(A367="","",SUMIFS(mv_qty,mv_ref,A367,mv_type,"Entrée",mv_date,"&gt;="&amp;$E$1,mv_date,"&lt;="&amp;$G$1))</f>
        <v/>
      </c>
      <c r="F367" s="39" t="str">
        <f>IF(A367="","",SUMIFS(mv_qty,mv_ref,A367,mv_type,"Sortie",mv_date,"&gt;="&amp;$E$1,mv_date,"&lt;="&amp;$G$1))</f>
        <v/>
      </c>
      <c r="G367" s="39" t="str">
        <f>IF(A367="","",ROUND(D367+E367-F367,6))</f>
        <v/>
      </c>
      <c r="H367" s="40" t="str">
        <f>IF(A367="","",G367*N('Articles'!G367))</f>
        <v/>
      </c>
    </row>
    <row r="368">
      <c r="A368" s="39" t="str">
        <f>IF('Articles'!A368="","",'Articles'!A368)</f>
        <v/>
      </c>
      <c r="B368" s="39" t="str">
        <f>IF(A368="","",'Articles'!B368&amp;"")</f>
        <v/>
      </c>
      <c r="C368" s="39" t="str">
        <f>IF(A368="","",'Articles'!D368&amp;"")</f>
        <v/>
      </c>
      <c r="D368" s="39" t="str">
        <f>IF(A368="","",ROUND(N('Articles'!H368)+SUMIFS(mv_qty,mv_ref,A368,mv_type,"Entrée",mv_date,"&lt;"&amp;$E$1)-SUMIFS(mv_qty,mv_ref,A368,mv_type,"Sortie",mv_date,"&lt;"&amp;$E$1),6))</f>
        <v/>
      </c>
      <c r="E368" s="39" t="str">
        <f>IF(A368="","",SUMIFS(mv_qty,mv_ref,A368,mv_type,"Entrée",mv_date,"&gt;="&amp;$E$1,mv_date,"&lt;="&amp;$G$1))</f>
        <v/>
      </c>
      <c r="F368" s="39" t="str">
        <f>IF(A368="","",SUMIFS(mv_qty,mv_ref,A368,mv_type,"Sortie",mv_date,"&gt;="&amp;$E$1,mv_date,"&lt;="&amp;$G$1))</f>
        <v/>
      </c>
      <c r="G368" s="39" t="str">
        <f>IF(A368="","",ROUND(D368+E368-F368,6))</f>
        <v/>
      </c>
      <c r="H368" s="40" t="str">
        <f>IF(A368="","",G368*N('Articles'!G368))</f>
        <v/>
      </c>
    </row>
    <row r="369">
      <c r="A369" s="39" t="str">
        <f>IF('Articles'!A369="","",'Articles'!A369)</f>
        <v/>
      </c>
      <c r="B369" s="39" t="str">
        <f>IF(A369="","",'Articles'!B369&amp;"")</f>
        <v/>
      </c>
      <c r="C369" s="39" t="str">
        <f>IF(A369="","",'Articles'!D369&amp;"")</f>
        <v/>
      </c>
      <c r="D369" s="39" t="str">
        <f>IF(A369="","",ROUND(N('Articles'!H369)+SUMIFS(mv_qty,mv_ref,A369,mv_type,"Entrée",mv_date,"&lt;"&amp;$E$1)-SUMIFS(mv_qty,mv_ref,A369,mv_type,"Sortie",mv_date,"&lt;"&amp;$E$1),6))</f>
        <v/>
      </c>
      <c r="E369" s="39" t="str">
        <f>IF(A369="","",SUMIFS(mv_qty,mv_ref,A369,mv_type,"Entrée",mv_date,"&gt;="&amp;$E$1,mv_date,"&lt;="&amp;$G$1))</f>
        <v/>
      </c>
      <c r="F369" s="39" t="str">
        <f>IF(A369="","",SUMIFS(mv_qty,mv_ref,A369,mv_type,"Sortie",mv_date,"&gt;="&amp;$E$1,mv_date,"&lt;="&amp;$G$1))</f>
        <v/>
      </c>
      <c r="G369" s="39" t="str">
        <f>IF(A369="","",ROUND(D369+E369-F369,6))</f>
        <v/>
      </c>
      <c r="H369" s="40" t="str">
        <f>IF(A369="","",G369*N('Articles'!G369))</f>
        <v/>
      </c>
    </row>
    <row r="370">
      <c r="A370" s="39" t="str">
        <f>IF('Articles'!A370="","",'Articles'!A370)</f>
        <v/>
      </c>
      <c r="B370" s="39" t="str">
        <f>IF(A370="","",'Articles'!B370&amp;"")</f>
        <v/>
      </c>
      <c r="C370" s="39" t="str">
        <f>IF(A370="","",'Articles'!D370&amp;"")</f>
        <v/>
      </c>
      <c r="D370" s="39" t="str">
        <f>IF(A370="","",ROUND(N('Articles'!H370)+SUMIFS(mv_qty,mv_ref,A370,mv_type,"Entrée",mv_date,"&lt;"&amp;$E$1)-SUMIFS(mv_qty,mv_ref,A370,mv_type,"Sortie",mv_date,"&lt;"&amp;$E$1),6))</f>
        <v/>
      </c>
      <c r="E370" s="39" t="str">
        <f>IF(A370="","",SUMIFS(mv_qty,mv_ref,A370,mv_type,"Entrée",mv_date,"&gt;="&amp;$E$1,mv_date,"&lt;="&amp;$G$1))</f>
        <v/>
      </c>
      <c r="F370" s="39" t="str">
        <f>IF(A370="","",SUMIFS(mv_qty,mv_ref,A370,mv_type,"Sortie",mv_date,"&gt;="&amp;$E$1,mv_date,"&lt;="&amp;$G$1))</f>
        <v/>
      </c>
      <c r="G370" s="39" t="str">
        <f>IF(A370="","",ROUND(D370+E370-F370,6))</f>
        <v/>
      </c>
      <c r="H370" s="40" t="str">
        <f>IF(A370="","",G370*N('Articles'!G370))</f>
        <v/>
      </c>
    </row>
    <row r="371">
      <c r="A371" s="39" t="str">
        <f>IF('Articles'!A371="","",'Articles'!A371)</f>
        <v/>
      </c>
      <c r="B371" s="39" t="str">
        <f>IF(A371="","",'Articles'!B371&amp;"")</f>
        <v/>
      </c>
      <c r="C371" s="39" t="str">
        <f>IF(A371="","",'Articles'!D371&amp;"")</f>
        <v/>
      </c>
      <c r="D371" s="39" t="str">
        <f>IF(A371="","",ROUND(N('Articles'!H371)+SUMIFS(mv_qty,mv_ref,A371,mv_type,"Entrée",mv_date,"&lt;"&amp;$E$1)-SUMIFS(mv_qty,mv_ref,A371,mv_type,"Sortie",mv_date,"&lt;"&amp;$E$1),6))</f>
        <v/>
      </c>
      <c r="E371" s="39" t="str">
        <f>IF(A371="","",SUMIFS(mv_qty,mv_ref,A371,mv_type,"Entrée",mv_date,"&gt;="&amp;$E$1,mv_date,"&lt;="&amp;$G$1))</f>
        <v/>
      </c>
      <c r="F371" s="39" t="str">
        <f>IF(A371="","",SUMIFS(mv_qty,mv_ref,A371,mv_type,"Sortie",mv_date,"&gt;="&amp;$E$1,mv_date,"&lt;="&amp;$G$1))</f>
        <v/>
      </c>
      <c r="G371" s="39" t="str">
        <f>IF(A371="","",ROUND(D371+E371-F371,6))</f>
        <v/>
      </c>
      <c r="H371" s="40" t="str">
        <f>IF(A371="","",G371*N('Articles'!G371))</f>
        <v/>
      </c>
    </row>
    <row r="372">
      <c r="A372" s="39" t="str">
        <f>IF('Articles'!A372="","",'Articles'!A372)</f>
        <v/>
      </c>
      <c r="B372" s="39" t="str">
        <f>IF(A372="","",'Articles'!B372&amp;"")</f>
        <v/>
      </c>
      <c r="C372" s="39" t="str">
        <f>IF(A372="","",'Articles'!D372&amp;"")</f>
        <v/>
      </c>
      <c r="D372" s="39" t="str">
        <f>IF(A372="","",ROUND(N('Articles'!H372)+SUMIFS(mv_qty,mv_ref,A372,mv_type,"Entrée",mv_date,"&lt;"&amp;$E$1)-SUMIFS(mv_qty,mv_ref,A372,mv_type,"Sortie",mv_date,"&lt;"&amp;$E$1),6))</f>
        <v/>
      </c>
      <c r="E372" s="39" t="str">
        <f>IF(A372="","",SUMIFS(mv_qty,mv_ref,A372,mv_type,"Entrée",mv_date,"&gt;="&amp;$E$1,mv_date,"&lt;="&amp;$G$1))</f>
        <v/>
      </c>
      <c r="F372" s="39" t="str">
        <f>IF(A372="","",SUMIFS(mv_qty,mv_ref,A372,mv_type,"Sortie",mv_date,"&gt;="&amp;$E$1,mv_date,"&lt;="&amp;$G$1))</f>
        <v/>
      </c>
      <c r="G372" s="39" t="str">
        <f>IF(A372="","",ROUND(D372+E372-F372,6))</f>
        <v/>
      </c>
      <c r="H372" s="40" t="str">
        <f>IF(A372="","",G372*N('Articles'!G372))</f>
        <v/>
      </c>
    </row>
    <row r="373">
      <c r="A373" s="39" t="str">
        <f>IF('Articles'!A373="","",'Articles'!A373)</f>
        <v/>
      </c>
      <c r="B373" s="39" t="str">
        <f>IF(A373="","",'Articles'!B373&amp;"")</f>
        <v/>
      </c>
      <c r="C373" s="39" t="str">
        <f>IF(A373="","",'Articles'!D373&amp;"")</f>
        <v/>
      </c>
      <c r="D373" s="39" t="str">
        <f>IF(A373="","",ROUND(N('Articles'!H373)+SUMIFS(mv_qty,mv_ref,A373,mv_type,"Entrée",mv_date,"&lt;"&amp;$E$1)-SUMIFS(mv_qty,mv_ref,A373,mv_type,"Sortie",mv_date,"&lt;"&amp;$E$1),6))</f>
        <v/>
      </c>
      <c r="E373" s="39" t="str">
        <f>IF(A373="","",SUMIFS(mv_qty,mv_ref,A373,mv_type,"Entrée",mv_date,"&gt;="&amp;$E$1,mv_date,"&lt;="&amp;$G$1))</f>
        <v/>
      </c>
      <c r="F373" s="39" t="str">
        <f>IF(A373="","",SUMIFS(mv_qty,mv_ref,A373,mv_type,"Sortie",mv_date,"&gt;="&amp;$E$1,mv_date,"&lt;="&amp;$G$1))</f>
        <v/>
      </c>
      <c r="G373" s="39" t="str">
        <f>IF(A373="","",ROUND(D373+E373-F373,6))</f>
        <v/>
      </c>
      <c r="H373" s="40" t="str">
        <f>IF(A373="","",G373*N('Articles'!G373))</f>
        <v/>
      </c>
    </row>
    <row r="374">
      <c r="A374" s="39" t="str">
        <f>IF('Articles'!A374="","",'Articles'!A374)</f>
        <v/>
      </c>
      <c r="B374" s="39" t="str">
        <f>IF(A374="","",'Articles'!B374&amp;"")</f>
        <v/>
      </c>
      <c r="C374" s="39" t="str">
        <f>IF(A374="","",'Articles'!D374&amp;"")</f>
        <v/>
      </c>
      <c r="D374" s="39" t="str">
        <f>IF(A374="","",ROUND(N('Articles'!H374)+SUMIFS(mv_qty,mv_ref,A374,mv_type,"Entrée",mv_date,"&lt;"&amp;$E$1)-SUMIFS(mv_qty,mv_ref,A374,mv_type,"Sortie",mv_date,"&lt;"&amp;$E$1),6))</f>
        <v/>
      </c>
      <c r="E374" s="39" t="str">
        <f>IF(A374="","",SUMIFS(mv_qty,mv_ref,A374,mv_type,"Entrée",mv_date,"&gt;="&amp;$E$1,mv_date,"&lt;="&amp;$G$1))</f>
        <v/>
      </c>
      <c r="F374" s="39" t="str">
        <f>IF(A374="","",SUMIFS(mv_qty,mv_ref,A374,mv_type,"Sortie",mv_date,"&gt;="&amp;$E$1,mv_date,"&lt;="&amp;$G$1))</f>
        <v/>
      </c>
      <c r="G374" s="39" t="str">
        <f>IF(A374="","",ROUND(D374+E374-F374,6))</f>
        <v/>
      </c>
      <c r="H374" s="40" t="str">
        <f>IF(A374="","",G374*N('Articles'!G374))</f>
        <v/>
      </c>
    </row>
    <row r="375">
      <c r="A375" s="39" t="str">
        <f>IF('Articles'!A375="","",'Articles'!A375)</f>
        <v/>
      </c>
      <c r="B375" s="39" t="str">
        <f>IF(A375="","",'Articles'!B375&amp;"")</f>
        <v/>
      </c>
      <c r="C375" s="39" t="str">
        <f>IF(A375="","",'Articles'!D375&amp;"")</f>
        <v/>
      </c>
      <c r="D375" s="39" t="str">
        <f>IF(A375="","",ROUND(N('Articles'!H375)+SUMIFS(mv_qty,mv_ref,A375,mv_type,"Entrée",mv_date,"&lt;"&amp;$E$1)-SUMIFS(mv_qty,mv_ref,A375,mv_type,"Sortie",mv_date,"&lt;"&amp;$E$1),6))</f>
        <v/>
      </c>
      <c r="E375" s="39" t="str">
        <f>IF(A375="","",SUMIFS(mv_qty,mv_ref,A375,mv_type,"Entrée",mv_date,"&gt;="&amp;$E$1,mv_date,"&lt;="&amp;$G$1))</f>
        <v/>
      </c>
      <c r="F375" s="39" t="str">
        <f>IF(A375="","",SUMIFS(mv_qty,mv_ref,A375,mv_type,"Sortie",mv_date,"&gt;="&amp;$E$1,mv_date,"&lt;="&amp;$G$1))</f>
        <v/>
      </c>
      <c r="G375" s="39" t="str">
        <f>IF(A375="","",ROUND(D375+E375-F375,6))</f>
        <v/>
      </c>
      <c r="H375" s="40" t="str">
        <f>IF(A375="","",G375*N('Articles'!G375))</f>
        <v/>
      </c>
    </row>
    <row r="376">
      <c r="A376" s="39" t="str">
        <f>IF('Articles'!A376="","",'Articles'!A376)</f>
        <v/>
      </c>
      <c r="B376" s="39" t="str">
        <f>IF(A376="","",'Articles'!B376&amp;"")</f>
        <v/>
      </c>
      <c r="C376" s="39" t="str">
        <f>IF(A376="","",'Articles'!D376&amp;"")</f>
        <v/>
      </c>
      <c r="D376" s="39" t="str">
        <f>IF(A376="","",ROUND(N('Articles'!H376)+SUMIFS(mv_qty,mv_ref,A376,mv_type,"Entrée",mv_date,"&lt;"&amp;$E$1)-SUMIFS(mv_qty,mv_ref,A376,mv_type,"Sortie",mv_date,"&lt;"&amp;$E$1),6))</f>
        <v/>
      </c>
      <c r="E376" s="39" t="str">
        <f>IF(A376="","",SUMIFS(mv_qty,mv_ref,A376,mv_type,"Entrée",mv_date,"&gt;="&amp;$E$1,mv_date,"&lt;="&amp;$G$1))</f>
        <v/>
      </c>
      <c r="F376" s="39" t="str">
        <f>IF(A376="","",SUMIFS(mv_qty,mv_ref,A376,mv_type,"Sortie",mv_date,"&gt;="&amp;$E$1,mv_date,"&lt;="&amp;$G$1))</f>
        <v/>
      </c>
      <c r="G376" s="39" t="str">
        <f>IF(A376="","",ROUND(D376+E376-F376,6))</f>
        <v/>
      </c>
      <c r="H376" s="40" t="str">
        <f>IF(A376="","",G376*N('Articles'!G376))</f>
        <v/>
      </c>
    </row>
    <row r="377">
      <c r="A377" s="39" t="str">
        <f>IF('Articles'!A377="","",'Articles'!A377)</f>
        <v/>
      </c>
      <c r="B377" s="39" t="str">
        <f>IF(A377="","",'Articles'!B377&amp;"")</f>
        <v/>
      </c>
      <c r="C377" s="39" t="str">
        <f>IF(A377="","",'Articles'!D377&amp;"")</f>
        <v/>
      </c>
      <c r="D377" s="39" t="str">
        <f>IF(A377="","",ROUND(N('Articles'!H377)+SUMIFS(mv_qty,mv_ref,A377,mv_type,"Entrée",mv_date,"&lt;"&amp;$E$1)-SUMIFS(mv_qty,mv_ref,A377,mv_type,"Sortie",mv_date,"&lt;"&amp;$E$1),6))</f>
        <v/>
      </c>
      <c r="E377" s="39" t="str">
        <f>IF(A377="","",SUMIFS(mv_qty,mv_ref,A377,mv_type,"Entrée",mv_date,"&gt;="&amp;$E$1,mv_date,"&lt;="&amp;$G$1))</f>
        <v/>
      </c>
      <c r="F377" s="39" t="str">
        <f>IF(A377="","",SUMIFS(mv_qty,mv_ref,A377,mv_type,"Sortie",mv_date,"&gt;="&amp;$E$1,mv_date,"&lt;="&amp;$G$1))</f>
        <v/>
      </c>
      <c r="G377" s="39" t="str">
        <f>IF(A377="","",ROUND(D377+E377-F377,6))</f>
        <v/>
      </c>
      <c r="H377" s="40" t="str">
        <f>IF(A377="","",G377*N('Articles'!G377))</f>
        <v/>
      </c>
    </row>
    <row r="378">
      <c r="A378" s="39" t="str">
        <f>IF('Articles'!A378="","",'Articles'!A378)</f>
        <v/>
      </c>
      <c r="B378" s="39" t="str">
        <f>IF(A378="","",'Articles'!B378&amp;"")</f>
        <v/>
      </c>
      <c r="C378" s="39" t="str">
        <f>IF(A378="","",'Articles'!D378&amp;"")</f>
        <v/>
      </c>
      <c r="D378" s="39" t="str">
        <f>IF(A378="","",ROUND(N('Articles'!H378)+SUMIFS(mv_qty,mv_ref,A378,mv_type,"Entrée",mv_date,"&lt;"&amp;$E$1)-SUMIFS(mv_qty,mv_ref,A378,mv_type,"Sortie",mv_date,"&lt;"&amp;$E$1),6))</f>
        <v/>
      </c>
      <c r="E378" s="39" t="str">
        <f>IF(A378="","",SUMIFS(mv_qty,mv_ref,A378,mv_type,"Entrée",mv_date,"&gt;="&amp;$E$1,mv_date,"&lt;="&amp;$G$1))</f>
        <v/>
      </c>
      <c r="F378" s="39" t="str">
        <f>IF(A378="","",SUMIFS(mv_qty,mv_ref,A378,mv_type,"Sortie",mv_date,"&gt;="&amp;$E$1,mv_date,"&lt;="&amp;$G$1))</f>
        <v/>
      </c>
      <c r="G378" s="39" t="str">
        <f>IF(A378="","",ROUND(D378+E378-F378,6))</f>
        <v/>
      </c>
      <c r="H378" s="40" t="str">
        <f>IF(A378="","",G378*N('Articles'!G378))</f>
        <v/>
      </c>
    </row>
    <row r="379">
      <c r="A379" s="39" t="str">
        <f>IF('Articles'!A379="","",'Articles'!A379)</f>
        <v/>
      </c>
      <c r="B379" s="39" t="str">
        <f>IF(A379="","",'Articles'!B379&amp;"")</f>
        <v/>
      </c>
      <c r="C379" s="39" t="str">
        <f>IF(A379="","",'Articles'!D379&amp;"")</f>
        <v/>
      </c>
      <c r="D379" s="39" t="str">
        <f>IF(A379="","",ROUND(N('Articles'!H379)+SUMIFS(mv_qty,mv_ref,A379,mv_type,"Entrée",mv_date,"&lt;"&amp;$E$1)-SUMIFS(mv_qty,mv_ref,A379,mv_type,"Sortie",mv_date,"&lt;"&amp;$E$1),6))</f>
        <v/>
      </c>
      <c r="E379" s="39" t="str">
        <f>IF(A379="","",SUMIFS(mv_qty,mv_ref,A379,mv_type,"Entrée",mv_date,"&gt;="&amp;$E$1,mv_date,"&lt;="&amp;$G$1))</f>
        <v/>
      </c>
      <c r="F379" s="39" t="str">
        <f>IF(A379="","",SUMIFS(mv_qty,mv_ref,A379,mv_type,"Sortie",mv_date,"&gt;="&amp;$E$1,mv_date,"&lt;="&amp;$G$1))</f>
        <v/>
      </c>
      <c r="G379" s="39" t="str">
        <f>IF(A379="","",ROUND(D379+E379-F379,6))</f>
        <v/>
      </c>
      <c r="H379" s="40" t="str">
        <f>IF(A379="","",G379*N('Articles'!G379))</f>
        <v/>
      </c>
    </row>
    <row r="380">
      <c r="A380" s="39" t="str">
        <f>IF('Articles'!A380="","",'Articles'!A380)</f>
        <v/>
      </c>
      <c r="B380" s="39" t="str">
        <f>IF(A380="","",'Articles'!B380&amp;"")</f>
        <v/>
      </c>
      <c r="C380" s="39" t="str">
        <f>IF(A380="","",'Articles'!D380&amp;"")</f>
        <v/>
      </c>
      <c r="D380" s="39" t="str">
        <f>IF(A380="","",ROUND(N('Articles'!H380)+SUMIFS(mv_qty,mv_ref,A380,mv_type,"Entrée",mv_date,"&lt;"&amp;$E$1)-SUMIFS(mv_qty,mv_ref,A380,mv_type,"Sortie",mv_date,"&lt;"&amp;$E$1),6))</f>
        <v/>
      </c>
      <c r="E380" s="39" t="str">
        <f>IF(A380="","",SUMIFS(mv_qty,mv_ref,A380,mv_type,"Entrée",mv_date,"&gt;="&amp;$E$1,mv_date,"&lt;="&amp;$G$1))</f>
        <v/>
      </c>
      <c r="F380" s="39" t="str">
        <f>IF(A380="","",SUMIFS(mv_qty,mv_ref,A380,mv_type,"Sortie",mv_date,"&gt;="&amp;$E$1,mv_date,"&lt;="&amp;$G$1))</f>
        <v/>
      </c>
      <c r="G380" s="39" t="str">
        <f>IF(A380="","",ROUND(D380+E380-F380,6))</f>
        <v/>
      </c>
      <c r="H380" s="40" t="str">
        <f>IF(A380="","",G380*N('Articles'!G380))</f>
        <v/>
      </c>
    </row>
    <row r="381">
      <c r="A381" s="39" t="str">
        <f>IF('Articles'!A381="","",'Articles'!A381)</f>
        <v/>
      </c>
      <c r="B381" s="39" t="str">
        <f>IF(A381="","",'Articles'!B381&amp;"")</f>
        <v/>
      </c>
      <c r="C381" s="39" t="str">
        <f>IF(A381="","",'Articles'!D381&amp;"")</f>
        <v/>
      </c>
      <c r="D381" s="39" t="str">
        <f>IF(A381="","",ROUND(N('Articles'!H381)+SUMIFS(mv_qty,mv_ref,A381,mv_type,"Entrée",mv_date,"&lt;"&amp;$E$1)-SUMIFS(mv_qty,mv_ref,A381,mv_type,"Sortie",mv_date,"&lt;"&amp;$E$1),6))</f>
        <v/>
      </c>
      <c r="E381" s="39" t="str">
        <f>IF(A381="","",SUMIFS(mv_qty,mv_ref,A381,mv_type,"Entrée",mv_date,"&gt;="&amp;$E$1,mv_date,"&lt;="&amp;$G$1))</f>
        <v/>
      </c>
      <c r="F381" s="39" t="str">
        <f>IF(A381="","",SUMIFS(mv_qty,mv_ref,A381,mv_type,"Sortie",mv_date,"&gt;="&amp;$E$1,mv_date,"&lt;="&amp;$G$1))</f>
        <v/>
      </c>
      <c r="G381" s="39" t="str">
        <f>IF(A381="","",ROUND(D381+E381-F381,6))</f>
        <v/>
      </c>
      <c r="H381" s="40" t="str">
        <f>IF(A381="","",G381*N('Articles'!G381))</f>
        <v/>
      </c>
    </row>
    <row r="382">
      <c r="A382" s="39" t="str">
        <f>IF('Articles'!A382="","",'Articles'!A382)</f>
        <v/>
      </c>
      <c r="B382" s="39" t="str">
        <f>IF(A382="","",'Articles'!B382&amp;"")</f>
        <v/>
      </c>
      <c r="C382" s="39" t="str">
        <f>IF(A382="","",'Articles'!D382&amp;"")</f>
        <v/>
      </c>
      <c r="D382" s="39" t="str">
        <f>IF(A382="","",ROUND(N('Articles'!H382)+SUMIFS(mv_qty,mv_ref,A382,mv_type,"Entrée",mv_date,"&lt;"&amp;$E$1)-SUMIFS(mv_qty,mv_ref,A382,mv_type,"Sortie",mv_date,"&lt;"&amp;$E$1),6))</f>
        <v/>
      </c>
      <c r="E382" s="39" t="str">
        <f>IF(A382="","",SUMIFS(mv_qty,mv_ref,A382,mv_type,"Entrée",mv_date,"&gt;="&amp;$E$1,mv_date,"&lt;="&amp;$G$1))</f>
        <v/>
      </c>
      <c r="F382" s="39" t="str">
        <f>IF(A382="","",SUMIFS(mv_qty,mv_ref,A382,mv_type,"Sortie",mv_date,"&gt;="&amp;$E$1,mv_date,"&lt;="&amp;$G$1))</f>
        <v/>
      </c>
      <c r="G382" s="39" t="str">
        <f>IF(A382="","",ROUND(D382+E382-F382,6))</f>
        <v/>
      </c>
      <c r="H382" s="40" t="str">
        <f>IF(A382="","",G382*N('Articles'!G382))</f>
        <v/>
      </c>
    </row>
    <row r="383">
      <c r="A383" s="39" t="str">
        <f>IF('Articles'!A383="","",'Articles'!A383)</f>
        <v/>
      </c>
      <c r="B383" s="39" t="str">
        <f>IF(A383="","",'Articles'!B383&amp;"")</f>
        <v/>
      </c>
      <c r="C383" s="39" t="str">
        <f>IF(A383="","",'Articles'!D383&amp;"")</f>
        <v/>
      </c>
      <c r="D383" s="39" t="str">
        <f>IF(A383="","",ROUND(N('Articles'!H383)+SUMIFS(mv_qty,mv_ref,A383,mv_type,"Entrée",mv_date,"&lt;"&amp;$E$1)-SUMIFS(mv_qty,mv_ref,A383,mv_type,"Sortie",mv_date,"&lt;"&amp;$E$1),6))</f>
        <v/>
      </c>
      <c r="E383" s="39" t="str">
        <f>IF(A383="","",SUMIFS(mv_qty,mv_ref,A383,mv_type,"Entrée",mv_date,"&gt;="&amp;$E$1,mv_date,"&lt;="&amp;$G$1))</f>
        <v/>
      </c>
      <c r="F383" s="39" t="str">
        <f>IF(A383="","",SUMIFS(mv_qty,mv_ref,A383,mv_type,"Sortie",mv_date,"&gt;="&amp;$E$1,mv_date,"&lt;="&amp;$G$1))</f>
        <v/>
      </c>
      <c r="G383" s="39" t="str">
        <f>IF(A383="","",ROUND(D383+E383-F383,6))</f>
        <v/>
      </c>
      <c r="H383" s="40" t="str">
        <f>IF(A383="","",G383*N('Articles'!G383))</f>
        <v/>
      </c>
    </row>
    <row r="384">
      <c r="A384" s="39" t="str">
        <f>IF('Articles'!A384="","",'Articles'!A384)</f>
        <v/>
      </c>
      <c r="B384" s="39" t="str">
        <f>IF(A384="","",'Articles'!B384&amp;"")</f>
        <v/>
      </c>
      <c r="C384" s="39" t="str">
        <f>IF(A384="","",'Articles'!D384&amp;"")</f>
        <v/>
      </c>
      <c r="D384" s="39" t="str">
        <f>IF(A384="","",ROUND(N('Articles'!H384)+SUMIFS(mv_qty,mv_ref,A384,mv_type,"Entrée",mv_date,"&lt;"&amp;$E$1)-SUMIFS(mv_qty,mv_ref,A384,mv_type,"Sortie",mv_date,"&lt;"&amp;$E$1),6))</f>
        <v/>
      </c>
      <c r="E384" s="39" t="str">
        <f>IF(A384="","",SUMIFS(mv_qty,mv_ref,A384,mv_type,"Entrée",mv_date,"&gt;="&amp;$E$1,mv_date,"&lt;="&amp;$G$1))</f>
        <v/>
      </c>
      <c r="F384" s="39" t="str">
        <f>IF(A384="","",SUMIFS(mv_qty,mv_ref,A384,mv_type,"Sortie",mv_date,"&gt;="&amp;$E$1,mv_date,"&lt;="&amp;$G$1))</f>
        <v/>
      </c>
      <c r="G384" s="39" t="str">
        <f>IF(A384="","",ROUND(D384+E384-F384,6))</f>
        <v/>
      </c>
      <c r="H384" s="40" t="str">
        <f>IF(A384="","",G384*N('Articles'!G384))</f>
        <v/>
      </c>
    </row>
    <row r="385">
      <c r="A385" s="39" t="str">
        <f>IF('Articles'!A385="","",'Articles'!A385)</f>
        <v/>
      </c>
      <c r="B385" s="39" t="str">
        <f>IF(A385="","",'Articles'!B385&amp;"")</f>
        <v/>
      </c>
      <c r="C385" s="39" t="str">
        <f>IF(A385="","",'Articles'!D385&amp;"")</f>
        <v/>
      </c>
      <c r="D385" s="39" t="str">
        <f>IF(A385="","",ROUND(N('Articles'!H385)+SUMIFS(mv_qty,mv_ref,A385,mv_type,"Entrée",mv_date,"&lt;"&amp;$E$1)-SUMIFS(mv_qty,mv_ref,A385,mv_type,"Sortie",mv_date,"&lt;"&amp;$E$1),6))</f>
        <v/>
      </c>
      <c r="E385" s="39" t="str">
        <f>IF(A385="","",SUMIFS(mv_qty,mv_ref,A385,mv_type,"Entrée",mv_date,"&gt;="&amp;$E$1,mv_date,"&lt;="&amp;$G$1))</f>
        <v/>
      </c>
      <c r="F385" s="39" t="str">
        <f>IF(A385="","",SUMIFS(mv_qty,mv_ref,A385,mv_type,"Sortie",mv_date,"&gt;="&amp;$E$1,mv_date,"&lt;="&amp;$G$1))</f>
        <v/>
      </c>
      <c r="G385" s="39" t="str">
        <f>IF(A385="","",ROUND(D385+E385-F385,6))</f>
        <v/>
      </c>
      <c r="H385" s="40" t="str">
        <f>IF(A385="","",G385*N('Articles'!G385))</f>
        <v/>
      </c>
    </row>
    <row r="386">
      <c r="A386" s="39" t="str">
        <f>IF('Articles'!A386="","",'Articles'!A386)</f>
        <v/>
      </c>
      <c r="B386" s="39" t="str">
        <f>IF(A386="","",'Articles'!B386&amp;"")</f>
        <v/>
      </c>
      <c r="C386" s="39" t="str">
        <f>IF(A386="","",'Articles'!D386&amp;"")</f>
        <v/>
      </c>
      <c r="D386" s="39" t="str">
        <f>IF(A386="","",ROUND(N('Articles'!H386)+SUMIFS(mv_qty,mv_ref,A386,mv_type,"Entrée",mv_date,"&lt;"&amp;$E$1)-SUMIFS(mv_qty,mv_ref,A386,mv_type,"Sortie",mv_date,"&lt;"&amp;$E$1),6))</f>
        <v/>
      </c>
      <c r="E386" s="39" t="str">
        <f>IF(A386="","",SUMIFS(mv_qty,mv_ref,A386,mv_type,"Entrée",mv_date,"&gt;="&amp;$E$1,mv_date,"&lt;="&amp;$G$1))</f>
        <v/>
      </c>
      <c r="F386" s="39" t="str">
        <f>IF(A386="","",SUMIFS(mv_qty,mv_ref,A386,mv_type,"Sortie",mv_date,"&gt;="&amp;$E$1,mv_date,"&lt;="&amp;$G$1))</f>
        <v/>
      </c>
      <c r="G386" s="39" t="str">
        <f>IF(A386="","",ROUND(D386+E386-F386,6))</f>
        <v/>
      </c>
      <c r="H386" s="40" t="str">
        <f>IF(A386="","",G386*N('Articles'!G386))</f>
        <v/>
      </c>
    </row>
    <row r="387">
      <c r="A387" s="39" t="str">
        <f>IF('Articles'!A387="","",'Articles'!A387)</f>
        <v/>
      </c>
      <c r="B387" s="39" t="str">
        <f>IF(A387="","",'Articles'!B387&amp;"")</f>
        <v/>
      </c>
      <c r="C387" s="39" t="str">
        <f>IF(A387="","",'Articles'!D387&amp;"")</f>
        <v/>
      </c>
      <c r="D387" s="39" t="str">
        <f>IF(A387="","",ROUND(N('Articles'!H387)+SUMIFS(mv_qty,mv_ref,A387,mv_type,"Entrée",mv_date,"&lt;"&amp;$E$1)-SUMIFS(mv_qty,mv_ref,A387,mv_type,"Sortie",mv_date,"&lt;"&amp;$E$1),6))</f>
        <v/>
      </c>
      <c r="E387" s="39" t="str">
        <f>IF(A387="","",SUMIFS(mv_qty,mv_ref,A387,mv_type,"Entrée",mv_date,"&gt;="&amp;$E$1,mv_date,"&lt;="&amp;$G$1))</f>
        <v/>
      </c>
      <c r="F387" s="39" t="str">
        <f>IF(A387="","",SUMIFS(mv_qty,mv_ref,A387,mv_type,"Sortie",mv_date,"&gt;="&amp;$E$1,mv_date,"&lt;="&amp;$G$1))</f>
        <v/>
      </c>
      <c r="G387" s="39" t="str">
        <f>IF(A387="","",ROUND(D387+E387-F387,6))</f>
        <v/>
      </c>
      <c r="H387" s="40" t="str">
        <f>IF(A387="","",G387*N('Articles'!G387))</f>
        <v/>
      </c>
    </row>
    <row r="388">
      <c r="A388" s="39" t="str">
        <f>IF('Articles'!A388="","",'Articles'!A388)</f>
        <v/>
      </c>
      <c r="B388" s="39" t="str">
        <f>IF(A388="","",'Articles'!B388&amp;"")</f>
        <v/>
      </c>
      <c r="C388" s="39" t="str">
        <f>IF(A388="","",'Articles'!D388&amp;"")</f>
        <v/>
      </c>
      <c r="D388" s="39" t="str">
        <f>IF(A388="","",ROUND(N('Articles'!H388)+SUMIFS(mv_qty,mv_ref,A388,mv_type,"Entrée",mv_date,"&lt;"&amp;$E$1)-SUMIFS(mv_qty,mv_ref,A388,mv_type,"Sortie",mv_date,"&lt;"&amp;$E$1),6))</f>
        <v/>
      </c>
      <c r="E388" s="39" t="str">
        <f>IF(A388="","",SUMIFS(mv_qty,mv_ref,A388,mv_type,"Entrée",mv_date,"&gt;="&amp;$E$1,mv_date,"&lt;="&amp;$G$1))</f>
        <v/>
      </c>
      <c r="F388" s="39" t="str">
        <f>IF(A388="","",SUMIFS(mv_qty,mv_ref,A388,mv_type,"Sortie",mv_date,"&gt;="&amp;$E$1,mv_date,"&lt;="&amp;$G$1))</f>
        <v/>
      </c>
      <c r="G388" s="39" t="str">
        <f>IF(A388="","",ROUND(D388+E388-F388,6))</f>
        <v/>
      </c>
      <c r="H388" s="40" t="str">
        <f>IF(A388="","",G388*N('Articles'!G388))</f>
        <v/>
      </c>
    </row>
    <row r="389">
      <c r="A389" s="39" t="str">
        <f>IF('Articles'!A389="","",'Articles'!A389)</f>
        <v/>
      </c>
      <c r="B389" s="39" t="str">
        <f>IF(A389="","",'Articles'!B389&amp;"")</f>
        <v/>
      </c>
      <c r="C389" s="39" t="str">
        <f>IF(A389="","",'Articles'!D389&amp;"")</f>
        <v/>
      </c>
      <c r="D389" s="39" t="str">
        <f>IF(A389="","",ROUND(N('Articles'!H389)+SUMIFS(mv_qty,mv_ref,A389,mv_type,"Entrée",mv_date,"&lt;"&amp;$E$1)-SUMIFS(mv_qty,mv_ref,A389,mv_type,"Sortie",mv_date,"&lt;"&amp;$E$1),6))</f>
        <v/>
      </c>
      <c r="E389" s="39" t="str">
        <f>IF(A389="","",SUMIFS(mv_qty,mv_ref,A389,mv_type,"Entrée",mv_date,"&gt;="&amp;$E$1,mv_date,"&lt;="&amp;$G$1))</f>
        <v/>
      </c>
      <c r="F389" s="39" t="str">
        <f>IF(A389="","",SUMIFS(mv_qty,mv_ref,A389,mv_type,"Sortie",mv_date,"&gt;="&amp;$E$1,mv_date,"&lt;="&amp;$G$1))</f>
        <v/>
      </c>
      <c r="G389" s="39" t="str">
        <f>IF(A389="","",ROUND(D389+E389-F389,6))</f>
        <v/>
      </c>
      <c r="H389" s="40" t="str">
        <f>IF(A389="","",G389*N('Articles'!G389))</f>
        <v/>
      </c>
    </row>
    <row r="390">
      <c r="A390" s="39" t="str">
        <f>IF('Articles'!A390="","",'Articles'!A390)</f>
        <v/>
      </c>
      <c r="B390" s="39" t="str">
        <f>IF(A390="","",'Articles'!B390&amp;"")</f>
        <v/>
      </c>
      <c r="C390" s="39" t="str">
        <f>IF(A390="","",'Articles'!D390&amp;"")</f>
        <v/>
      </c>
      <c r="D390" s="39" t="str">
        <f>IF(A390="","",ROUND(N('Articles'!H390)+SUMIFS(mv_qty,mv_ref,A390,mv_type,"Entrée",mv_date,"&lt;"&amp;$E$1)-SUMIFS(mv_qty,mv_ref,A390,mv_type,"Sortie",mv_date,"&lt;"&amp;$E$1),6))</f>
        <v/>
      </c>
      <c r="E390" s="39" t="str">
        <f>IF(A390="","",SUMIFS(mv_qty,mv_ref,A390,mv_type,"Entrée",mv_date,"&gt;="&amp;$E$1,mv_date,"&lt;="&amp;$G$1))</f>
        <v/>
      </c>
      <c r="F390" s="39" t="str">
        <f>IF(A390="","",SUMIFS(mv_qty,mv_ref,A390,mv_type,"Sortie",mv_date,"&gt;="&amp;$E$1,mv_date,"&lt;="&amp;$G$1))</f>
        <v/>
      </c>
      <c r="G390" s="39" t="str">
        <f>IF(A390="","",ROUND(D390+E390-F390,6))</f>
        <v/>
      </c>
      <c r="H390" s="40" t="str">
        <f>IF(A390="","",G390*N('Articles'!G390))</f>
        <v/>
      </c>
    </row>
    <row r="391">
      <c r="A391" s="39" t="str">
        <f>IF('Articles'!A391="","",'Articles'!A391)</f>
        <v/>
      </c>
      <c r="B391" s="39" t="str">
        <f>IF(A391="","",'Articles'!B391&amp;"")</f>
        <v/>
      </c>
      <c r="C391" s="39" t="str">
        <f>IF(A391="","",'Articles'!D391&amp;"")</f>
        <v/>
      </c>
      <c r="D391" s="39" t="str">
        <f>IF(A391="","",ROUND(N('Articles'!H391)+SUMIFS(mv_qty,mv_ref,A391,mv_type,"Entrée",mv_date,"&lt;"&amp;$E$1)-SUMIFS(mv_qty,mv_ref,A391,mv_type,"Sortie",mv_date,"&lt;"&amp;$E$1),6))</f>
        <v/>
      </c>
      <c r="E391" s="39" t="str">
        <f>IF(A391="","",SUMIFS(mv_qty,mv_ref,A391,mv_type,"Entrée",mv_date,"&gt;="&amp;$E$1,mv_date,"&lt;="&amp;$G$1))</f>
        <v/>
      </c>
      <c r="F391" s="39" t="str">
        <f>IF(A391="","",SUMIFS(mv_qty,mv_ref,A391,mv_type,"Sortie",mv_date,"&gt;="&amp;$E$1,mv_date,"&lt;="&amp;$G$1))</f>
        <v/>
      </c>
      <c r="G391" s="39" t="str">
        <f>IF(A391="","",ROUND(D391+E391-F391,6))</f>
        <v/>
      </c>
      <c r="H391" s="40" t="str">
        <f>IF(A391="","",G391*N('Articles'!G391))</f>
        <v/>
      </c>
    </row>
    <row r="392">
      <c r="A392" s="39" t="str">
        <f>IF('Articles'!A392="","",'Articles'!A392)</f>
        <v/>
      </c>
      <c r="B392" s="39" t="str">
        <f>IF(A392="","",'Articles'!B392&amp;"")</f>
        <v/>
      </c>
      <c r="C392" s="39" t="str">
        <f>IF(A392="","",'Articles'!D392&amp;"")</f>
        <v/>
      </c>
      <c r="D392" s="39" t="str">
        <f>IF(A392="","",ROUND(N('Articles'!H392)+SUMIFS(mv_qty,mv_ref,A392,mv_type,"Entrée",mv_date,"&lt;"&amp;$E$1)-SUMIFS(mv_qty,mv_ref,A392,mv_type,"Sortie",mv_date,"&lt;"&amp;$E$1),6))</f>
        <v/>
      </c>
      <c r="E392" s="39" t="str">
        <f>IF(A392="","",SUMIFS(mv_qty,mv_ref,A392,mv_type,"Entrée",mv_date,"&gt;="&amp;$E$1,mv_date,"&lt;="&amp;$G$1))</f>
        <v/>
      </c>
      <c r="F392" s="39" t="str">
        <f>IF(A392="","",SUMIFS(mv_qty,mv_ref,A392,mv_type,"Sortie",mv_date,"&gt;="&amp;$E$1,mv_date,"&lt;="&amp;$G$1))</f>
        <v/>
      </c>
      <c r="G392" s="39" t="str">
        <f>IF(A392="","",ROUND(D392+E392-F392,6))</f>
        <v/>
      </c>
      <c r="H392" s="40" t="str">
        <f>IF(A392="","",G392*N('Articles'!G392))</f>
        <v/>
      </c>
    </row>
    <row r="393">
      <c r="A393" s="39" t="str">
        <f>IF('Articles'!A393="","",'Articles'!A393)</f>
        <v/>
      </c>
      <c r="B393" s="39" t="str">
        <f>IF(A393="","",'Articles'!B393&amp;"")</f>
        <v/>
      </c>
      <c r="C393" s="39" t="str">
        <f>IF(A393="","",'Articles'!D393&amp;"")</f>
        <v/>
      </c>
      <c r="D393" s="39" t="str">
        <f>IF(A393="","",ROUND(N('Articles'!H393)+SUMIFS(mv_qty,mv_ref,A393,mv_type,"Entrée",mv_date,"&lt;"&amp;$E$1)-SUMIFS(mv_qty,mv_ref,A393,mv_type,"Sortie",mv_date,"&lt;"&amp;$E$1),6))</f>
        <v/>
      </c>
      <c r="E393" s="39" t="str">
        <f>IF(A393="","",SUMIFS(mv_qty,mv_ref,A393,mv_type,"Entrée",mv_date,"&gt;="&amp;$E$1,mv_date,"&lt;="&amp;$G$1))</f>
        <v/>
      </c>
      <c r="F393" s="39" t="str">
        <f>IF(A393="","",SUMIFS(mv_qty,mv_ref,A393,mv_type,"Sortie",mv_date,"&gt;="&amp;$E$1,mv_date,"&lt;="&amp;$G$1))</f>
        <v/>
      </c>
      <c r="G393" s="39" t="str">
        <f>IF(A393="","",ROUND(D393+E393-F393,6))</f>
        <v/>
      </c>
      <c r="H393" s="40" t="str">
        <f>IF(A393="","",G393*N('Articles'!G393))</f>
        <v/>
      </c>
    </row>
    <row r="394">
      <c r="A394" s="39" t="str">
        <f>IF('Articles'!A394="","",'Articles'!A394)</f>
        <v/>
      </c>
      <c r="B394" s="39" t="str">
        <f>IF(A394="","",'Articles'!B394&amp;"")</f>
        <v/>
      </c>
      <c r="C394" s="39" t="str">
        <f>IF(A394="","",'Articles'!D394&amp;"")</f>
        <v/>
      </c>
      <c r="D394" s="39" t="str">
        <f>IF(A394="","",ROUND(N('Articles'!H394)+SUMIFS(mv_qty,mv_ref,A394,mv_type,"Entrée",mv_date,"&lt;"&amp;$E$1)-SUMIFS(mv_qty,mv_ref,A394,mv_type,"Sortie",mv_date,"&lt;"&amp;$E$1),6))</f>
        <v/>
      </c>
      <c r="E394" s="39" t="str">
        <f>IF(A394="","",SUMIFS(mv_qty,mv_ref,A394,mv_type,"Entrée",mv_date,"&gt;="&amp;$E$1,mv_date,"&lt;="&amp;$G$1))</f>
        <v/>
      </c>
      <c r="F394" s="39" t="str">
        <f>IF(A394="","",SUMIFS(mv_qty,mv_ref,A394,mv_type,"Sortie",mv_date,"&gt;="&amp;$E$1,mv_date,"&lt;="&amp;$G$1))</f>
        <v/>
      </c>
      <c r="G394" s="39" t="str">
        <f>IF(A394="","",ROUND(D394+E394-F394,6))</f>
        <v/>
      </c>
      <c r="H394" s="40" t="str">
        <f>IF(A394="","",G394*N('Articles'!G394))</f>
        <v/>
      </c>
    </row>
    <row r="395">
      <c r="A395" s="39" t="str">
        <f>IF('Articles'!A395="","",'Articles'!A395)</f>
        <v/>
      </c>
      <c r="B395" s="39" t="str">
        <f>IF(A395="","",'Articles'!B395&amp;"")</f>
        <v/>
      </c>
      <c r="C395" s="39" t="str">
        <f>IF(A395="","",'Articles'!D395&amp;"")</f>
        <v/>
      </c>
      <c r="D395" s="39" t="str">
        <f>IF(A395="","",ROUND(N('Articles'!H395)+SUMIFS(mv_qty,mv_ref,A395,mv_type,"Entrée",mv_date,"&lt;"&amp;$E$1)-SUMIFS(mv_qty,mv_ref,A395,mv_type,"Sortie",mv_date,"&lt;"&amp;$E$1),6))</f>
        <v/>
      </c>
      <c r="E395" s="39" t="str">
        <f>IF(A395="","",SUMIFS(mv_qty,mv_ref,A395,mv_type,"Entrée",mv_date,"&gt;="&amp;$E$1,mv_date,"&lt;="&amp;$G$1))</f>
        <v/>
      </c>
      <c r="F395" s="39" t="str">
        <f>IF(A395="","",SUMIFS(mv_qty,mv_ref,A395,mv_type,"Sortie",mv_date,"&gt;="&amp;$E$1,mv_date,"&lt;="&amp;$G$1))</f>
        <v/>
      </c>
      <c r="G395" s="39" t="str">
        <f>IF(A395="","",ROUND(D395+E395-F395,6))</f>
        <v/>
      </c>
      <c r="H395" s="40" t="str">
        <f>IF(A395="","",G395*N('Articles'!G395))</f>
        <v/>
      </c>
    </row>
    <row r="396">
      <c r="A396" s="39" t="str">
        <f>IF('Articles'!A396="","",'Articles'!A396)</f>
        <v/>
      </c>
      <c r="B396" s="39" t="str">
        <f>IF(A396="","",'Articles'!B396&amp;"")</f>
        <v/>
      </c>
      <c r="C396" s="39" t="str">
        <f>IF(A396="","",'Articles'!D396&amp;"")</f>
        <v/>
      </c>
      <c r="D396" s="39" t="str">
        <f>IF(A396="","",ROUND(N('Articles'!H396)+SUMIFS(mv_qty,mv_ref,A396,mv_type,"Entrée",mv_date,"&lt;"&amp;$E$1)-SUMIFS(mv_qty,mv_ref,A396,mv_type,"Sortie",mv_date,"&lt;"&amp;$E$1),6))</f>
        <v/>
      </c>
      <c r="E396" s="39" t="str">
        <f>IF(A396="","",SUMIFS(mv_qty,mv_ref,A396,mv_type,"Entrée",mv_date,"&gt;="&amp;$E$1,mv_date,"&lt;="&amp;$G$1))</f>
        <v/>
      </c>
      <c r="F396" s="39" t="str">
        <f>IF(A396="","",SUMIFS(mv_qty,mv_ref,A396,mv_type,"Sortie",mv_date,"&gt;="&amp;$E$1,mv_date,"&lt;="&amp;$G$1))</f>
        <v/>
      </c>
      <c r="G396" s="39" t="str">
        <f>IF(A396="","",ROUND(D396+E396-F396,6))</f>
        <v/>
      </c>
      <c r="H396" s="40" t="str">
        <f>IF(A396="","",G396*N('Articles'!G396))</f>
        <v/>
      </c>
    </row>
    <row r="397">
      <c r="A397" s="39" t="str">
        <f>IF('Articles'!A397="","",'Articles'!A397)</f>
        <v/>
      </c>
      <c r="B397" s="39" t="str">
        <f>IF(A397="","",'Articles'!B397&amp;"")</f>
        <v/>
      </c>
      <c r="C397" s="39" t="str">
        <f>IF(A397="","",'Articles'!D397&amp;"")</f>
        <v/>
      </c>
      <c r="D397" s="39" t="str">
        <f>IF(A397="","",ROUND(N('Articles'!H397)+SUMIFS(mv_qty,mv_ref,A397,mv_type,"Entrée",mv_date,"&lt;"&amp;$E$1)-SUMIFS(mv_qty,mv_ref,A397,mv_type,"Sortie",mv_date,"&lt;"&amp;$E$1),6))</f>
        <v/>
      </c>
      <c r="E397" s="39" t="str">
        <f>IF(A397="","",SUMIFS(mv_qty,mv_ref,A397,mv_type,"Entrée",mv_date,"&gt;="&amp;$E$1,mv_date,"&lt;="&amp;$G$1))</f>
        <v/>
      </c>
      <c r="F397" s="39" t="str">
        <f>IF(A397="","",SUMIFS(mv_qty,mv_ref,A397,mv_type,"Sortie",mv_date,"&gt;="&amp;$E$1,mv_date,"&lt;="&amp;$G$1))</f>
        <v/>
      </c>
      <c r="G397" s="39" t="str">
        <f>IF(A397="","",ROUND(D397+E397-F397,6))</f>
        <v/>
      </c>
      <c r="H397" s="40" t="str">
        <f>IF(A397="","",G397*N('Articles'!G397))</f>
        <v/>
      </c>
    </row>
    <row r="398">
      <c r="A398" s="39" t="str">
        <f>IF('Articles'!A398="","",'Articles'!A398)</f>
        <v/>
      </c>
      <c r="B398" s="39" t="str">
        <f>IF(A398="","",'Articles'!B398&amp;"")</f>
        <v/>
      </c>
      <c r="C398" s="39" t="str">
        <f>IF(A398="","",'Articles'!D398&amp;"")</f>
        <v/>
      </c>
      <c r="D398" s="39" t="str">
        <f>IF(A398="","",ROUND(N('Articles'!H398)+SUMIFS(mv_qty,mv_ref,A398,mv_type,"Entrée",mv_date,"&lt;"&amp;$E$1)-SUMIFS(mv_qty,mv_ref,A398,mv_type,"Sortie",mv_date,"&lt;"&amp;$E$1),6))</f>
        <v/>
      </c>
      <c r="E398" s="39" t="str">
        <f>IF(A398="","",SUMIFS(mv_qty,mv_ref,A398,mv_type,"Entrée",mv_date,"&gt;="&amp;$E$1,mv_date,"&lt;="&amp;$G$1))</f>
        <v/>
      </c>
      <c r="F398" s="39" t="str">
        <f>IF(A398="","",SUMIFS(mv_qty,mv_ref,A398,mv_type,"Sortie",mv_date,"&gt;="&amp;$E$1,mv_date,"&lt;="&amp;$G$1))</f>
        <v/>
      </c>
      <c r="G398" s="39" t="str">
        <f>IF(A398="","",ROUND(D398+E398-F398,6))</f>
        <v/>
      </c>
      <c r="H398" s="40" t="str">
        <f>IF(A398="","",G398*N('Articles'!G398))</f>
        <v/>
      </c>
    </row>
    <row r="399">
      <c r="A399" s="39" t="str">
        <f>IF('Articles'!A399="","",'Articles'!A399)</f>
        <v/>
      </c>
      <c r="B399" s="39" t="str">
        <f>IF(A399="","",'Articles'!B399&amp;"")</f>
        <v/>
      </c>
      <c r="C399" s="39" t="str">
        <f>IF(A399="","",'Articles'!D399&amp;"")</f>
        <v/>
      </c>
      <c r="D399" s="39" t="str">
        <f>IF(A399="","",ROUND(N('Articles'!H399)+SUMIFS(mv_qty,mv_ref,A399,mv_type,"Entrée",mv_date,"&lt;"&amp;$E$1)-SUMIFS(mv_qty,mv_ref,A399,mv_type,"Sortie",mv_date,"&lt;"&amp;$E$1),6))</f>
        <v/>
      </c>
      <c r="E399" s="39" t="str">
        <f>IF(A399="","",SUMIFS(mv_qty,mv_ref,A399,mv_type,"Entrée",mv_date,"&gt;="&amp;$E$1,mv_date,"&lt;="&amp;$G$1))</f>
        <v/>
      </c>
      <c r="F399" s="39" t="str">
        <f>IF(A399="","",SUMIFS(mv_qty,mv_ref,A399,mv_type,"Sortie",mv_date,"&gt;="&amp;$E$1,mv_date,"&lt;="&amp;$G$1))</f>
        <v/>
      </c>
      <c r="G399" s="39" t="str">
        <f>IF(A399="","",ROUND(D399+E399-F399,6))</f>
        <v/>
      </c>
      <c r="H399" s="40" t="str">
        <f>IF(A399="","",G399*N('Articles'!G399))</f>
        <v/>
      </c>
    </row>
    <row r="400">
      <c r="A400" s="39" t="str">
        <f>IF('Articles'!A400="","",'Articles'!A400)</f>
        <v/>
      </c>
      <c r="B400" s="39" t="str">
        <f>IF(A400="","",'Articles'!B400&amp;"")</f>
        <v/>
      </c>
      <c r="C400" s="39" t="str">
        <f>IF(A400="","",'Articles'!D400&amp;"")</f>
        <v/>
      </c>
      <c r="D400" s="39" t="str">
        <f>IF(A400="","",ROUND(N('Articles'!H400)+SUMIFS(mv_qty,mv_ref,A400,mv_type,"Entrée",mv_date,"&lt;"&amp;$E$1)-SUMIFS(mv_qty,mv_ref,A400,mv_type,"Sortie",mv_date,"&lt;"&amp;$E$1),6))</f>
        <v/>
      </c>
      <c r="E400" s="39" t="str">
        <f>IF(A400="","",SUMIFS(mv_qty,mv_ref,A400,mv_type,"Entrée",mv_date,"&gt;="&amp;$E$1,mv_date,"&lt;="&amp;$G$1))</f>
        <v/>
      </c>
      <c r="F400" s="39" t="str">
        <f>IF(A400="","",SUMIFS(mv_qty,mv_ref,A400,mv_type,"Sortie",mv_date,"&gt;="&amp;$E$1,mv_date,"&lt;="&amp;$G$1))</f>
        <v/>
      </c>
      <c r="G400" s="39" t="str">
        <f>IF(A400="","",ROUND(D400+E400-F400,6))</f>
        <v/>
      </c>
      <c r="H400" s="40" t="str">
        <f>IF(A400="","",G400*N('Articles'!G400))</f>
        <v/>
      </c>
    </row>
    <row r="401">
      <c r="A401" s="39" t="str">
        <f>IF('Articles'!A401="","",'Articles'!A401)</f>
        <v/>
      </c>
      <c r="B401" s="39" t="str">
        <f>IF(A401="","",'Articles'!B401&amp;"")</f>
        <v/>
      </c>
      <c r="C401" s="39" t="str">
        <f>IF(A401="","",'Articles'!D401&amp;"")</f>
        <v/>
      </c>
      <c r="D401" s="39" t="str">
        <f>IF(A401="","",ROUND(N('Articles'!H401)+SUMIFS(mv_qty,mv_ref,A401,mv_type,"Entrée",mv_date,"&lt;"&amp;$E$1)-SUMIFS(mv_qty,mv_ref,A401,mv_type,"Sortie",mv_date,"&lt;"&amp;$E$1),6))</f>
        <v/>
      </c>
      <c r="E401" s="39" t="str">
        <f>IF(A401="","",SUMIFS(mv_qty,mv_ref,A401,mv_type,"Entrée",mv_date,"&gt;="&amp;$E$1,mv_date,"&lt;="&amp;$G$1))</f>
        <v/>
      </c>
      <c r="F401" s="39" t="str">
        <f>IF(A401="","",SUMIFS(mv_qty,mv_ref,A401,mv_type,"Sortie",mv_date,"&gt;="&amp;$E$1,mv_date,"&lt;="&amp;$G$1))</f>
        <v/>
      </c>
      <c r="G401" s="39" t="str">
        <f>IF(A401="","",ROUND(D401+E401-F401,6))</f>
        <v/>
      </c>
      <c r="H401" s="40" t="str">
        <f>IF(A401="","",G401*N('Articles'!G401))</f>
        <v/>
      </c>
    </row>
    <row r="402">
      <c r="A402" s="39" t="str">
        <f>IF('Articles'!A402="","",'Articles'!A402)</f>
        <v/>
      </c>
      <c r="B402" s="39" t="str">
        <f>IF(A402="","",'Articles'!B402&amp;"")</f>
        <v/>
      </c>
      <c r="C402" s="39" t="str">
        <f>IF(A402="","",'Articles'!D402&amp;"")</f>
        <v/>
      </c>
      <c r="D402" s="39" t="str">
        <f>IF(A402="","",ROUND(N('Articles'!H402)+SUMIFS(mv_qty,mv_ref,A402,mv_type,"Entrée",mv_date,"&lt;"&amp;$E$1)-SUMIFS(mv_qty,mv_ref,A402,mv_type,"Sortie",mv_date,"&lt;"&amp;$E$1),6))</f>
        <v/>
      </c>
      <c r="E402" s="39" t="str">
        <f>IF(A402="","",SUMIFS(mv_qty,mv_ref,A402,mv_type,"Entrée",mv_date,"&gt;="&amp;$E$1,mv_date,"&lt;="&amp;$G$1))</f>
        <v/>
      </c>
      <c r="F402" s="39" t="str">
        <f>IF(A402="","",SUMIFS(mv_qty,mv_ref,A402,mv_type,"Sortie",mv_date,"&gt;="&amp;$E$1,mv_date,"&lt;="&amp;$G$1))</f>
        <v/>
      </c>
      <c r="G402" s="39" t="str">
        <f>IF(A402="","",ROUND(D402+E402-F402,6))</f>
        <v/>
      </c>
      <c r="H402" s="40" t="str">
        <f>IF(A402="","",G402*N('Articles'!G402))</f>
        <v/>
      </c>
    </row>
    <row r="403">
      <c r="A403" s="39" t="str">
        <f>IF('Articles'!A403="","",'Articles'!A403)</f>
        <v/>
      </c>
      <c r="B403" s="39" t="str">
        <f>IF(A403="","",'Articles'!B403&amp;"")</f>
        <v/>
      </c>
      <c r="C403" s="39" t="str">
        <f>IF(A403="","",'Articles'!D403&amp;"")</f>
        <v/>
      </c>
      <c r="D403" s="39" t="str">
        <f>IF(A403="","",ROUND(N('Articles'!H403)+SUMIFS(mv_qty,mv_ref,A403,mv_type,"Entrée",mv_date,"&lt;"&amp;$E$1)-SUMIFS(mv_qty,mv_ref,A403,mv_type,"Sortie",mv_date,"&lt;"&amp;$E$1),6))</f>
        <v/>
      </c>
      <c r="E403" s="39" t="str">
        <f>IF(A403="","",SUMIFS(mv_qty,mv_ref,A403,mv_type,"Entrée",mv_date,"&gt;="&amp;$E$1,mv_date,"&lt;="&amp;$G$1))</f>
        <v/>
      </c>
      <c r="F403" s="39" t="str">
        <f>IF(A403="","",SUMIFS(mv_qty,mv_ref,A403,mv_type,"Sortie",mv_date,"&gt;="&amp;$E$1,mv_date,"&lt;="&amp;$G$1))</f>
        <v/>
      </c>
      <c r="G403" s="39" t="str">
        <f>IF(A403="","",ROUND(D403+E403-F403,6))</f>
        <v/>
      </c>
      <c r="H403" s="40" t="str">
        <f>IF(A403="","",G403*N('Articles'!G403))</f>
        <v/>
      </c>
    </row>
    <row r="404">
      <c r="A404" s="39" t="str">
        <f>IF('Articles'!A404="","",'Articles'!A404)</f>
        <v/>
      </c>
      <c r="B404" s="39" t="str">
        <f>IF(A404="","",'Articles'!B404&amp;"")</f>
        <v/>
      </c>
      <c r="C404" s="39" t="str">
        <f>IF(A404="","",'Articles'!D404&amp;"")</f>
        <v/>
      </c>
      <c r="D404" s="39" t="str">
        <f>IF(A404="","",ROUND(N('Articles'!H404)+SUMIFS(mv_qty,mv_ref,A404,mv_type,"Entrée",mv_date,"&lt;"&amp;$E$1)-SUMIFS(mv_qty,mv_ref,A404,mv_type,"Sortie",mv_date,"&lt;"&amp;$E$1),6))</f>
        <v/>
      </c>
      <c r="E404" s="39" t="str">
        <f>IF(A404="","",SUMIFS(mv_qty,mv_ref,A404,mv_type,"Entrée",mv_date,"&gt;="&amp;$E$1,mv_date,"&lt;="&amp;$G$1))</f>
        <v/>
      </c>
      <c r="F404" s="39" t="str">
        <f>IF(A404="","",SUMIFS(mv_qty,mv_ref,A404,mv_type,"Sortie",mv_date,"&gt;="&amp;$E$1,mv_date,"&lt;="&amp;$G$1))</f>
        <v/>
      </c>
      <c r="G404" s="39" t="str">
        <f>IF(A404="","",ROUND(D404+E404-F404,6))</f>
        <v/>
      </c>
      <c r="H404" s="40" t="str">
        <f>IF(A404="","",G404*N('Articles'!G404))</f>
        <v/>
      </c>
    </row>
    <row r="405">
      <c r="A405" s="39" t="str">
        <f>IF('Articles'!A405="","",'Articles'!A405)</f>
        <v/>
      </c>
      <c r="B405" s="39" t="str">
        <f>IF(A405="","",'Articles'!B405&amp;"")</f>
        <v/>
      </c>
      <c r="C405" s="39" t="str">
        <f>IF(A405="","",'Articles'!D405&amp;"")</f>
        <v/>
      </c>
      <c r="D405" s="39" t="str">
        <f>IF(A405="","",ROUND(N('Articles'!H405)+SUMIFS(mv_qty,mv_ref,A405,mv_type,"Entrée",mv_date,"&lt;"&amp;$E$1)-SUMIFS(mv_qty,mv_ref,A405,mv_type,"Sortie",mv_date,"&lt;"&amp;$E$1),6))</f>
        <v/>
      </c>
      <c r="E405" s="39" t="str">
        <f>IF(A405="","",SUMIFS(mv_qty,mv_ref,A405,mv_type,"Entrée",mv_date,"&gt;="&amp;$E$1,mv_date,"&lt;="&amp;$G$1))</f>
        <v/>
      </c>
      <c r="F405" s="39" t="str">
        <f>IF(A405="","",SUMIFS(mv_qty,mv_ref,A405,mv_type,"Sortie",mv_date,"&gt;="&amp;$E$1,mv_date,"&lt;="&amp;$G$1))</f>
        <v/>
      </c>
      <c r="G405" s="39" t="str">
        <f>IF(A405="","",ROUND(D405+E405-F405,6))</f>
        <v/>
      </c>
      <c r="H405" s="40" t="str">
        <f>IF(A405="","",G405*N('Articles'!G405))</f>
        <v/>
      </c>
    </row>
    <row r="406">
      <c r="A406" s="39" t="str">
        <f>IF('Articles'!A406="","",'Articles'!A406)</f>
        <v/>
      </c>
      <c r="B406" s="39" t="str">
        <f>IF(A406="","",'Articles'!B406&amp;"")</f>
        <v/>
      </c>
      <c r="C406" s="39" t="str">
        <f>IF(A406="","",'Articles'!D406&amp;"")</f>
        <v/>
      </c>
      <c r="D406" s="39" t="str">
        <f>IF(A406="","",ROUND(N('Articles'!H406)+SUMIFS(mv_qty,mv_ref,A406,mv_type,"Entrée",mv_date,"&lt;"&amp;$E$1)-SUMIFS(mv_qty,mv_ref,A406,mv_type,"Sortie",mv_date,"&lt;"&amp;$E$1),6))</f>
        <v/>
      </c>
      <c r="E406" s="39" t="str">
        <f>IF(A406="","",SUMIFS(mv_qty,mv_ref,A406,mv_type,"Entrée",mv_date,"&gt;="&amp;$E$1,mv_date,"&lt;="&amp;$G$1))</f>
        <v/>
      </c>
      <c r="F406" s="39" t="str">
        <f>IF(A406="","",SUMIFS(mv_qty,mv_ref,A406,mv_type,"Sortie",mv_date,"&gt;="&amp;$E$1,mv_date,"&lt;="&amp;$G$1))</f>
        <v/>
      </c>
      <c r="G406" s="39" t="str">
        <f>IF(A406="","",ROUND(D406+E406-F406,6))</f>
        <v/>
      </c>
      <c r="H406" s="40" t="str">
        <f>IF(A406="","",G406*N('Articles'!G406))</f>
        <v/>
      </c>
    </row>
    <row r="407">
      <c r="A407" s="39" t="str">
        <f>IF('Articles'!A407="","",'Articles'!A407)</f>
        <v/>
      </c>
      <c r="B407" s="39" t="str">
        <f>IF(A407="","",'Articles'!B407&amp;"")</f>
        <v/>
      </c>
      <c r="C407" s="39" t="str">
        <f>IF(A407="","",'Articles'!D407&amp;"")</f>
        <v/>
      </c>
      <c r="D407" s="39" t="str">
        <f>IF(A407="","",ROUND(N('Articles'!H407)+SUMIFS(mv_qty,mv_ref,A407,mv_type,"Entrée",mv_date,"&lt;"&amp;$E$1)-SUMIFS(mv_qty,mv_ref,A407,mv_type,"Sortie",mv_date,"&lt;"&amp;$E$1),6))</f>
        <v/>
      </c>
      <c r="E407" s="39" t="str">
        <f>IF(A407="","",SUMIFS(mv_qty,mv_ref,A407,mv_type,"Entrée",mv_date,"&gt;="&amp;$E$1,mv_date,"&lt;="&amp;$G$1))</f>
        <v/>
      </c>
      <c r="F407" s="39" t="str">
        <f>IF(A407="","",SUMIFS(mv_qty,mv_ref,A407,mv_type,"Sortie",mv_date,"&gt;="&amp;$E$1,mv_date,"&lt;="&amp;$G$1))</f>
        <v/>
      </c>
      <c r="G407" s="39" t="str">
        <f>IF(A407="","",ROUND(D407+E407-F407,6))</f>
        <v/>
      </c>
      <c r="H407" s="40" t="str">
        <f>IF(A407="","",G407*N('Articles'!G407))</f>
        <v/>
      </c>
    </row>
    <row r="408">
      <c r="A408" s="39" t="str">
        <f>IF('Articles'!A408="","",'Articles'!A408)</f>
        <v/>
      </c>
      <c r="B408" s="39" t="str">
        <f>IF(A408="","",'Articles'!B408&amp;"")</f>
        <v/>
      </c>
      <c r="C408" s="39" t="str">
        <f>IF(A408="","",'Articles'!D408&amp;"")</f>
        <v/>
      </c>
      <c r="D408" s="39" t="str">
        <f>IF(A408="","",ROUND(N('Articles'!H408)+SUMIFS(mv_qty,mv_ref,A408,mv_type,"Entrée",mv_date,"&lt;"&amp;$E$1)-SUMIFS(mv_qty,mv_ref,A408,mv_type,"Sortie",mv_date,"&lt;"&amp;$E$1),6))</f>
        <v/>
      </c>
      <c r="E408" s="39" t="str">
        <f>IF(A408="","",SUMIFS(mv_qty,mv_ref,A408,mv_type,"Entrée",mv_date,"&gt;="&amp;$E$1,mv_date,"&lt;="&amp;$G$1))</f>
        <v/>
      </c>
      <c r="F408" s="39" t="str">
        <f>IF(A408="","",SUMIFS(mv_qty,mv_ref,A408,mv_type,"Sortie",mv_date,"&gt;="&amp;$E$1,mv_date,"&lt;="&amp;$G$1))</f>
        <v/>
      </c>
      <c r="G408" s="39" t="str">
        <f>IF(A408="","",ROUND(D408+E408-F408,6))</f>
        <v/>
      </c>
      <c r="H408" s="40" t="str">
        <f>IF(A408="","",G408*N('Articles'!G408))</f>
        <v/>
      </c>
    </row>
    <row r="409">
      <c r="A409" s="39" t="str">
        <f>IF('Articles'!A409="","",'Articles'!A409)</f>
        <v/>
      </c>
      <c r="B409" s="39" t="str">
        <f>IF(A409="","",'Articles'!B409&amp;"")</f>
        <v/>
      </c>
      <c r="C409" s="39" t="str">
        <f>IF(A409="","",'Articles'!D409&amp;"")</f>
        <v/>
      </c>
      <c r="D409" s="39" t="str">
        <f>IF(A409="","",ROUND(N('Articles'!H409)+SUMIFS(mv_qty,mv_ref,A409,mv_type,"Entrée",mv_date,"&lt;"&amp;$E$1)-SUMIFS(mv_qty,mv_ref,A409,mv_type,"Sortie",mv_date,"&lt;"&amp;$E$1),6))</f>
        <v/>
      </c>
      <c r="E409" s="39" t="str">
        <f>IF(A409="","",SUMIFS(mv_qty,mv_ref,A409,mv_type,"Entrée",mv_date,"&gt;="&amp;$E$1,mv_date,"&lt;="&amp;$G$1))</f>
        <v/>
      </c>
      <c r="F409" s="39" t="str">
        <f>IF(A409="","",SUMIFS(mv_qty,mv_ref,A409,mv_type,"Sortie",mv_date,"&gt;="&amp;$E$1,mv_date,"&lt;="&amp;$G$1))</f>
        <v/>
      </c>
      <c r="G409" s="39" t="str">
        <f>IF(A409="","",ROUND(D409+E409-F409,6))</f>
        <v/>
      </c>
      <c r="H409" s="40" t="str">
        <f>IF(A409="","",G409*N('Articles'!G409))</f>
        <v/>
      </c>
    </row>
    <row r="410">
      <c r="A410" s="39" t="str">
        <f>IF('Articles'!A410="","",'Articles'!A410)</f>
        <v/>
      </c>
      <c r="B410" s="39" t="str">
        <f>IF(A410="","",'Articles'!B410&amp;"")</f>
        <v/>
      </c>
      <c r="C410" s="39" t="str">
        <f>IF(A410="","",'Articles'!D410&amp;"")</f>
        <v/>
      </c>
      <c r="D410" s="39" t="str">
        <f>IF(A410="","",ROUND(N('Articles'!H410)+SUMIFS(mv_qty,mv_ref,A410,mv_type,"Entrée",mv_date,"&lt;"&amp;$E$1)-SUMIFS(mv_qty,mv_ref,A410,mv_type,"Sortie",mv_date,"&lt;"&amp;$E$1),6))</f>
        <v/>
      </c>
      <c r="E410" s="39" t="str">
        <f>IF(A410="","",SUMIFS(mv_qty,mv_ref,A410,mv_type,"Entrée",mv_date,"&gt;="&amp;$E$1,mv_date,"&lt;="&amp;$G$1))</f>
        <v/>
      </c>
      <c r="F410" s="39" t="str">
        <f>IF(A410="","",SUMIFS(mv_qty,mv_ref,A410,mv_type,"Sortie",mv_date,"&gt;="&amp;$E$1,mv_date,"&lt;="&amp;$G$1))</f>
        <v/>
      </c>
      <c r="G410" s="39" t="str">
        <f>IF(A410="","",ROUND(D410+E410-F410,6))</f>
        <v/>
      </c>
      <c r="H410" s="40" t="str">
        <f>IF(A410="","",G410*N('Articles'!G410))</f>
        <v/>
      </c>
    </row>
    <row r="411">
      <c r="A411" s="39" t="str">
        <f>IF('Articles'!A411="","",'Articles'!A411)</f>
        <v/>
      </c>
      <c r="B411" s="39" t="str">
        <f>IF(A411="","",'Articles'!B411&amp;"")</f>
        <v/>
      </c>
      <c r="C411" s="39" t="str">
        <f>IF(A411="","",'Articles'!D411&amp;"")</f>
        <v/>
      </c>
      <c r="D411" s="39" t="str">
        <f>IF(A411="","",ROUND(N('Articles'!H411)+SUMIFS(mv_qty,mv_ref,A411,mv_type,"Entrée",mv_date,"&lt;"&amp;$E$1)-SUMIFS(mv_qty,mv_ref,A411,mv_type,"Sortie",mv_date,"&lt;"&amp;$E$1),6))</f>
        <v/>
      </c>
      <c r="E411" s="39" t="str">
        <f>IF(A411="","",SUMIFS(mv_qty,mv_ref,A411,mv_type,"Entrée",mv_date,"&gt;="&amp;$E$1,mv_date,"&lt;="&amp;$G$1))</f>
        <v/>
      </c>
      <c r="F411" s="39" t="str">
        <f>IF(A411="","",SUMIFS(mv_qty,mv_ref,A411,mv_type,"Sortie",mv_date,"&gt;="&amp;$E$1,mv_date,"&lt;="&amp;$G$1))</f>
        <v/>
      </c>
      <c r="G411" s="39" t="str">
        <f>IF(A411="","",ROUND(D411+E411-F411,6))</f>
        <v/>
      </c>
      <c r="H411" s="40" t="str">
        <f>IF(A411="","",G411*N('Articles'!G411))</f>
        <v/>
      </c>
    </row>
    <row r="412">
      <c r="A412" s="39" t="str">
        <f>IF('Articles'!A412="","",'Articles'!A412)</f>
        <v/>
      </c>
      <c r="B412" s="39" t="str">
        <f>IF(A412="","",'Articles'!B412&amp;"")</f>
        <v/>
      </c>
      <c r="C412" s="39" t="str">
        <f>IF(A412="","",'Articles'!D412&amp;"")</f>
        <v/>
      </c>
      <c r="D412" s="39" t="str">
        <f>IF(A412="","",ROUND(N('Articles'!H412)+SUMIFS(mv_qty,mv_ref,A412,mv_type,"Entrée",mv_date,"&lt;"&amp;$E$1)-SUMIFS(mv_qty,mv_ref,A412,mv_type,"Sortie",mv_date,"&lt;"&amp;$E$1),6))</f>
        <v/>
      </c>
      <c r="E412" s="39" t="str">
        <f>IF(A412="","",SUMIFS(mv_qty,mv_ref,A412,mv_type,"Entrée",mv_date,"&gt;="&amp;$E$1,mv_date,"&lt;="&amp;$G$1))</f>
        <v/>
      </c>
      <c r="F412" s="39" t="str">
        <f>IF(A412="","",SUMIFS(mv_qty,mv_ref,A412,mv_type,"Sortie",mv_date,"&gt;="&amp;$E$1,mv_date,"&lt;="&amp;$G$1))</f>
        <v/>
      </c>
      <c r="G412" s="39" t="str">
        <f>IF(A412="","",ROUND(D412+E412-F412,6))</f>
        <v/>
      </c>
      <c r="H412" s="40" t="str">
        <f>IF(A412="","",G412*N('Articles'!G412))</f>
        <v/>
      </c>
    </row>
    <row r="413">
      <c r="A413" s="39" t="str">
        <f>IF('Articles'!A413="","",'Articles'!A413)</f>
        <v/>
      </c>
      <c r="B413" s="39" t="str">
        <f>IF(A413="","",'Articles'!B413&amp;"")</f>
        <v/>
      </c>
      <c r="C413" s="39" t="str">
        <f>IF(A413="","",'Articles'!D413&amp;"")</f>
        <v/>
      </c>
      <c r="D413" s="39" t="str">
        <f>IF(A413="","",ROUND(N('Articles'!H413)+SUMIFS(mv_qty,mv_ref,A413,mv_type,"Entrée",mv_date,"&lt;"&amp;$E$1)-SUMIFS(mv_qty,mv_ref,A413,mv_type,"Sortie",mv_date,"&lt;"&amp;$E$1),6))</f>
        <v/>
      </c>
      <c r="E413" s="39" t="str">
        <f>IF(A413="","",SUMIFS(mv_qty,mv_ref,A413,mv_type,"Entrée",mv_date,"&gt;="&amp;$E$1,mv_date,"&lt;="&amp;$G$1))</f>
        <v/>
      </c>
      <c r="F413" s="39" t="str">
        <f>IF(A413="","",SUMIFS(mv_qty,mv_ref,A413,mv_type,"Sortie",mv_date,"&gt;="&amp;$E$1,mv_date,"&lt;="&amp;$G$1))</f>
        <v/>
      </c>
      <c r="G413" s="39" t="str">
        <f>IF(A413="","",ROUND(D413+E413-F413,6))</f>
        <v/>
      </c>
      <c r="H413" s="40" t="str">
        <f>IF(A413="","",G413*N('Articles'!G413))</f>
        <v/>
      </c>
    </row>
    <row r="414">
      <c r="A414" s="39" t="str">
        <f>IF('Articles'!A414="","",'Articles'!A414)</f>
        <v/>
      </c>
      <c r="B414" s="39" t="str">
        <f>IF(A414="","",'Articles'!B414&amp;"")</f>
        <v/>
      </c>
      <c r="C414" s="39" t="str">
        <f>IF(A414="","",'Articles'!D414&amp;"")</f>
        <v/>
      </c>
      <c r="D414" s="39" t="str">
        <f>IF(A414="","",ROUND(N('Articles'!H414)+SUMIFS(mv_qty,mv_ref,A414,mv_type,"Entrée",mv_date,"&lt;"&amp;$E$1)-SUMIFS(mv_qty,mv_ref,A414,mv_type,"Sortie",mv_date,"&lt;"&amp;$E$1),6))</f>
        <v/>
      </c>
      <c r="E414" s="39" t="str">
        <f>IF(A414="","",SUMIFS(mv_qty,mv_ref,A414,mv_type,"Entrée",mv_date,"&gt;="&amp;$E$1,mv_date,"&lt;="&amp;$G$1))</f>
        <v/>
      </c>
      <c r="F414" s="39" t="str">
        <f>IF(A414="","",SUMIFS(mv_qty,mv_ref,A414,mv_type,"Sortie",mv_date,"&gt;="&amp;$E$1,mv_date,"&lt;="&amp;$G$1))</f>
        <v/>
      </c>
      <c r="G414" s="39" t="str">
        <f>IF(A414="","",ROUND(D414+E414-F414,6))</f>
        <v/>
      </c>
      <c r="H414" s="40" t="str">
        <f>IF(A414="","",G414*N('Articles'!G414))</f>
        <v/>
      </c>
    </row>
    <row r="415">
      <c r="A415" s="39" t="str">
        <f>IF('Articles'!A415="","",'Articles'!A415)</f>
        <v/>
      </c>
      <c r="B415" s="39" t="str">
        <f>IF(A415="","",'Articles'!B415&amp;"")</f>
        <v/>
      </c>
      <c r="C415" s="39" t="str">
        <f>IF(A415="","",'Articles'!D415&amp;"")</f>
        <v/>
      </c>
      <c r="D415" s="39" t="str">
        <f>IF(A415="","",ROUND(N('Articles'!H415)+SUMIFS(mv_qty,mv_ref,A415,mv_type,"Entrée",mv_date,"&lt;"&amp;$E$1)-SUMIFS(mv_qty,mv_ref,A415,mv_type,"Sortie",mv_date,"&lt;"&amp;$E$1),6))</f>
        <v/>
      </c>
      <c r="E415" s="39" t="str">
        <f>IF(A415="","",SUMIFS(mv_qty,mv_ref,A415,mv_type,"Entrée",mv_date,"&gt;="&amp;$E$1,mv_date,"&lt;="&amp;$G$1))</f>
        <v/>
      </c>
      <c r="F415" s="39" t="str">
        <f>IF(A415="","",SUMIFS(mv_qty,mv_ref,A415,mv_type,"Sortie",mv_date,"&gt;="&amp;$E$1,mv_date,"&lt;="&amp;$G$1))</f>
        <v/>
      </c>
      <c r="G415" s="39" t="str">
        <f>IF(A415="","",ROUND(D415+E415-F415,6))</f>
        <v/>
      </c>
      <c r="H415" s="40" t="str">
        <f>IF(A415="","",G415*N('Articles'!G415))</f>
        <v/>
      </c>
    </row>
    <row r="416">
      <c r="A416" s="39" t="str">
        <f>IF('Articles'!A416="","",'Articles'!A416)</f>
        <v/>
      </c>
      <c r="B416" s="39" t="str">
        <f>IF(A416="","",'Articles'!B416&amp;"")</f>
        <v/>
      </c>
      <c r="C416" s="39" t="str">
        <f>IF(A416="","",'Articles'!D416&amp;"")</f>
        <v/>
      </c>
      <c r="D416" s="39" t="str">
        <f>IF(A416="","",ROUND(N('Articles'!H416)+SUMIFS(mv_qty,mv_ref,A416,mv_type,"Entrée",mv_date,"&lt;"&amp;$E$1)-SUMIFS(mv_qty,mv_ref,A416,mv_type,"Sortie",mv_date,"&lt;"&amp;$E$1),6))</f>
        <v/>
      </c>
      <c r="E416" s="39" t="str">
        <f>IF(A416="","",SUMIFS(mv_qty,mv_ref,A416,mv_type,"Entrée",mv_date,"&gt;="&amp;$E$1,mv_date,"&lt;="&amp;$G$1))</f>
        <v/>
      </c>
      <c r="F416" s="39" t="str">
        <f>IF(A416="","",SUMIFS(mv_qty,mv_ref,A416,mv_type,"Sortie",mv_date,"&gt;="&amp;$E$1,mv_date,"&lt;="&amp;$G$1))</f>
        <v/>
      </c>
      <c r="G416" s="39" t="str">
        <f>IF(A416="","",ROUND(D416+E416-F416,6))</f>
        <v/>
      </c>
      <c r="H416" s="40" t="str">
        <f>IF(A416="","",G416*N('Articles'!G416))</f>
        <v/>
      </c>
    </row>
    <row r="417">
      <c r="A417" s="39" t="str">
        <f>IF('Articles'!A417="","",'Articles'!A417)</f>
        <v/>
      </c>
      <c r="B417" s="39" t="str">
        <f>IF(A417="","",'Articles'!B417&amp;"")</f>
        <v/>
      </c>
      <c r="C417" s="39" t="str">
        <f>IF(A417="","",'Articles'!D417&amp;"")</f>
        <v/>
      </c>
      <c r="D417" s="39" t="str">
        <f>IF(A417="","",ROUND(N('Articles'!H417)+SUMIFS(mv_qty,mv_ref,A417,mv_type,"Entrée",mv_date,"&lt;"&amp;$E$1)-SUMIFS(mv_qty,mv_ref,A417,mv_type,"Sortie",mv_date,"&lt;"&amp;$E$1),6))</f>
        <v/>
      </c>
      <c r="E417" s="39" t="str">
        <f>IF(A417="","",SUMIFS(mv_qty,mv_ref,A417,mv_type,"Entrée",mv_date,"&gt;="&amp;$E$1,mv_date,"&lt;="&amp;$G$1))</f>
        <v/>
      </c>
      <c r="F417" s="39" t="str">
        <f>IF(A417="","",SUMIFS(mv_qty,mv_ref,A417,mv_type,"Sortie",mv_date,"&gt;="&amp;$E$1,mv_date,"&lt;="&amp;$G$1))</f>
        <v/>
      </c>
      <c r="G417" s="39" t="str">
        <f>IF(A417="","",ROUND(D417+E417-F417,6))</f>
        <v/>
      </c>
      <c r="H417" s="40" t="str">
        <f>IF(A417="","",G417*N('Articles'!G417))</f>
        <v/>
      </c>
    </row>
    <row r="418">
      <c r="A418" s="39" t="str">
        <f>IF('Articles'!A418="","",'Articles'!A418)</f>
        <v/>
      </c>
      <c r="B418" s="39" t="str">
        <f>IF(A418="","",'Articles'!B418&amp;"")</f>
        <v/>
      </c>
      <c r="C418" s="39" t="str">
        <f>IF(A418="","",'Articles'!D418&amp;"")</f>
        <v/>
      </c>
      <c r="D418" s="39" t="str">
        <f>IF(A418="","",ROUND(N('Articles'!H418)+SUMIFS(mv_qty,mv_ref,A418,mv_type,"Entrée",mv_date,"&lt;"&amp;$E$1)-SUMIFS(mv_qty,mv_ref,A418,mv_type,"Sortie",mv_date,"&lt;"&amp;$E$1),6))</f>
        <v/>
      </c>
      <c r="E418" s="39" t="str">
        <f>IF(A418="","",SUMIFS(mv_qty,mv_ref,A418,mv_type,"Entrée",mv_date,"&gt;="&amp;$E$1,mv_date,"&lt;="&amp;$G$1))</f>
        <v/>
      </c>
      <c r="F418" s="39" t="str">
        <f>IF(A418="","",SUMIFS(mv_qty,mv_ref,A418,mv_type,"Sortie",mv_date,"&gt;="&amp;$E$1,mv_date,"&lt;="&amp;$G$1))</f>
        <v/>
      </c>
      <c r="G418" s="39" t="str">
        <f>IF(A418="","",ROUND(D418+E418-F418,6))</f>
        <v/>
      </c>
      <c r="H418" s="40" t="str">
        <f>IF(A418="","",G418*N('Articles'!G418))</f>
        <v/>
      </c>
    </row>
    <row r="419">
      <c r="A419" s="39" t="str">
        <f>IF('Articles'!A419="","",'Articles'!A419)</f>
        <v/>
      </c>
      <c r="B419" s="39" t="str">
        <f>IF(A419="","",'Articles'!B419&amp;"")</f>
        <v/>
      </c>
      <c r="C419" s="39" t="str">
        <f>IF(A419="","",'Articles'!D419&amp;"")</f>
        <v/>
      </c>
      <c r="D419" s="39" t="str">
        <f>IF(A419="","",ROUND(N('Articles'!H419)+SUMIFS(mv_qty,mv_ref,A419,mv_type,"Entrée",mv_date,"&lt;"&amp;$E$1)-SUMIFS(mv_qty,mv_ref,A419,mv_type,"Sortie",mv_date,"&lt;"&amp;$E$1),6))</f>
        <v/>
      </c>
      <c r="E419" s="39" t="str">
        <f>IF(A419="","",SUMIFS(mv_qty,mv_ref,A419,mv_type,"Entrée",mv_date,"&gt;="&amp;$E$1,mv_date,"&lt;="&amp;$G$1))</f>
        <v/>
      </c>
      <c r="F419" s="39" t="str">
        <f>IF(A419="","",SUMIFS(mv_qty,mv_ref,A419,mv_type,"Sortie",mv_date,"&gt;="&amp;$E$1,mv_date,"&lt;="&amp;$G$1))</f>
        <v/>
      </c>
      <c r="G419" s="39" t="str">
        <f>IF(A419="","",ROUND(D419+E419-F419,6))</f>
        <v/>
      </c>
      <c r="H419" s="40" t="str">
        <f>IF(A419="","",G419*N('Articles'!G419))</f>
        <v/>
      </c>
    </row>
    <row r="420">
      <c r="A420" s="39" t="str">
        <f>IF('Articles'!A420="","",'Articles'!A420)</f>
        <v/>
      </c>
      <c r="B420" s="39" t="str">
        <f>IF(A420="","",'Articles'!B420&amp;"")</f>
        <v/>
      </c>
      <c r="C420" s="39" t="str">
        <f>IF(A420="","",'Articles'!D420&amp;"")</f>
        <v/>
      </c>
      <c r="D420" s="39" t="str">
        <f>IF(A420="","",ROUND(N('Articles'!H420)+SUMIFS(mv_qty,mv_ref,A420,mv_type,"Entrée",mv_date,"&lt;"&amp;$E$1)-SUMIFS(mv_qty,mv_ref,A420,mv_type,"Sortie",mv_date,"&lt;"&amp;$E$1),6))</f>
        <v/>
      </c>
      <c r="E420" s="39" t="str">
        <f>IF(A420="","",SUMIFS(mv_qty,mv_ref,A420,mv_type,"Entrée",mv_date,"&gt;="&amp;$E$1,mv_date,"&lt;="&amp;$G$1))</f>
        <v/>
      </c>
      <c r="F420" s="39" t="str">
        <f>IF(A420="","",SUMIFS(mv_qty,mv_ref,A420,mv_type,"Sortie",mv_date,"&gt;="&amp;$E$1,mv_date,"&lt;="&amp;$G$1))</f>
        <v/>
      </c>
      <c r="G420" s="39" t="str">
        <f>IF(A420="","",ROUND(D420+E420-F420,6))</f>
        <v/>
      </c>
      <c r="H420" s="40" t="str">
        <f>IF(A420="","",G420*N('Articles'!G420))</f>
        <v/>
      </c>
    </row>
    <row r="421">
      <c r="A421" s="39" t="str">
        <f>IF('Articles'!A421="","",'Articles'!A421)</f>
        <v/>
      </c>
      <c r="B421" s="39" t="str">
        <f>IF(A421="","",'Articles'!B421&amp;"")</f>
        <v/>
      </c>
      <c r="C421" s="39" t="str">
        <f>IF(A421="","",'Articles'!D421&amp;"")</f>
        <v/>
      </c>
      <c r="D421" s="39" t="str">
        <f>IF(A421="","",ROUND(N('Articles'!H421)+SUMIFS(mv_qty,mv_ref,A421,mv_type,"Entrée",mv_date,"&lt;"&amp;$E$1)-SUMIFS(mv_qty,mv_ref,A421,mv_type,"Sortie",mv_date,"&lt;"&amp;$E$1),6))</f>
        <v/>
      </c>
      <c r="E421" s="39" t="str">
        <f>IF(A421="","",SUMIFS(mv_qty,mv_ref,A421,mv_type,"Entrée",mv_date,"&gt;="&amp;$E$1,mv_date,"&lt;="&amp;$G$1))</f>
        <v/>
      </c>
      <c r="F421" s="39" t="str">
        <f>IF(A421="","",SUMIFS(mv_qty,mv_ref,A421,mv_type,"Sortie",mv_date,"&gt;="&amp;$E$1,mv_date,"&lt;="&amp;$G$1))</f>
        <v/>
      </c>
      <c r="G421" s="39" t="str">
        <f>IF(A421="","",ROUND(D421+E421-F421,6))</f>
        <v/>
      </c>
      <c r="H421" s="40" t="str">
        <f>IF(A421="","",G421*N('Articles'!G421))</f>
        <v/>
      </c>
    </row>
    <row r="422">
      <c r="A422" s="39" t="str">
        <f>IF('Articles'!A422="","",'Articles'!A422)</f>
        <v/>
      </c>
      <c r="B422" s="39" t="str">
        <f>IF(A422="","",'Articles'!B422&amp;"")</f>
        <v/>
      </c>
      <c r="C422" s="39" t="str">
        <f>IF(A422="","",'Articles'!D422&amp;"")</f>
        <v/>
      </c>
      <c r="D422" s="39" t="str">
        <f>IF(A422="","",ROUND(N('Articles'!H422)+SUMIFS(mv_qty,mv_ref,A422,mv_type,"Entrée",mv_date,"&lt;"&amp;$E$1)-SUMIFS(mv_qty,mv_ref,A422,mv_type,"Sortie",mv_date,"&lt;"&amp;$E$1),6))</f>
        <v/>
      </c>
      <c r="E422" s="39" t="str">
        <f>IF(A422="","",SUMIFS(mv_qty,mv_ref,A422,mv_type,"Entrée",mv_date,"&gt;="&amp;$E$1,mv_date,"&lt;="&amp;$G$1))</f>
        <v/>
      </c>
      <c r="F422" s="39" t="str">
        <f>IF(A422="","",SUMIFS(mv_qty,mv_ref,A422,mv_type,"Sortie",mv_date,"&gt;="&amp;$E$1,mv_date,"&lt;="&amp;$G$1))</f>
        <v/>
      </c>
      <c r="G422" s="39" t="str">
        <f>IF(A422="","",ROUND(D422+E422-F422,6))</f>
        <v/>
      </c>
      <c r="H422" s="40" t="str">
        <f>IF(A422="","",G422*N('Articles'!G422))</f>
        <v/>
      </c>
    </row>
    <row r="423">
      <c r="A423" s="39" t="str">
        <f>IF('Articles'!A423="","",'Articles'!A423)</f>
        <v/>
      </c>
      <c r="B423" s="39" t="str">
        <f>IF(A423="","",'Articles'!B423&amp;"")</f>
        <v/>
      </c>
      <c r="C423" s="39" t="str">
        <f>IF(A423="","",'Articles'!D423&amp;"")</f>
        <v/>
      </c>
      <c r="D423" s="39" t="str">
        <f>IF(A423="","",ROUND(N('Articles'!H423)+SUMIFS(mv_qty,mv_ref,A423,mv_type,"Entrée",mv_date,"&lt;"&amp;$E$1)-SUMIFS(mv_qty,mv_ref,A423,mv_type,"Sortie",mv_date,"&lt;"&amp;$E$1),6))</f>
        <v/>
      </c>
      <c r="E423" s="39" t="str">
        <f>IF(A423="","",SUMIFS(mv_qty,mv_ref,A423,mv_type,"Entrée",mv_date,"&gt;="&amp;$E$1,mv_date,"&lt;="&amp;$G$1))</f>
        <v/>
      </c>
      <c r="F423" s="39" t="str">
        <f>IF(A423="","",SUMIFS(mv_qty,mv_ref,A423,mv_type,"Sortie",mv_date,"&gt;="&amp;$E$1,mv_date,"&lt;="&amp;$G$1))</f>
        <v/>
      </c>
      <c r="G423" s="39" t="str">
        <f>IF(A423="","",ROUND(D423+E423-F423,6))</f>
        <v/>
      </c>
      <c r="H423" s="40" t="str">
        <f>IF(A423="","",G423*N('Articles'!G423))</f>
        <v/>
      </c>
    </row>
    <row r="424">
      <c r="A424" s="39" t="str">
        <f>IF('Articles'!A424="","",'Articles'!A424)</f>
        <v/>
      </c>
      <c r="B424" s="39" t="str">
        <f>IF(A424="","",'Articles'!B424&amp;"")</f>
        <v/>
      </c>
      <c r="C424" s="39" t="str">
        <f>IF(A424="","",'Articles'!D424&amp;"")</f>
        <v/>
      </c>
      <c r="D424" s="39" t="str">
        <f>IF(A424="","",ROUND(N('Articles'!H424)+SUMIFS(mv_qty,mv_ref,A424,mv_type,"Entrée",mv_date,"&lt;"&amp;$E$1)-SUMIFS(mv_qty,mv_ref,A424,mv_type,"Sortie",mv_date,"&lt;"&amp;$E$1),6))</f>
        <v/>
      </c>
      <c r="E424" s="39" t="str">
        <f>IF(A424="","",SUMIFS(mv_qty,mv_ref,A424,mv_type,"Entrée",mv_date,"&gt;="&amp;$E$1,mv_date,"&lt;="&amp;$G$1))</f>
        <v/>
      </c>
      <c r="F424" s="39" t="str">
        <f>IF(A424="","",SUMIFS(mv_qty,mv_ref,A424,mv_type,"Sortie",mv_date,"&gt;="&amp;$E$1,mv_date,"&lt;="&amp;$G$1))</f>
        <v/>
      </c>
      <c r="G424" s="39" t="str">
        <f>IF(A424="","",ROUND(D424+E424-F424,6))</f>
        <v/>
      </c>
      <c r="H424" s="40" t="str">
        <f>IF(A424="","",G424*N('Articles'!G424))</f>
        <v/>
      </c>
    </row>
    <row r="425">
      <c r="A425" s="39" t="str">
        <f>IF('Articles'!A425="","",'Articles'!A425)</f>
        <v/>
      </c>
      <c r="B425" s="39" t="str">
        <f>IF(A425="","",'Articles'!B425&amp;"")</f>
        <v/>
      </c>
      <c r="C425" s="39" t="str">
        <f>IF(A425="","",'Articles'!D425&amp;"")</f>
        <v/>
      </c>
      <c r="D425" s="39" t="str">
        <f>IF(A425="","",ROUND(N('Articles'!H425)+SUMIFS(mv_qty,mv_ref,A425,mv_type,"Entrée",mv_date,"&lt;"&amp;$E$1)-SUMIFS(mv_qty,mv_ref,A425,mv_type,"Sortie",mv_date,"&lt;"&amp;$E$1),6))</f>
        <v/>
      </c>
      <c r="E425" s="39" t="str">
        <f>IF(A425="","",SUMIFS(mv_qty,mv_ref,A425,mv_type,"Entrée",mv_date,"&gt;="&amp;$E$1,mv_date,"&lt;="&amp;$G$1))</f>
        <v/>
      </c>
      <c r="F425" s="39" t="str">
        <f>IF(A425="","",SUMIFS(mv_qty,mv_ref,A425,mv_type,"Sortie",mv_date,"&gt;="&amp;$E$1,mv_date,"&lt;="&amp;$G$1))</f>
        <v/>
      </c>
      <c r="G425" s="39" t="str">
        <f>IF(A425="","",ROUND(D425+E425-F425,6))</f>
        <v/>
      </c>
      <c r="H425" s="40" t="str">
        <f>IF(A425="","",G425*N('Articles'!G425))</f>
        <v/>
      </c>
    </row>
    <row r="426">
      <c r="A426" s="39" t="str">
        <f>IF('Articles'!A426="","",'Articles'!A426)</f>
        <v/>
      </c>
      <c r="B426" s="39" t="str">
        <f>IF(A426="","",'Articles'!B426&amp;"")</f>
        <v/>
      </c>
      <c r="C426" s="39" t="str">
        <f>IF(A426="","",'Articles'!D426&amp;"")</f>
        <v/>
      </c>
      <c r="D426" s="39" t="str">
        <f>IF(A426="","",ROUND(N('Articles'!H426)+SUMIFS(mv_qty,mv_ref,A426,mv_type,"Entrée",mv_date,"&lt;"&amp;$E$1)-SUMIFS(mv_qty,mv_ref,A426,mv_type,"Sortie",mv_date,"&lt;"&amp;$E$1),6))</f>
        <v/>
      </c>
      <c r="E426" s="39" t="str">
        <f>IF(A426="","",SUMIFS(mv_qty,mv_ref,A426,mv_type,"Entrée",mv_date,"&gt;="&amp;$E$1,mv_date,"&lt;="&amp;$G$1))</f>
        <v/>
      </c>
      <c r="F426" s="39" t="str">
        <f>IF(A426="","",SUMIFS(mv_qty,mv_ref,A426,mv_type,"Sortie",mv_date,"&gt;="&amp;$E$1,mv_date,"&lt;="&amp;$G$1))</f>
        <v/>
      </c>
      <c r="G426" s="39" t="str">
        <f>IF(A426="","",ROUND(D426+E426-F426,6))</f>
        <v/>
      </c>
      <c r="H426" s="40" t="str">
        <f>IF(A426="","",G426*N('Articles'!G426))</f>
        <v/>
      </c>
    </row>
    <row r="427">
      <c r="A427" s="39" t="str">
        <f>IF('Articles'!A427="","",'Articles'!A427)</f>
        <v/>
      </c>
      <c r="B427" s="39" t="str">
        <f>IF(A427="","",'Articles'!B427&amp;"")</f>
        <v/>
      </c>
      <c r="C427" s="39" t="str">
        <f>IF(A427="","",'Articles'!D427&amp;"")</f>
        <v/>
      </c>
      <c r="D427" s="39" t="str">
        <f>IF(A427="","",ROUND(N('Articles'!H427)+SUMIFS(mv_qty,mv_ref,A427,mv_type,"Entrée",mv_date,"&lt;"&amp;$E$1)-SUMIFS(mv_qty,mv_ref,A427,mv_type,"Sortie",mv_date,"&lt;"&amp;$E$1),6))</f>
        <v/>
      </c>
      <c r="E427" s="39" t="str">
        <f>IF(A427="","",SUMIFS(mv_qty,mv_ref,A427,mv_type,"Entrée",mv_date,"&gt;="&amp;$E$1,mv_date,"&lt;="&amp;$G$1))</f>
        <v/>
      </c>
      <c r="F427" s="39" t="str">
        <f>IF(A427="","",SUMIFS(mv_qty,mv_ref,A427,mv_type,"Sortie",mv_date,"&gt;="&amp;$E$1,mv_date,"&lt;="&amp;$G$1))</f>
        <v/>
      </c>
      <c r="G427" s="39" t="str">
        <f>IF(A427="","",ROUND(D427+E427-F427,6))</f>
        <v/>
      </c>
      <c r="H427" s="40" t="str">
        <f>IF(A427="","",G427*N('Articles'!G427))</f>
        <v/>
      </c>
    </row>
    <row r="428">
      <c r="A428" s="39" t="str">
        <f>IF('Articles'!A428="","",'Articles'!A428)</f>
        <v/>
      </c>
      <c r="B428" s="39" t="str">
        <f>IF(A428="","",'Articles'!B428&amp;"")</f>
        <v/>
      </c>
      <c r="C428" s="39" t="str">
        <f>IF(A428="","",'Articles'!D428&amp;"")</f>
        <v/>
      </c>
      <c r="D428" s="39" t="str">
        <f>IF(A428="","",ROUND(N('Articles'!H428)+SUMIFS(mv_qty,mv_ref,A428,mv_type,"Entrée",mv_date,"&lt;"&amp;$E$1)-SUMIFS(mv_qty,mv_ref,A428,mv_type,"Sortie",mv_date,"&lt;"&amp;$E$1),6))</f>
        <v/>
      </c>
      <c r="E428" s="39" t="str">
        <f>IF(A428="","",SUMIFS(mv_qty,mv_ref,A428,mv_type,"Entrée",mv_date,"&gt;="&amp;$E$1,mv_date,"&lt;="&amp;$G$1))</f>
        <v/>
      </c>
      <c r="F428" s="39" t="str">
        <f>IF(A428="","",SUMIFS(mv_qty,mv_ref,A428,mv_type,"Sortie",mv_date,"&gt;="&amp;$E$1,mv_date,"&lt;="&amp;$G$1))</f>
        <v/>
      </c>
      <c r="G428" s="39" t="str">
        <f>IF(A428="","",ROUND(D428+E428-F428,6))</f>
        <v/>
      </c>
      <c r="H428" s="40" t="str">
        <f>IF(A428="","",G428*N('Articles'!G428))</f>
        <v/>
      </c>
    </row>
    <row r="429">
      <c r="A429" s="39" t="str">
        <f>IF('Articles'!A429="","",'Articles'!A429)</f>
        <v/>
      </c>
      <c r="B429" s="39" t="str">
        <f>IF(A429="","",'Articles'!B429&amp;"")</f>
        <v/>
      </c>
      <c r="C429" s="39" t="str">
        <f>IF(A429="","",'Articles'!D429&amp;"")</f>
        <v/>
      </c>
      <c r="D429" s="39" t="str">
        <f>IF(A429="","",ROUND(N('Articles'!H429)+SUMIFS(mv_qty,mv_ref,A429,mv_type,"Entrée",mv_date,"&lt;"&amp;$E$1)-SUMIFS(mv_qty,mv_ref,A429,mv_type,"Sortie",mv_date,"&lt;"&amp;$E$1),6))</f>
        <v/>
      </c>
      <c r="E429" s="39" t="str">
        <f>IF(A429="","",SUMIFS(mv_qty,mv_ref,A429,mv_type,"Entrée",mv_date,"&gt;="&amp;$E$1,mv_date,"&lt;="&amp;$G$1))</f>
        <v/>
      </c>
      <c r="F429" s="39" t="str">
        <f>IF(A429="","",SUMIFS(mv_qty,mv_ref,A429,mv_type,"Sortie",mv_date,"&gt;="&amp;$E$1,mv_date,"&lt;="&amp;$G$1))</f>
        <v/>
      </c>
      <c r="G429" s="39" t="str">
        <f>IF(A429="","",ROUND(D429+E429-F429,6))</f>
        <v/>
      </c>
      <c r="H429" s="40" t="str">
        <f>IF(A429="","",G429*N('Articles'!G429))</f>
        <v/>
      </c>
    </row>
    <row r="430">
      <c r="A430" s="39" t="str">
        <f>IF('Articles'!A430="","",'Articles'!A430)</f>
        <v/>
      </c>
      <c r="B430" s="39" t="str">
        <f>IF(A430="","",'Articles'!B430&amp;"")</f>
        <v/>
      </c>
      <c r="C430" s="39" t="str">
        <f>IF(A430="","",'Articles'!D430&amp;"")</f>
        <v/>
      </c>
      <c r="D430" s="39" t="str">
        <f>IF(A430="","",ROUND(N('Articles'!H430)+SUMIFS(mv_qty,mv_ref,A430,mv_type,"Entrée",mv_date,"&lt;"&amp;$E$1)-SUMIFS(mv_qty,mv_ref,A430,mv_type,"Sortie",mv_date,"&lt;"&amp;$E$1),6))</f>
        <v/>
      </c>
      <c r="E430" s="39" t="str">
        <f>IF(A430="","",SUMIFS(mv_qty,mv_ref,A430,mv_type,"Entrée",mv_date,"&gt;="&amp;$E$1,mv_date,"&lt;="&amp;$G$1))</f>
        <v/>
      </c>
      <c r="F430" s="39" t="str">
        <f>IF(A430="","",SUMIFS(mv_qty,mv_ref,A430,mv_type,"Sortie",mv_date,"&gt;="&amp;$E$1,mv_date,"&lt;="&amp;$G$1))</f>
        <v/>
      </c>
      <c r="G430" s="39" t="str">
        <f>IF(A430="","",ROUND(D430+E430-F430,6))</f>
        <v/>
      </c>
      <c r="H430" s="40" t="str">
        <f>IF(A430="","",G430*N('Articles'!G430))</f>
        <v/>
      </c>
    </row>
    <row r="431">
      <c r="A431" s="39" t="str">
        <f>IF('Articles'!A431="","",'Articles'!A431)</f>
        <v/>
      </c>
      <c r="B431" s="39" t="str">
        <f>IF(A431="","",'Articles'!B431&amp;"")</f>
        <v/>
      </c>
      <c r="C431" s="39" t="str">
        <f>IF(A431="","",'Articles'!D431&amp;"")</f>
        <v/>
      </c>
      <c r="D431" s="39" t="str">
        <f>IF(A431="","",ROUND(N('Articles'!H431)+SUMIFS(mv_qty,mv_ref,A431,mv_type,"Entrée",mv_date,"&lt;"&amp;$E$1)-SUMIFS(mv_qty,mv_ref,A431,mv_type,"Sortie",mv_date,"&lt;"&amp;$E$1),6))</f>
        <v/>
      </c>
      <c r="E431" s="39" t="str">
        <f>IF(A431="","",SUMIFS(mv_qty,mv_ref,A431,mv_type,"Entrée",mv_date,"&gt;="&amp;$E$1,mv_date,"&lt;="&amp;$G$1))</f>
        <v/>
      </c>
      <c r="F431" s="39" t="str">
        <f>IF(A431="","",SUMIFS(mv_qty,mv_ref,A431,mv_type,"Sortie",mv_date,"&gt;="&amp;$E$1,mv_date,"&lt;="&amp;$G$1))</f>
        <v/>
      </c>
      <c r="G431" s="39" t="str">
        <f>IF(A431="","",ROUND(D431+E431-F431,6))</f>
        <v/>
      </c>
      <c r="H431" s="40" t="str">
        <f>IF(A431="","",G431*N('Articles'!G431))</f>
        <v/>
      </c>
    </row>
    <row r="432">
      <c r="A432" s="39" t="str">
        <f>IF('Articles'!A432="","",'Articles'!A432)</f>
        <v/>
      </c>
      <c r="B432" s="39" t="str">
        <f>IF(A432="","",'Articles'!B432&amp;"")</f>
        <v/>
      </c>
      <c r="C432" s="39" t="str">
        <f>IF(A432="","",'Articles'!D432&amp;"")</f>
        <v/>
      </c>
      <c r="D432" s="39" t="str">
        <f>IF(A432="","",ROUND(N('Articles'!H432)+SUMIFS(mv_qty,mv_ref,A432,mv_type,"Entrée",mv_date,"&lt;"&amp;$E$1)-SUMIFS(mv_qty,mv_ref,A432,mv_type,"Sortie",mv_date,"&lt;"&amp;$E$1),6))</f>
        <v/>
      </c>
      <c r="E432" s="39" t="str">
        <f>IF(A432="","",SUMIFS(mv_qty,mv_ref,A432,mv_type,"Entrée",mv_date,"&gt;="&amp;$E$1,mv_date,"&lt;="&amp;$G$1))</f>
        <v/>
      </c>
      <c r="F432" s="39" t="str">
        <f>IF(A432="","",SUMIFS(mv_qty,mv_ref,A432,mv_type,"Sortie",mv_date,"&gt;="&amp;$E$1,mv_date,"&lt;="&amp;$G$1))</f>
        <v/>
      </c>
      <c r="G432" s="39" t="str">
        <f>IF(A432="","",ROUND(D432+E432-F432,6))</f>
        <v/>
      </c>
      <c r="H432" s="40" t="str">
        <f>IF(A432="","",G432*N('Articles'!G432))</f>
        <v/>
      </c>
    </row>
    <row r="433">
      <c r="A433" s="39" t="str">
        <f>IF('Articles'!A433="","",'Articles'!A433)</f>
        <v/>
      </c>
      <c r="B433" s="39" t="str">
        <f>IF(A433="","",'Articles'!B433&amp;"")</f>
        <v/>
      </c>
      <c r="C433" s="39" t="str">
        <f>IF(A433="","",'Articles'!D433&amp;"")</f>
        <v/>
      </c>
      <c r="D433" s="39" t="str">
        <f>IF(A433="","",ROUND(N('Articles'!H433)+SUMIFS(mv_qty,mv_ref,A433,mv_type,"Entrée",mv_date,"&lt;"&amp;$E$1)-SUMIFS(mv_qty,mv_ref,A433,mv_type,"Sortie",mv_date,"&lt;"&amp;$E$1),6))</f>
        <v/>
      </c>
      <c r="E433" s="39" t="str">
        <f>IF(A433="","",SUMIFS(mv_qty,mv_ref,A433,mv_type,"Entrée",mv_date,"&gt;="&amp;$E$1,mv_date,"&lt;="&amp;$G$1))</f>
        <v/>
      </c>
      <c r="F433" s="39" t="str">
        <f>IF(A433="","",SUMIFS(mv_qty,mv_ref,A433,mv_type,"Sortie",mv_date,"&gt;="&amp;$E$1,mv_date,"&lt;="&amp;$G$1))</f>
        <v/>
      </c>
      <c r="G433" s="39" t="str">
        <f>IF(A433="","",ROUND(D433+E433-F433,6))</f>
        <v/>
      </c>
      <c r="H433" s="40" t="str">
        <f>IF(A433="","",G433*N('Articles'!G433))</f>
        <v/>
      </c>
    </row>
    <row r="434">
      <c r="A434" s="39" t="str">
        <f>IF('Articles'!A434="","",'Articles'!A434)</f>
        <v/>
      </c>
      <c r="B434" s="39" t="str">
        <f>IF(A434="","",'Articles'!B434&amp;"")</f>
        <v/>
      </c>
      <c r="C434" s="39" t="str">
        <f>IF(A434="","",'Articles'!D434&amp;"")</f>
        <v/>
      </c>
      <c r="D434" s="39" t="str">
        <f>IF(A434="","",ROUND(N('Articles'!H434)+SUMIFS(mv_qty,mv_ref,A434,mv_type,"Entrée",mv_date,"&lt;"&amp;$E$1)-SUMIFS(mv_qty,mv_ref,A434,mv_type,"Sortie",mv_date,"&lt;"&amp;$E$1),6))</f>
        <v/>
      </c>
      <c r="E434" s="39" t="str">
        <f>IF(A434="","",SUMIFS(mv_qty,mv_ref,A434,mv_type,"Entrée",mv_date,"&gt;="&amp;$E$1,mv_date,"&lt;="&amp;$G$1))</f>
        <v/>
      </c>
      <c r="F434" s="39" t="str">
        <f>IF(A434="","",SUMIFS(mv_qty,mv_ref,A434,mv_type,"Sortie",mv_date,"&gt;="&amp;$E$1,mv_date,"&lt;="&amp;$G$1))</f>
        <v/>
      </c>
      <c r="G434" s="39" t="str">
        <f>IF(A434="","",ROUND(D434+E434-F434,6))</f>
        <v/>
      </c>
      <c r="H434" s="40" t="str">
        <f>IF(A434="","",G434*N('Articles'!G434))</f>
        <v/>
      </c>
    </row>
    <row r="435">
      <c r="A435" s="39" t="str">
        <f>IF('Articles'!A435="","",'Articles'!A435)</f>
        <v/>
      </c>
      <c r="B435" s="39" t="str">
        <f>IF(A435="","",'Articles'!B435&amp;"")</f>
        <v/>
      </c>
      <c r="C435" s="39" t="str">
        <f>IF(A435="","",'Articles'!D435&amp;"")</f>
        <v/>
      </c>
      <c r="D435" s="39" t="str">
        <f>IF(A435="","",ROUND(N('Articles'!H435)+SUMIFS(mv_qty,mv_ref,A435,mv_type,"Entrée",mv_date,"&lt;"&amp;$E$1)-SUMIFS(mv_qty,mv_ref,A435,mv_type,"Sortie",mv_date,"&lt;"&amp;$E$1),6))</f>
        <v/>
      </c>
      <c r="E435" s="39" t="str">
        <f>IF(A435="","",SUMIFS(mv_qty,mv_ref,A435,mv_type,"Entrée",mv_date,"&gt;="&amp;$E$1,mv_date,"&lt;="&amp;$G$1))</f>
        <v/>
      </c>
      <c r="F435" s="39" t="str">
        <f>IF(A435="","",SUMIFS(mv_qty,mv_ref,A435,mv_type,"Sortie",mv_date,"&gt;="&amp;$E$1,mv_date,"&lt;="&amp;$G$1))</f>
        <v/>
      </c>
      <c r="G435" s="39" t="str">
        <f>IF(A435="","",ROUND(D435+E435-F435,6))</f>
        <v/>
      </c>
      <c r="H435" s="40" t="str">
        <f>IF(A435="","",G435*N('Articles'!G435))</f>
        <v/>
      </c>
    </row>
    <row r="436">
      <c r="A436" s="39" t="str">
        <f>IF('Articles'!A436="","",'Articles'!A436)</f>
        <v/>
      </c>
      <c r="B436" s="39" t="str">
        <f>IF(A436="","",'Articles'!B436&amp;"")</f>
        <v/>
      </c>
      <c r="C436" s="39" t="str">
        <f>IF(A436="","",'Articles'!D436&amp;"")</f>
        <v/>
      </c>
      <c r="D436" s="39" t="str">
        <f>IF(A436="","",ROUND(N('Articles'!H436)+SUMIFS(mv_qty,mv_ref,A436,mv_type,"Entrée",mv_date,"&lt;"&amp;$E$1)-SUMIFS(mv_qty,mv_ref,A436,mv_type,"Sortie",mv_date,"&lt;"&amp;$E$1),6))</f>
        <v/>
      </c>
      <c r="E436" s="39" t="str">
        <f>IF(A436="","",SUMIFS(mv_qty,mv_ref,A436,mv_type,"Entrée",mv_date,"&gt;="&amp;$E$1,mv_date,"&lt;="&amp;$G$1))</f>
        <v/>
      </c>
      <c r="F436" s="39" t="str">
        <f>IF(A436="","",SUMIFS(mv_qty,mv_ref,A436,mv_type,"Sortie",mv_date,"&gt;="&amp;$E$1,mv_date,"&lt;="&amp;$G$1))</f>
        <v/>
      </c>
      <c r="G436" s="39" t="str">
        <f>IF(A436="","",ROUND(D436+E436-F436,6))</f>
        <v/>
      </c>
      <c r="H436" s="40" t="str">
        <f>IF(A436="","",G436*N('Articles'!G436))</f>
        <v/>
      </c>
    </row>
    <row r="437">
      <c r="A437" s="39" t="str">
        <f>IF('Articles'!A437="","",'Articles'!A437)</f>
        <v/>
      </c>
      <c r="B437" s="39" t="str">
        <f>IF(A437="","",'Articles'!B437&amp;"")</f>
        <v/>
      </c>
      <c r="C437" s="39" t="str">
        <f>IF(A437="","",'Articles'!D437&amp;"")</f>
        <v/>
      </c>
      <c r="D437" s="39" t="str">
        <f>IF(A437="","",ROUND(N('Articles'!H437)+SUMIFS(mv_qty,mv_ref,A437,mv_type,"Entrée",mv_date,"&lt;"&amp;$E$1)-SUMIFS(mv_qty,mv_ref,A437,mv_type,"Sortie",mv_date,"&lt;"&amp;$E$1),6))</f>
        <v/>
      </c>
      <c r="E437" s="39" t="str">
        <f>IF(A437="","",SUMIFS(mv_qty,mv_ref,A437,mv_type,"Entrée",mv_date,"&gt;="&amp;$E$1,mv_date,"&lt;="&amp;$G$1))</f>
        <v/>
      </c>
      <c r="F437" s="39" t="str">
        <f>IF(A437="","",SUMIFS(mv_qty,mv_ref,A437,mv_type,"Sortie",mv_date,"&gt;="&amp;$E$1,mv_date,"&lt;="&amp;$G$1))</f>
        <v/>
      </c>
      <c r="G437" s="39" t="str">
        <f>IF(A437="","",ROUND(D437+E437-F437,6))</f>
        <v/>
      </c>
      <c r="H437" s="40" t="str">
        <f>IF(A437="","",G437*N('Articles'!G437))</f>
        <v/>
      </c>
    </row>
    <row r="438">
      <c r="A438" s="39" t="str">
        <f>IF('Articles'!A438="","",'Articles'!A438)</f>
        <v/>
      </c>
      <c r="B438" s="39" t="str">
        <f>IF(A438="","",'Articles'!B438&amp;"")</f>
        <v/>
      </c>
      <c r="C438" s="39" t="str">
        <f>IF(A438="","",'Articles'!D438&amp;"")</f>
        <v/>
      </c>
      <c r="D438" s="39" t="str">
        <f>IF(A438="","",ROUND(N('Articles'!H438)+SUMIFS(mv_qty,mv_ref,A438,mv_type,"Entrée",mv_date,"&lt;"&amp;$E$1)-SUMIFS(mv_qty,mv_ref,A438,mv_type,"Sortie",mv_date,"&lt;"&amp;$E$1),6))</f>
        <v/>
      </c>
      <c r="E438" s="39" t="str">
        <f>IF(A438="","",SUMIFS(mv_qty,mv_ref,A438,mv_type,"Entrée",mv_date,"&gt;="&amp;$E$1,mv_date,"&lt;="&amp;$G$1))</f>
        <v/>
      </c>
      <c r="F438" s="39" t="str">
        <f>IF(A438="","",SUMIFS(mv_qty,mv_ref,A438,mv_type,"Sortie",mv_date,"&gt;="&amp;$E$1,mv_date,"&lt;="&amp;$G$1))</f>
        <v/>
      </c>
      <c r="G438" s="39" t="str">
        <f>IF(A438="","",ROUND(D438+E438-F438,6))</f>
        <v/>
      </c>
      <c r="H438" s="40" t="str">
        <f>IF(A438="","",G438*N('Articles'!G438))</f>
        <v/>
      </c>
    </row>
    <row r="439">
      <c r="A439" s="39" t="str">
        <f>IF('Articles'!A439="","",'Articles'!A439)</f>
        <v/>
      </c>
      <c r="B439" s="39" t="str">
        <f>IF(A439="","",'Articles'!B439&amp;"")</f>
        <v/>
      </c>
      <c r="C439" s="39" t="str">
        <f>IF(A439="","",'Articles'!D439&amp;"")</f>
        <v/>
      </c>
      <c r="D439" s="39" t="str">
        <f>IF(A439="","",ROUND(N('Articles'!H439)+SUMIFS(mv_qty,mv_ref,A439,mv_type,"Entrée",mv_date,"&lt;"&amp;$E$1)-SUMIFS(mv_qty,mv_ref,A439,mv_type,"Sortie",mv_date,"&lt;"&amp;$E$1),6))</f>
        <v/>
      </c>
      <c r="E439" s="39" t="str">
        <f>IF(A439="","",SUMIFS(mv_qty,mv_ref,A439,mv_type,"Entrée",mv_date,"&gt;="&amp;$E$1,mv_date,"&lt;="&amp;$G$1))</f>
        <v/>
      </c>
      <c r="F439" s="39" t="str">
        <f>IF(A439="","",SUMIFS(mv_qty,mv_ref,A439,mv_type,"Sortie",mv_date,"&gt;="&amp;$E$1,mv_date,"&lt;="&amp;$G$1))</f>
        <v/>
      </c>
      <c r="G439" s="39" t="str">
        <f>IF(A439="","",ROUND(D439+E439-F439,6))</f>
        <v/>
      </c>
      <c r="H439" s="40" t="str">
        <f>IF(A439="","",G439*N('Articles'!G439))</f>
        <v/>
      </c>
    </row>
    <row r="440">
      <c r="A440" s="39" t="str">
        <f>IF('Articles'!A440="","",'Articles'!A440)</f>
        <v/>
      </c>
      <c r="B440" s="39" t="str">
        <f>IF(A440="","",'Articles'!B440&amp;"")</f>
        <v/>
      </c>
      <c r="C440" s="39" t="str">
        <f>IF(A440="","",'Articles'!D440&amp;"")</f>
        <v/>
      </c>
      <c r="D440" s="39" t="str">
        <f>IF(A440="","",ROUND(N('Articles'!H440)+SUMIFS(mv_qty,mv_ref,A440,mv_type,"Entrée",mv_date,"&lt;"&amp;$E$1)-SUMIFS(mv_qty,mv_ref,A440,mv_type,"Sortie",mv_date,"&lt;"&amp;$E$1),6))</f>
        <v/>
      </c>
      <c r="E440" s="39" t="str">
        <f>IF(A440="","",SUMIFS(mv_qty,mv_ref,A440,mv_type,"Entrée",mv_date,"&gt;="&amp;$E$1,mv_date,"&lt;="&amp;$G$1))</f>
        <v/>
      </c>
      <c r="F440" s="39" t="str">
        <f>IF(A440="","",SUMIFS(mv_qty,mv_ref,A440,mv_type,"Sortie",mv_date,"&gt;="&amp;$E$1,mv_date,"&lt;="&amp;$G$1))</f>
        <v/>
      </c>
      <c r="G440" s="39" t="str">
        <f>IF(A440="","",ROUND(D440+E440-F440,6))</f>
        <v/>
      </c>
      <c r="H440" s="40" t="str">
        <f>IF(A440="","",G440*N('Articles'!G440))</f>
        <v/>
      </c>
    </row>
    <row r="441">
      <c r="A441" s="39" t="str">
        <f>IF('Articles'!A441="","",'Articles'!A441)</f>
        <v/>
      </c>
      <c r="B441" s="39" t="str">
        <f>IF(A441="","",'Articles'!B441&amp;"")</f>
        <v/>
      </c>
      <c r="C441" s="39" t="str">
        <f>IF(A441="","",'Articles'!D441&amp;"")</f>
        <v/>
      </c>
      <c r="D441" s="39" t="str">
        <f>IF(A441="","",ROUND(N('Articles'!H441)+SUMIFS(mv_qty,mv_ref,A441,mv_type,"Entrée",mv_date,"&lt;"&amp;$E$1)-SUMIFS(mv_qty,mv_ref,A441,mv_type,"Sortie",mv_date,"&lt;"&amp;$E$1),6))</f>
        <v/>
      </c>
      <c r="E441" s="39" t="str">
        <f>IF(A441="","",SUMIFS(mv_qty,mv_ref,A441,mv_type,"Entrée",mv_date,"&gt;="&amp;$E$1,mv_date,"&lt;="&amp;$G$1))</f>
        <v/>
      </c>
      <c r="F441" s="39" t="str">
        <f>IF(A441="","",SUMIFS(mv_qty,mv_ref,A441,mv_type,"Sortie",mv_date,"&gt;="&amp;$E$1,mv_date,"&lt;="&amp;$G$1))</f>
        <v/>
      </c>
      <c r="G441" s="39" t="str">
        <f>IF(A441="","",ROUND(D441+E441-F441,6))</f>
        <v/>
      </c>
      <c r="H441" s="40" t="str">
        <f>IF(A441="","",G441*N('Articles'!G441))</f>
        <v/>
      </c>
    </row>
    <row r="442">
      <c r="A442" s="39" t="str">
        <f>IF('Articles'!A442="","",'Articles'!A442)</f>
        <v/>
      </c>
      <c r="B442" s="39" t="str">
        <f>IF(A442="","",'Articles'!B442&amp;"")</f>
        <v/>
      </c>
      <c r="C442" s="39" t="str">
        <f>IF(A442="","",'Articles'!D442&amp;"")</f>
        <v/>
      </c>
      <c r="D442" s="39" t="str">
        <f>IF(A442="","",ROUND(N('Articles'!H442)+SUMIFS(mv_qty,mv_ref,A442,mv_type,"Entrée",mv_date,"&lt;"&amp;$E$1)-SUMIFS(mv_qty,mv_ref,A442,mv_type,"Sortie",mv_date,"&lt;"&amp;$E$1),6))</f>
        <v/>
      </c>
      <c r="E442" s="39" t="str">
        <f>IF(A442="","",SUMIFS(mv_qty,mv_ref,A442,mv_type,"Entrée",mv_date,"&gt;="&amp;$E$1,mv_date,"&lt;="&amp;$G$1))</f>
        <v/>
      </c>
      <c r="F442" s="39" t="str">
        <f>IF(A442="","",SUMIFS(mv_qty,mv_ref,A442,mv_type,"Sortie",mv_date,"&gt;="&amp;$E$1,mv_date,"&lt;="&amp;$G$1))</f>
        <v/>
      </c>
      <c r="G442" s="39" t="str">
        <f>IF(A442="","",ROUND(D442+E442-F442,6))</f>
        <v/>
      </c>
      <c r="H442" s="40" t="str">
        <f>IF(A442="","",G442*N('Articles'!G442))</f>
        <v/>
      </c>
    </row>
    <row r="443">
      <c r="A443" s="39" t="str">
        <f>IF('Articles'!A443="","",'Articles'!A443)</f>
        <v/>
      </c>
      <c r="B443" s="39" t="str">
        <f>IF(A443="","",'Articles'!B443&amp;"")</f>
        <v/>
      </c>
      <c r="C443" s="39" t="str">
        <f>IF(A443="","",'Articles'!D443&amp;"")</f>
        <v/>
      </c>
      <c r="D443" s="39" t="str">
        <f>IF(A443="","",ROUND(N('Articles'!H443)+SUMIFS(mv_qty,mv_ref,A443,mv_type,"Entrée",mv_date,"&lt;"&amp;$E$1)-SUMIFS(mv_qty,mv_ref,A443,mv_type,"Sortie",mv_date,"&lt;"&amp;$E$1),6))</f>
        <v/>
      </c>
      <c r="E443" s="39" t="str">
        <f>IF(A443="","",SUMIFS(mv_qty,mv_ref,A443,mv_type,"Entrée",mv_date,"&gt;="&amp;$E$1,mv_date,"&lt;="&amp;$G$1))</f>
        <v/>
      </c>
      <c r="F443" s="39" t="str">
        <f>IF(A443="","",SUMIFS(mv_qty,mv_ref,A443,mv_type,"Sortie",mv_date,"&gt;="&amp;$E$1,mv_date,"&lt;="&amp;$G$1))</f>
        <v/>
      </c>
      <c r="G443" s="39" t="str">
        <f>IF(A443="","",ROUND(D443+E443-F443,6))</f>
        <v/>
      </c>
      <c r="H443" s="40" t="str">
        <f>IF(A443="","",G443*N('Articles'!G443))</f>
        <v/>
      </c>
    </row>
    <row r="444">
      <c r="A444" s="39" t="str">
        <f>IF('Articles'!A444="","",'Articles'!A444)</f>
        <v/>
      </c>
      <c r="B444" s="39" t="str">
        <f>IF(A444="","",'Articles'!B444&amp;"")</f>
        <v/>
      </c>
      <c r="C444" s="39" t="str">
        <f>IF(A444="","",'Articles'!D444&amp;"")</f>
        <v/>
      </c>
      <c r="D444" s="39" t="str">
        <f>IF(A444="","",ROUND(N('Articles'!H444)+SUMIFS(mv_qty,mv_ref,A444,mv_type,"Entrée",mv_date,"&lt;"&amp;$E$1)-SUMIFS(mv_qty,mv_ref,A444,mv_type,"Sortie",mv_date,"&lt;"&amp;$E$1),6))</f>
        <v/>
      </c>
      <c r="E444" s="39" t="str">
        <f>IF(A444="","",SUMIFS(mv_qty,mv_ref,A444,mv_type,"Entrée",mv_date,"&gt;="&amp;$E$1,mv_date,"&lt;="&amp;$G$1))</f>
        <v/>
      </c>
      <c r="F444" s="39" t="str">
        <f>IF(A444="","",SUMIFS(mv_qty,mv_ref,A444,mv_type,"Sortie",mv_date,"&gt;="&amp;$E$1,mv_date,"&lt;="&amp;$G$1))</f>
        <v/>
      </c>
      <c r="G444" s="39" t="str">
        <f>IF(A444="","",ROUND(D444+E444-F444,6))</f>
        <v/>
      </c>
      <c r="H444" s="40" t="str">
        <f>IF(A444="","",G444*N('Articles'!G444))</f>
        <v/>
      </c>
    </row>
    <row r="445">
      <c r="A445" s="39" t="str">
        <f>IF('Articles'!A445="","",'Articles'!A445)</f>
        <v/>
      </c>
      <c r="B445" s="39" t="str">
        <f>IF(A445="","",'Articles'!B445&amp;"")</f>
        <v/>
      </c>
      <c r="C445" s="39" t="str">
        <f>IF(A445="","",'Articles'!D445&amp;"")</f>
        <v/>
      </c>
      <c r="D445" s="39" t="str">
        <f>IF(A445="","",ROUND(N('Articles'!H445)+SUMIFS(mv_qty,mv_ref,A445,mv_type,"Entrée",mv_date,"&lt;"&amp;$E$1)-SUMIFS(mv_qty,mv_ref,A445,mv_type,"Sortie",mv_date,"&lt;"&amp;$E$1),6))</f>
        <v/>
      </c>
      <c r="E445" s="39" t="str">
        <f>IF(A445="","",SUMIFS(mv_qty,mv_ref,A445,mv_type,"Entrée",mv_date,"&gt;="&amp;$E$1,mv_date,"&lt;="&amp;$G$1))</f>
        <v/>
      </c>
      <c r="F445" s="39" t="str">
        <f>IF(A445="","",SUMIFS(mv_qty,mv_ref,A445,mv_type,"Sortie",mv_date,"&gt;="&amp;$E$1,mv_date,"&lt;="&amp;$G$1))</f>
        <v/>
      </c>
      <c r="G445" s="39" t="str">
        <f>IF(A445="","",ROUND(D445+E445-F445,6))</f>
        <v/>
      </c>
      <c r="H445" s="40" t="str">
        <f>IF(A445="","",G445*N('Articles'!G445))</f>
        <v/>
      </c>
    </row>
    <row r="446">
      <c r="A446" s="39" t="str">
        <f>IF('Articles'!A446="","",'Articles'!A446)</f>
        <v/>
      </c>
      <c r="B446" s="39" t="str">
        <f>IF(A446="","",'Articles'!B446&amp;"")</f>
        <v/>
      </c>
      <c r="C446" s="39" t="str">
        <f>IF(A446="","",'Articles'!D446&amp;"")</f>
        <v/>
      </c>
      <c r="D446" s="39" t="str">
        <f>IF(A446="","",ROUND(N('Articles'!H446)+SUMIFS(mv_qty,mv_ref,A446,mv_type,"Entrée",mv_date,"&lt;"&amp;$E$1)-SUMIFS(mv_qty,mv_ref,A446,mv_type,"Sortie",mv_date,"&lt;"&amp;$E$1),6))</f>
        <v/>
      </c>
      <c r="E446" s="39" t="str">
        <f>IF(A446="","",SUMIFS(mv_qty,mv_ref,A446,mv_type,"Entrée",mv_date,"&gt;="&amp;$E$1,mv_date,"&lt;="&amp;$G$1))</f>
        <v/>
      </c>
      <c r="F446" s="39" t="str">
        <f>IF(A446="","",SUMIFS(mv_qty,mv_ref,A446,mv_type,"Sortie",mv_date,"&gt;="&amp;$E$1,mv_date,"&lt;="&amp;$G$1))</f>
        <v/>
      </c>
      <c r="G446" s="39" t="str">
        <f>IF(A446="","",ROUND(D446+E446-F446,6))</f>
        <v/>
      </c>
      <c r="H446" s="40" t="str">
        <f>IF(A446="","",G446*N('Articles'!G446))</f>
        <v/>
      </c>
    </row>
    <row r="447">
      <c r="A447" s="39" t="str">
        <f>IF('Articles'!A447="","",'Articles'!A447)</f>
        <v/>
      </c>
      <c r="B447" s="39" t="str">
        <f>IF(A447="","",'Articles'!B447&amp;"")</f>
        <v/>
      </c>
      <c r="C447" s="39" t="str">
        <f>IF(A447="","",'Articles'!D447&amp;"")</f>
        <v/>
      </c>
      <c r="D447" s="39" t="str">
        <f>IF(A447="","",ROUND(N('Articles'!H447)+SUMIFS(mv_qty,mv_ref,A447,mv_type,"Entrée",mv_date,"&lt;"&amp;$E$1)-SUMIFS(mv_qty,mv_ref,A447,mv_type,"Sortie",mv_date,"&lt;"&amp;$E$1),6))</f>
        <v/>
      </c>
      <c r="E447" s="39" t="str">
        <f>IF(A447="","",SUMIFS(mv_qty,mv_ref,A447,mv_type,"Entrée",mv_date,"&gt;="&amp;$E$1,mv_date,"&lt;="&amp;$G$1))</f>
        <v/>
      </c>
      <c r="F447" s="39" t="str">
        <f>IF(A447="","",SUMIFS(mv_qty,mv_ref,A447,mv_type,"Sortie",mv_date,"&gt;="&amp;$E$1,mv_date,"&lt;="&amp;$G$1))</f>
        <v/>
      </c>
      <c r="G447" s="39" t="str">
        <f>IF(A447="","",ROUND(D447+E447-F447,6))</f>
        <v/>
      </c>
      <c r="H447" s="40" t="str">
        <f>IF(A447="","",G447*N('Articles'!G447))</f>
        <v/>
      </c>
    </row>
    <row r="448">
      <c r="A448" s="39" t="str">
        <f>IF('Articles'!A448="","",'Articles'!A448)</f>
        <v/>
      </c>
      <c r="B448" s="39" t="str">
        <f>IF(A448="","",'Articles'!B448&amp;"")</f>
        <v/>
      </c>
      <c r="C448" s="39" t="str">
        <f>IF(A448="","",'Articles'!D448&amp;"")</f>
        <v/>
      </c>
      <c r="D448" s="39" t="str">
        <f>IF(A448="","",ROUND(N('Articles'!H448)+SUMIFS(mv_qty,mv_ref,A448,mv_type,"Entrée",mv_date,"&lt;"&amp;$E$1)-SUMIFS(mv_qty,mv_ref,A448,mv_type,"Sortie",mv_date,"&lt;"&amp;$E$1),6))</f>
        <v/>
      </c>
      <c r="E448" s="39" t="str">
        <f>IF(A448="","",SUMIFS(mv_qty,mv_ref,A448,mv_type,"Entrée",mv_date,"&gt;="&amp;$E$1,mv_date,"&lt;="&amp;$G$1))</f>
        <v/>
      </c>
      <c r="F448" s="39" t="str">
        <f>IF(A448="","",SUMIFS(mv_qty,mv_ref,A448,mv_type,"Sortie",mv_date,"&gt;="&amp;$E$1,mv_date,"&lt;="&amp;$G$1))</f>
        <v/>
      </c>
      <c r="G448" s="39" t="str">
        <f>IF(A448="","",ROUND(D448+E448-F448,6))</f>
        <v/>
      </c>
      <c r="H448" s="40" t="str">
        <f>IF(A448="","",G448*N('Articles'!G448))</f>
        <v/>
      </c>
    </row>
    <row r="449">
      <c r="A449" s="39" t="str">
        <f>IF('Articles'!A449="","",'Articles'!A449)</f>
        <v/>
      </c>
      <c r="B449" s="39" t="str">
        <f>IF(A449="","",'Articles'!B449&amp;"")</f>
        <v/>
      </c>
      <c r="C449" s="39" t="str">
        <f>IF(A449="","",'Articles'!D449&amp;"")</f>
        <v/>
      </c>
      <c r="D449" s="39" t="str">
        <f>IF(A449="","",ROUND(N('Articles'!H449)+SUMIFS(mv_qty,mv_ref,A449,mv_type,"Entrée",mv_date,"&lt;"&amp;$E$1)-SUMIFS(mv_qty,mv_ref,A449,mv_type,"Sortie",mv_date,"&lt;"&amp;$E$1),6))</f>
        <v/>
      </c>
      <c r="E449" s="39" t="str">
        <f>IF(A449="","",SUMIFS(mv_qty,mv_ref,A449,mv_type,"Entrée",mv_date,"&gt;="&amp;$E$1,mv_date,"&lt;="&amp;$G$1))</f>
        <v/>
      </c>
      <c r="F449" s="39" t="str">
        <f>IF(A449="","",SUMIFS(mv_qty,mv_ref,A449,mv_type,"Sortie",mv_date,"&gt;="&amp;$E$1,mv_date,"&lt;="&amp;$G$1))</f>
        <v/>
      </c>
      <c r="G449" s="39" t="str">
        <f>IF(A449="","",ROUND(D449+E449-F449,6))</f>
        <v/>
      </c>
      <c r="H449" s="40" t="str">
        <f>IF(A449="","",G449*N('Articles'!G449))</f>
        <v/>
      </c>
    </row>
    <row r="450">
      <c r="A450" s="39" t="str">
        <f>IF('Articles'!A450="","",'Articles'!A450)</f>
        <v/>
      </c>
      <c r="B450" s="39" t="str">
        <f>IF(A450="","",'Articles'!B450&amp;"")</f>
        <v/>
      </c>
      <c r="C450" s="39" t="str">
        <f>IF(A450="","",'Articles'!D450&amp;"")</f>
        <v/>
      </c>
      <c r="D450" s="39" t="str">
        <f>IF(A450="","",ROUND(N('Articles'!H450)+SUMIFS(mv_qty,mv_ref,A450,mv_type,"Entrée",mv_date,"&lt;"&amp;$E$1)-SUMIFS(mv_qty,mv_ref,A450,mv_type,"Sortie",mv_date,"&lt;"&amp;$E$1),6))</f>
        <v/>
      </c>
      <c r="E450" s="39" t="str">
        <f>IF(A450="","",SUMIFS(mv_qty,mv_ref,A450,mv_type,"Entrée",mv_date,"&gt;="&amp;$E$1,mv_date,"&lt;="&amp;$G$1))</f>
        <v/>
      </c>
      <c r="F450" s="39" t="str">
        <f>IF(A450="","",SUMIFS(mv_qty,mv_ref,A450,mv_type,"Sortie",mv_date,"&gt;="&amp;$E$1,mv_date,"&lt;="&amp;$G$1))</f>
        <v/>
      </c>
      <c r="G450" s="39" t="str">
        <f>IF(A450="","",ROUND(D450+E450-F450,6))</f>
        <v/>
      </c>
      <c r="H450" s="40" t="str">
        <f>IF(A450="","",G450*N('Articles'!G450))</f>
        <v/>
      </c>
    </row>
    <row r="451">
      <c r="A451" s="39" t="str">
        <f>IF('Articles'!A451="","",'Articles'!A451)</f>
        <v/>
      </c>
      <c r="B451" s="39" t="str">
        <f>IF(A451="","",'Articles'!B451&amp;"")</f>
        <v/>
      </c>
      <c r="C451" s="39" t="str">
        <f>IF(A451="","",'Articles'!D451&amp;"")</f>
        <v/>
      </c>
      <c r="D451" s="39" t="str">
        <f>IF(A451="","",ROUND(N('Articles'!H451)+SUMIFS(mv_qty,mv_ref,A451,mv_type,"Entrée",mv_date,"&lt;"&amp;$E$1)-SUMIFS(mv_qty,mv_ref,A451,mv_type,"Sortie",mv_date,"&lt;"&amp;$E$1),6))</f>
        <v/>
      </c>
      <c r="E451" s="39" t="str">
        <f>IF(A451="","",SUMIFS(mv_qty,mv_ref,A451,mv_type,"Entrée",mv_date,"&gt;="&amp;$E$1,mv_date,"&lt;="&amp;$G$1))</f>
        <v/>
      </c>
      <c r="F451" s="39" t="str">
        <f>IF(A451="","",SUMIFS(mv_qty,mv_ref,A451,mv_type,"Sortie",mv_date,"&gt;="&amp;$E$1,mv_date,"&lt;="&amp;$G$1))</f>
        <v/>
      </c>
      <c r="G451" s="39" t="str">
        <f>IF(A451="","",ROUND(D451+E451-F451,6))</f>
        <v/>
      </c>
      <c r="H451" s="40" t="str">
        <f>IF(A451="","",G451*N('Articles'!G451))</f>
        <v/>
      </c>
    </row>
    <row r="452">
      <c r="A452" s="39" t="str">
        <f>IF('Articles'!A452="","",'Articles'!A452)</f>
        <v/>
      </c>
      <c r="B452" s="39" t="str">
        <f>IF(A452="","",'Articles'!B452&amp;"")</f>
        <v/>
      </c>
      <c r="C452" s="39" t="str">
        <f>IF(A452="","",'Articles'!D452&amp;"")</f>
        <v/>
      </c>
      <c r="D452" s="39" t="str">
        <f>IF(A452="","",ROUND(N('Articles'!H452)+SUMIFS(mv_qty,mv_ref,A452,mv_type,"Entrée",mv_date,"&lt;"&amp;$E$1)-SUMIFS(mv_qty,mv_ref,A452,mv_type,"Sortie",mv_date,"&lt;"&amp;$E$1),6))</f>
        <v/>
      </c>
      <c r="E452" s="39" t="str">
        <f>IF(A452="","",SUMIFS(mv_qty,mv_ref,A452,mv_type,"Entrée",mv_date,"&gt;="&amp;$E$1,mv_date,"&lt;="&amp;$G$1))</f>
        <v/>
      </c>
      <c r="F452" s="39" t="str">
        <f>IF(A452="","",SUMIFS(mv_qty,mv_ref,A452,mv_type,"Sortie",mv_date,"&gt;="&amp;$E$1,mv_date,"&lt;="&amp;$G$1))</f>
        <v/>
      </c>
      <c r="G452" s="39" t="str">
        <f>IF(A452="","",ROUND(D452+E452-F452,6))</f>
        <v/>
      </c>
      <c r="H452" s="40" t="str">
        <f>IF(A452="","",G452*N('Articles'!G452))</f>
        <v/>
      </c>
    </row>
    <row r="453">
      <c r="A453" s="39" t="str">
        <f>IF('Articles'!A453="","",'Articles'!A453)</f>
        <v/>
      </c>
      <c r="B453" s="39" t="str">
        <f>IF(A453="","",'Articles'!B453&amp;"")</f>
        <v/>
      </c>
      <c r="C453" s="39" t="str">
        <f>IF(A453="","",'Articles'!D453&amp;"")</f>
        <v/>
      </c>
      <c r="D453" s="39" t="str">
        <f>IF(A453="","",ROUND(N('Articles'!H453)+SUMIFS(mv_qty,mv_ref,A453,mv_type,"Entrée",mv_date,"&lt;"&amp;$E$1)-SUMIFS(mv_qty,mv_ref,A453,mv_type,"Sortie",mv_date,"&lt;"&amp;$E$1),6))</f>
        <v/>
      </c>
      <c r="E453" s="39" t="str">
        <f>IF(A453="","",SUMIFS(mv_qty,mv_ref,A453,mv_type,"Entrée",mv_date,"&gt;="&amp;$E$1,mv_date,"&lt;="&amp;$G$1))</f>
        <v/>
      </c>
      <c r="F453" s="39" t="str">
        <f>IF(A453="","",SUMIFS(mv_qty,mv_ref,A453,mv_type,"Sortie",mv_date,"&gt;="&amp;$E$1,mv_date,"&lt;="&amp;$G$1))</f>
        <v/>
      </c>
      <c r="G453" s="39" t="str">
        <f>IF(A453="","",ROUND(D453+E453-F453,6))</f>
        <v/>
      </c>
      <c r="H453" s="40" t="str">
        <f>IF(A453="","",G453*N('Articles'!G453))</f>
        <v/>
      </c>
    </row>
    <row r="454">
      <c r="A454" s="39" t="str">
        <f>IF('Articles'!A454="","",'Articles'!A454)</f>
        <v/>
      </c>
      <c r="B454" s="39" t="str">
        <f>IF(A454="","",'Articles'!B454&amp;"")</f>
        <v/>
      </c>
      <c r="C454" s="39" t="str">
        <f>IF(A454="","",'Articles'!D454&amp;"")</f>
        <v/>
      </c>
      <c r="D454" s="39" t="str">
        <f>IF(A454="","",ROUND(N('Articles'!H454)+SUMIFS(mv_qty,mv_ref,A454,mv_type,"Entrée",mv_date,"&lt;"&amp;$E$1)-SUMIFS(mv_qty,mv_ref,A454,mv_type,"Sortie",mv_date,"&lt;"&amp;$E$1),6))</f>
        <v/>
      </c>
      <c r="E454" s="39" t="str">
        <f>IF(A454="","",SUMIFS(mv_qty,mv_ref,A454,mv_type,"Entrée",mv_date,"&gt;="&amp;$E$1,mv_date,"&lt;="&amp;$G$1))</f>
        <v/>
      </c>
      <c r="F454" s="39" t="str">
        <f>IF(A454="","",SUMIFS(mv_qty,mv_ref,A454,mv_type,"Sortie",mv_date,"&gt;="&amp;$E$1,mv_date,"&lt;="&amp;$G$1))</f>
        <v/>
      </c>
      <c r="G454" s="39" t="str">
        <f>IF(A454="","",ROUND(D454+E454-F454,6))</f>
        <v/>
      </c>
      <c r="H454" s="40" t="str">
        <f>IF(A454="","",G454*N('Articles'!G454))</f>
        <v/>
      </c>
    </row>
    <row r="455">
      <c r="A455" s="39" t="str">
        <f>IF('Articles'!A455="","",'Articles'!A455)</f>
        <v/>
      </c>
      <c r="B455" s="39" t="str">
        <f>IF(A455="","",'Articles'!B455&amp;"")</f>
        <v/>
      </c>
      <c r="C455" s="39" t="str">
        <f>IF(A455="","",'Articles'!D455&amp;"")</f>
        <v/>
      </c>
      <c r="D455" s="39" t="str">
        <f>IF(A455="","",ROUND(N('Articles'!H455)+SUMIFS(mv_qty,mv_ref,A455,mv_type,"Entrée",mv_date,"&lt;"&amp;$E$1)-SUMIFS(mv_qty,mv_ref,A455,mv_type,"Sortie",mv_date,"&lt;"&amp;$E$1),6))</f>
        <v/>
      </c>
      <c r="E455" s="39" t="str">
        <f>IF(A455="","",SUMIFS(mv_qty,mv_ref,A455,mv_type,"Entrée",mv_date,"&gt;="&amp;$E$1,mv_date,"&lt;="&amp;$G$1))</f>
        <v/>
      </c>
      <c r="F455" s="39" t="str">
        <f>IF(A455="","",SUMIFS(mv_qty,mv_ref,A455,mv_type,"Sortie",mv_date,"&gt;="&amp;$E$1,mv_date,"&lt;="&amp;$G$1))</f>
        <v/>
      </c>
      <c r="G455" s="39" t="str">
        <f>IF(A455="","",ROUND(D455+E455-F455,6))</f>
        <v/>
      </c>
      <c r="H455" s="40" t="str">
        <f>IF(A455="","",G455*N('Articles'!G455))</f>
        <v/>
      </c>
    </row>
    <row r="456">
      <c r="A456" s="39" t="str">
        <f>IF('Articles'!A456="","",'Articles'!A456)</f>
        <v/>
      </c>
      <c r="B456" s="39" t="str">
        <f>IF(A456="","",'Articles'!B456&amp;"")</f>
        <v/>
      </c>
      <c r="C456" s="39" t="str">
        <f>IF(A456="","",'Articles'!D456&amp;"")</f>
        <v/>
      </c>
      <c r="D456" s="39" t="str">
        <f>IF(A456="","",ROUND(N('Articles'!H456)+SUMIFS(mv_qty,mv_ref,A456,mv_type,"Entrée",mv_date,"&lt;"&amp;$E$1)-SUMIFS(mv_qty,mv_ref,A456,mv_type,"Sortie",mv_date,"&lt;"&amp;$E$1),6))</f>
        <v/>
      </c>
      <c r="E456" s="39" t="str">
        <f>IF(A456="","",SUMIFS(mv_qty,mv_ref,A456,mv_type,"Entrée",mv_date,"&gt;="&amp;$E$1,mv_date,"&lt;="&amp;$G$1))</f>
        <v/>
      </c>
      <c r="F456" s="39" t="str">
        <f>IF(A456="","",SUMIFS(mv_qty,mv_ref,A456,mv_type,"Sortie",mv_date,"&gt;="&amp;$E$1,mv_date,"&lt;="&amp;$G$1))</f>
        <v/>
      </c>
      <c r="G456" s="39" t="str">
        <f>IF(A456="","",ROUND(D456+E456-F456,6))</f>
        <v/>
      </c>
      <c r="H456" s="40" t="str">
        <f>IF(A456="","",G456*N('Articles'!G456))</f>
        <v/>
      </c>
    </row>
    <row r="457">
      <c r="A457" s="39" t="str">
        <f>IF('Articles'!A457="","",'Articles'!A457)</f>
        <v/>
      </c>
      <c r="B457" s="39" t="str">
        <f>IF(A457="","",'Articles'!B457&amp;"")</f>
        <v/>
      </c>
      <c r="C457" s="39" t="str">
        <f>IF(A457="","",'Articles'!D457&amp;"")</f>
        <v/>
      </c>
      <c r="D457" s="39" t="str">
        <f>IF(A457="","",ROUND(N('Articles'!H457)+SUMIFS(mv_qty,mv_ref,A457,mv_type,"Entrée",mv_date,"&lt;"&amp;$E$1)-SUMIFS(mv_qty,mv_ref,A457,mv_type,"Sortie",mv_date,"&lt;"&amp;$E$1),6))</f>
        <v/>
      </c>
      <c r="E457" s="39" t="str">
        <f>IF(A457="","",SUMIFS(mv_qty,mv_ref,A457,mv_type,"Entrée",mv_date,"&gt;="&amp;$E$1,mv_date,"&lt;="&amp;$G$1))</f>
        <v/>
      </c>
      <c r="F457" s="39" t="str">
        <f>IF(A457="","",SUMIFS(mv_qty,mv_ref,A457,mv_type,"Sortie",mv_date,"&gt;="&amp;$E$1,mv_date,"&lt;="&amp;$G$1))</f>
        <v/>
      </c>
      <c r="G457" s="39" t="str">
        <f>IF(A457="","",ROUND(D457+E457-F457,6))</f>
        <v/>
      </c>
      <c r="H457" s="40" t="str">
        <f>IF(A457="","",G457*N('Articles'!G457))</f>
        <v/>
      </c>
    </row>
    <row r="458">
      <c r="A458" s="39" t="str">
        <f>IF('Articles'!A458="","",'Articles'!A458)</f>
        <v/>
      </c>
      <c r="B458" s="39" t="str">
        <f>IF(A458="","",'Articles'!B458&amp;"")</f>
        <v/>
      </c>
      <c r="C458" s="39" t="str">
        <f>IF(A458="","",'Articles'!D458&amp;"")</f>
        <v/>
      </c>
      <c r="D458" s="39" t="str">
        <f>IF(A458="","",ROUND(N('Articles'!H458)+SUMIFS(mv_qty,mv_ref,A458,mv_type,"Entrée",mv_date,"&lt;"&amp;$E$1)-SUMIFS(mv_qty,mv_ref,A458,mv_type,"Sortie",mv_date,"&lt;"&amp;$E$1),6))</f>
        <v/>
      </c>
      <c r="E458" s="39" t="str">
        <f>IF(A458="","",SUMIFS(mv_qty,mv_ref,A458,mv_type,"Entrée",mv_date,"&gt;="&amp;$E$1,mv_date,"&lt;="&amp;$G$1))</f>
        <v/>
      </c>
      <c r="F458" s="39" t="str">
        <f>IF(A458="","",SUMIFS(mv_qty,mv_ref,A458,mv_type,"Sortie",mv_date,"&gt;="&amp;$E$1,mv_date,"&lt;="&amp;$G$1))</f>
        <v/>
      </c>
      <c r="G458" s="39" t="str">
        <f>IF(A458="","",ROUND(D458+E458-F458,6))</f>
        <v/>
      </c>
      <c r="H458" s="40" t="str">
        <f>IF(A458="","",G458*N('Articles'!G458))</f>
        <v/>
      </c>
    </row>
    <row r="459">
      <c r="A459" s="39" t="str">
        <f>IF('Articles'!A459="","",'Articles'!A459)</f>
        <v/>
      </c>
      <c r="B459" s="39" t="str">
        <f>IF(A459="","",'Articles'!B459&amp;"")</f>
        <v/>
      </c>
      <c r="C459" s="39" t="str">
        <f>IF(A459="","",'Articles'!D459&amp;"")</f>
        <v/>
      </c>
      <c r="D459" s="39" t="str">
        <f>IF(A459="","",ROUND(N('Articles'!H459)+SUMIFS(mv_qty,mv_ref,A459,mv_type,"Entrée",mv_date,"&lt;"&amp;$E$1)-SUMIFS(mv_qty,mv_ref,A459,mv_type,"Sortie",mv_date,"&lt;"&amp;$E$1),6))</f>
        <v/>
      </c>
      <c r="E459" s="39" t="str">
        <f>IF(A459="","",SUMIFS(mv_qty,mv_ref,A459,mv_type,"Entrée",mv_date,"&gt;="&amp;$E$1,mv_date,"&lt;="&amp;$G$1))</f>
        <v/>
      </c>
      <c r="F459" s="39" t="str">
        <f>IF(A459="","",SUMIFS(mv_qty,mv_ref,A459,mv_type,"Sortie",mv_date,"&gt;="&amp;$E$1,mv_date,"&lt;="&amp;$G$1))</f>
        <v/>
      </c>
      <c r="G459" s="39" t="str">
        <f>IF(A459="","",ROUND(D459+E459-F459,6))</f>
        <v/>
      </c>
      <c r="H459" s="40" t="str">
        <f>IF(A459="","",G459*N('Articles'!G459))</f>
        <v/>
      </c>
    </row>
    <row r="460">
      <c r="A460" s="39" t="str">
        <f>IF('Articles'!A460="","",'Articles'!A460)</f>
        <v/>
      </c>
      <c r="B460" s="39" t="str">
        <f>IF(A460="","",'Articles'!B460&amp;"")</f>
        <v/>
      </c>
      <c r="C460" s="39" t="str">
        <f>IF(A460="","",'Articles'!D460&amp;"")</f>
        <v/>
      </c>
      <c r="D460" s="39" t="str">
        <f>IF(A460="","",ROUND(N('Articles'!H460)+SUMIFS(mv_qty,mv_ref,A460,mv_type,"Entrée",mv_date,"&lt;"&amp;$E$1)-SUMIFS(mv_qty,mv_ref,A460,mv_type,"Sortie",mv_date,"&lt;"&amp;$E$1),6))</f>
        <v/>
      </c>
      <c r="E460" s="39" t="str">
        <f>IF(A460="","",SUMIFS(mv_qty,mv_ref,A460,mv_type,"Entrée",mv_date,"&gt;="&amp;$E$1,mv_date,"&lt;="&amp;$G$1))</f>
        <v/>
      </c>
      <c r="F460" s="39" t="str">
        <f>IF(A460="","",SUMIFS(mv_qty,mv_ref,A460,mv_type,"Sortie",mv_date,"&gt;="&amp;$E$1,mv_date,"&lt;="&amp;$G$1))</f>
        <v/>
      </c>
      <c r="G460" s="39" t="str">
        <f>IF(A460="","",ROUND(D460+E460-F460,6))</f>
        <v/>
      </c>
      <c r="H460" s="40" t="str">
        <f>IF(A460="","",G460*N('Articles'!G460))</f>
        <v/>
      </c>
    </row>
    <row r="461">
      <c r="A461" s="39" t="str">
        <f>IF('Articles'!A461="","",'Articles'!A461)</f>
        <v/>
      </c>
      <c r="B461" s="39" t="str">
        <f>IF(A461="","",'Articles'!B461&amp;"")</f>
        <v/>
      </c>
      <c r="C461" s="39" t="str">
        <f>IF(A461="","",'Articles'!D461&amp;"")</f>
        <v/>
      </c>
      <c r="D461" s="39" t="str">
        <f>IF(A461="","",ROUND(N('Articles'!H461)+SUMIFS(mv_qty,mv_ref,A461,mv_type,"Entrée",mv_date,"&lt;"&amp;$E$1)-SUMIFS(mv_qty,mv_ref,A461,mv_type,"Sortie",mv_date,"&lt;"&amp;$E$1),6))</f>
        <v/>
      </c>
      <c r="E461" s="39" t="str">
        <f>IF(A461="","",SUMIFS(mv_qty,mv_ref,A461,mv_type,"Entrée",mv_date,"&gt;="&amp;$E$1,mv_date,"&lt;="&amp;$G$1))</f>
        <v/>
      </c>
      <c r="F461" s="39" t="str">
        <f>IF(A461="","",SUMIFS(mv_qty,mv_ref,A461,mv_type,"Sortie",mv_date,"&gt;="&amp;$E$1,mv_date,"&lt;="&amp;$G$1))</f>
        <v/>
      </c>
      <c r="G461" s="39" t="str">
        <f>IF(A461="","",ROUND(D461+E461-F461,6))</f>
        <v/>
      </c>
      <c r="H461" s="40" t="str">
        <f>IF(A461="","",G461*N('Articles'!G461))</f>
        <v/>
      </c>
    </row>
    <row r="462">
      <c r="A462" s="39" t="str">
        <f>IF('Articles'!A462="","",'Articles'!A462)</f>
        <v/>
      </c>
      <c r="B462" s="39" t="str">
        <f>IF(A462="","",'Articles'!B462&amp;"")</f>
        <v/>
      </c>
      <c r="C462" s="39" t="str">
        <f>IF(A462="","",'Articles'!D462&amp;"")</f>
        <v/>
      </c>
      <c r="D462" s="39" t="str">
        <f>IF(A462="","",ROUND(N('Articles'!H462)+SUMIFS(mv_qty,mv_ref,A462,mv_type,"Entrée",mv_date,"&lt;"&amp;$E$1)-SUMIFS(mv_qty,mv_ref,A462,mv_type,"Sortie",mv_date,"&lt;"&amp;$E$1),6))</f>
        <v/>
      </c>
      <c r="E462" s="39" t="str">
        <f>IF(A462="","",SUMIFS(mv_qty,mv_ref,A462,mv_type,"Entrée",mv_date,"&gt;="&amp;$E$1,mv_date,"&lt;="&amp;$G$1))</f>
        <v/>
      </c>
      <c r="F462" s="39" t="str">
        <f>IF(A462="","",SUMIFS(mv_qty,mv_ref,A462,mv_type,"Sortie",mv_date,"&gt;="&amp;$E$1,mv_date,"&lt;="&amp;$G$1))</f>
        <v/>
      </c>
      <c r="G462" s="39" t="str">
        <f>IF(A462="","",ROUND(D462+E462-F462,6))</f>
        <v/>
      </c>
      <c r="H462" s="40" t="str">
        <f>IF(A462="","",G462*N('Articles'!G462))</f>
        <v/>
      </c>
    </row>
    <row r="463">
      <c r="A463" s="39" t="str">
        <f>IF('Articles'!A463="","",'Articles'!A463)</f>
        <v/>
      </c>
      <c r="B463" s="39" t="str">
        <f>IF(A463="","",'Articles'!B463&amp;"")</f>
        <v/>
      </c>
      <c r="C463" s="39" t="str">
        <f>IF(A463="","",'Articles'!D463&amp;"")</f>
        <v/>
      </c>
      <c r="D463" s="39" t="str">
        <f>IF(A463="","",ROUND(N('Articles'!H463)+SUMIFS(mv_qty,mv_ref,A463,mv_type,"Entrée",mv_date,"&lt;"&amp;$E$1)-SUMIFS(mv_qty,mv_ref,A463,mv_type,"Sortie",mv_date,"&lt;"&amp;$E$1),6))</f>
        <v/>
      </c>
      <c r="E463" s="39" t="str">
        <f>IF(A463="","",SUMIFS(mv_qty,mv_ref,A463,mv_type,"Entrée",mv_date,"&gt;="&amp;$E$1,mv_date,"&lt;="&amp;$G$1))</f>
        <v/>
      </c>
      <c r="F463" s="39" t="str">
        <f>IF(A463="","",SUMIFS(mv_qty,mv_ref,A463,mv_type,"Sortie",mv_date,"&gt;="&amp;$E$1,mv_date,"&lt;="&amp;$G$1))</f>
        <v/>
      </c>
      <c r="G463" s="39" t="str">
        <f>IF(A463="","",ROUND(D463+E463-F463,6))</f>
        <v/>
      </c>
      <c r="H463" s="40" t="str">
        <f>IF(A463="","",G463*N('Articles'!G463))</f>
        <v/>
      </c>
    </row>
    <row r="464">
      <c r="A464" s="39" t="str">
        <f>IF('Articles'!A464="","",'Articles'!A464)</f>
        <v/>
      </c>
      <c r="B464" s="39" t="str">
        <f>IF(A464="","",'Articles'!B464&amp;"")</f>
        <v/>
      </c>
      <c r="C464" s="39" t="str">
        <f>IF(A464="","",'Articles'!D464&amp;"")</f>
        <v/>
      </c>
      <c r="D464" s="39" t="str">
        <f>IF(A464="","",ROUND(N('Articles'!H464)+SUMIFS(mv_qty,mv_ref,A464,mv_type,"Entrée",mv_date,"&lt;"&amp;$E$1)-SUMIFS(mv_qty,mv_ref,A464,mv_type,"Sortie",mv_date,"&lt;"&amp;$E$1),6))</f>
        <v/>
      </c>
      <c r="E464" s="39" t="str">
        <f>IF(A464="","",SUMIFS(mv_qty,mv_ref,A464,mv_type,"Entrée",mv_date,"&gt;="&amp;$E$1,mv_date,"&lt;="&amp;$G$1))</f>
        <v/>
      </c>
      <c r="F464" s="39" t="str">
        <f>IF(A464="","",SUMIFS(mv_qty,mv_ref,A464,mv_type,"Sortie",mv_date,"&gt;="&amp;$E$1,mv_date,"&lt;="&amp;$G$1))</f>
        <v/>
      </c>
      <c r="G464" s="39" t="str">
        <f>IF(A464="","",ROUND(D464+E464-F464,6))</f>
        <v/>
      </c>
      <c r="H464" s="40" t="str">
        <f>IF(A464="","",G464*N('Articles'!G464))</f>
        <v/>
      </c>
    </row>
    <row r="465">
      <c r="A465" s="39" t="str">
        <f>IF('Articles'!A465="","",'Articles'!A465)</f>
        <v/>
      </c>
      <c r="B465" s="39" t="str">
        <f>IF(A465="","",'Articles'!B465&amp;"")</f>
        <v/>
      </c>
      <c r="C465" s="39" t="str">
        <f>IF(A465="","",'Articles'!D465&amp;"")</f>
        <v/>
      </c>
      <c r="D465" s="39" t="str">
        <f>IF(A465="","",ROUND(N('Articles'!H465)+SUMIFS(mv_qty,mv_ref,A465,mv_type,"Entrée",mv_date,"&lt;"&amp;$E$1)-SUMIFS(mv_qty,mv_ref,A465,mv_type,"Sortie",mv_date,"&lt;"&amp;$E$1),6))</f>
        <v/>
      </c>
      <c r="E465" s="39" t="str">
        <f>IF(A465="","",SUMIFS(mv_qty,mv_ref,A465,mv_type,"Entrée",mv_date,"&gt;="&amp;$E$1,mv_date,"&lt;="&amp;$G$1))</f>
        <v/>
      </c>
      <c r="F465" s="39" t="str">
        <f>IF(A465="","",SUMIFS(mv_qty,mv_ref,A465,mv_type,"Sortie",mv_date,"&gt;="&amp;$E$1,mv_date,"&lt;="&amp;$G$1))</f>
        <v/>
      </c>
      <c r="G465" s="39" t="str">
        <f>IF(A465="","",ROUND(D465+E465-F465,6))</f>
        <v/>
      </c>
      <c r="H465" s="40" t="str">
        <f>IF(A465="","",G465*N('Articles'!G465))</f>
        <v/>
      </c>
    </row>
    <row r="466">
      <c r="A466" s="39" t="str">
        <f>IF('Articles'!A466="","",'Articles'!A466)</f>
        <v/>
      </c>
      <c r="B466" s="39" t="str">
        <f>IF(A466="","",'Articles'!B466&amp;"")</f>
        <v/>
      </c>
      <c r="C466" s="39" t="str">
        <f>IF(A466="","",'Articles'!D466&amp;"")</f>
        <v/>
      </c>
      <c r="D466" s="39" t="str">
        <f>IF(A466="","",ROUND(N('Articles'!H466)+SUMIFS(mv_qty,mv_ref,A466,mv_type,"Entrée",mv_date,"&lt;"&amp;$E$1)-SUMIFS(mv_qty,mv_ref,A466,mv_type,"Sortie",mv_date,"&lt;"&amp;$E$1),6))</f>
        <v/>
      </c>
      <c r="E466" s="39" t="str">
        <f>IF(A466="","",SUMIFS(mv_qty,mv_ref,A466,mv_type,"Entrée",mv_date,"&gt;="&amp;$E$1,mv_date,"&lt;="&amp;$G$1))</f>
        <v/>
      </c>
      <c r="F466" s="39" t="str">
        <f>IF(A466="","",SUMIFS(mv_qty,mv_ref,A466,mv_type,"Sortie",mv_date,"&gt;="&amp;$E$1,mv_date,"&lt;="&amp;$G$1))</f>
        <v/>
      </c>
      <c r="G466" s="39" t="str">
        <f>IF(A466="","",ROUND(D466+E466-F466,6))</f>
        <v/>
      </c>
      <c r="H466" s="40" t="str">
        <f>IF(A466="","",G466*N('Articles'!G466))</f>
        <v/>
      </c>
    </row>
    <row r="467">
      <c r="A467" s="39" t="str">
        <f>IF('Articles'!A467="","",'Articles'!A467)</f>
        <v/>
      </c>
      <c r="B467" s="39" t="str">
        <f>IF(A467="","",'Articles'!B467&amp;"")</f>
        <v/>
      </c>
      <c r="C467" s="39" t="str">
        <f>IF(A467="","",'Articles'!D467&amp;"")</f>
        <v/>
      </c>
      <c r="D467" s="39" t="str">
        <f>IF(A467="","",ROUND(N('Articles'!H467)+SUMIFS(mv_qty,mv_ref,A467,mv_type,"Entrée",mv_date,"&lt;"&amp;$E$1)-SUMIFS(mv_qty,mv_ref,A467,mv_type,"Sortie",mv_date,"&lt;"&amp;$E$1),6))</f>
        <v/>
      </c>
      <c r="E467" s="39" t="str">
        <f>IF(A467="","",SUMIFS(mv_qty,mv_ref,A467,mv_type,"Entrée",mv_date,"&gt;="&amp;$E$1,mv_date,"&lt;="&amp;$G$1))</f>
        <v/>
      </c>
      <c r="F467" s="39" t="str">
        <f>IF(A467="","",SUMIFS(mv_qty,mv_ref,A467,mv_type,"Sortie",mv_date,"&gt;="&amp;$E$1,mv_date,"&lt;="&amp;$G$1))</f>
        <v/>
      </c>
      <c r="G467" s="39" t="str">
        <f>IF(A467="","",ROUND(D467+E467-F467,6))</f>
        <v/>
      </c>
      <c r="H467" s="40" t="str">
        <f>IF(A467="","",G467*N('Articles'!G467))</f>
        <v/>
      </c>
    </row>
    <row r="468">
      <c r="A468" s="39" t="str">
        <f>IF('Articles'!A468="","",'Articles'!A468)</f>
        <v/>
      </c>
      <c r="B468" s="39" t="str">
        <f>IF(A468="","",'Articles'!B468&amp;"")</f>
        <v/>
      </c>
      <c r="C468" s="39" t="str">
        <f>IF(A468="","",'Articles'!D468&amp;"")</f>
        <v/>
      </c>
      <c r="D468" s="39" t="str">
        <f>IF(A468="","",ROUND(N('Articles'!H468)+SUMIFS(mv_qty,mv_ref,A468,mv_type,"Entrée",mv_date,"&lt;"&amp;$E$1)-SUMIFS(mv_qty,mv_ref,A468,mv_type,"Sortie",mv_date,"&lt;"&amp;$E$1),6))</f>
        <v/>
      </c>
      <c r="E468" s="39" t="str">
        <f>IF(A468="","",SUMIFS(mv_qty,mv_ref,A468,mv_type,"Entrée",mv_date,"&gt;="&amp;$E$1,mv_date,"&lt;="&amp;$G$1))</f>
        <v/>
      </c>
      <c r="F468" s="39" t="str">
        <f>IF(A468="","",SUMIFS(mv_qty,mv_ref,A468,mv_type,"Sortie",mv_date,"&gt;="&amp;$E$1,mv_date,"&lt;="&amp;$G$1))</f>
        <v/>
      </c>
      <c r="G468" s="39" t="str">
        <f>IF(A468="","",ROUND(D468+E468-F468,6))</f>
        <v/>
      </c>
      <c r="H468" s="40" t="str">
        <f>IF(A468="","",G468*N('Articles'!G468))</f>
        <v/>
      </c>
    </row>
    <row r="469">
      <c r="A469" s="39" t="str">
        <f>IF('Articles'!A469="","",'Articles'!A469)</f>
        <v/>
      </c>
      <c r="B469" s="39" t="str">
        <f>IF(A469="","",'Articles'!B469&amp;"")</f>
        <v/>
      </c>
      <c r="C469" s="39" t="str">
        <f>IF(A469="","",'Articles'!D469&amp;"")</f>
        <v/>
      </c>
      <c r="D469" s="39" t="str">
        <f>IF(A469="","",ROUND(N('Articles'!H469)+SUMIFS(mv_qty,mv_ref,A469,mv_type,"Entrée",mv_date,"&lt;"&amp;$E$1)-SUMIFS(mv_qty,mv_ref,A469,mv_type,"Sortie",mv_date,"&lt;"&amp;$E$1),6))</f>
        <v/>
      </c>
      <c r="E469" s="39" t="str">
        <f>IF(A469="","",SUMIFS(mv_qty,mv_ref,A469,mv_type,"Entrée",mv_date,"&gt;="&amp;$E$1,mv_date,"&lt;="&amp;$G$1))</f>
        <v/>
      </c>
      <c r="F469" s="39" t="str">
        <f>IF(A469="","",SUMIFS(mv_qty,mv_ref,A469,mv_type,"Sortie",mv_date,"&gt;="&amp;$E$1,mv_date,"&lt;="&amp;$G$1))</f>
        <v/>
      </c>
      <c r="G469" s="39" t="str">
        <f>IF(A469="","",ROUND(D469+E469-F469,6))</f>
        <v/>
      </c>
      <c r="H469" s="40" t="str">
        <f>IF(A469="","",G469*N('Articles'!G469))</f>
        <v/>
      </c>
    </row>
    <row r="470">
      <c r="A470" s="39" t="str">
        <f>IF('Articles'!A470="","",'Articles'!A470)</f>
        <v/>
      </c>
      <c r="B470" s="39" t="str">
        <f>IF(A470="","",'Articles'!B470&amp;"")</f>
        <v/>
      </c>
      <c r="C470" s="39" t="str">
        <f>IF(A470="","",'Articles'!D470&amp;"")</f>
        <v/>
      </c>
      <c r="D470" s="39" t="str">
        <f>IF(A470="","",ROUND(N('Articles'!H470)+SUMIFS(mv_qty,mv_ref,A470,mv_type,"Entrée",mv_date,"&lt;"&amp;$E$1)-SUMIFS(mv_qty,mv_ref,A470,mv_type,"Sortie",mv_date,"&lt;"&amp;$E$1),6))</f>
        <v/>
      </c>
      <c r="E470" s="39" t="str">
        <f>IF(A470="","",SUMIFS(mv_qty,mv_ref,A470,mv_type,"Entrée",mv_date,"&gt;="&amp;$E$1,mv_date,"&lt;="&amp;$G$1))</f>
        <v/>
      </c>
      <c r="F470" s="39" t="str">
        <f>IF(A470="","",SUMIFS(mv_qty,mv_ref,A470,mv_type,"Sortie",mv_date,"&gt;="&amp;$E$1,mv_date,"&lt;="&amp;$G$1))</f>
        <v/>
      </c>
      <c r="G470" s="39" t="str">
        <f>IF(A470="","",ROUND(D470+E470-F470,6))</f>
        <v/>
      </c>
      <c r="H470" s="40" t="str">
        <f>IF(A470="","",G470*N('Articles'!G470))</f>
        <v/>
      </c>
    </row>
    <row r="471">
      <c r="A471" s="39" t="str">
        <f>IF('Articles'!A471="","",'Articles'!A471)</f>
        <v/>
      </c>
      <c r="B471" s="39" t="str">
        <f>IF(A471="","",'Articles'!B471&amp;"")</f>
        <v/>
      </c>
      <c r="C471" s="39" t="str">
        <f>IF(A471="","",'Articles'!D471&amp;"")</f>
        <v/>
      </c>
      <c r="D471" s="39" t="str">
        <f>IF(A471="","",ROUND(N('Articles'!H471)+SUMIFS(mv_qty,mv_ref,A471,mv_type,"Entrée",mv_date,"&lt;"&amp;$E$1)-SUMIFS(mv_qty,mv_ref,A471,mv_type,"Sortie",mv_date,"&lt;"&amp;$E$1),6))</f>
        <v/>
      </c>
      <c r="E471" s="39" t="str">
        <f>IF(A471="","",SUMIFS(mv_qty,mv_ref,A471,mv_type,"Entrée",mv_date,"&gt;="&amp;$E$1,mv_date,"&lt;="&amp;$G$1))</f>
        <v/>
      </c>
      <c r="F471" s="39" t="str">
        <f>IF(A471="","",SUMIFS(mv_qty,mv_ref,A471,mv_type,"Sortie",mv_date,"&gt;="&amp;$E$1,mv_date,"&lt;="&amp;$G$1))</f>
        <v/>
      </c>
      <c r="G471" s="39" t="str">
        <f>IF(A471="","",ROUND(D471+E471-F471,6))</f>
        <v/>
      </c>
      <c r="H471" s="40" t="str">
        <f>IF(A471="","",G471*N('Articles'!G471))</f>
        <v/>
      </c>
    </row>
    <row r="472">
      <c r="A472" s="39" t="str">
        <f>IF('Articles'!A472="","",'Articles'!A472)</f>
        <v/>
      </c>
      <c r="B472" s="39" t="str">
        <f>IF(A472="","",'Articles'!B472&amp;"")</f>
        <v/>
      </c>
      <c r="C472" s="39" t="str">
        <f>IF(A472="","",'Articles'!D472&amp;"")</f>
        <v/>
      </c>
      <c r="D472" s="39" t="str">
        <f>IF(A472="","",ROUND(N('Articles'!H472)+SUMIFS(mv_qty,mv_ref,A472,mv_type,"Entrée",mv_date,"&lt;"&amp;$E$1)-SUMIFS(mv_qty,mv_ref,A472,mv_type,"Sortie",mv_date,"&lt;"&amp;$E$1),6))</f>
        <v/>
      </c>
      <c r="E472" s="39" t="str">
        <f>IF(A472="","",SUMIFS(mv_qty,mv_ref,A472,mv_type,"Entrée",mv_date,"&gt;="&amp;$E$1,mv_date,"&lt;="&amp;$G$1))</f>
        <v/>
      </c>
      <c r="F472" s="39" t="str">
        <f>IF(A472="","",SUMIFS(mv_qty,mv_ref,A472,mv_type,"Sortie",mv_date,"&gt;="&amp;$E$1,mv_date,"&lt;="&amp;$G$1))</f>
        <v/>
      </c>
      <c r="G472" s="39" t="str">
        <f>IF(A472="","",ROUND(D472+E472-F472,6))</f>
        <v/>
      </c>
      <c r="H472" s="40" t="str">
        <f>IF(A472="","",G472*N('Articles'!G472))</f>
        <v/>
      </c>
    </row>
    <row r="473">
      <c r="A473" s="39" t="str">
        <f>IF('Articles'!A473="","",'Articles'!A473)</f>
        <v/>
      </c>
      <c r="B473" s="39" t="str">
        <f>IF(A473="","",'Articles'!B473&amp;"")</f>
        <v/>
      </c>
      <c r="C473" s="39" t="str">
        <f>IF(A473="","",'Articles'!D473&amp;"")</f>
        <v/>
      </c>
      <c r="D473" s="39" t="str">
        <f>IF(A473="","",ROUND(N('Articles'!H473)+SUMIFS(mv_qty,mv_ref,A473,mv_type,"Entrée",mv_date,"&lt;"&amp;$E$1)-SUMIFS(mv_qty,mv_ref,A473,mv_type,"Sortie",mv_date,"&lt;"&amp;$E$1),6))</f>
        <v/>
      </c>
      <c r="E473" s="39" t="str">
        <f>IF(A473="","",SUMIFS(mv_qty,mv_ref,A473,mv_type,"Entrée",mv_date,"&gt;="&amp;$E$1,mv_date,"&lt;="&amp;$G$1))</f>
        <v/>
      </c>
      <c r="F473" s="39" t="str">
        <f>IF(A473="","",SUMIFS(mv_qty,mv_ref,A473,mv_type,"Sortie",mv_date,"&gt;="&amp;$E$1,mv_date,"&lt;="&amp;$G$1))</f>
        <v/>
      </c>
      <c r="G473" s="39" t="str">
        <f>IF(A473="","",ROUND(D473+E473-F473,6))</f>
        <v/>
      </c>
      <c r="H473" s="40" t="str">
        <f>IF(A473="","",G473*N('Articles'!G473))</f>
        <v/>
      </c>
    </row>
    <row r="474">
      <c r="A474" s="39" t="str">
        <f>IF('Articles'!A474="","",'Articles'!A474)</f>
        <v/>
      </c>
      <c r="B474" s="39" t="str">
        <f>IF(A474="","",'Articles'!B474&amp;"")</f>
        <v/>
      </c>
      <c r="C474" s="39" t="str">
        <f>IF(A474="","",'Articles'!D474&amp;"")</f>
        <v/>
      </c>
      <c r="D474" s="39" t="str">
        <f>IF(A474="","",ROUND(N('Articles'!H474)+SUMIFS(mv_qty,mv_ref,A474,mv_type,"Entrée",mv_date,"&lt;"&amp;$E$1)-SUMIFS(mv_qty,mv_ref,A474,mv_type,"Sortie",mv_date,"&lt;"&amp;$E$1),6))</f>
        <v/>
      </c>
      <c r="E474" s="39" t="str">
        <f>IF(A474="","",SUMIFS(mv_qty,mv_ref,A474,mv_type,"Entrée",mv_date,"&gt;="&amp;$E$1,mv_date,"&lt;="&amp;$G$1))</f>
        <v/>
      </c>
      <c r="F474" s="39" t="str">
        <f>IF(A474="","",SUMIFS(mv_qty,mv_ref,A474,mv_type,"Sortie",mv_date,"&gt;="&amp;$E$1,mv_date,"&lt;="&amp;$G$1))</f>
        <v/>
      </c>
      <c r="G474" s="39" t="str">
        <f>IF(A474="","",ROUND(D474+E474-F474,6))</f>
        <v/>
      </c>
      <c r="H474" s="40" t="str">
        <f>IF(A474="","",G474*N('Articles'!G474))</f>
        <v/>
      </c>
    </row>
    <row r="475">
      <c r="A475" s="39" t="str">
        <f>IF('Articles'!A475="","",'Articles'!A475)</f>
        <v/>
      </c>
      <c r="B475" s="39" t="str">
        <f>IF(A475="","",'Articles'!B475&amp;"")</f>
        <v/>
      </c>
      <c r="C475" s="39" t="str">
        <f>IF(A475="","",'Articles'!D475&amp;"")</f>
        <v/>
      </c>
      <c r="D475" s="39" t="str">
        <f>IF(A475="","",ROUND(N('Articles'!H475)+SUMIFS(mv_qty,mv_ref,A475,mv_type,"Entrée",mv_date,"&lt;"&amp;$E$1)-SUMIFS(mv_qty,mv_ref,A475,mv_type,"Sortie",mv_date,"&lt;"&amp;$E$1),6))</f>
        <v/>
      </c>
      <c r="E475" s="39" t="str">
        <f>IF(A475="","",SUMIFS(mv_qty,mv_ref,A475,mv_type,"Entrée",mv_date,"&gt;="&amp;$E$1,mv_date,"&lt;="&amp;$G$1))</f>
        <v/>
      </c>
      <c r="F475" s="39" t="str">
        <f>IF(A475="","",SUMIFS(mv_qty,mv_ref,A475,mv_type,"Sortie",mv_date,"&gt;="&amp;$E$1,mv_date,"&lt;="&amp;$G$1))</f>
        <v/>
      </c>
      <c r="G475" s="39" t="str">
        <f>IF(A475="","",ROUND(D475+E475-F475,6))</f>
        <v/>
      </c>
      <c r="H475" s="40" t="str">
        <f>IF(A475="","",G475*N('Articles'!G475))</f>
        <v/>
      </c>
    </row>
    <row r="476">
      <c r="A476" s="39" t="str">
        <f>IF('Articles'!A476="","",'Articles'!A476)</f>
        <v/>
      </c>
      <c r="B476" s="39" t="str">
        <f>IF(A476="","",'Articles'!B476&amp;"")</f>
        <v/>
      </c>
      <c r="C476" s="39" t="str">
        <f>IF(A476="","",'Articles'!D476&amp;"")</f>
        <v/>
      </c>
      <c r="D476" s="39" t="str">
        <f>IF(A476="","",ROUND(N('Articles'!H476)+SUMIFS(mv_qty,mv_ref,A476,mv_type,"Entrée",mv_date,"&lt;"&amp;$E$1)-SUMIFS(mv_qty,mv_ref,A476,mv_type,"Sortie",mv_date,"&lt;"&amp;$E$1),6))</f>
        <v/>
      </c>
      <c r="E476" s="39" t="str">
        <f>IF(A476="","",SUMIFS(mv_qty,mv_ref,A476,mv_type,"Entrée",mv_date,"&gt;="&amp;$E$1,mv_date,"&lt;="&amp;$G$1))</f>
        <v/>
      </c>
      <c r="F476" s="39" t="str">
        <f>IF(A476="","",SUMIFS(mv_qty,mv_ref,A476,mv_type,"Sortie",mv_date,"&gt;="&amp;$E$1,mv_date,"&lt;="&amp;$G$1))</f>
        <v/>
      </c>
      <c r="G476" s="39" t="str">
        <f>IF(A476="","",ROUND(D476+E476-F476,6))</f>
        <v/>
      </c>
      <c r="H476" s="40" t="str">
        <f>IF(A476="","",G476*N('Articles'!G476))</f>
        <v/>
      </c>
    </row>
    <row r="477">
      <c r="A477" s="39" t="str">
        <f>IF('Articles'!A477="","",'Articles'!A477)</f>
        <v/>
      </c>
      <c r="B477" s="39" t="str">
        <f>IF(A477="","",'Articles'!B477&amp;"")</f>
        <v/>
      </c>
      <c r="C477" s="39" t="str">
        <f>IF(A477="","",'Articles'!D477&amp;"")</f>
        <v/>
      </c>
      <c r="D477" s="39" t="str">
        <f>IF(A477="","",ROUND(N('Articles'!H477)+SUMIFS(mv_qty,mv_ref,A477,mv_type,"Entrée",mv_date,"&lt;"&amp;$E$1)-SUMIFS(mv_qty,mv_ref,A477,mv_type,"Sortie",mv_date,"&lt;"&amp;$E$1),6))</f>
        <v/>
      </c>
      <c r="E477" s="39" t="str">
        <f>IF(A477="","",SUMIFS(mv_qty,mv_ref,A477,mv_type,"Entrée",mv_date,"&gt;="&amp;$E$1,mv_date,"&lt;="&amp;$G$1))</f>
        <v/>
      </c>
      <c r="F477" s="39" t="str">
        <f>IF(A477="","",SUMIFS(mv_qty,mv_ref,A477,mv_type,"Sortie",mv_date,"&gt;="&amp;$E$1,mv_date,"&lt;="&amp;$G$1))</f>
        <v/>
      </c>
      <c r="G477" s="39" t="str">
        <f>IF(A477="","",ROUND(D477+E477-F477,6))</f>
        <v/>
      </c>
      <c r="H477" s="40" t="str">
        <f>IF(A477="","",G477*N('Articles'!G477))</f>
        <v/>
      </c>
    </row>
    <row r="478">
      <c r="A478" s="39" t="str">
        <f>IF('Articles'!A478="","",'Articles'!A478)</f>
        <v/>
      </c>
      <c r="B478" s="39" t="str">
        <f>IF(A478="","",'Articles'!B478&amp;"")</f>
        <v/>
      </c>
      <c r="C478" s="39" t="str">
        <f>IF(A478="","",'Articles'!D478&amp;"")</f>
        <v/>
      </c>
      <c r="D478" s="39" t="str">
        <f>IF(A478="","",ROUND(N('Articles'!H478)+SUMIFS(mv_qty,mv_ref,A478,mv_type,"Entrée",mv_date,"&lt;"&amp;$E$1)-SUMIFS(mv_qty,mv_ref,A478,mv_type,"Sortie",mv_date,"&lt;"&amp;$E$1),6))</f>
        <v/>
      </c>
      <c r="E478" s="39" t="str">
        <f>IF(A478="","",SUMIFS(mv_qty,mv_ref,A478,mv_type,"Entrée",mv_date,"&gt;="&amp;$E$1,mv_date,"&lt;="&amp;$G$1))</f>
        <v/>
      </c>
      <c r="F478" s="39" t="str">
        <f>IF(A478="","",SUMIFS(mv_qty,mv_ref,A478,mv_type,"Sortie",mv_date,"&gt;="&amp;$E$1,mv_date,"&lt;="&amp;$G$1))</f>
        <v/>
      </c>
      <c r="G478" s="39" t="str">
        <f>IF(A478="","",ROUND(D478+E478-F478,6))</f>
        <v/>
      </c>
      <c r="H478" s="40" t="str">
        <f>IF(A478="","",G478*N('Articles'!G478))</f>
        <v/>
      </c>
    </row>
    <row r="479">
      <c r="A479" s="39" t="str">
        <f>IF('Articles'!A479="","",'Articles'!A479)</f>
        <v/>
      </c>
      <c r="B479" s="39" t="str">
        <f>IF(A479="","",'Articles'!B479&amp;"")</f>
        <v/>
      </c>
      <c r="C479" s="39" t="str">
        <f>IF(A479="","",'Articles'!D479&amp;"")</f>
        <v/>
      </c>
      <c r="D479" s="39" t="str">
        <f>IF(A479="","",ROUND(N('Articles'!H479)+SUMIFS(mv_qty,mv_ref,A479,mv_type,"Entrée",mv_date,"&lt;"&amp;$E$1)-SUMIFS(mv_qty,mv_ref,A479,mv_type,"Sortie",mv_date,"&lt;"&amp;$E$1),6))</f>
        <v/>
      </c>
      <c r="E479" s="39" t="str">
        <f>IF(A479="","",SUMIFS(mv_qty,mv_ref,A479,mv_type,"Entrée",mv_date,"&gt;="&amp;$E$1,mv_date,"&lt;="&amp;$G$1))</f>
        <v/>
      </c>
      <c r="F479" s="39" t="str">
        <f>IF(A479="","",SUMIFS(mv_qty,mv_ref,A479,mv_type,"Sortie",mv_date,"&gt;="&amp;$E$1,mv_date,"&lt;="&amp;$G$1))</f>
        <v/>
      </c>
      <c r="G479" s="39" t="str">
        <f>IF(A479="","",ROUND(D479+E479-F479,6))</f>
        <v/>
      </c>
      <c r="H479" s="40" t="str">
        <f>IF(A479="","",G479*N('Articles'!G479))</f>
        <v/>
      </c>
    </row>
    <row r="480">
      <c r="A480" s="39" t="str">
        <f>IF('Articles'!A480="","",'Articles'!A480)</f>
        <v/>
      </c>
      <c r="B480" s="39" t="str">
        <f>IF(A480="","",'Articles'!B480&amp;"")</f>
        <v/>
      </c>
      <c r="C480" s="39" t="str">
        <f>IF(A480="","",'Articles'!D480&amp;"")</f>
        <v/>
      </c>
      <c r="D480" s="39" t="str">
        <f>IF(A480="","",ROUND(N('Articles'!H480)+SUMIFS(mv_qty,mv_ref,A480,mv_type,"Entrée",mv_date,"&lt;"&amp;$E$1)-SUMIFS(mv_qty,mv_ref,A480,mv_type,"Sortie",mv_date,"&lt;"&amp;$E$1),6))</f>
        <v/>
      </c>
      <c r="E480" s="39" t="str">
        <f>IF(A480="","",SUMIFS(mv_qty,mv_ref,A480,mv_type,"Entrée",mv_date,"&gt;="&amp;$E$1,mv_date,"&lt;="&amp;$G$1))</f>
        <v/>
      </c>
      <c r="F480" s="39" t="str">
        <f>IF(A480="","",SUMIFS(mv_qty,mv_ref,A480,mv_type,"Sortie",mv_date,"&gt;="&amp;$E$1,mv_date,"&lt;="&amp;$G$1))</f>
        <v/>
      </c>
      <c r="G480" s="39" t="str">
        <f>IF(A480="","",ROUND(D480+E480-F480,6))</f>
        <v/>
      </c>
      <c r="H480" s="40" t="str">
        <f>IF(A480="","",G480*N('Articles'!G480))</f>
        <v/>
      </c>
    </row>
    <row r="481">
      <c r="A481" s="39" t="str">
        <f>IF('Articles'!A481="","",'Articles'!A481)</f>
        <v/>
      </c>
      <c r="B481" s="39" t="str">
        <f>IF(A481="","",'Articles'!B481&amp;"")</f>
        <v/>
      </c>
      <c r="C481" s="39" t="str">
        <f>IF(A481="","",'Articles'!D481&amp;"")</f>
        <v/>
      </c>
      <c r="D481" s="39" t="str">
        <f>IF(A481="","",ROUND(N('Articles'!H481)+SUMIFS(mv_qty,mv_ref,A481,mv_type,"Entrée",mv_date,"&lt;"&amp;$E$1)-SUMIFS(mv_qty,mv_ref,A481,mv_type,"Sortie",mv_date,"&lt;"&amp;$E$1),6))</f>
        <v/>
      </c>
      <c r="E481" s="39" t="str">
        <f>IF(A481="","",SUMIFS(mv_qty,mv_ref,A481,mv_type,"Entrée",mv_date,"&gt;="&amp;$E$1,mv_date,"&lt;="&amp;$G$1))</f>
        <v/>
      </c>
      <c r="F481" s="39" t="str">
        <f>IF(A481="","",SUMIFS(mv_qty,mv_ref,A481,mv_type,"Sortie",mv_date,"&gt;="&amp;$E$1,mv_date,"&lt;="&amp;$G$1))</f>
        <v/>
      </c>
      <c r="G481" s="39" t="str">
        <f>IF(A481="","",ROUND(D481+E481-F481,6))</f>
        <v/>
      </c>
      <c r="H481" s="40" t="str">
        <f>IF(A481="","",G481*N('Articles'!G481))</f>
        <v/>
      </c>
    </row>
    <row r="482">
      <c r="A482" s="39" t="str">
        <f>IF('Articles'!A482="","",'Articles'!A482)</f>
        <v/>
      </c>
      <c r="B482" s="39" t="str">
        <f>IF(A482="","",'Articles'!B482&amp;"")</f>
        <v/>
      </c>
      <c r="C482" s="39" t="str">
        <f>IF(A482="","",'Articles'!D482&amp;"")</f>
        <v/>
      </c>
      <c r="D482" s="39" t="str">
        <f>IF(A482="","",ROUND(N('Articles'!H482)+SUMIFS(mv_qty,mv_ref,A482,mv_type,"Entrée",mv_date,"&lt;"&amp;$E$1)-SUMIFS(mv_qty,mv_ref,A482,mv_type,"Sortie",mv_date,"&lt;"&amp;$E$1),6))</f>
        <v/>
      </c>
      <c r="E482" s="39" t="str">
        <f>IF(A482="","",SUMIFS(mv_qty,mv_ref,A482,mv_type,"Entrée",mv_date,"&gt;="&amp;$E$1,mv_date,"&lt;="&amp;$G$1))</f>
        <v/>
      </c>
      <c r="F482" s="39" t="str">
        <f>IF(A482="","",SUMIFS(mv_qty,mv_ref,A482,mv_type,"Sortie",mv_date,"&gt;="&amp;$E$1,mv_date,"&lt;="&amp;$G$1))</f>
        <v/>
      </c>
      <c r="G482" s="39" t="str">
        <f>IF(A482="","",ROUND(D482+E482-F482,6))</f>
        <v/>
      </c>
      <c r="H482" s="40" t="str">
        <f>IF(A482="","",G482*N('Articles'!G482))</f>
        <v/>
      </c>
    </row>
    <row r="483">
      <c r="A483" s="39" t="str">
        <f>IF('Articles'!A483="","",'Articles'!A483)</f>
        <v/>
      </c>
      <c r="B483" s="39" t="str">
        <f>IF(A483="","",'Articles'!B483&amp;"")</f>
        <v/>
      </c>
      <c r="C483" s="39" t="str">
        <f>IF(A483="","",'Articles'!D483&amp;"")</f>
        <v/>
      </c>
      <c r="D483" s="39" t="str">
        <f>IF(A483="","",ROUND(N('Articles'!H483)+SUMIFS(mv_qty,mv_ref,A483,mv_type,"Entrée",mv_date,"&lt;"&amp;$E$1)-SUMIFS(mv_qty,mv_ref,A483,mv_type,"Sortie",mv_date,"&lt;"&amp;$E$1),6))</f>
        <v/>
      </c>
      <c r="E483" s="39" t="str">
        <f>IF(A483="","",SUMIFS(mv_qty,mv_ref,A483,mv_type,"Entrée",mv_date,"&gt;="&amp;$E$1,mv_date,"&lt;="&amp;$G$1))</f>
        <v/>
      </c>
      <c r="F483" s="39" t="str">
        <f>IF(A483="","",SUMIFS(mv_qty,mv_ref,A483,mv_type,"Sortie",mv_date,"&gt;="&amp;$E$1,mv_date,"&lt;="&amp;$G$1))</f>
        <v/>
      </c>
      <c r="G483" s="39" t="str">
        <f>IF(A483="","",ROUND(D483+E483-F483,6))</f>
        <v/>
      </c>
      <c r="H483" s="40" t="str">
        <f>IF(A483="","",G483*N('Articles'!G483))</f>
        <v/>
      </c>
    </row>
    <row r="484">
      <c r="A484" s="39" t="str">
        <f>IF('Articles'!A484="","",'Articles'!A484)</f>
        <v/>
      </c>
      <c r="B484" s="39" t="str">
        <f>IF(A484="","",'Articles'!B484&amp;"")</f>
        <v/>
      </c>
      <c r="C484" s="39" t="str">
        <f>IF(A484="","",'Articles'!D484&amp;"")</f>
        <v/>
      </c>
      <c r="D484" s="39" t="str">
        <f>IF(A484="","",ROUND(N('Articles'!H484)+SUMIFS(mv_qty,mv_ref,A484,mv_type,"Entrée",mv_date,"&lt;"&amp;$E$1)-SUMIFS(mv_qty,mv_ref,A484,mv_type,"Sortie",mv_date,"&lt;"&amp;$E$1),6))</f>
        <v/>
      </c>
      <c r="E484" s="39" t="str">
        <f>IF(A484="","",SUMIFS(mv_qty,mv_ref,A484,mv_type,"Entrée",mv_date,"&gt;="&amp;$E$1,mv_date,"&lt;="&amp;$G$1))</f>
        <v/>
      </c>
      <c r="F484" s="39" t="str">
        <f>IF(A484="","",SUMIFS(mv_qty,mv_ref,A484,mv_type,"Sortie",mv_date,"&gt;="&amp;$E$1,mv_date,"&lt;="&amp;$G$1))</f>
        <v/>
      </c>
      <c r="G484" s="39" t="str">
        <f>IF(A484="","",ROUND(D484+E484-F484,6))</f>
        <v/>
      </c>
      <c r="H484" s="40" t="str">
        <f>IF(A484="","",G484*N('Articles'!G484))</f>
        <v/>
      </c>
    </row>
    <row r="485">
      <c r="A485" s="39" t="str">
        <f>IF('Articles'!A485="","",'Articles'!A485)</f>
        <v/>
      </c>
      <c r="B485" s="39" t="str">
        <f>IF(A485="","",'Articles'!B485&amp;"")</f>
        <v/>
      </c>
      <c r="C485" s="39" t="str">
        <f>IF(A485="","",'Articles'!D485&amp;"")</f>
        <v/>
      </c>
      <c r="D485" s="39" t="str">
        <f>IF(A485="","",ROUND(N('Articles'!H485)+SUMIFS(mv_qty,mv_ref,A485,mv_type,"Entrée",mv_date,"&lt;"&amp;$E$1)-SUMIFS(mv_qty,mv_ref,A485,mv_type,"Sortie",mv_date,"&lt;"&amp;$E$1),6))</f>
        <v/>
      </c>
      <c r="E485" s="39" t="str">
        <f>IF(A485="","",SUMIFS(mv_qty,mv_ref,A485,mv_type,"Entrée",mv_date,"&gt;="&amp;$E$1,mv_date,"&lt;="&amp;$G$1))</f>
        <v/>
      </c>
      <c r="F485" s="39" t="str">
        <f>IF(A485="","",SUMIFS(mv_qty,mv_ref,A485,mv_type,"Sortie",mv_date,"&gt;="&amp;$E$1,mv_date,"&lt;="&amp;$G$1))</f>
        <v/>
      </c>
      <c r="G485" s="39" t="str">
        <f>IF(A485="","",ROUND(D485+E485-F485,6))</f>
        <v/>
      </c>
      <c r="H485" s="40" t="str">
        <f>IF(A485="","",G485*N('Articles'!G485))</f>
        <v/>
      </c>
    </row>
    <row r="486">
      <c r="A486" s="39" t="str">
        <f>IF('Articles'!A486="","",'Articles'!A486)</f>
        <v/>
      </c>
      <c r="B486" s="39" t="str">
        <f>IF(A486="","",'Articles'!B486&amp;"")</f>
        <v/>
      </c>
      <c r="C486" s="39" t="str">
        <f>IF(A486="","",'Articles'!D486&amp;"")</f>
        <v/>
      </c>
      <c r="D486" s="39" t="str">
        <f>IF(A486="","",ROUND(N('Articles'!H486)+SUMIFS(mv_qty,mv_ref,A486,mv_type,"Entrée",mv_date,"&lt;"&amp;$E$1)-SUMIFS(mv_qty,mv_ref,A486,mv_type,"Sortie",mv_date,"&lt;"&amp;$E$1),6))</f>
        <v/>
      </c>
      <c r="E486" s="39" t="str">
        <f>IF(A486="","",SUMIFS(mv_qty,mv_ref,A486,mv_type,"Entrée",mv_date,"&gt;="&amp;$E$1,mv_date,"&lt;="&amp;$G$1))</f>
        <v/>
      </c>
      <c r="F486" s="39" t="str">
        <f>IF(A486="","",SUMIFS(mv_qty,mv_ref,A486,mv_type,"Sortie",mv_date,"&gt;="&amp;$E$1,mv_date,"&lt;="&amp;$G$1))</f>
        <v/>
      </c>
      <c r="G486" s="39" t="str">
        <f>IF(A486="","",ROUND(D486+E486-F486,6))</f>
        <v/>
      </c>
      <c r="H486" s="40" t="str">
        <f>IF(A486="","",G486*N('Articles'!G486))</f>
        <v/>
      </c>
    </row>
    <row r="487">
      <c r="A487" s="39" t="str">
        <f>IF('Articles'!A487="","",'Articles'!A487)</f>
        <v/>
      </c>
      <c r="B487" s="39" t="str">
        <f>IF(A487="","",'Articles'!B487&amp;"")</f>
        <v/>
      </c>
      <c r="C487" s="39" t="str">
        <f>IF(A487="","",'Articles'!D487&amp;"")</f>
        <v/>
      </c>
      <c r="D487" s="39" t="str">
        <f>IF(A487="","",ROUND(N('Articles'!H487)+SUMIFS(mv_qty,mv_ref,A487,mv_type,"Entrée",mv_date,"&lt;"&amp;$E$1)-SUMIFS(mv_qty,mv_ref,A487,mv_type,"Sortie",mv_date,"&lt;"&amp;$E$1),6))</f>
        <v/>
      </c>
      <c r="E487" s="39" t="str">
        <f>IF(A487="","",SUMIFS(mv_qty,mv_ref,A487,mv_type,"Entrée",mv_date,"&gt;="&amp;$E$1,mv_date,"&lt;="&amp;$G$1))</f>
        <v/>
      </c>
      <c r="F487" s="39" t="str">
        <f>IF(A487="","",SUMIFS(mv_qty,mv_ref,A487,mv_type,"Sortie",mv_date,"&gt;="&amp;$E$1,mv_date,"&lt;="&amp;$G$1))</f>
        <v/>
      </c>
      <c r="G487" s="39" t="str">
        <f>IF(A487="","",ROUND(D487+E487-F487,6))</f>
        <v/>
      </c>
      <c r="H487" s="40" t="str">
        <f>IF(A487="","",G487*N('Articles'!G487))</f>
        <v/>
      </c>
    </row>
    <row r="488">
      <c r="A488" s="39" t="str">
        <f>IF('Articles'!A488="","",'Articles'!A488)</f>
        <v/>
      </c>
      <c r="B488" s="39" t="str">
        <f>IF(A488="","",'Articles'!B488&amp;"")</f>
        <v/>
      </c>
      <c r="C488" s="39" t="str">
        <f>IF(A488="","",'Articles'!D488&amp;"")</f>
        <v/>
      </c>
      <c r="D488" s="39" t="str">
        <f>IF(A488="","",ROUND(N('Articles'!H488)+SUMIFS(mv_qty,mv_ref,A488,mv_type,"Entrée",mv_date,"&lt;"&amp;$E$1)-SUMIFS(mv_qty,mv_ref,A488,mv_type,"Sortie",mv_date,"&lt;"&amp;$E$1),6))</f>
        <v/>
      </c>
      <c r="E488" s="39" t="str">
        <f>IF(A488="","",SUMIFS(mv_qty,mv_ref,A488,mv_type,"Entrée",mv_date,"&gt;="&amp;$E$1,mv_date,"&lt;="&amp;$G$1))</f>
        <v/>
      </c>
      <c r="F488" s="39" t="str">
        <f>IF(A488="","",SUMIFS(mv_qty,mv_ref,A488,mv_type,"Sortie",mv_date,"&gt;="&amp;$E$1,mv_date,"&lt;="&amp;$G$1))</f>
        <v/>
      </c>
      <c r="G488" s="39" t="str">
        <f>IF(A488="","",ROUND(D488+E488-F488,6))</f>
        <v/>
      </c>
      <c r="H488" s="40" t="str">
        <f>IF(A488="","",G488*N('Articles'!G488))</f>
        <v/>
      </c>
    </row>
    <row r="489">
      <c r="A489" s="39" t="str">
        <f>IF('Articles'!A489="","",'Articles'!A489)</f>
        <v/>
      </c>
      <c r="B489" s="39" t="str">
        <f>IF(A489="","",'Articles'!B489&amp;"")</f>
        <v/>
      </c>
      <c r="C489" s="39" t="str">
        <f>IF(A489="","",'Articles'!D489&amp;"")</f>
        <v/>
      </c>
      <c r="D489" s="39" t="str">
        <f>IF(A489="","",ROUND(N('Articles'!H489)+SUMIFS(mv_qty,mv_ref,A489,mv_type,"Entrée",mv_date,"&lt;"&amp;$E$1)-SUMIFS(mv_qty,mv_ref,A489,mv_type,"Sortie",mv_date,"&lt;"&amp;$E$1),6))</f>
        <v/>
      </c>
      <c r="E489" s="39" t="str">
        <f>IF(A489="","",SUMIFS(mv_qty,mv_ref,A489,mv_type,"Entrée",mv_date,"&gt;="&amp;$E$1,mv_date,"&lt;="&amp;$G$1))</f>
        <v/>
      </c>
      <c r="F489" s="39" t="str">
        <f>IF(A489="","",SUMIFS(mv_qty,mv_ref,A489,mv_type,"Sortie",mv_date,"&gt;="&amp;$E$1,mv_date,"&lt;="&amp;$G$1))</f>
        <v/>
      </c>
      <c r="G489" s="39" t="str">
        <f>IF(A489="","",ROUND(D489+E489-F489,6))</f>
        <v/>
      </c>
      <c r="H489" s="40" t="str">
        <f>IF(A489="","",G489*N('Articles'!G489))</f>
        <v/>
      </c>
    </row>
    <row r="490">
      <c r="A490" s="39" t="str">
        <f>IF('Articles'!A490="","",'Articles'!A490)</f>
        <v/>
      </c>
      <c r="B490" s="39" t="str">
        <f>IF(A490="","",'Articles'!B490&amp;"")</f>
        <v/>
      </c>
      <c r="C490" s="39" t="str">
        <f>IF(A490="","",'Articles'!D490&amp;"")</f>
        <v/>
      </c>
      <c r="D490" s="39" t="str">
        <f>IF(A490="","",ROUND(N('Articles'!H490)+SUMIFS(mv_qty,mv_ref,A490,mv_type,"Entrée",mv_date,"&lt;"&amp;$E$1)-SUMIFS(mv_qty,mv_ref,A490,mv_type,"Sortie",mv_date,"&lt;"&amp;$E$1),6))</f>
        <v/>
      </c>
      <c r="E490" s="39" t="str">
        <f>IF(A490="","",SUMIFS(mv_qty,mv_ref,A490,mv_type,"Entrée",mv_date,"&gt;="&amp;$E$1,mv_date,"&lt;="&amp;$G$1))</f>
        <v/>
      </c>
      <c r="F490" s="39" t="str">
        <f>IF(A490="","",SUMIFS(mv_qty,mv_ref,A490,mv_type,"Sortie",mv_date,"&gt;="&amp;$E$1,mv_date,"&lt;="&amp;$G$1))</f>
        <v/>
      </c>
      <c r="G490" s="39" t="str">
        <f>IF(A490="","",ROUND(D490+E490-F490,6))</f>
        <v/>
      </c>
      <c r="H490" s="40" t="str">
        <f>IF(A490="","",G490*N('Articles'!G490))</f>
        <v/>
      </c>
    </row>
    <row r="491">
      <c r="A491" s="39" t="str">
        <f>IF('Articles'!A491="","",'Articles'!A491)</f>
        <v/>
      </c>
      <c r="B491" s="39" t="str">
        <f>IF(A491="","",'Articles'!B491&amp;"")</f>
        <v/>
      </c>
      <c r="C491" s="39" t="str">
        <f>IF(A491="","",'Articles'!D491&amp;"")</f>
        <v/>
      </c>
      <c r="D491" s="39" t="str">
        <f>IF(A491="","",ROUND(N('Articles'!H491)+SUMIFS(mv_qty,mv_ref,A491,mv_type,"Entrée",mv_date,"&lt;"&amp;$E$1)-SUMIFS(mv_qty,mv_ref,A491,mv_type,"Sortie",mv_date,"&lt;"&amp;$E$1),6))</f>
        <v/>
      </c>
      <c r="E491" s="39" t="str">
        <f>IF(A491="","",SUMIFS(mv_qty,mv_ref,A491,mv_type,"Entrée",mv_date,"&gt;="&amp;$E$1,mv_date,"&lt;="&amp;$G$1))</f>
        <v/>
      </c>
      <c r="F491" s="39" t="str">
        <f>IF(A491="","",SUMIFS(mv_qty,mv_ref,A491,mv_type,"Sortie",mv_date,"&gt;="&amp;$E$1,mv_date,"&lt;="&amp;$G$1))</f>
        <v/>
      </c>
      <c r="G491" s="39" t="str">
        <f>IF(A491="","",ROUND(D491+E491-F491,6))</f>
        <v/>
      </c>
      <c r="H491" s="40" t="str">
        <f>IF(A491="","",G491*N('Articles'!G491))</f>
        <v/>
      </c>
    </row>
    <row r="492">
      <c r="A492" s="39" t="str">
        <f>IF('Articles'!A492="","",'Articles'!A492)</f>
        <v/>
      </c>
      <c r="B492" s="39" t="str">
        <f>IF(A492="","",'Articles'!B492&amp;"")</f>
        <v/>
      </c>
      <c r="C492" s="39" t="str">
        <f>IF(A492="","",'Articles'!D492&amp;"")</f>
        <v/>
      </c>
      <c r="D492" s="39" t="str">
        <f>IF(A492="","",ROUND(N('Articles'!H492)+SUMIFS(mv_qty,mv_ref,A492,mv_type,"Entrée",mv_date,"&lt;"&amp;$E$1)-SUMIFS(mv_qty,mv_ref,A492,mv_type,"Sortie",mv_date,"&lt;"&amp;$E$1),6))</f>
        <v/>
      </c>
      <c r="E492" s="39" t="str">
        <f>IF(A492="","",SUMIFS(mv_qty,mv_ref,A492,mv_type,"Entrée",mv_date,"&gt;="&amp;$E$1,mv_date,"&lt;="&amp;$G$1))</f>
        <v/>
      </c>
      <c r="F492" s="39" t="str">
        <f>IF(A492="","",SUMIFS(mv_qty,mv_ref,A492,mv_type,"Sortie",mv_date,"&gt;="&amp;$E$1,mv_date,"&lt;="&amp;$G$1))</f>
        <v/>
      </c>
      <c r="G492" s="39" t="str">
        <f>IF(A492="","",ROUND(D492+E492-F492,6))</f>
        <v/>
      </c>
      <c r="H492" s="40" t="str">
        <f>IF(A492="","",G492*N('Articles'!G492))</f>
        <v/>
      </c>
    </row>
    <row r="493">
      <c r="A493" s="39" t="str">
        <f>IF('Articles'!A493="","",'Articles'!A493)</f>
        <v/>
      </c>
      <c r="B493" s="39" t="str">
        <f>IF(A493="","",'Articles'!B493&amp;"")</f>
        <v/>
      </c>
      <c r="C493" s="39" t="str">
        <f>IF(A493="","",'Articles'!D493&amp;"")</f>
        <v/>
      </c>
      <c r="D493" s="39" t="str">
        <f>IF(A493="","",ROUND(N('Articles'!H493)+SUMIFS(mv_qty,mv_ref,A493,mv_type,"Entrée",mv_date,"&lt;"&amp;$E$1)-SUMIFS(mv_qty,mv_ref,A493,mv_type,"Sortie",mv_date,"&lt;"&amp;$E$1),6))</f>
        <v/>
      </c>
      <c r="E493" s="39" t="str">
        <f>IF(A493="","",SUMIFS(mv_qty,mv_ref,A493,mv_type,"Entrée",mv_date,"&gt;="&amp;$E$1,mv_date,"&lt;="&amp;$G$1))</f>
        <v/>
      </c>
      <c r="F493" s="39" t="str">
        <f>IF(A493="","",SUMIFS(mv_qty,mv_ref,A493,mv_type,"Sortie",mv_date,"&gt;="&amp;$E$1,mv_date,"&lt;="&amp;$G$1))</f>
        <v/>
      </c>
      <c r="G493" s="39" t="str">
        <f>IF(A493="","",ROUND(D493+E493-F493,6))</f>
        <v/>
      </c>
      <c r="H493" s="40" t="str">
        <f>IF(A493="","",G493*N('Articles'!G493))</f>
        <v/>
      </c>
    </row>
    <row r="494">
      <c r="A494" s="39" t="str">
        <f>IF('Articles'!A494="","",'Articles'!A494)</f>
        <v/>
      </c>
      <c r="B494" s="39" t="str">
        <f>IF(A494="","",'Articles'!B494&amp;"")</f>
        <v/>
      </c>
      <c r="C494" s="39" t="str">
        <f>IF(A494="","",'Articles'!D494&amp;"")</f>
        <v/>
      </c>
      <c r="D494" s="39" t="str">
        <f>IF(A494="","",ROUND(N('Articles'!H494)+SUMIFS(mv_qty,mv_ref,A494,mv_type,"Entrée",mv_date,"&lt;"&amp;$E$1)-SUMIFS(mv_qty,mv_ref,A494,mv_type,"Sortie",mv_date,"&lt;"&amp;$E$1),6))</f>
        <v/>
      </c>
      <c r="E494" s="39" t="str">
        <f>IF(A494="","",SUMIFS(mv_qty,mv_ref,A494,mv_type,"Entrée",mv_date,"&gt;="&amp;$E$1,mv_date,"&lt;="&amp;$G$1))</f>
        <v/>
      </c>
      <c r="F494" s="39" t="str">
        <f>IF(A494="","",SUMIFS(mv_qty,mv_ref,A494,mv_type,"Sortie",mv_date,"&gt;="&amp;$E$1,mv_date,"&lt;="&amp;$G$1))</f>
        <v/>
      </c>
      <c r="G494" s="39" t="str">
        <f>IF(A494="","",ROUND(D494+E494-F494,6))</f>
        <v/>
      </c>
      <c r="H494" s="40" t="str">
        <f>IF(A494="","",G494*N('Articles'!G494))</f>
        <v/>
      </c>
    </row>
    <row r="495">
      <c r="A495" s="39" t="str">
        <f>IF('Articles'!A495="","",'Articles'!A495)</f>
        <v/>
      </c>
      <c r="B495" s="39" t="str">
        <f>IF(A495="","",'Articles'!B495&amp;"")</f>
        <v/>
      </c>
      <c r="C495" s="39" t="str">
        <f>IF(A495="","",'Articles'!D495&amp;"")</f>
        <v/>
      </c>
      <c r="D495" s="39" t="str">
        <f>IF(A495="","",ROUND(N('Articles'!H495)+SUMIFS(mv_qty,mv_ref,A495,mv_type,"Entrée",mv_date,"&lt;"&amp;$E$1)-SUMIFS(mv_qty,mv_ref,A495,mv_type,"Sortie",mv_date,"&lt;"&amp;$E$1),6))</f>
        <v/>
      </c>
      <c r="E495" s="39" t="str">
        <f>IF(A495="","",SUMIFS(mv_qty,mv_ref,A495,mv_type,"Entrée",mv_date,"&gt;="&amp;$E$1,mv_date,"&lt;="&amp;$G$1))</f>
        <v/>
      </c>
      <c r="F495" s="39" t="str">
        <f>IF(A495="","",SUMIFS(mv_qty,mv_ref,A495,mv_type,"Sortie",mv_date,"&gt;="&amp;$E$1,mv_date,"&lt;="&amp;$G$1))</f>
        <v/>
      </c>
      <c r="G495" s="39" t="str">
        <f>IF(A495="","",ROUND(D495+E495-F495,6))</f>
        <v/>
      </c>
      <c r="H495" s="40" t="str">
        <f>IF(A495="","",G495*N('Articles'!G495))</f>
        <v/>
      </c>
    </row>
    <row r="496">
      <c r="A496" s="39" t="str">
        <f>IF('Articles'!A496="","",'Articles'!A496)</f>
        <v/>
      </c>
      <c r="B496" s="39" t="str">
        <f>IF(A496="","",'Articles'!B496&amp;"")</f>
        <v/>
      </c>
      <c r="C496" s="39" t="str">
        <f>IF(A496="","",'Articles'!D496&amp;"")</f>
        <v/>
      </c>
      <c r="D496" s="39" t="str">
        <f>IF(A496="","",ROUND(N('Articles'!H496)+SUMIFS(mv_qty,mv_ref,A496,mv_type,"Entrée",mv_date,"&lt;"&amp;$E$1)-SUMIFS(mv_qty,mv_ref,A496,mv_type,"Sortie",mv_date,"&lt;"&amp;$E$1),6))</f>
        <v/>
      </c>
      <c r="E496" s="39" t="str">
        <f>IF(A496="","",SUMIFS(mv_qty,mv_ref,A496,mv_type,"Entrée",mv_date,"&gt;="&amp;$E$1,mv_date,"&lt;="&amp;$G$1))</f>
        <v/>
      </c>
      <c r="F496" s="39" t="str">
        <f>IF(A496="","",SUMIFS(mv_qty,mv_ref,A496,mv_type,"Sortie",mv_date,"&gt;="&amp;$E$1,mv_date,"&lt;="&amp;$G$1))</f>
        <v/>
      </c>
      <c r="G496" s="39" t="str">
        <f>IF(A496="","",ROUND(D496+E496-F496,6))</f>
        <v/>
      </c>
      <c r="H496" s="40" t="str">
        <f>IF(A496="","",G496*N('Articles'!G496))</f>
        <v/>
      </c>
    </row>
    <row r="497">
      <c r="A497" s="39" t="str">
        <f>IF('Articles'!A497="","",'Articles'!A497)</f>
        <v/>
      </c>
      <c r="B497" s="39" t="str">
        <f>IF(A497="","",'Articles'!B497&amp;"")</f>
        <v/>
      </c>
      <c r="C497" s="39" t="str">
        <f>IF(A497="","",'Articles'!D497&amp;"")</f>
        <v/>
      </c>
      <c r="D497" s="39" t="str">
        <f>IF(A497="","",ROUND(N('Articles'!H497)+SUMIFS(mv_qty,mv_ref,A497,mv_type,"Entrée",mv_date,"&lt;"&amp;$E$1)-SUMIFS(mv_qty,mv_ref,A497,mv_type,"Sortie",mv_date,"&lt;"&amp;$E$1),6))</f>
        <v/>
      </c>
      <c r="E497" s="39" t="str">
        <f>IF(A497="","",SUMIFS(mv_qty,mv_ref,A497,mv_type,"Entrée",mv_date,"&gt;="&amp;$E$1,mv_date,"&lt;="&amp;$G$1))</f>
        <v/>
      </c>
      <c r="F497" s="39" t="str">
        <f>IF(A497="","",SUMIFS(mv_qty,mv_ref,A497,mv_type,"Sortie",mv_date,"&gt;="&amp;$E$1,mv_date,"&lt;="&amp;$G$1))</f>
        <v/>
      </c>
      <c r="G497" s="39" t="str">
        <f>IF(A497="","",ROUND(D497+E497-F497,6))</f>
        <v/>
      </c>
      <c r="H497" s="40" t="str">
        <f>IF(A497="","",G497*N('Articles'!G497))</f>
        <v/>
      </c>
    </row>
    <row r="498">
      <c r="A498" s="39" t="str">
        <f>IF('Articles'!A498="","",'Articles'!A498)</f>
        <v/>
      </c>
      <c r="B498" s="39" t="str">
        <f>IF(A498="","",'Articles'!B498&amp;"")</f>
        <v/>
      </c>
      <c r="C498" s="39" t="str">
        <f>IF(A498="","",'Articles'!D498&amp;"")</f>
        <v/>
      </c>
      <c r="D498" s="39" t="str">
        <f>IF(A498="","",ROUND(N('Articles'!H498)+SUMIFS(mv_qty,mv_ref,A498,mv_type,"Entrée",mv_date,"&lt;"&amp;$E$1)-SUMIFS(mv_qty,mv_ref,A498,mv_type,"Sortie",mv_date,"&lt;"&amp;$E$1),6))</f>
        <v/>
      </c>
      <c r="E498" s="39" t="str">
        <f>IF(A498="","",SUMIFS(mv_qty,mv_ref,A498,mv_type,"Entrée",mv_date,"&gt;="&amp;$E$1,mv_date,"&lt;="&amp;$G$1))</f>
        <v/>
      </c>
      <c r="F498" s="39" t="str">
        <f>IF(A498="","",SUMIFS(mv_qty,mv_ref,A498,mv_type,"Sortie",mv_date,"&gt;="&amp;$E$1,mv_date,"&lt;="&amp;$G$1))</f>
        <v/>
      </c>
      <c r="G498" s="39" t="str">
        <f>IF(A498="","",ROUND(D498+E498-F498,6))</f>
        <v/>
      </c>
      <c r="H498" s="40" t="str">
        <f>IF(A498="","",G498*N('Articles'!G498))</f>
        <v/>
      </c>
    </row>
    <row r="499">
      <c r="A499" s="39" t="str">
        <f>IF('Articles'!A499="","",'Articles'!A499)</f>
        <v/>
      </c>
      <c r="B499" s="39" t="str">
        <f>IF(A499="","",'Articles'!B499&amp;"")</f>
        <v/>
      </c>
      <c r="C499" s="39" t="str">
        <f>IF(A499="","",'Articles'!D499&amp;"")</f>
        <v/>
      </c>
      <c r="D499" s="39" t="str">
        <f>IF(A499="","",ROUND(N('Articles'!H499)+SUMIFS(mv_qty,mv_ref,A499,mv_type,"Entrée",mv_date,"&lt;"&amp;$E$1)-SUMIFS(mv_qty,mv_ref,A499,mv_type,"Sortie",mv_date,"&lt;"&amp;$E$1),6))</f>
        <v/>
      </c>
      <c r="E499" s="39" t="str">
        <f>IF(A499="","",SUMIFS(mv_qty,mv_ref,A499,mv_type,"Entrée",mv_date,"&gt;="&amp;$E$1,mv_date,"&lt;="&amp;$G$1))</f>
        <v/>
      </c>
      <c r="F499" s="39" t="str">
        <f>IF(A499="","",SUMIFS(mv_qty,mv_ref,A499,mv_type,"Sortie",mv_date,"&gt;="&amp;$E$1,mv_date,"&lt;="&amp;$G$1))</f>
        <v/>
      </c>
      <c r="G499" s="39" t="str">
        <f>IF(A499="","",ROUND(D499+E499-F499,6))</f>
        <v/>
      </c>
      <c r="H499" s="40" t="str">
        <f>IF(A499="","",G499*N('Articles'!G499))</f>
        <v/>
      </c>
    </row>
    <row r="500">
      <c r="A500" s="39" t="str">
        <f>IF('Articles'!A500="","",'Articles'!A500)</f>
        <v/>
      </c>
      <c r="B500" s="39" t="str">
        <f>IF(A500="","",'Articles'!B500&amp;"")</f>
        <v/>
      </c>
      <c r="C500" s="39" t="str">
        <f>IF(A500="","",'Articles'!D500&amp;"")</f>
        <v/>
      </c>
      <c r="D500" s="39" t="str">
        <f>IF(A500="","",ROUND(N('Articles'!H500)+SUMIFS(mv_qty,mv_ref,A500,mv_type,"Entrée",mv_date,"&lt;"&amp;$E$1)-SUMIFS(mv_qty,mv_ref,A500,mv_type,"Sortie",mv_date,"&lt;"&amp;$E$1),6))</f>
        <v/>
      </c>
      <c r="E500" s="39" t="str">
        <f>IF(A500="","",SUMIFS(mv_qty,mv_ref,A500,mv_type,"Entrée",mv_date,"&gt;="&amp;$E$1,mv_date,"&lt;="&amp;$G$1))</f>
        <v/>
      </c>
      <c r="F500" s="39" t="str">
        <f>IF(A500="","",SUMIFS(mv_qty,mv_ref,A500,mv_type,"Sortie",mv_date,"&gt;="&amp;$E$1,mv_date,"&lt;="&amp;$G$1))</f>
        <v/>
      </c>
      <c r="G500" s="39" t="str">
        <f>IF(A500="","",ROUND(D500+E500-F500,6))</f>
        <v/>
      </c>
      <c r="H500" s="40" t="str">
        <f>IF(A500="","",G500*N('Articles'!G500))</f>
        <v/>
      </c>
    </row>
    <row r="501">
      <c r="A501" s="39" t="str">
        <f>IF('Articles'!A501="","",'Articles'!A501)</f>
        <v/>
      </c>
      <c r="B501" s="39" t="str">
        <f>IF(A501="","",'Articles'!B501&amp;"")</f>
        <v/>
      </c>
      <c r="C501" s="39" t="str">
        <f>IF(A501="","",'Articles'!D501&amp;"")</f>
        <v/>
      </c>
      <c r="D501" s="39" t="str">
        <f>IF(A501="","",ROUND(N('Articles'!H501)+SUMIFS(mv_qty,mv_ref,A501,mv_type,"Entrée",mv_date,"&lt;"&amp;$E$1)-SUMIFS(mv_qty,mv_ref,A501,mv_type,"Sortie",mv_date,"&lt;"&amp;$E$1),6))</f>
        <v/>
      </c>
      <c r="E501" s="39" t="str">
        <f>IF(A501="","",SUMIFS(mv_qty,mv_ref,A501,mv_type,"Entrée",mv_date,"&gt;="&amp;$E$1,mv_date,"&lt;="&amp;$G$1))</f>
        <v/>
      </c>
      <c r="F501" s="39" t="str">
        <f>IF(A501="","",SUMIFS(mv_qty,mv_ref,A501,mv_type,"Sortie",mv_date,"&gt;="&amp;$E$1,mv_date,"&lt;="&amp;$G$1))</f>
        <v/>
      </c>
      <c r="G501" s="39" t="str">
        <f>IF(A501="","",ROUND(D501+E501-F501,6))</f>
        <v/>
      </c>
      <c r="H501" s="40" t="str">
        <f>IF(A501="","",G501*N('Articles'!G501))</f>
        <v/>
      </c>
    </row>
    <row r="502">
      <c r="A502" s="39" t="str">
        <f>IF('Articles'!A502="","",'Articles'!A502)</f>
        <v/>
      </c>
      <c r="B502" s="39" t="str">
        <f>IF(A502="","",'Articles'!B502&amp;"")</f>
        <v/>
      </c>
      <c r="C502" s="39" t="str">
        <f>IF(A502="","",'Articles'!D502&amp;"")</f>
        <v/>
      </c>
      <c r="D502" s="39" t="str">
        <f>IF(A502="","",ROUND(N('Articles'!H502)+SUMIFS(mv_qty,mv_ref,A502,mv_type,"Entrée",mv_date,"&lt;"&amp;$E$1)-SUMIFS(mv_qty,mv_ref,A502,mv_type,"Sortie",mv_date,"&lt;"&amp;$E$1),6))</f>
        <v/>
      </c>
      <c r="E502" s="39" t="str">
        <f>IF(A502="","",SUMIFS(mv_qty,mv_ref,A502,mv_type,"Entrée",mv_date,"&gt;="&amp;$E$1,mv_date,"&lt;="&amp;$G$1))</f>
        <v/>
      </c>
      <c r="F502" s="39" t="str">
        <f>IF(A502="","",SUMIFS(mv_qty,mv_ref,A502,mv_type,"Sortie",mv_date,"&gt;="&amp;$E$1,mv_date,"&lt;="&amp;$G$1))</f>
        <v/>
      </c>
      <c r="G502" s="39" t="str">
        <f>IF(A502="","",ROUND(D502+E502-F502,6))</f>
        <v/>
      </c>
      <c r="H502" s="40" t="str">
        <f>IF(A502="","",G502*N('Articles'!G502))</f>
        <v/>
      </c>
    </row>
    <row r="503">
      <c r="A503" s="39" t="str">
        <f>IF('Articles'!A503="","",'Articles'!A503)</f>
        <v/>
      </c>
      <c r="B503" s="39" t="str">
        <f>IF(A503="","",'Articles'!B503&amp;"")</f>
        <v/>
      </c>
      <c r="C503" s="39" t="str">
        <f>IF(A503="","",'Articles'!D503&amp;"")</f>
        <v/>
      </c>
      <c r="D503" s="39" t="str">
        <f>IF(A503="","",ROUND(N('Articles'!H503)+SUMIFS(mv_qty,mv_ref,A503,mv_type,"Entrée",mv_date,"&lt;"&amp;$E$1)-SUMIFS(mv_qty,mv_ref,A503,mv_type,"Sortie",mv_date,"&lt;"&amp;$E$1),6))</f>
        <v/>
      </c>
      <c r="E503" s="39" t="str">
        <f>IF(A503="","",SUMIFS(mv_qty,mv_ref,A503,mv_type,"Entrée",mv_date,"&gt;="&amp;$E$1,mv_date,"&lt;="&amp;$G$1))</f>
        <v/>
      </c>
      <c r="F503" s="39" t="str">
        <f>IF(A503="","",SUMIFS(mv_qty,mv_ref,A503,mv_type,"Sortie",mv_date,"&gt;="&amp;$E$1,mv_date,"&lt;="&amp;$G$1))</f>
        <v/>
      </c>
      <c r="G503" s="39" t="str">
        <f>IF(A503="","",ROUND(D503+E503-F503,6))</f>
        <v/>
      </c>
      <c r="H503" s="40" t="str">
        <f>IF(A503="","",G503*N('Articles'!G503))</f>
        <v/>
      </c>
    </row>
    <row r="504">
      <c r="A504" s="39" t="str">
        <f>IF('Articles'!A504="","",'Articles'!A504)</f>
        <v/>
      </c>
      <c r="B504" s="39" t="str">
        <f>IF(A504="","",'Articles'!B504&amp;"")</f>
        <v/>
      </c>
      <c r="C504" s="39" t="str">
        <f>IF(A504="","",'Articles'!D504&amp;"")</f>
        <v/>
      </c>
      <c r="D504" s="39" t="str">
        <f>IF(A504="","",ROUND(N('Articles'!H504)+SUMIFS(mv_qty,mv_ref,A504,mv_type,"Entrée",mv_date,"&lt;"&amp;$E$1)-SUMIFS(mv_qty,mv_ref,A504,mv_type,"Sortie",mv_date,"&lt;"&amp;$E$1),6))</f>
        <v/>
      </c>
      <c r="E504" s="39" t="str">
        <f>IF(A504="","",SUMIFS(mv_qty,mv_ref,A504,mv_type,"Entrée",mv_date,"&gt;="&amp;$E$1,mv_date,"&lt;="&amp;$G$1))</f>
        <v/>
      </c>
      <c r="F504" s="39" t="str">
        <f>IF(A504="","",SUMIFS(mv_qty,mv_ref,A504,mv_type,"Sortie",mv_date,"&gt;="&amp;$E$1,mv_date,"&lt;="&amp;$G$1))</f>
        <v/>
      </c>
      <c r="G504" s="39" t="str">
        <f>IF(A504="","",ROUND(D504+E504-F504,6))</f>
        <v/>
      </c>
      <c r="H504" s="40" t="str">
        <f>IF(A504="","",G504*N('Articles'!G504))</f>
        <v/>
      </c>
    </row>
    <row r="505">
      <c r="A505" s="39" t="str">
        <f>IF('Articles'!A505="","",'Articles'!A505)</f>
        <v/>
      </c>
      <c r="B505" s="39" t="str">
        <f>IF(A505="","",'Articles'!B505&amp;"")</f>
        <v/>
      </c>
      <c r="C505" s="39" t="str">
        <f>IF(A505="","",'Articles'!D505&amp;"")</f>
        <v/>
      </c>
      <c r="D505" s="39" t="str">
        <f>IF(A505="","",ROUND(N('Articles'!H505)+SUMIFS(mv_qty,mv_ref,A505,mv_type,"Entrée",mv_date,"&lt;"&amp;$E$1)-SUMIFS(mv_qty,mv_ref,A505,mv_type,"Sortie",mv_date,"&lt;"&amp;$E$1),6))</f>
        <v/>
      </c>
      <c r="E505" s="39" t="str">
        <f>IF(A505="","",SUMIFS(mv_qty,mv_ref,A505,mv_type,"Entrée",mv_date,"&gt;="&amp;$E$1,mv_date,"&lt;="&amp;$G$1))</f>
        <v/>
      </c>
      <c r="F505" s="39" t="str">
        <f>IF(A505="","",SUMIFS(mv_qty,mv_ref,A505,mv_type,"Sortie",mv_date,"&gt;="&amp;$E$1,mv_date,"&lt;="&amp;$G$1))</f>
        <v/>
      </c>
      <c r="G505" s="39" t="str">
        <f>IF(A505="","",ROUND(D505+E505-F505,6))</f>
        <v/>
      </c>
      <c r="H505" s="40" t="str">
        <f>IF(A505="","",G505*N('Articles'!G505))</f>
        <v/>
      </c>
    </row>
    <row r="506">
      <c r="A506" s="39" t="str">
        <f>IF('Articles'!A506="","",'Articles'!A506)</f>
        <v/>
      </c>
      <c r="B506" s="39" t="str">
        <f>IF(A506="","",'Articles'!B506&amp;"")</f>
        <v/>
      </c>
      <c r="C506" s="39" t="str">
        <f>IF(A506="","",'Articles'!D506&amp;"")</f>
        <v/>
      </c>
      <c r="D506" s="39" t="str">
        <f>IF(A506="","",ROUND(N('Articles'!H506)+SUMIFS(mv_qty,mv_ref,A506,mv_type,"Entrée",mv_date,"&lt;"&amp;$E$1)-SUMIFS(mv_qty,mv_ref,A506,mv_type,"Sortie",mv_date,"&lt;"&amp;$E$1),6))</f>
        <v/>
      </c>
      <c r="E506" s="39" t="str">
        <f>IF(A506="","",SUMIFS(mv_qty,mv_ref,A506,mv_type,"Entrée",mv_date,"&gt;="&amp;$E$1,mv_date,"&lt;="&amp;$G$1))</f>
        <v/>
      </c>
      <c r="F506" s="39" t="str">
        <f>IF(A506="","",SUMIFS(mv_qty,mv_ref,A506,mv_type,"Sortie",mv_date,"&gt;="&amp;$E$1,mv_date,"&lt;="&amp;$G$1))</f>
        <v/>
      </c>
      <c r="G506" s="39" t="str">
        <f>IF(A506="","",ROUND(D506+E506-F506,6))</f>
        <v/>
      </c>
      <c r="H506" s="40" t="str">
        <f>IF(A506="","",G506*N('Articles'!G506))</f>
        <v/>
      </c>
    </row>
    <row r="507">
      <c r="A507" s="39" t="str">
        <f>IF('Articles'!A507="","",'Articles'!A507)</f>
        <v/>
      </c>
      <c r="B507" s="39" t="str">
        <f>IF(A507="","",'Articles'!B507&amp;"")</f>
        <v/>
      </c>
      <c r="C507" s="39" t="str">
        <f>IF(A507="","",'Articles'!D507&amp;"")</f>
        <v/>
      </c>
      <c r="D507" s="39" t="str">
        <f>IF(A507="","",ROUND(N('Articles'!H507)+SUMIFS(mv_qty,mv_ref,A507,mv_type,"Entrée",mv_date,"&lt;"&amp;$E$1)-SUMIFS(mv_qty,mv_ref,A507,mv_type,"Sortie",mv_date,"&lt;"&amp;$E$1),6))</f>
        <v/>
      </c>
      <c r="E507" s="39" t="str">
        <f>IF(A507="","",SUMIFS(mv_qty,mv_ref,A507,mv_type,"Entrée",mv_date,"&gt;="&amp;$E$1,mv_date,"&lt;="&amp;$G$1))</f>
        <v/>
      </c>
      <c r="F507" s="39" t="str">
        <f>IF(A507="","",SUMIFS(mv_qty,mv_ref,A507,mv_type,"Sortie",mv_date,"&gt;="&amp;$E$1,mv_date,"&lt;="&amp;$G$1))</f>
        <v/>
      </c>
      <c r="G507" s="39" t="str">
        <f>IF(A507="","",ROUND(D507+E507-F507,6))</f>
        <v/>
      </c>
      <c r="H507" s="40" t="str">
        <f>IF(A507="","",G507*N('Articles'!G507))</f>
        <v/>
      </c>
    </row>
    <row r="508">
      <c r="A508" s="39" t="str">
        <f>IF('Articles'!A508="","",'Articles'!A508)</f>
        <v/>
      </c>
      <c r="B508" s="39" t="str">
        <f>IF(A508="","",'Articles'!B508&amp;"")</f>
        <v/>
      </c>
      <c r="C508" s="39" t="str">
        <f>IF(A508="","",'Articles'!D508&amp;"")</f>
        <v/>
      </c>
      <c r="D508" s="39" t="str">
        <f>IF(A508="","",ROUND(N('Articles'!H508)+SUMIFS(mv_qty,mv_ref,A508,mv_type,"Entrée",mv_date,"&lt;"&amp;$E$1)-SUMIFS(mv_qty,mv_ref,A508,mv_type,"Sortie",mv_date,"&lt;"&amp;$E$1),6))</f>
        <v/>
      </c>
      <c r="E508" s="39" t="str">
        <f>IF(A508="","",SUMIFS(mv_qty,mv_ref,A508,mv_type,"Entrée",mv_date,"&gt;="&amp;$E$1,mv_date,"&lt;="&amp;$G$1))</f>
        <v/>
      </c>
      <c r="F508" s="39" t="str">
        <f>IF(A508="","",SUMIFS(mv_qty,mv_ref,A508,mv_type,"Sortie",mv_date,"&gt;="&amp;$E$1,mv_date,"&lt;="&amp;$G$1))</f>
        <v/>
      </c>
      <c r="G508" s="39" t="str">
        <f>IF(A508="","",ROUND(D508+E508-F508,6))</f>
        <v/>
      </c>
      <c r="H508" s="40" t="str">
        <f>IF(A508="","",G508*N('Articles'!G508))</f>
        <v/>
      </c>
    </row>
    <row r="509">
      <c r="A509" s="39" t="str">
        <f>IF('Articles'!A509="","",'Articles'!A509)</f>
        <v/>
      </c>
      <c r="B509" s="39" t="str">
        <f>IF(A509="","",'Articles'!B509&amp;"")</f>
        <v/>
      </c>
      <c r="C509" s="39" t="str">
        <f>IF(A509="","",'Articles'!D509&amp;"")</f>
        <v/>
      </c>
      <c r="D509" s="39" t="str">
        <f>IF(A509="","",ROUND(N('Articles'!H509)+SUMIFS(mv_qty,mv_ref,A509,mv_type,"Entrée",mv_date,"&lt;"&amp;$E$1)-SUMIFS(mv_qty,mv_ref,A509,mv_type,"Sortie",mv_date,"&lt;"&amp;$E$1),6))</f>
        <v/>
      </c>
      <c r="E509" s="39" t="str">
        <f>IF(A509="","",SUMIFS(mv_qty,mv_ref,A509,mv_type,"Entrée",mv_date,"&gt;="&amp;$E$1,mv_date,"&lt;="&amp;$G$1))</f>
        <v/>
      </c>
      <c r="F509" s="39" t="str">
        <f>IF(A509="","",SUMIFS(mv_qty,mv_ref,A509,mv_type,"Sortie",mv_date,"&gt;="&amp;$E$1,mv_date,"&lt;="&amp;$G$1))</f>
        <v/>
      </c>
      <c r="G509" s="39" t="str">
        <f>IF(A509="","",ROUND(D509+E509-F509,6))</f>
        <v/>
      </c>
      <c r="H509" s="40" t="str">
        <f>IF(A509="","",G509*N('Articles'!G509))</f>
        <v/>
      </c>
    </row>
    <row r="510">
      <c r="A510" s="39" t="str">
        <f>IF('Articles'!A510="","",'Articles'!A510)</f>
        <v/>
      </c>
      <c r="B510" s="39" t="str">
        <f>IF(A510="","",'Articles'!B510&amp;"")</f>
        <v/>
      </c>
      <c r="C510" s="39" t="str">
        <f>IF(A510="","",'Articles'!D510&amp;"")</f>
        <v/>
      </c>
      <c r="D510" s="39" t="str">
        <f>IF(A510="","",ROUND(N('Articles'!H510)+SUMIFS(mv_qty,mv_ref,A510,mv_type,"Entrée",mv_date,"&lt;"&amp;$E$1)-SUMIFS(mv_qty,mv_ref,A510,mv_type,"Sortie",mv_date,"&lt;"&amp;$E$1),6))</f>
        <v/>
      </c>
      <c r="E510" s="39" t="str">
        <f>IF(A510="","",SUMIFS(mv_qty,mv_ref,A510,mv_type,"Entrée",mv_date,"&gt;="&amp;$E$1,mv_date,"&lt;="&amp;$G$1))</f>
        <v/>
      </c>
      <c r="F510" s="39" t="str">
        <f>IF(A510="","",SUMIFS(mv_qty,mv_ref,A510,mv_type,"Sortie",mv_date,"&gt;="&amp;$E$1,mv_date,"&lt;="&amp;$G$1))</f>
        <v/>
      </c>
      <c r="G510" s="39" t="str">
        <f>IF(A510="","",ROUND(D510+E510-F510,6))</f>
        <v/>
      </c>
      <c r="H510" s="40" t="str">
        <f>IF(A510="","",G510*N('Articles'!G510))</f>
        <v/>
      </c>
    </row>
    <row r="511">
      <c r="A511" s="39" t="str">
        <f>IF('Articles'!A511="","",'Articles'!A511)</f>
        <v/>
      </c>
      <c r="B511" s="39" t="str">
        <f>IF(A511="","",'Articles'!B511&amp;"")</f>
        <v/>
      </c>
      <c r="C511" s="39" t="str">
        <f>IF(A511="","",'Articles'!D511&amp;"")</f>
        <v/>
      </c>
      <c r="D511" s="39" t="str">
        <f>IF(A511="","",ROUND(N('Articles'!H511)+SUMIFS(mv_qty,mv_ref,A511,mv_type,"Entrée",mv_date,"&lt;"&amp;$E$1)-SUMIFS(mv_qty,mv_ref,A511,mv_type,"Sortie",mv_date,"&lt;"&amp;$E$1),6))</f>
        <v/>
      </c>
      <c r="E511" s="39" t="str">
        <f>IF(A511="","",SUMIFS(mv_qty,mv_ref,A511,mv_type,"Entrée",mv_date,"&gt;="&amp;$E$1,mv_date,"&lt;="&amp;$G$1))</f>
        <v/>
      </c>
      <c r="F511" s="39" t="str">
        <f>IF(A511="","",SUMIFS(mv_qty,mv_ref,A511,mv_type,"Sortie",mv_date,"&gt;="&amp;$E$1,mv_date,"&lt;="&amp;$G$1))</f>
        <v/>
      </c>
      <c r="G511" s="39" t="str">
        <f>IF(A511="","",ROUND(D511+E511-F511,6))</f>
        <v/>
      </c>
      <c r="H511" s="40" t="str">
        <f>IF(A511="","",G511*N('Articles'!G511))</f>
        <v/>
      </c>
    </row>
    <row r="512">
      <c r="A512" s="39" t="str">
        <f>IF('Articles'!A512="","",'Articles'!A512)</f>
        <v/>
      </c>
      <c r="B512" s="39" t="str">
        <f>IF(A512="","",'Articles'!B512&amp;"")</f>
        <v/>
      </c>
      <c r="C512" s="39" t="str">
        <f>IF(A512="","",'Articles'!D512&amp;"")</f>
        <v/>
      </c>
      <c r="D512" s="39" t="str">
        <f>IF(A512="","",ROUND(N('Articles'!H512)+SUMIFS(mv_qty,mv_ref,A512,mv_type,"Entrée",mv_date,"&lt;"&amp;$E$1)-SUMIFS(mv_qty,mv_ref,A512,mv_type,"Sortie",mv_date,"&lt;"&amp;$E$1),6))</f>
        <v/>
      </c>
      <c r="E512" s="39" t="str">
        <f>IF(A512="","",SUMIFS(mv_qty,mv_ref,A512,mv_type,"Entrée",mv_date,"&gt;="&amp;$E$1,mv_date,"&lt;="&amp;$G$1))</f>
        <v/>
      </c>
      <c r="F512" s="39" t="str">
        <f>IF(A512="","",SUMIFS(mv_qty,mv_ref,A512,mv_type,"Sortie",mv_date,"&gt;="&amp;$E$1,mv_date,"&lt;="&amp;$G$1))</f>
        <v/>
      </c>
      <c r="G512" s="39" t="str">
        <f>IF(A512="","",ROUND(D512+E512-F512,6))</f>
        <v/>
      </c>
      <c r="H512" s="40" t="str">
        <f>IF(A512="","",G512*N('Articles'!G512))</f>
        <v/>
      </c>
    </row>
    <row r="513">
      <c r="A513" s="39" t="str">
        <f>IF('Articles'!A513="","",'Articles'!A513)</f>
        <v/>
      </c>
      <c r="B513" s="39" t="str">
        <f>IF(A513="","",'Articles'!B513&amp;"")</f>
        <v/>
      </c>
      <c r="C513" s="39" t="str">
        <f>IF(A513="","",'Articles'!D513&amp;"")</f>
        <v/>
      </c>
      <c r="D513" s="39" t="str">
        <f>IF(A513="","",ROUND(N('Articles'!H513)+SUMIFS(mv_qty,mv_ref,A513,mv_type,"Entrée",mv_date,"&lt;"&amp;$E$1)-SUMIFS(mv_qty,mv_ref,A513,mv_type,"Sortie",mv_date,"&lt;"&amp;$E$1),6))</f>
        <v/>
      </c>
      <c r="E513" s="39" t="str">
        <f>IF(A513="","",SUMIFS(mv_qty,mv_ref,A513,mv_type,"Entrée",mv_date,"&gt;="&amp;$E$1,mv_date,"&lt;="&amp;$G$1))</f>
        <v/>
      </c>
      <c r="F513" s="39" t="str">
        <f>IF(A513="","",SUMIFS(mv_qty,mv_ref,A513,mv_type,"Sortie",mv_date,"&gt;="&amp;$E$1,mv_date,"&lt;="&amp;$G$1))</f>
        <v/>
      </c>
      <c r="G513" s="39" t="str">
        <f>IF(A513="","",ROUND(D513+E513-F513,6))</f>
        <v/>
      </c>
      <c r="H513" s="40" t="str">
        <f>IF(A513="","",G513*N('Articles'!G513))</f>
        <v/>
      </c>
    </row>
    <row r="514">
      <c r="A514" s="39" t="str">
        <f>IF('Articles'!A514="","",'Articles'!A514)</f>
        <v/>
      </c>
      <c r="B514" s="39" t="str">
        <f>IF(A514="","",'Articles'!B514&amp;"")</f>
        <v/>
      </c>
      <c r="C514" s="39" t="str">
        <f>IF(A514="","",'Articles'!D514&amp;"")</f>
        <v/>
      </c>
      <c r="D514" s="39" t="str">
        <f>IF(A514="","",ROUND(N('Articles'!H514)+SUMIFS(mv_qty,mv_ref,A514,mv_type,"Entrée",mv_date,"&lt;"&amp;$E$1)-SUMIFS(mv_qty,mv_ref,A514,mv_type,"Sortie",mv_date,"&lt;"&amp;$E$1),6))</f>
        <v/>
      </c>
      <c r="E514" s="39" t="str">
        <f>IF(A514="","",SUMIFS(mv_qty,mv_ref,A514,mv_type,"Entrée",mv_date,"&gt;="&amp;$E$1,mv_date,"&lt;="&amp;$G$1))</f>
        <v/>
      </c>
      <c r="F514" s="39" t="str">
        <f>IF(A514="","",SUMIFS(mv_qty,mv_ref,A514,mv_type,"Sortie",mv_date,"&gt;="&amp;$E$1,mv_date,"&lt;="&amp;$G$1))</f>
        <v/>
      </c>
      <c r="G514" s="39" t="str">
        <f>IF(A514="","",ROUND(D514+E514-F514,6))</f>
        <v/>
      </c>
      <c r="H514" s="40" t="str">
        <f>IF(A514="","",G514*N('Articles'!G514))</f>
        <v/>
      </c>
    </row>
    <row r="515">
      <c r="A515" s="39" t="str">
        <f>IF('Articles'!A515="","",'Articles'!A515)</f>
        <v/>
      </c>
      <c r="B515" s="39" t="str">
        <f>IF(A515="","",'Articles'!B515&amp;"")</f>
        <v/>
      </c>
      <c r="C515" s="39" t="str">
        <f>IF(A515="","",'Articles'!D515&amp;"")</f>
        <v/>
      </c>
      <c r="D515" s="39" t="str">
        <f>IF(A515="","",ROUND(N('Articles'!H515)+SUMIFS(mv_qty,mv_ref,A515,mv_type,"Entrée",mv_date,"&lt;"&amp;$E$1)-SUMIFS(mv_qty,mv_ref,A515,mv_type,"Sortie",mv_date,"&lt;"&amp;$E$1),6))</f>
        <v/>
      </c>
      <c r="E515" s="39" t="str">
        <f>IF(A515="","",SUMIFS(mv_qty,mv_ref,A515,mv_type,"Entrée",mv_date,"&gt;="&amp;$E$1,mv_date,"&lt;="&amp;$G$1))</f>
        <v/>
      </c>
      <c r="F515" s="39" t="str">
        <f>IF(A515="","",SUMIFS(mv_qty,mv_ref,A515,mv_type,"Sortie",mv_date,"&gt;="&amp;$E$1,mv_date,"&lt;="&amp;$G$1))</f>
        <v/>
      </c>
      <c r="G515" s="39" t="str">
        <f>IF(A515="","",ROUND(D515+E515-F515,6))</f>
        <v/>
      </c>
      <c r="H515" s="40" t="str">
        <f>IF(A515="","",G515*N('Articles'!G515))</f>
        <v/>
      </c>
    </row>
    <row r="516">
      <c r="A516" s="39" t="str">
        <f>IF('Articles'!A516="","",'Articles'!A516)</f>
        <v/>
      </c>
      <c r="B516" s="39" t="str">
        <f>IF(A516="","",'Articles'!B516&amp;"")</f>
        <v/>
      </c>
      <c r="C516" s="39" t="str">
        <f>IF(A516="","",'Articles'!D516&amp;"")</f>
        <v/>
      </c>
      <c r="D516" s="39" t="str">
        <f>IF(A516="","",ROUND(N('Articles'!H516)+SUMIFS(mv_qty,mv_ref,A516,mv_type,"Entrée",mv_date,"&lt;"&amp;$E$1)-SUMIFS(mv_qty,mv_ref,A516,mv_type,"Sortie",mv_date,"&lt;"&amp;$E$1),6))</f>
        <v/>
      </c>
      <c r="E516" s="39" t="str">
        <f>IF(A516="","",SUMIFS(mv_qty,mv_ref,A516,mv_type,"Entrée",mv_date,"&gt;="&amp;$E$1,mv_date,"&lt;="&amp;$G$1))</f>
        <v/>
      </c>
      <c r="F516" s="39" t="str">
        <f>IF(A516="","",SUMIFS(mv_qty,mv_ref,A516,mv_type,"Sortie",mv_date,"&gt;="&amp;$E$1,mv_date,"&lt;="&amp;$G$1))</f>
        <v/>
      </c>
      <c r="G516" s="39" t="str">
        <f>IF(A516="","",ROUND(D516+E516-F516,6))</f>
        <v/>
      </c>
      <c r="H516" s="40" t="str">
        <f>IF(A516="","",G516*N('Articles'!G516))</f>
        <v/>
      </c>
    </row>
    <row r="517">
      <c r="A517" s="39" t="str">
        <f>IF('Articles'!A517="","",'Articles'!A517)</f>
        <v/>
      </c>
      <c r="B517" s="39" t="str">
        <f>IF(A517="","",'Articles'!B517&amp;"")</f>
        <v/>
      </c>
      <c r="C517" s="39" t="str">
        <f>IF(A517="","",'Articles'!D517&amp;"")</f>
        <v/>
      </c>
      <c r="D517" s="39" t="str">
        <f>IF(A517="","",ROUND(N('Articles'!H517)+SUMIFS(mv_qty,mv_ref,A517,mv_type,"Entrée",mv_date,"&lt;"&amp;$E$1)-SUMIFS(mv_qty,mv_ref,A517,mv_type,"Sortie",mv_date,"&lt;"&amp;$E$1),6))</f>
        <v/>
      </c>
      <c r="E517" s="39" t="str">
        <f>IF(A517="","",SUMIFS(mv_qty,mv_ref,A517,mv_type,"Entrée",mv_date,"&gt;="&amp;$E$1,mv_date,"&lt;="&amp;$G$1))</f>
        <v/>
      </c>
      <c r="F517" s="39" t="str">
        <f>IF(A517="","",SUMIFS(mv_qty,mv_ref,A517,mv_type,"Sortie",mv_date,"&gt;="&amp;$E$1,mv_date,"&lt;="&amp;$G$1))</f>
        <v/>
      </c>
      <c r="G517" s="39" t="str">
        <f>IF(A517="","",ROUND(D517+E517-F517,6))</f>
        <v/>
      </c>
      <c r="H517" s="40" t="str">
        <f>IF(A517="","",G517*N('Articles'!G517))</f>
        <v/>
      </c>
    </row>
    <row r="518">
      <c r="A518" s="39" t="str">
        <f>IF('Articles'!A518="","",'Articles'!A518)</f>
        <v/>
      </c>
      <c r="B518" s="39" t="str">
        <f>IF(A518="","",'Articles'!B518&amp;"")</f>
        <v/>
      </c>
      <c r="C518" s="39" t="str">
        <f>IF(A518="","",'Articles'!D518&amp;"")</f>
        <v/>
      </c>
      <c r="D518" s="39" t="str">
        <f>IF(A518="","",ROUND(N('Articles'!H518)+SUMIFS(mv_qty,mv_ref,A518,mv_type,"Entrée",mv_date,"&lt;"&amp;$E$1)-SUMIFS(mv_qty,mv_ref,A518,mv_type,"Sortie",mv_date,"&lt;"&amp;$E$1),6))</f>
        <v/>
      </c>
      <c r="E518" s="39" t="str">
        <f>IF(A518="","",SUMIFS(mv_qty,mv_ref,A518,mv_type,"Entrée",mv_date,"&gt;="&amp;$E$1,mv_date,"&lt;="&amp;$G$1))</f>
        <v/>
      </c>
      <c r="F518" s="39" t="str">
        <f>IF(A518="","",SUMIFS(mv_qty,mv_ref,A518,mv_type,"Sortie",mv_date,"&gt;="&amp;$E$1,mv_date,"&lt;="&amp;$G$1))</f>
        <v/>
      </c>
      <c r="G518" s="39" t="str">
        <f>IF(A518="","",ROUND(D518+E518-F518,6))</f>
        <v/>
      </c>
      <c r="H518" s="40" t="str">
        <f>IF(A518="","",G518*N('Articles'!G518))</f>
        <v/>
      </c>
    </row>
    <row r="519">
      <c r="A519" s="39" t="str">
        <f>IF('Articles'!A519="","",'Articles'!A519)</f>
        <v/>
      </c>
      <c r="B519" s="39" t="str">
        <f>IF(A519="","",'Articles'!B519&amp;"")</f>
        <v/>
      </c>
      <c r="C519" s="39" t="str">
        <f>IF(A519="","",'Articles'!D519&amp;"")</f>
        <v/>
      </c>
      <c r="D519" s="39" t="str">
        <f>IF(A519="","",ROUND(N('Articles'!H519)+SUMIFS(mv_qty,mv_ref,A519,mv_type,"Entrée",mv_date,"&lt;"&amp;$E$1)-SUMIFS(mv_qty,mv_ref,A519,mv_type,"Sortie",mv_date,"&lt;"&amp;$E$1),6))</f>
        <v/>
      </c>
      <c r="E519" s="39" t="str">
        <f>IF(A519="","",SUMIFS(mv_qty,mv_ref,A519,mv_type,"Entrée",mv_date,"&gt;="&amp;$E$1,mv_date,"&lt;="&amp;$G$1))</f>
        <v/>
      </c>
      <c r="F519" s="39" t="str">
        <f>IF(A519="","",SUMIFS(mv_qty,mv_ref,A519,mv_type,"Sortie",mv_date,"&gt;="&amp;$E$1,mv_date,"&lt;="&amp;$G$1))</f>
        <v/>
      </c>
      <c r="G519" s="39" t="str">
        <f>IF(A519="","",ROUND(D519+E519-F519,6))</f>
        <v/>
      </c>
      <c r="H519" s="40" t="str">
        <f>IF(A519="","",G519*N('Articles'!G519))</f>
        <v/>
      </c>
    </row>
    <row r="520">
      <c r="A520" s="39" t="str">
        <f>IF('Articles'!A520="","",'Articles'!A520)</f>
        <v/>
      </c>
      <c r="B520" s="39" t="str">
        <f>IF(A520="","",'Articles'!B520&amp;"")</f>
        <v/>
      </c>
      <c r="C520" s="39" t="str">
        <f>IF(A520="","",'Articles'!D520&amp;"")</f>
        <v/>
      </c>
      <c r="D520" s="39" t="str">
        <f>IF(A520="","",ROUND(N('Articles'!H520)+SUMIFS(mv_qty,mv_ref,A520,mv_type,"Entrée",mv_date,"&lt;"&amp;$E$1)-SUMIFS(mv_qty,mv_ref,A520,mv_type,"Sortie",mv_date,"&lt;"&amp;$E$1),6))</f>
        <v/>
      </c>
      <c r="E520" s="39" t="str">
        <f>IF(A520="","",SUMIFS(mv_qty,mv_ref,A520,mv_type,"Entrée",mv_date,"&gt;="&amp;$E$1,mv_date,"&lt;="&amp;$G$1))</f>
        <v/>
      </c>
      <c r="F520" s="39" t="str">
        <f>IF(A520="","",SUMIFS(mv_qty,mv_ref,A520,mv_type,"Sortie",mv_date,"&gt;="&amp;$E$1,mv_date,"&lt;="&amp;$G$1))</f>
        <v/>
      </c>
      <c r="G520" s="39" t="str">
        <f>IF(A520="","",ROUND(D520+E520-F520,6))</f>
        <v/>
      </c>
      <c r="H520" s="40" t="str">
        <f>IF(A520="","",G520*N('Articles'!G520))</f>
        <v/>
      </c>
    </row>
    <row r="521">
      <c r="A521" s="39" t="str">
        <f>IF('Articles'!A521="","",'Articles'!A521)</f>
        <v/>
      </c>
      <c r="B521" s="39" t="str">
        <f>IF(A521="","",'Articles'!B521&amp;"")</f>
        <v/>
      </c>
      <c r="C521" s="39" t="str">
        <f>IF(A521="","",'Articles'!D521&amp;"")</f>
        <v/>
      </c>
      <c r="D521" s="39" t="str">
        <f>IF(A521="","",ROUND(N('Articles'!H521)+SUMIFS(mv_qty,mv_ref,A521,mv_type,"Entrée",mv_date,"&lt;"&amp;$E$1)-SUMIFS(mv_qty,mv_ref,A521,mv_type,"Sortie",mv_date,"&lt;"&amp;$E$1),6))</f>
        <v/>
      </c>
      <c r="E521" s="39" t="str">
        <f>IF(A521="","",SUMIFS(mv_qty,mv_ref,A521,mv_type,"Entrée",mv_date,"&gt;="&amp;$E$1,mv_date,"&lt;="&amp;$G$1))</f>
        <v/>
      </c>
      <c r="F521" s="39" t="str">
        <f>IF(A521="","",SUMIFS(mv_qty,mv_ref,A521,mv_type,"Sortie",mv_date,"&gt;="&amp;$E$1,mv_date,"&lt;="&amp;$G$1))</f>
        <v/>
      </c>
      <c r="G521" s="39" t="str">
        <f>IF(A521="","",ROUND(D521+E521-F521,6))</f>
        <v/>
      </c>
      <c r="H521" s="40" t="str">
        <f>IF(A521="","",G521*N('Articles'!G521))</f>
        <v/>
      </c>
    </row>
    <row r="522">
      <c r="A522" s="39" t="str">
        <f>IF('Articles'!A522="","",'Articles'!A522)</f>
        <v/>
      </c>
      <c r="B522" s="39" t="str">
        <f>IF(A522="","",'Articles'!B522&amp;"")</f>
        <v/>
      </c>
      <c r="C522" s="39" t="str">
        <f>IF(A522="","",'Articles'!D522&amp;"")</f>
        <v/>
      </c>
      <c r="D522" s="39" t="str">
        <f>IF(A522="","",ROUND(N('Articles'!H522)+SUMIFS(mv_qty,mv_ref,A522,mv_type,"Entrée",mv_date,"&lt;"&amp;$E$1)-SUMIFS(mv_qty,mv_ref,A522,mv_type,"Sortie",mv_date,"&lt;"&amp;$E$1),6))</f>
        <v/>
      </c>
      <c r="E522" s="39" t="str">
        <f>IF(A522="","",SUMIFS(mv_qty,mv_ref,A522,mv_type,"Entrée",mv_date,"&gt;="&amp;$E$1,mv_date,"&lt;="&amp;$G$1))</f>
        <v/>
      </c>
      <c r="F522" s="39" t="str">
        <f>IF(A522="","",SUMIFS(mv_qty,mv_ref,A522,mv_type,"Sortie",mv_date,"&gt;="&amp;$E$1,mv_date,"&lt;="&amp;$G$1))</f>
        <v/>
      </c>
      <c r="G522" s="39" t="str">
        <f>IF(A522="","",ROUND(D522+E522-F522,6))</f>
        <v/>
      </c>
      <c r="H522" s="40" t="str">
        <f>IF(A522="","",G522*N('Articles'!G522))</f>
        <v/>
      </c>
    </row>
    <row r="523">
      <c r="A523" s="39" t="str">
        <f>IF('Articles'!A523="","",'Articles'!A523)</f>
        <v/>
      </c>
      <c r="B523" s="39" t="str">
        <f>IF(A523="","",'Articles'!B523&amp;"")</f>
        <v/>
      </c>
      <c r="C523" s="39" t="str">
        <f>IF(A523="","",'Articles'!D523&amp;"")</f>
        <v/>
      </c>
      <c r="D523" s="39" t="str">
        <f>IF(A523="","",ROUND(N('Articles'!H523)+SUMIFS(mv_qty,mv_ref,A523,mv_type,"Entrée",mv_date,"&lt;"&amp;$E$1)-SUMIFS(mv_qty,mv_ref,A523,mv_type,"Sortie",mv_date,"&lt;"&amp;$E$1),6))</f>
        <v/>
      </c>
      <c r="E523" s="39" t="str">
        <f>IF(A523="","",SUMIFS(mv_qty,mv_ref,A523,mv_type,"Entrée",mv_date,"&gt;="&amp;$E$1,mv_date,"&lt;="&amp;$G$1))</f>
        <v/>
      </c>
      <c r="F523" s="39" t="str">
        <f>IF(A523="","",SUMIFS(mv_qty,mv_ref,A523,mv_type,"Sortie",mv_date,"&gt;="&amp;$E$1,mv_date,"&lt;="&amp;$G$1))</f>
        <v/>
      </c>
      <c r="G523" s="39" t="str">
        <f>IF(A523="","",ROUND(D523+E523-F523,6))</f>
        <v/>
      </c>
      <c r="H523" s="40" t="str">
        <f>IF(A523="","",G523*N('Articles'!G523))</f>
        <v/>
      </c>
    </row>
    <row r="524">
      <c r="A524" s="39" t="str">
        <f>IF('Articles'!A524="","",'Articles'!A524)</f>
        <v/>
      </c>
      <c r="B524" s="39" t="str">
        <f>IF(A524="","",'Articles'!B524&amp;"")</f>
        <v/>
      </c>
      <c r="C524" s="39" t="str">
        <f>IF(A524="","",'Articles'!D524&amp;"")</f>
        <v/>
      </c>
      <c r="D524" s="39" t="str">
        <f>IF(A524="","",ROUND(N('Articles'!H524)+SUMIFS(mv_qty,mv_ref,A524,mv_type,"Entrée",mv_date,"&lt;"&amp;$E$1)-SUMIFS(mv_qty,mv_ref,A524,mv_type,"Sortie",mv_date,"&lt;"&amp;$E$1),6))</f>
        <v/>
      </c>
      <c r="E524" s="39" t="str">
        <f>IF(A524="","",SUMIFS(mv_qty,mv_ref,A524,mv_type,"Entrée",mv_date,"&gt;="&amp;$E$1,mv_date,"&lt;="&amp;$G$1))</f>
        <v/>
      </c>
      <c r="F524" s="39" t="str">
        <f>IF(A524="","",SUMIFS(mv_qty,mv_ref,A524,mv_type,"Sortie",mv_date,"&gt;="&amp;$E$1,mv_date,"&lt;="&amp;$G$1))</f>
        <v/>
      </c>
      <c r="G524" s="39" t="str">
        <f>IF(A524="","",ROUND(D524+E524-F524,6))</f>
        <v/>
      </c>
      <c r="H524" s="40" t="str">
        <f>IF(A524="","",G524*N('Articles'!G524))</f>
        <v/>
      </c>
    </row>
    <row r="525">
      <c r="A525" s="39" t="str">
        <f>IF('Articles'!A525="","",'Articles'!A525)</f>
        <v/>
      </c>
      <c r="B525" s="39" t="str">
        <f>IF(A525="","",'Articles'!B525&amp;"")</f>
        <v/>
      </c>
      <c r="C525" s="39" t="str">
        <f>IF(A525="","",'Articles'!D525&amp;"")</f>
        <v/>
      </c>
      <c r="D525" s="39" t="str">
        <f>IF(A525="","",ROUND(N('Articles'!H525)+SUMIFS(mv_qty,mv_ref,A525,mv_type,"Entrée",mv_date,"&lt;"&amp;$E$1)-SUMIFS(mv_qty,mv_ref,A525,mv_type,"Sortie",mv_date,"&lt;"&amp;$E$1),6))</f>
        <v/>
      </c>
      <c r="E525" s="39" t="str">
        <f>IF(A525="","",SUMIFS(mv_qty,mv_ref,A525,mv_type,"Entrée",mv_date,"&gt;="&amp;$E$1,mv_date,"&lt;="&amp;$G$1))</f>
        <v/>
      </c>
      <c r="F525" s="39" t="str">
        <f>IF(A525="","",SUMIFS(mv_qty,mv_ref,A525,mv_type,"Sortie",mv_date,"&gt;="&amp;$E$1,mv_date,"&lt;="&amp;$G$1))</f>
        <v/>
      </c>
      <c r="G525" s="39" t="str">
        <f>IF(A525="","",ROUND(D525+E525-F525,6))</f>
        <v/>
      </c>
      <c r="H525" s="40" t="str">
        <f>IF(A525="","",G525*N('Articles'!G525))</f>
        <v/>
      </c>
    </row>
    <row r="526">
      <c r="A526" s="39" t="str">
        <f>IF('Articles'!A526="","",'Articles'!A526)</f>
        <v/>
      </c>
      <c r="B526" s="39" t="str">
        <f>IF(A526="","",'Articles'!B526&amp;"")</f>
        <v/>
      </c>
      <c r="C526" s="39" t="str">
        <f>IF(A526="","",'Articles'!D526&amp;"")</f>
        <v/>
      </c>
      <c r="D526" s="39" t="str">
        <f>IF(A526="","",ROUND(N('Articles'!H526)+SUMIFS(mv_qty,mv_ref,A526,mv_type,"Entrée",mv_date,"&lt;"&amp;$E$1)-SUMIFS(mv_qty,mv_ref,A526,mv_type,"Sortie",mv_date,"&lt;"&amp;$E$1),6))</f>
        <v/>
      </c>
      <c r="E526" s="39" t="str">
        <f>IF(A526="","",SUMIFS(mv_qty,mv_ref,A526,mv_type,"Entrée",mv_date,"&gt;="&amp;$E$1,mv_date,"&lt;="&amp;$G$1))</f>
        <v/>
      </c>
      <c r="F526" s="39" t="str">
        <f>IF(A526="","",SUMIFS(mv_qty,mv_ref,A526,mv_type,"Sortie",mv_date,"&gt;="&amp;$E$1,mv_date,"&lt;="&amp;$G$1))</f>
        <v/>
      </c>
      <c r="G526" s="39" t="str">
        <f>IF(A526="","",ROUND(D526+E526-F526,6))</f>
        <v/>
      </c>
      <c r="H526" s="40" t="str">
        <f>IF(A526="","",G526*N('Articles'!G526))</f>
        <v/>
      </c>
    </row>
    <row r="527">
      <c r="A527" s="39" t="str">
        <f>IF('Articles'!A527="","",'Articles'!A527)</f>
        <v/>
      </c>
      <c r="B527" s="39" t="str">
        <f>IF(A527="","",'Articles'!B527&amp;"")</f>
        <v/>
      </c>
      <c r="C527" s="39" t="str">
        <f>IF(A527="","",'Articles'!D527&amp;"")</f>
        <v/>
      </c>
      <c r="D527" s="39" t="str">
        <f>IF(A527="","",ROUND(N('Articles'!H527)+SUMIFS(mv_qty,mv_ref,A527,mv_type,"Entrée",mv_date,"&lt;"&amp;$E$1)-SUMIFS(mv_qty,mv_ref,A527,mv_type,"Sortie",mv_date,"&lt;"&amp;$E$1),6))</f>
        <v/>
      </c>
      <c r="E527" s="39" t="str">
        <f>IF(A527="","",SUMIFS(mv_qty,mv_ref,A527,mv_type,"Entrée",mv_date,"&gt;="&amp;$E$1,mv_date,"&lt;="&amp;$G$1))</f>
        <v/>
      </c>
      <c r="F527" s="39" t="str">
        <f>IF(A527="","",SUMIFS(mv_qty,mv_ref,A527,mv_type,"Sortie",mv_date,"&gt;="&amp;$E$1,mv_date,"&lt;="&amp;$G$1))</f>
        <v/>
      </c>
      <c r="G527" s="39" t="str">
        <f>IF(A527="","",ROUND(D527+E527-F527,6))</f>
        <v/>
      </c>
      <c r="H527" s="40" t="str">
        <f>IF(A527="","",G527*N('Articles'!G527))</f>
        <v/>
      </c>
    </row>
    <row r="528">
      <c r="A528" s="39" t="str">
        <f>IF('Articles'!A528="","",'Articles'!A528)</f>
        <v/>
      </c>
      <c r="B528" s="39" t="str">
        <f>IF(A528="","",'Articles'!B528&amp;"")</f>
        <v/>
      </c>
      <c r="C528" s="39" t="str">
        <f>IF(A528="","",'Articles'!D528&amp;"")</f>
        <v/>
      </c>
      <c r="D528" s="39" t="str">
        <f>IF(A528="","",ROUND(N('Articles'!H528)+SUMIFS(mv_qty,mv_ref,A528,mv_type,"Entrée",mv_date,"&lt;"&amp;$E$1)-SUMIFS(mv_qty,mv_ref,A528,mv_type,"Sortie",mv_date,"&lt;"&amp;$E$1),6))</f>
        <v/>
      </c>
      <c r="E528" s="39" t="str">
        <f>IF(A528="","",SUMIFS(mv_qty,mv_ref,A528,mv_type,"Entrée",mv_date,"&gt;="&amp;$E$1,mv_date,"&lt;="&amp;$G$1))</f>
        <v/>
      </c>
      <c r="F528" s="39" t="str">
        <f>IF(A528="","",SUMIFS(mv_qty,mv_ref,A528,mv_type,"Sortie",mv_date,"&gt;="&amp;$E$1,mv_date,"&lt;="&amp;$G$1))</f>
        <v/>
      </c>
      <c r="G528" s="39" t="str">
        <f>IF(A528="","",ROUND(D528+E528-F528,6))</f>
        <v/>
      </c>
      <c r="H528" s="40" t="str">
        <f>IF(A528="","",G528*N('Articles'!G528))</f>
        <v/>
      </c>
    </row>
    <row r="529">
      <c r="A529" s="39" t="str">
        <f>IF('Articles'!A529="","",'Articles'!A529)</f>
        <v/>
      </c>
      <c r="B529" s="39" t="str">
        <f>IF(A529="","",'Articles'!B529&amp;"")</f>
        <v/>
      </c>
      <c r="C529" s="39" t="str">
        <f>IF(A529="","",'Articles'!D529&amp;"")</f>
        <v/>
      </c>
      <c r="D529" s="39" t="str">
        <f>IF(A529="","",ROUND(N('Articles'!H529)+SUMIFS(mv_qty,mv_ref,A529,mv_type,"Entrée",mv_date,"&lt;"&amp;$E$1)-SUMIFS(mv_qty,mv_ref,A529,mv_type,"Sortie",mv_date,"&lt;"&amp;$E$1),6))</f>
        <v/>
      </c>
      <c r="E529" s="39" t="str">
        <f>IF(A529="","",SUMIFS(mv_qty,mv_ref,A529,mv_type,"Entrée",mv_date,"&gt;="&amp;$E$1,mv_date,"&lt;="&amp;$G$1))</f>
        <v/>
      </c>
      <c r="F529" s="39" t="str">
        <f>IF(A529="","",SUMIFS(mv_qty,mv_ref,A529,mv_type,"Sortie",mv_date,"&gt;="&amp;$E$1,mv_date,"&lt;="&amp;$G$1))</f>
        <v/>
      </c>
      <c r="G529" s="39" t="str">
        <f>IF(A529="","",ROUND(D529+E529-F529,6))</f>
        <v/>
      </c>
      <c r="H529" s="40" t="str">
        <f>IF(A529="","",G529*N('Articles'!G529))</f>
        <v/>
      </c>
    </row>
    <row r="530">
      <c r="A530" s="39" t="str">
        <f>IF('Articles'!A530="","",'Articles'!A530)</f>
        <v/>
      </c>
      <c r="B530" s="39" t="str">
        <f>IF(A530="","",'Articles'!B530&amp;"")</f>
        <v/>
      </c>
      <c r="C530" s="39" t="str">
        <f>IF(A530="","",'Articles'!D530&amp;"")</f>
        <v/>
      </c>
      <c r="D530" s="39" t="str">
        <f>IF(A530="","",ROUND(N('Articles'!H530)+SUMIFS(mv_qty,mv_ref,A530,mv_type,"Entrée",mv_date,"&lt;"&amp;$E$1)-SUMIFS(mv_qty,mv_ref,A530,mv_type,"Sortie",mv_date,"&lt;"&amp;$E$1),6))</f>
        <v/>
      </c>
      <c r="E530" s="39" t="str">
        <f>IF(A530="","",SUMIFS(mv_qty,mv_ref,A530,mv_type,"Entrée",mv_date,"&gt;="&amp;$E$1,mv_date,"&lt;="&amp;$G$1))</f>
        <v/>
      </c>
      <c r="F530" s="39" t="str">
        <f>IF(A530="","",SUMIFS(mv_qty,mv_ref,A530,mv_type,"Sortie",mv_date,"&gt;="&amp;$E$1,mv_date,"&lt;="&amp;$G$1))</f>
        <v/>
      </c>
      <c r="G530" s="39" t="str">
        <f>IF(A530="","",ROUND(D530+E530-F530,6))</f>
        <v/>
      </c>
      <c r="H530" s="40" t="str">
        <f>IF(A530="","",G530*N('Articles'!G530))</f>
        <v/>
      </c>
    </row>
    <row r="531">
      <c r="A531" s="39" t="str">
        <f>IF('Articles'!A531="","",'Articles'!A531)</f>
        <v/>
      </c>
      <c r="B531" s="39" t="str">
        <f>IF(A531="","",'Articles'!B531&amp;"")</f>
        <v/>
      </c>
      <c r="C531" s="39" t="str">
        <f>IF(A531="","",'Articles'!D531&amp;"")</f>
        <v/>
      </c>
      <c r="D531" s="39" t="str">
        <f>IF(A531="","",ROUND(N('Articles'!H531)+SUMIFS(mv_qty,mv_ref,A531,mv_type,"Entrée",mv_date,"&lt;"&amp;$E$1)-SUMIFS(mv_qty,mv_ref,A531,mv_type,"Sortie",mv_date,"&lt;"&amp;$E$1),6))</f>
        <v/>
      </c>
      <c r="E531" s="39" t="str">
        <f>IF(A531="","",SUMIFS(mv_qty,mv_ref,A531,mv_type,"Entrée",mv_date,"&gt;="&amp;$E$1,mv_date,"&lt;="&amp;$G$1))</f>
        <v/>
      </c>
      <c r="F531" s="39" t="str">
        <f>IF(A531="","",SUMIFS(mv_qty,mv_ref,A531,mv_type,"Sortie",mv_date,"&gt;="&amp;$E$1,mv_date,"&lt;="&amp;$G$1))</f>
        <v/>
      </c>
      <c r="G531" s="39" t="str">
        <f>IF(A531="","",ROUND(D531+E531-F531,6))</f>
        <v/>
      </c>
      <c r="H531" s="40" t="str">
        <f>IF(A531="","",G531*N('Articles'!G531))</f>
        <v/>
      </c>
    </row>
    <row r="532">
      <c r="A532" s="39" t="str">
        <f>IF('Articles'!A532="","",'Articles'!A532)</f>
        <v/>
      </c>
      <c r="B532" s="39" t="str">
        <f>IF(A532="","",'Articles'!B532&amp;"")</f>
        <v/>
      </c>
      <c r="C532" s="39" t="str">
        <f>IF(A532="","",'Articles'!D532&amp;"")</f>
        <v/>
      </c>
      <c r="D532" s="39" t="str">
        <f>IF(A532="","",ROUND(N('Articles'!H532)+SUMIFS(mv_qty,mv_ref,A532,mv_type,"Entrée",mv_date,"&lt;"&amp;$E$1)-SUMIFS(mv_qty,mv_ref,A532,mv_type,"Sortie",mv_date,"&lt;"&amp;$E$1),6))</f>
        <v/>
      </c>
      <c r="E532" s="39" t="str">
        <f>IF(A532="","",SUMIFS(mv_qty,mv_ref,A532,mv_type,"Entrée",mv_date,"&gt;="&amp;$E$1,mv_date,"&lt;="&amp;$G$1))</f>
        <v/>
      </c>
      <c r="F532" s="39" t="str">
        <f>IF(A532="","",SUMIFS(mv_qty,mv_ref,A532,mv_type,"Sortie",mv_date,"&gt;="&amp;$E$1,mv_date,"&lt;="&amp;$G$1))</f>
        <v/>
      </c>
      <c r="G532" s="39" t="str">
        <f>IF(A532="","",ROUND(D532+E532-F532,6))</f>
        <v/>
      </c>
      <c r="H532" s="40" t="str">
        <f>IF(A532="","",G532*N('Articles'!G532))</f>
        <v/>
      </c>
    </row>
    <row r="533">
      <c r="A533" s="39" t="str">
        <f>IF('Articles'!A533="","",'Articles'!A533)</f>
        <v/>
      </c>
      <c r="B533" s="39" t="str">
        <f>IF(A533="","",'Articles'!B533&amp;"")</f>
        <v/>
      </c>
      <c r="C533" s="39" t="str">
        <f>IF(A533="","",'Articles'!D533&amp;"")</f>
        <v/>
      </c>
      <c r="D533" s="39" t="str">
        <f>IF(A533="","",ROUND(N('Articles'!H533)+SUMIFS(mv_qty,mv_ref,A533,mv_type,"Entrée",mv_date,"&lt;"&amp;$E$1)-SUMIFS(mv_qty,mv_ref,A533,mv_type,"Sortie",mv_date,"&lt;"&amp;$E$1),6))</f>
        <v/>
      </c>
      <c r="E533" s="39" t="str">
        <f>IF(A533="","",SUMIFS(mv_qty,mv_ref,A533,mv_type,"Entrée",mv_date,"&gt;="&amp;$E$1,mv_date,"&lt;="&amp;$G$1))</f>
        <v/>
      </c>
      <c r="F533" s="39" t="str">
        <f>IF(A533="","",SUMIFS(mv_qty,mv_ref,A533,mv_type,"Sortie",mv_date,"&gt;="&amp;$E$1,mv_date,"&lt;="&amp;$G$1))</f>
        <v/>
      </c>
      <c r="G533" s="39" t="str">
        <f>IF(A533="","",ROUND(D533+E533-F533,6))</f>
        <v/>
      </c>
      <c r="H533" s="40" t="str">
        <f>IF(A533="","",G533*N('Articles'!G533))</f>
        <v/>
      </c>
    </row>
    <row r="534">
      <c r="A534" s="39" t="str">
        <f>IF('Articles'!A534="","",'Articles'!A534)</f>
        <v/>
      </c>
      <c r="B534" s="39" t="str">
        <f>IF(A534="","",'Articles'!B534&amp;"")</f>
        <v/>
      </c>
      <c r="C534" s="39" t="str">
        <f>IF(A534="","",'Articles'!D534&amp;"")</f>
        <v/>
      </c>
      <c r="D534" s="39" t="str">
        <f>IF(A534="","",ROUND(N('Articles'!H534)+SUMIFS(mv_qty,mv_ref,A534,mv_type,"Entrée",mv_date,"&lt;"&amp;$E$1)-SUMIFS(mv_qty,mv_ref,A534,mv_type,"Sortie",mv_date,"&lt;"&amp;$E$1),6))</f>
        <v/>
      </c>
      <c r="E534" s="39" t="str">
        <f>IF(A534="","",SUMIFS(mv_qty,mv_ref,A534,mv_type,"Entrée",mv_date,"&gt;="&amp;$E$1,mv_date,"&lt;="&amp;$G$1))</f>
        <v/>
      </c>
      <c r="F534" s="39" t="str">
        <f>IF(A534="","",SUMIFS(mv_qty,mv_ref,A534,mv_type,"Sortie",mv_date,"&gt;="&amp;$E$1,mv_date,"&lt;="&amp;$G$1))</f>
        <v/>
      </c>
      <c r="G534" s="39" t="str">
        <f>IF(A534="","",ROUND(D534+E534-F534,6))</f>
        <v/>
      </c>
      <c r="H534" s="40" t="str">
        <f>IF(A534="","",G534*N('Articles'!G534))</f>
        <v/>
      </c>
    </row>
    <row r="535">
      <c r="A535" s="39" t="str">
        <f>IF('Articles'!A535="","",'Articles'!A535)</f>
        <v/>
      </c>
      <c r="B535" s="39" t="str">
        <f>IF(A535="","",'Articles'!B535&amp;"")</f>
        <v/>
      </c>
      <c r="C535" s="39" t="str">
        <f>IF(A535="","",'Articles'!D535&amp;"")</f>
        <v/>
      </c>
      <c r="D535" s="39" t="str">
        <f>IF(A535="","",ROUND(N('Articles'!H535)+SUMIFS(mv_qty,mv_ref,A535,mv_type,"Entrée",mv_date,"&lt;"&amp;$E$1)-SUMIFS(mv_qty,mv_ref,A535,mv_type,"Sortie",mv_date,"&lt;"&amp;$E$1),6))</f>
        <v/>
      </c>
      <c r="E535" s="39" t="str">
        <f>IF(A535="","",SUMIFS(mv_qty,mv_ref,A535,mv_type,"Entrée",mv_date,"&gt;="&amp;$E$1,mv_date,"&lt;="&amp;$G$1))</f>
        <v/>
      </c>
      <c r="F535" s="39" t="str">
        <f>IF(A535="","",SUMIFS(mv_qty,mv_ref,A535,mv_type,"Sortie",mv_date,"&gt;="&amp;$E$1,mv_date,"&lt;="&amp;$G$1))</f>
        <v/>
      </c>
      <c r="G535" s="39" t="str">
        <f>IF(A535="","",ROUND(D535+E535-F535,6))</f>
        <v/>
      </c>
      <c r="H535" s="40" t="str">
        <f>IF(A535="","",G535*N('Articles'!G535))</f>
        <v/>
      </c>
    </row>
    <row r="536">
      <c r="A536" s="39" t="str">
        <f>IF('Articles'!A536="","",'Articles'!A536)</f>
        <v/>
      </c>
      <c r="B536" s="39" t="str">
        <f>IF(A536="","",'Articles'!B536&amp;"")</f>
        <v/>
      </c>
      <c r="C536" s="39" t="str">
        <f>IF(A536="","",'Articles'!D536&amp;"")</f>
        <v/>
      </c>
      <c r="D536" s="39" t="str">
        <f>IF(A536="","",ROUND(N('Articles'!H536)+SUMIFS(mv_qty,mv_ref,A536,mv_type,"Entrée",mv_date,"&lt;"&amp;$E$1)-SUMIFS(mv_qty,mv_ref,A536,mv_type,"Sortie",mv_date,"&lt;"&amp;$E$1),6))</f>
        <v/>
      </c>
      <c r="E536" s="39" t="str">
        <f>IF(A536="","",SUMIFS(mv_qty,mv_ref,A536,mv_type,"Entrée",mv_date,"&gt;="&amp;$E$1,mv_date,"&lt;="&amp;$G$1))</f>
        <v/>
      </c>
      <c r="F536" s="39" t="str">
        <f>IF(A536="","",SUMIFS(mv_qty,mv_ref,A536,mv_type,"Sortie",mv_date,"&gt;="&amp;$E$1,mv_date,"&lt;="&amp;$G$1))</f>
        <v/>
      </c>
      <c r="G536" s="39" t="str">
        <f>IF(A536="","",ROUND(D536+E536-F536,6))</f>
        <v/>
      </c>
      <c r="H536" s="40" t="str">
        <f>IF(A536="","",G536*N('Articles'!G536))</f>
        <v/>
      </c>
    </row>
    <row r="537">
      <c r="A537" s="39" t="str">
        <f>IF('Articles'!A537="","",'Articles'!A537)</f>
        <v/>
      </c>
      <c r="B537" s="39" t="str">
        <f>IF(A537="","",'Articles'!B537&amp;"")</f>
        <v/>
      </c>
      <c r="C537" s="39" t="str">
        <f>IF(A537="","",'Articles'!D537&amp;"")</f>
        <v/>
      </c>
      <c r="D537" s="39" t="str">
        <f>IF(A537="","",ROUND(N('Articles'!H537)+SUMIFS(mv_qty,mv_ref,A537,mv_type,"Entrée",mv_date,"&lt;"&amp;$E$1)-SUMIFS(mv_qty,mv_ref,A537,mv_type,"Sortie",mv_date,"&lt;"&amp;$E$1),6))</f>
        <v/>
      </c>
      <c r="E537" s="39" t="str">
        <f>IF(A537="","",SUMIFS(mv_qty,mv_ref,A537,mv_type,"Entrée",mv_date,"&gt;="&amp;$E$1,mv_date,"&lt;="&amp;$G$1))</f>
        <v/>
      </c>
      <c r="F537" s="39" t="str">
        <f>IF(A537="","",SUMIFS(mv_qty,mv_ref,A537,mv_type,"Sortie",mv_date,"&gt;="&amp;$E$1,mv_date,"&lt;="&amp;$G$1))</f>
        <v/>
      </c>
      <c r="G537" s="39" t="str">
        <f>IF(A537="","",ROUND(D537+E537-F537,6))</f>
        <v/>
      </c>
      <c r="H537" s="40" t="str">
        <f>IF(A537="","",G537*N('Articles'!G537))</f>
        <v/>
      </c>
    </row>
    <row r="538">
      <c r="A538" s="39" t="str">
        <f>IF('Articles'!A538="","",'Articles'!A538)</f>
        <v/>
      </c>
      <c r="B538" s="39" t="str">
        <f>IF(A538="","",'Articles'!B538&amp;"")</f>
        <v/>
      </c>
      <c r="C538" s="39" t="str">
        <f>IF(A538="","",'Articles'!D538&amp;"")</f>
        <v/>
      </c>
      <c r="D538" s="39" t="str">
        <f>IF(A538="","",ROUND(N('Articles'!H538)+SUMIFS(mv_qty,mv_ref,A538,mv_type,"Entrée",mv_date,"&lt;"&amp;$E$1)-SUMIFS(mv_qty,mv_ref,A538,mv_type,"Sortie",mv_date,"&lt;"&amp;$E$1),6))</f>
        <v/>
      </c>
      <c r="E538" s="39" t="str">
        <f>IF(A538="","",SUMIFS(mv_qty,mv_ref,A538,mv_type,"Entrée",mv_date,"&gt;="&amp;$E$1,mv_date,"&lt;="&amp;$G$1))</f>
        <v/>
      </c>
      <c r="F538" s="39" t="str">
        <f>IF(A538="","",SUMIFS(mv_qty,mv_ref,A538,mv_type,"Sortie",mv_date,"&gt;="&amp;$E$1,mv_date,"&lt;="&amp;$G$1))</f>
        <v/>
      </c>
      <c r="G538" s="39" t="str">
        <f>IF(A538="","",ROUND(D538+E538-F538,6))</f>
        <v/>
      </c>
      <c r="H538" s="40" t="str">
        <f>IF(A538="","",G538*N('Articles'!G538))</f>
        <v/>
      </c>
    </row>
    <row r="539">
      <c r="A539" s="39" t="str">
        <f>IF('Articles'!A539="","",'Articles'!A539)</f>
        <v/>
      </c>
      <c r="B539" s="39" t="str">
        <f>IF(A539="","",'Articles'!B539&amp;"")</f>
        <v/>
      </c>
      <c r="C539" s="39" t="str">
        <f>IF(A539="","",'Articles'!D539&amp;"")</f>
        <v/>
      </c>
      <c r="D539" s="39" t="str">
        <f>IF(A539="","",ROUND(N('Articles'!H539)+SUMIFS(mv_qty,mv_ref,A539,mv_type,"Entrée",mv_date,"&lt;"&amp;$E$1)-SUMIFS(mv_qty,mv_ref,A539,mv_type,"Sortie",mv_date,"&lt;"&amp;$E$1),6))</f>
        <v/>
      </c>
      <c r="E539" s="39" t="str">
        <f>IF(A539="","",SUMIFS(mv_qty,mv_ref,A539,mv_type,"Entrée",mv_date,"&gt;="&amp;$E$1,mv_date,"&lt;="&amp;$G$1))</f>
        <v/>
      </c>
      <c r="F539" s="39" t="str">
        <f>IF(A539="","",SUMIFS(mv_qty,mv_ref,A539,mv_type,"Sortie",mv_date,"&gt;="&amp;$E$1,mv_date,"&lt;="&amp;$G$1))</f>
        <v/>
      </c>
      <c r="G539" s="39" t="str">
        <f>IF(A539="","",ROUND(D539+E539-F539,6))</f>
        <v/>
      </c>
      <c r="H539" s="40" t="str">
        <f>IF(A539="","",G539*N('Articles'!G539))</f>
        <v/>
      </c>
    </row>
    <row r="540">
      <c r="A540" s="39" t="str">
        <f>IF('Articles'!A540="","",'Articles'!A540)</f>
        <v/>
      </c>
      <c r="B540" s="39" t="str">
        <f>IF(A540="","",'Articles'!B540&amp;"")</f>
        <v/>
      </c>
      <c r="C540" s="39" t="str">
        <f>IF(A540="","",'Articles'!D540&amp;"")</f>
        <v/>
      </c>
      <c r="D540" s="39" t="str">
        <f>IF(A540="","",ROUND(N('Articles'!H540)+SUMIFS(mv_qty,mv_ref,A540,mv_type,"Entrée",mv_date,"&lt;"&amp;$E$1)-SUMIFS(mv_qty,mv_ref,A540,mv_type,"Sortie",mv_date,"&lt;"&amp;$E$1),6))</f>
        <v/>
      </c>
      <c r="E540" s="39" t="str">
        <f>IF(A540="","",SUMIFS(mv_qty,mv_ref,A540,mv_type,"Entrée",mv_date,"&gt;="&amp;$E$1,mv_date,"&lt;="&amp;$G$1))</f>
        <v/>
      </c>
      <c r="F540" s="39" t="str">
        <f>IF(A540="","",SUMIFS(mv_qty,mv_ref,A540,mv_type,"Sortie",mv_date,"&gt;="&amp;$E$1,mv_date,"&lt;="&amp;$G$1))</f>
        <v/>
      </c>
      <c r="G540" s="39" t="str">
        <f>IF(A540="","",ROUND(D540+E540-F540,6))</f>
        <v/>
      </c>
      <c r="H540" s="40" t="str">
        <f>IF(A540="","",G540*N('Articles'!G540))</f>
        <v/>
      </c>
    </row>
    <row r="541">
      <c r="A541" s="39" t="str">
        <f>IF('Articles'!A541="","",'Articles'!A541)</f>
        <v/>
      </c>
      <c r="B541" s="39" t="str">
        <f>IF(A541="","",'Articles'!B541&amp;"")</f>
        <v/>
      </c>
      <c r="C541" s="39" t="str">
        <f>IF(A541="","",'Articles'!D541&amp;"")</f>
        <v/>
      </c>
      <c r="D541" s="39" t="str">
        <f>IF(A541="","",ROUND(N('Articles'!H541)+SUMIFS(mv_qty,mv_ref,A541,mv_type,"Entrée",mv_date,"&lt;"&amp;$E$1)-SUMIFS(mv_qty,mv_ref,A541,mv_type,"Sortie",mv_date,"&lt;"&amp;$E$1),6))</f>
        <v/>
      </c>
      <c r="E541" s="39" t="str">
        <f>IF(A541="","",SUMIFS(mv_qty,mv_ref,A541,mv_type,"Entrée",mv_date,"&gt;="&amp;$E$1,mv_date,"&lt;="&amp;$G$1))</f>
        <v/>
      </c>
      <c r="F541" s="39" t="str">
        <f>IF(A541="","",SUMIFS(mv_qty,mv_ref,A541,mv_type,"Sortie",mv_date,"&gt;="&amp;$E$1,mv_date,"&lt;="&amp;$G$1))</f>
        <v/>
      </c>
      <c r="G541" s="39" t="str">
        <f>IF(A541="","",ROUND(D541+E541-F541,6))</f>
        <v/>
      </c>
      <c r="H541" s="40" t="str">
        <f>IF(A541="","",G541*N('Articles'!G541))</f>
        <v/>
      </c>
    </row>
    <row r="542">
      <c r="A542" s="39" t="str">
        <f>IF('Articles'!A542="","",'Articles'!A542)</f>
        <v/>
      </c>
      <c r="B542" s="39" t="str">
        <f>IF(A542="","",'Articles'!B542&amp;"")</f>
        <v/>
      </c>
      <c r="C542" s="39" t="str">
        <f>IF(A542="","",'Articles'!D542&amp;"")</f>
        <v/>
      </c>
      <c r="D542" s="39" t="str">
        <f>IF(A542="","",ROUND(N('Articles'!H542)+SUMIFS(mv_qty,mv_ref,A542,mv_type,"Entrée",mv_date,"&lt;"&amp;$E$1)-SUMIFS(mv_qty,mv_ref,A542,mv_type,"Sortie",mv_date,"&lt;"&amp;$E$1),6))</f>
        <v/>
      </c>
      <c r="E542" s="39" t="str">
        <f>IF(A542="","",SUMIFS(mv_qty,mv_ref,A542,mv_type,"Entrée",mv_date,"&gt;="&amp;$E$1,mv_date,"&lt;="&amp;$G$1))</f>
        <v/>
      </c>
      <c r="F542" s="39" t="str">
        <f>IF(A542="","",SUMIFS(mv_qty,mv_ref,A542,mv_type,"Sortie",mv_date,"&gt;="&amp;$E$1,mv_date,"&lt;="&amp;$G$1))</f>
        <v/>
      </c>
      <c r="G542" s="39" t="str">
        <f>IF(A542="","",ROUND(D542+E542-F542,6))</f>
        <v/>
      </c>
      <c r="H542" s="40" t="str">
        <f>IF(A542="","",G542*N('Articles'!G542))</f>
        <v/>
      </c>
    </row>
    <row r="543">
      <c r="A543" s="39" t="str">
        <f>IF('Articles'!A543="","",'Articles'!A543)</f>
        <v/>
      </c>
      <c r="B543" s="39" t="str">
        <f>IF(A543="","",'Articles'!B543&amp;"")</f>
        <v/>
      </c>
      <c r="C543" s="39" t="str">
        <f>IF(A543="","",'Articles'!D543&amp;"")</f>
        <v/>
      </c>
      <c r="D543" s="39" t="str">
        <f>IF(A543="","",ROUND(N('Articles'!H543)+SUMIFS(mv_qty,mv_ref,A543,mv_type,"Entrée",mv_date,"&lt;"&amp;$E$1)-SUMIFS(mv_qty,mv_ref,A543,mv_type,"Sortie",mv_date,"&lt;"&amp;$E$1),6))</f>
        <v/>
      </c>
      <c r="E543" s="39" t="str">
        <f>IF(A543="","",SUMIFS(mv_qty,mv_ref,A543,mv_type,"Entrée",mv_date,"&gt;="&amp;$E$1,mv_date,"&lt;="&amp;$G$1))</f>
        <v/>
      </c>
      <c r="F543" s="39" t="str">
        <f>IF(A543="","",SUMIFS(mv_qty,mv_ref,A543,mv_type,"Sortie",mv_date,"&gt;="&amp;$E$1,mv_date,"&lt;="&amp;$G$1))</f>
        <v/>
      </c>
      <c r="G543" s="39" t="str">
        <f>IF(A543="","",ROUND(D543+E543-F543,6))</f>
        <v/>
      </c>
      <c r="H543" s="40" t="str">
        <f>IF(A543="","",G543*N('Articles'!G543))</f>
        <v/>
      </c>
    </row>
    <row r="544">
      <c r="A544" s="39" t="str">
        <f>IF('Articles'!A544="","",'Articles'!A544)</f>
        <v/>
      </c>
      <c r="B544" s="39" t="str">
        <f>IF(A544="","",'Articles'!B544&amp;"")</f>
        <v/>
      </c>
      <c r="C544" s="39" t="str">
        <f>IF(A544="","",'Articles'!D544&amp;"")</f>
        <v/>
      </c>
      <c r="D544" s="39" t="str">
        <f>IF(A544="","",ROUND(N('Articles'!H544)+SUMIFS(mv_qty,mv_ref,A544,mv_type,"Entrée",mv_date,"&lt;"&amp;$E$1)-SUMIFS(mv_qty,mv_ref,A544,mv_type,"Sortie",mv_date,"&lt;"&amp;$E$1),6))</f>
        <v/>
      </c>
      <c r="E544" s="39" t="str">
        <f>IF(A544="","",SUMIFS(mv_qty,mv_ref,A544,mv_type,"Entrée",mv_date,"&gt;="&amp;$E$1,mv_date,"&lt;="&amp;$G$1))</f>
        <v/>
      </c>
      <c r="F544" s="39" t="str">
        <f>IF(A544="","",SUMIFS(mv_qty,mv_ref,A544,mv_type,"Sortie",mv_date,"&gt;="&amp;$E$1,mv_date,"&lt;="&amp;$G$1))</f>
        <v/>
      </c>
      <c r="G544" s="39" t="str">
        <f>IF(A544="","",ROUND(D544+E544-F544,6))</f>
        <v/>
      </c>
      <c r="H544" s="40" t="str">
        <f>IF(A544="","",G544*N('Articles'!G544))</f>
        <v/>
      </c>
    </row>
    <row r="545">
      <c r="A545" s="39" t="str">
        <f>IF('Articles'!A545="","",'Articles'!A545)</f>
        <v/>
      </c>
      <c r="B545" s="39" t="str">
        <f>IF(A545="","",'Articles'!B545&amp;"")</f>
        <v/>
      </c>
      <c r="C545" s="39" t="str">
        <f>IF(A545="","",'Articles'!D545&amp;"")</f>
        <v/>
      </c>
      <c r="D545" s="39" t="str">
        <f>IF(A545="","",ROUND(N('Articles'!H545)+SUMIFS(mv_qty,mv_ref,A545,mv_type,"Entrée",mv_date,"&lt;"&amp;$E$1)-SUMIFS(mv_qty,mv_ref,A545,mv_type,"Sortie",mv_date,"&lt;"&amp;$E$1),6))</f>
        <v/>
      </c>
      <c r="E545" s="39" t="str">
        <f>IF(A545="","",SUMIFS(mv_qty,mv_ref,A545,mv_type,"Entrée",mv_date,"&gt;="&amp;$E$1,mv_date,"&lt;="&amp;$G$1))</f>
        <v/>
      </c>
      <c r="F545" s="39" t="str">
        <f>IF(A545="","",SUMIFS(mv_qty,mv_ref,A545,mv_type,"Sortie",mv_date,"&gt;="&amp;$E$1,mv_date,"&lt;="&amp;$G$1))</f>
        <v/>
      </c>
      <c r="G545" s="39" t="str">
        <f>IF(A545="","",ROUND(D545+E545-F545,6))</f>
        <v/>
      </c>
      <c r="H545" s="40" t="str">
        <f>IF(A545="","",G545*N('Articles'!G545))</f>
        <v/>
      </c>
    </row>
    <row r="546">
      <c r="A546" s="39" t="str">
        <f>IF('Articles'!A546="","",'Articles'!A546)</f>
        <v/>
      </c>
      <c r="B546" s="39" t="str">
        <f>IF(A546="","",'Articles'!B546&amp;"")</f>
        <v/>
      </c>
      <c r="C546" s="39" t="str">
        <f>IF(A546="","",'Articles'!D546&amp;"")</f>
        <v/>
      </c>
      <c r="D546" s="39" t="str">
        <f>IF(A546="","",ROUND(N('Articles'!H546)+SUMIFS(mv_qty,mv_ref,A546,mv_type,"Entrée",mv_date,"&lt;"&amp;$E$1)-SUMIFS(mv_qty,mv_ref,A546,mv_type,"Sortie",mv_date,"&lt;"&amp;$E$1),6))</f>
        <v/>
      </c>
      <c r="E546" s="39" t="str">
        <f>IF(A546="","",SUMIFS(mv_qty,mv_ref,A546,mv_type,"Entrée",mv_date,"&gt;="&amp;$E$1,mv_date,"&lt;="&amp;$G$1))</f>
        <v/>
      </c>
      <c r="F546" s="39" t="str">
        <f>IF(A546="","",SUMIFS(mv_qty,mv_ref,A546,mv_type,"Sortie",mv_date,"&gt;="&amp;$E$1,mv_date,"&lt;="&amp;$G$1))</f>
        <v/>
      </c>
      <c r="G546" s="39" t="str">
        <f>IF(A546="","",ROUND(D546+E546-F546,6))</f>
        <v/>
      </c>
      <c r="H546" s="40" t="str">
        <f>IF(A546="","",G546*N('Articles'!G546))</f>
        <v/>
      </c>
    </row>
    <row r="547">
      <c r="A547" s="39" t="str">
        <f>IF('Articles'!A547="","",'Articles'!A547)</f>
        <v/>
      </c>
      <c r="B547" s="39" t="str">
        <f>IF(A547="","",'Articles'!B547&amp;"")</f>
        <v/>
      </c>
      <c r="C547" s="39" t="str">
        <f>IF(A547="","",'Articles'!D547&amp;"")</f>
        <v/>
      </c>
      <c r="D547" s="39" t="str">
        <f>IF(A547="","",ROUND(N('Articles'!H547)+SUMIFS(mv_qty,mv_ref,A547,mv_type,"Entrée",mv_date,"&lt;"&amp;$E$1)-SUMIFS(mv_qty,mv_ref,A547,mv_type,"Sortie",mv_date,"&lt;"&amp;$E$1),6))</f>
        <v/>
      </c>
      <c r="E547" s="39" t="str">
        <f>IF(A547="","",SUMIFS(mv_qty,mv_ref,A547,mv_type,"Entrée",mv_date,"&gt;="&amp;$E$1,mv_date,"&lt;="&amp;$G$1))</f>
        <v/>
      </c>
      <c r="F547" s="39" t="str">
        <f>IF(A547="","",SUMIFS(mv_qty,mv_ref,A547,mv_type,"Sortie",mv_date,"&gt;="&amp;$E$1,mv_date,"&lt;="&amp;$G$1))</f>
        <v/>
      </c>
      <c r="G547" s="39" t="str">
        <f>IF(A547="","",ROUND(D547+E547-F547,6))</f>
        <v/>
      </c>
      <c r="H547" s="40" t="str">
        <f>IF(A547="","",G547*N('Articles'!G547))</f>
        <v/>
      </c>
    </row>
    <row r="548">
      <c r="A548" s="39" t="str">
        <f>IF('Articles'!A548="","",'Articles'!A548)</f>
        <v/>
      </c>
      <c r="B548" s="39" t="str">
        <f>IF(A548="","",'Articles'!B548&amp;"")</f>
        <v/>
      </c>
      <c r="C548" s="39" t="str">
        <f>IF(A548="","",'Articles'!D548&amp;"")</f>
        <v/>
      </c>
      <c r="D548" s="39" t="str">
        <f>IF(A548="","",ROUND(N('Articles'!H548)+SUMIFS(mv_qty,mv_ref,A548,mv_type,"Entrée",mv_date,"&lt;"&amp;$E$1)-SUMIFS(mv_qty,mv_ref,A548,mv_type,"Sortie",mv_date,"&lt;"&amp;$E$1),6))</f>
        <v/>
      </c>
      <c r="E548" s="39" t="str">
        <f>IF(A548="","",SUMIFS(mv_qty,mv_ref,A548,mv_type,"Entrée",mv_date,"&gt;="&amp;$E$1,mv_date,"&lt;="&amp;$G$1))</f>
        <v/>
      </c>
      <c r="F548" s="39" t="str">
        <f>IF(A548="","",SUMIFS(mv_qty,mv_ref,A548,mv_type,"Sortie",mv_date,"&gt;="&amp;$E$1,mv_date,"&lt;="&amp;$G$1))</f>
        <v/>
      </c>
      <c r="G548" s="39" t="str">
        <f>IF(A548="","",ROUND(D548+E548-F548,6))</f>
        <v/>
      </c>
      <c r="H548" s="40" t="str">
        <f>IF(A548="","",G548*N('Articles'!G548))</f>
        <v/>
      </c>
    </row>
    <row r="549">
      <c r="A549" s="39" t="str">
        <f>IF('Articles'!A549="","",'Articles'!A549)</f>
        <v/>
      </c>
      <c r="B549" s="39" t="str">
        <f>IF(A549="","",'Articles'!B549&amp;"")</f>
        <v/>
      </c>
      <c r="C549" s="39" t="str">
        <f>IF(A549="","",'Articles'!D549&amp;"")</f>
        <v/>
      </c>
      <c r="D549" s="39" t="str">
        <f>IF(A549="","",ROUND(N('Articles'!H549)+SUMIFS(mv_qty,mv_ref,A549,mv_type,"Entrée",mv_date,"&lt;"&amp;$E$1)-SUMIFS(mv_qty,mv_ref,A549,mv_type,"Sortie",mv_date,"&lt;"&amp;$E$1),6))</f>
        <v/>
      </c>
      <c r="E549" s="39" t="str">
        <f>IF(A549="","",SUMIFS(mv_qty,mv_ref,A549,mv_type,"Entrée",mv_date,"&gt;="&amp;$E$1,mv_date,"&lt;="&amp;$G$1))</f>
        <v/>
      </c>
      <c r="F549" s="39" t="str">
        <f>IF(A549="","",SUMIFS(mv_qty,mv_ref,A549,mv_type,"Sortie",mv_date,"&gt;="&amp;$E$1,mv_date,"&lt;="&amp;$G$1))</f>
        <v/>
      </c>
      <c r="G549" s="39" t="str">
        <f>IF(A549="","",ROUND(D549+E549-F549,6))</f>
        <v/>
      </c>
      <c r="H549" s="40" t="str">
        <f>IF(A549="","",G549*N('Articles'!G549))</f>
        <v/>
      </c>
    </row>
    <row r="550">
      <c r="A550" s="39" t="str">
        <f>IF('Articles'!A550="","",'Articles'!A550)</f>
        <v/>
      </c>
      <c r="B550" s="39" t="str">
        <f>IF(A550="","",'Articles'!B550&amp;"")</f>
        <v/>
      </c>
      <c r="C550" s="39" t="str">
        <f>IF(A550="","",'Articles'!D550&amp;"")</f>
        <v/>
      </c>
      <c r="D550" s="39" t="str">
        <f>IF(A550="","",ROUND(N('Articles'!H550)+SUMIFS(mv_qty,mv_ref,A550,mv_type,"Entrée",mv_date,"&lt;"&amp;$E$1)-SUMIFS(mv_qty,mv_ref,A550,mv_type,"Sortie",mv_date,"&lt;"&amp;$E$1),6))</f>
        <v/>
      </c>
      <c r="E550" s="39" t="str">
        <f>IF(A550="","",SUMIFS(mv_qty,mv_ref,A550,mv_type,"Entrée",mv_date,"&gt;="&amp;$E$1,mv_date,"&lt;="&amp;$G$1))</f>
        <v/>
      </c>
      <c r="F550" s="39" t="str">
        <f>IF(A550="","",SUMIFS(mv_qty,mv_ref,A550,mv_type,"Sortie",mv_date,"&gt;="&amp;$E$1,mv_date,"&lt;="&amp;$G$1))</f>
        <v/>
      </c>
      <c r="G550" s="39" t="str">
        <f>IF(A550="","",ROUND(D550+E550-F550,6))</f>
        <v/>
      </c>
      <c r="H550" s="40" t="str">
        <f>IF(A550="","",G550*N('Articles'!G550))</f>
        <v/>
      </c>
    </row>
    <row r="551">
      <c r="A551" s="39" t="str">
        <f>IF('Articles'!A551="","",'Articles'!A551)</f>
        <v/>
      </c>
      <c r="B551" s="39" t="str">
        <f>IF(A551="","",'Articles'!B551&amp;"")</f>
        <v/>
      </c>
      <c r="C551" s="39" t="str">
        <f>IF(A551="","",'Articles'!D551&amp;"")</f>
        <v/>
      </c>
      <c r="D551" s="39" t="str">
        <f>IF(A551="","",ROUND(N('Articles'!H551)+SUMIFS(mv_qty,mv_ref,A551,mv_type,"Entrée",mv_date,"&lt;"&amp;$E$1)-SUMIFS(mv_qty,mv_ref,A551,mv_type,"Sortie",mv_date,"&lt;"&amp;$E$1),6))</f>
        <v/>
      </c>
      <c r="E551" s="39" t="str">
        <f>IF(A551="","",SUMIFS(mv_qty,mv_ref,A551,mv_type,"Entrée",mv_date,"&gt;="&amp;$E$1,mv_date,"&lt;="&amp;$G$1))</f>
        <v/>
      </c>
      <c r="F551" s="39" t="str">
        <f>IF(A551="","",SUMIFS(mv_qty,mv_ref,A551,mv_type,"Sortie",mv_date,"&gt;="&amp;$E$1,mv_date,"&lt;="&amp;$G$1))</f>
        <v/>
      </c>
      <c r="G551" s="39" t="str">
        <f>IF(A551="","",ROUND(D551+E551-F551,6))</f>
        <v/>
      </c>
      <c r="H551" s="40" t="str">
        <f>IF(A551="","",G551*N('Articles'!G551))</f>
        <v/>
      </c>
    </row>
    <row r="552">
      <c r="A552" s="39" t="str">
        <f>IF('Articles'!A552="","",'Articles'!A552)</f>
        <v/>
      </c>
      <c r="B552" s="39" t="str">
        <f>IF(A552="","",'Articles'!B552&amp;"")</f>
        <v/>
      </c>
      <c r="C552" s="39" t="str">
        <f>IF(A552="","",'Articles'!D552&amp;"")</f>
        <v/>
      </c>
      <c r="D552" s="39" t="str">
        <f>IF(A552="","",ROUND(N('Articles'!H552)+SUMIFS(mv_qty,mv_ref,A552,mv_type,"Entrée",mv_date,"&lt;"&amp;$E$1)-SUMIFS(mv_qty,mv_ref,A552,mv_type,"Sortie",mv_date,"&lt;"&amp;$E$1),6))</f>
        <v/>
      </c>
      <c r="E552" s="39" t="str">
        <f>IF(A552="","",SUMIFS(mv_qty,mv_ref,A552,mv_type,"Entrée",mv_date,"&gt;="&amp;$E$1,mv_date,"&lt;="&amp;$G$1))</f>
        <v/>
      </c>
      <c r="F552" s="39" t="str">
        <f>IF(A552="","",SUMIFS(mv_qty,mv_ref,A552,mv_type,"Sortie",mv_date,"&gt;="&amp;$E$1,mv_date,"&lt;="&amp;$G$1))</f>
        <v/>
      </c>
      <c r="G552" s="39" t="str">
        <f>IF(A552="","",ROUND(D552+E552-F552,6))</f>
        <v/>
      </c>
      <c r="H552" s="40" t="str">
        <f>IF(A552="","",G552*N('Articles'!G552))</f>
        <v/>
      </c>
    </row>
    <row r="553">
      <c r="A553" s="39" t="str">
        <f>IF('Articles'!A553="","",'Articles'!A553)</f>
        <v/>
      </c>
      <c r="B553" s="39" t="str">
        <f>IF(A553="","",'Articles'!B553&amp;"")</f>
        <v/>
      </c>
      <c r="C553" s="39" t="str">
        <f>IF(A553="","",'Articles'!D553&amp;"")</f>
        <v/>
      </c>
      <c r="D553" s="39" t="str">
        <f>IF(A553="","",ROUND(N('Articles'!H553)+SUMIFS(mv_qty,mv_ref,A553,mv_type,"Entrée",mv_date,"&lt;"&amp;$E$1)-SUMIFS(mv_qty,mv_ref,A553,mv_type,"Sortie",mv_date,"&lt;"&amp;$E$1),6))</f>
        <v/>
      </c>
      <c r="E553" s="39" t="str">
        <f>IF(A553="","",SUMIFS(mv_qty,mv_ref,A553,mv_type,"Entrée",mv_date,"&gt;="&amp;$E$1,mv_date,"&lt;="&amp;$G$1))</f>
        <v/>
      </c>
      <c r="F553" s="39" t="str">
        <f>IF(A553="","",SUMIFS(mv_qty,mv_ref,A553,mv_type,"Sortie",mv_date,"&gt;="&amp;$E$1,mv_date,"&lt;="&amp;$G$1))</f>
        <v/>
      </c>
      <c r="G553" s="39" t="str">
        <f>IF(A553="","",ROUND(D553+E553-F553,6))</f>
        <v/>
      </c>
      <c r="H553" s="40" t="str">
        <f>IF(A553="","",G553*N('Articles'!G553))</f>
        <v/>
      </c>
    </row>
    <row r="554">
      <c r="A554" s="39" t="str">
        <f>IF('Articles'!A554="","",'Articles'!A554)</f>
        <v/>
      </c>
      <c r="B554" s="39" t="str">
        <f>IF(A554="","",'Articles'!B554&amp;"")</f>
        <v/>
      </c>
      <c r="C554" s="39" t="str">
        <f>IF(A554="","",'Articles'!D554&amp;"")</f>
        <v/>
      </c>
      <c r="D554" s="39" t="str">
        <f>IF(A554="","",ROUND(N('Articles'!H554)+SUMIFS(mv_qty,mv_ref,A554,mv_type,"Entrée",mv_date,"&lt;"&amp;$E$1)-SUMIFS(mv_qty,mv_ref,A554,mv_type,"Sortie",mv_date,"&lt;"&amp;$E$1),6))</f>
        <v/>
      </c>
      <c r="E554" s="39" t="str">
        <f>IF(A554="","",SUMIFS(mv_qty,mv_ref,A554,mv_type,"Entrée",mv_date,"&gt;="&amp;$E$1,mv_date,"&lt;="&amp;$G$1))</f>
        <v/>
      </c>
      <c r="F554" s="39" t="str">
        <f>IF(A554="","",SUMIFS(mv_qty,mv_ref,A554,mv_type,"Sortie",mv_date,"&gt;="&amp;$E$1,mv_date,"&lt;="&amp;$G$1))</f>
        <v/>
      </c>
      <c r="G554" s="39" t="str">
        <f>IF(A554="","",ROUND(D554+E554-F554,6))</f>
        <v/>
      </c>
      <c r="H554" s="40" t="str">
        <f>IF(A554="","",G554*N('Articles'!G554))</f>
        <v/>
      </c>
    </row>
    <row r="555">
      <c r="A555" s="39" t="str">
        <f>IF('Articles'!A555="","",'Articles'!A555)</f>
        <v/>
      </c>
      <c r="B555" s="39" t="str">
        <f>IF(A555="","",'Articles'!B555&amp;"")</f>
        <v/>
      </c>
      <c r="C555" s="39" t="str">
        <f>IF(A555="","",'Articles'!D555&amp;"")</f>
        <v/>
      </c>
      <c r="D555" s="39" t="str">
        <f>IF(A555="","",ROUND(N('Articles'!H555)+SUMIFS(mv_qty,mv_ref,A555,mv_type,"Entrée",mv_date,"&lt;"&amp;$E$1)-SUMIFS(mv_qty,mv_ref,A555,mv_type,"Sortie",mv_date,"&lt;"&amp;$E$1),6))</f>
        <v/>
      </c>
      <c r="E555" s="39" t="str">
        <f>IF(A555="","",SUMIFS(mv_qty,mv_ref,A555,mv_type,"Entrée",mv_date,"&gt;="&amp;$E$1,mv_date,"&lt;="&amp;$G$1))</f>
        <v/>
      </c>
      <c r="F555" s="39" t="str">
        <f>IF(A555="","",SUMIFS(mv_qty,mv_ref,A555,mv_type,"Sortie",mv_date,"&gt;="&amp;$E$1,mv_date,"&lt;="&amp;$G$1))</f>
        <v/>
      </c>
      <c r="G555" s="39" t="str">
        <f>IF(A555="","",ROUND(D555+E555-F555,6))</f>
        <v/>
      </c>
      <c r="H555" s="40" t="str">
        <f>IF(A555="","",G555*N('Articles'!G555))</f>
        <v/>
      </c>
    </row>
    <row r="556">
      <c r="A556" s="39" t="str">
        <f>IF('Articles'!A556="","",'Articles'!A556)</f>
        <v/>
      </c>
      <c r="B556" s="39" t="str">
        <f>IF(A556="","",'Articles'!B556&amp;"")</f>
        <v/>
      </c>
      <c r="C556" s="39" t="str">
        <f>IF(A556="","",'Articles'!D556&amp;"")</f>
        <v/>
      </c>
      <c r="D556" s="39" t="str">
        <f>IF(A556="","",ROUND(N('Articles'!H556)+SUMIFS(mv_qty,mv_ref,A556,mv_type,"Entrée",mv_date,"&lt;"&amp;$E$1)-SUMIFS(mv_qty,mv_ref,A556,mv_type,"Sortie",mv_date,"&lt;"&amp;$E$1),6))</f>
        <v/>
      </c>
      <c r="E556" s="39" t="str">
        <f>IF(A556="","",SUMIFS(mv_qty,mv_ref,A556,mv_type,"Entrée",mv_date,"&gt;="&amp;$E$1,mv_date,"&lt;="&amp;$G$1))</f>
        <v/>
      </c>
      <c r="F556" s="39" t="str">
        <f>IF(A556="","",SUMIFS(mv_qty,mv_ref,A556,mv_type,"Sortie",mv_date,"&gt;="&amp;$E$1,mv_date,"&lt;="&amp;$G$1))</f>
        <v/>
      </c>
      <c r="G556" s="39" t="str">
        <f>IF(A556="","",ROUND(D556+E556-F556,6))</f>
        <v/>
      </c>
      <c r="H556" s="40" t="str">
        <f>IF(A556="","",G556*N('Articles'!G556))</f>
        <v/>
      </c>
    </row>
    <row r="557">
      <c r="A557" s="39" t="str">
        <f>IF('Articles'!A557="","",'Articles'!A557)</f>
        <v/>
      </c>
      <c r="B557" s="39" t="str">
        <f>IF(A557="","",'Articles'!B557&amp;"")</f>
        <v/>
      </c>
      <c r="C557" s="39" t="str">
        <f>IF(A557="","",'Articles'!D557&amp;"")</f>
        <v/>
      </c>
      <c r="D557" s="39" t="str">
        <f>IF(A557="","",ROUND(N('Articles'!H557)+SUMIFS(mv_qty,mv_ref,A557,mv_type,"Entrée",mv_date,"&lt;"&amp;$E$1)-SUMIFS(mv_qty,mv_ref,A557,mv_type,"Sortie",mv_date,"&lt;"&amp;$E$1),6))</f>
        <v/>
      </c>
      <c r="E557" s="39" t="str">
        <f>IF(A557="","",SUMIFS(mv_qty,mv_ref,A557,mv_type,"Entrée",mv_date,"&gt;="&amp;$E$1,mv_date,"&lt;="&amp;$G$1))</f>
        <v/>
      </c>
      <c r="F557" s="39" t="str">
        <f>IF(A557="","",SUMIFS(mv_qty,mv_ref,A557,mv_type,"Sortie",mv_date,"&gt;="&amp;$E$1,mv_date,"&lt;="&amp;$G$1))</f>
        <v/>
      </c>
      <c r="G557" s="39" t="str">
        <f>IF(A557="","",ROUND(D557+E557-F557,6))</f>
        <v/>
      </c>
      <c r="H557" s="40" t="str">
        <f>IF(A557="","",G557*N('Articles'!G557))</f>
        <v/>
      </c>
    </row>
    <row r="558">
      <c r="A558" s="39" t="str">
        <f>IF('Articles'!A558="","",'Articles'!A558)</f>
        <v/>
      </c>
      <c r="B558" s="39" t="str">
        <f>IF(A558="","",'Articles'!B558&amp;"")</f>
        <v/>
      </c>
      <c r="C558" s="39" t="str">
        <f>IF(A558="","",'Articles'!D558&amp;"")</f>
        <v/>
      </c>
      <c r="D558" s="39" t="str">
        <f>IF(A558="","",ROUND(N('Articles'!H558)+SUMIFS(mv_qty,mv_ref,A558,mv_type,"Entrée",mv_date,"&lt;"&amp;$E$1)-SUMIFS(mv_qty,mv_ref,A558,mv_type,"Sortie",mv_date,"&lt;"&amp;$E$1),6))</f>
        <v/>
      </c>
      <c r="E558" s="39" t="str">
        <f>IF(A558="","",SUMIFS(mv_qty,mv_ref,A558,mv_type,"Entrée",mv_date,"&gt;="&amp;$E$1,mv_date,"&lt;="&amp;$G$1))</f>
        <v/>
      </c>
      <c r="F558" s="39" t="str">
        <f>IF(A558="","",SUMIFS(mv_qty,mv_ref,A558,mv_type,"Sortie",mv_date,"&gt;="&amp;$E$1,mv_date,"&lt;="&amp;$G$1))</f>
        <v/>
      </c>
      <c r="G558" s="39" t="str">
        <f>IF(A558="","",ROUND(D558+E558-F558,6))</f>
        <v/>
      </c>
      <c r="H558" s="40" t="str">
        <f>IF(A558="","",G558*N('Articles'!G558))</f>
        <v/>
      </c>
    </row>
    <row r="559">
      <c r="A559" s="39" t="str">
        <f>IF('Articles'!A559="","",'Articles'!A559)</f>
        <v/>
      </c>
      <c r="B559" s="39" t="str">
        <f>IF(A559="","",'Articles'!B559&amp;"")</f>
        <v/>
      </c>
      <c r="C559" s="39" t="str">
        <f>IF(A559="","",'Articles'!D559&amp;"")</f>
        <v/>
      </c>
      <c r="D559" s="39" t="str">
        <f>IF(A559="","",ROUND(N('Articles'!H559)+SUMIFS(mv_qty,mv_ref,A559,mv_type,"Entrée",mv_date,"&lt;"&amp;$E$1)-SUMIFS(mv_qty,mv_ref,A559,mv_type,"Sortie",mv_date,"&lt;"&amp;$E$1),6))</f>
        <v/>
      </c>
      <c r="E559" s="39" t="str">
        <f>IF(A559="","",SUMIFS(mv_qty,mv_ref,A559,mv_type,"Entrée",mv_date,"&gt;="&amp;$E$1,mv_date,"&lt;="&amp;$G$1))</f>
        <v/>
      </c>
      <c r="F559" s="39" t="str">
        <f>IF(A559="","",SUMIFS(mv_qty,mv_ref,A559,mv_type,"Sortie",mv_date,"&gt;="&amp;$E$1,mv_date,"&lt;="&amp;$G$1))</f>
        <v/>
      </c>
      <c r="G559" s="39" t="str">
        <f>IF(A559="","",ROUND(D559+E559-F559,6))</f>
        <v/>
      </c>
      <c r="H559" s="40" t="str">
        <f>IF(A559="","",G559*N('Articles'!G559))</f>
        <v/>
      </c>
    </row>
    <row r="560">
      <c r="A560" s="39" t="str">
        <f>IF('Articles'!A560="","",'Articles'!A560)</f>
        <v/>
      </c>
      <c r="B560" s="39" t="str">
        <f>IF(A560="","",'Articles'!B560&amp;"")</f>
        <v/>
      </c>
      <c r="C560" s="39" t="str">
        <f>IF(A560="","",'Articles'!D560&amp;"")</f>
        <v/>
      </c>
      <c r="D560" s="39" t="str">
        <f>IF(A560="","",ROUND(N('Articles'!H560)+SUMIFS(mv_qty,mv_ref,A560,mv_type,"Entrée",mv_date,"&lt;"&amp;$E$1)-SUMIFS(mv_qty,mv_ref,A560,mv_type,"Sortie",mv_date,"&lt;"&amp;$E$1),6))</f>
        <v/>
      </c>
      <c r="E560" s="39" t="str">
        <f>IF(A560="","",SUMIFS(mv_qty,mv_ref,A560,mv_type,"Entrée",mv_date,"&gt;="&amp;$E$1,mv_date,"&lt;="&amp;$G$1))</f>
        <v/>
      </c>
      <c r="F560" s="39" t="str">
        <f>IF(A560="","",SUMIFS(mv_qty,mv_ref,A560,mv_type,"Sortie",mv_date,"&gt;="&amp;$E$1,mv_date,"&lt;="&amp;$G$1))</f>
        <v/>
      </c>
      <c r="G560" s="39" t="str">
        <f>IF(A560="","",ROUND(D560+E560-F560,6))</f>
        <v/>
      </c>
      <c r="H560" s="40" t="str">
        <f>IF(A560="","",G560*N('Articles'!G560))</f>
        <v/>
      </c>
    </row>
    <row r="561">
      <c r="A561" s="39" t="str">
        <f>IF('Articles'!A561="","",'Articles'!A561)</f>
        <v/>
      </c>
      <c r="B561" s="39" t="str">
        <f>IF(A561="","",'Articles'!B561&amp;"")</f>
        <v/>
      </c>
      <c r="C561" s="39" t="str">
        <f>IF(A561="","",'Articles'!D561&amp;"")</f>
        <v/>
      </c>
      <c r="D561" s="39" t="str">
        <f>IF(A561="","",ROUND(N('Articles'!H561)+SUMIFS(mv_qty,mv_ref,A561,mv_type,"Entrée",mv_date,"&lt;"&amp;$E$1)-SUMIFS(mv_qty,mv_ref,A561,mv_type,"Sortie",mv_date,"&lt;"&amp;$E$1),6))</f>
        <v/>
      </c>
      <c r="E561" s="39" t="str">
        <f>IF(A561="","",SUMIFS(mv_qty,mv_ref,A561,mv_type,"Entrée",mv_date,"&gt;="&amp;$E$1,mv_date,"&lt;="&amp;$G$1))</f>
        <v/>
      </c>
      <c r="F561" s="39" t="str">
        <f>IF(A561="","",SUMIFS(mv_qty,mv_ref,A561,mv_type,"Sortie",mv_date,"&gt;="&amp;$E$1,mv_date,"&lt;="&amp;$G$1))</f>
        <v/>
      </c>
      <c r="G561" s="39" t="str">
        <f>IF(A561="","",ROUND(D561+E561-F561,6))</f>
        <v/>
      </c>
      <c r="H561" s="40" t="str">
        <f>IF(A561="","",G561*N('Articles'!G561))</f>
        <v/>
      </c>
    </row>
    <row r="562">
      <c r="A562" s="39" t="str">
        <f>IF('Articles'!A562="","",'Articles'!A562)</f>
        <v/>
      </c>
      <c r="B562" s="39" t="str">
        <f>IF(A562="","",'Articles'!B562&amp;"")</f>
        <v/>
      </c>
      <c r="C562" s="39" t="str">
        <f>IF(A562="","",'Articles'!D562&amp;"")</f>
        <v/>
      </c>
      <c r="D562" s="39" t="str">
        <f>IF(A562="","",ROUND(N('Articles'!H562)+SUMIFS(mv_qty,mv_ref,A562,mv_type,"Entrée",mv_date,"&lt;"&amp;$E$1)-SUMIFS(mv_qty,mv_ref,A562,mv_type,"Sortie",mv_date,"&lt;"&amp;$E$1),6))</f>
        <v/>
      </c>
      <c r="E562" s="39" t="str">
        <f>IF(A562="","",SUMIFS(mv_qty,mv_ref,A562,mv_type,"Entrée",mv_date,"&gt;="&amp;$E$1,mv_date,"&lt;="&amp;$G$1))</f>
        <v/>
      </c>
      <c r="F562" s="39" t="str">
        <f>IF(A562="","",SUMIFS(mv_qty,mv_ref,A562,mv_type,"Sortie",mv_date,"&gt;="&amp;$E$1,mv_date,"&lt;="&amp;$G$1))</f>
        <v/>
      </c>
      <c r="G562" s="39" t="str">
        <f>IF(A562="","",ROUND(D562+E562-F562,6))</f>
        <v/>
      </c>
      <c r="H562" s="40" t="str">
        <f>IF(A562="","",G562*N('Articles'!G562))</f>
        <v/>
      </c>
    </row>
    <row r="563">
      <c r="A563" s="39" t="str">
        <f>IF('Articles'!A563="","",'Articles'!A563)</f>
        <v/>
      </c>
      <c r="B563" s="39" t="str">
        <f>IF(A563="","",'Articles'!B563&amp;"")</f>
        <v/>
      </c>
      <c r="C563" s="39" t="str">
        <f>IF(A563="","",'Articles'!D563&amp;"")</f>
        <v/>
      </c>
      <c r="D563" s="39" t="str">
        <f>IF(A563="","",ROUND(N('Articles'!H563)+SUMIFS(mv_qty,mv_ref,A563,mv_type,"Entrée",mv_date,"&lt;"&amp;$E$1)-SUMIFS(mv_qty,mv_ref,A563,mv_type,"Sortie",mv_date,"&lt;"&amp;$E$1),6))</f>
        <v/>
      </c>
      <c r="E563" s="39" t="str">
        <f>IF(A563="","",SUMIFS(mv_qty,mv_ref,A563,mv_type,"Entrée",mv_date,"&gt;="&amp;$E$1,mv_date,"&lt;="&amp;$G$1))</f>
        <v/>
      </c>
      <c r="F563" s="39" t="str">
        <f>IF(A563="","",SUMIFS(mv_qty,mv_ref,A563,mv_type,"Sortie",mv_date,"&gt;="&amp;$E$1,mv_date,"&lt;="&amp;$G$1))</f>
        <v/>
      </c>
      <c r="G563" s="39" t="str">
        <f>IF(A563="","",ROUND(D563+E563-F563,6))</f>
        <v/>
      </c>
      <c r="H563" s="40" t="str">
        <f>IF(A563="","",G563*N('Articles'!G563))</f>
        <v/>
      </c>
    </row>
    <row r="564">
      <c r="A564" s="39" t="str">
        <f>IF('Articles'!A564="","",'Articles'!A564)</f>
        <v/>
      </c>
      <c r="B564" s="39" t="str">
        <f>IF(A564="","",'Articles'!B564&amp;"")</f>
        <v/>
      </c>
      <c r="C564" s="39" t="str">
        <f>IF(A564="","",'Articles'!D564&amp;"")</f>
        <v/>
      </c>
      <c r="D564" s="39" t="str">
        <f>IF(A564="","",ROUND(N('Articles'!H564)+SUMIFS(mv_qty,mv_ref,A564,mv_type,"Entrée",mv_date,"&lt;"&amp;$E$1)-SUMIFS(mv_qty,mv_ref,A564,mv_type,"Sortie",mv_date,"&lt;"&amp;$E$1),6))</f>
        <v/>
      </c>
      <c r="E564" s="39" t="str">
        <f>IF(A564="","",SUMIFS(mv_qty,mv_ref,A564,mv_type,"Entrée",mv_date,"&gt;="&amp;$E$1,mv_date,"&lt;="&amp;$G$1))</f>
        <v/>
      </c>
      <c r="F564" s="39" t="str">
        <f>IF(A564="","",SUMIFS(mv_qty,mv_ref,A564,mv_type,"Sortie",mv_date,"&gt;="&amp;$E$1,mv_date,"&lt;="&amp;$G$1))</f>
        <v/>
      </c>
      <c r="G564" s="39" t="str">
        <f>IF(A564="","",ROUND(D564+E564-F564,6))</f>
        <v/>
      </c>
      <c r="H564" s="40" t="str">
        <f>IF(A564="","",G564*N('Articles'!G564))</f>
        <v/>
      </c>
    </row>
    <row r="565">
      <c r="A565" s="39" t="str">
        <f>IF('Articles'!A565="","",'Articles'!A565)</f>
        <v/>
      </c>
      <c r="B565" s="39" t="str">
        <f>IF(A565="","",'Articles'!B565&amp;"")</f>
        <v/>
      </c>
      <c r="C565" s="39" t="str">
        <f>IF(A565="","",'Articles'!D565&amp;"")</f>
        <v/>
      </c>
      <c r="D565" s="39" t="str">
        <f>IF(A565="","",ROUND(N('Articles'!H565)+SUMIFS(mv_qty,mv_ref,A565,mv_type,"Entrée",mv_date,"&lt;"&amp;$E$1)-SUMIFS(mv_qty,mv_ref,A565,mv_type,"Sortie",mv_date,"&lt;"&amp;$E$1),6))</f>
        <v/>
      </c>
      <c r="E565" s="39" t="str">
        <f>IF(A565="","",SUMIFS(mv_qty,mv_ref,A565,mv_type,"Entrée",mv_date,"&gt;="&amp;$E$1,mv_date,"&lt;="&amp;$G$1))</f>
        <v/>
      </c>
      <c r="F565" s="39" t="str">
        <f>IF(A565="","",SUMIFS(mv_qty,mv_ref,A565,mv_type,"Sortie",mv_date,"&gt;="&amp;$E$1,mv_date,"&lt;="&amp;$G$1))</f>
        <v/>
      </c>
      <c r="G565" s="39" t="str">
        <f>IF(A565="","",ROUND(D565+E565-F565,6))</f>
        <v/>
      </c>
      <c r="H565" s="40" t="str">
        <f>IF(A565="","",G565*N('Articles'!G565))</f>
        <v/>
      </c>
    </row>
    <row r="566">
      <c r="A566" s="39" t="str">
        <f>IF('Articles'!A566="","",'Articles'!A566)</f>
        <v/>
      </c>
      <c r="B566" s="39" t="str">
        <f>IF(A566="","",'Articles'!B566&amp;"")</f>
        <v/>
      </c>
      <c r="C566" s="39" t="str">
        <f>IF(A566="","",'Articles'!D566&amp;"")</f>
        <v/>
      </c>
      <c r="D566" s="39" t="str">
        <f>IF(A566="","",ROUND(N('Articles'!H566)+SUMIFS(mv_qty,mv_ref,A566,mv_type,"Entrée",mv_date,"&lt;"&amp;$E$1)-SUMIFS(mv_qty,mv_ref,A566,mv_type,"Sortie",mv_date,"&lt;"&amp;$E$1),6))</f>
        <v/>
      </c>
      <c r="E566" s="39" t="str">
        <f>IF(A566="","",SUMIFS(mv_qty,mv_ref,A566,mv_type,"Entrée",mv_date,"&gt;="&amp;$E$1,mv_date,"&lt;="&amp;$G$1))</f>
        <v/>
      </c>
      <c r="F566" s="39" t="str">
        <f>IF(A566="","",SUMIFS(mv_qty,mv_ref,A566,mv_type,"Sortie",mv_date,"&gt;="&amp;$E$1,mv_date,"&lt;="&amp;$G$1))</f>
        <v/>
      </c>
      <c r="G566" s="39" t="str">
        <f>IF(A566="","",ROUND(D566+E566-F566,6))</f>
        <v/>
      </c>
      <c r="H566" s="40" t="str">
        <f>IF(A566="","",G566*N('Articles'!G566))</f>
        <v/>
      </c>
    </row>
    <row r="567">
      <c r="A567" s="39" t="str">
        <f>IF('Articles'!A567="","",'Articles'!A567)</f>
        <v/>
      </c>
      <c r="B567" s="39" t="str">
        <f>IF(A567="","",'Articles'!B567&amp;"")</f>
        <v/>
      </c>
      <c r="C567" s="39" t="str">
        <f>IF(A567="","",'Articles'!D567&amp;"")</f>
        <v/>
      </c>
      <c r="D567" s="39" t="str">
        <f>IF(A567="","",ROUND(N('Articles'!H567)+SUMIFS(mv_qty,mv_ref,A567,mv_type,"Entrée",mv_date,"&lt;"&amp;$E$1)-SUMIFS(mv_qty,mv_ref,A567,mv_type,"Sortie",mv_date,"&lt;"&amp;$E$1),6))</f>
        <v/>
      </c>
      <c r="E567" s="39" t="str">
        <f>IF(A567="","",SUMIFS(mv_qty,mv_ref,A567,mv_type,"Entrée",mv_date,"&gt;="&amp;$E$1,mv_date,"&lt;="&amp;$G$1))</f>
        <v/>
      </c>
      <c r="F567" s="39" t="str">
        <f>IF(A567="","",SUMIFS(mv_qty,mv_ref,A567,mv_type,"Sortie",mv_date,"&gt;="&amp;$E$1,mv_date,"&lt;="&amp;$G$1))</f>
        <v/>
      </c>
      <c r="G567" s="39" t="str">
        <f>IF(A567="","",ROUND(D567+E567-F567,6))</f>
        <v/>
      </c>
      <c r="H567" s="40" t="str">
        <f>IF(A567="","",G567*N('Articles'!G567))</f>
        <v/>
      </c>
    </row>
    <row r="568">
      <c r="A568" s="39" t="str">
        <f>IF('Articles'!A568="","",'Articles'!A568)</f>
        <v/>
      </c>
      <c r="B568" s="39" t="str">
        <f>IF(A568="","",'Articles'!B568&amp;"")</f>
        <v/>
      </c>
      <c r="C568" s="39" t="str">
        <f>IF(A568="","",'Articles'!D568&amp;"")</f>
        <v/>
      </c>
      <c r="D568" s="39" t="str">
        <f>IF(A568="","",ROUND(N('Articles'!H568)+SUMIFS(mv_qty,mv_ref,A568,mv_type,"Entrée",mv_date,"&lt;"&amp;$E$1)-SUMIFS(mv_qty,mv_ref,A568,mv_type,"Sortie",mv_date,"&lt;"&amp;$E$1),6))</f>
        <v/>
      </c>
      <c r="E568" s="39" t="str">
        <f>IF(A568="","",SUMIFS(mv_qty,mv_ref,A568,mv_type,"Entrée",mv_date,"&gt;="&amp;$E$1,mv_date,"&lt;="&amp;$G$1))</f>
        <v/>
      </c>
      <c r="F568" s="39" t="str">
        <f>IF(A568="","",SUMIFS(mv_qty,mv_ref,A568,mv_type,"Sortie",mv_date,"&gt;="&amp;$E$1,mv_date,"&lt;="&amp;$G$1))</f>
        <v/>
      </c>
      <c r="G568" s="39" t="str">
        <f>IF(A568="","",ROUND(D568+E568-F568,6))</f>
        <v/>
      </c>
      <c r="H568" s="40" t="str">
        <f>IF(A568="","",G568*N('Articles'!G568))</f>
        <v/>
      </c>
    </row>
    <row r="569">
      <c r="A569" s="39" t="str">
        <f>IF('Articles'!A569="","",'Articles'!A569)</f>
        <v/>
      </c>
      <c r="B569" s="39" t="str">
        <f>IF(A569="","",'Articles'!B569&amp;"")</f>
        <v/>
      </c>
      <c r="C569" s="39" t="str">
        <f>IF(A569="","",'Articles'!D569&amp;"")</f>
        <v/>
      </c>
      <c r="D569" s="39" t="str">
        <f>IF(A569="","",ROUND(N('Articles'!H569)+SUMIFS(mv_qty,mv_ref,A569,mv_type,"Entrée",mv_date,"&lt;"&amp;$E$1)-SUMIFS(mv_qty,mv_ref,A569,mv_type,"Sortie",mv_date,"&lt;"&amp;$E$1),6))</f>
        <v/>
      </c>
      <c r="E569" s="39" t="str">
        <f>IF(A569="","",SUMIFS(mv_qty,mv_ref,A569,mv_type,"Entrée",mv_date,"&gt;="&amp;$E$1,mv_date,"&lt;="&amp;$G$1))</f>
        <v/>
      </c>
      <c r="F569" s="39" t="str">
        <f>IF(A569="","",SUMIFS(mv_qty,mv_ref,A569,mv_type,"Sortie",mv_date,"&gt;="&amp;$E$1,mv_date,"&lt;="&amp;$G$1))</f>
        <v/>
      </c>
      <c r="G569" s="39" t="str">
        <f>IF(A569="","",ROUND(D569+E569-F569,6))</f>
        <v/>
      </c>
      <c r="H569" s="40" t="str">
        <f>IF(A569="","",G569*N('Articles'!G569))</f>
        <v/>
      </c>
    </row>
    <row r="570">
      <c r="A570" s="39" t="str">
        <f>IF('Articles'!A570="","",'Articles'!A570)</f>
        <v/>
      </c>
      <c r="B570" s="39" t="str">
        <f>IF(A570="","",'Articles'!B570&amp;"")</f>
        <v/>
      </c>
      <c r="C570" s="39" t="str">
        <f>IF(A570="","",'Articles'!D570&amp;"")</f>
        <v/>
      </c>
      <c r="D570" s="39" t="str">
        <f>IF(A570="","",ROUND(N('Articles'!H570)+SUMIFS(mv_qty,mv_ref,A570,mv_type,"Entrée",mv_date,"&lt;"&amp;$E$1)-SUMIFS(mv_qty,mv_ref,A570,mv_type,"Sortie",mv_date,"&lt;"&amp;$E$1),6))</f>
        <v/>
      </c>
      <c r="E570" s="39" t="str">
        <f>IF(A570="","",SUMIFS(mv_qty,mv_ref,A570,mv_type,"Entrée",mv_date,"&gt;="&amp;$E$1,mv_date,"&lt;="&amp;$G$1))</f>
        <v/>
      </c>
      <c r="F570" s="39" t="str">
        <f>IF(A570="","",SUMIFS(mv_qty,mv_ref,A570,mv_type,"Sortie",mv_date,"&gt;="&amp;$E$1,mv_date,"&lt;="&amp;$G$1))</f>
        <v/>
      </c>
      <c r="G570" s="39" t="str">
        <f>IF(A570="","",ROUND(D570+E570-F570,6))</f>
        <v/>
      </c>
      <c r="H570" s="40" t="str">
        <f>IF(A570="","",G570*N('Articles'!G570))</f>
        <v/>
      </c>
    </row>
    <row r="571">
      <c r="A571" s="39" t="str">
        <f>IF('Articles'!A571="","",'Articles'!A571)</f>
        <v/>
      </c>
      <c r="B571" s="39" t="str">
        <f>IF(A571="","",'Articles'!B571&amp;"")</f>
        <v/>
      </c>
      <c r="C571" s="39" t="str">
        <f>IF(A571="","",'Articles'!D571&amp;"")</f>
        <v/>
      </c>
      <c r="D571" s="39" t="str">
        <f>IF(A571="","",ROUND(N('Articles'!H571)+SUMIFS(mv_qty,mv_ref,A571,mv_type,"Entrée",mv_date,"&lt;"&amp;$E$1)-SUMIFS(mv_qty,mv_ref,A571,mv_type,"Sortie",mv_date,"&lt;"&amp;$E$1),6))</f>
        <v/>
      </c>
      <c r="E571" s="39" t="str">
        <f>IF(A571="","",SUMIFS(mv_qty,mv_ref,A571,mv_type,"Entrée",mv_date,"&gt;="&amp;$E$1,mv_date,"&lt;="&amp;$G$1))</f>
        <v/>
      </c>
      <c r="F571" s="39" t="str">
        <f>IF(A571="","",SUMIFS(mv_qty,mv_ref,A571,mv_type,"Sortie",mv_date,"&gt;="&amp;$E$1,mv_date,"&lt;="&amp;$G$1))</f>
        <v/>
      </c>
      <c r="G571" s="39" t="str">
        <f>IF(A571="","",ROUND(D571+E571-F571,6))</f>
        <v/>
      </c>
      <c r="H571" s="40" t="str">
        <f>IF(A571="","",G571*N('Articles'!G571))</f>
        <v/>
      </c>
    </row>
    <row r="572">
      <c r="A572" s="39" t="str">
        <f>IF('Articles'!A572="","",'Articles'!A572)</f>
        <v/>
      </c>
      <c r="B572" s="39" t="str">
        <f>IF(A572="","",'Articles'!B572&amp;"")</f>
        <v/>
      </c>
      <c r="C572" s="39" t="str">
        <f>IF(A572="","",'Articles'!D572&amp;"")</f>
        <v/>
      </c>
      <c r="D572" s="39" t="str">
        <f>IF(A572="","",ROUND(N('Articles'!H572)+SUMIFS(mv_qty,mv_ref,A572,mv_type,"Entrée",mv_date,"&lt;"&amp;$E$1)-SUMIFS(mv_qty,mv_ref,A572,mv_type,"Sortie",mv_date,"&lt;"&amp;$E$1),6))</f>
        <v/>
      </c>
      <c r="E572" s="39" t="str">
        <f>IF(A572="","",SUMIFS(mv_qty,mv_ref,A572,mv_type,"Entrée",mv_date,"&gt;="&amp;$E$1,mv_date,"&lt;="&amp;$G$1))</f>
        <v/>
      </c>
      <c r="F572" s="39" t="str">
        <f>IF(A572="","",SUMIFS(mv_qty,mv_ref,A572,mv_type,"Sortie",mv_date,"&gt;="&amp;$E$1,mv_date,"&lt;="&amp;$G$1))</f>
        <v/>
      </c>
      <c r="G572" s="39" t="str">
        <f>IF(A572="","",ROUND(D572+E572-F572,6))</f>
        <v/>
      </c>
      <c r="H572" s="40" t="str">
        <f>IF(A572="","",G572*N('Articles'!G572))</f>
        <v/>
      </c>
    </row>
    <row r="573">
      <c r="A573" s="39" t="str">
        <f>IF('Articles'!A573="","",'Articles'!A573)</f>
        <v/>
      </c>
      <c r="B573" s="39" t="str">
        <f>IF(A573="","",'Articles'!B573&amp;"")</f>
        <v/>
      </c>
      <c r="C573" s="39" t="str">
        <f>IF(A573="","",'Articles'!D573&amp;"")</f>
        <v/>
      </c>
      <c r="D573" s="39" t="str">
        <f>IF(A573="","",ROUND(N('Articles'!H573)+SUMIFS(mv_qty,mv_ref,A573,mv_type,"Entrée",mv_date,"&lt;"&amp;$E$1)-SUMIFS(mv_qty,mv_ref,A573,mv_type,"Sortie",mv_date,"&lt;"&amp;$E$1),6))</f>
        <v/>
      </c>
      <c r="E573" s="39" t="str">
        <f>IF(A573="","",SUMIFS(mv_qty,mv_ref,A573,mv_type,"Entrée",mv_date,"&gt;="&amp;$E$1,mv_date,"&lt;="&amp;$G$1))</f>
        <v/>
      </c>
      <c r="F573" s="39" t="str">
        <f>IF(A573="","",SUMIFS(mv_qty,mv_ref,A573,mv_type,"Sortie",mv_date,"&gt;="&amp;$E$1,mv_date,"&lt;="&amp;$G$1))</f>
        <v/>
      </c>
      <c r="G573" s="39" t="str">
        <f>IF(A573="","",ROUND(D573+E573-F573,6))</f>
        <v/>
      </c>
      <c r="H573" s="40" t="str">
        <f>IF(A573="","",G573*N('Articles'!G573))</f>
        <v/>
      </c>
    </row>
    <row r="574">
      <c r="A574" s="39" t="str">
        <f>IF('Articles'!A574="","",'Articles'!A574)</f>
        <v/>
      </c>
      <c r="B574" s="39" t="str">
        <f>IF(A574="","",'Articles'!B574&amp;"")</f>
        <v/>
      </c>
      <c r="C574" s="39" t="str">
        <f>IF(A574="","",'Articles'!D574&amp;"")</f>
        <v/>
      </c>
      <c r="D574" s="39" t="str">
        <f>IF(A574="","",ROUND(N('Articles'!H574)+SUMIFS(mv_qty,mv_ref,A574,mv_type,"Entrée",mv_date,"&lt;"&amp;$E$1)-SUMIFS(mv_qty,mv_ref,A574,mv_type,"Sortie",mv_date,"&lt;"&amp;$E$1),6))</f>
        <v/>
      </c>
      <c r="E574" s="39" t="str">
        <f>IF(A574="","",SUMIFS(mv_qty,mv_ref,A574,mv_type,"Entrée",mv_date,"&gt;="&amp;$E$1,mv_date,"&lt;="&amp;$G$1))</f>
        <v/>
      </c>
      <c r="F574" s="39" t="str">
        <f>IF(A574="","",SUMIFS(mv_qty,mv_ref,A574,mv_type,"Sortie",mv_date,"&gt;="&amp;$E$1,mv_date,"&lt;="&amp;$G$1))</f>
        <v/>
      </c>
      <c r="G574" s="39" t="str">
        <f>IF(A574="","",ROUND(D574+E574-F574,6))</f>
        <v/>
      </c>
      <c r="H574" s="40" t="str">
        <f>IF(A574="","",G574*N('Articles'!G574))</f>
        <v/>
      </c>
    </row>
    <row r="575">
      <c r="A575" s="39" t="str">
        <f>IF('Articles'!A575="","",'Articles'!A575)</f>
        <v/>
      </c>
      <c r="B575" s="39" t="str">
        <f>IF(A575="","",'Articles'!B575&amp;"")</f>
        <v/>
      </c>
      <c r="C575" s="39" t="str">
        <f>IF(A575="","",'Articles'!D575&amp;"")</f>
        <v/>
      </c>
      <c r="D575" s="39" t="str">
        <f>IF(A575="","",ROUND(N('Articles'!H575)+SUMIFS(mv_qty,mv_ref,A575,mv_type,"Entrée",mv_date,"&lt;"&amp;$E$1)-SUMIFS(mv_qty,mv_ref,A575,mv_type,"Sortie",mv_date,"&lt;"&amp;$E$1),6))</f>
        <v/>
      </c>
      <c r="E575" s="39" t="str">
        <f>IF(A575="","",SUMIFS(mv_qty,mv_ref,A575,mv_type,"Entrée",mv_date,"&gt;="&amp;$E$1,mv_date,"&lt;="&amp;$G$1))</f>
        <v/>
      </c>
      <c r="F575" s="39" t="str">
        <f>IF(A575="","",SUMIFS(mv_qty,mv_ref,A575,mv_type,"Sortie",mv_date,"&gt;="&amp;$E$1,mv_date,"&lt;="&amp;$G$1))</f>
        <v/>
      </c>
      <c r="G575" s="39" t="str">
        <f>IF(A575="","",ROUND(D575+E575-F575,6))</f>
        <v/>
      </c>
      <c r="H575" s="40" t="str">
        <f>IF(A575="","",G575*N('Articles'!G575))</f>
        <v/>
      </c>
    </row>
    <row r="576">
      <c r="A576" s="39" t="str">
        <f>IF('Articles'!A576="","",'Articles'!A576)</f>
        <v/>
      </c>
      <c r="B576" s="39" t="str">
        <f>IF(A576="","",'Articles'!B576&amp;"")</f>
        <v/>
      </c>
      <c r="C576" s="39" t="str">
        <f>IF(A576="","",'Articles'!D576&amp;"")</f>
        <v/>
      </c>
      <c r="D576" s="39" t="str">
        <f>IF(A576="","",ROUND(N('Articles'!H576)+SUMIFS(mv_qty,mv_ref,A576,mv_type,"Entrée",mv_date,"&lt;"&amp;$E$1)-SUMIFS(mv_qty,mv_ref,A576,mv_type,"Sortie",mv_date,"&lt;"&amp;$E$1),6))</f>
        <v/>
      </c>
      <c r="E576" s="39" t="str">
        <f>IF(A576="","",SUMIFS(mv_qty,mv_ref,A576,mv_type,"Entrée",mv_date,"&gt;="&amp;$E$1,mv_date,"&lt;="&amp;$G$1))</f>
        <v/>
      </c>
      <c r="F576" s="39" t="str">
        <f>IF(A576="","",SUMIFS(mv_qty,mv_ref,A576,mv_type,"Sortie",mv_date,"&gt;="&amp;$E$1,mv_date,"&lt;="&amp;$G$1))</f>
        <v/>
      </c>
      <c r="G576" s="39" t="str">
        <f>IF(A576="","",ROUND(D576+E576-F576,6))</f>
        <v/>
      </c>
      <c r="H576" s="40" t="str">
        <f>IF(A576="","",G576*N('Articles'!G576))</f>
        <v/>
      </c>
    </row>
    <row r="577">
      <c r="A577" s="39" t="str">
        <f>IF('Articles'!A577="","",'Articles'!A577)</f>
        <v/>
      </c>
      <c r="B577" s="39" t="str">
        <f>IF(A577="","",'Articles'!B577&amp;"")</f>
        <v/>
      </c>
      <c r="C577" s="39" t="str">
        <f>IF(A577="","",'Articles'!D577&amp;"")</f>
        <v/>
      </c>
      <c r="D577" s="39" t="str">
        <f>IF(A577="","",ROUND(N('Articles'!H577)+SUMIFS(mv_qty,mv_ref,A577,mv_type,"Entrée",mv_date,"&lt;"&amp;$E$1)-SUMIFS(mv_qty,mv_ref,A577,mv_type,"Sortie",mv_date,"&lt;"&amp;$E$1),6))</f>
        <v/>
      </c>
      <c r="E577" s="39" t="str">
        <f>IF(A577="","",SUMIFS(mv_qty,mv_ref,A577,mv_type,"Entrée",mv_date,"&gt;="&amp;$E$1,mv_date,"&lt;="&amp;$G$1))</f>
        <v/>
      </c>
      <c r="F577" s="39" t="str">
        <f>IF(A577="","",SUMIFS(mv_qty,mv_ref,A577,mv_type,"Sortie",mv_date,"&gt;="&amp;$E$1,mv_date,"&lt;="&amp;$G$1))</f>
        <v/>
      </c>
      <c r="G577" s="39" t="str">
        <f>IF(A577="","",ROUND(D577+E577-F577,6))</f>
        <v/>
      </c>
      <c r="H577" s="40" t="str">
        <f>IF(A577="","",G577*N('Articles'!G577))</f>
        <v/>
      </c>
    </row>
    <row r="578">
      <c r="A578" s="39" t="str">
        <f>IF('Articles'!A578="","",'Articles'!A578)</f>
        <v/>
      </c>
      <c r="B578" s="39" t="str">
        <f>IF(A578="","",'Articles'!B578&amp;"")</f>
        <v/>
      </c>
      <c r="C578" s="39" t="str">
        <f>IF(A578="","",'Articles'!D578&amp;"")</f>
        <v/>
      </c>
      <c r="D578" s="39" t="str">
        <f>IF(A578="","",ROUND(N('Articles'!H578)+SUMIFS(mv_qty,mv_ref,A578,mv_type,"Entrée",mv_date,"&lt;"&amp;$E$1)-SUMIFS(mv_qty,mv_ref,A578,mv_type,"Sortie",mv_date,"&lt;"&amp;$E$1),6))</f>
        <v/>
      </c>
      <c r="E578" s="39" t="str">
        <f>IF(A578="","",SUMIFS(mv_qty,mv_ref,A578,mv_type,"Entrée",mv_date,"&gt;="&amp;$E$1,mv_date,"&lt;="&amp;$G$1))</f>
        <v/>
      </c>
      <c r="F578" s="39" t="str">
        <f>IF(A578="","",SUMIFS(mv_qty,mv_ref,A578,mv_type,"Sortie",mv_date,"&gt;="&amp;$E$1,mv_date,"&lt;="&amp;$G$1))</f>
        <v/>
      </c>
      <c r="G578" s="39" t="str">
        <f>IF(A578="","",ROUND(D578+E578-F578,6))</f>
        <v/>
      </c>
      <c r="H578" s="40" t="str">
        <f>IF(A578="","",G578*N('Articles'!G578))</f>
        <v/>
      </c>
    </row>
    <row r="579">
      <c r="A579" s="39" t="str">
        <f>IF('Articles'!A579="","",'Articles'!A579)</f>
        <v/>
      </c>
      <c r="B579" s="39" t="str">
        <f>IF(A579="","",'Articles'!B579&amp;"")</f>
        <v/>
      </c>
      <c r="C579" s="39" t="str">
        <f>IF(A579="","",'Articles'!D579&amp;"")</f>
        <v/>
      </c>
      <c r="D579" s="39" t="str">
        <f>IF(A579="","",ROUND(N('Articles'!H579)+SUMIFS(mv_qty,mv_ref,A579,mv_type,"Entrée",mv_date,"&lt;"&amp;$E$1)-SUMIFS(mv_qty,mv_ref,A579,mv_type,"Sortie",mv_date,"&lt;"&amp;$E$1),6))</f>
        <v/>
      </c>
      <c r="E579" s="39" t="str">
        <f>IF(A579="","",SUMIFS(mv_qty,mv_ref,A579,mv_type,"Entrée",mv_date,"&gt;="&amp;$E$1,mv_date,"&lt;="&amp;$G$1))</f>
        <v/>
      </c>
      <c r="F579" s="39" t="str">
        <f>IF(A579="","",SUMIFS(mv_qty,mv_ref,A579,mv_type,"Sortie",mv_date,"&gt;="&amp;$E$1,mv_date,"&lt;="&amp;$G$1))</f>
        <v/>
      </c>
      <c r="G579" s="39" t="str">
        <f>IF(A579="","",ROUND(D579+E579-F579,6))</f>
        <v/>
      </c>
      <c r="H579" s="40" t="str">
        <f>IF(A579="","",G579*N('Articles'!G579))</f>
        <v/>
      </c>
    </row>
    <row r="580">
      <c r="A580" s="39" t="str">
        <f>IF('Articles'!A580="","",'Articles'!A580)</f>
        <v/>
      </c>
      <c r="B580" s="39" t="str">
        <f>IF(A580="","",'Articles'!B580&amp;"")</f>
        <v/>
      </c>
      <c r="C580" s="39" t="str">
        <f>IF(A580="","",'Articles'!D580&amp;"")</f>
        <v/>
      </c>
      <c r="D580" s="39" t="str">
        <f>IF(A580="","",ROUND(N('Articles'!H580)+SUMIFS(mv_qty,mv_ref,A580,mv_type,"Entrée",mv_date,"&lt;"&amp;$E$1)-SUMIFS(mv_qty,mv_ref,A580,mv_type,"Sortie",mv_date,"&lt;"&amp;$E$1),6))</f>
        <v/>
      </c>
      <c r="E580" s="39" t="str">
        <f>IF(A580="","",SUMIFS(mv_qty,mv_ref,A580,mv_type,"Entrée",mv_date,"&gt;="&amp;$E$1,mv_date,"&lt;="&amp;$G$1))</f>
        <v/>
      </c>
      <c r="F580" s="39" t="str">
        <f>IF(A580="","",SUMIFS(mv_qty,mv_ref,A580,mv_type,"Sortie",mv_date,"&gt;="&amp;$E$1,mv_date,"&lt;="&amp;$G$1))</f>
        <v/>
      </c>
      <c r="G580" s="39" t="str">
        <f>IF(A580="","",ROUND(D580+E580-F580,6))</f>
        <v/>
      </c>
      <c r="H580" s="40" t="str">
        <f>IF(A580="","",G580*N('Articles'!G580))</f>
        <v/>
      </c>
    </row>
    <row r="581">
      <c r="A581" s="39" t="str">
        <f>IF('Articles'!A581="","",'Articles'!A581)</f>
        <v/>
      </c>
      <c r="B581" s="39" t="str">
        <f>IF(A581="","",'Articles'!B581&amp;"")</f>
        <v/>
      </c>
      <c r="C581" s="39" t="str">
        <f>IF(A581="","",'Articles'!D581&amp;"")</f>
        <v/>
      </c>
      <c r="D581" s="39" t="str">
        <f>IF(A581="","",ROUND(N('Articles'!H581)+SUMIFS(mv_qty,mv_ref,A581,mv_type,"Entrée",mv_date,"&lt;"&amp;$E$1)-SUMIFS(mv_qty,mv_ref,A581,mv_type,"Sortie",mv_date,"&lt;"&amp;$E$1),6))</f>
        <v/>
      </c>
      <c r="E581" s="39" t="str">
        <f>IF(A581="","",SUMIFS(mv_qty,mv_ref,A581,mv_type,"Entrée",mv_date,"&gt;="&amp;$E$1,mv_date,"&lt;="&amp;$G$1))</f>
        <v/>
      </c>
      <c r="F581" s="39" t="str">
        <f>IF(A581="","",SUMIFS(mv_qty,mv_ref,A581,mv_type,"Sortie",mv_date,"&gt;="&amp;$E$1,mv_date,"&lt;="&amp;$G$1))</f>
        <v/>
      </c>
      <c r="G581" s="39" t="str">
        <f>IF(A581="","",ROUND(D581+E581-F581,6))</f>
        <v/>
      </c>
      <c r="H581" s="40" t="str">
        <f>IF(A581="","",G581*N('Articles'!G581))</f>
        <v/>
      </c>
    </row>
    <row r="582">
      <c r="A582" s="39" t="str">
        <f>IF('Articles'!A582="","",'Articles'!A582)</f>
        <v/>
      </c>
      <c r="B582" s="39" t="str">
        <f>IF(A582="","",'Articles'!B582&amp;"")</f>
        <v/>
      </c>
      <c r="C582" s="39" t="str">
        <f>IF(A582="","",'Articles'!D582&amp;"")</f>
        <v/>
      </c>
      <c r="D582" s="39" t="str">
        <f>IF(A582="","",ROUND(N('Articles'!H582)+SUMIFS(mv_qty,mv_ref,A582,mv_type,"Entrée",mv_date,"&lt;"&amp;$E$1)-SUMIFS(mv_qty,mv_ref,A582,mv_type,"Sortie",mv_date,"&lt;"&amp;$E$1),6))</f>
        <v/>
      </c>
      <c r="E582" s="39" t="str">
        <f>IF(A582="","",SUMIFS(mv_qty,mv_ref,A582,mv_type,"Entrée",mv_date,"&gt;="&amp;$E$1,mv_date,"&lt;="&amp;$G$1))</f>
        <v/>
      </c>
      <c r="F582" s="39" t="str">
        <f>IF(A582="","",SUMIFS(mv_qty,mv_ref,A582,mv_type,"Sortie",mv_date,"&gt;="&amp;$E$1,mv_date,"&lt;="&amp;$G$1))</f>
        <v/>
      </c>
      <c r="G582" s="39" t="str">
        <f>IF(A582="","",ROUND(D582+E582-F582,6))</f>
        <v/>
      </c>
      <c r="H582" s="40" t="str">
        <f>IF(A582="","",G582*N('Articles'!G582))</f>
        <v/>
      </c>
    </row>
    <row r="583">
      <c r="A583" s="39" t="str">
        <f>IF('Articles'!A583="","",'Articles'!A583)</f>
        <v/>
      </c>
      <c r="B583" s="39" t="str">
        <f>IF(A583="","",'Articles'!B583&amp;"")</f>
        <v/>
      </c>
      <c r="C583" s="39" t="str">
        <f>IF(A583="","",'Articles'!D583&amp;"")</f>
        <v/>
      </c>
      <c r="D583" s="39" t="str">
        <f>IF(A583="","",ROUND(N('Articles'!H583)+SUMIFS(mv_qty,mv_ref,A583,mv_type,"Entrée",mv_date,"&lt;"&amp;$E$1)-SUMIFS(mv_qty,mv_ref,A583,mv_type,"Sortie",mv_date,"&lt;"&amp;$E$1),6))</f>
        <v/>
      </c>
      <c r="E583" s="39" t="str">
        <f>IF(A583="","",SUMIFS(mv_qty,mv_ref,A583,mv_type,"Entrée",mv_date,"&gt;="&amp;$E$1,mv_date,"&lt;="&amp;$G$1))</f>
        <v/>
      </c>
      <c r="F583" s="39" t="str">
        <f>IF(A583="","",SUMIFS(mv_qty,mv_ref,A583,mv_type,"Sortie",mv_date,"&gt;="&amp;$E$1,mv_date,"&lt;="&amp;$G$1))</f>
        <v/>
      </c>
      <c r="G583" s="39" t="str">
        <f>IF(A583="","",ROUND(D583+E583-F583,6))</f>
        <v/>
      </c>
      <c r="H583" s="40" t="str">
        <f>IF(A583="","",G583*N('Articles'!G583))</f>
        <v/>
      </c>
    </row>
    <row r="584">
      <c r="A584" s="39" t="str">
        <f>IF('Articles'!A584="","",'Articles'!A584)</f>
        <v/>
      </c>
      <c r="B584" s="39" t="str">
        <f>IF(A584="","",'Articles'!B584&amp;"")</f>
        <v/>
      </c>
      <c r="C584" s="39" t="str">
        <f>IF(A584="","",'Articles'!D584&amp;"")</f>
        <v/>
      </c>
      <c r="D584" s="39" t="str">
        <f>IF(A584="","",ROUND(N('Articles'!H584)+SUMIFS(mv_qty,mv_ref,A584,mv_type,"Entrée",mv_date,"&lt;"&amp;$E$1)-SUMIFS(mv_qty,mv_ref,A584,mv_type,"Sortie",mv_date,"&lt;"&amp;$E$1),6))</f>
        <v/>
      </c>
      <c r="E584" s="39" t="str">
        <f>IF(A584="","",SUMIFS(mv_qty,mv_ref,A584,mv_type,"Entrée",mv_date,"&gt;="&amp;$E$1,mv_date,"&lt;="&amp;$G$1))</f>
        <v/>
      </c>
      <c r="F584" s="39" t="str">
        <f>IF(A584="","",SUMIFS(mv_qty,mv_ref,A584,mv_type,"Sortie",mv_date,"&gt;="&amp;$E$1,mv_date,"&lt;="&amp;$G$1))</f>
        <v/>
      </c>
      <c r="G584" s="39" t="str">
        <f>IF(A584="","",ROUND(D584+E584-F584,6))</f>
        <v/>
      </c>
      <c r="H584" s="40" t="str">
        <f>IF(A584="","",G584*N('Articles'!G584))</f>
        <v/>
      </c>
    </row>
    <row r="585">
      <c r="A585" s="39" t="str">
        <f>IF('Articles'!A585="","",'Articles'!A585)</f>
        <v/>
      </c>
      <c r="B585" s="39" t="str">
        <f>IF(A585="","",'Articles'!B585&amp;"")</f>
        <v/>
      </c>
      <c r="C585" s="39" t="str">
        <f>IF(A585="","",'Articles'!D585&amp;"")</f>
        <v/>
      </c>
      <c r="D585" s="39" t="str">
        <f>IF(A585="","",ROUND(N('Articles'!H585)+SUMIFS(mv_qty,mv_ref,A585,mv_type,"Entrée",mv_date,"&lt;"&amp;$E$1)-SUMIFS(mv_qty,mv_ref,A585,mv_type,"Sortie",mv_date,"&lt;"&amp;$E$1),6))</f>
        <v/>
      </c>
      <c r="E585" s="39" t="str">
        <f>IF(A585="","",SUMIFS(mv_qty,mv_ref,A585,mv_type,"Entrée",mv_date,"&gt;="&amp;$E$1,mv_date,"&lt;="&amp;$G$1))</f>
        <v/>
      </c>
      <c r="F585" s="39" t="str">
        <f>IF(A585="","",SUMIFS(mv_qty,mv_ref,A585,mv_type,"Sortie",mv_date,"&gt;="&amp;$E$1,mv_date,"&lt;="&amp;$G$1))</f>
        <v/>
      </c>
      <c r="G585" s="39" t="str">
        <f>IF(A585="","",ROUND(D585+E585-F585,6))</f>
        <v/>
      </c>
      <c r="H585" s="40" t="str">
        <f>IF(A585="","",G585*N('Articles'!G585))</f>
        <v/>
      </c>
    </row>
    <row r="586">
      <c r="A586" s="39" t="str">
        <f>IF('Articles'!A586="","",'Articles'!A586)</f>
        <v/>
      </c>
      <c r="B586" s="39" t="str">
        <f>IF(A586="","",'Articles'!B586&amp;"")</f>
        <v/>
      </c>
      <c r="C586" s="39" t="str">
        <f>IF(A586="","",'Articles'!D586&amp;"")</f>
        <v/>
      </c>
      <c r="D586" s="39" t="str">
        <f>IF(A586="","",ROUND(N('Articles'!H586)+SUMIFS(mv_qty,mv_ref,A586,mv_type,"Entrée",mv_date,"&lt;"&amp;$E$1)-SUMIFS(mv_qty,mv_ref,A586,mv_type,"Sortie",mv_date,"&lt;"&amp;$E$1),6))</f>
        <v/>
      </c>
      <c r="E586" s="39" t="str">
        <f>IF(A586="","",SUMIFS(mv_qty,mv_ref,A586,mv_type,"Entrée",mv_date,"&gt;="&amp;$E$1,mv_date,"&lt;="&amp;$G$1))</f>
        <v/>
      </c>
      <c r="F586" s="39" t="str">
        <f>IF(A586="","",SUMIFS(mv_qty,mv_ref,A586,mv_type,"Sortie",mv_date,"&gt;="&amp;$E$1,mv_date,"&lt;="&amp;$G$1))</f>
        <v/>
      </c>
      <c r="G586" s="39" t="str">
        <f>IF(A586="","",ROUND(D586+E586-F586,6))</f>
        <v/>
      </c>
      <c r="H586" s="40" t="str">
        <f>IF(A586="","",G586*N('Articles'!G586))</f>
        <v/>
      </c>
    </row>
    <row r="587">
      <c r="A587" s="39" t="str">
        <f>IF('Articles'!A587="","",'Articles'!A587)</f>
        <v/>
      </c>
      <c r="B587" s="39" t="str">
        <f>IF(A587="","",'Articles'!B587&amp;"")</f>
        <v/>
      </c>
      <c r="C587" s="39" t="str">
        <f>IF(A587="","",'Articles'!D587&amp;"")</f>
        <v/>
      </c>
      <c r="D587" s="39" t="str">
        <f>IF(A587="","",ROUND(N('Articles'!H587)+SUMIFS(mv_qty,mv_ref,A587,mv_type,"Entrée",mv_date,"&lt;"&amp;$E$1)-SUMIFS(mv_qty,mv_ref,A587,mv_type,"Sortie",mv_date,"&lt;"&amp;$E$1),6))</f>
        <v/>
      </c>
      <c r="E587" s="39" t="str">
        <f>IF(A587="","",SUMIFS(mv_qty,mv_ref,A587,mv_type,"Entrée",mv_date,"&gt;="&amp;$E$1,mv_date,"&lt;="&amp;$G$1))</f>
        <v/>
      </c>
      <c r="F587" s="39" t="str">
        <f>IF(A587="","",SUMIFS(mv_qty,mv_ref,A587,mv_type,"Sortie",mv_date,"&gt;="&amp;$E$1,mv_date,"&lt;="&amp;$G$1))</f>
        <v/>
      </c>
      <c r="G587" s="39" t="str">
        <f>IF(A587="","",ROUND(D587+E587-F587,6))</f>
        <v/>
      </c>
      <c r="H587" s="40" t="str">
        <f>IF(A587="","",G587*N('Articles'!G587))</f>
        <v/>
      </c>
    </row>
    <row r="588">
      <c r="A588" s="39" t="str">
        <f>IF('Articles'!A588="","",'Articles'!A588)</f>
        <v/>
      </c>
      <c r="B588" s="39" t="str">
        <f>IF(A588="","",'Articles'!B588&amp;"")</f>
        <v/>
      </c>
      <c r="C588" s="39" t="str">
        <f>IF(A588="","",'Articles'!D588&amp;"")</f>
        <v/>
      </c>
      <c r="D588" s="39" t="str">
        <f>IF(A588="","",ROUND(N('Articles'!H588)+SUMIFS(mv_qty,mv_ref,A588,mv_type,"Entrée",mv_date,"&lt;"&amp;$E$1)-SUMIFS(mv_qty,mv_ref,A588,mv_type,"Sortie",mv_date,"&lt;"&amp;$E$1),6))</f>
        <v/>
      </c>
      <c r="E588" s="39" t="str">
        <f>IF(A588="","",SUMIFS(mv_qty,mv_ref,A588,mv_type,"Entrée",mv_date,"&gt;="&amp;$E$1,mv_date,"&lt;="&amp;$G$1))</f>
        <v/>
      </c>
      <c r="F588" s="39" t="str">
        <f>IF(A588="","",SUMIFS(mv_qty,mv_ref,A588,mv_type,"Sortie",mv_date,"&gt;="&amp;$E$1,mv_date,"&lt;="&amp;$G$1))</f>
        <v/>
      </c>
      <c r="G588" s="39" t="str">
        <f>IF(A588="","",ROUND(D588+E588-F588,6))</f>
        <v/>
      </c>
      <c r="H588" s="40" t="str">
        <f>IF(A588="","",G588*N('Articles'!G588))</f>
        <v/>
      </c>
    </row>
    <row r="589">
      <c r="A589" s="39" t="str">
        <f>IF('Articles'!A589="","",'Articles'!A589)</f>
        <v/>
      </c>
      <c r="B589" s="39" t="str">
        <f>IF(A589="","",'Articles'!B589&amp;"")</f>
        <v/>
      </c>
      <c r="C589" s="39" t="str">
        <f>IF(A589="","",'Articles'!D589&amp;"")</f>
        <v/>
      </c>
      <c r="D589" s="39" t="str">
        <f>IF(A589="","",ROUND(N('Articles'!H589)+SUMIFS(mv_qty,mv_ref,A589,mv_type,"Entrée",mv_date,"&lt;"&amp;$E$1)-SUMIFS(mv_qty,mv_ref,A589,mv_type,"Sortie",mv_date,"&lt;"&amp;$E$1),6))</f>
        <v/>
      </c>
      <c r="E589" s="39" t="str">
        <f>IF(A589="","",SUMIFS(mv_qty,mv_ref,A589,mv_type,"Entrée",mv_date,"&gt;="&amp;$E$1,mv_date,"&lt;="&amp;$G$1))</f>
        <v/>
      </c>
      <c r="F589" s="39" t="str">
        <f>IF(A589="","",SUMIFS(mv_qty,mv_ref,A589,mv_type,"Sortie",mv_date,"&gt;="&amp;$E$1,mv_date,"&lt;="&amp;$G$1))</f>
        <v/>
      </c>
      <c r="G589" s="39" t="str">
        <f>IF(A589="","",ROUND(D589+E589-F589,6))</f>
        <v/>
      </c>
      <c r="H589" s="40" t="str">
        <f>IF(A589="","",G589*N('Articles'!G589))</f>
        <v/>
      </c>
    </row>
    <row r="590">
      <c r="A590" s="39" t="str">
        <f>IF('Articles'!A590="","",'Articles'!A590)</f>
        <v/>
      </c>
      <c r="B590" s="39" t="str">
        <f>IF(A590="","",'Articles'!B590&amp;"")</f>
        <v/>
      </c>
      <c r="C590" s="39" t="str">
        <f>IF(A590="","",'Articles'!D590&amp;"")</f>
        <v/>
      </c>
      <c r="D590" s="39" t="str">
        <f>IF(A590="","",ROUND(N('Articles'!H590)+SUMIFS(mv_qty,mv_ref,A590,mv_type,"Entrée",mv_date,"&lt;"&amp;$E$1)-SUMIFS(mv_qty,mv_ref,A590,mv_type,"Sortie",mv_date,"&lt;"&amp;$E$1),6))</f>
        <v/>
      </c>
      <c r="E590" s="39" t="str">
        <f>IF(A590="","",SUMIFS(mv_qty,mv_ref,A590,mv_type,"Entrée",mv_date,"&gt;="&amp;$E$1,mv_date,"&lt;="&amp;$G$1))</f>
        <v/>
      </c>
      <c r="F590" s="39" t="str">
        <f>IF(A590="","",SUMIFS(mv_qty,mv_ref,A590,mv_type,"Sortie",mv_date,"&gt;="&amp;$E$1,mv_date,"&lt;="&amp;$G$1))</f>
        <v/>
      </c>
      <c r="G590" s="39" t="str">
        <f>IF(A590="","",ROUND(D590+E590-F590,6))</f>
        <v/>
      </c>
      <c r="H590" s="40" t="str">
        <f>IF(A590="","",G590*N('Articles'!G590))</f>
        <v/>
      </c>
    </row>
    <row r="591">
      <c r="A591" s="39" t="str">
        <f>IF('Articles'!A591="","",'Articles'!A591)</f>
        <v/>
      </c>
      <c r="B591" s="39" t="str">
        <f>IF(A591="","",'Articles'!B591&amp;"")</f>
        <v/>
      </c>
      <c r="C591" s="39" t="str">
        <f>IF(A591="","",'Articles'!D591&amp;"")</f>
        <v/>
      </c>
      <c r="D591" s="39" t="str">
        <f>IF(A591="","",ROUND(N('Articles'!H591)+SUMIFS(mv_qty,mv_ref,A591,mv_type,"Entrée",mv_date,"&lt;"&amp;$E$1)-SUMIFS(mv_qty,mv_ref,A591,mv_type,"Sortie",mv_date,"&lt;"&amp;$E$1),6))</f>
        <v/>
      </c>
      <c r="E591" s="39" t="str">
        <f>IF(A591="","",SUMIFS(mv_qty,mv_ref,A591,mv_type,"Entrée",mv_date,"&gt;="&amp;$E$1,mv_date,"&lt;="&amp;$G$1))</f>
        <v/>
      </c>
      <c r="F591" s="39" t="str">
        <f>IF(A591="","",SUMIFS(mv_qty,mv_ref,A591,mv_type,"Sortie",mv_date,"&gt;="&amp;$E$1,mv_date,"&lt;="&amp;$G$1))</f>
        <v/>
      </c>
      <c r="G591" s="39" t="str">
        <f>IF(A591="","",ROUND(D591+E591-F591,6))</f>
        <v/>
      </c>
      <c r="H591" s="40" t="str">
        <f>IF(A591="","",G591*N('Articles'!G591))</f>
        <v/>
      </c>
    </row>
    <row r="592">
      <c r="A592" s="39" t="str">
        <f>IF('Articles'!A592="","",'Articles'!A592)</f>
        <v/>
      </c>
      <c r="B592" s="39" t="str">
        <f>IF(A592="","",'Articles'!B592&amp;"")</f>
        <v/>
      </c>
      <c r="C592" s="39" t="str">
        <f>IF(A592="","",'Articles'!D592&amp;"")</f>
        <v/>
      </c>
      <c r="D592" s="39" t="str">
        <f>IF(A592="","",ROUND(N('Articles'!H592)+SUMIFS(mv_qty,mv_ref,A592,mv_type,"Entrée",mv_date,"&lt;"&amp;$E$1)-SUMIFS(mv_qty,mv_ref,A592,mv_type,"Sortie",mv_date,"&lt;"&amp;$E$1),6))</f>
        <v/>
      </c>
      <c r="E592" s="39" t="str">
        <f>IF(A592="","",SUMIFS(mv_qty,mv_ref,A592,mv_type,"Entrée",mv_date,"&gt;="&amp;$E$1,mv_date,"&lt;="&amp;$G$1))</f>
        <v/>
      </c>
      <c r="F592" s="39" t="str">
        <f>IF(A592="","",SUMIFS(mv_qty,mv_ref,A592,mv_type,"Sortie",mv_date,"&gt;="&amp;$E$1,mv_date,"&lt;="&amp;$G$1))</f>
        <v/>
      </c>
      <c r="G592" s="39" t="str">
        <f>IF(A592="","",ROUND(D592+E592-F592,6))</f>
        <v/>
      </c>
      <c r="H592" s="40" t="str">
        <f>IF(A592="","",G592*N('Articles'!G592))</f>
        <v/>
      </c>
    </row>
    <row r="593">
      <c r="A593" s="39" t="str">
        <f>IF('Articles'!A593="","",'Articles'!A593)</f>
        <v/>
      </c>
      <c r="B593" s="39" t="str">
        <f>IF(A593="","",'Articles'!B593&amp;"")</f>
        <v/>
      </c>
      <c r="C593" s="39" t="str">
        <f>IF(A593="","",'Articles'!D593&amp;"")</f>
        <v/>
      </c>
      <c r="D593" s="39" t="str">
        <f>IF(A593="","",ROUND(N('Articles'!H593)+SUMIFS(mv_qty,mv_ref,A593,mv_type,"Entrée",mv_date,"&lt;"&amp;$E$1)-SUMIFS(mv_qty,mv_ref,A593,mv_type,"Sortie",mv_date,"&lt;"&amp;$E$1),6))</f>
        <v/>
      </c>
      <c r="E593" s="39" t="str">
        <f>IF(A593="","",SUMIFS(mv_qty,mv_ref,A593,mv_type,"Entrée",mv_date,"&gt;="&amp;$E$1,mv_date,"&lt;="&amp;$G$1))</f>
        <v/>
      </c>
      <c r="F593" s="39" t="str">
        <f>IF(A593="","",SUMIFS(mv_qty,mv_ref,A593,mv_type,"Sortie",mv_date,"&gt;="&amp;$E$1,mv_date,"&lt;="&amp;$G$1))</f>
        <v/>
      </c>
      <c r="G593" s="39" t="str">
        <f>IF(A593="","",ROUND(D593+E593-F593,6))</f>
        <v/>
      </c>
      <c r="H593" s="40" t="str">
        <f>IF(A593="","",G593*N('Articles'!G593))</f>
        <v/>
      </c>
    </row>
    <row r="594">
      <c r="A594" s="39" t="str">
        <f>IF('Articles'!A594="","",'Articles'!A594)</f>
        <v/>
      </c>
      <c r="B594" s="39" t="str">
        <f>IF(A594="","",'Articles'!B594&amp;"")</f>
        <v/>
      </c>
      <c r="C594" s="39" t="str">
        <f>IF(A594="","",'Articles'!D594&amp;"")</f>
        <v/>
      </c>
      <c r="D594" s="39" t="str">
        <f>IF(A594="","",ROUND(N('Articles'!H594)+SUMIFS(mv_qty,mv_ref,A594,mv_type,"Entrée",mv_date,"&lt;"&amp;$E$1)-SUMIFS(mv_qty,mv_ref,A594,mv_type,"Sortie",mv_date,"&lt;"&amp;$E$1),6))</f>
        <v/>
      </c>
      <c r="E594" s="39" t="str">
        <f>IF(A594="","",SUMIFS(mv_qty,mv_ref,A594,mv_type,"Entrée",mv_date,"&gt;="&amp;$E$1,mv_date,"&lt;="&amp;$G$1))</f>
        <v/>
      </c>
      <c r="F594" s="39" t="str">
        <f>IF(A594="","",SUMIFS(mv_qty,mv_ref,A594,mv_type,"Sortie",mv_date,"&gt;="&amp;$E$1,mv_date,"&lt;="&amp;$G$1))</f>
        <v/>
      </c>
      <c r="G594" s="39" t="str">
        <f>IF(A594="","",ROUND(D594+E594-F594,6))</f>
        <v/>
      </c>
      <c r="H594" s="40" t="str">
        <f>IF(A594="","",G594*N('Articles'!G594))</f>
        <v/>
      </c>
    </row>
    <row r="595">
      <c r="A595" s="39" t="str">
        <f>IF('Articles'!A595="","",'Articles'!A595)</f>
        <v/>
      </c>
      <c r="B595" s="39" t="str">
        <f>IF(A595="","",'Articles'!B595&amp;"")</f>
        <v/>
      </c>
      <c r="C595" s="39" t="str">
        <f>IF(A595="","",'Articles'!D595&amp;"")</f>
        <v/>
      </c>
      <c r="D595" s="39" t="str">
        <f>IF(A595="","",ROUND(N('Articles'!H595)+SUMIFS(mv_qty,mv_ref,A595,mv_type,"Entrée",mv_date,"&lt;"&amp;$E$1)-SUMIFS(mv_qty,mv_ref,A595,mv_type,"Sortie",mv_date,"&lt;"&amp;$E$1),6))</f>
        <v/>
      </c>
      <c r="E595" s="39" t="str">
        <f>IF(A595="","",SUMIFS(mv_qty,mv_ref,A595,mv_type,"Entrée",mv_date,"&gt;="&amp;$E$1,mv_date,"&lt;="&amp;$G$1))</f>
        <v/>
      </c>
      <c r="F595" s="39" t="str">
        <f>IF(A595="","",SUMIFS(mv_qty,mv_ref,A595,mv_type,"Sortie",mv_date,"&gt;="&amp;$E$1,mv_date,"&lt;="&amp;$G$1))</f>
        <v/>
      </c>
      <c r="G595" s="39" t="str">
        <f>IF(A595="","",ROUND(D595+E595-F595,6))</f>
        <v/>
      </c>
      <c r="H595" s="40" t="str">
        <f>IF(A595="","",G595*N('Articles'!G595))</f>
        <v/>
      </c>
    </row>
    <row r="596">
      <c r="A596" s="39" t="str">
        <f>IF('Articles'!A596="","",'Articles'!A596)</f>
        <v/>
      </c>
      <c r="B596" s="39" t="str">
        <f>IF(A596="","",'Articles'!B596&amp;"")</f>
        <v/>
      </c>
      <c r="C596" s="39" t="str">
        <f>IF(A596="","",'Articles'!D596&amp;"")</f>
        <v/>
      </c>
      <c r="D596" s="39" t="str">
        <f>IF(A596="","",ROUND(N('Articles'!H596)+SUMIFS(mv_qty,mv_ref,A596,mv_type,"Entrée",mv_date,"&lt;"&amp;$E$1)-SUMIFS(mv_qty,mv_ref,A596,mv_type,"Sortie",mv_date,"&lt;"&amp;$E$1),6))</f>
        <v/>
      </c>
      <c r="E596" s="39" t="str">
        <f>IF(A596="","",SUMIFS(mv_qty,mv_ref,A596,mv_type,"Entrée",mv_date,"&gt;="&amp;$E$1,mv_date,"&lt;="&amp;$G$1))</f>
        <v/>
      </c>
      <c r="F596" s="39" t="str">
        <f>IF(A596="","",SUMIFS(mv_qty,mv_ref,A596,mv_type,"Sortie",mv_date,"&gt;="&amp;$E$1,mv_date,"&lt;="&amp;$G$1))</f>
        <v/>
      </c>
      <c r="G596" s="39" t="str">
        <f>IF(A596="","",ROUND(D596+E596-F596,6))</f>
        <v/>
      </c>
      <c r="H596" s="40" t="str">
        <f>IF(A596="","",G596*N('Articles'!G596))</f>
        <v/>
      </c>
    </row>
    <row r="597">
      <c r="A597" s="39" t="str">
        <f>IF('Articles'!A597="","",'Articles'!A597)</f>
        <v/>
      </c>
      <c r="B597" s="39" t="str">
        <f>IF(A597="","",'Articles'!B597&amp;"")</f>
        <v/>
      </c>
      <c r="C597" s="39" t="str">
        <f>IF(A597="","",'Articles'!D597&amp;"")</f>
        <v/>
      </c>
      <c r="D597" s="39" t="str">
        <f>IF(A597="","",ROUND(N('Articles'!H597)+SUMIFS(mv_qty,mv_ref,A597,mv_type,"Entrée",mv_date,"&lt;"&amp;$E$1)-SUMIFS(mv_qty,mv_ref,A597,mv_type,"Sortie",mv_date,"&lt;"&amp;$E$1),6))</f>
        <v/>
      </c>
      <c r="E597" s="39" t="str">
        <f>IF(A597="","",SUMIFS(mv_qty,mv_ref,A597,mv_type,"Entrée",mv_date,"&gt;="&amp;$E$1,mv_date,"&lt;="&amp;$G$1))</f>
        <v/>
      </c>
      <c r="F597" s="39" t="str">
        <f>IF(A597="","",SUMIFS(mv_qty,mv_ref,A597,mv_type,"Sortie",mv_date,"&gt;="&amp;$E$1,mv_date,"&lt;="&amp;$G$1))</f>
        <v/>
      </c>
      <c r="G597" s="39" t="str">
        <f>IF(A597="","",ROUND(D597+E597-F597,6))</f>
        <v/>
      </c>
      <c r="H597" s="40" t="str">
        <f>IF(A597="","",G597*N('Articles'!G597))</f>
        <v/>
      </c>
    </row>
    <row r="598">
      <c r="A598" s="39" t="str">
        <f>IF('Articles'!A598="","",'Articles'!A598)</f>
        <v/>
      </c>
      <c r="B598" s="39" t="str">
        <f>IF(A598="","",'Articles'!B598&amp;"")</f>
        <v/>
      </c>
      <c r="C598" s="39" t="str">
        <f>IF(A598="","",'Articles'!D598&amp;"")</f>
        <v/>
      </c>
      <c r="D598" s="39" t="str">
        <f>IF(A598="","",ROUND(N('Articles'!H598)+SUMIFS(mv_qty,mv_ref,A598,mv_type,"Entrée",mv_date,"&lt;"&amp;$E$1)-SUMIFS(mv_qty,mv_ref,A598,mv_type,"Sortie",mv_date,"&lt;"&amp;$E$1),6))</f>
        <v/>
      </c>
      <c r="E598" s="39" t="str">
        <f>IF(A598="","",SUMIFS(mv_qty,mv_ref,A598,mv_type,"Entrée",mv_date,"&gt;="&amp;$E$1,mv_date,"&lt;="&amp;$G$1))</f>
        <v/>
      </c>
      <c r="F598" s="39" t="str">
        <f>IF(A598="","",SUMIFS(mv_qty,mv_ref,A598,mv_type,"Sortie",mv_date,"&gt;="&amp;$E$1,mv_date,"&lt;="&amp;$G$1))</f>
        <v/>
      </c>
      <c r="G598" s="39" t="str">
        <f>IF(A598="","",ROUND(D598+E598-F598,6))</f>
        <v/>
      </c>
      <c r="H598" s="40" t="str">
        <f>IF(A598="","",G598*N('Articles'!G598))</f>
        <v/>
      </c>
    </row>
    <row r="599">
      <c r="A599" s="39" t="str">
        <f>IF('Articles'!A599="","",'Articles'!A599)</f>
        <v/>
      </c>
      <c r="B599" s="39" t="str">
        <f>IF(A599="","",'Articles'!B599&amp;"")</f>
        <v/>
      </c>
      <c r="C599" s="39" t="str">
        <f>IF(A599="","",'Articles'!D599&amp;"")</f>
        <v/>
      </c>
      <c r="D599" s="39" t="str">
        <f>IF(A599="","",ROUND(N('Articles'!H599)+SUMIFS(mv_qty,mv_ref,A599,mv_type,"Entrée",mv_date,"&lt;"&amp;$E$1)-SUMIFS(mv_qty,mv_ref,A599,mv_type,"Sortie",mv_date,"&lt;"&amp;$E$1),6))</f>
        <v/>
      </c>
      <c r="E599" s="39" t="str">
        <f>IF(A599="","",SUMIFS(mv_qty,mv_ref,A599,mv_type,"Entrée",mv_date,"&gt;="&amp;$E$1,mv_date,"&lt;="&amp;$G$1))</f>
        <v/>
      </c>
      <c r="F599" s="39" t="str">
        <f>IF(A599="","",SUMIFS(mv_qty,mv_ref,A599,mv_type,"Sortie",mv_date,"&gt;="&amp;$E$1,mv_date,"&lt;="&amp;$G$1))</f>
        <v/>
      </c>
      <c r="G599" s="39" t="str">
        <f>IF(A599="","",ROUND(D599+E599-F599,6))</f>
        <v/>
      </c>
      <c r="H599" s="40" t="str">
        <f>IF(A599="","",G599*N('Articles'!G599))</f>
        <v/>
      </c>
    </row>
    <row r="600">
      <c r="A600" s="39" t="str">
        <f>IF('Articles'!A600="","",'Articles'!A600)</f>
        <v/>
      </c>
      <c r="B600" s="39" t="str">
        <f>IF(A600="","",'Articles'!B600&amp;"")</f>
        <v/>
      </c>
      <c r="C600" s="39" t="str">
        <f>IF(A600="","",'Articles'!D600&amp;"")</f>
        <v/>
      </c>
      <c r="D600" s="39" t="str">
        <f>IF(A600="","",ROUND(N('Articles'!H600)+SUMIFS(mv_qty,mv_ref,A600,mv_type,"Entrée",mv_date,"&lt;"&amp;$E$1)-SUMIFS(mv_qty,mv_ref,A600,mv_type,"Sortie",mv_date,"&lt;"&amp;$E$1),6))</f>
        <v/>
      </c>
      <c r="E600" s="39" t="str">
        <f>IF(A600="","",SUMIFS(mv_qty,mv_ref,A600,mv_type,"Entrée",mv_date,"&gt;="&amp;$E$1,mv_date,"&lt;="&amp;$G$1))</f>
        <v/>
      </c>
      <c r="F600" s="39" t="str">
        <f>IF(A600="","",SUMIFS(mv_qty,mv_ref,A600,mv_type,"Sortie",mv_date,"&gt;="&amp;$E$1,mv_date,"&lt;="&amp;$G$1))</f>
        <v/>
      </c>
      <c r="G600" s="39" t="str">
        <f>IF(A600="","",ROUND(D600+E600-F600,6))</f>
        <v/>
      </c>
      <c r="H600" s="40" t="str">
        <f>IF(A600="","",G600*N('Articles'!G600))</f>
        <v/>
      </c>
    </row>
    <row r="601">
      <c r="A601" s="39" t="str">
        <f>IF('Articles'!A601="","",'Articles'!A601)</f>
        <v/>
      </c>
      <c r="B601" s="39" t="str">
        <f>IF(A601="","",'Articles'!B601&amp;"")</f>
        <v/>
      </c>
      <c r="C601" s="39" t="str">
        <f>IF(A601="","",'Articles'!D601&amp;"")</f>
        <v/>
      </c>
      <c r="D601" s="39" t="str">
        <f>IF(A601="","",ROUND(N('Articles'!H601)+SUMIFS(mv_qty,mv_ref,A601,mv_type,"Entrée",mv_date,"&lt;"&amp;$E$1)-SUMIFS(mv_qty,mv_ref,A601,mv_type,"Sortie",mv_date,"&lt;"&amp;$E$1),6))</f>
        <v/>
      </c>
      <c r="E601" s="39" t="str">
        <f>IF(A601="","",SUMIFS(mv_qty,mv_ref,A601,mv_type,"Entrée",mv_date,"&gt;="&amp;$E$1,mv_date,"&lt;="&amp;$G$1))</f>
        <v/>
      </c>
      <c r="F601" s="39" t="str">
        <f>IF(A601="","",SUMIFS(mv_qty,mv_ref,A601,mv_type,"Sortie",mv_date,"&gt;="&amp;$E$1,mv_date,"&lt;="&amp;$G$1))</f>
        <v/>
      </c>
      <c r="G601" s="39" t="str">
        <f>IF(A601="","",ROUND(D601+E601-F601,6))</f>
        <v/>
      </c>
      <c r="H601" s="40" t="str">
        <f>IF(A601="","",G601*N('Articles'!G601))</f>
        <v/>
      </c>
    </row>
    <row r="602">
      <c r="A602" s="39" t="str">
        <f>IF('Articles'!A602="","",'Articles'!A602)</f>
        <v/>
      </c>
      <c r="B602" s="39" t="str">
        <f>IF(A602="","",'Articles'!B602&amp;"")</f>
        <v/>
      </c>
      <c r="C602" s="39" t="str">
        <f>IF(A602="","",'Articles'!D602&amp;"")</f>
        <v/>
      </c>
      <c r="D602" s="39" t="str">
        <f>IF(A602="","",ROUND(N('Articles'!H602)+SUMIFS(mv_qty,mv_ref,A602,mv_type,"Entrée",mv_date,"&lt;"&amp;$E$1)-SUMIFS(mv_qty,mv_ref,A602,mv_type,"Sortie",mv_date,"&lt;"&amp;$E$1),6))</f>
        <v/>
      </c>
      <c r="E602" s="39" t="str">
        <f>IF(A602="","",SUMIFS(mv_qty,mv_ref,A602,mv_type,"Entrée",mv_date,"&gt;="&amp;$E$1,mv_date,"&lt;="&amp;$G$1))</f>
        <v/>
      </c>
      <c r="F602" s="39" t="str">
        <f>IF(A602="","",SUMIFS(mv_qty,mv_ref,A602,mv_type,"Sortie",mv_date,"&gt;="&amp;$E$1,mv_date,"&lt;="&amp;$G$1))</f>
        <v/>
      </c>
      <c r="G602" s="39" t="str">
        <f>IF(A602="","",ROUND(D602+E602-F602,6))</f>
        <v/>
      </c>
      <c r="H602" s="40" t="str">
        <f>IF(A602="","",G602*N('Articles'!G602))</f>
        <v/>
      </c>
    </row>
    <row r="603">
      <c r="A603" s="39" t="str">
        <f>IF('Articles'!A603="","",'Articles'!A603)</f>
        <v/>
      </c>
      <c r="B603" s="39" t="str">
        <f>IF(A603="","",'Articles'!B603&amp;"")</f>
        <v/>
      </c>
      <c r="C603" s="39" t="str">
        <f>IF(A603="","",'Articles'!D603&amp;"")</f>
        <v/>
      </c>
      <c r="D603" s="39" t="str">
        <f>IF(A603="","",ROUND(N('Articles'!H603)+SUMIFS(mv_qty,mv_ref,A603,mv_type,"Entrée",mv_date,"&lt;"&amp;$E$1)-SUMIFS(mv_qty,mv_ref,A603,mv_type,"Sortie",mv_date,"&lt;"&amp;$E$1),6))</f>
        <v/>
      </c>
      <c r="E603" s="39" t="str">
        <f>IF(A603="","",SUMIFS(mv_qty,mv_ref,A603,mv_type,"Entrée",mv_date,"&gt;="&amp;$E$1,mv_date,"&lt;="&amp;$G$1))</f>
        <v/>
      </c>
      <c r="F603" s="39" t="str">
        <f>IF(A603="","",SUMIFS(mv_qty,mv_ref,A603,mv_type,"Sortie",mv_date,"&gt;="&amp;$E$1,mv_date,"&lt;="&amp;$G$1))</f>
        <v/>
      </c>
      <c r="G603" s="39" t="str">
        <f>IF(A603="","",ROUND(D603+E603-F603,6))</f>
        <v/>
      </c>
      <c r="H603" s="40" t="str">
        <f>IF(A603="","",G603*N('Articles'!G603))</f>
        <v/>
      </c>
    </row>
    <row r="604">
      <c r="A604" s="39" t="str">
        <f>IF('Articles'!A604="","",'Articles'!A604)</f>
        <v/>
      </c>
      <c r="B604" s="39" t="str">
        <f>IF(A604="","",'Articles'!B604&amp;"")</f>
        <v/>
      </c>
      <c r="C604" s="39" t="str">
        <f>IF(A604="","",'Articles'!D604&amp;"")</f>
        <v/>
      </c>
      <c r="D604" s="39" t="str">
        <f>IF(A604="","",ROUND(N('Articles'!H604)+SUMIFS(mv_qty,mv_ref,A604,mv_type,"Entrée",mv_date,"&lt;"&amp;$E$1)-SUMIFS(mv_qty,mv_ref,A604,mv_type,"Sortie",mv_date,"&lt;"&amp;$E$1),6))</f>
        <v/>
      </c>
      <c r="E604" s="39" t="str">
        <f>IF(A604="","",SUMIFS(mv_qty,mv_ref,A604,mv_type,"Entrée",mv_date,"&gt;="&amp;$E$1,mv_date,"&lt;="&amp;$G$1))</f>
        <v/>
      </c>
      <c r="F604" s="39" t="str">
        <f>IF(A604="","",SUMIFS(mv_qty,mv_ref,A604,mv_type,"Sortie",mv_date,"&gt;="&amp;$E$1,mv_date,"&lt;="&amp;$G$1))</f>
        <v/>
      </c>
      <c r="G604" s="39" t="str">
        <f>IF(A604="","",ROUND(D604+E604-F604,6))</f>
        <v/>
      </c>
      <c r="H604" s="40" t="str">
        <f>IF(A604="","",G604*N('Articles'!G604))</f>
        <v/>
      </c>
    </row>
    <row r="605">
      <c r="A605" s="39" t="str">
        <f>IF('Articles'!A605="","",'Articles'!A605)</f>
        <v/>
      </c>
      <c r="B605" s="39" t="str">
        <f>IF(A605="","",'Articles'!B605&amp;"")</f>
        <v/>
      </c>
      <c r="C605" s="39" t="str">
        <f>IF(A605="","",'Articles'!D605&amp;"")</f>
        <v/>
      </c>
      <c r="D605" s="39" t="str">
        <f>IF(A605="","",ROUND(N('Articles'!H605)+SUMIFS(mv_qty,mv_ref,A605,mv_type,"Entrée",mv_date,"&lt;"&amp;$E$1)-SUMIFS(mv_qty,mv_ref,A605,mv_type,"Sortie",mv_date,"&lt;"&amp;$E$1),6))</f>
        <v/>
      </c>
      <c r="E605" s="39" t="str">
        <f>IF(A605="","",SUMIFS(mv_qty,mv_ref,A605,mv_type,"Entrée",mv_date,"&gt;="&amp;$E$1,mv_date,"&lt;="&amp;$G$1))</f>
        <v/>
      </c>
      <c r="F605" s="39" t="str">
        <f>IF(A605="","",SUMIFS(mv_qty,mv_ref,A605,mv_type,"Sortie",mv_date,"&gt;="&amp;$E$1,mv_date,"&lt;="&amp;$G$1))</f>
        <v/>
      </c>
      <c r="G605" s="39" t="str">
        <f>IF(A605="","",ROUND(D605+E605-F605,6))</f>
        <v/>
      </c>
      <c r="H605" s="40" t="str">
        <f>IF(A605="","",G605*N('Articles'!G605))</f>
        <v/>
      </c>
    </row>
    <row r="606">
      <c r="A606" s="39" t="str">
        <f>IF('Articles'!A606="","",'Articles'!A606)</f>
        <v/>
      </c>
      <c r="B606" s="39" t="str">
        <f>IF(A606="","",'Articles'!B606&amp;"")</f>
        <v/>
      </c>
      <c r="C606" s="39" t="str">
        <f>IF(A606="","",'Articles'!D606&amp;"")</f>
        <v/>
      </c>
      <c r="D606" s="39" t="str">
        <f>IF(A606="","",ROUND(N('Articles'!H606)+SUMIFS(mv_qty,mv_ref,A606,mv_type,"Entrée",mv_date,"&lt;"&amp;$E$1)-SUMIFS(mv_qty,mv_ref,A606,mv_type,"Sortie",mv_date,"&lt;"&amp;$E$1),6))</f>
        <v/>
      </c>
      <c r="E606" s="39" t="str">
        <f>IF(A606="","",SUMIFS(mv_qty,mv_ref,A606,mv_type,"Entrée",mv_date,"&gt;="&amp;$E$1,mv_date,"&lt;="&amp;$G$1))</f>
        <v/>
      </c>
      <c r="F606" s="39" t="str">
        <f>IF(A606="","",SUMIFS(mv_qty,mv_ref,A606,mv_type,"Sortie",mv_date,"&gt;="&amp;$E$1,mv_date,"&lt;="&amp;$G$1))</f>
        <v/>
      </c>
      <c r="G606" s="39" t="str">
        <f>IF(A606="","",ROUND(D606+E606-F606,6))</f>
        <v/>
      </c>
      <c r="H606" s="40" t="str">
        <f>IF(A606="","",G606*N('Articles'!G606))</f>
        <v/>
      </c>
    </row>
    <row r="607">
      <c r="A607" s="39" t="str">
        <f>IF('Articles'!A607="","",'Articles'!A607)</f>
        <v/>
      </c>
      <c r="B607" s="39" t="str">
        <f>IF(A607="","",'Articles'!B607&amp;"")</f>
        <v/>
      </c>
      <c r="C607" s="39" t="str">
        <f>IF(A607="","",'Articles'!D607&amp;"")</f>
        <v/>
      </c>
      <c r="D607" s="39" t="str">
        <f>IF(A607="","",ROUND(N('Articles'!H607)+SUMIFS(mv_qty,mv_ref,A607,mv_type,"Entrée",mv_date,"&lt;"&amp;$E$1)-SUMIFS(mv_qty,mv_ref,A607,mv_type,"Sortie",mv_date,"&lt;"&amp;$E$1),6))</f>
        <v/>
      </c>
      <c r="E607" s="39" t="str">
        <f>IF(A607="","",SUMIFS(mv_qty,mv_ref,A607,mv_type,"Entrée",mv_date,"&gt;="&amp;$E$1,mv_date,"&lt;="&amp;$G$1))</f>
        <v/>
      </c>
      <c r="F607" s="39" t="str">
        <f>IF(A607="","",SUMIFS(mv_qty,mv_ref,A607,mv_type,"Sortie",mv_date,"&gt;="&amp;$E$1,mv_date,"&lt;="&amp;$G$1))</f>
        <v/>
      </c>
      <c r="G607" s="39" t="str">
        <f>IF(A607="","",ROUND(D607+E607-F607,6))</f>
        <v/>
      </c>
      <c r="H607" s="40" t="str">
        <f>IF(A607="","",G607*N('Articles'!G607))</f>
        <v/>
      </c>
    </row>
    <row r="608">
      <c r="A608" s="39" t="str">
        <f>IF('Articles'!A608="","",'Articles'!A608)</f>
        <v/>
      </c>
      <c r="B608" s="39" t="str">
        <f>IF(A608="","",'Articles'!B608&amp;"")</f>
        <v/>
      </c>
      <c r="C608" s="39" t="str">
        <f>IF(A608="","",'Articles'!D608&amp;"")</f>
        <v/>
      </c>
      <c r="D608" s="39" t="str">
        <f>IF(A608="","",ROUND(N('Articles'!H608)+SUMIFS(mv_qty,mv_ref,A608,mv_type,"Entrée",mv_date,"&lt;"&amp;$E$1)-SUMIFS(mv_qty,mv_ref,A608,mv_type,"Sortie",mv_date,"&lt;"&amp;$E$1),6))</f>
        <v/>
      </c>
      <c r="E608" s="39" t="str">
        <f>IF(A608="","",SUMIFS(mv_qty,mv_ref,A608,mv_type,"Entrée",mv_date,"&gt;="&amp;$E$1,mv_date,"&lt;="&amp;$G$1))</f>
        <v/>
      </c>
      <c r="F608" s="39" t="str">
        <f>IF(A608="","",SUMIFS(mv_qty,mv_ref,A608,mv_type,"Sortie",mv_date,"&gt;="&amp;$E$1,mv_date,"&lt;="&amp;$G$1))</f>
        <v/>
      </c>
      <c r="G608" s="39" t="str">
        <f>IF(A608="","",ROUND(D608+E608-F608,6))</f>
        <v/>
      </c>
      <c r="H608" s="40" t="str">
        <f>IF(A608="","",G608*N('Articles'!G608))</f>
        <v/>
      </c>
    </row>
    <row r="609">
      <c r="A609" s="39" t="str">
        <f>IF('Articles'!A609="","",'Articles'!A609)</f>
        <v/>
      </c>
      <c r="B609" s="39" t="str">
        <f>IF(A609="","",'Articles'!B609&amp;"")</f>
        <v/>
      </c>
      <c r="C609" s="39" t="str">
        <f>IF(A609="","",'Articles'!D609&amp;"")</f>
        <v/>
      </c>
      <c r="D609" s="39" t="str">
        <f>IF(A609="","",ROUND(N('Articles'!H609)+SUMIFS(mv_qty,mv_ref,A609,mv_type,"Entrée",mv_date,"&lt;"&amp;$E$1)-SUMIFS(mv_qty,mv_ref,A609,mv_type,"Sortie",mv_date,"&lt;"&amp;$E$1),6))</f>
        <v/>
      </c>
      <c r="E609" s="39" t="str">
        <f>IF(A609="","",SUMIFS(mv_qty,mv_ref,A609,mv_type,"Entrée",mv_date,"&gt;="&amp;$E$1,mv_date,"&lt;="&amp;$G$1))</f>
        <v/>
      </c>
      <c r="F609" s="39" t="str">
        <f>IF(A609="","",SUMIFS(mv_qty,mv_ref,A609,mv_type,"Sortie",mv_date,"&gt;="&amp;$E$1,mv_date,"&lt;="&amp;$G$1))</f>
        <v/>
      </c>
      <c r="G609" s="39" t="str">
        <f>IF(A609="","",ROUND(D609+E609-F609,6))</f>
        <v/>
      </c>
      <c r="H609" s="40" t="str">
        <f>IF(A609="","",G609*N('Articles'!G609))</f>
        <v/>
      </c>
    </row>
    <row r="610">
      <c r="A610" s="39" t="str">
        <f>IF('Articles'!A610="","",'Articles'!A610)</f>
        <v/>
      </c>
      <c r="B610" s="39" t="str">
        <f>IF(A610="","",'Articles'!B610&amp;"")</f>
        <v/>
      </c>
      <c r="C610" s="39" t="str">
        <f>IF(A610="","",'Articles'!D610&amp;"")</f>
        <v/>
      </c>
      <c r="D610" s="39" t="str">
        <f>IF(A610="","",ROUND(N('Articles'!H610)+SUMIFS(mv_qty,mv_ref,A610,mv_type,"Entrée",mv_date,"&lt;"&amp;$E$1)-SUMIFS(mv_qty,mv_ref,A610,mv_type,"Sortie",mv_date,"&lt;"&amp;$E$1),6))</f>
        <v/>
      </c>
      <c r="E610" s="39" t="str">
        <f>IF(A610="","",SUMIFS(mv_qty,mv_ref,A610,mv_type,"Entrée",mv_date,"&gt;="&amp;$E$1,mv_date,"&lt;="&amp;$G$1))</f>
        <v/>
      </c>
      <c r="F610" s="39" t="str">
        <f>IF(A610="","",SUMIFS(mv_qty,mv_ref,A610,mv_type,"Sortie",mv_date,"&gt;="&amp;$E$1,mv_date,"&lt;="&amp;$G$1))</f>
        <v/>
      </c>
      <c r="G610" s="39" t="str">
        <f>IF(A610="","",ROUND(D610+E610-F610,6))</f>
        <v/>
      </c>
      <c r="H610" s="40" t="str">
        <f>IF(A610="","",G610*N('Articles'!G610))</f>
        <v/>
      </c>
    </row>
    <row r="611">
      <c r="A611" s="39" t="str">
        <f>IF('Articles'!A611="","",'Articles'!A611)</f>
        <v/>
      </c>
      <c r="B611" s="39" t="str">
        <f>IF(A611="","",'Articles'!B611&amp;"")</f>
        <v/>
      </c>
      <c r="C611" s="39" t="str">
        <f>IF(A611="","",'Articles'!D611&amp;"")</f>
        <v/>
      </c>
      <c r="D611" s="39" t="str">
        <f>IF(A611="","",ROUND(N('Articles'!H611)+SUMIFS(mv_qty,mv_ref,A611,mv_type,"Entrée",mv_date,"&lt;"&amp;$E$1)-SUMIFS(mv_qty,mv_ref,A611,mv_type,"Sortie",mv_date,"&lt;"&amp;$E$1),6))</f>
        <v/>
      </c>
      <c r="E611" s="39" t="str">
        <f>IF(A611="","",SUMIFS(mv_qty,mv_ref,A611,mv_type,"Entrée",mv_date,"&gt;="&amp;$E$1,mv_date,"&lt;="&amp;$G$1))</f>
        <v/>
      </c>
      <c r="F611" s="39" t="str">
        <f>IF(A611="","",SUMIFS(mv_qty,mv_ref,A611,mv_type,"Sortie",mv_date,"&gt;="&amp;$E$1,mv_date,"&lt;="&amp;$G$1))</f>
        <v/>
      </c>
      <c r="G611" s="39" t="str">
        <f>IF(A611="","",ROUND(D611+E611-F611,6))</f>
        <v/>
      </c>
      <c r="H611" s="40" t="str">
        <f>IF(A611="","",G611*N('Articles'!G611))</f>
        <v/>
      </c>
    </row>
    <row r="612">
      <c r="A612" s="39" t="str">
        <f>IF('Articles'!A612="","",'Articles'!A612)</f>
        <v/>
      </c>
      <c r="B612" s="39" t="str">
        <f>IF(A612="","",'Articles'!B612&amp;"")</f>
        <v/>
      </c>
      <c r="C612" s="39" t="str">
        <f>IF(A612="","",'Articles'!D612&amp;"")</f>
        <v/>
      </c>
      <c r="D612" s="39" t="str">
        <f>IF(A612="","",ROUND(N('Articles'!H612)+SUMIFS(mv_qty,mv_ref,A612,mv_type,"Entrée",mv_date,"&lt;"&amp;$E$1)-SUMIFS(mv_qty,mv_ref,A612,mv_type,"Sortie",mv_date,"&lt;"&amp;$E$1),6))</f>
        <v/>
      </c>
      <c r="E612" s="39" t="str">
        <f>IF(A612="","",SUMIFS(mv_qty,mv_ref,A612,mv_type,"Entrée",mv_date,"&gt;="&amp;$E$1,mv_date,"&lt;="&amp;$G$1))</f>
        <v/>
      </c>
      <c r="F612" s="39" t="str">
        <f>IF(A612="","",SUMIFS(mv_qty,mv_ref,A612,mv_type,"Sortie",mv_date,"&gt;="&amp;$E$1,mv_date,"&lt;="&amp;$G$1))</f>
        <v/>
      </c>
      <c r="G612" s="39" t="str">
        <f>IF(A612="","",ROUND(D612+E612-F612,6))</f>
        <v/>
      </c>
      <c r="H612" s="40" t="str">
        <f>IF(A612="","",G612*N('Articles'!G612))</f>
        <v/>
      </c>
    </row>
    <row r="613">
      <c r="A613" s="39" t="str">
        <f>IF('Articles'!A613="","",'Articles'!A613)</f>
        <v/>
      </c>
      <c r="B613" s="39" t="str">
        <f>IF(A613="","",'Articles'!B613&amp;"")</f>
        <v/>
      </c>
      <c r="C613" s="39" t="str">
        <f>IF(A613="","",'Articles'!D613&amp;"")</f>
        <v/>
      </c>
      <c r="D613" s="39" t="str">
        <f>IF(A613="","",ROUND(N('Articles'!H613)+SUMIFS(mv_qty,mv_ref,A613,mv_type,"Entrée",mv_date,"&lt;"&amp;$E$1)-SUMIFS(mv_qty,mv_ref,A613,mv_type,"Sortie",mv_date,"&lt;"&amp;$E$1),6))</f>
        <v/>
      </c>
      <c r="E613" s="39" t="str">
        <f>IF(A613="","",SUMIFS(mv_qty,mv_ref,A613,mv_type,"Entrée",mv_date,"&gt;="&amp;$E$1,mv_date,"&lt;="&amp;$G$1))</f>
        <v/>
      </c>
      <c r="F613" s="39" t="str">
        <f>IF(A613="","",SUMIFS(mv_qty,mv_ref,A613,mv_type,"Sortie",mv_date,"&gt;="&amp;$E$1,mv_date,"&lt;="&amp;$G$1))</f>
        <v/>
      </c>
      <c r="G613" s="39" t="str">
        <f>IF(A613="","",ROUND(D613+E613-F613,6))</f>
        <v/>
      </c>
      <c r="H613" s="40" t="str">
        <f>IF(A613="","",G613*N('Articles'!G613))</f>
        <v/>
      </c>
    </row>
    <row r="614">
      <c r="A614" s="39" t="str">
        <f>IF('Articles'!A614="","",'Articles'!A614)</f>
        <v/>
      </c>
      <c r="B614" s="39" t="str">
        <f>IF(A614="","",'Articles'!B614&amp;"")</f>
        <v/>
      </c>
      <c r="C614" s="39" t="str">
        <f>IF(A614="","",'Articles'!D614&amp;"")</f>
        <v/>
      </c>
      <c r="D614" s="39" t="str">
        <f>IF(A614="","",ROUND(N('Articles'!H614)+SUMIFS(mv_qty,mv_ref,A614,mv_type,"Entrée",mv_date,"&lt;"&amp;$E$1)-SUMIFS(mv_qty,mv_ref,A614,mv_type,"Sortie",mv_date,"&lt;"&amp;$E$1),6))</f>
        <v/>
      </c>
      <c r="E614" s="39" t="str">
        <f>IF(A614="","",SUMIFS(mv_qty,mv_ref,A614,mv_type,"Entrée",mv_date,"&gt;="&amp;$E$1,mv_date,"&lt;="&amp;$G$1))</f>
        <v/>
      </c>
      <c r="F614" s="39" t="str">
        <f>IF(A614="","",SUMIFS(mv_qty,mv_ref,A614,mv_type,"Sortie",mv_date,"&gt;="&amp;$E$1,mv_date,"&lt;="&amp;$G$1))</f>
        <v/>
      </c>
      <c r="G614" s="39" t="str">
        <f>IF(A614="","",ROUND(D614+E614-F614,6))</f>
        <v/>
      </c>
      <c r="H614" s="40" t="str">
        <f>IF(A614="","",G614*N('Articles'!G614))</f>
        <v/>
      </c>
    </row>
    <row r="615">
      <c r="A615" s="39" t="str">
        <f>IF('Articles'!A615="","",'Articles'!A615)</f>
        <v/>
      </c>
      <c r="B615" s="39" t="str">
        <f>IF(A615="","",'Articles'!B615&amp;"")</f>
        <v/>
      </c>
      <c r="C615" s="39" t="str">
        <f>IF(A615="","",'Articles'!D615&amp;"")</f>
        <v/>
      </c>
      <c r="D615" s="39" t="str">
        <f>IF(A615="","",ROUND(N('Articles'!H615)+SUMIFS(mv_qty,mv_ref,A615,mv_type,"Entrée",mv_date,"&lt;"&amp;$E$1)-SUMIFS(mv_qty,mv_ref,A615,mv_type,"Sortie",mv_date,"&lt;"&amp;$E$1),6))</f>
        <v/>
      </c>
      <c r="E615" s="39" t="str">
        <f>IF(A615="","",SUMIFS(mv_qty,mv_ref,A615,mv_type,"Entrée",mv_date,"&gt;="&amp;$E$1,mv_date,"&lt;="&amp;$G$1))</f>
        <v/>
      </c>
      <c r="F615" s="39" t="str">
        <f>IF(A615="","",SUMIFS(mv_qty,mv_ref,A615,mv_type,"Sortie",mv_date,"&gt;="&amp;$E$1,mv_date,"&lt;="&amp;$G$1))</f>
        <v/>
      </c>
      <c r="G615" s="39" t="str">
        <f>IF(A615="","",ROUND(D615+E615-F615,6))</f>
        <v/>
      </c>
      <c r="H615" s="40" t="str">
        <f>IF(A615="","",G615*N('Articles'!G615))</f>
        <v/>
      </c>
    </row>
    <row r="616">
      <c r="A616" s="39" t="str">
        <f>IF('Articles'!A616="","",'Articles'!A616)</f>
        <v/>
      </c>
      <c r="B616" s="39" t="str">
        <f>IF(A616="","",'Articles'!B616&amp;"")</f>
        <v/>
      </c>
      <c r="C616" s="39" t="str">
        <f>IF(A616="","",'Articles'!D616&amp;"")</f>
        <v/>
      </c>
      <c r="D616" s="39" t="str">
        <f>IF(A616="","",ROUND(N('Articles'!H616)+SUMIFS(mv_qty,mv_ref,A616,mv_type,"Entrée",mv_date,"&lt;"&amp;$E$1)-SUMIFS(mv_qty,mv_ref,A616,mv_type,"Sortie",mv_date,"&lt;"&amp;$E$1),6))</f>
        <v/>
      </c>
      <c r="E616" s="39" t="str">
        <f>IF(A616="","",SUMIFS(mv_qty,mv_ref,A616,mv_type,"Entrée",mv_date,"&gt;="&amp;$E$1,mv_date,"&lt;="&amp;$G$1))</f>
        <v/>
      </c>
      <c r="F616" s="39" t="str">
        <f>IF(A616="","",SUMIFS(mv_qty,mv_ref,A616,mv_type,"Sortie",mv_date,"&gt;="&amp;$E$1,mv_date,"&lt;="&amp;$G$1))</f>
        <v/>
      </c>
      <c r="G616" s="39" t="str">
        <f>IF(A616="","",ROUND(D616+E616-F616,6))</f>
        <v/>
      </c>
      <c r="H616" s="40" t="str">
        <f>IF(A616="","",G616*N('Articles'!G616))</f>
        <v/>
      </c>
    </row>
    <row r="617">
      <c r="A617" s="39" t="str">
        <f>IF('Articles'!A617="","",'Articles'!A617)</f>
        <v/>
      </c>
      <c r="B617" s="39" t="str">
        <f>IF(A617="","",'Articles'!B617&amp;"")</f>
        <v/>
      </c>
      <c r="C617" s="39" t="str">
        <f>IF(A617="","",'Articles'!D617&amp;"")</f>
        <v/>
      </c>
      <c r="D617" s="39" t="str">
        <f>IF(A617="","",ROUND(N('Articles'!H617)+SUMIFS(mv_qty,mv_ref,A617,mv_type,"Entrée",mv_date,"&lt;"&amp;$E$1)-SUMIFS(mv_qty,mv_ref,A617,mv_type,"Sortie",mv_date,"&lt;"&amp;$E$1),6))</f>
        <v/>
      </c>
      <c r="E617" s="39" t="str">
        <f>IF(A617="","",SUMIFS(mv_qty,mv_ref,A617,mv_type,"Entrée",mv_date,"&gt;="&amp;$E$1,mv_date,"&lt;="&amp;$G$1))</f>
        <v/>
      </c>
      <c r="F617" s="39" t="str">
        <f>IF(A617="","",SUMIFS(mv_qty,mv_ref,A617,mv_type,"Sortie",mv_date,"&gt;="&amp;$E$1,mv_date,"&lt;="&amp;$G$1))</f>
        <v/>
      </c>
      <c r="G617" s="39" t="str">
        <f>IF(A617="","",ROUND(D617+E617-F617,6))</f>
        <v/>
      </c>
      <c r="H617" s="40" t="str">
        <f>IF(A617="","",G617*N('Articles'!G617))</f>
        <v/>
      </c>
    </row>
    <row r="618">
      <c r="A618" s="39" t="str">
        <f>IF('Articles'!A618="","",'Articles'!A618)</f>
        <v/>
      </c>
      <c r="B618" s="39" t="str">
        <f>IF(A618="","",'Articles'!B618&amp;"")</f>
        <v/>
      </c>
      <c r="C618" s="39" t="str">
        <f>IF(A618="","",'Articles'!D618&amp;"")</f>
        <v/>
      </c>
      <c r="D618" s="39" t="str">
        <f>IF(A618="","",ROUND(N('Articles'!H618)+SUMIFS(mv_qty,mv_ref,A618,mv_type,"Entrée",mv_date,"&lt;"&amp;$E$1)-SUMIFS(mv_qty,mv_ref,A618,mv_type,"Sortie",mv_date,"&lt;"&amp;$E$1),6))</f>
        <v/>
      </c>
      <c r="E618" s="39" t="str">
        <f>IF(A618="","",SUMIFS(mv_qty,mv_ref,A618,mv_type,"Entrée",mv_date,"&gt;="&amp;$E$1,mv_date,"&lt;="&amp;$G$1))</f>
        <v/>
      </c>
      <c r="F618" s="39" t="str">
        <f>IF(A618="","",SUMIFS(mv_qty,mv_ref,A618,mv_type,"Sortie",mv_date,"&gt;="&amp;$E$1,mv_date,"&lt;="&amp;$G$1))</f>
        <v/>
      </c>
      <c r="G618" s="39" t="str">
        <f>IF(A618="","",ROUND(D618+E618-F618,6))</f>
        <v/>
      </c>
      <c r="H618" s="40" t="str">
        <f>IF(A618="","",G618*N('Articles'!G618))</f>
        <v/>
      </c>
    </row>
    <row r="619">
      <c r="A619" s="39" t="str">
        <f>IF('Articles'!A619="","",'Articles'!A619)</f>
        <v/>
      </c>
      <c r="B619" s="39" t="str">
        <f>IF(A619="","",'Articles'!B619&amp;"")</f>
        <v/>
      </c>
      <c r="C619" s="39" t="str">
        <f>IF(A619="","",'Articles'!D619&amp;"")</f>
        <v/>
      </c>
      <c r="D619" s="39" t="str">
        <f>IF(A619="","",ROUND(N('Articles'!H619)+SUMIFS(mv_qty,mv_ref,A619,mv_type,"Entrée",mv_date,"&lt;"&amp;$E$1)-SUMIFS(mv_qty,mv_ref,A619,mv_type,"Sortie",mv_date,"&lt;"&amp;$E$1),6))</f>
        <v/>
      </c>
      <c r="E619" s="39" t="str">
        <f>IF(A619="","",SUMIFS(mv_qty,mv_ref,A619,mv_type,"Entrée",mv_date,"&gt;="&amp;$E$1,mv_date,"&lt;="&amp;$G$1))</f>
        <v/>
      </c>
      <c r="F619" s="39" t="str">
        <f>IF(A619="","",SUMIFS(mv_qty,mv_ref,A619,mv_type,"Sortie",mv_date,"&gt;="&amp;$E$1,mv_date,"&lt;="&amp;$G$1))</f>
        <v/>
      </c>
      <c r="G619" s="39" t="str">
        <f>IF(A619="","",ROUND(D619+E619-F619,6))</f>
        <v/>
      </c>
      <c r="H619" s="40" t="str">
        <f>IF(A619="","",G619*N('Articles'!G619))</f>
        <v/>
      </c>
    </row>
    <row r="620">
      <c r="A620" s="39" t="str">
        <f>IF('Articles'!A620="","",'Articles'!A620)</f>
        <v/>
      </c>
      <c r="B620" s="39" t="str">
        <f>IF(A620="","",'Articles'!B620&amp;"")</f>
        <v/>
      </c>
      <c r="C620" s="39" t="str">
        <f>IF(A620="","",'Articles'!D620&amp;"")</f>
        <v/>
      </c>
      <c r="D620" s="39" t="str">
        <f>IF(A620="","",ROUND(N('Articles'!H620)+SUMIFS(mv_qty,mv_ref,A620,mv_type,"Entrée",mv_date,"&lt;"&amp;$E$1)-SUMIFS(mv_qty,mv_ref,A620,mv_type,"Sortie",mv_date,"&lt;"&amp;$E$1),6))</f>
        <v/>
      </c>
      <c r="E620" s="39" t="str">
        <f>IF(A620="","",SUMIFS(mv_qty,mv_ref,A620,mv_type,"Entrée",mv_date,"&gt;="&amp;$E$1,mv_date,"&lt;="&amp;$G$1))</f>
        <v/>
      </c>
      <c r="F620" s="39" t="str">
        <f>IF(A620="","",SUMIFS(mv_qty,mv_ref,A620,mv_type,"Sortie",mv_date,"&gt;="&amp;$E$1,mv_date,"&lt;="&amp;$G$1))</f>
        <v/>
      </c>
      <c r="G620" s="39" t="str">
        <f>IF(A620="","",ROUND(D620+E620-F620,6))</f>
        <v/>
      </c>
      <c r="H620" s="40" t="str">
        <f>IF(A620="","",G620*N('Articles'!G620))</f>
        <v/>
      </c>
    </row>
    <row r="621">
      <c r="A621" s="39" t="str">
        <f>IF('Articles'!A621="","",'Articles'!A621)</f>
        <v/>
      </c>
      <c r="B621" s="39" t="str">
        <f>IF(A621="","",'Articles'!B621&amp;"")</f>
        <v/>
      </c>
      <c r="C621" s="39" t="str">
        <f>IF(A621="","",'Articles'!D621&amp;"")</f>
        <v/>
      </c>
      <c r="D621" s="39" t="str">
        <f>IF(A621="","",ROUND(N('Articles'!H621)+SUMIFS(mv_qty,mv_ref,A621,mv_type,"Entrée",mv_date,"&lt;"&amp;$E$1)-SUMIFS(mv_qty,mv_ref,A621,mv_type,"Sortie",mv_date,"&lt;"&amp;$E$1),6))</f>
        <v/>
      </c>
      <c r="E621" s="39" t="str">
        <f>IF(A621="","",SUMIFS(mv_qty,mv_ref,A621,mv_type,"Entrée",mv_date,"&gt;="&amp;$E$1,mv_date,"&lt;="&amp;$G$1))</f>
        <v/>
      </c>
      <c r="F621" s="39" t="str">
        <f>IF(A621="","",SUMIFS(mv_qty,mv_ref,A621,mv_type,"Sortie",mv_date,"&gt;="&amp;$E$1,mv_date,"&lt;="&amp;$G$1))</f>
        <v/>
      </c>
      <c r="G621" s="39" t="str">
        <f>IF(A621="","",ROUND(D621+E621-F621,6))</f>
        <v/>
      </c>
      <c r="H621" s="40" t="str">
        <f>IF(A621="","",G621*N('Articles'!G621))</f>
        <v/>
      </c>
    </row>
    <row r="622">
      <c r="A622" s="39" t="str">
        <f>IF('Articles'!A622="","",'Articles'!A622)</f>
        <v/>
      </c>
      <c r="B622" s="39" t="str">
        <f>IF(A622="","",'Articles'!B622&amp;"")</f>
        <v/>
      </c>
      <c r="C622" s="39" t="str">
        <f>IF(A622="","",'Articles'!D622&amp;"")</f>
        <v/>
      </c>
      <c r="D622" s="39" t="str">
        <f>IF(A622="","",ROUND(N('Articles'!H622)+SUMIFS(mv_qty,mv_ref,A622,mv_type,"Entrée",mv_date,"&lt;"&amp;$E$1)-SUMIFS(mv_qty,mv_ref,A622,mv_type,"Sortie",mv_date,"&lt;"&amp;$E$1),6))</f>
        <v/>
      </c>
      <c r="E622" s="39" t="str">
        <f>IF(A622="","",SUMIFS(mv_qty,mv_ref,A622,mv_type,"Entrée",mv_date,"&gt;="&amp;$E$1,mv_date,"&lt;="&amp;$G$1))</f>
        <v/>
      </c>
      <c r="F622" s="39" t="str">
        <f>IF(A622="","",SUMIFS(mv_qty,mv_ref,A622,mv_type,"Sortie",mv_date,"&gt;="&amp;$E$1,mv_date,"&lt;="&amp;$G$1))</f>
        <v/>
      </c>
      <c r="G622" s="39" t="str">
        <f>IF(A622="","",ROUND(D622+E622-F622,6))</f>
        <v/>
      </c>
      <c r="H622" s="40" t="str">
        <f>IF(A622="","",G622*N('Articles'!G622))</f>
        <v/>
      </c>
    </row>
    <row r="623">
      <c r="A623" s="39" t="str">
        <f>IF('Articles'!A623="","",'Articles'!A623)</f>
        <v/>
      </c>
      <c r="B623" s="39" t="str">
        <f>IF(A623="","",'Articles'!B623&amp;"")</f>
        <v/>
      </c>
      <c r="C623" s="39" t="str">
        <f>IF(A623="","",'Articles'!D623&amp;"")</f>
        <v/>
      </c>
      <c r="D623" s="39" t="str">
        <f>IF(A623="","",ROUND(N('Articles'!H623)+SUMIFS(mv_qty,mv_ref,A623,mv_type,"Entrée",mv_date,"&lt;"&amp;$E$1)-SUMIFS(mv_qty,mv_ref,A623,mv_type,"Sortie",mv_date,"&lt;"&amp;$E$1),6))</f>
        <v/>
      </c>
      <c r="E623" s="39" t="str">
        <f>IF(A623="","",SUMIFS(mv_qty,mv_ref,A623,mv_type,"Entrée",mv_date,"&gt;="&amp;$E$1,mv_date,"&lt;="&amp;$G$1))</f>
        <v/>
      </c>
      <c r="F623" s="39" t="str">
        <f>IF(A623="","",SUMIFS(mv_qty,mv_ref,A623,mv_type,"Sortie",mv_date,"&gt;="&amp;$E$1,mv_date,"&lt;="&amp;$G$1))</f>
        <v/>
      </c>
      <c r="G623" s="39" t="str">
        <f>IF(A623="","",ROUND(D623+E623-F623,6))</f>
        <v/>
      </c>
      <c r="H623" s="40" t="str">
        <f>IF(A623="","",G623*N('Articles'!G623))</f>
        <v/>
      </c>
    </row>
    <row r="624">
      <c r="A624" s="39" t="str">
        <f>IF('Articles'!A624="","",'Articles'!A624)</f>
        <v/>
      </c>
      <c r="B624" s="39" t="str">
        <f>IF(A624="","",'Articles'!B624&amp;"")</f>
        <v/>
      </c>
      <c r="C624" s="39" t="str">
        <f>IF(A624="","",'Articles'!D624&amp;"")</f>
        <v/>
      </c>
      <c r="D624" s="39" t="str">
        <f>IF(A624="","",ROUND(N('Articles'!H624)+SUMIFS(mv_qty,mv_ref,A624,mv_type,"Entrée",mv_date,"&lt;"&amp;$E$1)-SUMIFS(mv_qty,mv_ref,A624,mv_type,"Sortie",mv_date,"&lt;"&amp;$E$1),6))</f>
        <v/>
      </c>
      <c r="E624" s="39" t="str">
        <f>IF(A624="","",SUMIFS(mv_qty,mv_ref,A624,mv_type,"Entrée",mv_date,"&gt;="&amp;$E$1,mv_date,"&lt;="&amp;$G$1))</f>
        <v/>
      </c>
      <c r="F624" s="39" t="str">
        <f>IF(A624="","",SUMIFS(mv_qty,mv_ref,A624,mv_type,"Sortie",mv_date,"&gt;="&amp;$E$1,mv_date,"&lt;="&amp;$G$1))</f>
        <v/>
      </c>
      <c r="G624" s="39" t="str">
        <f>IF(A624="","",ROUND(D624+E624-F624,6))</f>
        <v/>
      </c>
      <c r="H624" s="40" t="str">
        <f>IF(A624="","",G624*N('Articles'!G624))</f>
        <v/>
      </c>
    </row>
    <row r="625">
      <c r="A625" s="39" t="str">
        <f>IF('Articles'!A625="","",'Articles'!A625)</f>
        <v/>
      </c>
      <c r="B625" s="39" t="str">
        <f>IF(A625="","",'Articles'!B625&amp;"")</f>
        <v/>
      </c>
      <c r="C625" s="39" t="str">
        <f>IF(A625="","",'Articles'!D625&amp;"")</f>
        <v/>
      </c>
      <c r="D625" s="39" t="str">
        <f>IF(A625="","",ROUND(N('Articles'!H625)+SUMIFS(mv_qty,mv_ref,A625,mv_type,"Entrée",mv_date,"&lt;"&amp;$E$1)-SUMIFS(mv_qty,mv_ref,A625,mv_type,"Sortie",mv_date,"&lt;"&amp;$E$1),6))</f>
        <v/>
      </c>
      <c r="E625" s="39" t="str">
        <f>IF(A625="","",SUMIFS(mv_qty,mv_ref,A625,mv_type,"Entrée",mv_date,"&gt;="&amp;$E$1,mv_date,"&lt;="&amp;$G$1))</f>
        <v/>
      </c>
      <c r="F625" s="39" t="str">
        <f>IF(A625="","",SUMIFS(mv_qty,mv_ref,A625,mv_type,"Sortie",mv_date,"&gt;="&amp;$E$1,mv_date,"&lt;="&amp;$G$1))</f>
        <v/>
      </c>
      <c r="G625" s="39" t="str">
        <f>IF(A625="","",ROUND(D625+E625-F625,6))</f>
        <v/>
      </c>
      <c r="H625" s="40" t="str">
        <f>IF(A625="","",G625*N('Articles'!G625))</f>
        <v/>
      </c>
    </row>
    <row r="626">
      <c r="A626" s="39" t="str">
        <f>IF('Articles'!A626="","",'Articles'!A626)</f>
        <v/>
      </c>
      <c r="B626" s="39" t="str">
        <f>IF(A626="","",'Articles'!B626&amp;"")</f>
        <v/>
      </c>
      <c r="C626" s="39" t="str">
        <f>IF(A626="","",'Articles'!D626&amp;"")</f>
        <v/>
      </c>
      <c r="D626" s="39" t="str">
        <f>IF(A626="","",ROUND(N('Articles'!H626)+SUMIFS(mv_qty,mv_ref,A626,mv_type,"Entrée",mv_date,"&lt;"&amp;$E$1)-SUMIFS(mv_qty,mv_ref,A626,mv_type,"Sortie",mv_date,"&lt;"&amp;$E$1),6))</f>
        <v/>
      </c>
      <c r="E626" s="39" t="str">
        <f>IF(A626="","",SUMIFS(mv_qty,mv_ref,A626,mv_type,"Entrée",mv_date,"&gt;="&amp;$E$1,mv_date,"&lt;="&amp;$G$1))</f>
        <v/>
      </c>
      <c r="F626" s="39" t="str">
        <f>IF(A626="","",SUMIFS(mv_qty,mv_ref,A626,mv_type,"Sortie",mv_date,"&gt;="&amp;$E$1,mv_date,"&lt;="&amp;$G$1))</f>
        <v/>
      </c>
      <c r="G626" s="39" t="str">
        <f>IF(A626="","",ROUND(D626+E626-F626,6))</f>
        <v/>
      </c>
      <c r="H626" s="40" t="str">
        <f>IF(A626="","",G626*N('Articles'!G626))</f>
        <v/>
      </c>
    </row>
    <row r="627">
      <c r="A627" s="39" t="str">
        <f>IF('Articles'!A627="","",'Articles'!A627)</f>
        <v/>
      </c>
      <c r="B627" s="39" t="str">
        <f>IF(A627="","",'Articles'!B627&amp;"")</f>
        <v/>
      </c>
      <c r="C627" s="39" t="str">
        <f>IF(A627="","",'Articles'!D627&amp;"")</f>
        <v/>
      </c>
      <c r="D627" s="39" t="str">
        <f>IF(A627="","",ROUND(N('Articles'!H627)+SUMIFS(mv_qty,mv_ref,A627,mv_type,"Entrée",mv_date,"&lt;"&amp;$E$1)-SUMIFS(mv_qty,mv_ref,A627,mv_type,"Sortie",mv_date,"&lt;"&amp;$E$1),6))</f>
        <v/>
      </c>
      <c r="E627" s="39" t="str">
        <f>IF(A627="","",SUMIFS(mv_qty,mv_ref,A627,mv_type,"Entrée",mv_date,"&gt;="&amp;$E$1,mv_date,"&lt;="&amp;$G$1))</f>
        <v/>
      </c>
      <c r="F627" s="39" t="str">
        <f>IF(A627="","",SUMIFS(mv_qty,mv_ref,A627,mv_type,"Sortie",mv_date,"&gt;="&amp;$E$1,mv_date,"&lt;="&amp;$G$1))</f>
        <v/>
      </c>
      <c r="G627" s="39" t="str">
        <f>IF(A627="","",ROUND(D627+E627-F627,6))</f>
        <v/>
      </c>
      <c r="H627" s="40" t="str">
        <f>IF(A627="","",G627*N('Articles'!G627))</f>
        <v/>
      </c>
    </row>
    <row r="628">
      <c r="A628" s="39" t="str">
        <f>IF('Articles'!A628="","",'Articles'!A628)</f>
        <v/>
      </c>
      <c r="B628" s="39" t="str">
        <f>IF(A628="","",'Articles'!B628&amp;"")</f>
        <v/>
      </c>
      <c r="C628" s="39" t="str">
        <f>IF(A628="","",'Articles'!D628&amp;"")</f>
        <v/>
      </c>
      <c r="D628" s="39" t="str">
        <f>IF(A628="","",ROUND(N('Articles'!H628)+SUMIFS(mv_qty,mv_ref,A628,mv_type,"Entrée",mv_date,"&lt;"&amp;$E$1)-SUMIFS(mv_qty,mv_ref,A628,mv_type,"Sortie",mv_date,"&lt;"&amp;$E$1),6))</f>
        <v/>
      </c>
      <c r="E628" s="39" t="str">
        <f>IF(A628="","",SUMIFS(mv_qty,mv_ref,A628,mv_type,"Entrée",mv_date,"&gt;="&amp;$E$1,mv_date,"&lt;="&amp;$G$1))</f>
        <v/>
      </c>
      <c r="F628" s="39" t="str">
        <f>IF(A628="","",SUMIFS(mv_qty,mv_ref,A628,mv_type,"Sortie",mv_date,"&gt;="&amp;$E$1,mv_date,"&lt;="&amp;$G$1))</f>
        <v/>
      </c>
      <c r="G628" s="39" t="str">
        <f>IF(A628="","",ROUND(D628+E628-F628,6))</f>
        <v/>
      </c>
      <c r="H628" s="40" t="str">
        <f>IF(A628="","",G628*N('Articles'!G628))</f>
        <v/>
      </c>
    </row>
    <row r="629">
      <c r="A629" s="39" t="str">
        <f>IF('Articles'!A629="","",'Articles'!A629)</f>
        <v/>
      </c>
      <c r="B629" s="39" t="str">
        <f>IF(A629="","",'Articles'!B629&amp;"")</f>
        <v/>
      </c>
      <c r="C629" s="39" t="str">
        <f>IF(A629="","",'Articles'!D629&amp;"")</f>
        <v/>
      </c>
      <c r="D629" s="39" t="str">
        <f>IF(A629="","",ROUND(N('Articles'!H629)+SUMIFS(mv_qty,mv_ref,A629,mv_type,"Entrée",mv_date,"&lt;"&amp;$E$1)-SUMIFS(mv_qty,mv_ref,A629,mv_type,"Sortie",mv_date,"&lt;"&amp;$E$1),6))</f>
        <v/>
      </c>
      <c r="E629" s="39" t="str">
        <f>IF(A629="","",SUMIFS(mv_qty,mv_ref,A629,mv_type,"Entrée",mv_date,"&gt;="&amp;$E$1,mv_date,"&lt;="&amp;$G$1))</f>
        <v/>
      </c>
      <c r="F629" s="39" t="str">
        <f>IF(A629="","",SUMIFS(mv_qty,mv_ref,A629,mv_type,"Sortie",mv_date,"&gt;="&amp;$E$1,mv_date,"&lt;="&amp;$G$1))</f>
        <v/>
      </c>
      <c r="G629" s="39" t="str">
        <f>IF(A629="","",ROUND(D629+E629-F629,6))</f>
        <v/>
      </c>
      <c r="H629" s="40" t="str">
        <f>IF(A629="","",G629*N('Articles'!G629))</f>
        <v/>
      </c>
    </row>
    <row r="630">
      <c r="A630" s="39" t="str">
        <f>IF('Articles'!A630="","",'Articles'!A630)</f>
        <v/>
      </c>
      <c r="B630" s="39" t="str">
        <f>IF(A630="","",'Articles'!B630&amp;"")</f>
        <v/>
      </c>
      <c r="C630" s="39" t="str">
        <f>IF(A630="","",'Articles'!D630&amp;"")</f>
        <v/>
      </c>
      <c r="D630" s="39" t="str">
        <f>IF(A630="","",ROUND(N('Articles'!H630)+SUMIFS(mv_qty,mv_ref,A630,mv_type,"Entrée",mv_date,"&lt;"&amp;$E$1)-SUMIFS(mv_qty,mv_ref,A630,mv_type,"Sortie",mv_date,"&lt;"&amp;$E$1),6))</f>
        <v/>
      </c>
      <c r="E630" s="39" t="str">
        <f>IF(A630="","",SUMIFS(mv_qty,mv_ref,A630,mv_type,"Entrée",mv_date,"&gt;="&amp;$E$1,mv_date,"&lt;="&amp;$G$1))</f>
        <v/>
      </c>
      <c r="F630" s="39" t="str">
        <f>IF(A630="","",SUMIFS(mv_qty,mv_ref,A630,mv_type,"Sortie",mv_date,"&gt;="&amp;$E$1,mv_date,"&lt;="&amp;$G$1))</f>
        <v/>
      </c>
      <c r="G630" s="39" t="str">
        <f>IF(A630="","",ROUND(D630+E630-F630,6))</f>
        <v/>
      </c>
      <c r="H630" s="40" t="str">
        <f>IF(A630="","",G630*N('Articles'!G630))</f>
        <v/>
      </c>
    </row>
    <row r="631">
      <c r="A631" s="39" t="str">
        <f>IF('Articles'!A631="","",'Articles'!A631)</f>
        <v/>
      </c>
      <c r="B631" s="39" t="str">
        <f>IF(A631="","",'Articles'!B631&amp;"")</f>
        <v/>
      </c>
      <c r="C631" s="39" t="str">
        <f>IF(A631="","",'Articles'!D631&amp;"")</f>
        <v/>
      </c>
      <c r="D631" s="39" t="str">
        <f>IF(A631="","",ROUND(N('Articles'!H631)+SUMIFS(mv_qty,mv_ref,A631,mv_type,"Entrée",mv_date,"&lt;"&amp;$E$1)-SUMIFS(mv_qty,mv_ref,A631,mv_type,"Sortie",mv_date,"&lt;"&amp;$E$1),6))</f>
        <v/>
      </c>
      <c r="E631" s="39" t="str">
        <f>IF(A631="","",SUMIFS(mv_qty,mv_ref,A631,mv_type,"Entrée",mv_date,"&gt;="&amp;$E$1,mv_date,"&lt;="&amp;$G$1))</f>
        <v/>
      </c>
      <c r="F631" s="39" t="str">
        <f>IF(A631="","",SUMIFS(mv_qty,mv_ref,A631,mv_type,"Sortie",mv_date,"&gt;="&amp;$E$1,mv_date,"&lt;="&amp;$G$1))</f>
        <v/>
      </c>
      <c r="G631" s="39" t="str">
        <f>IF(A631="","",ROUND(D631+E631-F631,6))</f>
        <v/>
      </c>
      <c r="H631" s="40" t="str">
        <f>IF(A631="","",G631*N('Articles'!G631))</f>
        <v/>
      </c>
    </row>
    <row r="632">
      <c r="A632" s="39" t="str">
        <f>IF('Articles'!A632="","",'Articles'!A632)</f>
        <v/>
      </c>
      <c r="B632" s="39" t="str">
        <f>IF(A632="","",'Articles'!B632&amp;"")</f>
        <v/>
      </c>
      <c r="C632" s="39" t="str">
        <f>IF(A632="","",'Articles'!D632&amp;"")</f>
        <v/>
      </c>
      <c r="D632" s="39" t="str">
        <f>IF(A632="","",ROUND(N('Articles'!H632)+SUMIFS(mv_qty,mv_ref,A632,mv_type,"Entrée",mv_date,"&lt;"&amp;$E$1)-SUMIFS(mv_qty,mv_ref,A632,mv_type,"Sortie",mv_date,"&lt;"&amp;$E$1),6))</f>
        <v/>
      </c>
      <c r="E632" s="39" t="str">
        <f>IF(A632="","",SUMIFS(mv_qty,mv_ref,A632,mv_type,"Entrée",mv_date,"&gt;="&amp;$E$1,mv_date,"&lt;="&amp;$G$1))</f>
        <v/>
      </c>
      <c r="F632" s="39" t="str">
        <f>IF(A632="","",SUMIFS(mv_qty,mv_ref,A632,mv_type,"Sortie",mv_date,"&gt;="&amp;$E$1,mv_date,"&lt;="&amp;$G$1))</f>
        <v/>
      </c>
      <c r="G632" s="39" t="str">
        <f>IF(A632="","",ROUND(D632+E632-F632,6))</f>
        <v/>
      </c>
      <c r="H632" s="40" t="str">
        <f>IF(A632="","",G632*N('Articles'!G632))</f>
        <v/>
      </c>
    </row>
    <row r="633">
      <c r="A633" s="39" t="str">
        <f>IF('Articles'!A633="","",'Articles'!A633)</f>
        <v/>
      </c>
      <c r="B633" s="39" t="str">
        <f>IF(A633="","",'Articles'!B633&amp;"")</f>
        <v/>
      </c>
      <c r="C633" s="39" t="str">
        <f>IF(A633="","",'Articles'!D633&amp;"")</f>
        <v/>
      </c>
      <c r="D633" s="39" t="str">
        <f>IF(A633="","",ROUND(N('Articles'!H633)+SUMIFS(mv_qty,mv_ref,A633,mv_type,"Entrée",mv_date,"&lt;"&amp;$E$1)-SUMIFS(mv_qty,mv_ref,A633,mv_type,"Sortie",mv_date,"&lt;"&amp;$E$1),6))</f>
        <v/>
      </c>
      <c r="E633" s="39" t="str">
        <f>IF(A633="","",SUMIFS(mv_qty,mv_ref,A633,mv_type,"Entrée",mv_date,"&gt;="&amp;$E$1,mv_date,"&lt;="&amp;$G$1))</f>
        <v/>
      </c>
      <c r="F633" s="39" t="str">
        <f>IF(A633="","",SUMIFS(mv_qty,mv_ref,A633,mv_type,"Sortie",mv_date,"&gt;="&amp;$E$1,mv_date,"&lt;="&amp;$G$1))</f>
        <v/>
      </c>
      <c r="G633" s="39" t="str">
        <f>IF(A633="","",ROUND(D633+E633-F633,6))</f>
        <v/>
      </c>
      <c r="H633" s="40" t="str">
        <f>IF(A633="","",G633*N('Articles'!G633))</f>
        <v/>
      </c>
    </row>
    <row r="634">
      <c r="A634" s="39" t="str">
        <f>IF('Articles'!A634="","",'Articles'!A634)</f>
        <v/>
      </c>
      <c r="B634" s="39" t="str">
        <f>IF(A634="","",'Articles'!B634&amp;"")</f>
        <v/>
      </c>
      <c r="C634" s="39" t="str">
        <f>IF(A634="","",'Articles'!D634&amp;"")</f>
        <v/>
      </c>
      <c r="D634" s="39" t="str">
        <f>IF(A634="","",ROUND(N('Articles'!H634)+SUMIFS(mv_qty,mv_ref,A634,mv_type,"Entrée",mv_date,"&lt;"&amp;$E$1)-SUMIFS(mv_qty,mv_ref,A634,mv_type,"Sortie",mv_date,"&lt;"&amp;$E$1),6))</f>
        <v/>
      </c>
      <c r="E634" s="39" t="str">
        <f>IF(A634="","",SUMIFS(mv_qty,mv_ref,A634,mv_type,"Entrée",mv_date,"&gt;="&amp;$E$1,mv_date,"&lt;="&amp;$G$1))</f>
        <v/>
      </c>
      <c r="F634" s="39" t="str">
        <f>IF(A634="","",SUMIFS(mv_qty,mv_ref,A634,mv_type,"Sortie",mv_date,"&gt;="&amp;$E$1,mv_date,"&lt;="&amp;$G$1))</f>
        <v/>
      </c>
      <c r="G634" s="39" t="str">
        <f>IF(A634="","",ROUND(D634+E634-F634,6))</f>
        <v/>
      </c>
      <c r="H634" s="40" t="str">
        <f>IF(A634="","",G634*N('Articles'!G634))</f>
        <v/>
      </c>
    </row>
    <row r="635">
      <c r="A635" s="39" t="str">
        <f>IF('Articles'!A635="","",'Articles'!A635)</f>
        <v/>
      </c>
      <c r="B635" s="39" t="str">
        <f>IF(A635="","",'Articles'!B635&amp;"")</f>
        <v/>
      </c>
      <c r="C635" s="39" t="str">
        <f>IF(A635="","",'Articles'!D635&amp;"")</f>
        <v/>
      </c>
      <c r="D635" s="39" t="str">
        <f>IF(A635="","",ROUND(N('Articles'!H635)+SUMIFS(mv_qty,mv_ref,A635,mv_type,"Entrée",mv_date,"&lt;"&amp;$E$1)-SUMIFS(mv_qty,mv_ref,A635,mv_type,"Sortie",mv_date,"&lt;"&amp;$E$1),6))</f>
        <v/>
      </c>
      <c r="E635" s="39" t="str">
        <f>IF(A635="","",SUMIFS(mv_qty,mv_ref,A635,mv_type,"Entrée",mv_date,"&gt;="&amp;$E$1,mv_date,"&lt;="&amp;$G$1))</f>
        <v/>
      </c>
      <c r="F635" s="39" t="str">
        <f>IF(A635="","",SUMIFS(mv_qty,mv_ref,A635,mv_type,"Sortie",mv_date,"&gt;="&amp;$E$1,mv_date,"&lt;="&amp;$G$1))</f>
        <v/>
      </c>
      <c r="G635" s="39" t="str">
        <f>IF(A635="","",ROUND(D635+E635-F635,6))</f>
        <v/>
      </c>
      <c r="H635" s="40" t="str">
        <f>IF(A635="","",G635*N('Articles'!G635))</f>
        <v/>
      </c>
    </row>
    <row r="636">
      <c r="A636" s="39" t="str">
        <f>IF('Articles'!A636="","",'Articles'!A636)</f>
        <v/>
      </c>
      <c r="B636" s="39" t="str">
        <f>IF(A636="","",'Articles'!B636&amp;"")</f>
        <v/>
      </c>
      <c r="C636" s="39" t="str">
        <f>IF(A636="","",'Articles'!D636&amp;"")</f>
        <v/>
      </c>
      <c r="D636" s="39" t="str">
        <f>IF(A636="","",ROUND(N('Articles'!H636)+SUMIFS(mv_qty,mv_ref,A636,mv_type,"Entrée",mv_date,"&lt;"&amp;$E$1)-SUMIFS(mv_qty,mv_ref,A636,mv_type,"Sortie",mv_date,"&lt;"&amp;$E$1),6))</f>
        <v/>
      </c>
      <c r="E636" s="39" t="str">
        <f>IF(A636="","",SUMIFS(mv_qty,mv_ref,A636,mv_type,"Entrée",mv_date,"&gt;="&amp;$E$1,mv_date,"&lt;="&amp;$G$1))</f>
        <v/>
      </c>
      <c r="F636" s="39" t="str">
        <f>IF(A636="","",SUMIFS(mv_qty,mv_ref,A636,mv_type,"Sortie",mv_date,"&gt;="&amp;$E$1,mv_date,"&lt;="&amp;$G$1))</f>
        <v/>
      </c>
      <c r="G636" s="39" t="str">
        <f>IF(A636="","",ROUND(D636+E636-F636,6))</f>
        <v/>
      </c>
      <c r="H636" s="40" t="str">
        <f>IF(A636="","",G636*N('Articles'!G636))</f>
        <v/>
      </c>
    </row>
    <row r="637">
      <c r="A637" s="39" t="str">
        <f>IF('Articles'!A637="","",'Articles'!A637)</f>
        <v/>
      </c>
      <c r="B637" s="39" t="str">
        <f>IF(A637="","",'Articles'!B637&amp;"")</f>
        <v/>
      </c>
      <c r="C637" s="39" t="str">
        <f>IF(A637="","",'Articles'!D637&amp;"")</f>
        <v/>
      </c>
      <c r="D637" s="39" t="str">
        <f>IF(A637="","",ROUND(N('Articles'!H637)+SUMIFS(mv_qty,mv_ref,A637,mv_type,"Entrée",mv_date,"&lt;"&amp;$E$1)-SUMIFS(mv_qty,mv_ref,A637,mv_type,"Sortie",mv_date,"&lt;"&amp;$E$1),6))</f>
        <v/>
      </c>
      <c r="E637" s="39" t="str">
        <f>IF(A637="","",SUMIFS(mv_qty,mv_ref,A637,mv_type,"Entrée",mv_date,"&gt;="&amp;$E$1,mv_date,"&lt;="&amp;$G$1))</f>
        <v/>
      </c>
      <c r="F637" s="39" t="str">
        <f>IF(A637="","",SUMIFS(mv_qty,mv_ref,A637,mv_type,"Sortie",mv_date,"&gt;="&amp;$E$1,mv_date,"&lt;="&amp;$G$1))</f>
        <v/>
      </c>
      <c r="G637" s="39" t="str">
        <f>IF(A637="","",ROUND(D637+E637-F637,6))</f>
        <v/>
      </c>
      <c r="H637" s="40" t="str">
        <f>IF(A637="","",G637*N('Articles'!G637))</f>
        <v/>
      </c>
    </row>
    <row r="638">
      <c r="A638" s="39" t="str">
        <f>IF('Articles'!A638="","",'Articles'!A638)</f>
        <v/>
      </c>
      <c r="B638" s="39" t="str">
        <f>IF(A638="","",'Articles'!B638&amp;"")</f>
        <v/>
      </c>
      <c r="C638" s="39" t="str">
        <f>IF(A638="","",'Articles'!D638&amp;"")</f>
        <v/>
      </c>
      <c r="D638" s="39" t="str">
        <f>IF(A638="","",ROUND(N('Articles'!H638)+SUMIFS(mv_qty,mv_ref,A638,mv_type,"Entrée",mv_date,"&lt;"&amp;$E$1)-SUMIFS(mv_qty,mv_ref,A638,mv_type,"Sortie",mv_date,"&lt;"&amp;$E$1),6))</f>
        <v/>
      </c>
      <c r="E638" s="39" t="str">
        <f>IF(A638="","",SUMIFS(mv_qty,mv_ref,A638,mv_type,"Entrée",mv_date,"&gt;="&amp;$E$1,mv_date,"&lt;="&amp;$G$1))</f>
        <v/>
      </c>
      <c r="F638" s="39" t="str">
        <f>IF(A638="","",SUMIFS(mv_qty,mv_ref,A638,mv_type,"Sortie",mv_date,"&gt;="&amp;$E$1,mv_date,"&lt;="&amp;$G$1))</f>
        <v/>
      </c>
      <c r="G638" s="39" t="str">
        <f>IF(A638="","",ROUND(D638+E638-F638,6))</f>
        <v/>
      </c>
      <c r="H638" s="40" t="str">
        <f>IF(A638="","",G638*N('Articles'!G638))</f>
        <v/>
      </c>
    </row>
    <row r="639">
      <c r="A639" s="39" t="str">
        <f>IF('Articles'!A639="","",'Articles'!A639)</f>
        <v/>
      </c>
      <c r="B639" s="39" t="str">
        <f>IF(A639="","",'Articles'!B639&amp;"")</f>
        <v/>
      </c>
      <c r="C639" s="39" t="str">
        <f>IF(A639="","",'Articles'!D639&amp;"")</f>
        <v/>
      </c>
      <c r="D639" s="39" t="str">
        <f>IF(A639="","",ROUND(N('Articles'!H639)+SUMIFS(mv_qty,mv_ref,A639,mv_type,"Entrée",mv_date,"&lt;"&amp;$E$1)-SUMIFS(mv_qty,mv_ref,A639,mv_type,"Sortie",mv_date,"&lt;"&amp;$E$1),6))</f>
        <v/>
      </c>
      <c r="E639" s="39" t="str">
        <f>IF(A639="","",SUMIFS(mv_qty,mv_ref,A639,mv_type,"Entrée",mv_date,"&gt;="&amp;$E$1,mv_date,"&lt;="&amp;$G$1))</f>
        <v/>
      </c>
      <c r="F639" s="39" t="str">
        <f>IF(A639="","",SUMIFS(mv_qty,mv_ref,A639,mv_type,"Sortie",mv_date,"&gt;="&amp;$E$1,mv_date,"&lt;="&amp;$G$1))</f>
        <v/>
      </c>
      <c r="G639" s="39" t="str">
        <f>IF(A639="","",ROUND(D639+E639-F639,6))</f>
        <v/>
      </c>
      <c r="H639" s="40" t="str">
        <f>IF(A639="","",G639*N('Articles'!G639))</f>
        <v/>
      </c>
    </row>
    <row r="640">
      <c r="A640" s="39" t="str">
        <f>IF('Articles'!A640="","",'Articles'!A640)</f>
        <v/>
      </c>
      <c r="B640" s="39" t="str">
        <f>IF(A640="","",'Articles'!B640&amp;"")</f>
        <v/>
      </c>
      <c r="C640" s="39" t="str">
        <f>IF(A640="","",'Articles'!D640&amp;"")</f>
        <v/>
      </c>
      <c r="D640" s="39" t="str">
        <f>IF(A640="","",ROUND(N('Articles'!H640)+SUMIFS(mv_qty,mv_ref,A640,mv_type,"Entrée",mv_date,"&lt;"&amp;$E$1)-SUMIFS(mv_qty,mv_ref,A640,mv_type,"Sortie",mv_date,"&lt;"&amp;$E$1),6))</f>
        <v/>
      </c>
      <c r="E640" s="39" t="str">
        <f>IF(A640="","",SUMIFS(mv_qty,mv_ref,A640,mv_type,"Entrée",mv_date,"&gt;="&amp;$E$1,mv_date,"&lt;="&amp;$G$1))</f>
        <v/>
      </c>
      <c r="F640" s="39" t="str">
        <f>IF(A640="","",SUMIFS(mv_qty,mv_ref,A640,mv_type,"Sortie",mv_date,"&gt;="&amp;$E$1,mv_date,"&lt;="&amp;$G$1))</f>
        <v/>
      </c>
      <c r="G640" s="39" t="str">
        <f>IF(A640="","",ROUND(D640+E640-F640,6))</f>
        <v/>
      </c>
      <c r="H640" s="40" t="str">
        <f>IF(A640="","",G640*N('Articles'!G640))</f>
        <v/>
      </c>
    </row>
    <row r="641">
      <c r="A641" s="39" t="str">
        <f>IF('Articles'!A641="","",'Articles'!A641)</f>
        <v/>
      </c>
      <c r="B641" s="39" t="str">
        <f>IF(A641="","",'Articles'!B641&amp;"")</f>
        <v/>
      </c>
      <c r="C641" s="39" t="str">
        <f>IF(A641="","",'Articles'!D641&amp;"")</f>
        <v/>
      </c>
      <c r="D641" s="39" t="str">
        <f>IF(A641="","",ROUND(N('Articles'!H641)+SUMIFS(mv_qty,mv_ref,A641,mv_type,"Entrée",mv_date,"&lt;"&amp;$E$1)-SUMIFS(mv_qty,mv_ref,A641,mv_type,"Sortie",mv_date,"&lt;"&amp;$E$1),6))</f>
        <v/>
      </c>
      <c r="E641" s="39" t="str">
        <f>IF(A641="","",SUMIFS(mv_qty,mv_ref,A641,mv_type,"Entrée",mv_date,"&gt;="&amp;$E$1,mv_date,"&lt;="&amp;$G$1))</f>
        <v/>
      </c>
      <c r="F641" s="39" t="str">
        <f>IF(A641="","",SUMIFS(mv_qty,mv_ref,A641,mv_type,"Sortie",mv_date,"&gt;="&amp;$E$1,mv_date,"&lt;="&amp;$G$1))</f>
        <v/>
      </c>
      <c r="G641" s="39" t="str">
        <f>IF(A641="","",ROUND(D641+E641-F641,6))</f>
        <v/>
      </c>
      <c r="H641" s="40" t="str">
        <f>IF(A641="","",G641*N('Articles'!G641))</f>
        <v/>
      </c>
    </row>
    <row r="642">
      <c r="A642" s="39" t="str">
        <f>IF('Articles'!A642="","",'Articles'!A642)</f>
        <v/>
      </c>
      <c r="B642" s="39" t="str">
        <f>IF(A642="","",'Articles'!B642&amp;"")</f>
        <v/>
      </c>
      <c r="C642" s="39" t="str">
        <f>IF(A642="","",'Articles'!D642&amp;"")</f>
        <v/>
      </c>
      <c r="D642" s="39" t="str">
        <f>IF(A642="","",ROUND(N('Articles'!H642)+SUMIFS(mv_qty,mv_ref,A642,mv_type,"Entrée",mv_date,"&lt;"&amp;$E$1)-SUMIFS(mv_qty,mv_ref,A642,mv_type,"Sortie",mv_date,"&lt;"&amp;$E$1),6))</f>
        <v/>
      </c>
      <c r="E642" s="39" t="str">
        <f>IF(A642="","",SUMIFS(mv_qty,mv_ref,A642,mv_type,"Entrée",mv_date,"&gt;="&amp;$E$1,mv_date,"&lt;="&amp;$G$1))</f>
        <v/>
      </c>
      <c r="F642" s="39" t="str">
        <f>IF(A642="","",SUMIFS(mv_qty,mv_ref,A642,mv_type,"Sortie",mv_date,"&gt;="&amp;$E$1,mv_date,"&lt;="&amp;$G$1))</f>
        <v/>
      </c>
      <c r="G642" s="39" t="str">
        <f>IF(A642="","",ROUND(D642+E642-F642,6))</f>
        <v/>
      </c>
      <c r="H642" s="40" t="str">
        <f>IF(A642="","",G642*N('Articles'!G642))</f>
        <v/>
      </c>
    </row>
    <row r="643">
      <c r="A643" s="39" t="str">
        <f>IF('Articles'!A643="","",'Articles'!A643)</f>
        <v/>
      </c>
      <c r="B643" s="39" t="str">
        <f>IF(A643="","",'Articles'!B643&amp;"")</f>
        <v/>
      </c>
      <c r="C643" s="39" t="str">
        <f>IF(A643="","",'Articles'!D643&amp;"")</f>
        <v/>
      </c>
      <c r="D643" s="39" t="str">
        <f>IF(A643="","",ROUND(N('Articles'!H643)+SUMIFS(mv_qty,mv_ref,A643,mv_type,"Entrée",mv_date,"&lt;"&amp;$E$1)-SUMIFS(mv_qty,mv_ref,A643,mv_type,"Sortie",mv_date,"&lt;"&amp;$E$1),6))</f>
        <v/>
      </c>
      <c r="E643" s="39" t="str">
        <f>IF(A643="","",SUMIFS(mv_qty,mv_ref,A643,mv_type,"Entrée",mv_date,"&gt;="&amp;$E$1,mv_date,"&lt;="&amp;$G$1))</f>
        <v/>
      </c>
      <c r="F643" s="39" t="str">
        <f>IF(A643="","",SUMIFS(mv_qty,mv_ref,A643,mv_type,"Sortie",mv_date,"&gt;="&amp;$E$1,mv_date,"&lt;="&amp;$G$1))</f>
        <v/>
      </c>
      <c r="G643" s="39" t="str">
        <f>IF(A643="","",ROUND(D643+E643-F643,6))</f>
        <v/>
      </c>
      <c r="H643" s="40" t="str">
        <f>IF(A643="","",G643*N('Articles'!G643))</f>
        <v/>
      </c>
    </row>
    <row r="644">
      <c r="A644" s="39" t="str">
        <f>IF('Articles'!A644="","",'Articles'!A644)</f>
        <v/>
      </c>
      <c r="B644" s="39" t="str">
        <f>IF(A644="","",'Articles'!B644&amp;"")</f>
        <v/>
      </c>
      <c r="C644" s="39" t="str">
        <f>IF(A644="","",'Articles'!D644&amp;"")</f>
        <v/>
      </c>
      <c r="D644" s="39" t="str">
        <f>IF(A644="","",ROUND(N('Articles'!H644)+SUMIFS(mv_qty,mv_ref,A644,mv_type,"Entrée",mv_date,"&lt;"&amp;$E$1)-SUMIFS(mv_qty,mv_ref,A644,mv_type,"Sortie",mv_date,"&lt;"&amp;$E$1),6))</f>
        <v/>
      </c>
      <c r="E644" s="39" t="str">
        <f>IF(A644="","",SUMIFS(mv_qty,mv_ref,A644,mv_type,"Entrée",mv_date,"&gt;="&amp;$E$1,mv_date,"&lt;="&amp;$G$1))</f>
        <v/>
      </c>
      <c r="F644" s="39" t="str">
        <f>IF(A644="","",SUMIFS(mv_qty,mv_ref,A644,mv_type,"Sortie",mv_date,"&gt;="&amp;$E$1,mv_date,"&lt;="&amp;$G$1))</f>
        <v/>
      </c>
      <c r="G644" s="39" t="str">
        <f>IF(A644="","",ROUND(D644+E644-F644,6))</f>
        <v/>
      </c>
      <c r="H644" s="40" t="str">
        <f>IF(A644="","",G644*N('Articles'!G644))</f>
        <v/>
      </c>
    </row>
    <row r="645">
      <c r="A645" s="39" t="str">
        <f>IF('Articles'!A645="","",'Articles'!A645)</f>
        <v/>
      </c>
      <c r="B645" s="39" t="str">
        <f>IF(A645="","",'Articles'!B645&amp;"")</f>
        <v/>
      </c>
      <c r="C645" s="39" t="str">
        <f>IF(A645="","",'Articles'!D645&amp;"")</f>
        <v/>
      </c>
      <c r="D645" s="39" t="str">
        <f>IF(A645="","",ROUND(N('Articles'!H645)+SUMIFS(mv_qty,mv_ref,A645,mv_type,"Entrée",mv_date,"&lt;"&amp;$E$1)-SUMIFS(mv_qty,mv_ref,A645,mv_type,"Sortie",mv_date,"&lt;"&amp;$E$1),6))</f>
        <v/>
      </c>
      <c r="E645" s="39" t="str">
        <f>IF(A645="","",SUMIFS(mv_qty,mv_ref,A645,mv_type,"Entrée",mv_date,"&gt;="&amp;$E$1,mv_date,"&lt;="&amp;$G$1))</f>
        <v/>
      </c>
      <c r="F645" s="39" t="str">
        <f>IF(A645="","",SUMIFS(mv_qty,mv_ref,A645,mv_type,"Sortie",mv_date,"&gt;="&amp;$E$1,mv_date,"&lt;="&amp;$G$1))</f>
        <v/>
      </c>
      <c r="G645" s="39" t="str">
        <f>IF(A645="","",ROUND(D645+E645-F645,6))</f>
        <v/>
      </c>
      <c r="H645" s="40" t="str">
        <f>IF(A645="","",G645*N('Articles'!G645))</f>
        <v/>
      </c>
    </row>
    <row r="646">
      <c r="A646" s="39" t="str">
        <f>IF('Articles'!A646="","",'Articles'!A646)</f>
        <v/>
      </c>
      <c r="B646" s="39" t="str">
        <f>IF(A646="","",'Articles'!B646&amp;"")</f>
        <v/>
      </c>
      <c r="C646" s="39" t="str">
        <f>IF(A646="","",'Articles'!D646&amp;"")</f>
        <v/>
      </c>
      <c r="D646" s="39" t="str">
        <f>IF(A646="","",ROUND(N('Articles'!H646)+SUMIFS(mv_qty,mv_ref,A646,mv_type,"Entrée",mv_date,"&lt;"&amp;$E$1)-SUMIFS(mv_qty,mv_ref,A646,mv_type,"Sortie",mv_date,"&lt;"&amp;$E$1),6))</f>
        <v/>
      </c>
      <c r="E646" s="39" t="str">
        <f>IF(A646="","",SUMIFS(mv_qty,mv_ref,A646,mv_type,"Entrée",mv_date,"&gt;="&amp;$E$1,mv_date,"&lt;="&amp;$G$1))</f>
        <v/>
      </c>
      <c r="F646" s="39" t="str">
        <f>IF(A646="","",SUMIFS(mv_qty,mv_ref,A646,mv_type,"Sortie",mv_date,"&gt;="&amp;$E$1,mv_date,"&lt;="&amp;$G$1))</f>
        <v/>
      </c>
      <c r="G646" s="39" t="str">
        <f>IF(A646="","",ROUND(D646+E646-F646,6))</f>
        <v/>
      </c>
      <c r="H646" s="40" t="str">
        <f>IF(A646="","",G646*N('Articles'!G646))</f>
        <v/>
      </c>
    </row>
    <row r="647">
      <c r="A647" s="39" t="str">
        <f>IF('Articles'!A647="","",'Articles'!A647)</f>
        <v/>
      </c>
      <c r="B647" s="39" t="str">
        <f>IF(A647="","",'Articles'!B647&amp;"")</f>
        <v/>
      </c>
      <c r="C647" s="39" t="str">
        <f>IF(A647="","",'Articles'!D647&amp;"")</f>
        <v/>
      </c>
      <c r="D647" s="39" t="str">
        <f>IF(A647="","",ROUND(N('Articles'!H647)+SUMIFS(mv_qty,mv_ref,A647,mv_type,"Entrée",mv_date,"&lt;"&amp;$E$1)-SUMIFS(mv_qty,mv_ref,A647,mv_type,"Sortie",mv_date,"&lt;"&amp;$E$1),6))</f>
        <v/>
      </c>
      <c r="E647" s="39" t="str">
        <f>IF(A647="","",SUMIFS(mv_qty,mv_ref,A647,mv_type,"Entrée",mv_date,"&gt;="&amp;$E$1,mv_date,"&lt;="&amp;$G$1))</f>
        <v/>
      </c>
      <c r="F647" s="39" t="str">
        <f>IF(A647="","",SUMIFS(mv_qty,mv_ref,A647,mv_type,"Sortie",mv_date,"&gt;="&amp;$E$1,mv_date,"&lt;="&amp;$G$1))</f>
        <v/>
      </c>
      <c r="G647" s="39" t="str">
        <f>IF(A647="","",ROUND(D647+E647-F647,6))</f>
        <v/>
      </c>
      <c r="H647" s="40" t="str">
        <f>IF(A647="","",G647*N('Articles'!G647))</f>
        <v/>
      </c>
    </row>
    <row r="648">
      <c r="A648" s="39" t="str">
        <f>IF('Articles'!A648="","",'Articles'!A648)</f>
        <v/>
      </c>
      <c r="B648" s="39" t="str">
        <f>IF(A648="","",'Articles'!B648&amp;"")</f>
        <v/>
      </c>
      <c r="C648" s="39" t="str">
        <f>IF(A648="","",'Articles'!D648&amp;"")</f>
        <v/>
      </c>
      <c r="D648" s="39" t="str">
        <f>IF(A648="","",ROUND(N('Articles'!H648)+SUMIFS(mv_qty,mv_ref,A648,mv_type,"Entrée",mv_date,"&lt;"&amp;$E$1)-SUMIFS(mv_qty,mv_ref,A648,mv_type,"Sortie",mv_date,"&lt;"&amp;$E$1),6))</f>
        <v/>
      </c>
      <c r="E648" s="39" t="str">
        <f>IF(A648="","",SUMIFS(mv_qty,mv_ref,A648,mv_type,"Entrée",mv_date,"&gt;="&amp;$E$1,mv_date,"&lt;="&amp;$G$1))</f>
        <v/>
      </c>
      <c r="F648" s="39" t="str">
        <f>IF(A648="","",SUMIFS(mv_qty,mv_ref,A648,mv_type,"Sortie",mv_date,"&gt;="&amp;$E$1,mv_date,"&lt;="&amp;$G$1))</f>
        <v/>
      </c>
      <c r="G648" s="39" t="str">
        <f>IF(A648="","",ROUND(D648+E648-F648,6))</f>
        <v/>
      </c>
      <c r="H648" s="40" t="str">
        <f>IF(A648="","",G648*N('Articles'!G648))</f>
        <v/>
      </c>
    </row>
    <row r="649">
      <c r="A649" s="39" t="str">
        <f>IF('Articles'!A649="","",'Articles'!A649)</f>
        <v/>
      </c>
      <c r="B649" s="39" t="str">
        <f>IF(A649="","",'Articles'!B649&amp;"")</f>
        <v/>
      </c>
      <c r="C649" s="39" t="str">
        <f>IF(A649="","",'Articles'!D649&amp;"")</f>
        <v/>
      </c>
      <c r="D649" s="39" t="str">
        <f>IF(A649="","",ROUND(N('Articles'!H649)+SUMIFS(mv_qty,mv_ref,A649,mv_type,"Entrée",mv_date,"&lt;"&amp;$E$1)-SUMIFS(mv_qty,mv_ref,A649,mv_type,"Sortie",mv_date,"&lt;"&amp;$E$1),6))</f>
        <v/>
      </c>
      <c r="E649" s="39" t="str">
        <f>IF(A649="","",SUMIFS(mv_qty,mv_ref,A649,mv_type,"Entrée",mv_date,"&gt;="&amp;$E$1,mv_date,"&lt;="&amp;$G$1))</f>
        <v/>
      </c>
      <c r="F649" s="39" t="str">
        <f>IF(A649="","",SUMIFS(mv_qty,mv_ref,A649,mv_type,"Sortie",mv_date,"&gt;="&amp;$E$1,mv_date,"&lt;="&amp;$G$1))</f>
        <v/>
      </c>
      <c r="G649" s="39" t="str">
        <f>IF(A649="","",ROUND(D649+E649-F649,6))</f>
        <v/>
      </c>
      <c r="H649" s="40" t="str">
        <f>IF(A649="","",G649*N('Articles'!G649))</f>
        <v/>
      </c>
    </row>
    <row r="650">
      <c r="A650" s="39" t="str">
        <f>IF('Articles'!A650="","",'Articles'!A650)</f>
        <v/>
      </c>
      <c r="B650" s="39" t="str">
        <f>IF(A650="","",'Articles'!B650&amp;"")</f>
        <v/>
      </c>
      <c r="C650" s="39" t="str">
        <f>IF(A650="","",'Articles'!D650&amp;"")</f>
        <v/>
      </c>
      <c r="D650" s="39" t="str">
        <f>IF(A650="","",ROUND(N('Articles'!H650)+SUMIFS(mv_qty,mv_ref,A650,mv_type,"Entrée",mv_date,"&lt;"&amp;$E$1)-SUMIFS(mv_qty,mv_ref,A650,mv_type,"Sortie",mv_date,"&lt;"&amp;$E$1),6))</f>
        <v/>
      </c>
      <c r="E650" s="39" t="str">
        <f>IF(A650="","",SUMIFS(mv_qty,mv_ref,A650,mv_type,"Entrée",mv_date,"&gt;="&amp;$E$1,mv_date,"&lt;="&amp;$G$1))</f>
        <v/>
      </c>
      <c r="F650" s="39" t="str">
        <f>IF(A650="","",SUMIFS(mv_qty,mv_ref,A650,mv_type,"Sortie",mv_date,"&gt;="&amp;$E$1,mv_date,"&lt;="&amp;$G$1))</f>
        <v/>
      </c>
      <c r="G650" s="39" t="str">
        <f>IF(A650="","",ROUND(D650+E650-F650,6))</f>
        <v/>
      </c>
      <c r="H650" s="40" t="str">
        <f>IF(A650="","",G650*N('Articles'!G650))</f>
        <v/>
      </c>
    </row>
    <row r="651">
      <c r="A651" s="39" t="str">
        <f>IF('Articles'!A651="","",'Articles'!A651)</f>
        <v/>
      </c>
      <c r="B651" s="39" t="str">
        <f>IF(A651="","",'Articles'!B651&amp;"")</f>
        <v/>
      </c>
      <c r="C651" s="39" t="str">
        <f>IF(A651="","",'Articles'!D651&amp;"")</f>
        <v/>
      </c>
      <c r="D651" s="39" t="str">
        <f>IF(A651="","",ROUND(N('Articles'!H651)+SUMIFS(mv_qty,mv_ref,A651,mv_type,"Entrée",mv_date,"&lt;"&amp;$E$1)-SUMIFS(mv_qty,mv_ref,A651,mv_type,"Sortie",mv_date,"&lt;"&amp;$E$1),6))</f>
        <v/>
      </c>
      <c r="E651" s="39" t="str">
        <f>IF(A651="","",SUMIFS(mv_qty,mv_ref,A651,mv_type,"Entrée",mv_date,"&gt;="&amp;$E$1,mv_date,"&lt;="&amp;$G$1))</f>
        <v/>
      </c>
      <c r="F651" s="39" t="str">
        <f>IF(A651="","",SUMIFS(mv_qty,mv_ref,A651,mv_type,"Sortie",mv_date,"&gt;="&amp;$E$1,mv_date,"&lt;="&amp;$G$1))</f>
        <v/>
      </c>
      <c r="G651" s="39" t="str">
        <f>IF(A651="","",ROUND(D651+E651-F651,6))</f>
        <v/>
      </c>
      <c r="H651" s="40" t="str">
        <f>IF(A651="","",G651*N('Articles'!G651))</f>
        <v/>
      </c>
    </row>
    <row r="652">
      <c r="A652" s="39" t="str">
        <f>IF('Articles'!A652="","",'Articles'!A652)</f>
        <v/>
      </c>
      <c r="B652" s="39" t="str">
        <f>IF(A652="","",'Articles'!B652&amp;"")</f>
        <v/>
      </c>
      <c r="C652" s="39" t="str">
        <f>IF(A652="","",'Articles'!D652&amp;"")</f>
        <v/>
      </c>
      <c r="D652" s="39" t="str">
        <f>IF(A652="","",ROUND(N('Articles'!H652)+SUMIFS(mv_qty,mv_ref,A652,mv_type,"Entrée",mv_date,"&lt;"&amp;$E$1)-SUMIFS(mv_qty,mv_ref,A652,mv_type,"Sortie",mv_date,"&lt;"&amp;$E$1),6))</f>
        <v/>
      </c>
      <c r="E652" s="39" t="str">
        <f>IF(A652="","",SUMIFS(mv_qty,mv_ref,A652,mv_type,"Entrée",mv_date,"&gt;="&amp;$E$1,mv_date,"&lt;="&amp;$G$1))</f>
        <v/>
      </c>
      <c r="F652" s="39" t="str">
        <f>IF(A652="","",SUMIFS(mv_qty,mv_ref,A652,mv_type,"Sortie",mv_date,"&gt;="&amp;$E$1,mv_date,"&lt;="&amp;$G$1))</f>
        <v/>
      </c>
      <c r="G652" s="39" t="str">
        <f>IF(A652="","",ROUND(D652+E652-F652,6))</f>
        <v/>
      </c>
      <c r="H652" s="40" t="str">
        <f>IF(A652="","",G652*N('Articles'!G652))</f>
        <v/>
      </c>
    </row>
    <row r="653">
      <c r="A653" s="39" t="str">
        <f>IF('Articles'!A653="","",'Articles'!A653)</f>
        <v/>
      </c>
      <c r="B653" s="39" t="str">
        <f>IF(A653="","",'Articles'!B653&amp;"")</f>
        <v/>
      </c>
      <c r="C653" s="39" t="str">
        <f>IF(A653="","",'Articles'!D653&amp;"")</f>
        <v/>
      </c>
      <c r="D653" s="39" t="str">
        <f>IF(A653="","",ROUND(N('Articles'!H653)+SUMIFS(mv_qty,mv_ref,A653,mv_type,"Entrée",mv_date,"&lt;"&amp;$E$1)-SUMIFS(mv_qty,mv_ref,A653,mv_type,"Sortie",mv_date,"&lt;"&amp;$E$1),6))</f>
        <v/>
      </c>
      <c r="E653" s="39" t="str">
        <f>IF(A653="","",SUMIFS(mv_qty,mv_ref,A653,mv_type,"Entrée",mv_date,"&gt;="&amp;$E$1,mv_date,"&lt;="&amp;$G$1))</f>
        <v/>
      </c>
      <c r="F653" s="39" t="str">
        <f>IF(A653="","",SUMIFS(mv_qty,mv_ref,A653,mv_type,"Sortie",mv_date,"&gt;="&amp;$E$1,mv_date,"&lt;="&amp;$G$1))</f>
        <v/>
      </c>
      <c r="G653" s="39" t="str">
        <f>IF(A653="","",ROUND(D653+E653-F653,6))</f>
        <v/>
      </c>
      <c r="H653" s="40" t="str">
        <f>IF(A653="","",G653*N('Articles'!G653))</f>
        <v/>
      </c>
    </row>
    <row r="654">
      <c r="A654" s="39" t="str">
        <f>IF('Articles'!A654="","",'Articles'!A654)</f>
        <v/>
      </c>
      <c r="B654" s="39" t="str">
        <f>IF(A654="","",'Articles'!B654&amp;"")</f>
        <v/>
      </c>
      <c r="C654" s="39" t="str">
        <f>IF(A654="","",'Articles'!D654&amp;"")</f>
        <v/>
      </c>
      <c r="D654" s="39" t="str">
        <f>IF(A654="","",ROUND(N('Articles'!H654)+SUMIFS(mv_qty,mv_ref,A654,mv_type,"Entrée",mv_date,"&lt;"&amp;$E$1)-SUMIFS(mv_qty,mv_ref,A654,mv_type,"Sortie",mv_date,"&lt;"&amp;$E$1),6))</f>
        <v/>
      </c>
      <c r="E654" s="39" t="str">
        <f>IF(A654="","",SUMIFS(mv_qty,mv_ref,A654,mv_type,"Entrée",mv_date,"&gt;="&amp;$E$1,mv_date,"&lt;="&amp;$G$1))</f>
        <v/>
      </c>
      <c r="F654" s="39" t="str">
        <f>IF(A654="","",SUMIFS(mv_qty,mv_ref,A654,mv_type,"Sortie",mv_date,"&gt;="&amp;$E$1,mv_date,"&lt;="&amp;$G$1))</f>
        <v/>
      </c>
      <c r="G654" s="39" t="str">
        <f>IF(A654="","",ROUND(D654+E654-F654,6))</f>
        <v/>
      </c>
      <c r="H654" s="40" t="str">
        <f>IF(A654="","",G654*N('Articles'!G654))</f>
        <v/>
      </c>
    </row>
    <row r="655">
      <c r="A655" s="39" t="str">
        <f>IF('Articles'!A655="","",'Articles'!A655)</f>
        <v/>
      </c>
      <c r="B655" s="39" t="str">
        <f>IF(A655="","",'Articles'!B655&amp;"")</f>
        <v/>
      </c>
      <c r="C655" s="39" t="str">
        <f>IF(A655="","",'Articles'!D655&amp;"")</f>
        <v/>
      </c>
      <c r="D655" s="39" t="str">
        <f>IF(A655="","",ROUND(N('Articles'!H655)+SUMIFS(mv_qty,mv_ref,A655,mv_type,"Entrée",mv_date,"&lt;"&amp;$E$1)-SUMIFS(mv_qty,mv_ref,A655,mv_type,"Sortie",mv_date,"&lt;"&amp;$E$1),6))</f>
        <v/>
      </c>
      <c r="E655" s="39" t="str">
        <f>IF(A655="","",SUMIFS(mv_qty,mv_ref,A655,mv_type,"Entrée",mv_date,"&gt;="&amp;$E$1,mv_date,"&lt;="&amp;$G$1))</f>
        <v/>
      </c>
      <c r="F655" s="39" t="str">
        <f>IF(A655="","",SUMIFS(mv_qty,mv_ref,A655,mv_type,"Sortie",mv_date,"&gt;="&amp;$E$1,mv_date,"&lt;="&amp;$G$1))</f>
        <v/>
      </c>
      <c r="G655" s="39" t="str">
        <f>IF(A655="","",ROUND(D655+E655-F655,6))</f>
        <v/>
      </c>
      <c r="H655" s="40" t="str">
        <f>IF(A655="","",G655*N('Articles'!G655))</f>
        <v/>
      </c>
    </row>
    <row r="656">
      <c r="A656" s="39" t="str">
        <f>IF('Articles'!A656="","",'Articles'!A656)</f>
        <v/>
      </c>
      <c r="B656" s="39" t="str">
        <f>IF(A656="","",'Articles'!B656&amp;"")</f>
        <v/>
      </c>
      <c r="C656" s="39" t="str">
        <f>IF(A656="","",'Articles'!D656&amp;"")</f>
        <v/>
      </c>
      <c r="D656" s="39" t="str">
        <f>IF(A656="","",ROUND(N('Articles'!H656)+SUMIFS(mv_qty,mv_ref,A656,mv_type,"Entrée",mv_date,"&lt;"&amp;$E$1)-SUMIFS(mv_qty,mv_ref,A656,mv_type,"Sortie",mv_date,"&lt;"&amp;$E$1),6))</f>
        <v/>
      </c>
      <c r="E656" s="39" t="str">
        <f>IF(A656="","",SUMIFS(mv_qty,mv_ref,A656,mv_type,"Entrée",mv_date,"&gt;="&amp;$E$1,mv_date,"&lt;="&amp;$G$1))</f>
        <v/>
      </c>
      <c r="F656" s="39" t="str">
        <f>IF(A656="","",SUMIFS(mv_qty,mv_ref,A656,mv_type,"Sortie",mv_date,"&gt;="&amp;$E$1,mv_date,"&lt;="&amp;$G$1))</f>
        <v/>
      </c>
      <c r="G656" s="39" t="str">
        <f>IF(A656="","",ROUND(D656+E656-F656,6))</f>
        <v/>
      </c>
      <c r="H656" s="40" t="str">
        <f>IF(A656="","",G656*N('Articles'!G656))</f>
        <v/>
      </c>
    </row>
    <row r="657">
      <c r="A657" s="39" t="str">
        <f>IF('Articles'!A657="","",'Articles'!A657)</f>
        <v/>
      </c>
      <c r="B657" s="39" t="str">
        <f>IF(A657="","",'Articles'!B657&amp;"")</f>
        <v/>
      </c>
      <c r="C657" s="39" t="str">
        <f>IF(A657="","",'Articles'!D657&amp;"")</f>
        <v/>
      </c>
      <c r="D657" s="39" t="str">
        <f>IF(A657="","",ROUND(N('Articles'!H657)+SUMIFS(mv_qty,mv_ref,A657,mv_type,"Entrée",mv_date,"&lt;"&amp;$E$1)-SUMIFS(mv_qty,mv_ref,A657,mv_type,"Sortie",mv_date,"&lt;"&amp;$E$1),6))</f>
        <v/>
      </c>
      <c r="E657" s="39" t="str">
        <f>IF(A657="","",SUMIFS(mv_qty,mv_ref,A657,mv_type,"Entrée",mv_date,"&gt;="&amp;$E$1,mv_date,"&lt;="&amp;$G$1))</f>
        <v/>
      </c>
      <c r="F657" s="39" t="str">
        <f>IF(A657="","",SUMIFS(mv_qty,mv_ref,A657,mv_type,"Sortie",mv_date,"&gt;="&amp;$E$1,mv_date,"&lt;="&amp;$G$1))</f>
        <v/>
      </c>
      <c r="G657" s="39" t="str">
        <f>IF(A657="","",ROUND(D657+E657-F657,6))</f>
        <v/>
      </c>
      <c r="H657" s="40" t="str">
        <f>IF(A657="","",G657*N('Articles'!G657))</f>
        <v/>
      </c>
    </row>
    <row r="658">
      <c r="A658" s="39" t="str">
        <f>IF('Articles'!A658="","",'Articles'!A658)</f>
        <v/>
      </c>
      <c r="B658" s="39" t="str">
        <f>IF(A658="","",'Articles'!B658&amp;"")</f>
        <v/>
      </c>
      <c r="C658" s="39" t="str">
        <f>IF(A658="","",'Articles'!D658&amp;"")</f>
        <v/>
      </c>
      <c r="D658" s="39" t="str">
        <f>IF(A658="","",ROUND(N('Articles'!H658)+SUMIFS(mv_qty,mv_ref,A658,mv_type,"Entrée",mv_date,"&lt;"&amp;$E$1)-SUMIFS(mv_qty,mv_ref,A658,mv_type,"Sortie",mv_date,"&lt;"&amp;$E$1),6))</f>
        <v/>
      </c>
      <c r="E658" s="39" t="str">
        <f>IF(A658="","",SUMIFS(mv_qty,mv_ref,A658,mv_type,"Entrée",mv_date,"&gt;="&amp;$E$1,mv_date,"&lt;="&amp;$G$1))</f>
        <v/>
      </c>
      <c r="F658" s="39" t="str">
        <f>IF(A658="","",SUMIFS(mv_qty,mv_ref,A658,mv_type,"Sortie",mv_date,"&gt;="&amp;$E$1,mv_date,"&lt;="&amp;$G$1))</f>
        <v/>
      </c>
      <c r="G658" s="39" t="str">
        <f>IF(A658="","",ROUND(D658+E658-F658,6))</f>
        <v/>
      </c>
      <c r="H658" s="40" t="str">
        <f>IF(A658="","",G658*N('Articles'!G658))</f>
        <v/>
      </c>
    </row>
    <row r="659">
      <c r="A659" s="39" t="str">
        <f>IF('Articles'!A659="","",'Articles'!A659)</f>
        <v/>
      </c>
      <c r="B659" s="39" t="str">
        <f>IF(A659="","",'Articles'!B659&amp;"")</f>
        <v/>
      </c>
      <c r="C659" s="39" t="str">
        <f>IF(A659="","",'Articles'!D659&amp;"")</f>
        <v/>
      </c>
      <c r="D659" s="39" t="str">
        <f>IF(A659="","",ROUND(N('Articles'!H659)+SUMIFS(mv_qty,mv_ref,A659,mv_type,"Entrée",mv_date,"&lt;"&amp;$E$1)-SUMIFS(mv_qty,mv_ref,A659,mv_type,"Sortie",mv_date,"&lt;"&amp;$E$1),6))</f>
        <v/>
      </c>
      <c r="E659" s="39" t="str">
        <f>IF(A659="","",SUMIFS(mv_qty,mv_ref,A659,mv_type,"Entrée",mv_date,"&gt;="&amp;$E$1,mv_date,"&lt;="&amp;$G$1))</f>
        <v/>
      </c>
      <c r="F659" s="39" t="str">
        <f>IF(A659="","",SUMIFS(mv_qty,mv_ref,A659,mv_type,"Sortie",mv_date,"&gt;="&amp;$E$1,mv_date,"&lt;="&amp;$G$1))</f>
        <v/>
      </c>
      <c r="G659" s="39" t="str">
        <f>IF(A659="","",ROUND(D659+E659-F659,6))</f>
        <v/>
      </c>
      <c r="H659" s="40" t="str">
        <f>IF(A659="","",G659*N('Articles'!G659))</f>
        <v/>
      </c>
    </row>
    <row r="660">
      <c r="A660" s="39" t="str">
        <f>IF('Articles'!A660="","",'Articles'!A660)</f>
        <v/>
      </c>
      <c r="B660" s="39" t="str">
        <f>IF(A660="","",'Articles'!B660&amp;"")</f>
        <v/>
      </c>
      <c r="C660" s="39" t="str">
        <f>IF(A660="","",'Articles'!D660&amp;"")</f>
        <v/>
      </c>
      <c r="D660" s="39" t="str">
        <f>IF(A660="","",ROUND(N('Articles'!H660)+SUMIFS(mv_qty,mv_ref,A660,mv_type,"Entrée",mv_date,"&lt;"&amp;$E$1)-SUMIFS(mv_qty,mv_ref,A660,mv_type,"Sortie",mv_date,"&lt;"&amp;$E$1),6))</f>
        <v/>
      </c>
      <c r="E660" s="39" t="str">
        <f>IF(A660="","",SUMIFS(mv_qty,mv_ref,A660,mv_type,"Entrée",mv_date,"&gt;="&amp;$E$1,mv_date,"&lt;="&amp;$G$1))</f>
        <v/>
      </c>
      <c r="F660" s="39" t="str">
        <f>IF(A660="","",SUMIFS(mv_qty,mv_ref,A660,mv_type,"Sortie",mv_date,"&gt;="&amp;$E$1,mv_date,"&lt;="&amp;$G$1))</f>
        <v/>
      </c>
      <c r="G660" s="39" t="str">
        <f>IF(A660="","",ROUND(D660+E660-F660,6))</f>
        <v/>
      </c>
      <c r="H660" s="40" t="str">
        <f>IF(A660="","",G660*N('Articles'!G660))</f>
        <v/>
      </c>
    </row>
    <row r="661">
      <c r="A661" s="39" t="str">
        <f>IF('Articles'!A661="","",'Articles'!A661)</f>
        <v/>
      </c>
      <c r="B661" s="39" t="str">
        <f>IF(A661="","",'Articles'!B661&amp;"")</f>
        <v/>
      </c>
      <c r="C661" s="39" t="str">
        <f>IF(A661="","",'Articles'!D661&amp;"")</f>
        <v/>
      </c>
      <c r="D661" s="39" t="str">
        <f>IF(A661="","",ROUND(N('Articles'!H661)+SUMIFS(mv_qty,mv_ref,A661,mv_type,"Entrée",mv_date,"&lt;"&amp;$E$1)-SUMIFS(mv_qty,mv_ref,A661,mv_type,"Sortie",mv_date,"&lt;"&amp;$E$1),6))</f>
        <v/>
      </c>
      <c r="E661" s="39" t="str">
        <f>IF(A661="","",SUMIFS(mv_qty,mv_ref,A661,mv_type,"Entrée",mv_date,"&gt;="&amp;$E$1,mv_date,"&lt;="&amp;$G$1))</f>
        <v/>
      </c>
      <c r="F661" s="39" t="str">
        <f>IF(A661="","",SUMIFS(mv_qty,mv_ref,A661,mv_type,"Sortie",mv_date,"&gt;="&amp;$E$1,mv_date,"&lt;="&amp;$G$1))</f>
        <v/>
      </c>
      <c r="G661" s="39" t="str">
        <f>IF(A661="","",ROUND(D661+E661-F661,6))</f>
        <v/>
      </c>
      <c r="H661" s="40" t="str">
        <f>IF(A661="","",G661*N('Articles'!G661))</f>
        <v/>
      </c>
    </row>
    <row r="662">
      <c r="A662" s="39" t="str">
        <f>IF('Articles'!A662="","",'Articles'!A662)</f>
        <v/>
      </c>
      <c r="B662" s="39" t="str">
        <f>IF(A662="","",'Articles'!B662&amp;"")</f>
        <v/>
      </c>
      <c r="C662" s="39" t="str">
        <f>IF(A662="","",'Articles'!D662&amp;"")</f>
        <v/>
      </c>
      <c r="D662" s="39" t="str">
        <f>IF(A662="","",ROUND(N('Articles'!H662)+SUMIFS(mv_qty,mv_ref,A662,mv_type,"Entrée",mv_date,"&lt;"&amp;$E$1)-SUMIFS(mv_qty,mv_ref,A662,mv_type,"Sortie",mv_date,"&lt;"&amp;$E$1),6))</f>
        <v/>
      </c>
      <c r="E662" s="39" t="str">
        <f>IF(A662="","",SUMIFS(mv_qty,mv_ref,A662,mv_type,"Entrée",mv_date,"&gt;="&amp;$E$1,mv_date,"&lt;="&amp;$G$1))</f>
        <v/>
      </c>
      <c r="F662" s="39" t="str">
        <f>IF(A662="","",SUMIFS(mv_qty,mv_ref,A662,mv_type,"Sortie",mv_date,"&gt;="&amp;$E$1,mv_date,"&lt;="&amp;$G$1))</f>
        <v/>
      </c>
      <c r="G662" s="39" t="str">
        <f>IF(A662="","",ROUND(D662+E662-F662,6))</f>
        <v/>
      </c>
      <c r="H662" s="40" t="str">
        <f>IF(A662="","",G662*N('Articles'!G662))</f>
        <v/>
      </c>
    </row>
    <row r="663">
      <c r="A663" s="39" t="str">
        <f>IF('Articles'!A663="","",'Articles'!A663)</f>
        <v/>
      </c>
      <c r="B663" s="39" t="str">
        <f>IF(A663="","",'Articles'!B663&amp;"")</f>
        <v/>
      </c>
      <c r="C663" s="39" t="str">
        <f>IF(A663="","",'Articles'!D663&amp;"")</f>
        <v/>
      </c>
      <c r="D663" s="39" t="str">
        <f>IF(A663="","",ROUND(N('Articles'!H663)+SUMIFS(mv_qty,mv_ref,A663,mv_type,"Entrée",mv_date,"&lt;"&amp;$E$1)-SUMIFS(mv_qty,mv_ref,A663,mv_type,"Sortie",mv_date,"&lt;"&amp;$E$1),6))</f>
        <v/>
      </c>
      <c r="E663" s="39" t="str">
        <f>IF(A663="","",SUMIFS(mv_qty,mv_ref,A663,mv_type,"Entrée",mv_date,"&gt;="&amp;$E$1,mv_date,"&lt;="&amp;$G$1))</f>
        <v/>
      </c>
      <c r="F663" s="39" t="str">
        <f>IF(A663="","",SUMIFS(mv_qty,mv_ref,A663,mv_type,"Sortie",mv_date,"&gt;="&amp;$E$1,mv_date,"&lt;="&amp;$G$1))</f>
        <v/>
      </c>
      <c r="G663" s="39" t="str">
        <f>IF(A663="","",ROUND(D663+E663-F663,6))</f>
        <v/>
      </c>
      <c r="H663" s="40" t="str">
        <f>IF(A663="","",G663*N('Articles'!G663))</f>
        <v/>
      </c>
    </row>
    <row r="664">
      <c r="A664" s="39" t="str">
        <f>IF('Articles'!A664="","",'Articles'!A664)</f>
        <v/>
      </c>
      <c r="B664" s="39" t="str">
        <f>IF(A664="","",'Articles'!B664&amp;"")</f>
        <v/>
      </c>
      <c r="C664" s="39" t="str">
        <f>IF(A664="","",'Articles'!D664&amp;"")</f>
        <v/>
      </c>
      <c r="D664" s="39" t="str">
        <f>IF(A664="","",ROUND(N('Articles'!H664)+SUMIFS(mv_qty,mv_ref,A664,mv_type,"Entrée",mv_date,"&lt;"&amp;$E$1)-SUMIFS(mv_qty,mv_ref,A664,mv_type,"Sortie",mv_date,"&lt;"&amp;$E$1),6))</f>
        <v/>
      </c>
      <c r="E664" s="39" t="str">
        <f>IF(A664="","",SUMIFS(mv_qty,mv_ref,A664,mv_type,"Entrée",mv_date,"&gt;="&amp;$E$1,mv_date,"&lt;="&amp;$G$1))</f>
        <v/>
      </c>
      <c r="F664" s="39" t="str">
        <f>IF(A664="","",SUMIFS(mv_qty,mv_ref,A664,mv_type,"Sortie",mv_date,"&gt;="&amp;$E$1,mv_date,"&lt;="&amp;$G$1))</f>
        <v/>
      </c>
      <c r="G664" s="39" t="str">
        <f>IF(A664="","",ROUND(D664+E664-F664,6))</f>
        <v/>
      </c>
      <c r="H664" s="40" t="str">
        <f>IF(A664="","",G664*N('Articles'!G664))</f>
        <v/>
      </c>
    </row>
    <row r="665">
      <c r="A665" s="39" t="str">
        <f>IF('Articles'!A665="","",'Articles'!A665)</f>
        <v/>
      </c>
      <c r="B665" s="39" t="str">
        <f>IF(A665="","",'Articles'!B665&amp;"")</f>
        <v/>
      </c>
      <c r="C665" s="39" t="str">
        <f>IF(A665="","",'Articles'!D665&amp;"")</f>
        <v/>
      </c>
      <c r="D665" s="39" t="str">
        <f>IF(A665="","",ROUND(N('Articles'!H665)+SUMIFS(mv_qty,mv_ref,A665,mv_type,"Entrée",mv_date,"&lt;"&amp;$E$1)-SUMIFS(mv_qty,mv_ref,A665,mv_type,"Sortie",mv_date,"&lt;"&amp;$E$1),6))</f>
        <v/>
      </c>
      <c r="E665" s="39" t="str">
        <f>IF(A665="","",SUMIFS(mv_qty,mv_ref,A665,mv_type,"Entrée",mv_date,"&gt;="&amp;$E$1,mv_date,"&lt;="&amp;$G$1))</f>
        <v/>
      </c>
      <c r="F665" s="39" t="str">
        <f>IF(A665="","",SUMIFS(mv_qty,mv_ref,A665,mv_type,"Sortie",mv_date,"&gt;="&amp;$E$1,mv_date,"&lt;="&amp;$G$1))</f>
        <v/>
      </c>
      <c r="G665" s="39" t="str">
        <f>IF(A665="","",ROUND(D665+E665-F665,6))</f>
        <v/>
      </c>
      <c r="H665" s="40" t="str">
        <f>IF(A665="","",G665*N('Articles'!G665))</f>
        <v/>
      </c>
    </row>
    <row r="666">
      <c r="A666" s="39" t="str">
        <f>IF('Articles'!A666="","",'Articles'!A666)</f>
        <v/>
      </c>
      <c r="B666" s="39" t="str">
        <f>IF(A666="","",'Articles'!B666&amp;"")</f>
        <v/>
      </c>
      <c r="C666" s="39" t="str">
        <f>IF(A666="","",'Articles'!D666&amp;"")</f>
        <v/>
      </c>
      <c r="D666" s="39" t="str">
        <f>IF(A666="","",ROUND(N('Articles'!H666)+SUMIFS(mv_qty,mv_ref,A666,mv_type,"Entrée",mv_date,"&lt;"&amp;$E$1)-SUMIFS(mv_qty,mv_ref,A666,mv_type,"Sortie",mv_date,"&lt;"&amp;$E$1),6))</f>
        <v/>
      </c>
      <c r="E666" s="39" t="str">
        <f>IF(A666="","",SUMIFS(mv_qty,mv_ref,A666,mv_type,"Entrée",mv_date,"&gt;="&amp;$E$1,mv_date,"&lt;="&amp;$G$1))</f>
        <v/>
      </c>
      <c r="F666" s="39" t="str">
        <f>IF(A666="","",SUMIFS(mv_qty,mv_ref,A666,mv_type,"Sortie",mv_date,"&gt;="&amp;$E$1,mv_date,"&lt;="&amp;$G$1))</f>
        <v/>
      </c>
      <c r="G666" s="39" t="str">
        <f>IF(A666="","",ROUND(D666+E666-F666,6))</f>
        <v/>
      </c>
      <c r="H666" s="40" t="str">
        <f>IF(A666="","",G666*N('Articles'!G666))</f>
        <v/>
      </c>
    </row>
    <row r="667">
      <c r="A667" s="39" t="str">
        <f>IF('Articles'!A667="","",'Articles'!A667)</f>
        <v/>
      </c>
      <c r="B667" s="39" t="str">
        <f>IF(A667="","",'Articles'!B667&amp;"")</f>
        <v/>
      </c>
      <c r="C667" s="39" t="str">
        <f>IF(A667="","",'Articles'!D667&amp;"")</f>
        <v/>
      </c>
      <c r="D667" s="39" t="str">
        <f>IF(A667="","",ROUND(N('Articles'!H667)+SUMIFS(mv_qty,mv_ref,A667,mv_type,"Entrée",mv_date,"&lt;"&amp;$E$1)-SUMIFS(mv_qty,mv_ref,A667,mv_type,"Sortie",mv_date,"&lt;"&amp;$E$1),6))</f>
        <v/>
      </c>
      <c r="E667" s="39" t="str">
        <f>IF(A667="","",SUMIFS(mv_qty,mv_ref,A667,mv_type,"Entrée",mv_date,"&gt;="&amp;$E$1,mv_date,"&lt;="&amp;$G$1))</f>
        <v/>
      </c>
      <c r="F667" s="39" t="str">
        <f>IF(A667="","",SUMIFS(mv_qty,mv_ref,A667,mv_type,"Sortie",mv_date,"&gt;="&amp;$E$1,mv_date,"&lt;="&amp;$G$1))</f>
        <v/>
      </c>
      <c r="G667" s="39" t="str">
        <f>IF(A667="","",ROUND(D667+E667-F667,6))</f>
        <v/>
      </c>
      <c r="H667" s="40" t="str">
        <f>IF(A667="","",G667*N('Articles'!G667))</f>
        <v/>
      </c>
    </row>
    <row r="668">
      <c r="A668" s="39" t="str">
        <f>IF('Articles'!A668="","",'Articles'!A668)</f>
        <v/>
      </c>
      <c r="B668" s="39" t="str">
        <f>IF(A668="","",'Articles'!B668&amp;"")</f>
        <v/>
      </c>
      <c r="C668" s="39" t="str">
        <f>IF(A668="","",'Articles'!D668&amp;"")</f>
        <v/>
      </c>
      <c r="D668" s="39" t="str">
        <f>IF(A668="","",ROUND(N('Articles'!H668)+SUMIFS(mv_qty,mv_ref,A668,mv_type,"Entrée",mv_date,"&lt;"&amp;$E$1)-SUMIFS(mv_qty,mv_ref,A668,mv_type,"Sortie",mv_date,"&lt;"&amp;$E$1),6))</f>
        <v/>
      </c>
      <c r="E668" s="39" t="str">
        <f>IF(A668="","",SUMIFS(mv_qty,mv_ref,A668,mv_type,"Entrée",mv_date,"&gt;="&amp;$E$1,mv_date,"&lt;="&amp;$G$1))</f>
        <v/>
      </c>
      <c r="F668" s="39" t="str">
        <f>IF(A668="","",SUMIFS(mv_qty,mv_ref,A668,mv_type,"Sortie",mv_date,"&gt;="&amp;$E$1,mv_date,"&lt;="&amp;$G$1))</f>
        <v/>
      </c>
      <c r="G668" s="39" t="str">
        <f>IF(A668="","",ROUND(D668+E668-F668,6))</f>
        <v/>
      </c>
      <c r="H668" s="40" t="str">
        <f>IF(A668="","",G668*N('Articles'!G668))</f>
        <v/>
      </c>
    </row>
    <row r="669">
      <c r="A669" s="39" t="str">
        <f>IF('Articles'!A669="","",'Articles'!A669)</f>
        <v/>
      </c>
      <c r="B669" s="39" t="str">
        <f>IF(A669="","",'Articles'!B669&amp;"")</f>
        <v/>
      </c>
      <c r="C669" s="39" t="str">
        <f>IF(A669="","",'Articles'!D669&amp;"")</f>
        <v/>
      </c>
      <c r="D669" s="39" t="str">
        <f>IF(A669="","",ROUND(N('Articles'!H669)+SUMIFS(mv_qty,mv_ref,A669,mv_type,"Entrée",mv_date,"&lt;"&amp;$E$1)-SUMIFS(mv_qty,mv_ref,A669,mv_type,"Sortie",mv_date,"&lt;"&amp;$E$1),6))</f>
        <v/>
      </c>
      <c r="E669" s="39" t="str">
        <f>IF(A669="","",SUMIFS(mv_qty,mv_ref,A669,mv_type,"Entrée",mv_date,"&gt;="&amp;$E$1,mv_date,"&lt;="&amp;$G$1))</f>
        <v/>
      </c>
      <c r="F669" s="39" t="str">
        <f>IF(A669="","",SUMIFS(mv_qty,mv_ref,A669,mv_type,"Sortie",mv_date,"&gt;="&amp;$E$1,mv_date,"&lt;="&amp;$G$1))</f>
        <v/>
      </c>
      <c r="G669" s="39" t="str">
        <f>IF(A669="","",ROUND(D669+E669-F669,6))</f>
        <v/>
      </c>
      <c r="H669" s="40" t="str">
        <f>IF(A669="","",G669*N('Articles'!G669))</f>
        <v/>
      </c>
    </row>
    <row r="670">
      <c r="A670" s="39" t="str">
        <f>IF('Articles'!A670="","",'Articles'!A670)</f>
        <v/>
      </c>
      <c r="B670" s="39" t="str">
        <f>IF(A670="","",'Articles'!B670&amp;"")</f>
        <v/>
      </c>
      <c r="C670" s="39" t="str">
        <f>IF(A670="","",'Articles'!D670&amp;"")</f>
        <v/>
      </c>
      <c r="D670" s="39" t="str">
        <f>IF(A670="","",ROUND(N('Articles'!H670)+SUMIFS(mv_qty,mv_ref,A670,mv_type,"Entrée",mv_date,"&lt;"&amp;$E$1)-SUMIFS(mv_qty,mv_ref,A670,mv_type,"Sortie",mv_date,"&lt;"&amp;$E$1),6))</f>
        <v/>
      </c>
      <c r="E670" s="39" t="str">
        <f>IF(A670="","",SUMIFS(mv_qty,mv_ref,A670,mv_type,"Entrée",mv_date,"&gt;="&amp;$E$1,mv_date,"&lt;="&amp;$G$1))</f>
        <v/>
      </c>
      <c r="F670" s="39" t="str">
        <f>IF(A670="","",SUMIFS(mv_qty,mv_ref,A670,mv_type,"Sortie",mv_date,"&gt;="&amp;$E$1,mv_date,"&lt;="&amp;$G$1))</f>
        <v/>
      </c>
      <c r="G670" s="39" t="str">
        <f>IF(A670="","",ROUND(D670+E670-F670,6))</f>
        <v/>
      </c>
      <c r="H670" s="40" t="str">
        <f>IF(A670="","",G670*N('Articles'!G670))</f>
        <v/>
      </c>
    </row>
    <row r="671">
      <c r="A671" s="39" t="str">
        <f>IF('Articles'!A671="","",'Articles'!A671)</f>
        <v/>
      </c>
      <c r="B671" s="39" t="str">
        <f>IF(A671="","",'Articles'!B671&amp;"")</f>
        <v/>
      </c>
      <c r="C671" s="39" t="str">
        <f>IF(A671="","",'Articles'!D671&amp;"")</f>
        <v/>
      </c>
      <c r="D671" s="39" t="str">
        <f>IF(A671="","",ROUND(N('Articles'!H671)+SUMIFS(mv_qty,mv_ref,A671,mv_type,"Entrée",mv_date,"&lt;"&amp;$E$1)-SUMIFS(mv_qty,mv_ref,A671,mv_type,"Sortie",mv_date,"&lt;"&amp;$E$1),6))</f>
        <v/>
      </c>
      <c r="E671" s="39" t="str">
        <f>IF(A671="","",SUMIFS(mv_qty,mv_ref,A671,mv_type,"Entrée",mv_date,"&gt;="&amp;$E$1,mv_date,"&lt;="&amp;$G$1))</f>
        <v/>
      </c>
      <c r="F671" s="39" t="str">
        <f>IF(A671="","",SUMIFS(mv_qty,mv_ref,A671,mv_type,"Sortie",mv_date,"&gt;="&amp;$E$1,mv_date,"&lt;="&amp;$G$1))</f>
        <v/>
      </c>
      <c r="G671" s="39" t="str">
        <f>IF(A671="","",ROUND(D671+E671-F671,6))</f>
        <v/>
      </c>
      <c r="H671" s="40" t="str">
        <f>IF(A671="","",G671*N('Articles'!G671))</f>
        <v/>
      </c>
    </row>
    <row r="672">
      <c r="A672" s="39" t="str">
        <f>IF('Articles'!A672="","",'Articles'!A672)</f>
        <v/>
      </c>
      <c r="B672" s="39" t="str">
        <f>IF(A672="","",'Articles'!B672&amp;"")</f>
        <v/>
      </c>
      <c r="C672" s="39" t="str">
        <f>IF(A672="","",'Articles'!D672&amp;"")</f>
        <v/>
      </c>
      <c r="D672" s="39" t="str">
        <f>IF(A672="","",ROUND(N('Articles'!H672)+SUMIFS(mv_qty,mv_ref,A672,mv_type,"Entrée",mv_date,"&lt;"&amp;$E$1)-SUMIFS(mv_qty,mv_ref,A672,mv_type,"Sortie",mv_date,"&lt;"&amp;$E$1),6))</f>
        <v/>
      </c>
      <c r="E672" s="39" t="str">
        <f>IF(A672="","",SUMIFS(mv_qty,mv_ref,A672,mv_type,"Entrée",mv_date,"&gt;="&amp;$E$1,mv_date,"&lt;="&amp;$G$1))</f>
        <v/>
      </c>
      <c r="F672" s="39" t="str">
        <f>IF(A672="","",SUMIFS(mv_qty,mv_ref,A672,mv_type,"Sortie",mv_date,"&gt;="&amp;$E$1,mv_date,"&lt;="&amp;$G$1))</f>
        <v/>
      </c>
      <c r="G672" s="39" t="str">
        <f>IF(A672="","",ROUND(D672+E672-F672,6))</f>
        <v/>
      </c>
      <c r="H672" s="40" t="str">
        <f>IF(A672="","",G672*N('Articles'!G672))</f>
        <v/>
      </c>
    </row>
    <row r="673">
      <c r="A673" s="39" t="str">
        <f>IF('Articles'!A673="","",'Articles'!A673)</f>
        <v/>
      </c>
      <c r="B673" s="39" t="str">
        <f>IF(A673="","",'Articles'!B673&amp;"")</f>
        <v/>
      </c>
      <c r="C673" s="39" t="str">
        <f>IF(A673="","",'Articles'!D673&amp;"")</f>
        <v/>
      </c>
      <c r="D673" s="39" t="str">
        <f>IF(A673="","",ROUND(N('Articles'!H673)+SUMIFS(mv_qty,mv_ref,A673,mv_type,"Entrée",mv_date,"&lt;"&amp;$E$1)-SUMIFS(mv_qty,mv_ref,A673,mv_type,"Sortie",mv_date,"&lt;"&amp;$E$1),6))</f>
        <v/>
      </c>
      <c r="E673" s="39" t="str">
        <f>IF(A673="","",SUMIFS(mv_qty,mv_ref,A673,mv_type,"Entrée",mv_date,"&gt;="&amp;$E$1,mv_date,"&lt;="&amp;$G$1))</f>
        <v/>
      </c>
      <c r="F673" s="39" t="str">
        <f>IF(A673="","",SUMIFS(mv_qty,mv_ref,A673,mv_type,"Sortie",mv_date,"&gt;="&amp;$E$1,mv_date,"&lt;="&amp;$G$1))</f>
        <v/>
      </c>
      <c r="G673" s="39" t="str">
        <f>IF(A673="","",ROUND(D673+E673-F673,6))</f>
        <v/>
      </c>
      <c r="H673" s="40" t="str">
        <f>IF(A673="","",G673*N('Articles'!G673))</f>
        <v/>
      </c>
    </row>
    <row r="674">
      <c r="A674" s="39" t="str">
        <f>IF('Articles'!A674="","",'Articles'!A674)</f>
        <v/>
      </c>
      <c r="B674" s="39" t="str">
        <f>IF(A674="","",'Articles'!B674&amp;"")</f>
        <v/>
      </c>
      <c r="C674" s="39" t="str">
        <f>IF(A674="","",'Articles'!D674&amp;"")</f>
        <v/>
      </c>
      <c r="D674" s="39" t="str">
        <f>IF(A674="","",ROUND(N('Articles'!H674)+SUMIFS(mv_qty,mv_ref,A674,mv_type,"Entrée",mv_date,"&lt;"&amp;$E$1)-SUMIFS(mv_qty,mv_ref,A674,mv_type,"Sortie",mv_date,"&lt;"&amp;$E$1),6))</f>
        <v/>
      </c>
      <c r="E674" s="39" t="str">
        <f>IF(A674="","",SUMIFS(mv_qty,mv_ref,A674,mv_type,"Entrée",mv_date,"&gt;="&amp;$E$1,mv_date,"&lt;="&amp;$G$1))</f>
        <v/>
      </c>
      <c r="F674" s="39" t="str">
        <f>IF(A674="","",SUMIFS(mv_qty,mv_ref,A674,mv_type,"Sortie",mv_date,"&gt;="&amp;$E$1,mv_date,"&lt;="&amp;$G$1))</f>
        <v/>
      </c>
      <c r="G674" s="39" t="str">
        <f>IF(A674="","",ROUND(D674+E674-F674,6))</f>
        <v/>
      </c>
      <c r="H674" s="40" t="str">
        <f>IF(A674="","",G674*N('Articles'!G674))</f>
        <v/>
      </c>
    </row>
    <row r="675">
      <c r="A675" s="39" t="str">
        <f>IF('Articles'!A675="","",'Articles'!A675)</f>
        <v/>
      </c>
      <c r="B675" s="39" t="str">
        <f>IF(A675="","",'Articles'!B675&amp;"")</f>
        <v/>
      </c>
      <c r="C675" s="39" t="str">
        <f>IF(A675="","",'Articles'!D675&amp;"")</f>
        <v/>
      </c>
      <c r="D675" s="39" t="str">
        <f>IF(A675="","",ROUND(N('Articles'!H675)+SUMIFS(mv_qty,mv_ref,A675,mv_type,"Entrée",mv_date,"&lt;"&amp;$E$1)-SUMIFS(mv_qty,mv_ref,A675,mv_type,"Sortie",mv_date,"&lt;"&amp;$E$1),6))</f>
        <v/>
      </c>
      <c r="E675" s="39" t="str">
        <f>IF(A675="","",SUMIFS(mv_qty,mv_ref,A675,mv_type,"Entrée",mv_date,"&gt;="&amp;$E$1,mv_date,"&lt;="&amp;$G$1))</f>
        <v/>
      </c>
      <c r="F675" s="39" t="str">
        <f>IF(A675="","",SUMIFS(mv_qty,mv_ref,A675,mv_type,"Sortie",mv_date,"&gt;="&amp;$E$1,mv_date,"&lt;="&amp;$G$1))</f>
        <v/>
      </c>
      <c r="G675" s="39" t="str">
        <f>IF(A675="","",ROUND(D675+E675-F675,6))</f>
        <v/>
      </c>
      <c r="H675" s="40" t="str">
        <f>IF(A675="","",G675*N('Articles'!G675))</f>
        <v/>
      </c>
    </row>
    <row r="676">
      <c r="A676" s="39" t="str">
        <f>IF('Articles'!A676="","",'Articles'!A676)</f>
        <v/>
      </c>
      <c r="B676" s="39" t="str">
        <f>IF(A676="","",'Articles'!B676&amp;"")</f>
        <v/>
      </c>
      <c r="C676" s="39" t="str">
        <f>IF(A676="","",'Articles'!D676&amp;"")</f>
        <v/>
      </c>
      <c r="D676" s="39" t="str">
        <f>IF(A676="","",ROUND(N('Articles'!H676)+SUMIFS(mv_qty,mv_ref,A676,mv_type,"Entrée",mv_date,"&lt;"&amp;$E$1)-SUMIFS(mv_qty,mv_ref,A676,mv_type,"Sortie",mv_date,"&lt;"&amp;$E$1),6))</f>
        <v/>
      </c>
      <c r="E676" s="39" t="str">
        <f>IF(A676="","",SUMIFS(mv_qty,mv_ref,A676,mv_type,"Entrée",mv_date,"&gt;="&amp;$E$1,mv_date,"&lt;="&amp;$G$1))</f>
        <v/>
      </c>
      <c r="F676" s="39" t="str">
        <f>IF(A676="","",SUMIFS(mv_qty,mv_ref,A676,mv_type,"Sortie",mv_date,"&gt;="&amp;$E$1,mv_date,"&lt;="&amp;$G$1))</f>
        <v/>
      </c>
      <c r="G676" s="39" t="str">
        <f>IF(A676="","",ROUND(D676+E676-F676,6))</f>
        <v/>
      </c>
      <c r="H676" s="40" t="str">
        <f>IF(A676="","",G676*N('Articles'!G676))</f>
        <v/>
      </c>
    </row>
    <row r="677">
      <c r="A677" s="39" t="str">
        <f>IF('Articles'!A677="","",'Articles'!A677)</f>
        <v/>
      </c>
      <c r="B677" s="39" t="str">
        <f>IF(A677="","",'Articles'!B677&amp;"")</f>
        <v/>
      </c>
      <c r="C677" s="39" t="str">
        <f>IF(A677="","",'Articles'!D677&amp;"")</f>
        <v/>
      </c>
      <c r="D677" s="39" t="str">
        <f>IF(A677="","",ROUND(N('Articles'!H677)+SUMIFS(mv_qty,mv_ref,A677,mv_type,"Entrée",mv_date,"&lt;"&amp;$E$1)-SUMIFS(mv_qty,mv_ref,A677,mv_type,"Sortie",mv_date,"&lt;"&amp;$E$1),6))</f>
        <v/>
      </c>
      <c r="E677" s="39" t="str">
        <f>IF(A677="","",SUMIFS(mv_qty,mv_ref,A677,mv_type,"Entrée",mv_date,"&gt;="&amp;$E$1,mv_date,"&lt;="&amp;$G$1))</f>
        <v/>
      </c>
      <c r="F677" s="39" t="str">
        <f>IF(A677="","",SUMIFS(mv_qty,mv_ref,A677,mv_type,"Sortie",mv_date,"&gt;="&amp;$E$1,mv_date,"&lt;="&amp;$G$1))</f>
        <v/>
      </c>
      <c r="G677" s="39" t="str">
        <f>IF(A677="","",ROUND(D677+E677-F677,6))</f>
        <v/>
      </c>
      <c r="H677" s="40" t="str">
        <f>IF(A677="","",G677*N('Articles'!G677))</f>
        <v/>
      </c>
    </row>
    <row r="678">
      <c r="A678" s="39" t="str">
        <f>IF('Articles'!A678="","",'Articles'!A678)</f>
        <v/>
      </c>
      <c r="B678" s="39" t="str">
        <f>IF(A678="","",'Articles'!B678&amp;"")</f>
        <v/>
      </c>
      <c r="C678" s="39" t="str">
        <f>IF(A678="","",'Articles'!D678&amp;"")</f>
        <v/>
      </c>
      <c r="D678" s="39" t="str">
        <f>IF(A678="","",ROUND(N('Articles'!H678)+SUMIFS(mv_qty,mv_ref,A678,mv_type,"Entrée",mv_date,"&lt;"&amp;$E$1)-SUMIFS(mv_qty,mv_ref,A678,mv_type,"Sortie",mv_date,"&lt;"&amp;$E$1),6))</f>
        <v/>
      </c>
      <c r="E678" s="39" t="str">
        <f>IF(A678="","",SUMIFS(mv_qty,mv_ref,A678,mv_type,"Entrée",mv_date,"&gt;="&amp;$E$1,mv_date,"&lt;="&amp;$G$1))</f>
        <v/>
      </c>
      <c r="F678" s="39" t="str">
        <f>IF(A678="","",SUMIFS(mv_qty,mv_ref,A678,mv_type,"Sortie",mv_date,"&gt;="&amp;$E$1,mv_date,"&lt;="&amp;$G$1))</f>
        <v/>
      </c>
      <c r="G678" s="39" t="str">
        <f>IF(A678="","",ROUND(D678+E678-F678,6))</f>
        <v/>
      </c>
      <c r="H678" s="40" t="str">
        <f>IF(A678="","",G678*N('Articles'!G678))</f>
        <v/>
      </c>
    </row>
    <row r="679">
      <c r="A679" s="39" t="str">
        <f>IF('Articles'!A679="","",'Articles'!A679)</f>
        <v/>
      </c>
      <c r="B679" s="39" t="str">
        <f>IF(A679="","",'Articles'!B679&amp;"")</f>
        <v/>
      </c>
      <c r="C679" s="39" t="str">
        <f>IF(A679="","",'Articles'!D679&amp;"")</f>
        <v/>
      </c>
      <c r="D679" s="39" t="str">
        <f>IF(A679="","",ROUND(N('Articles'!H679)+SUMIFS(mv_qty,mv_ref,A679,mv_type,"Entrée",mv_date,"&lt;"&amp;$E$1)-SUMIFS(mv_qty,mv_ref,A679,mv_type,"Sortie",mv_date,"&lt;"&amp;$E$1),6))</f>
        <v/>
      </c>
      <c r="E679" s="39" t="str">
        <f>IF(A679="","",SUMIFS(mv_qty,mv_ref,A679,mv_type,"Entrée",mv_date,"&gt;="&amp;$E$1,mv_date,"&lt;="&amp;$G$1))</f>
        <v/>
      </c>
      <c r="F679" s="39" t="str">
        <f>IF(A679="","",SUMIFS(mv_qty,mv_ref,A679,mv_type,"Sortie",mv_date,"&gt;="&amp;$E$1,mv_date,"&lt;="&amp;$G$1))</f>
        <v/>
      </c>
      <c r="G679" s="39" t="str">
        <f>IF(A679="","",ROUND(D679+E679-F679,6))</f>
        <v/>
      </c>
      <c r="H679" s="40" t="str">
        <f>IF(A679="","",G679*N('Articles'!G679))</f>
        <v/>
      </c>
    </row>
    <row r="680">
      <c r="A680" s="39" t="str">
        <f>IF('Articles'!A680="","",'Articles'!A680)</f>
        <v/>
      </c>
      <c r="B680" s="39" t="str">
        <f>IF(A680="","",'Articles'!B680&amp;"")</f>
        <v/>
      </c>
      <c r="C680" s="39" t="str">
        <f>IF(A680="","",'Articles'!D680&amp;"")</f>
        <v/>
      </c>
      <c r="D680" s="39" t="str">
        <f>IF(A680="","",ROUND(N('Articles'!H680)+SUMIFS(mv_qty,mv_ref,A680,mv_type,"Entrée",mv_date,"&lt;"&amp;$E$1)-SUMIFS(mv_qty,mv_ref,A680,mv_type,"Sortie",mv_date,"&lt;"&amp;$E$1),6))</f>
        <v/>
      </c>
      <c r="E680" s="39" t="str">
        <f>IF(A680="","",SUMIFS(mv_qty,mv_ref,A680,mv_type,"Entrée",mv_date,"&gt;="&amp;$E$1,mv_date,"&lt;="&amp;$G$1))</f>
        <v/>
      </c>
      <c r="F680" s="39" t="str">
        <f>IF(A680="","",SUMIFS(mv_qty,mv_ref,A680,mv_type,"Sortie",mv_date,"&gt;="&amp;$E$1,mv_date,"&lt;="&amp;$G$1))</f>
        <v/>
      </c>
      <c r="G680" s="39" t="str">
        <f>IF(A680="","",ROUND(D680+E680-F680,6))</f>
        <v/>
      </c>
      <c r="H680" s="40" t="str">
        <f>IF(A680="","",G680*N('Articles'!G680))</f>
        <v/>
      </c>
    </row>
    <row r="681">
      <c r="A681" s="39" t="str">
        <f>IF('Articles'!A681="","",'Articles'!A681)</f>
        <v/>
      </c>
      <c r="B681" s="39" t="str">
        <f>IF(A681="","",'Articles'!B681&amp;"")</f>
        <v/>
      </c>
      <c r="C681" s="39" t="str">
        <f>IF(A681="","",'Articles'!D681&amp;"")</f>
        <v/>
      </c>
      <c r="D681" s="39" t="str">
        <f>IF(A681="","",ROUND(N('Articles'!H681)+SUMIFS(mv_qty,mv_ref,A681,mv_type,"Entrée",mv_date,"&lt;"&amp;$E$1)-SUMIFS(mv_qty,mv_ref,A681,mv_type,"Sortie",mv_date,"&lt;"&amp;$E$1),6))</f>
        <v/>
      </c>
      <c r="E681" s="39" t="str">
        <f>IF(A681="","",SUMIFS(mv_qty,mv_ref,A681,mv_type,"Entrée",mv_date,"&gt;="&amp;$E$1,mv_date,"&lt;="&amp;$G$1))</f>
        <v/>
      </c>
      <c r="F681" s="39" t="str">
        <f>IF(A681="","",SUMIFS(mv_qty,mv_ref,A681,mv_type,"Sortie",mv_date,"&gt;="&amp;$E$1,mv_date,"&lt;="&amp;$G$1))</f>
        <v/>
      </c>
      <c r="G681" s="39" t="str">
        <f>IF(A681="","",ROUND(D681+E681-F681,6))</f>
        <v/>
      </c>
      <c r="H681" s="40" t="str">
        <f>IF(A681="","",G681*N('Articles'!G681))</f>
        <v/>
      </c>
    </row>
    <row r="682">
      <c r="A682" s="39" t="str">
        <f>IF('Articles'!A682="","",'Articles'!A682)</f>
        <v/>
      </c>
      <c r="B682" s="39" t="str">
        <f>IF(A682="","",'Articles'!B682&amp;"")</f>
        <v/>
      </c>
      <c r="C682" s="39" t="str">
        <f>IF(A682="","",'Articles'!D682&amp;"")</f>
        <v/>
      </c>
      <c r="D682" s="39" t="str">
        <f>IF(A682="","",ROUND(N('Articles'!H682)+SUMIFS(mv_qty,mv_ref,A682,mv_type,"Entrée",mv_date,"&lt;"&amp;$E$1)-SUMIFS(mv_qty,mv_ref,A682,mv_type,"Sortie",mv_date,"&lt;"&amp;$E$1),6))</f>
        <v/>
      </c>
      <c r="E682" s="39" t="str">
        <f>IF(A682="","",SUMIFS(mv_qty,mv_ref,A682,mv_type,"Entrée",mv_date,"&gt;="&amp;$E$1,mv_date,"&lt;="&amp;$G$1))</f>
        <v/>
      </c>
      <c r="F682" s="39" t="str">
        <f>IF(A682="","",SUMIFS(mv_qty,mv_ref,A682,mv_type,"Sortie",mv_date,"&gt;="&amp;$E$1,mv_date,"&lt;="&amp;$G$1))</f>
        <v/>
      </c>
      <c r="G682" s="39" t="str">
        <f>IF(A682="","",ROUND(D682+E682-F682,6))</f>
        <v/>
      </c>
      <c r="H682" s="40" t="str">
        <f>IF(A682="","",G682*N('Articles'!G682))</f>
        <v/>
      </c>
    </row>
    <row r="683">
      <c r="A683" s="39" t="str">
        <f>IF('Articles'!A683="","",'Articles'!A683)</f>
        <v/>
      </c>
      <c r="B683" s="39" t="str">
        <f>IF(A683="","",'Articles'!B683&amp;"")</f>
        <v/>
      </c>
      <c r="C683" s="39" t="str">
        <f>IF(A683="","",'Articles'!D683&amp;"")</f>
        <v/>
      </c>
      <c r="D683" s="39" t="str">
        <f>IF(A683="","",ROUND(N('Articles'!H683)+SUMIFS(mv_qty,mv_ref,A683,mv_type,"Entrée",mv_date,"&lt;"&amp;$E$1)-SUMIFS(mv_qty,mv_ref,A683,mv_type,"Sortie",mv_date,"&lt;"&amp;$E$1),6))</f>
        <v/>
      </c>
      <c r="E683" s="39" t="str">
        <f>IF(A683="","",SUMIFS(mv_qty,mv_ref,A683,mv_type,"Entrée",mv_date,"&gt;="&amp;$E$1,mv_date,"&lt;="&amp;$G$1))</f>
        <v/>
      </c>
      <c r="F683" s="39" t="str">
        <f>IF(A683="","",SUMIFS(mv_qty,mv_ref,A683,mv_type,"Sortie",mv_date,"&gt;="&amp;$E$1,mv_date,"&lt;="&amp;$G$1))</f>
        <v/>
      </c>
      <c r="G683" s="39" t="str">
        <f>IF(A683="","",ROUND(D683+E683-F683,6))</f>
        <v/>
      </c>
      <c r="H683" s="40" t="str">
        <f>IF(A683="","",G683*N('Articles'!G683))</f>
        <v/>
      </c>
    </row>
    <row r="684">
      <c r="A684" s="39" t="str">
        <f>IF('Articles'!A684="","",'Articles'!A684)</f>
        <v/>
      </c>
      <c r="B684" s="39" t="str">
        <f>IF(A684="","",'Articles'!B684&amp;"")</f>
        <v/>
      </c>
      <c r="C684" s="39" t="str">
        <f>IF(A684="","",'Articles'!D684&amp;"")</f>
        <v/>
      </c>
      <c r="D684" s="39" t="str">
        <f>IF(A684="","",ROUND(N('Articles'!H684)+SUMIFS(mv_qty,mv_ref,A684,mv_type,"Entrée",mv_date,"&lt;"&amp;$E$1)-SUMIFS(mv_qty,mv_ref,A684,mv_type,"Sortie",mv_date,"&lt;"&amp;$E$1),6))</f>
        <v/>
      </c>
      <c r="E684" s="39" t="str">
        <f>IF(A684="","",SUMIFS(mv_qty,mv_ref,A684,mv_type,"Entrée",mv_date,"&gt;="&amp;$E$1,mv_date,"&lt;="&amp;$G$1))</f>
        <v/>
      </c>
      <c r="F684" s="39" t="str">
        <f>IF(A684="","",SUMIFS(mv_qty,mv_ref,A684,mv_type,"Sortie",mv_date,"&gt;="&amp;$E$1,mv_date,"&lt;="&amp;$G$1))</f>
        <v/>
      </c>
      <c r="G684" s="39" t="str">
        <f>IF(A684="","",ROUND(D684+E684-F684,6))</f>
        <v/>
      </c>
      <c r="H684" s="40" t="str">
        <f>IF(A684="","",G684*N('Articles'!G684))</f>
        <v/>
      </c>
    </row>
    <row r="685">
      <c r="A685" s="39" t="str">
        <f>IF('Articles'!A685="","",'Articles'!A685)</f>
        <v/>
      </c>
      <c r="B685" s="39" t="str">
        <f>IF(A685="","",'Articles'!B685&amp;"")</f>
        <v/>
      </c>
      <c r="C685" s="39" t="str">
        <f>IF(A685="","",'Articles'!D685&amp;"")</f>
        <v/>
      </c>
      <c r="D685" s="39" t="str">
        <f>IF(A685="","",ROUND(N('Articles'!H685)+SUMIFS(mv_qty,mv_ref,A685,mv_type,"Entrée",mv_date,"&lt;"&amp;$E$1)-SUMIFS(mv_qty,mv_ref,A685,mv_type,"Sortie",mv_date,"&lt;"&amp;$E$1),6))</f>
        <v/>
      </c>
      <c r="E685" s="39" t="str">
        <f>IF(A685="","",SUMIFS(mv_qty,mv_ref,A685,mv_type,"Entrée",mv_date,"&gt;="&amp;$E$1,mv_date,"&lt;="&amp;$G$1))</f>
        <v/>
      </c>
      <c r="F685" s="39" t="str">
        <f>IF(A685="","",SUMIFS(mv_qty,mv_ref,A685,mv_type,"Sortie",mv_date,"&gt;="&amp;$E$1,mv_date,"&lt;="&amp;$G$1))</f>
        <v/>
      </c>
      <c r="G685" s="39" t="str">
        <f>IF(A685="","",ROUND(D685+E685-F685,6))</f>
        <v/>
      </c>
      <c r="H685" s="40" t="str">
        <f>IF(A685="","",G685*N('Articles'!G685))</f>
        <v/>
      </c>
    </row>
    <row r="686">
      <c r="A686" s="39" t="str">
        <f>IF('Articles'!A686="","",'Articles'!A686)</f>
        <v/>
      </c>
      <c r="B686" s="39" t="str">
        <f>IF(A686="","",'Articles'!B686&amp;"")</f>
        <v/>
      </c>
      <c r="C686" s="39" t="str">
        <f>IF(A686="","",'Articles'!D686&amp;"")</f>
        <v/>
      </c>
      <c r="D686" s="39" t="str">
        <f>IF(A686="","",ROUND(N('Articles'!H686)+SUMIFS(mv_qty,mv_ref,A686,mv_type,"Entrée",mv_date,"&lt;"&amp;$E$1)-SUMIFS(mv_qty,mv_ref,A686,mv_type,"Sortie",mv_date,"&lt;"&amp;$E$1),6))</f>
        <v/>
      </c>
      <c r="E686" s="39" t="str">
        <f>IF(A686="","",SUMIFS(mv_qty,mv_ref,A686,mv_type,"Entrée",mv_date,"&gt;="&amp;$E$1,mv_date,"&lt;="&amp;$G$1))</f>
        <v/>
      </c>
      <c r="F686" s="39" t="str">
        <f>IF(A686="","",SUMIFS(mv_qty,mv_ref,A686,mv_type,"Sortie",mv_date,"&gt;="&amp;$E$1,mv_date,"&lt;="&amp;$G$1))</f>
        <v/>
      </c>
      <c r="G686" s="39" t="str">
        <f>IF(A686="","",ROUND(D686+E686-F686,6))</f>
        <v/>
      </c>
      <c r="H686" s="40" t="str">
        <f>IF(A686="","",G686*N('Articles'!G686))</f>
        <v/>
      </c>
    </row>
    <row r="687">
      <c r="A687" s="39" t="str">
        <f>IF('Articles'!A687="","",'Articles'!A687)</f>
        <v/>
      </c>
      <c r="B687" s="39" t="str">
        <f>IF(A687="","",'Articles'!B687&amp;"")</f>
        <v/>
      </c>
      <c r="C687" s="39" t="str">
        <f>IF(A687="","",'Articles'!D687&amp;"")</f>
        <v/>
      </c>
      <c r="D687" s="39" t="str">
        <f>IF(A687="","",ROUND(N('Articles'!H687)+SUMIFS(mv_qty,mv_ref,A687,mv_type,"Entrée",mv_date,"&lt;"&amp;$E$1)-SUMIFS(mv_qty,mv_ref,A687,mv_type,"Sortie",mv_date,"&lt;"&amp;$E$1),6))</f>
        <v/>
      </c>
      <c r="E687" s="39" t="str">
        <f>IF(A687="","",SUMIFS(mv_qty,mv_ref,A687,mv_type,"Entrée",mv_date,"&gt;="&amp;$E$1,mv_date,"&lt;="&amp;$G$1))</f>
        <v/>
      </c>
      <c r="F687" s="39" t="str">
        <f>IF(A687="","",SUMIFS(mv_qty,mv_ref,A687,mv_type,"Sortie",mv_date,"&gt;="&amp;$E$1,mv_date,"&lt;="&amp;$G$1))</f>
        <v/>
      </c>
      <c r="G687" s="39" t="str">
        <f>IF(A687="","",ROUND(D687+E687-F687,6))</f>
        <v/>
      </c>
      <c r="H687" s="40" t="str">
        <f>IF(A687="","",G687*N('Articles'!G687))</f>
        <v/>
      </c>
    </row>
    <row r="688">
      <c r="A688" s="39" t="str">
        <f>IF('Articles'!A688="","",'Articles'!A688)</f>
        <v/>
      </c>
      <c r="B688" s="39" t="str">
        <f>IF(A688="","",'Articles'!B688&amp;"")</f>
        <v/>
      </c>
      <c r="C688" s="39" t="str">
        <f>IF(A688="","",'Articles'!D688&amp;"")</f>
        <v/>
      </c>
      <c r="D688" s="39" t="str">
        <f>IF(A688="","",ROUND(N('Articles'!H688)+SUMIFS(mv_qty,mv_ref,A688,mv_type,"Entrée",mv_date,"&lt;"&amp;$E$1)-SUMIFS(mv_qty,mv_ref,A688,mv_type,"Sortie",mv_date,"&lt;"&amp;$E$1),6))</f>
        <v/>
      </c>
      <c r="E688" s="39" t="str">
        <f>IF(A688="","",SUMIFS(mv_qty,mv_ref,A688,mv_type,"Entrée",mv_date,"&gt;="&amp;$E$1,mv_date,"&lt;="&amp;$G$1))</f>
        <v/>
      </c>
      <c r="F688" s="39" t="str">
        <f>IF(A688="","",SUMIFS(mv_qty,mv_ref,A688,mv_type,"Sortie",mv_date,"&gt;="&amp;$E$1,mv_date,"&lt;="&amp;$G$1))</f>
        <v/>
      </c>
      <c r="G688" s="39" t="str">
        <f>IF(A688="","",ROUND(D688+E688-F688,6))</f>
        <v/>
      </c>
      <c r="H688" s="40" t="str">
        <f>IF(A688="","",G688*N('Articles'!G688))</f>
        <v/>
      </c>
    </row>
    <row r="689">
      <c r="A689" s="39" t="str">
        <f>IF('Articles'!A689="","",'Articles'!A689)</f>
        <v/>
      </c>
      <c r="B689" s="39" t="str">
        <f>IF(A689="","",'Articles'!B689&amp;"")</f>
        <v/>
      </c>
      <c r="C689" s="39" t="str">
        <f>IF(A689="","",'Articles'!D689&amp;"")</f>
        <v/>
      </c>
      <c r="D689" s="39" t="str">
        <f>IF(A689="","",ROUND(N('Articles'!H689)+SUMIFS(mv_qty,mv_ref,A689,mv_type,"Entrée",mv_date,"&lt;"&amp;$E$1)-SUMIFS(mv_qty,mv_ref,A689,mv_type,"Sortie",mv_date,"&lt;"&amp;$E$1),6))</f>
        <v/>
      </c>
      <c r="E689" s="39" t="str">
        <f>IF(A689="","",SUMIFS(mv_qty,mv_ref,A689,mv_type,"Entrée",mv_date,"&gt;="&amp;$E$1,mv_date,"&lt;="&amp;$G$1))</f>
        <v/>
      </c>
      <c r="F689" s="39" t="str">
        <f>IF(A689="","",SUMIFS(mv_qty,mv_ref,A689,mv_type,"Sortie",mv_date,"&gt;="&amp;$E$1,mv_date,"&lt;="&amp;$G$1))</f>
        <v/>
      </c>
      <c r="G689" s="39" t="str">
        <f>IF(A689="","",ROUND(D689+E689-F689,6))</f>
        <v/>
      </c>
      <c r="H689" s="40" t="str">
        <f>IF(A689="","",G689*N('Articles'!G689))</f>
        <v/>
      </c>
    </row>
    <row r="690">
      <c r="A690" s="39" t="str">
        <f>IF('Articles'!A690="","",'Articles'!A690)</f>
        <v/>
      </c>
      <c r="B690" s="39" t="str">
        <f>IF(A690="","",'Articles'!B690&amp;"")</f>
        <v/>
      </c>
      <c r="C690" s="39" t="str">
        <f>IF(A690="","",'Articles'!D690&amp;"")</f>
        <v/>
      </c>
      <c r="D690" s="39" t="str">
        <f>IF(A690="","",ROUND(N('Articles'!H690)+SUMIFS(mv_qty,mv_ref,A690,mv_type,"Entrée",mv_date,"&lt;"&amp;$E$1)-SUMIFS(mv_qty,mv_ref,A690,mv_type,"Sortie",mv_date,"&lt;"&amp;$E$1),6))</f>
        <v/>
      </c>
      <c r="E690" s="39" t="str">
        <f>IF(A690="","",SUMIFS(mv_qty,mv_ref,A690,mv_type,"Entrée",mv_date,"&gt;="&amp;$E$1,mv_date,"&lt;="&amp;$G$1))</f>
        <v/>
      </c>
      <c r="F690" s="39" t="str">
        <f>IF(A690="","",SUMIFS(mv_qty,mv_ref,A690,mv_type,"Sortie",mv_date,"&gt;="&amp;$E$1,mv_date,"&lt;="&amp;$G$1))</f>
        <v/>
      </c>
      <c r="G690" s="39" t="str">
        <f>IF(A690="","",ROUND(D690+E690-F690,6))</f>
        <v/>
      </c>
      <c r="H690" s="40" t="str">
        <f>IF(A690="","",G690*N('Articles'!G690))</f>
        <v/>
      </c>
    </row>
    <row r="691">
      <c r="A691" s="39" t="str">
        <f>IF('Articles'!A691="","",'Articles'!A691)</f>
        <v/>
      </c>
      <c r="B691" s="39" t="str">
        <f>IF(A691="","",'Articles'!B691&amp;"")</f>
        <v/>
      </c>
      <c r="C691" s="39" t="str">
        <f>IF(A691="","",'Articles'!D691&amp;"")</f>
        <v/>
      </c>
      <c r="D691" s="39" t="str">
        <f>IF(A691="","",ROUND(N('Articles'!H691)+SUMIFS(mv_qty,mv_ref,A691,mv_type,"Entrée",mv_date,"&lt;"&amp;$E$1)-SUMIFS(mv_qty,mv_ref,A691,mv_type,"Sortie",mv_date,"&lt;"&amp;$E$1),6))</f>
        <v/>
      </c>
      <c r="E691" s="39" t="str">
        <f>IF(A691="","",SUMIFS(mv_qty,mv_ref,A691,mv_type,"Entrée",mv_date,"&gt;="&amp;$E$1,mv_date,"&lt;="&amp;$G$1))</f>
        <v/>
      </c>
      <c r="F691" s="39" t="str">
        <f>IF(A691="","",SUMIFS(mv_qty,mv_ref,A691,mv_type,"Sortie",mv_date,"&gt;="&amp;$E$1,mv_date,"&lt;="&amp;$G$1))</f>
        <v/>
      </c>
      <c r="G691" s="39" t="str">
        <f>IF(A691="","",ROUND(D691+E691-F691,6))</f>
        <v/>
      </c>
      <c r="H691" s="40" t="str">
        <f>IF(A691="","",G691*N('Articles'!G691))</f>
        <v/>
      </c>
    </row>
    <row r="692">
      <c r="A692" s="39" t="str">
        <f>IF('Articles'!A692="","",'Articles'!A692)</f>
        <v/>
      </c>
      <c r="B692" s="39" t="str">
        <f>IF(A692="","",'Articles'!B692&amp;"")</f>
        <v/>
      </c>
      <c r="C692" s="39" t="str">
        <f>IF(A692="","",'Articles'!D692&amp;"")</f>
        <v/>
      </c>
      <c r="D692" s="39" t="str">
        <f>IF(A692="","",ROUND(N('Articles'!H692)+SUMIFS(mv_qty,mv_ref,A692,mv_type,"Entrée",mv_date,"&lt;"&amp;$E$1)-SUMIFS(mv_qty,mv_ref,A692,mv_type,"Sortie",mv_date,"&lt;"&amp;$E$1),6))</f>
        <v/>
      </c>
      <c r="E692" s="39" t="str">
        <f>IF(A692="","",SUMIFS(mv_qty,mv_ref,A692,mv_type,"Entrée",mv_date,"&gt;="&amp;$E$1,mv_date,"&lt;="&amp;$G$1))</f>
        <v/>
      </c>
      <c r="F692" s="39" t="str">
        <f>IF(A692="","",SUMIFS(mv_qty,mv_ref,A692,mv_type,"Sortie",mv_date,"&gt;="&amp;$E$1,mv_date,"&lt;="&amp;$G$1))</f>
        <v/>
      </c>
      <c r="G692" s="39" t="str">
        <f>IF(A692="","",ROUND(D692+E692-F692,6))</f>
        <v/>
      </c>
      <c r="H692" s="40" t="str">
        <f>IF(A692="","",G692*N('Articles'!G692))</f>
        <v/>
      </c>
    </row>
    <row r="693">
      <c r="A693" s="39" t="str">
        <f>IF('Articles'!A693="","",'Articles'!A693)</f>
        <v/>
      </c>
      <c r="B693" s="39" t="str">
        <f>IF(A693="","",'Articles'!B693&amp;"")</f>
        <v/>
      </c>
      <c r="C693" s="39" t="str">
        <f>IF(A693="","",'Articles'!D693&amp;"")</f>
        <v/>
      </c>
      <c r="D693" s="39" t="str">
        <f>IF(A693="","",ROUND(N('Articles'!H693)+SUMIFS(mv_qty,mv_ref,A693,mv_type,"Entrée",mv_date,"&lt;"&amp;$E$1)-SUMIFS(mv_qty,mv_ref,A693,mv_type,"Sortie",mv_date,"&lt;"&amp;$E$1),6))</f>
        <v/>
      </c>
      <c r="E693" s="39" t="str">
        <f>IF(A693="","",SUMIFS(mv_qty,mv_ref,A693,mv_type,"Entrée",mv_date,"&gt;="&amp;$E$1,mv_date,"&lt;="&amp;$G$1))</f>
        <v/>
      </c>
      <c r="F693" s="39" t="str">
        <f>IF(A693="","",SUMIFS(mv_qty,mv_ref,A693,mv_type,"Sortie",mv_date,"&gt;="&amp;$E$1,mv_date,"&lt;="&amp;$G$1))</f>
        <v/>
      </c>
      <c r="G693" s="39" t="str">
        <f>IF(A693="","",ROUND(D693+E693-F693,6))</f>
        <v/>
      </c>
      <c r="H693" s="40" t="str">
        <f>IF(A693="","",G693*N('Articles'!G693))</f>
        <v/>
      </c>
    </row>
    <row r="694">
      <c r="A694" s="39" t="str">
        <f>IF('Articles'!A694="","",'Articles'!A694)</f>
        <v/>
      </c>
      <c r="B694" s="39" t="str">
        <f>IF(A694="","",'Articles'!B694&amp;"")</f>
        <v/>
      </c>
      <c r="C694" s="39" t="str">
        <f>IF(A694="","",'Articles'!D694&amp;"")</f>
        <v/>
      </c>
      <c r="D694" s="39" t="str">
        <f>IF(A694="","",ROUND(N('Articles'!H694)+SUMIFS(mv_qty,mv_ref,A694,mv_type,"Entrée",mv_date,"&lt;"&amp;$E$1)-SUMIFS(mv_qty,mv_ref,A694,mv_type,"Sortie",mv_date,"&lt;"&amp;$E$1),6))</f>
        <v/>
      </c>
      <c r="E694" s="39" t="str">
        <f>IF(A694="","",SUMIFS(mv_qty,mv_ref,A694,mv_type,"Entrée",mv_date,"&gt;="&amp;$E$1,mv_date,"&lt;="&amp;$G$1))</f>
        <v/>
      </c>
      <c r="F694" s="39" t="str">
        <f>IF(A694="","",SUMIFS(mv_qty,mv_ref,A694,mv_type,"Sortie",mv_date,"&gt;="&amp;$E$1,mv_date,"&lt;="&amp;$G$1))</f>
        <v/>
      </c>
      <c r="G694" s="39" t="str">
        <f>IF(A694="","",ROUND(D694+E694-F694,6))</f>
        <v/>
      </c>
      <c r="H694" s="40" t="str">
        <f>IF(A694="","",G694*N('Articles'!G694))</f>
        <v/>
      </c>
    </row>
    <row r="695">
      <c r="A695" s="39" t="str">
        <f>IF('Articles'!A695="","",'Articles'!A695)</f>
        <v/>
      </c>
      <c r="B695" s="39" t="str">
        <f>IF(A695="","",'Articles'!B695&amp;"")</f>
        <v/>
      </c>
      <c r="C695" s="39" t="str">
        <f>IF(A695="","",'Articles'!D695&amp;"")</f>
        <v/>
      </c>
      <c r="D695" s="39" t="str">
        <f>IF(A695="","",ROUND(N('Articles'!H695)+SUMIFS(mv_qty,mv_ref,A695,mv_type,"Entrée",mv_date,"&lt;"&amp;$E$1)-SUMIFS(mv_qty,mv_ref,A695,mv_type,"Sortie",mv_date,"&lt;"&amp;$E$1),6))</f>
        <v/>
      </c>
      <c r="E695" s="39" t="str">
        <f>IF(A695="","",SUMIFS(mv_qty,mv_ref,A695,mv_type,"Entrée",mv_date,"&gt;="&amp;$E$1,mv_date,"&lt;="&amp;$G$1))</f>
        <v/>
      </c>
      <c r="F695" s="39" t="str">
        <f>IF(A695="","",SUMIFS(mv_qty,mv_ref,A695,mv_type,"Sortie",mv_date,"&gt;="&amp;$E$1,mv_date,"&lt;="&amp;$G$1))</f>
        <v/>
      </c>
      <c r="G695" s="39" t="str">
        <f>IF(A695="","",ROUND(D695+E695-F695,6))</f>
        <v/>
      </c>
      <c r="H695" s="40" t="str">
        <f>IF(A695="","",G695*N('Articles'!G695))</f>
        <v/>
      </c>
    </row>
    <row r="696">
      <c r="A696" s="39" t="str">
        <f>IF('Articles'!A696="","",'Articles'!A696)</f>
        <v/>
      </c>
      <c r="B696" s="39" t="str">
        <f>IF(A696="","",'Articles'!B696&amp;"")</f>
        <v/>
      </c>
      <c r="C696" s="39" t="str">
        <f>IF(A696="","",'Articles'!D696&amp;"")</f>
        <v/>
      </c>
      <c r="D696" s="39" t="str">
        <f>IF(A696="","",ROUND(N('Articles'!H696)+SUMIFS(mv_qty,mv_ref,A696,mv_type,"Entrée",mv_date,"&lt;"&amp;$E$1)-SUMIFS(mv_qty,mv_ref,A696,mv_type,"Sortie",mv_date,"&lt;"&amp;$E$1),6))</f>
        <v/>
      </c>
      <c r="E696" s="39" t="str">
        <f>IF(A696="","",SUMIFS(mv_qty,mv_ref,A696,mv_type,"Entrée",mv_date,"&gt;="&amp;$E$1,mv_date,"&lt;="&amp;$G$1))</f>
        <v/>
      </c>
      <c r="F696" s="39" t="str">
        <f>IF(A696="","",SUMIFS(mv_qty,mv_ref,A696,mv_type,"Sortie",mv_date,"&gt;="&amp;$E$1,mv_date,"&lt;="&amp;$G$1))</f>
        <v/>
      </c>
      <c r="G696" s="39" t="str">
        <f>IF(A696="","",ROUND(D696+E696-F696,6))</f>
        <v/>
      </c>
      <c r="H696" s="40" t="str">
        <f>IF(A696="","",G696*N('Articles'!G696))</f>
        <v/>
      </c>
    </row>
    <row r="697">
      <c r="A697" s="39" t="str">
        <f>IF('Articles'!A697="","",'Articles'!A697)</f>
        <v/>
      </c>
      <c r="B697" s="39" t="str">
        <f>IF(A697="","",'Articles'!B697&amp;"")</f>
        <v/>
      </c>
      <c r="C697" s="39" t="str">
        <f>IF(A697="","",'Articles'!D697&amp;"")</f>
        <v/>
      </c>
      <c r="D697" s="39" t="str">
        <f>IF(A697="","",ROUND(N('Articles'!H697)+SUMIFS(mv_qty,mv_ref,A697,mv_type,"Entrée",mv_date,"&lt;"&amp;$E$1)-SUMIFS(mv_qty,mv_ref,A697,mv_type,"Sortie",mv_date,"&lt;"&amp;$E$1),6))</f>
        <v/>
      </c>
      <c r="E697" s="39" t="str">
        <f>IF(A697="","",SUMIFS(mv_qty,mv_ref,A697,mv_type,"Entrée",mv_date,"&gt;="&amp;$E$1,mv_date,"&lt;="&amp;$G$1))</f>
        <v/>
      </c>
      <c r="F697" s="39" t="str">
        <f>IF(A697="","",SUMIFS(mv_qty,mv_ref,A697,mv_type,"Sortie",mv_date,"&gt;="&amp;$E$1,mv_date,"&lt;="&amp;$G$1))</f>
        <v/>
      </c>
      <c r="G697" s="39" t="str">
        <f>IF(A697="","",ROUND(D697+E697-F697,6))</f>
        <v/>
      </c>
      <c r="H697" s="40" t="str">
        <f>IF(A697="","",G697*N('Articles'!G697))</f>
        <v/>
      </c>
    </row>
    <row r="698">
      <c r="A698" s="39" t="str">
        <f>IF('Articles'!A698="","",'Articles'!A698)</f>
        <v/>
      </c>
      <c r="B698" s="39" t="str">
        <f>IF(A698="","",'Articles'!B698&amp;"")</f>
        <v/>
      </c>
      <c r="C698" s="39" t="str">
        <f>IF(A698="","",'Articles'!D698&amp;"")</f>
        <v/>
      </c>
      <c r="D698" s="39" t="str">
        <f>IF(A698="","",ROUND(N('Articles'!H698)+SUMIFS(mv_qty,mv_ref,A698,mv_type,"Entrée",mv_date,"&lt;"&amp;$E$1)-SUMIFS(mv_qty,mv_ref,A698,mv_type,"Sortie",mv_date,"&lt;"&amp;$E$1),6))</f>
        <v/>
      </c>
      <c r="E698" s="39" t="str">
        <f>IF(A698="","",SUMIFS(mv_qty,mv_ref,A698,mv_type,"Entrée",mv_date,"&gt;="&amp;$E$1,mv_date,"&lt;="&amp;$G$1))</f>
        <v/>
      </c>
      <c r="F698" s="39" t="str">
        <f>IF(A698="","",SUMIFS(mv_qty,mv_ref,A698,mv_type,"Sortie",mv_date,"&gt;="&amp;$E$1,mv_date,"&lt;="&amp;$G$1))</f>
        <v/>
      </c>
      <c r="G698" s="39" t="str">
        <f>IF(A698="","",ROUND(D698+E698-F698,6))</f>
        <v/>
      </c>
      <c r="H698" s="40" t="str">
        <f>IF(A698="","",G698*N('Articles'!G698))</f>
        <v/>
      </c>
    </row>
    <row r="699">
      <c r="A699" s="39" t="str">
        <f>IF('Articles'!A699="","",'Articles'!A699)</f>
        <v/>
      </c>
      <c r="B699" s="39" t="str">
        <f>IF(A699="","",'Articles'!B699&amp;"")</f>
        <v/>
      </c>
      <c r="C699" s="39" t="str">
        <f>IF(A699="","",'Articles'!D699&amp;"")</f>
        <v/>
      </c>
      <c r="D699" s="39" t="str">
        <f>IF(A699="","",ROUND(N('Articles'!H699)+SUMIFS(mv_qty,mv_ref,A699,mv_type,"Entrée",mv_date,"&lt;"&amp;$E$1)-SUMIFS(mv_qty,mv_ref,A699,mv_type,"Sortie",mv_date,"&lt;"&amp;$E$1),6))</f>
        <v/>
      </c>
      <c r="E699" s="39" t="str">
        <f>IF(A699="","",SUMIFS(mv_qty,mv_ref,A699,mv_type,"Entrée",mv_date,"&gt;="&amp;$E$1,mv_date,"&lt;="&amp;$G$1))</f>
        <v/>
      </c>
      <c r="F699" s="39" t="str">
        <f>IF(A699="","",SUMIFS(mv_qty,mv_ref,A699,mv_type,"Sortie",mv_date,"&gt;="&amp;$E$1,mv_date,"&lt;="&amp;$G$1))</f>
        <v/>
      </c>
      <c r="G699" s="39" t="str">
        <f>IF(A699="","",ROUND(D699+E699-F699,6))</f>
        <v/>
      </c>
      <c r="H699" s="40" t="str">
        <f>IF(A699="","",G699*N('Articles'!G699))</f>
        <v/>
      </c>
    </row>
    <row r="700">
      <c r="A700" s="39" t="str">
        <f>IF('Articles'!A700="","",'Articles'!A700)</f>
        <v/>
      </c>
      <c r="B700" s="39" t="str">
        <f>IF(A700="","",'Articles'!B700&amp;"")</f>
        <v/>
      </c>
      <c r="C700" s="39" t="str">
        <f>IF(A700="","",'Articles'!D700&amp;"")</f>
        <v/>
      </c>
      <c r="D700" s="39" t="str">
        <f>IF(A700="","",ROUND(N('Articles'!H700)+SUMIFS(mv_qty,mv_ref,A700,mv_type,"Entrée",mv_date,"&lt;"&amp;$E$1)-SUMIFS(mv_qty,mv_ref,A700,mv_type,"Sortie",mv_date,"&lt;"&amp;$E$1),6))</f>
        <v/>
      </c>
      <c r="E700" s="39" t="str">
        <f>IF(A700="","",SUMIFS(mv_qty,mv_ref,A700,mv_type,"Entrée",mv_date,"&gt;="&amp;$E$1,mv_date,"&lt;="&amp;$G$1))</f>
        <v/>
      </c>
      <c r="F700" s="39" t="str">
        <f>IF(A700="","",SUMIFS(mv_qty,mv_ref,A700,mv_type,"Sortie",mv_date,"&gt;="&amp;$E$1,mv_date,"&lt;="&amp;$G$1))</f>
        <v/>
      </c>
      <c r="G700" s="39" t="str">
        <f>IF(A700="","",ROUND(D700+E700-F700,6))</f>
        <v/>
      </c>
      <c r="H700" s="40" t="str">
        <f>IF(A700="","",G700*N('Articles'!G700))</f>
        <v/>
      </c>
    </row>
    <row r="701">
      <c r="A701" s="39" t="str">
        <f>IF('Articles'!A701="","",'Articles'!A701)</f>
        <v/>
      </c>
      <c r="B701" s="39" t="str">
        <f>IF(A701="","",'Articles'!B701&amp;"")</f>
        <v/>
      </c>
      <c r="C701" s="39" t="str">
        <f>IF(A701="","",'Articles'!D701&amp;"")</f>
        <v/>
      </c>
      <c r="D701" s="39" t="str">
        <f>IF(A701="","",ROUND(N('Articles'!H701)+SUMIFS(mv_qty,mv_ref,A701,mv_type,"Entrée",mv_date,"&lt;"&amp;$E$1)-SUMIFS(mv_qty,mv_ref,A701,mv_type,"Sortie",mv_date,"&lt;"&amp;$E$1),6))</f>
        <v/>
      </c>
      <c r="E701" s="39" t="str">
        <f>IF(A701="","",SUMIFS(mv_qty,mv_ref,A701,mv_type,"Entrée",mv_date,"&gt;="&amp;$E$1,mv_date,"&lt;="&amp;$G$1))</f>
        <v/>
      </c>
      <c r="F701" s="39" t="str">
        <f>IF(A701="","",SUMIFS(mv_qty,mv_ref,A701,mv_type,"Sortie",mv_date,"&gt;="&amp;$E$1,mv_date,"&lt;="&amp;$G$1))</f>
        <v/>
      </c>
      <c r="G701" s="39" t="str">
        <f>IF(A701="","",ROUND(D701+E701-F701,6))</f>
        <v/>
      </c>
      <c r="H701" s="40" t="str">
        <f>IF(A701="","",G701*N('Articles'!G701))</f>
        <v/>
      </c>
    </row>
    <row r="702">
      <c r="A702" s="39" t="str">
        <f>IF('Articles'!A702="","",'Articles'!A702)</f>
        <v/>
      </c>
      <c r="B702" s="39" t="str">
        <f>IF(A702="","",'Articles'!B702&amp;"")</f>
        <v/>
      </c>
      <c r="C702" s="39" t="str">
        <f>IF(A702="","",'Articles'!D702&amp;"")</f>
        <v/>
      </c>
      <c r="D702" s="39" t="str">
        <f>IF(A702="","",ROUND(N('Articles'!H702)+SUMIFS(mv_qty,mv_ref,A702,mv_type,"Entrée",mv_date,"&lt;"&amp;$E$1)-SUMIFS(mv_qty,mv_ref,A702,mv_type,"Sortie",mv_date,"&lt;"&amp;$E$1),6))</f>
        <v/>
      </c>
      <c r="E702" s="39" t="str">
        <f>IF(A702="","",SUMIFS(mv_qty,mv_ref,A702,mv_type,"Entrée",mv_date,"&gt;="&amp;$E$1,mv_date,"&lt;="&amp;$G$1))</f>
        <v/>
      </c>
      <c r="F702" s="39" t="str">
        <f>IF(A702="","",SUMIFS(mv_qty,mv_ref,A702,mv_type,"Sortie",mv_date,"&gt;="&amp;$E$1,mv_date,"&lt;="&amp;$G$1))</f>
        <v/>
      </c>
      <c r="G702" s="39" t="str">
        <f>IF(A702="","",ROUND(D702+E702-F702,6))</f>
        <v/>
      </c>
      <c r="H702" s="40" t="str">
        <f>IF(A702="","",G702*N('Articles'!G702))</f>
        <v/>
      </c>
    </row>
    <row r="703">
      <c r="A703" s="39" t="str">
        <f>IF('Articles'!A703="","",'Articles'!A703)</f>
        <v/>
      </c>
      <c r="B703" s="39" t="str">
        <f>IF(A703="","",'Articles'!B703&amp;"")</f>
        <v/>
      </c>
      <c r="C703" s="39" t="str">
        <f>IF(A703="","",'Articles'!D703&amp;"")</f>
        <v/>
      </c>
      <c r="D703" s="39" t="str">
        <f>IF(A703="","",ROUND(N('Articles'!H703)+SUMIFS(mv_qty,mv_ref,A703,mv_type,"Entrée",mv_date,"&lt;"&amp;$E$1)-SUMIFS(mv_qty,mv_ref,A703,mv_type,"Sortie",mv_date,"&lt;"&amp;$E$1),6))</f>
        <v/>
      </c>
      <c r="E703" s="39" t="str">
        <f>IF(A703="","",SUMIFS(mv_qty,mv_ref,A703,mv_type,"Entrée",mv_date,"&gt;="&amp;$E$1,mv_date,"&lt;="&amp;$G$1))</f>
        <v/>
      </c>
      <c r="F703" s="39" t="str">
        <f>IF(A703="","",SUMIFS(mv_qty,mv_ref,A703,mv_type,"Sortie",mv_date,"&gt;="&amp;$E$1,mv_date,"&lt;="&amp;$G$1))</f>
        <v/>
      </c>
      <c r="G703" s="39" t="str">
        <f>IF(A703="","",ROUND(D703+E703-F703,6))</f>
        <v/>
      </c>
      <c r="H703" s="40" t="str">
        <f>IF(A703="","",G703*N('Articles'!G703))</f>
        <v/>
      </c>
    </row>
    <row r="704">
      <c r="A704" s="39" t="str">
        <f>IF('Articles'!A704="","",'Articles'!A704)</f>
        <v/>
      </c>
      <c r="B704" s="39" t="str">
        <f>IF(A704="","",'Articles'!B704&amp;"")</f>
        <v/>
      </c>
      <c r="C704" s="39" t="str">
        <f>IF(A704="","",'Articles'!D704&amp;"")</f>
        <v/>
      </c>
      <c r="D704" s="39" t="str">
        <f>IF(A704="","",ROUND(N('Articles'!H704)+SUMIFS(mv_qty,mv_ref,A704,mv_type,"Entrée",mv_date,"&lt;"&amp;$E$1)-SUMIFS(mv_qty,mv_ref,A704,mv_type,"Sortie",mv_date,"&lt;"&amp;$E$1),6))</f>
        <v/>
      </c>
      <c r="E704" s="39" t="str">
        <f>IF(A704="","",SUMIFS(mv_qty,mv_ref,A704,mv_type,"Entrée",mv_date,"&gt;="&amp;$E$1,mv_date,"&lt;="&amp;$G$1))</f>
        <v/>
      </c>
      <c r="F704" s="39" t="str">
        <f>IF(A704="","",SUMIFS(mv_qty,mv_ref,A704,mv_type,"Sortie",mv_date,"&gt;="&amp;$E$1,mv_date,"&lt;="&amp;$G$1))</f>
        <v/>
      </c>
      <c r="G704" s="39" t="str">
        <f>IF(A704="","",ROUND(D704+E704-F704,6))</f>
        <v/>
      </c>
      <c r="H704" s="40" t="str">
        <f>IF(A704="","",G704*N('Articles'!G704))</f>
        <v/>
      </c>
    </row>
    <row r="705">
      <c r="A705" s="39" t="str">
        <f>IF('Articles'!A705="","",'Articles'!A705)</f>
        <v/>
      </c>
      <c r="B705" s="39" t="str">
        <f>IF(A705="","",'Articles'!B705&amp;"")</f>
        <v/>
      </c>
      <c r="C705" s="39" t="str">
        <f>IF(A705="","",'Articles'!D705&amp;"")</f>
        <v/>
      </c>
      <c r="D705" s="39" t="str">
        <f>IF(A705="","",ROUND(N('Articles'!H705)+SUMIFS(mv_qty,mv_ref,A705,mv_type,"Entrée",mv_date,"&lt;"&amp;$E$1)-SUMIFS(mv_qty,mv_ref,A705,mv_type,"Sortie",mv_date,"&lt;"&amp;$E$1),6))</f>
        <v/>
      </c>
      <c r="E705" s="39" t="str">
        <f>IF(A705="","",SUMIFS(mv_qty,mv_ref,A705,mv_type,"Entrée",mv_date,"&gt;="&amp;$E$1,mv_date,"&lt;="&amp;$G$1))</f>
        <v/>
      </c>
      <c r="F705" s="39" t="str">
        <f>IF(A705="","",SUMIFS(mv_qty,mv_ref,A705,mv_type,"Sortie",mv_date,"&gt;="&amp;$E$1,mv_date,"&lt;="&amp;$G$1))</f>
        <v/>
      </c>
      <c r="G705" s="39" t="str">
        <f>IF(A705="","",ROUND(D705+E705-F705,6))</f>
        <v/>
      </c>
      <c r="H705" s="40" t="str">
        <f>IF(A705="","",G705*N('Articles'!G705))</f>
        <v/>
      </c>
    </row>
    <row r="706">
      <c r="A706" s="39" t="str">
        <f>IF('Articles'!A706="","",'Articles'!A706)</f>
        <v/>
      </c>
      <c r="B706" s="39" t="str">
        <f>IF(A706="","",'Articles'!B706&amp;"")</f>
        <v/>
      </c>
      <c r="C706" s="39" t="str">
        <f>IF(A706="","",'Articles'!D706&amp;"")</f>
        <v/>
      </c>
      <c r="D706" s="39" t="str">
        <f>IF(A706="","",ROUND(N('Articles'!H706)+SUMIFS(mv_qty,mv_ref,A706,mv_type,"Entrée",mv_date,"&lt;"&amp;$E$1)-SUMIFS(mv_qty,mv_ref,A706,mv_type,"Sortie",mv_date,"&lt;"&amp;$E$1),6))</f>
        <v/>
      </c>
      <c r="E706" s="39" t="str">
        <f>IF(A706="","",SUMIFS(mv_qty,mv_ref,A706,mv_type,"Entrée",mv_date,"&gt;="&amp;$E$1,mv_date,"&lt;="&amp;$G$1))</f>
        <v/>
      </c>
      <c r="F706" s="39" t="str">
        <f>IF(A706="","",SUMIFS(mv_qty,mv_ref,A706,mv_type,"Sortie",mv_date,"&gt;="&amp;$E$1,mv_date,"&lt;="&amp;$G$1))</f>
        <v/>
      </c>
      <c r="G706" s="39" t="str">
        <f>IF(A706="","",ROUND(D706+E706-F706,6))</f>
        <v/>
      </c>
      <c r="H706" s="40" t="str">
        <f>IF(A706="","",G706*N('Articles'!G706))</f>
        <v/>
      </c>
    </row>
    <row r="707">
      <c r="A707" s="39" t="str">
        <f>IF('Articles'!A707="","",'Articles'!A707)</f>
        <v/>
      </c>
      <c r="B707" s="39" t="str">
        <f>IF(A707="","",'Articles'!B707&amp;"")</f>
        <v/>
      </c>
      <c r="C707" s="39" t="str">
        <f>IF(A707="","",'Articles'!D707&amp;"")</f>
        <v/>
      </c>
      <c r="D707" s="39" t="str">
        <f>IF(A707="","",ROUND(N('Articles'!H707)+SUMIFS(mv_qty,mv_ref,A707,mv_type,"Entrée",mv_date,"&lt;"&amp;$E$1)-SUMIFS(mv_qty,mv_ref,A707,mv_type,"Sortie",mv_date,"&lt;"&amp;$E$1),6))</f>
        <v/>
      </c>
      <c r="E707" s="39" t="str">
        <f>IF(A707="","",SUMIFS(mv_qty,mv_ref,A707,mv_type,"Entrée",mv_date,"&gt;="&amp;$E$1,mv_date,"&lt;="&amp;$G$1))</f>
        <v/>
      </c>
      <c r="F707" s="39" t="str">
        <f>IF(A707="","",SUMIFS(mv_qty,mv_ref,A707,mv_type,"Sortie",mv_date,"&gt;="&amp;$E$1,mv_date,"&lt;="&amp;$G$1))</f>
        <v/>
      </c>
      <c r="G707" s="39" t="str">
        <f>IF(A707="","",ROUND(D707+E707-F707,6))</f>
        <v/>
      </c>
      <c r="H707" s="40" t="str">
        <f>IF(A707="","",G707*N('Articles'!G707))</f>
        <v/>
      </c>
    </row>
    <row r="708">
      <c r="A708" s="39" t="str">
        <f>IF('Articles'!A708="","",'Articles'!A708)</f>
        <v/>
      </c>
      <c r="B708" s="39" t="str">
        <f>IF(A708="","",'Articles'!B708&amp;"")</f>
        <v/>
      </c>
      <c r="C708" s="39" t="str">
        <f>IF(A708="","",'Articles'!D708&amp;"")</f>
        <v/>
      </c>
      <c r="D708" s="39" t="str">
        <f>IF(A708="","",ROUND(N('Articles'!H708)+SUMIFS(mv_qty,mv_ref,A708,mv_type,"Entrée",mv_date,"&lt;"&amp;$E$1)-SUMIFS(mv_qty,mv_ref,A708,mv_type,"Sortie",mv_date,"&lt;"&amp;$E$1),6))</f>
        <v/>
      </c>
      <c r="E708" s="39" t="str">
        <f>IF(A708="","",SUMIFS(mv_qty,mv_ref,A708,mv_type,"Entrée",mv_date,"&gt;="&amp;$E$1,mv_date,"&lt;="&amp;$G$1))</f>
        <v/>
      </c>
      <c r="F708" s="39" t="str">
        <f>IF(A708="","",SUMIFS(mv_qty,mv_ref,A708,mv_type,"Sortie",mv_date,"&gt;="&amp;$E$1,mv_date,"&lt;="&amp;$G$1))</f>
        <v/>
      </c>
      <c r="G708" s="39" t="str">
        <f>IF(A708="","",ROUND(D708+E708-F708,6))</f>
        <v/>
      </c>
      <c r="H708" s="40" t="str">
        <f>IF(A708="","",G708*N('Articles'!G708))</f>
        <v/>
      </c>
    </row>
    <row r="709">
      <c r="A709" s="39" t="str">
        <f>IF('Articles'!A709="","",'Articles'!A709)</f>
        <v/>
      </c>
      <c r="B709" s="39" t="str">
        <f>IF(A709="","",'Articles'!B709&amp;"")</f>
        <v/>
      </c>
      <c r="C709" s="39" t="str">
        <f>IF(A709="","",'Articles'!D709&amp;"")</f>
        <v/>
      </c>
      <c r="D709" s="39" t="str">
        <f>IF(A709="","",ROUND(N('Articles'!H709)+SUMIFS(mv_qty,mv_ref,A709,mv_type,"Entrée",mv_date,"&lt;"&amp;$E$1)-SUMIFS(mv_qty,mv_ref,A709,mv_type,"Sortie",mv_date,"&lt;"&amp;$E$1),6))</f>
        <v/>
      </c>
      <c r="E709" s="39" t="str">
        <f>IF(A709="","",SUMIFS(mv_qty,mv_ref,A709,mv_type,"Entrée",mv_date,"&gt;="&amp;$E$1,mv_date,"&lt;="&amp;$G$1))</f>
        <v/>
      </c>
      <c r="F709" s="39" t="str">
        <f>IF(A709="","",SUMIFS(mv_qty,mv_ref,A709,mv_type,"Sortie",mv_date,"&gt;="&amp;$E$1,mv_date,"&lt;="&amp;$G$1))</f>
        <v/>
      </c>
      <c r="G709" s="39" t="str">
        <f>IF(A709="","",ROUND(D709+E709-F709,6))</f>
        <v/>
      </c>
      <c r="H709" s="40" t="str">
        <f>IF(A709="","",G709*N('Articles'!G709))</f>
        <v/>
      </c>
    </row>
    <row r="710">
      <c r="A710" s="39" t="str">
        <f>IF('Articles'!A710="","",'Articles'!A710)</f>
        <v/>
      </c>
      <c r="B710" s="39" t="str">
        <f>IF(A710="","",'Articles'!B710&amp;"")</f>
        <v/>
      </c>
      <c r="C710" s="39" t="str">
        <f>IF(A710="","",'Articles'!D710&amp;"")</f>
        <v/>
      </c>
      <c r="D710" s="39" t="str">
        <f>IF(A710="","",ROUND(N('Articles'!H710)+SUMIFS(mv_qty,mv_ref,A710,mv_type,"Entrée",mv_date,"&lt;"&amp;$E$1)-SUMIFS(mv_qty,mv_ref,A710,mv_type,"Sortie",mv_date,"&lt;"&amp;$E$1),6))</f>
        <v/>
      </c>
      <c r="E710" s="39" t="str">
        <f>IF(A710="","",SUMIFS(mv_qty,mv_ref,A710,mv_type,"Entrée",mv_date,"&gt;="&amp;$E$1,mv_date,"&lt;="&amp;$G$1))</f>
        <v/>
      </c>
      <c r="F710" s="39" t="str">
        <f>IF(A710="","",SUMIFS(mv_qty,mv_ref,A710,mv_type,"Sortie",mv_date,"&gt;="&amp;$E$1,mv_date,"&lt;="&amp;$G$1))</f>
        <v/>
      </c>
      <c r="G710" s="39" t="str">
        <f>IF(A710="","",ROUND(D710+E710-F710,6))</f>
        <v/>
      </c>
      <c r="H710" s="40" t="str">
        <f>IF(A710="","",G710*N('Articles'!G710))</f>
        <v/>
      </c>
    </row>
    <row r="711">
      <c r="A711" s="39" t="str">
        <f>IF('Articles'!A711="","",'Articles'!A711)</f>
        <v/>
      </c>
      <c r="B711" s="39" t="str">
        <f>IF(A711="","",'Articles'!B711&amp;"")</f>
        <v/>
      </c>
      <c r="C711" s="39" t="str">
        <f>IF(A711="","",'Articles'!D711&amp;"")</f>
        <v/>
      </c>
      <c r="D711" s="39" t="str">
        <f>IF(A711="","",ROUND(N('Articles'!H711)+SUMIFS(mv_qty,mv_ref,A711,mv_type,"Entrée",mv_date,"&lt;"&amp;$E$1)-SUMIFS(mv_qty,mv_ref,A711,mv_type,"Sortie",mv_date,"&lt;"&amp;$E$1),6))</f>
        <v/>
      </c>
      <c r="E711" s="39" t="str">
        <f>IF(A711="","",SUMIFS(mv_qty,mv_ref,A711,mv_type,"Entrée",mv_date,"&gt;="&amp;$E$1,mv_date,"&lt;="&amp;$G$1))</f>
        <v/>
      </c>
      <c r="F711" s="39" t="str">
        <f>IF(A711="","",SUMIFS(mv_qty,mv_ref,A711,mv_type,"Sortie",mv_date,"&gt;="&amp;$E$1,mv_date,"&lt;="&amp;$G$1))</f>
        <v/>
      </c>
      <c r="G711" s="39" t="str">
        <f>IF(A711="","",ROUND(D711+E711-F711,6))</f>
        <v/>
      </c>
      <c r="H711" s="40" t="str">
        <f>IF(A711="","",G711*N('Articles'!G711))</f>
        <v/>
      </c>
    </row>
    <row r="712">
      <c r="A712" s="39" t="str">
        <f>IF('Articles'!A712="","",'Articles'!A712)</f>
        <v/>
      </c>
      <c r="B712" s="39" t="str">
        <f>IF(A712="","",'Articles'!B712&amp;"")</f>
        <v/>
      </c>
      <c r="C712" s="39" t="str">
        <f>IF(A712="","",'Articles'!D712&amp;"")</f>
        <v/>
      </c>
      <c r="D712" s="39" t="str">
        <f>IF(A712="","",ROUND(N('Articles'!H712)+SUMIFS(mv_qty,mv_ref,A712,mv_type,"Entrée",mv_date,"&lt;"&amp;$E$1)-SUMIFS(mv_qty,mv_ref,A712,mv_type,"Sortie",mv_date,"&lt;"&amp;$E$1),6))</f>
        <v/>
      </c>
      <c r="E712" s="39" t="str">
        <f>IF(A712="","",SUMIFS(mv_qty,mv_ref,A712,mv_type,"Entrée",mv_date,"&gt;="&amp;$E$1,mv_date,"&lt;="&amp;$G$1))</f>
        <v/>
      </c>
      <c r="F712" s="39" t="str">
        <f>IF(A712="","",SUMIFS(mv_qty,mv_ref,A712,mv_type,"Sortie",mv_date,"&gt;="&amp;$E$1,mv_date,"&lt;="&amp;$G$1))</f>
        <v/>
      </c>
      <c r="G712" s="39" t="str">
        <f>IF(A712="","",ROUND(D712+E712-F712,6))</f>
        <v/>
      </c>
      <c r="H712" s="40" t="str">
        <f>IF(A712="","",G712*N('Articles'!G712))</f>
        <v/>
      </c>
    </row>
    <row r="713">
      <c r="A713" s="39" t="str">
        <f>IF('Articles'!A713="","",'Articles'!A713)</f>
        <v/>
      </c>
      <c r="B713" s="39" t="str">
        <f>IF(A713="","",'Articles'!B713&amp;"")</f>
        <v/>
      </c>
      <c r="C713" s="39" t="str">
        <f>IF(A713="","",'Articles'!D713&amp;"")</f>
        <v/>
      </c>
      <c r="D713" s="39" t="str">
        <f>IF(A713="","",ROUND(N('Articles'!H713)+SUMIFS(mv_qty,mv_ref,A713,mv_type,"Entrée",mv_date,"&lt;"&amp;$E$1)-SUMIFS(mv_qty,mv_ref,A713,mv_type,"Sortie",mv_date,"&lt;"&amp;$E$1),6))</f>
        <v/>
      </c>
      <c r="E713" s="39" t="str">
        <f>IF(A713="","",SUMIFS(mv_qty,mv_ref,A713,mv_type,"Entrée",mv_date,"&gt;="&amp;$E$1,mv_date,"&lt;="&amp;$G$1))</f>
        <v/>
      </c>
      <c r="F713" s="39" t="str">
        <f>IF(A713="","",SUMIFS(mv_qty,mv_ref,A713,mv_type,"Sortie",mv_date,"&gt;="&amp;$E$1,mv_date,"&lt;="&amp;$G$1))</f>
        <v/>
      </c>
      <c r="G713" s="39" t="str">
        <f>IF(A713="","",ROUND(D713+E713-F713,6))</f>
        <v/>
      </c>
      <c r="H713" s="40" t="str">
        <f>IF(A713="","",G713*N('Articles'!G713))</f>
        <v/>
      </c>
    </row>
    <row r="714">
      <c r="A714" s="39" t="str">
        <f>IF('Articles'!A714="","",'Articles'!A714)</f>
        <v/>
      </c>
      <c r="B714" s="39" t="str">
        <f>IF(A714="","",'Articles'!B714&amp;"")</f>
        <v/>
      </c>
      <c r="C714" s="39" t="str">
        <f>IF(A714="","",'Articles'!D714&amp;"")</f>
        <v/>
      </c>
      <c r="D714" s="39" t="str">
        <f>IF(A714="","",ROUND(N('Articles'!H714)+SUMIFS(mv_qty,mv_ref,A714,mv_type,"Entrée",mv_date,"&lt;"&amp;$E$1)-SUMIFS(mv_qty,mv_ref,A714,mv_type,"Sortie",mv_date,"&lt;"&amp;$E$1),6))</f>
        <v/>
      </c>
      <c r="E714" s="39" t="str">
        <f>IF(A714="","",SUMIFS(mv_qty,mv_ref,A714,mv_type,"Entrée",mv_date,"&gt;="&amp;$E$1,mv_date,"&lt;="&amp;$G$1))</f>
        <v/>
      </c>
      <c r="F714" s="39" t="str">
        <f>IF(A714="","",SUMIFS(mv_qty,mv_ref,A714,mv_type,"Sortie",mv_date,"&gt;="&amp;$E$1,mv_date,"&lt;="&amp;$G$1))</f>
        <v/>
      </c>
      <c r="G714" s="39" t="str">
        <f>IF(A714="","",ROUND(D714+E714-F714,6))</f>
        <v/>
      </c>
      <c r="H714" s="40" t="str">
        <f>IF(A714="","",G714*N('Articles'!G714))</f>
        <v/>
      </c>
    </row>
    <row r="715">
      <c r="A715" s="39" t="str">
        <f>IF('Articles'!A715="","",'Articles'!A715)</f>
        <v/>
      </c>
      <c r="B715" s="39" t="str">
        <f>IF(A715="","",'Articles'!B715&amp;"")</f>
        <v/>
      </c>
      <c r="C715" s="39" t="str">
        <f>IF(A715="","",'Articles'!D715&amp;"")</f>
        <v/>
      </c>
      <c r="D715" s="39" t="str">
        <f>IF(A715="","",ROUND(N('Articles'!H715)+SUMIFS(mv_qty,mv_ref,A715,mv_type,"Entrée",mv_date,"&lt;"&amp;$E$1)-SUMIFS(mv_qty,mv_ref,A715,mv_type,"Sortie",mv_date,"&lt;"&amp;$E$1),6))</f>
        <v/>
      </c>
      <c r="E715" s="39" t="str">
        <f>IF(A715="","",SUMIFS(mv_qty,mv_ref,A715,mv_type,"Entrée",mv_date,"&gt;="&amp;$E$1,mv_date,"&lt;="&amp;$G$1))</f>
        <v/>
      </c>
      <c r="F715" s="39" t="str">
        <f>IF(A715="","",SUMIFS(mv_qty,mv_ref,A715,mv_type,"Sortie",mv_date,"&gt;="&amp;$E$1,mv_date,"&lt;="&amp;$G$1))</f>
        <v/>
      </c>
      <c r="G715" s="39" t="str">
        <f>IF(A715="","",ROUND(D715+E715-F715,6))</f>
        <v/>
      </c>
      <c r="H715" s="40" t="str">
        <f>IF(A715="","",G715*N('Articles'!G715))</f>
        <v/>
      </c>
    </row>
    <row r="716">
      <c r="A716" s="39" t="str">
        <f>IF('Articles'!A716="","",'Articles'!A716)</f>
        <v/>
      </c>
      <c r="B716" s="39" t="str">
        <f>IF(A716="","",'Articles'!B716&amp;"")</f>
        <v/>
      </c>
      <c r="C716" s="39" t="str">
        <f>IF(A716="","",'Articles'!D716&amp;"")</f>
        <v/>
      </c>
      <c r="D716" s="39" t="str">
        <f>IF(A716="","",ROUND(N('Articles'!H716)+SUMIFS(mv_qty,mv_ref,A716,mv_type,"Entrée",mv_date,"&lt;"&amp;$E$1)-SUMIFS(mv_qty,mv_ref,A716,mv_type,"Sortie",mv_date,"&lt;"&amp;$E$1),6))</f>
        <v/>
      </c>
      <c r="E716" s="39" t="str">
        <f>IF(A716="","",SUMIFS(mv_qty,mv_ref,A716,mv_type,"Entrée",mv_date,"&gt;="&amp;$E$1,mv_date,"&lt;="&amp;$G$1))</f>
        <v/>
      </c>
      <c r="F716" s="39" t="str">
        <f>IF(A716="","",SUMIFS(mv_qty,mv_ref,A716,mv_type,"Sortie",mv_date,"&gt;="&amp;$E$1,mv_date,"&lt;="&amp;$G$1))</f>
        <v/>
      </c>
      <c r="G716" s="39" t="str">
        <f>IF(A716="","",ROUND(D716+E716-F716,6))</f>
        <v/>
      </c>
      <c r="H716" s="40" t="str">
        <f>IF(A716="","",G716*N('Articles'!G716))</f>
        <v/>
      </c>
    </row>
    <row r="717">
      <c r="A717" s="39" t="str">
        <f>IF('Articles'!A717="","",'Articles'!A717)</f>
        <v/>
      </c>
      <c r="B717" s="39" t="str">
        <f>IF(A717="","",'Articles'!B717&amp;"")</f>
        <v/>
      </c>
      <c r="C717" s="39" t="str">
        <f>IF(A717="","",'Articles'!D717&amp;"")</f>
        <v/>
      </c>
      <c r="D717" s="39" t="str">
        <f>IF(A717="","",ROUND(N('Articles'!H717)+SUMIFS(mv_qty,mv_ref,A717,mv_type,"Entrée",mv_date,"&lt;"&amp;$E$1)-SUMIFS(mv_qty,mv_ref,A717,mv_type,"Sortie",mv_date,"&lt;"&amp;$E$1),6))</f>
        <v/>
      </c>
      <c r="E717" s="39" t="str">
        <f>IF(A717="","",SUMIFS(mv_qty,mv_ref,A717,mv_type,"Entrée",mv_date,"&gt;="&amp;$E$1,mv_date,"&lt;="&amp;$G$1))</f>
        <v/>
      </c>
      <c r="F717" s="39" t="str">
        <f>IF(A717="","",SUMIFS(mv_qty,mv_ref,A717,mv_type,"Sortie",mv_date,"&gt;="&amp;$E$1,mv_date,"&lt;="&amp;$G$1))</f>
        <v/>
      </c>
      <c r="G717" s="39" t="str">
        <f>IF(A717="","",ROUND(D717+E717-F717,6))</f>
        <v/>
      </c>
      <c r="H717" s="40" t="str">
        <f>IF(A717="","",G717*N('Articles'!G717))</f>
        <v/>
      </c>
    </row>
    <row r="718">
      <c r="A718" s="39" t="str">
        <f>IF('Articles'!A718="","",'Articles'!A718)</f>
        <v/>
      </c>
      <c r="B718" s="39" t="str">
        <f>IF(A718="","",'Articles'!B718&amp;"")</f>
        <v/>
      </c>
      <c r="C718" s="39" t="str">
        <f>IF(A718="","",'Articles'!D718&amp;"")</f>
        <v/>
      </c>
      <c r="D718" s="39" t="str">
        <f>IF(A718="","",ROUND(N('Articles'!H718)+SUMIFS(mv_qty,mv_ref,A718,mv_type,"Entrée",mv_date,"&lt;"&amp;$E$1)-SUMIFS(mv_qty,mv_ref,A718,mv_type,"Sortie",mv_date,"&lt;"&amp;$E$1),6))</f>
        <v/>
      </c>
      <c r="E718" s="39" t="str">
        <f>IF(A718="","",SUMIFS(mv_qty,mv_ref,A718,mv_type,"Entrée",mv_date,"&gt;="&amp;$E$1,mv_date,"&lt;="&amp;$G$1))</f>
        <v/>
      </c>
      <c r="F718" s="39" t="str">
        <f>IF(A718="","",SUMIFS(mv_qty,mv_ref,A718,mv_type,"Sortie",mv_date,"&gt;="&amp;$E$1,mv_date,"&lt;="&amp;$G$1))</f>
        <v/>
      </c>
      <c r="G718" s="39" t="str">
        <f>IF(A718="","",ROUND(D718+E718-F718,6))</f>
        <v/>
      </c>
      <c r="H718" s="40" t="str">
        <f>IF(A718="","",G718*N('Articles'!G718))</f>
        <v/>
      </c>
    </row>
    <row r="719">
      <c r="A719" s="39" t="str">
        <f>IF('Articles'!A719="","",'Articles'!A719)</f>
        <v/>
      </c>
      <c r="B719" s="39" t="str">
        <f>IF(A719="","",'Articles'!B719&amp;"")</f>
        <v/>
      </c>
      <c r="C719" s="39" t="str">
        <f>IF(A719="","",'Articles'!D719&amp;"")</f>
        <v/>
      </c>
      <c r="D719" s="39" t="str">
        <f>IF(A719="","",ROUND(N('Articles'!H719)+SUMIFS(mv_qty,mv_ref,A719,mv_type,"Entrée",mv_date,"&lt;"&amp;$E$1)-SUMIFS(mv_qty,mv_ref,A719,mv_type,"Sortie",mv_date,"&lt;"&amp;$E$1),6))</f>
        <v/>
      </c>
      <c r="E719" s="39" t="str">
        <f>IF(A719="","",SUMIFS(mv_qty,mv_ref,A719,mv_type,"Entrée",mv_date,"&gt;="&amp;$E$1,mv_date,"&lt;="&amp;$G$1))</f>
        <v/>
      </c>
      <c r="F719" s="39" t="str">
        <f>IF(A719="","",SUMIFS(mv_qty,mv_ref,A719,mv_type,"Sortie",mv_date,"&gt;="&amp;$E$1,mv_date,"&lt;="&amp;$G$1))</f>
        <v/>
      </c>
      <c r="G719" s="39" t="str">
        <f>IF(A719="","",ROUND(D719+E719-F719,6))</f>
        <v/>
      </c>
      <c r="H719" s="40" t="str">
        <f>IF(A719="","",G719*N('Articles'!G719))</f>
        <v/>
      </c>
    </row>
    <row r="720">
      <c r="A720" s="39" t="str">
        <f>IF('Articles'!A720="","",'Articles'!A720)</f>
        <v/>
      </c>
      <c r="B720" s="39" t="str">
        <f>IF(A720="","",'Articles'!B720&amp;"")</f>
        <v/>
      </c>
      <c r="C720" s="39" t="str">
        <f>IF(A720="","",'Articles'!D720&amp;"")</f>
        <v/>
      </c>
      <c r="D720" s="39" t="str">
        <f>IF(A720="","",ROUND(N('Articles'!H720)+SUMIFS(mv_qty,mv_ref,A720,mv_type,"Entrée",mv_date,"&lt;"&amp;$E$1)-SUMIFS(mv_qty,mv_ref,A720,mv_type,"Sortie",mv_date,"&lt;"&amp;$E$1),6))</f>
        <v/>
      </c>
      <c r="E720" s="39" t="str">
        <f>IF(A720="","",SUMIFS(mv_qty,mv_ref,A720,mv_type,"Entrée",mv_date,"&gt;="&amp;$E$1,mv_date,"&lt;="&amp;$G$1))</f>
        <v/>
      </c>
      <c r="F720" s="39" t="str">
        <f>IF(A720="","",SUMIFS(mv_qty,mv_ref,A720,mv_type,"Sortie",mv_date,"&gt;="&amp;$E$1,mv_date,"&lt;="&amp;$G$1))</f>
        <v/>
      </c>
      <c r="G720" s="39" t="str">
        <f>IF(A720="","",ROUND(D720+E720-F720,6))</f>
        <v/>
      </c>
      <c r="H720" s="40" t="str">
        <f>IF(A720="","",G720*N('Articles'!G720))</f>
        <v/>
      </c>
    </row>
    <row r="721">
      <c r="A721" s="39" t="str">
        <f>IF('Articles'!A721="","",'Articles'!A721)</f>
        <v/>
      </c>
      <c r="B721" s="39" t="str">
        <f>IF(A721="","",'Articles'!B721&amp;"")</f>
        <v/>
      </c>
      <c r="C721" s="39" t="str">
        <f>IF(A721="","",'Articles'!D721&amp;"")</f>
        <v/>
      </c>
      <c r="D721" s="39" t="str">
        <f>IF(A721="","",ROUND(N('Articles'!H721)+SUMIFS(mv_qty,mv_ref,A721,mv_type,"Entrée",mv_date,"&lt;"&amp;$E$1)-SUMIFS(mv_qty,mv_ref,A721,mv_type,"Sortie",mv_date,"&lt;"&amp;$E$1),6))</f>
        <v/>
      </c>
      <c r="E721" s="39" t="str">
        <f>IF(A721="","",SUMIFS(mv_qty,mv_ref,A721,mv_type,"Entrée",mv_date,"&gt;="&amp;$E$1,mv_date,"&lt;="&amp;$G$1))</f>
        <v/>
      </c>
      <c r="F721" s="39" t="str">
        <f>IF(A721="","",SUMIFS(mv_qty,mv_ref,A721,mv_type,"Sortie",mv_date,"&gt;="&amp;$E$1,mv_date,"&lt;="&amp;$G$1))</f>
        <v/>
      </c>
      <c r="G721" s="39" t="str">
        <f>IF(A721="","",ROUND(D721+E721-F721,6))</f>
        <v/>
      </c>
      <c r="H721" s="40" t="str">
        <f>IF(A721="","",G721*N('Articles'!G721))</f>
        <v/>
      </c>
    </row>
    <row r="722">
      <c r="A722" s="39" t="str">
        <f>IF('Articles'!A722="","",'Articles'!A722)</f>
        <v/>
      </c>
      <c r="B722" s="39" t="str">
        <f>IF(A722="","",'Articles'!B722&amp;"")</f>
        <v/>
      </c>
      <c r="C722" s="39" t="str">
        <f>IF(A722="","",'Articles'!D722&amp;"")</f>
        <v/>
      </c>
      <c r="D722" s="39" t="str">
        <f>IF(A722="","",ROUND(N('Articles'!H722)+SUMIFS(mv_qty,mv_ref,A722,mv_type,"Entrée",mv_date,"&lt;"&amp;$E$1)-SUMIFS(mv_qty,mv_ref,A722,mv_type,"Sortie",mv_date,"&lt;"&amp;$E$1),6))</f>
        <v/>
      </c>
      <c r="E722" s="39" t="str">
        <f>IF(A722="","",SUMIFS(mv_qty,mv_ref,A722,mv_type,"Entrée",mv_date,"&gt;="&amp;$E$1,mv_date,"&lt;="&amp;$G$1))</f>
        <v/>
      </c>
      <c r="F722" s="39" t="str">
        <f>IF(A722="","",SUMIFS(mv_qty,mv_ref,A722,mv_type,"Sortie",mv_date,"&gt;="&amp;$E$1,mv_date,"&lt;="&amp;$G$1))</f>
        <v/>
      </c>
      <c r="G722" s="39" t="str">
        <f>IF(A722="","",ROUND(D722+E722-F722,6))</f>
        <v/>
      </c>
      <c r="H722" s="40" t="str">
        <f>IF(A722="","",G722*N('Articles'!G722))</f>
        <v/>
      </c>
    </row>
    <row r="723">
      <c r="A723" s="39" t="str">
        <f>IF('Articles'!A723="","",'Articles'!A723)</f>
        <v/>
      </c>
      <c r="B723" s="39" t="str">
        <f>IF(A723="","",'Articles'!B723&amp;"")</f>
        <v/>
      </c>
      <c r="C723" s="39" t="str">
        <f>IF(A723="","",'Articles'!D723&amp;"")</f>
        <v/>
      </c>
      <c r="D723" s="39" t="str">
        <f>IF(A723="","",ROUND(N('Articles'!H723)+SUMIFS(mv_qty,mv_ref,A723,mv_type,"Entrée",mv_date,"&lt;"&amp;$E$1)-SUMIFS(mv_qty,mv_ref,A723,mv_type,"Sortie",mv_date,"&lt;"&amp;$E$1),6))</f>
        <v/>
      </c>
      <c r="E723" s="39" t="str">
        <f>IF(A723="","",SUMIFS(mv_qty,mv_ref,A723,mv_type,"Entrée",mv_date,"&gt;="&amp;$E$1,mv_date,"&lt;="&amp;$G$1))</f>
        <v/>
      </c>
      <c r="F723" s="39" t="str">
        <f>IF(A723="","",SUMIFS(mv_qty,mv_ref,A723,mv_type,"Sortie",mv_date,"&gt;="&amp;$E$1,mv_date,"&lt;="&amp;$G$1))</f>
        <v/>
      </c>
      <c r="G723" s="39" t="str">
        <f>IF(A723="","",ROUND(D723+E723-F723,6))</f>
        <v/>
      </c>
      <c r="H723" s="40" t="str">
        <f>IF(A723="","",G723*N('Articles'!G723))</f>
        <v/>
      </c>
    </row>
    <row r="724">
      <c r="A724" s="39" t="str">
        <f>IF('Articles'!A724="","",'Articles'!A724)</f>
        <v/>
      </c>
      <c r="B724" s="39" t="str">
        <f>IF(A724="","",'Articles'!B724&amp;"")</f>
        <v/>
      </c>
      <c r="C724" s="39" t="str">
        <f>IF(A724="","",'Articles'!D724&amp;"")</f>
        <v/>
      </c>
      <c r="D724" s="39" t="str">
        <f>IF(A724="","",ROUND(N('Articles'!H724)+SUMIFS(mv_qty,mv_ref,A724,mv_type,"Entrée",mv_date,"&lt;"&amp;$E$1)-SUMIFS(mv_qty,mv_ref,A724,mv_type,"Sortie",mv_date,"&lt;"&amp;$E$1),6))</f>
        <v/>
      </c>
      <c r="E724" s="39" t="str">
        <f>IF(A724="","",SUMIFS(mv_qty,mv_ref,A724,mv_type,"Entrée",mv_date,"&gt;="&amp;$E$1,mv_date,"&lt;="&amp;$G$1))</f>
        <v/>
      </c>
      <c r="F724" s="39" t="str">
        <f>IF(A724="","",SUMIFS(mv_qty,mv_ref,A724,mv_type,"Sortie",mv_date,"&gt;="&amp;$E$1,mv_date,"&lt;="&amp;$G$1))</f>
        <v/>
      </c>
      <c r="G724" s="39" t="str">
        <f>IF(A724="","",ROUND(D724+E724-F724,6))</f>
        <v/>
      </c>
      <c r="H724" s="40" t="str">
        <f>IF(A724="","",G724*N('Articles'!G724))</f>
        <v/>
      </c>
    </row>
    <row r="725">
      <c r="A725" s="39" t="str">
        <f>IF('Articles'!A725="","",'Articles'!A725)</f>
        <v/>
      </c>
      <c r="B725" s="39" t="str">
        <f>IF(A725="","",'Articles'!B725&amp;"")</f>
        <v/>
      </c>
      <c r="C725" s="39" t="str">
        <f>IF(A725="","",'Articles'!D725&amp;"")</f>
        <v/>
      </c>
      <c r="D725" s="39" t="str">
        <f>IF(A725="","",ROUND(N('Articles'!H725)+SUMIFS(mv_qty,mv_ref,A725,mv_type,"Entrée",mv_date,"&lt;"&amp;$E$1)-SUMIFS(mv_qty,mv_ref,A725,mv_type,"Sortie",mv_date,"&lt;"&amp;$E$1),6))</f>
        <v/>
      </c>
      <c r="E725" s="39" t="str">
        <f>IF(A725="","",SUMIFS(mv_qty,mv_ref,A725,mv_type,"Entrée",mv_date,"&gt;="&amp;$E$1,mv_date,"&lt;="&amp;$G$1))</f>
        <v/>
      </c>
      <c r="F725" s="39" t="str">
        <f>IF(A725="","",SUMIFS(mv_qty,mv_ref,A725,mv_type,"Sortie",mv_date,"&gt;="&amp;$E$1,mv_date,"&lt;="&amp;$G$1))</f>
        <v/>
      </c>
      <c r="G725" s="39" t="str">
        <f>IF(A725="","",ROUND(D725+E725-F725,6))</f>
        <v/>
      </c>
      <c r="H725" s="40" t="str">
        <f>IF(A725="","",G725*N('Articles'!G725))</f>
        <v/>
      </c>
    </row>
    <row r="726">
      <c r="A726" s="39" t="str">
        <f>IF('Articles'!A726="","",'Articles'!A726)</f>
        <v/>
      </c>
      <c r="B726" s="39" t="str">
        <f>IF(A726="","",'Articles'!B726&amp;"")</f>
        <v/>
      </c>
      <c r="C726" s="39" t="str">
        <f>IF(A726="","",'Articles'!D726&amp;"")</f>
        <v/>
      </c>
      <c r="D726" s="39" t="str">
        <f>IF(A726="","",ROUND(N('Articles'!H726)+SUMIFS(mv_qty,mv_ref,A726,mv_type,"Entrée",mv_date,"&lt;"&amp;$E$1)-SUMIFS(mv_qty,mv_ref,A726,mv_type,"Sortie",mv_date,"&lt;"&amp;$E$1),6))</f>
        <v/>
      </c>
      <c r="E726" s="39" t="str">
        <f>IF(A726="","",SUMIFS(mv_qty,mv_ref,A726,mv_type,"Entrée",mv_date,"&gt;="&amp;$E$1,mv_date,"&lt;="&amp;$G$1))</f>
        <v/>
      </c>
      <c r="F726" s="39" t="str">
        <f>IF(A726="","",SUMIFS(mv_qty,mv_ref,A726,mv_type,"Sortie",mv_date,"&gt;="&amp;$E$1,mv_date,"&lt;="&amp;$G$1))</f>
        <v/>
      </c>
      <c r="G726" s="39" t="str">
        <f>IF(A726="","",ROUND(D726+E726-F726,6))</f>
        <v/>
      </c>
      <c r="H726" s="40" t="str">
        <f>IF(A726="","",G726*N('Articles'!G726))</f>
        <v/>
      </c>
    </row>
    <row r="727">
      <c r="A727" s="39" t="str">
        <f>IF('Articles'!A727="","",'Articles'!A727)</f>
        <v/>
      </c>
      <c r="B727" s="39" t="str">
        <f>IF(A727="","",'Articles'!B727&amp;"")</f>
        <v/>
      </c>
      <c r="C727" s="39" t="str">
        <f>IF(A727="","",'Articles'!D727&amp;"")</f>
        <v/>
      </c>
      <c r="D727" s="39" t="str">
        <f>IF(A727="","",ROUND(N('Articles'!H727)+SUMIFS(mv_qty,mv_ref,A727,mv_type,"Entrée",mv_date,"&lt;"&amp;$E$1)-SUMIFS(mv_qty,mv_ref,A727,mv_type,"Sortie",mv_date,"&lt;"&amp;$E$1),6))</f>
        <v/>
      </c>
      <c r="E727" s="39" t="str">
        <f>IF(A727="","",SUMIFS(mv_qty,mv_ref,A727,mv_type,"Entrée",mv_date,"&gt;="&amp;$E$1,mv_date,"&lt;="&amp;$G$1))</f>
        <v/>
      </c>
      <c r="F727" s="39" t="str">
        <f>IF(A727="","",SUMIFS(mv_qty,mv_ref,A727,mv_type,"Sortie",mv_date,"&gt;="&amp;$E$1,mv_date,"&lt;="&amp;$G$1))</f>
        <v/>
      </c>
      <c r="G727" s="39" t="str">
        <f>IF(A727="","",ROUND(D727+E727-F727,6))</f>
        <v/>
      </c>
      <c r="H727" s="40" t="str">
        <f>IF(A727="","",G727*N('Articles'!G727))</f>
        <v/>
      </c>
    </row>
    <row r="728">
      <c r="A728" s="39" t="str">
        <f>IF('Articles'!A728="","",'Articles'!A728)</f>
        <v/>
      </c>
      <c r="B728" s="39" t="str">
        <f>IF(A728="","",'Articles'!B728&amp;"")</f>
        <v/>
      </c>
      <c r="C728" s="39" t="str">
        <f>IF(A728="","",'Articles'!D728&amp;"")</f>
        <v/>
      </c>
      <c r="D728" s="39" t="str">
        <f>IF(A728="","",ROUND(N('Articles'!H728)+SUMIFS(mv_qty,mv_ref,A728,mv_type,"Entrée",mv_date,"&lt;"&amp;$E$1)-SUMIFS(mv_qty,mv_ref,A728,mv_type,"Sortie",mv_date,"&lt;"&amp;$E$1),6))</f>
        <v/>
      </c>
      <c r="E728" s="39" t="str">
        <f>IF(A728="","",SUMIFS(mv_qty,mv_ref,A728,mv_type,"Entrée",mv_date,"&gt;="&amp;$E$1,mv_date,"&lt;="&amp;$G$1))</f>
        <v/>
      </c>
      <c r="F728" s="39" t="str">
        <f>IF(A728="","",SUMIFS(mv_qty,mv_ref,A728,mv_type,"Sortie",mv_date,"&gt;="&amp;$E$1,mv_date,"&lt;="&amp;$G$1))</f>
        <v/>
      </c>
      <c r="G728" s="39" t="str">
        <f>IF(A728="","",ROUND(D728+E728-F728,6))</f>
        <v/>
      </c>
      <c r="H728" s="40" t="str">
        <f>IF(A728="","",G728*N('Articles'!G728))</f>
        <v/>
      </c>
    </row>
    <row r="729">
      <c r="A729" s="39" t="str">
        <f>IF('Articles'!A729="","",'Articles'!A729)</f>
        <v/>
      </c>
      <c r="B729" s="39" t="str">
        <f>IF(A729="","",'Articles'!B729&amp;"")</f>
        <v/>
      </c>
      <c r="C729" s="39" t="str">
        <f>IF(A729="","",'Articles'!D729&amp;"")</f>
        <v/>
      </c>
      <c r="D729" s="39" t="str">
        <f>IF(A729="","",ROUND(N('Articles'!H729)+SUMIFS(mv_qty,mv_ref,A729,mv_type,"Entrée",mv_date,"&lt;"&amp;$E$1)-SUMIFS(mv_qty,mv_ref,A729,mv_type,"Sortie",mv_date,"&lt;"&amp;$E$1),6))</f>
        <v/>
      </c>
      <c r="E729" s="39" t="str">
        <f>IF(A729="","",SUMIFS(mv_qty,mv_ref,A729,mv_type,"Entrée",mv_date,"&gt;="&amp;$E$1,mv_date,"&lt;="&amp;$G$1))</f>
        <v/>
      </c>
      <c r="F729" s="39" t="str">
        <f>IF(A729="","",SUMIFS(mv_qty,mv_ref,A729,mv_type,"Sortie",mv_date,"&gt;="&amp;$E$1,mv_date,"&lt;="&amp;$G$1))</f>
        <v/>
      </c>
      <c r="G729" s="39" t="str">
        <f>IF(A729="","",ROUND(D729+E729-F729,6))</f>
        <v/>
      </c>
      <c r="H729" s="40" t="str">
        <f>IF(A729="","",G729*N('Articles'!G729))</f>
        <v/>
      </c>
    </row>
    <row r="730">
      <c r="A730" s="39" t="str">
        <f>IF('Articles'!A730="","",'Articles'!A730)</f>
        <v/>
      </c>
      <c r="B730" s="39" t="str">
        <f>IF(A730="","",'Articles'!B730&amp;"")</f>
        <v/>
      </c>
      <c r="C730" s="39" t="str">
        <f>IF(A730="","",'Articles'!D730&amp;"")</f>
        <v/>
      </c>
      <c r="D730" s="39" t="str">
        <f>IF(A730="","",ROUND(N('Articles'!H730)+SUMIFS(mv_qty,mv_ref,A730,mv_type,"Entrée",mv_date,"&lt;"&amp;$E$1)-SUMIFS(mv_qty,mv_ref,A730,mv_type,"Sortie",mv_date,"&lt;"&amp;$E$1),6))</f>
        <v/>
      </c>
      <c r="E730" s="39" t="str">
        <f>IF(A730="","",SUMIFS(mv_qty,mv_ref,A730,mv_type,"Entrée",mv_date,"&gt;="&amp;$E$1,mv_date,"&lt;="&amp;$G$1))</f>
        <v/>
      </c>
      <c r="F730" s="39" t="str">
        <f>IF(A730="","",SUMIFS(mv_qty,mv_ref,A730,mv_type,"Sortie",mv_date,"&gt;="&amp;$E$1,mv_date,"&lt;="&amp;$G$1))</f>
        <v/>
      </c>
      <c r="G730" s="39" t="str">
        <f>IF(A730="","",ROUND(D730+E730-F730,6))</f>
        <v/>
      </c>
      <c r="H730" s="40" t="str">
        <f>IF(A730="","",G730*N('Articles'!G730))</f>
        <v/>
      </c>
    </row>
    <row r="731">
      <c r="A731" s="39" t="str">
        <f>IF('Articles'!A731="","",'Articles'!A731)</f>
        <v/>
      </c>
      <c r="B731" s="39" t="str">
        <f>IF(A731="","",'Articles'!B731&amp;"")</f>
        <v/>
      </c>
      <c r="C731" s="39" t="str">
        <f>IF(A731="","",'Articles'!D731&amp;"")</f>
        <v/>
      </c>
      <c r="D731" s="39" t="str">
        <f>IF(A731="","",ROUND(N('Articles'!H731)+SUMIFS(mv_qty,mv_ref,A731,mv_type,"Entrée",mv_date,"&lt;"&amp;$E$1)-SUMIFS(mv_qty,mv_ref,A731,mv_type,"Sortie",mv_date,"&lt;"&amp;$E$1),6))</f>
        <v/>
      </c>
      <c r="E731" s="39" t="str">
        <f>IF(A731="","",SUMIFS(mv_qty,mv_ref,A731,mv_type,"Entrée",mv_date,"&gt;="&amp;$E$1,mv_date,"&lt;="&amp;$G$1))</f>
        <v/>
      </c>
      <c r="F731" s="39" t="str">
        <f>IF(A731="","",SUMIFS(mv_qty,mv_ref,A731,mv_type,"Sortie",mv_date,"&gt;="&amp;$E$1,mv_date,"&lt;="&amp;$G$1))</f>
        <v/>
      </c>
      <c r="G731" s="39" t="str">
        <f>IF(A731="","",ROUND(D731+E731-F731,6))</f>
        <v/>
      </c>
      <c r="H731" s="40" t="str">
        <f>IF(A731="","",G731*N('Articles'!G731))</f>
        <v/>
      </c>
    </row>
    <row r="732">
      <c r="A732" s="39" t="str">
        <f>IF('Articles'!A732="","",'Articles'!A732)</f>
        <v/>
      </c>
      <c r="B732" s="39" t="str">
        <f>IF(A732="","",'Articles'!B732&amp;"")</f>
        <v/>
      </c>
      <c r="C732" s="39" t="str">
        <f>IF(A732="","",'Articles'!D732&amp;"")</f>
        <v/>
      </c>
      <c r="D732" s="39" t="str">
        <f>IF(A732="","",ROUND(N('Articles'!H732)+SUMIFS(mv_qty,mv_ref,A732,mv_type,"Entrée",mv_date,"&lt;"&amp;$E$1)-SUMIFS(mv_qty,mv_ref,A732,mv_type,"Sortie",mv_date,"&lt;"&amp;$E$1),6))</f>
        <v/>
      </c>
      <c r="E732" s="39" t="str">
        <f>IF(A732="","",SUMIFS(mv_qty,mv_ref,A732,mv_type,"Entrée",mv_date,"&gt;="&amp;$E$1,mv_date,"&lt;="&amp;$G$1))</f>
        <v/>
      </c>
      <c r="F732" s="39" t="str">
        <f>IF(A732="","",SUMIFS(mv_qty,mv_ref,A732,mv_type,"Sortie",mv_date,"&gt;="&amp;$E$1,mv_date,"&lt;="&amp;$G$1))</f>
        <v/>
      </c>
      <c r="G732" s="39" t="str">
        <f>IF(A732="","",ROUND(D732+E732-F732,6))</f>
        <v/>
      </c>
      <c r="H732" s="40" t="str">
        <f>IF(A732="","",G732*N('Articles'!G732))</f>
        <v/>
      </c>
    </row>
    <row r="733">
      <c r="A733" s="39" t="str">
        <f>IF('Articles'!A733="","",'Articles'!A733)</f>
        <v/>
      </c>
      <c r="B733" s="39" t="str">
        <f>IF(A733="","",'Articles'!B733&amp;"")</f>
        <v/>
      </c>
      <c r="C733" s="39" t="str">
        <f>IF(A733="","",'Articles'!D733&amp;"")</f>
        <v/>
      </c>
      <c r="D733" s="39" t="str">
        <f>IF(A733="","",ROUND(N('Articles'!H733)+SUMIFS(mv_qty,mv_ref,A733,mv_type,"Entrée",mv_date,"&lt;"&amp;$E$1)-SUMIFS(mv_qty,mv_ref,A733,mv_type,"Sortie",mv_date,"&lt;"&amp;$E$1),6))</f>
        <v/>
      </c>
      <c r="E733" s="39" t="str">
        <f>IF(A733="","",SUMIFS(mv_qty,mv_ref,A733,mv_type,"Entrée",mv_date,"&gt;="&amp;$E$1,mv_date,"&lt;="&amp;$G$1))</f>
        <v/>
      </c>
      <c r="F733" s="39" t="str">
        <f>IF(A733="","",SUMIFS(mv_qty,mv_ref,A733,mv_type,"Sortie",mv_date,"&gt;="&amp;$E$1,mv_date,"&lt;="&amp;$G$1))</f>
        <v/>
      </c>
      <c r="G733" s="39" t="str">
        <f>IF(A733="","",ROUND(D733+E733-F733,6))</f>
        <v/>
      </c>
      <c r="H733" s="40" t="str">
        <f>IF(A733="","",G733*N('Articles'!G733))</f>
        <v/>
      </c>
    </row>
    <row r="734">
      <c r="A734" s="39" t="str">
        <f>IF('Articles'!A734="","",'Articles'!A734)</f>
        <v/>
      </c>
      <c r="B734" s="39" t="str">
        <f>IF(A734="","",'Articles'!B734&amp;"")</f>
        <v/>
      </c>
      <c r="C734" s="39" t="str">
        <f>IF(A734="","",'Articles'!D734&amp;"")</f>
        <v/>
      </c>
      <c r="D734" s="39" t="str">
        <f>IF(A734="","",ROUND(N('Articles'!H734)+SUMIFS(mv_qty,mv_ref,A734,mv_type,"Entrée",mv_date,"&lt;"&amp;$E$1)-SUMIFS(mv_qty,mv_ref,A734,mv_type,"Sortie",mv_date,"&lt;"&amp;$E$1),6))</f>
        <v/>
      </c>
      <c r="E734" s="39" t="str">
        <f>IF(A734="","",SUMIFS(mv_qty,mv_ref,A734,mv_type,"Entrée",mv_date,"&gt;="&amp;$E$1,mv_date,"&lt;="&amp;$G$1))</f>
        <v/>
      </c>
      <c r="F734" s="39" t="str">
        <f>IF(A734="","",SUMIFS(mv_qty,mv_ref,A734,mv_type,"Sortie",mv_date,"&gt;="&amp;$E$1,mv_date,"&lt;="&amp;$G$1))</f>
        <v/>
      </c>
      <c r="G734" s="39" t="str">
        <f>IF(A734="","",ROUND(D734+E734-F734,6))</f>
        <v/>
      </c>
      <c r="H734" s="40" t="str">
        <f>IF(A734="","",G734*N('Articles'!G734))</f>
        <v/>
      </c>
    </row>
    <row r="735">
      <c r="A735" s="39" t="str">
        <f>IF('Articles'!A735="","",'Articles'!A735)</f>
        <v/>
      </c>
      <c r="B735" s="39" t="str">
        <f>IF(A735="","",'Articles'!B735&amp;"")</f>
        <v/>
      </c>
      <c r="C735" s="39" t="str">
        <f>IF(A735="","",'Articles'!D735&amp;"")</f>
        <v/>
      </c>
      <c r="D735" s="39" t="str">
        <f>IF(A735="","",ROUND(N('Articles'!H735)+SUMIFS(mv_qty,mv_ref,A735,mv_type,"Entrée",mv_date,"&lt;"&amp;$E$1)-SUMIFS(mv_qty,mv_ref,A735,mv_type,"Sortie",mv_date,"&lt;"&amp;$E$1),6))</f>
        <v/>
      </c>
      <c r="E735" s="39" t="str">
        <f>IF(A735="","",SUMIFS(mv_qty,mv_ref,A735,mv_type,"Entrée",mv_date,"&gt;="&amp;$E$1,mv_date,"&lt;="&amp;$G$1))</f>
        <v/>
      </c>
      <c r="F735" s="39" t="str">
        <f>IF(A735="","",SUMIFS(mv_qty,mv_ref,A735,mv_type,"Sortie",mv_date,"&gt;="&amp;$E$1,mv_date,"&lt;="&amp;$G$1))</f>
        <v/>
      </c>
      <c r="G735" s="39" t="str">
        <f>IF(A735="","",ROUND(D735+E735-F735,6))</f>
        <v/>
      </c>
      <c r="H735" s="40" t="str">
        <f>IF(A735="","",G735*N('Articles'!G735))</f>
        <v/>
      </c>
    </row>
    <row r="736">
      <c r="A736" s="39" t="str">
        <f>IF('Articles'!A736="","",'Articles'!A736)</f>
        <v/>
      </c>
      <c r="B736" s="39" t="str">
        <f>IF(A736="","",'Articles'!B736&amp;"")</f>
        <v/>
      </c>
      <c r="C736" s="39" t="str">
        <f>IF(A736="","",'Articles'!D736&amp;"")</f>
        <v/>
      </c>
      <c r="D736" s="39" t="str">
        <f>IF(A736="","",ROUND(N('Articles'!H736)+SUMIFS(mv_qty,mv_ref,A736,mv_type,"Entrée",mv_date,"&lt;"&amp;$E$1)-SUMIFS(mv_qty,mv_ref,A736,mv_type,"Sortie",mv_date,"&lt;"&amp;$E$1),6))</f>
        <v/>
      </c>
      <c r="E736" s="39" t="str">
        <f>IF(A736="","",SUMIFS(mv_qty,mv_ref,A736,mv_type,"Entrée",mv_date,"&gt;="&amp;$E$1,mv_date,"&lt;="&amp;$G$1))</f>
        <v/>
      </c>
      <c r="F736" s="39" t="str">
        <f>IF(A736="","",SUMIFS(mv_qty,mv_ref,A736,mv_type,"Sortie",mv_date,"&gt;="&amp;$E$1,mv_date,"&lt;="&amp;$G$1))</f>
        <v/>
      </c>
      <c r="G736" s="39" t="str">
        <f>IF(A736="","",ROUND(D736+E736-F736,6))</f>
        <v/>
      </c>
      <c r="H736" s="40" t="str">
        <f>IF(A736="","",G736*N('Articles'!G736))</f>
        <v/>
      </c>
    </row>
    <row r="737">
      <c r="A737" s="39" t="str">
        <f>IF('Articles'!A737="","",'Articles'!A737)</f>
        <v/>
      </c>
      <c r="B737" s="39" t="str">
        <f>IF(A737="","",'Articles'!B737&amp;"")</f>
        <v/>
      </c>
      <c r="C737" s="39" t="str">
        <f>IF(A737="","",'Articles'!D737&amp;"")</f>
        <v/>
      </c>
      <c r="D737" s="39" t="str">
        <f>IF(A737="","",ROUND(N('Articles'!H737)+SUMIFS(mv_qty,mv_ref,A737,mv_type,"Entrée",mv_date,"&lt;"&amp;$E$1)-SUMIFS(mv_qty,mv_ref,A737,mv_type,"Sortie",mv_date,"&lt;"&amp;$E$1),6))</f>
        <v/>
      </c>
      <c r="E737" s="39" t="str">
        <f>IF(A737="","",SUMIFS(mv_qty,mv_ref,A737,mv_type,"Entrée",mv_date,"&gt;="&amp;$E$1,mv_date,"&lt;="&amp;$G$1))</f>
        <v/>
      </c>
      <c r="F737" s="39" t="str">
        <f>IF(A737="","",SUMIFS(mv_qty,mv_ref,A737,mv_type,"Sortie",mv_date,"&gt;="&amp;$E$1,mv_date,"&lt;="&amp;$G$1))</f>
        <v/>
      </c>
      <c r="G737" s="39" t="str">
        <f>IF(A737="","",ROUND(D737+E737-F737,6))</f>
        <v/>
      </c>
      <c r="H737" s="40" t="str">
        <f>IF(A737="","",G737*N('Articles'!G737))</f>
        <v/>
      </c>
    </row>
    <row r="738">
      <c r="A738" s="39" t="str">
        <f>IF('Articles'!A738="","",'Articles'!A738)</f>
        <v/>
      </c>
      <c r="B738" s="39" t="str">
        <f>IF(A738="","",'Articles'!B738&amp;"")</f>
        <v/>
      </c>
      <c r="C738" s="39" t="str">
        <f>IF(A738="","",'Articles'!D738&amp;"")</f>
        <v/>
      </c>
      <c r="D738" s="39" t="str">
        <f>IF(A738="","",ROUND(N('Articles'!H738)+SUMIFS(mv_qty,mv_ref,A738,mv_type,"Entrée",mv_date,"&lt;"&amp;$E$1)-SUMIFS(mv_qty,mv_ref,A738,mv_type,"Sortie",mv_date,"&lt;"&amp;$E$1),6))</f>
        <v/>
      </c>
      <c r="E738" s="39" t="str">
        <f>IF(A738="","",SUMIFS(mv_qty,mv_ref,A738,mv_type,"Entrée",mv_date,"&gt;="&amp;$E$1,mv_date,"&lt;="&amp;$G$1))</f>
        <v/>
      </c>
      <c r="F738" s="39" t="str">
        <f>IF(A738="","",SUMIFS(mv_qty,mv_ref,A738,mv_type,"Sortie",mv_date,"&gt;="&amp;$E$1,mv_date,"&lt;="&amp;$G$1))</f>
        <v/>
      </c>
      <c r="G738" s="39" t="str">
        <f>IF(A738="","",ROUND(D738+E738-F738,6))</f>
        <v/>
      </c>
      <c r="H738" s="40" t="str">
        <f>IF(A738="","",G738*N('Articles'!G738))</f>
        <v/>
      </c>
    </row>
    <row r="739">
      <c r="A739" s="39" t="str">
        <f>IF('Articles'!A739="","",'Articles'!A739)</f>
        <v/>
      </c>
      <c r="B739" s="39" t="str">
        <f>IF(A739="","",'Articles'!B739&amp;"")</f>
        <v/>
      </c>
      <c r="C739" s="39" t="str">
        <f>IF(A739="","",'Articles'!D739&amp;"")</f>
        <v/>
      </c>
      <c r="D739" s="39" t="str">
        <f>IF(A739="","",ROUND(N('Articles'!H739)+SUMIFS(mv_qty,mv_ref,A739,mv_type,"Entrée",mv_date,"&lt;"&amp;$E$1)-SUMIFS(mv_qty,mv_ref,A739,mv_type,"Sortie",mv_date,"&lt;"&amp;$E$1),6))</f>
        <v/>
      </c>
      <c r="E739" s="39" t="str">
        <f>IF(A739="","",SUMIFS(mv_qty,mv_ref,A739,mv_type,"Entrée",mv_date,"&gt;="&amp;$E$1,mv_date,"&lt;="&amp;$G$1))</f>
        <v/>
      </c>
      <c r="F739" s="39" t="str">
        <f>IF(A739="","",SUMIFS(mv_qty,mv_ref,A739,mv_type,"Sortie",mv_date,"&gt;="&amp;$E$1,mv_date,"&lt;="&amp;$G$1))</f>
        <v/>
      </c>
      <c r="G739" s="39" t="str">
        <f>IF(A739="","",ROUND(D739+E739-F739,6))</f>
        <v/>
      </c>
      <c r="H739" s="40" t="str">
        <f>IF(A739="","",G739*N('Articles'!G739))</f>
        <v/>
      </c>
    </row>
    <row r="740">
      <c r="A740" s="39" t="str">
        <f>IF('Articles'!A740="","",'Articles'!A740)</f>
        <v/>
      </c>
      <c r="B740" s="39" t="str">
        <f>IF(A740="","",'Articles'!B740&amp;"")</f>
        <v/>
      </c>
      <c r="C740" s="39" t="str">
        <f>IF(A740="","",'Articles'!D740&amp;"")</f>
        <v/>
      </c>
      <c r="D740" s="39" t="str">
        <f>IF(A740="","",ROUND(N('Articles'!H740)+SUMIFS(mv_qty,mv_ref,A740,mv_type,"Entrée",mv_date,"&lt;"&amp;$E$1)-SUMIFS(mv_qty,mv_ref,A740,mv_type,"Sortie",mv_date,"&lt;"&amp;$E$1),6))</f>
        <v/>
      </c>
      <c r="E740" s="39" t="str">
        <f>IF(A740="","",SUMIFS(mv_qty,mv_ref,A740,mv_type,"Entrée",mv_date,"&gt;="&amp;$E$1,mv_date,"&lt;="&amp;$G$1))</f>
        <v/>
      </c>
      <c r="F740" s="39" t="str">
        <f>IF(A740="","",SUMIFS(mv_qty,mv_ref,A740,mv_type,"Sortie",mv_date,"&gt;="&amp;$E$1,mv_date,"&lt;="&amp;$G$1))</f>
        <v/>
      </c>
      <c r="G740" s="39" t="str">
        <f>IF(A740="","",ROUND(D740+E740-F740,6))</f>
        <v/>
      </c>
      <c r="H740" s="40" t="str">
        <f>IF(A740="","",G740*N('Articles'!G740))</f>
        <v/>
      </c>
    </row>
    <row r="741">
      <c r="A741" s="39" t="str">
        <f>IF('Articles'!A741="","",'Articles'!A741)</f>
        <v/>
      </c>
      <c r="B741" s="39" t="str">
        <f>IF(A741="","",'Articles'!B741&amp;"")</f>
        <v/>
      </c>
      <c r="C741" s="39" t="str">
        <f>IF(A741="","",'Articles'!D741&amp;"")</f>
        <v/>
      </c>
      <c r="D741" s="39" t="str">
        <f>IF(A741="","",ROUND(N('Articles'!H741)+SUMIFS(mv_qty,mv_ref,A741,mv_type,"Entrée",mv_date,"&lt;"&amp;$E$1)-SUMIFS(mv_qty,mv_ref,A741,mv_type,"Sortie",mv_date,"&lt;"&amp;$E$1),6))</f>
        <v/>
      </c>
      <c r="E741" s="39" t="str">
        <f>IF(A741="","",SUMIFS(mv_qty,mv_ref,A741,mv_type,"Entrée",mv_date,"&gt;="&amp;$E$1,mv_date,"&lt;="&amp;$G$1))</f>
        <v/>
      </c>
      <c r="F741" s="39" t="str">
        <f>IF(A741="","",SUMIFS(mv_qty,mv_ref,A741,mv_type,"Sortie",mv_date,"&gt;="&amp;$E$1,mv_date,"&lt;="&amp;$G$1))</f>
        <v/>
      </c>
      <c r="G741" s="39" t="str">
        <f>IF(A741="","",ROUND(D741+E741-F741,6))</f>
        <v/>
      </c>
      <c r="H741" s="40" t="str">
        <f>IF(A741="","",G741*N('Articles'!G741))</f>
        <v/>
      </c>
    </row>
    <row r="742">
      <c r="A742" s="39" t="str">
        <f>IF('Articles'!A742="","",'Articles'!A742)</f>
        <v/>
      </c>
      <c r="B742" s="39" t="str">
        <f>IF(A742="","",'Articles'!B742&amp;"")</f>
        <v/>
      </c>
      <c r="C742" s="39" t="str">
        <f>IF(A742="","",'Articles'!D742&amp;"")</f>
        <v/>
      </c>
      <c r="D742" s="39" t="str">
        <f>IF(A742="","",ROUND(N('Articles'!H742)+SUMIFS(mv_qty,mv_ref,A742,mv_type,"Entrée",mv_date,"&lt;"&amp;$E$1)-SUMIFS(mv_qty,mv_ref,A742,mv_type,"Sortie",mv_date,"&lt;"&amp;$E$1),6))</f>
        <v/>
      </c>
      <c r="E742" s="39" t="str">
        <f>IF(A742="","",SUMIFS(mv_qty,mv_ref,A742,mv_type,"Entrée",mv_date,"&gt;="&amp;$E$1,mv_date,"&lt;="&amp;$G$1))</f>
        <v/>
      </c>
      <c r="F742" s="39" t="str">
        <f>IF(A742="","",SUMIFS(mv_qty,mv_ref,A742,mv_type,"Sortie",mv_date,"&gt;="&amp;$E$1,mv_date,"&lt;="&amp;$G$1))</f>
        <v/>
      </c>
      <c r="G742" s="39" t="str">
        <f>IF(A742="","",ROUND(D742+E742-F742,6))</f>
        <v/>
      </c>
      <c r="H742" s="40" t="str">
        <f>IF(A742="","",G742*N('Articles'!G742))</f>
        <v/>
      </c>
    </row>
    <row r="743">
      <c r="A743" s="39" t="str">
        <f>IF('Articles'!A743="","",'Articles'!A743)</f>
        <v/>
      </c>
      <c r="B743" s="39" t="str">
        <f>IF(A743="","",'Articles'!B743&amp;"")</f>
        <v/>
      </c>
      <c r="C743" s="39" t="str">
        <f>IF(A743="","",'Articles'!D743&amp;"")</f>
        <v/>
      </c>
      <c r="D743" s="39" t="str">
        <f>IF(A743="","",ROUND(N('Articles'!H743)+SUMIFS(mv_qty,mv_ref,A743,mv_type,"Entrée",mv_date,"&lt;"&amp;$E$1)-SUMIFS(mv_qty,mv_ref,A743,mv_type,"Sortie",mv_date,"&lt;"&amp;$E$1),6))</f>
        <v/>
      </c>
      <c r="E743" s="39" t="str">
        <f>IF(A743="","",SUMIFS(mv_qty,mv_ref,A743,mv_type,"Entrée",mv_date,"&gt;="&amp;$E$1,mv_date,"&lt;="&amp;$G$1))</f>
        <v/>
      </c>
      <c r="F743" s="39" t="str">
        <f>IF(A743="","",SUMIFS(mv_qty,mv_ref,A743,mv_type,"Sortie",mv_date,"&gt;="&amp;$E$1,mv_date,"&lt;="&amp;$G$1))</f>
        <v/>
      </c>
      <c r="G743" s="39" t="str">
        <f>IF(A743="","",ROUND(D743+E743-F743,6))</f>
        <v/>
      </c>
      <c r="H743" s="40" t="str">
        <f>IF(A743="","",G743*N('Articles'!G743))</f>
        <v/>
      </c>
    </row>
    <row r="744">
      <c r="A744" s="39" t="str">
        <f>IF('Articles'!A744="","",'Articles'!A744)</f>
        <v/>
      </c>
      <c r="B744" s="39" t="str">
        <f>IF(A744="","",'Articles'!B744&amp;"")</f>
        <v/>
      </c>
      <c r="C744" s="39" t="str">
        <f>IF(A744="","",'Articles'!D744&amp;"")</f>
        <v/>
      </c>
      <c r="D744" s="39" t="str">
        <f>IF(A744="","",ROUND(N('Articles'!H744)+SUMIFS(mv_qty,mv_ref,A744,mv_type,"Entrée",mv_date,"&lt;"&amp;$E$1)-SUMIFS(mv_qty,mv_ref,A744,mv_type,"Sortie",mv_date,"&lt;"&amp;$E$1),6))</f>
        <v/>
      </c>
      <c r="E744" s="39" t="str">
        <f>IF(A744="","",SUMIFS(mv_qty,mv_ref,A744,mv_type,"Entrée",mv_date,"&gt;="&amp;$E$1,mv_date,"&lt;="&amp;$G$1))</f>
        <v/>
      </c>
      <c r="F744" s="39" t="str">
        <f>IF(A744="","",SUMIFS(mv_qty,mv_ref,A744,mv_type,"Sortie",mv_date,"&gt;="&amp;$E$1,mv_date,"&lt;="&amp;$G$1))</f>
        <v/>
      </c>
      <c r="G744" s="39" t="str">
        <f>IF(A744="","",ROUND(D744+E744-F744,6))</f>
        <v/>
      </c>
      <c r="H744" s="40" t="str">
        <f>IF(A744="","",G744*N('Articles'!G744))</f>
        <v/>
      </c>
    </row>
    <row r="745">
      <c r="A745" s="39" t="str">
        <f>IF('Articles'!A745="","",'Articles'!A745)</f>
        <v/>
      </c>
      <c r="B745" s="39" t="str">
        <f>IF(A745="","",'Articles'!B745&amp;"")</f>
        <v/>
      </c>
      <c r="C745" s="39" t="str">
        <f>IF(A745="","",'Articles'!D745&amp;"")</f>
        <v/>
      </c>
      <c r="D745" s="39" t="str">
        <f>IF(A745="","",ROUND(N('Articles'!H745)+SUMIFS(mv_qty,mv_ref,A745,mv_type,"Entrée",mv_date,"&lt;"&amp;$E$1)-SUMIFS(mv_qty,mv_ref,A745,mv_type,"Sortie",mv_date,"&lt;"&amp;$E$1),6))</f>
        <v/>
      </c>
      <c r="E745" s="39" t="str">
        <f>IF(A745="","",SUMIFS(mv_qty,mv_ref,A745,mv_type,"Entrée",mv_date,"&gt;="&amp;$E$1,mv_date,"&lt;="&amp;$G$1))</f>
        <v/>
      </c>
      <c r="F745" s="39" t="str">
        <f>IF(A745="","",SUMIFS(mv_qty,mv_ref,A745,mv_type,"Sortie",mv_date,"&gt;="&amp;$E$1,mv_date,"&lt;="&amp;$G$1))</f>
        <v/>
      </c>
      <c r="G745" s="39" t="str">
        <f>IF(A745="","",ROUND(D745+E745-F745,6))</f>
        <v/>
      </c>
      <c r="H745" s="40" t="str">
        <f>IF(A745="","",G745*N('Articles'!G745))</f>
        <v/>
      </c>
    </row>
    <row r="746">
      <c r="A746" s="39" t="str">
        <f>IF('Articles'!A746="","",'Articles'!A746)</f>
        <v/>
      </c>
      <c r="B746" s="39" t="str">
        <f>IF(A746="","",'Articles'!B746&amp;"")</f>
        <v/>
      </c>
      <c r="C746" s="39" t="str">
        <f>IF(A746="","",'Articles'!D746&amp;"")</f>
        <v/>
      </c>
      <c r="D746" s="39" t="str">
        <f>IF(A746="","",ROUND(N('Articles'!H746)+SUMIFS(mv_qty,mv_ref,A746,mv_type,"Entrée",mv_date,"&lt;"&amp;$E$1)-SUMIFS(mv_qty,mv_ref,A746,mv_type,"Sortie",mv_date,"&lt;"&amp;$E$1),6))</f>
        <v/>
      </c>
      <c r="E746" s="39" t="str">
        <f>IF(A746="","",SUMIFS(mv_qty,mv_ref,A746,mv_type,"Entrée",mv_date,"&gt;="&amp;$E$1,mv_date,"&lt;="&amp;$G$1))</f>
        <v/>
      </c>
      <c r="F746" s="39" t="str">
        <f>IF(A746="","",SUMIFS(mv_qty,mv_ref,A746,mv_type,"Sortie",mv_date,"&gt;="&amp;$E$1,mv_date,"&lt;="&amp;$G$1))</f>
        <v/>
      </c>
      <c r="G746" s="39" t="str">
        <f>IF(A746="","",ROUND(D746+E746-F746,6))</f>
        <v/>
      </c>
      <c r="H746" s="40" t="str">
        <f>IF(A746="","",G746*N('Articles'!G746))</f>
        <v/>
      </c>
    </row>
    <row r="747">
      <c r="A747" s="39" t="str">
        <f>IF('Articles'!A747="","",'Articles'!A747)</f>
        <v/>
      </c>
      <c r="B747" s="39" t="str">
        <f>IF(A747="","",'Articles'!B747&amp;"")</f>
        <v/>
      </c>
      <c r="C747" s="39" t="str">
        <f>IF(A747="","",'Articles'!D747&amp;"")</f>
        <v/>
      </c>
      <c r="D747" s="39" t="str">
        <f>IF(A747="","",ROUND(N('Articles'!H747)+SUMIFS(mv_qty,mv_ref,A747,mv_type,"Entrée",mv_date,"&lt;"&amp;$E$1)-SUMIFS(mv_qty,mv_ref,A747,mv_type,"Sortie",mv_date,"&lt;"&amp;$E$1),6))</f>
        <v/>
      </c>
      <c r="E747" s="39" t="str">
        <f>IF(A747="","",SUMIFS(mv_qty,mv_ref,A747,mv_type,"Entrée",mv_date,"&gt;="&amp;$E$1,mv_date,"&lt;="&amp;$G$1))</f>
        <v/>
      </c>
      <c r="F747" s="39" t="str">
        <f>IF(A747="","",SUMIFS(mv_qty,mv_ref,A747,mv_type,"Sortie",mv_date,"&gt;="&amp;$E$1,mv_date,"&lt;="&amp;$G$1))</f>
        <v/>
      </c>
      <c r="G747" s="39" t="str">
        <f>IF(A747="","",ROUND(D747+E747-F747,6))</f>
        <v/>
      </c>
      <c r="H747" s="40" t="str">
        <f>IF(A747="","",G747*N('Articles'!G747))</f>
        <v/>
      </c>
    </row>
    <row r="748">
      <c r="A748" s="39" t="str">
        <f>IF('Articles'!A748="","",'Articles'!A748)</f>
        <v/>
      </c>
      <c r="B748" s="39" t="str">
        <f>IF(A748="","",'Articles'!B748&amp;"")</f>
        <v/>
      </c>
      <c r="C748" s="39" t="str">
        <f>IF(A748="","",'Articles'!D748&amp;"")</f>
        <v/>
      </c>
      <c r="D748" s="39" t="str">
        <f>IF(A748="","",ROUND(N('Articles'!H748)+SUMIFS(mv_qty,mv_ref,A748,mv_type,"Entrée",mv_date,"&lt;"&amp;$E$1)-SUMIFS(mv_qty,mv_ref,A748,mv_type,"Sortie",mv_date,"&lt;"&amp;$E$1),6))</f>
        <v/>
      </c>
      <c r="E748" s="39" t="str">
        <f>IF(A748="","",SUMIFS(mv_qty,mv_ref,A748,mv_type,"Entrée",mv_date,"&gt;="&amp;$E$1,mv_date,"&lt;="&amp;$G$1))</f>
        <v/>
      </c>
      <c r="F748" s="39" t="str">
        <f>IF(A748="","",SUMIFS(mv_qty,mv_ref,A748,mv_type,"Sortie",mv_date,"&gt;="&amp;$E$1,mv_date,"&lt;="&amp;$G$1))</f>
        <v/>
      </c>
      <c r="G748" s="39" t="str">
        <f>IF(A748="","",ROUND(D748+E748-F748,6))</f>
        <v/>
      </c>
      <c r="H748" s="40" t="str">
        <f>IF(A748="","",G748*N('Articles'!G748))</f>
        <v/>
      </c>
    </row>
    <row r="749">
      <c r="A749" s="39" t="str">
        <f>IF('Articles'!A749="","",'Articles'!A749)</f>
        <v/>
      </c>
      <c r="B749" s="39" t="str">
        <f>IF(A749="","",'Articles'!B749&amp;"")</f>
        <v/>
      </c>
      <c r="C749" s="39" t="str">
        <f>IF(A749="","",'Articles'!D749&amp;"")</f>
        <v/>
      </c>
      <c r="D749" s="39" t="str">
        <f>IF(A749="","",ROUND(N('Articles'!H749)+SUMIFS(mv_qty,mv_ref,A749,mv_type,"Entrée",mv_date,"&lt;"&amp;$E$1)-SUMIFS(mv_qty,mv_ref,A749,mv_type,"Sortie",mv_date,"&lt;"&amp;$E$1),6))</f>
        <v/>
      </c>
      <c r="E749" s="39" t="str">
        <f>IF(A749="","",SUMIFS(mv_qty,mv_ref,A749,mv_type,"Entrée",mv_date,"&gt;="&amp;$E$1,mv_date,"&lt;="&amp;$G$1))</f>
        <v/>
      </c>
      <c r="F749" s="39" t="str">
        <f>IF(A749="","",SUMIFS(mv_qty,mv_ref,A749,mv_type,"Sortie",mv_date,"&gt;="&amp;$E$1,mv_date,"&lt;="&amp;$G$1))</f>
        <v/>
      </c>
      <c r="G749" s="39" t="str">
        <f>IF(A749="","",ROUND(D749+E749-F749,6))</f>
        <v/>
      </c>
      <c r="H749" s="40" t="str">
        <f>IF(A749="","",G749*N('Articles'!G749))</f>
        <v/>
      </c>
    </row>
    <row r="750">
      <c r="A750" s="39" t="str">
        <f>IF('Articles'!A750="","",'Articles'!A750)</f>
        <v/>
      </c>
      <c r="B750" s="39" t="str">
        <f>IF(A750="","",'Articles'!B750&amp;"")</f>
        <v/>
      </c>
      <c r="C750" s="39" t="str">
        <f>IF(A750="","",'Articles'!D750&amp;"")</f>
        <v/>
      </c>
      <c r="D750" s="39" t="str">
        <f>IF(A750="","",ROUND(N('Articles'!H750)+SUMIFS(mv_qty,mv_ref,A750,mv_type,"Entrée",mv_date,"&lt;"&amp;$E$1)-SUMIFS(mv_qty,mv_ref,A750,mv_type,"Sortie",mv_date,"&lt;"&amp;$E$1),6))</f>
        <v/>
      </c>
      <c r="E750" s="39" t="str">
        <f>IF(A750="","",SUMIFS(mv_qty,mv_ref,A750,mv_type,"Entrée",mv_date,"&gt;="&amp;$E$1,mv_date,"&lt;="&amp;$G$1))</f>
        <v/>
      </c>
      <c r="F750" s="39" t="str">
        <f>IF(A750="","",SUMIFS(mv_qty,mv_ref,A750,mv_type,"Sortie",mv_date,"&gt;="&amp;$E$1,mv_date,"&lt;="&amp;$G$1))</f>
        <v/>
      </c>
      <c r="G750" s="39" t="str">
        <f>IF(A750="","",ROUND(D750+E750-F750,6))</f>
        <v/>
      </c>
      <c r="H750" s="40" t="str">
        <f>IF(A750="","",G750*N('Articles'!G750))</f>
        <v/>
      </c>
    </row>
    <row r="751">
      <c r="A751" s="39" t="str">
        <f>IF('Articles'!A751="","",'Articles'!A751)</f>
        <v/>
      </c>
      <c r="B751" s="39" t="str">
        <f>IF(A751="","",'Articles'!B751&amp;"")</f>
        <v/>
      </c>
      <c r="C751" s="39" t="str">
        <f>IF(A751="","",'Articles'!D751&amp;"")</f>
        <v/>
      </c>
      <c r="D751" s="39" t="str">
        <f>IF(A751="","",ROUND(N('Articles'!H751)+SUMIFS(mv_qty,mv_ref,A751,mv_type,"Entrée",mv_date,"&lt;"&amp;$E$1)-SUMIFS(mv_qty,mv_ref,A751,mv_type,"Sortie",mv_date,"&lt;"&amp;$E$1),6))</f>
        <v/>
      </c>
      <c r="E751" s="39" t="str">
        <f>IF(A751="","",SUMIFS(mv_qty,mv_ref,A751,mv_type,"Entrée",mv_date,"&gt;="&amp;$E$1,mv_date,"&lt;="&amp;$G$1))</f>
        <v/>
      </c>
      <c r="F751" s="39" t="str">
        <f>IF(A751="","",SUMIFS(mv_qty,mv_ref,A751,mv_type,"Sortie",mv_date,"&gt;="&amp;$E$1,mv_date,"&lt;="&amp;$G$1))</f>
        <v/>
      </c>
      <c r="G751" s="39" t="str">
        <f>IF(A751="","",ROUND(D751+E751-F751,6))</f>
        <v/>
      </c>
      <c r="H751" s="40" t="str">
        <f>IF(A751="","",G751*N('Articles'!G751))</f>
        <v/>
      </c>
    </row>
    <row r="752">
      <c r="A752" s="39" t="str">
        <f>IF('Articles'!A752="","",'Articles'!A752)</f>
        <v/>
      </c>
      <c r="B752" s="39" t="str">
        <f>IF(A752="","",'Articles'!B752&amp;"")</f>
        <v/>
      </c>
      <c r="C752" s="39" t="str">
        <f>IF(A752="","",'Articles'!D752&amp;"")</f>
        <v/>
      </c>
      <c r="D752" s="39" t="str">
        <f>IF(A752="","",ROUND(N('Articles'!H752)+SUMIFS(mv_qty,mv_ref,A752,mv_type,"Entrée",mv_date,"&lt;"&amp;$E$1)-SUMIFS(mv_qty,mv_ref,A752,mv_type,"Sortie",mv_date,"&lt;"&amp;$E$1),6))</f>
        <v/>
      </c>
      <c r="E752" s="39" t="str">
        <f>IF(A752="","",SUMIFS(mv_qty,mv_ref,A752,mv_type,"Entrée",mv_date,"&gt;="&amp;$E$1,mv_date,"&lt;="&amp;$G$1))</f>
        <v/>
      </c>
      <c r="F752" s="39" t="str">
        <f>IF(A752="","",SUMIFS(mv_qty,mv_ref,A752,mv_type,"Sortie",mv_date,"&gt;="&amp;$E$1,mv_date,"&lt;="&amp;$G$1))</f>
        <v/>
      </c>
      <c r="G752" s="39" t="str">
        <f>IF(A752="","",ROUND(D752+E752-F752,6))</f>
        <v/>
      </c>
      <c r="H752" s="40" t="str">
        <f>IF(A752="","",G752*N('Articles'!G752))</f>
        <v/>
      </c>
    </row>
    <row r="753">
      <c r="A753" s="39" t="str">
        <f>IF('Articles'!A753="","",'Articles'!A753)</f>
        <v/>
      </c>
      <c r="B753" s="39" t="str">
        <f>IF(A753="","",'Articles'!B753&amp;"")</f>
        <v/>
      </c>
      <c r="C753" s="39" t="str">
        <f>IF(A753="","",'Articles'!D753&amp;"")</f>
        <v/>
      </c>
      <c r="D753" s="39" t="str">
        <f>IF(A753="","",ROUND(N('Articles'!H753)+SUMIFS(mv_qty,mv_ref,A753,mv_type,"Entrée",mv_date,"&lt;"&amp;$E$1)-SUMIFS(mv_qty,mv_ref,A753,mv_type,"Sortie",mv_date,"&lt;"&amp;$E$1),6))</f>
        <v/>
      </c>
      <c r="E753" s="39" t="str">
        <f>IF(A753="","",SUMIFS(mv_qty,mv_ref,A753,mv_type,"Entrée",mv_date,"&gt;="&amp;$E$1,mv_date,"&lt;="&amp;$G$1))</f>
        <v/>
      </c>
      <c r="F753" s="39" t="str">
        <f>IF(A753="","",SUMIFS(mv_qty,mv_ref,A753,mv_type,"Sortie",mv_date,"&gt;="&amp;$E$1,mv_date,"&lt;="&amp;$G$1))</f>
        <v/>
      </c>
      <c r="G753" s="39" t="str">
        <f>IF(A753="","",ROUND(D753+E753-F753,6))</f>
        <v/>
      </c>
      <c r="H753" s="40" t="str">
        <f>IF(A753="","",G753*N('Articles'!G753))</f>
        <v/>
      </c>
    </row>
    <row r="754">
      <c r="A754" s="39" t="str">
        <f>IF('Articles'!A754="","",'Articles'!A754)</f>
        <v/>
      </c>
      <c r="B754" s="39" t="str">
        <f>IF(A754="","",'Articles'!B754&amp;"")</f>
        <v/>
      </c>
      <c r="C754" s="39" t="str">
        <f>IF(A754="","",'Articles'!D754&amp;"")</f>
        <v/>
      </c>
      <c r="D754" s="39" t="str">
        <f>IF(A754="","",ROUND(N('Articles'!H754)+SUMIFS(mv_qty,mv_ref,A754,mv_type,"Entrée",mv_date,"&lt;"&amp;$E$1)-SUMIFS(mv_qty,mv_ref,A754,mv_type,"Sortie",mv_date,"&lt;"&amp;$E$1),6))</f>
        <v/>
      </c>
      <c r="E754" s="39" t="str">
        <f>IF(A754="","",SUMIFS(mv_qty,mv_ref,A754,mv_type,"Entrée",mv_date,"&gt;="&amp;$E$1,mv_date,"&lt;="&amp;$G$1))</f>
        <v/>
      </c>
      <c r="F754" s="39" t="str">
        <f>IF(A754="","",SUMIFS(mv_qty,mv_ref,A754,mv_type,"Sortie",mv_date,"&gt;="&amp;$E$1,mv_date,"&lt;="&amp;$G$1))</f>
        <v/>
      </c>
      <c r="G754" s="39" t="str">
        <f>IF(A754="","",ROUND(D754+E754-F754,6))</f>
        <v/>
      </c>
      <c r="H754" s="40" t="str">
        <f>IF(A754="","",G754*N('Articles'!G754))</f>
        <v/>
      </c>
    </row>
    <row r="755">
      <c r="A755" s="39" t="str">
        <f>IF('Articles'!A755="","",'Articles'!A755)</f>
        <v/>
      </c>
      <c r="B755" s="39" t="str">
        <f>IF(A755="","",'Articles'!B755&amp;"")</f>
        <v/>
      </c>
      <c r="C755" s="39" t="str">
        <f>IF(A755="","",'Articles'!D755&amp;"")</f>
        <v/>
      </c>
      <c r="D755" s="39" t="str">
        <f>IF(A755="","",ROUND(N('Articles'!H755)+SUMIFS(mv_qty,mv_ref,A755,mv_type,"Entrée",mv_date,"&lt;"&amp;$E$1)-SUMIFS(mv_qty,mv_ref,A755,mv_type,"Sortie",mv_date,"&lt;"&amp;$E$1),6))</f>
        <v/>
      </c>
      <c r="E755" s="39" t="str">
        <f>IF(A755="","",SUMIFS(mv_qty,mv_ref,A755,mv_type,"Entrée",mv_date,"&gt;="&amp;$E$1,mv_date,"&lt;="&amp;$G$1))</f>
        <v/>
      </c>
      <c r="F755" s="39" t="str">
        <f>IF(A755="","",SUMIFS(mv_qty,mv_ref,A755,mv_type,"Sortie",mv_date,"&gt;="&amp;$E$1,mv_date,"&lt;="&amp;$G$1))</f>
        <v/>
      </c>
      <c r="G755" s="39" t="str">
        <f>IF(A755="","",ROUND(D755+E755-F755,6))</f>
        <v/>
      </c>
      <c r="H755" s="40" t="str">
        <f>IF(A755="","",G755*N('Articles'!G755))</f>
        <v/>
      </c>
    </row>
    <row r="756">
      <c r="A756" s="39" t="str">
        <f>IF('Articles'!A756="","",'Articles'!A756)</f>
        <v/>
      </c>
      <c r="B756" s="39" t="str">
        <f>IF(A756="","",'Articles'!B756&amp;"")</f>
        <v/>
      </c>
      <c r="C756" s="39" t="str">
        <f>IF(A756="","",'Articles'!D756&amp;"")</f>
        <v/>
      </c>
      <c r="D756" s="39" t="str">
        <f>IF(A756="","",ROUND(N('Articles'!H756)+SUMIFS(mv_qty,mv_ref,A756,mv_type,"Entrée",mv_date,"&lt;"&amp;$E$1)-SUMIFS(mv_qty,mv_ref,A756,mv_type,"Sortie",mv_date,"&lt;"&amp;$E$1),6))</f>
        <v/>
      </c>
      <c r="E756" s="39" t="str">
        <f>IF(A756="","",SUMIFS(mv_qty,mv_ref,A756,mv_type,"Entrée",mv_date,"&gt;="&amp;$E$1,mv_date,"&lt;="&amp;$G$1))</f>
        <v/>
      </c>
      <c r="F756" s="39" t="str">
        <f>IF(A756="","",SUMIFS(mv_qty,mv_ref,A756,mv_type,"Sortie",mv_date,"&gt;="&amp;$E$1,mv_date,"&lt;="&amp;$G$1))</f>
        <v/>
      </c>
      <c r="G756" s="39" t="str">
        <f>IF(A756="","",ROUND(D756+E756-F756,6))</f>
        <v/>
      </c>
      <c r="H756" s="40" t="str">
        <f>IF(A756="","",G756*N('Articles'!G756))</f>
        <v/>
      </c>
    </row>
    <row r="757">
      <c r="A757" s="39" t="str">
        <f>IF('Articles'!A757="","",'Articles'!A757)</f>
        <v/>
      </c>
      <c r="B757" s="39" t="str">
        <f>IF(A757="","",'Articles'!B757&amp;"")</f>
        <v/>
      </c>
      <c r="C757" s="39" t="str">
        <f>IF(A757="","",'Articles'!D757&amp;"")</f>
        <v/>
      </c>
      <c r="D757" s="39" t="str">
        <f>IF(A757="","",ROUND(N('Articles'!H757)+SUMIFS(mv_qty,mv_ref,A757,mv_type,"Entrée",mv_date,"&lt;"&amp;$E$1)-SUMIFS(mv_qty,mv_ref,A757,mv_type,"Sortie",mv_date,"&lt;"&amp;$E$1),6))</f>
        <v/>
      </c>
      <c r="E757" s="39" t="str">
        <f>IF(A757="","",SUMIFS(mv_qty,mv_ref,A757,mv_type,"Entrée",mv_date,"&gt;="&amp;$E$1,mv_date,"&lt;="&amp;$G$1))</f>
        <v/>
      </c>
      <c r="F757" s="39" t="str">
        <f>IF(A757="","",SUMIFS(mv_qty,mv_ref,A757,mv_type,"Sortie",mv_date,"&gt;="&amp;$E$1,mv_date,"&lt;="&amp;$G$1))</f>
        <v/>
      </c>
      <c r="G757" s="39" t="str">
        <f>IF(A757="","",ROUND(D757+E757-F757,6))</f>
        <v/>
      </c>
      <c r="H757" s="40" t="str">
        <f>IF(A757="","",G757*N('Articles'!G757))</f>
        <v/>
      </c>
    </row>
    <row r="758">
      <c r="A758" s="39" t="str">
        <f>IF('Articles'!A758="","",'Articles'!A758)</f>
        <v/>
      </c>
      <c r="B758" s="39" t="str">
        <f>IF(A758="","",'Articles'!B758&amp;"")</f>
        <v/>
      </c>
      <c r="C758" s="39" t="str">
        <f>IF(A758="","",'Articles'!D758&amp;"")</f>
        <v/>
      </c>
      <c r="D758" s="39" t="str">
        <f>IF(A758="","",ROUND(N('Articles'!H758)+SUMIFS(mv_qty,mv_ref,A758,mv_type,"Entrée",mv_date,"&lt;"&amp;$E$1)-SUMIFS(mv_qty,mv_ref,A758,mv_type,"Sortie",mv_date,"&lt;"&amp;$E$1),6))</f>
        <v/>
      </c>
      <c r="E758" s="39" t="str">
        <f>IF(A758="","",SUMIFS(mv_qty,mv_ref,A758,mv_type,"Entrée",mv_date,"&gt;="&amp;$E$1,mv_date,"&lt;="&amp;$G$1))</f>
        <v/>
      </c>
      <c r="F758" s="39" t="str">
        <f>IF(A758="","",SUMIFS(mv_qty,mv_ref,A758,mv_type,"Sortie",mv_date,"&gt;="&amp;$E$1,mv_date,"&lt;="&amp;$G$1))</f>
        <v/>
      </c>
      <c r="G758" s="39" t="str">
        <f>IF(A758="","",ROUND(D758+E758-F758,6))</f>
        <v/>
      </c>
      <c r="H758" s="40" t="str">
        <f>IF(A758="","",G758*N('Articles'!G758))</f>
        <v/>
      </c>
    </row>
    <row r="759">
      <c r="A759" s="39" t="str">
        <f>IF('Articles'!A759="","",'Articles'!A759)</f>
        <v/>
      </c>
      <c r="B759" s="39" t="str">
        <f>IF(A759="","",'Articles'!B759&amp;"")</f>
        <v/>
      </c>
      <c r="C759" s="39" t="str">
        <f>IF(A759="","",'Articles'!D759&amp;"")</f>
        <v/>
      </c>
      <c r="D759" s="39" t="str">
        <f>IF(A759="","",ROUND(N('Articles'!H759)+SUMIFS(mv_qty,mv_ref,A759,mv_type,"Entrée",mv_date,"&lt;"&amp;$E$1)-SUMIFS(mv_qty,mv_ref,A759,mv_type,"Sortie",mv_date,"&lt;"&amp;$E$1),6))</f>
        <v/>
      </c>
      <c r="E759" s="39" t="str">
        <f>IF(A759="","",SUMIFS(mv_qty,mv_ref,A759,mv_type,"Entrée",mv_date,"&gt;="&amp;$E$1,mv_date,"&lt;="&amp;$G$1))</f>
        <v/>
      </c>
      <c r="F759" s="39" t="str">
        <f>IF(A759="","",SUMIFS(mv_qty,mv_ref,A759,mv_type,"Sortie",mv_date,"&gt;="&amp;$E$1,mv_date,"&lt;="&amp;$G$1))</f>
        <v/>
      </c>
      <c r="G759" s="39" t="str">
        <f>IF(A759="","",ROUND(D759+E759-F759,6))</f>
        <v/>
      </c>
      <c r="H759" s="40" t="str">
        <f>IF(A759="","",G759*N('Articles'!G759))</f>
        <v/>
      </c>
    </row>
    <row r="760">
      <c r="A760" s="39" t="str">
        <f>IF('Articles'!A760="","",'Articles'!A760)</f>
        <v/>
      </c>
      <c r="B760" s="39" t="str">
        <f>IF(A760="","",'Articles'!B760&amp;"")</f>
        <v/>
      </c>
      <c r="C760" s="39" t="str">
        <f>IF(A760="","",'Articles'!D760&amp;"")</f>
        <v/>
      </c>
      <c r="D760" s="39" t="str">
        <f>IF(A760="","",ROUND(N('Articles'!H760)+SUMIFS(mv_qty,mv_ref,A760,mv_type,"Entrée",mv_date,"&lt;"&amp;$E$1)-SUMIFS(mv_qty,mv_ref,A760,mv_type,"Sortie",mv_date,"&lt;"&amp;$E$1),6))</f>
        <v/>
      </c>
      <c r="E760" s="39" t="str">
        <f>IF(A760="","",SUMIFS(mv_qty,mv_ref,A760,mv_type,"Entrée",mv_date,"&gt;="&amp;$E$1,mv_date,"&lt;="&amp;$G$1))</f>
        <v/>
      </c>
      <c r="F760" s="39" t="str">
        <f>IF(A760="","",SUMIFS(mv_qty,mv_ref,A760,mv_type,"Sortie",mv_date,"&gt;="&amp;$E$1,mv_date,"&lt;="&amp;$G$1))</f>
        <v/>
      </c>
      <c r="G760" s="39" t="str">
        <f>IF(A760="","",ROUND(D760+E760-F760,6))</f>
        <v/>
      </c>
      <c r="H760" s="40" t="str">
        <f>IF(A760="","",G760*N('Articles'!G760))</f>
        <v/>
      </c>
    </row>
    <row r="761">
      <c r="A761" s="39" t="str">
        <f>IF('Articles'!A761="","",'Articles'!A761)</f>
        <v/>
      </c>
      <c r="B761" s="39" t="str">
        <f>IF(A761="","",'Articles'!B761&amp;"")</f>
        <v/>
      </c>
      <c r="C761" s="39" t="str">
        <f>IF(A761="","",'Articles'!D761&amp;"")</f>
        <v/>
      </c>
      <c r="D761" s="39" t="str">
        <f>IF(A761="","",ROUND(N('Articles'!H761)+SUMIFS(mv_qty,mv_ref,A761,mv_type,"Entrée",mv_date,"&lt;"&amp;$E$1)-SUMIFS(mv_qty,mv_ref,A761,mv_type,"Sortie",mv_date,"&lt;"&amp;$E$1),6))</f>
        <v/>
      </c>
      <c r="E761" s="39" t="str">
        <f>IF(A761="","",SUMIFS(mv_qty,mv_ref,A761,mv_type,"Entrée",mv_date,"&gt;="&amp;$E$1,mv_date,"&lt;="&amp;$G$1))</f>
        <v/>
      </c>
      <c r="F761" s="39" t="str">
        <f>IF(A761="","",SUMIFS(mv_qty,mv_ref,A761,mv_type,"Sortie",mv_date,"&gt;="&amp;$E$1,mv_date,"&lt;="&amp;$G$1))</f>
        <v/>
      </c>
      <c r="G761" s="39" t="str">
        <f>IF(A761="","",ROUND(D761+E761-F761,6))</f>
        <v/>
      </c>
      <c r="H761" s="40" t="str">
        <f>IF(A761="","",G761*N('Articles'!G761))</f>
        <v/>
      </c>
    </row>
    <row r="762">
      <c r="A762" s="39" t="str">
        <f>IF('Articles'!A762="","",'Articles'!A762)</f>
        <v/>
      </c>
      <c r="B762" s="39" t="str">
        <f>IF(A762="","",'Articles'!B762&amp;"")</f>
        <v/>
      </c>
      <c r="C762" s="39" t="str">
        <f>IF(A762="","",'Articles'!D762&amp;"")</f>
        <v/>
      </c>
      <c r="D762" s="39" t="str">
        <f>IF(A762="","",ROUND(N('Articles'!H762)+SUMIFS(mv_qty,mv_ref,A762,mv_type,"Entrée",mv_date,"&lt;"&amp;$E$1)-SUMIFS(mv_qty,mv_ref,A762,mv_type,"Sortie",mv_date,"&lt;"&amp;$E$1),6))</f>
        <v/>
      </c>
      <c r="E762" s="39" t="str">
        <f>IF(A762="","",SUMIFS(mv_qty,mv_ref,A762,mv_type,"Entrée",mv_date,"&gt;="&amp;$E$1,mv_date,"&lt;="&amp;$G$1))</f>
        <v/>
      </c>
      <c r="F762" s="39" t="str">
        <f>IF(A762="","",SUMIFS(mv_qty,mv_ref,A762,mv_type,"Sortie",mv_date,"&gt;="&amp;$E$1,mv_date,"&lt;="&amp;$G$1))</f>
        <v/>
      </c>
      <c r="G762" s="39" t="str">
        <f>IF(A762="","",ROUND(D762+E762-F762,6))</f>
        <v/>
      </c>
      <c r="H762" s="40" t="str">
        <f>IF(A762="","",G762*N('Articles'!G762))</f>
        <v/>
      </c>
    </row>
    <row r="763">
      <c r="A763" s="39" t="str">
        <f>IF('Articles'!A763="","",'Articles'!A763)</f>
        <v/>
      </c>
      <c r="B763" s="39" t="str">
        <f>IF(A763="","",'Articles'!B763&amp;"")</f>
        <v/>
      </c>
      <c r="C763" s="39" t="str">
        <f>IF(A763="","",'Articles'!D763&amp;"")</f>
        <v/>
      </c>
      <c r="D763" s="39" t="str">
        <f>IF(A763="","",ROUND(N('Articles'!H763)+SUMIFS(mv_qty,mv_ref,A763,mv_type,"Entrée",mv_date,"&lt;"&amp;$E$1)-SUMIFS(mv_qty,mv_ref,A763,mv_type,"Sortie",mv_date,"&lt;"&amp;$E$1),6))</f>
        <v/>
      </c>
      <c r="E763" s="39" t="str">
        <f>IF(A763="","",SUMIFS(mv_qty,mv_ref,A763,mv_type,"Entrée",mv_date,"&gt;="&amp;$E$1,mv_date,"&lt;="&amp;$G$1))</f>
        <v/>
      </c>
      <c r="F763" s="39" t="str">
        <f>IF(A763="","",SUMIFS(mv_qty,mv_ref,A763,mv_type,"Sortie",mv_date,"&gt;="&amp;$E$1,mv_date,"&lt;="&amp;$G$1))</f>
        <v/>
      </c>
      <c r="G763" s="39" t="str">
        <f>IF(A763="","",ROUND(D763+E763-F763,6))</f>
        <v/>
      </c>
      <c r="H763" s="40" t="str">
        <f>IF(A763="","",G763*N('Articles'!G763))</f>
        <v/>
      </c>
    </row>
    <row r="764">
      <c r="A764" s="39" t="str">
        <f>IF('Articles'!A764="","",'Articles'!A764)</f>
        <v/>
      </c>
      <c r="B764" s="39" t="str">
        <f>IF(A764="","",'Articles'!B764&amp;"")</f>
        <v/>
      </c>
      <c r="C764" s="39" t="str">
        <f>IF(A764="","",'Articles'!D764&amp;"")</f>
        <v/>
      </c>
      <c r="D764" s="39" t="str">
        <f>IF(A764="","",ROUND(N('Articles'!H764)+SUMIFS(mv_qty,mv_ref,A764,mv_type,"Entrée",mv_date,"&lt;"&amp;$E$1)-SUMIFS(mv_qty,mv_ref,A764,mv_type,"Sortie",mv_date,"&lt;"&amp;$E$1),6))</f>
        <v/>
      </c>
      <c r="E764" s="39" t="str">
        <f>IF(A764="","",SUMIFS(mv_qty,mv_ref,A764,mv_type,"Entrée",mv_date,"&gt;="&amp;$E$1,mv_date,"&lt;="&amp;$G$1))</f>
        <v/>
      </c>
      <c r="F764" s="39" t="str">
        <f>IF(A764="","",SUMIFS(mv_qty,mv_ref,A764,mv_type,"Sortie",mv_date,"&gt;="&amp;$E$1,mv_date,"&lt;="&amp;$G$1))</f>
        <v/>
      </c>
      <c r="G764" s="39" t="str">
        <f>IF(A764="","",ROUND(D764+E764-F764,6))</f>
        <v/>
      </c>
      <c r="H764" s="40" t="str">
        <f>IF(A764="","",G764*N('Articles'!G764))</f>
        <v/>
      </c>
    </row>
    <row r="765">
      <c r="A765" s="39" t="str">
        <f>IF('Articles'!A765="","",'Articles'!A765)</f>
        <v/>
      </c>
      <c r="B765" s="39" t="str">
        <f>IF(A765="","",'Articles'!B765&amp;"")</f>
        <v/>
      </c>
      <c r="C765" s="39" t="str">
        <f>IF(A765="","",'Articles'!D765&amp;"")</f>
        <v/>
      </c>
      <c r="D765" s="39" t="str">
        <f>IF(A765="","",ROUND(N('Articles'!H765)+SUMIFS(mv_qty,mv_ref,A765,mv_type,"Entrée",mv_date,"&lt;"&amp;$E$1)-SUMIFS(mv_qty,mv_ref,A765,mv_type,"Sortie",mv_date,"&lt;"&amp;$E$1),6))</f>
        <v/>
      </c>
      <c r="E765" s="39" t="str">
        <f>IF(A765="","",SUMIFS(mv_qty,mv_ref,A765,mv_type,"Entrée",mv_date,"&gt;="&amp;$E$1,mv_date,"&lt;="&amp;$G$1))</f>
        <v/>
      </c>
      <c r="F765" s="39" t="str">
        <f>IF(A765="","",SUMIFS(mv_qty,mv_ref,A765,mv_type,"Sortie",mv_date,"&gt;="&amp;$E$1,mv_date,"&lt;="&amp;$G$1))</f>
        <v/>
      </c>
      <c r="G765" s="39" t="str">
        <f>IF(A765="","",ROUND(D765+E765-F765,6))</f>
        <v/>
      </c>
      <c r="H765" s="40" t="str">
        <f>IF(A765="","",G765*N('Articles'!G765))</f>
        <v/>
      </c>
    </row>
    <row r="766">
      <c r="A766" s="39" t="str">
        <f>IF('Articles'!A766="","",'Articles'!A766)</f>
        <v/>
      </c>
      <c r="B766" s="39" t="str">
        <f>IF(A766="","",'Articles'!B766&amp;"")</f>
        <v/>
      </c>
      <c r="C766" s="39" t="str">
        <f>IF(A766="","",'Articles'!D766&amp;"")</f>
        <v/>
      </c>
      <c r="D766" s="39" t="str">
        <f>IF(A766="","",ROUND(N('Articles'!H766)+SUMIFS(mv_qty,mv_ref,A766,mv_type,"Entrée",mv_date,"&lt;"&amp;$E$1)-SUMIFS(mv_qty,mv_ref,A766,mv_type,"Sortie",mv_date,"&lt;"&amp;$E$1),6))</f>
        <v/>
      </c>
      <c r="E766" s="39" t="str">
        <f>IF(A766="","",SUMIFS(mv_qty,mv_ref,A766,mv_type,"Entrée",mv_date,"&gt;="&amp;$E$1,mv_date,"&lt;="&amp;$G$1))</f>
        <v/>
      </c>
      <c r="F766" s="39" t="str">
        <f>IF(A766="","",SUMIFS(mv_qty,mv_ref,A766,mv_type,"Sortie",mv_date,"&gt;="&amp;$E$1,mv_date,"&lt;="&amp;$G$1))</f>
        <v/>
      </c>
      <c r="G766" s="39" t="str">
        <f>IF(A766="","",ROUND(D766+E766-F766,6))</f>
        <v/>
      </c>
      <c r="H766" s="40" t="str">
        <f>IF(A766="","",G766*N('Articles'!G766))</f>
        <v/>
      </c>
    </row>
    <row r="767">
      <c r="A767" s="39" t="str">
        <f>IF('Articles'!A767="","",'Articles'!A767)</f>
        <v/>
      </c>
      <c r="B767" s="39" t="str">
        <f>IF(A767="","",'Articles'!B767&amp;"")</f>
        <v/>
      </c>
      <c r="C767" s="39" t="str">
        <f>IF(A767="","",'Articles'!D767&amp;"")</f>
        <v/>
      </c>
      <c r="D767" s="39" t="str">
        <f>IF(A767="","",ROUND(N('Articles'!H767)+SUMIFS(mv_qty,mv_ref,A767,mv_type,"Entrée",mv_date,"&lt;"&amp;$E$1)-SUMIFS(mv_qty,mv_ref,A767,mv_type,"Sortie",mv_date,"&lt;"&amp;$E$1),6))</f>
        <v/>
      </c>
      <c r="E767" s="39" t="str">
        <f>IF(A767="","",SUMIFS(mv_qty,mv_ref,A767,mv_type,"Entrée",mv_date,"&gt;="&amp;$E$1,mv_date,"&lt;="&amp;$G$1))</f>
        <v/>
      </c>
      <c r="F767" s="39" t="str">
        <f>IF(A767="","",SUMIFS(mv_qty,mv_ref,A767,mv_type,"Sortie",mv_date,"&gt;="&amp;$E$1,mv_date,"&lt;="&amp;$G$1))</f>
        <v/>
      </c>
      <c r="G767" s="39" t="str">
        <f>IF(A767="","",ROUND(D767+E767-F767,6))</f>
        <v/>
      </c>
      <c r="H767" s="40" t="str">
        <f>IF(A767="","",G767*N('Articles'!G767))</f>
        <v/>
      </c>
    </row>
    <row r="768">
      <c r="A768" s="39" t="str">
        <f>IF('Articles'!A768="","",'Articles'!A768)</f>
        <v/>
      </c>
      <c r="B768" s="39" t="str">
        <f>IF(A768="","",'Articles'!B768&amp;"")</f>
        <v/>
      </c>
      <c r="C768" s="39" t="str">
        <f>IF(A768="","",'Articles'!D768&amp;"")</f>
        <v/>
      </c>
      <c r="D768" s="39" t="str">
        <f>IF(A768="","",ROUND(N('Articles'!H768)+SUMIFS(mv_qty,mv_ref,A768,mv_type,"Entrée",mv_date,"&lt;"&amp;$E$1)-SUMIFS(mv_qty,mv_ref,A768,mv_type,"Sortie",mv_date,"&lt;"&amp;$E$1),6))</f>
        <v/>
      </c>
      <c r="E768" s="39" t="str">
        <f>IF(A768="","",SUMIFS(mv_qty,mv_ref,A768,mv_type,"Entrée",mv_date,"&gt;="&amp;$E$1,mv_date,"&lt;="&amp;$G$1))</f>
        <v/>
      </c>
      <c r="F768" s="39" t="str">
        <f>IF(A768="","",SUMIFS(mv_qty,mv_ref,A768,mv_type,"Sortie",mv_date,"&gt;="&amp;$E$1,mv_date,"&lt;="&amp;$G$1))</f>
        <v/>
      </c>
      <c r="G768" s="39" t="str">
        <f>IF(A768="","",ROUND(D768+E768-F768,6))</f>
        <v/>
      </c>
      <c r="H768" s="40" t="str">
        <f>IF(A768="","",G768*N('Articles'!G768))</f>
        <v/>
      </c>
    </row>
    <row r="769">
      <c r="A769" s="39" t="str">
        <f>IF('Articles'!A769="","",'Articles'!A769)</f>
        <v/>
      </c>
      <c r="B769" s="39" t="str">
        <f>IF(A769="","",'Articles'!B769&amp;"")</f>
        <v/>
      </c>
      <c r="C769" s="39" t="str">
        <f>IF(A769="","",'Articles'!D769&amp;"")</f>
        <v/>
      </c>
      <c r="D769" s="39" t="str">
        <f>IF(A769="","",ROUND(N('Articles'!H769)+SUMIFS(mv_qty,mv_ref,A769,mv_type,"Entrée",mv_date,"&lt;"&amp;$E$1)-SUMIFS(mv_qty,mv_ref,A769,mv_type,"Sortie",mv_date,"&lt;"&amp;$E$1),6))</f>
        <v/>
      </c>
      <c r="E769" s="39" t="str">
        <f>IF(A769="","",SUMIFS(mv_qty,mv_ref,A769,mv_type,"Entrée",mv_date,"&gt;="&amp;$E$1,mv_date,"&lt;="&amp;$G$1))</f>
        <v/>
      </c>
      <c r="F769" s="39" t="str">
        <f>IF(A769="","",SUMIFS(mv_qty,mv_ref,A769,mv_type,"Sortie",mv_date,"&gt;="&amp;$E$1,mv_date,"&lt;="&amp;$G$1))</f>
        <v/>
      </c>
      <c r="G769" s="39" t="str">
        <f>IF(A769="","",ROUND(D769+E769-F769,6))</f>
        <v/>
      </c>
      <c r="H769" s="40" t="str">
        <f>IF(A769="","",G769*N('Articles'!G769))</f>
        <v/>
      </c>
    </row>
    <row r="770">
      <c r="A770" s="39" t="str">
        <f>IF('Articles'!A770="","",'Articles'!A770)</f>
        <v/>
      </c>
      <c r="B770" s="39" t="str">
        <f>IF(A770="","",'Articles'!B770&amp;"")</f>
        <v/>
      </c>
      <c r="C770" s="39" t="str">
        <f>IF(A770="","",'Articles'!D770&amp;"")</f>
        <v/>
      </c>
      <c r="D770" s="39" t="str">
        <f>IF(A770="","",ROUND(N('Articles'!H770)+SUMIFS(mv_qty,mv_ref,A770,mv_type,"Entrée",mv_date,"&lt;"&amp;$E$1)-SUMIFS(mv_qty,mv_ref,A770,mv_type,"Sortie",mv_date,"&lt;"&amp;$E$1),6))</f>
        <v/>
      </c>
      <c r="E770" s="39" t="str">
        <f>IF(A770="","",SUMIFS(mv_qty,mv_ref,A770,mv_type,"Entrée",mv_date,"&gt;="&amp;$E$1,mv_date,"&lt;="&amp;$G$1))</f>
        <v/>
      </c>
      <c r="F770" s="39" t="str">
        <f>IF(A770="","",SUMIFS(mv_qty,mv_ref,A770,mv_type,"Sortie",mv_date,"&gt;="&amp;$E$1,mv_date,"&lt;="&amp;$G$1))</f>
        <v/>
      </c>
      <c r="G770" s="39" t="str">
        <f>IF(A770="","",ROUND(D770+E770-F770,6))</f>
        <v/>
      </c>
      <c r="H770" s="40" t="str">
        <f>IF(A770="","",G770*N('Articles'!G770))</f>
        <v/>
      </c>
    </row>
    <row r="771">
      <c r="A771" s="39" t="str">
        <f>IF('Articles'!A771="","",'Articles'!A771)</f>
        <v/>
      </c>
      <c r="B771" s="39" t="str">
        <f>IF(A771="","",'Articles'!B771&amp;"")</f>
        <v/>
      </c>
      <c r="C771" s="39" t="str">
        <f>IF(A771="","",'Articles'!D771&amp;"")</f>
        <v/>
      </c>
      <c r="D771" s="39" t="str">
        <f>IF(A771="","",ROUND(N('Articles'!H771)+SUMIFS(mv_qty,mv_ref,A771,mv_type,"Entrée",mv_date,"&lt;"&amp;$E$1)-SUMIFS(mv_qty,mv_ref,A771,mv_type,"Sortie",mv_date,"&lt;"&amp;$E$1),6))</f>
        <v/>
      </c>
      <c r="E771" s="39" t="str">
        <f>IF(A771="","",SUMIFS(mv_qty,mv_ref,A771,mv_type,"Entrée",mv_date,"&gt;="&amp;$E$1,mv_date,"&lt;="&amp;$G$1))</f>
        <v/>
      </c>
      <c r="F771" s="39" t="str">
        <f>IF(A771="","",SUMIFS(mv_qty,mv_ref,A771,mv_type,"Sortie",mv_date,"&gt;="&amp;$E$1,mv_date,"&lt;="&amp;$G$1))</f>
        <v/>
      </c>
      <c r="G771" s="39" t="str">
        <f>IF(A771="","",ROUND(D771+E771-F771,6))</f>
        <v/>
      </c>
      <c r="H771" s="40" t="str">
        <f>IF(A771="","",G771*N('Articles'!G771))</f>
        <v/>
      </c>
    </row>
    <row r="772">
      <c r="A772" s="39" t="str">
        <f>IF('Articles'!A772="","",'Articles'!A772)</f>
        <v/>
      </c>
      <c r="B772" s="39" t="str">
        <f>IF(A772="","",'Articles'!B772&amp;"")</f>
        <v/>
      </c>
      <c r="C772" s="39" t="str">
        <f>IF(A772="","",'Articles'!D772&amp;"")</f>
        <v/>
      </c>
      <c r="D772" s="39" t="str">
        <f>IF(A772="","",ROUND(N('Articles'!H772)+SUMIFS(mv_qty,mv_ref,A772,mv_type,"Entrée",mv_date,"&lt;"&amp;$E$1)-SUMIFS(mv_qty,mv_ref,A772,mv_type,"Sortie",mv_date,"&lt;"&amp;$E$1),6))</f>
        <v/>
      </c>
      <c r="E772" s="39" t="str">
        <f>IF(A772="","",SUMIFS(mv_qty,mv_ref,A772,mv_type,"Entrée",mv_date,"&gt;="&amp;$E$1,mv_date,"&lt;="&amp;$G$1))</f>
        <v/>
      </c>
      <c r="F772" s="39" t="str">
        <f>IF(A772="","",SUMIFS(mv_qty,mv_ref,A772,mv_type,"Sortie",mv_date,"&gt;="&amp;$E$1,mv_date,"&lt;="&amp;$G$1))</f>
        <v/>
      </c>
      <c r="G772" s="39" t="str">
        <f>IF(A772="","",ROUND(D772+E772-F772,6))</f>
        <v/>
      </c>
      <c r="H772" s="40" t="str">
        <f>IF(A772="","",G772*N('Articles'!G772))</f>
        <v/>
      </c>
    </row>
    <row r="773">
      <c r="A773" s="39" t="str">
        <f>IF('Articles'!A773="","",'Articles'!A773)</f>
        <v/>
      </c>
      <c r="B773" s="39" t="str">
        <f>IF(A773="","",'Articles'!B773&amp;"")</f>
        <v/>
      </c>
      <c r="C773" s="39" t="str">
        <f>IF(A773="","",'Articles'!D773&amp;"")</f>
        <v/>
      </c>
      <c r="D773" s="39" t="str">
        <f>IF(A773="","",ROUND(N('Articles'!H773)+SUMIFS(mv_qty,mv_ref,A773,mv_type,"Entrée",mv_date,"&lt;"&amp;$E$1)-SUMIFS(mv_qty,mv_ref,A773,mv_type,"Sortie",mv_date,"&lt;"&amp;$E$1),6))</f>
        <v/>
      </c>
      <c r="E773" s="39" t="str">
        <f>IF(A773="","",SUMIFS(mv_qty,mv_ref,A773,mv_type,"Entrée",mv_date,"&gt;="&amp;$E$1,mv_date,"&lt;="&amp;$G$1))</f>
        <v/>
      </c>
      <c r="F773" s="39" t="str">
        <f>IF(A773="","",SUMIFS(mv_qty,mv_ref,A773,mv_type,"Sortie",mv_date,"&gt;="&amp;$E$1,mv_date,"&lt;="&amp;$G$1))</f>
        <v/>
      </c>
      <c r="G773" s="39" t="str">
        <f>IF(A773="","",ROUND(D773+E773-F773,6))</f>
        <v/>
      </c>
      <c r="H773" s="40" t="str">
        <f>IF(A773="","",G773*N('Articles'!G773))</f>
        <v/>
      </c>
    </row>
    <row r="774">
      <c r="A774" s="39" t="str">
        <f>IF('Articles'!A774="","",'Articles'!A774)</f>
        <v/>
      </c>
      <c r="B774" s="39" t="str">
        <f>IF(A774="","",'Articles'!B774&amp;"")</f>
        <v/>
      </c>
      <c r="C774" s="39" t="str">
        <f>IF(A774="","",'Articles'!D774&amp;"")</f>
        <v/>
      </c>
      <c r="D774" s="39" t="str">
        <f>IF(A774="","",ROUND(N('Articles'!H774)+SUMIFS(mv_qty,mv_ref,A774,mv_type,"Entrée",mv_date,"&lt;"&amp;$E$1)-SUMIFS(mv_qty,mv_ref,A774,mv_type,"Sortie",mv_date,"&lt;"&amp;$E$1),6))</f>
        <v/>
      </c>
      <c r="E774" s="39" t="str">
        <f>IF(A774="","",SUMIFS(mv_qty,mv_ref,A774,mv_type,"Entrée",mv_date,"&gt;="&amp;$E$1,mv_date,"&lt;="&amp;$G$1))</f>
        <v/>
      </c>
      <c r="F774" s="39" t="str">
        <f>IF(A774="","",SUMIFS(mv_qty,mv_ref,A774,mv_type,"Sortie",mv_date,"&gt;="&amp;$E$1,mv_date,"&lt;="&amp;$G$1))</f>
        <v/>
      </c>
      <c r="G774" s="39" t="str">
        <f>IF(A774="","",ROUND(D774+E774-F774,6))</f>
        <v/>
      </c>
      <c r="H774" s="40" t="str">
        <f>IF(A774="","",G774*N('Articles'!G774))</f>
        <v/>
      </c>
    </row>
    <row r="775">
      <c r="A775" s="39" t="str">
        <f>IF('Articles'!A775="","",'Articles'!A775)</f>
        <v/>
      </c>
      <c r="B775" s="39" t="str">
        <f>IF(A775="","",'Articles'!B775&amp;"")</f>
        <v/>
      </c>
      <c r="C775" s="39" t="str">
        <f>IF(A775="","",'Articles'!D775&amp;"")</f>
        <v/>
      </c>
      <c r="D775" s="39" t="str">
        <f>IF(A775="","",ROUND(N('Articles'!H775)+SUMIFS(mv_qty,mv_ref,A775,mv_type,"Entrée",mv_date,"&lt;"&amp;$E$1)-SUMIFS(mv_qty,mv_ref,A775,mv_type,"Sortie",mv_date,"&lt;"&amp;$E$1),6))</f>
        <v/>
      </c>
      <c r="E775" s="39" t="str">
        <f>IF(A775="","",SUMIFS(mv_qty,mv_ref,A775,mv_type,"Entrée",mv_date,"&gt;="&amp;$E$1,mv_date,"&lt;="&amp;$G$1))</f>
        <v/>
      </c>
      <c r="F775" s="39" t="str">
        <f>IF(A775="","",SUMIFS(mv_qty,mv_ref,A775,mv_type,"Sortie",mv_date,"&gt;="&amp;$E$1,mv_date,"&lt;="&amp;$G$1))</f>
        <v/>
      </c>
      <c r="G775" s="39" t="str">
        <f>IF(A775="","",ROUND(D775+E775-F775,6))</f>
        <v/>
      </c>
      <c r="H775" s="40" t="str">
        <f>IF(A775="","",G775*N('Articles'!G775))</f>
        <v/>
      </c>
    </row>
    <row r="776">
      <c r="A776" s="39" t="str">
        <f>IF('Articles'!A776="","",'Articles'!A776)</f>
        <v/>
      </c>
      <c r="B776" s="39" t="str">
        <f>IF(A776="","",'Articles'!B776&amp;"")</f>
        <v/>
      </c>
      <c r="C776" s="39" t="str">
        <f>IF(A776="","",'Articles'!D776&amp;"")</f>
        <v/>
      </c>
      <c r="D776" s="39" t="str">
        <f>IF(A776="","",ROUND(N('Articles'!H776)+SUMIFS(mv_qty,mv_ref,A776,mv_type,"Entrée",mv_date,"&lt;"&amp;$E$1)-SUMIFS(mv_qty,mv_ref,A776,mv_type,"Sortie",mv_date,"&lt;"&amp;$E$1),6))</f>
        <v/>
      </c>
      <c r="E776" s="39" t="str">
        <f>IF(A776="","",SUMIFS(mv_qty,mv_ref,A776,mv_type,"Entrée",mv_date,"&gt;="&amp;$E$1,mv_date,"&lt;="&amp;$G$1))</f>
        <v/>
      </c>
      <c r="F776" s="39" t="str">
        <f>IF(A776="","",SUMIFS(mv_qty,mv_ref,A776,mv_type,"Sortie",mv_date,"&gt;="&amp;$E$1,mv_date,"&lt;="&amp;$G$1))</f>
        <v/>
      </c>
      <c r="G776" s="39" t="str">
        <f>IF(A776="","",ROUND(D776+E776-F776,6))</f>
        <v/>
      </c>
      <c r="H776" s="40" t="str">
        <f>IF(A776="","",G776*N('Articles'!G776))</f>
        <v/>
      </c>
    </row>
    <row r="777">
      <c r="A777" s="39" t="str">
        <f>IF('Articles'!A777="","",'Articles'!A777)</f>
        <v/>
      </c>
      <c r="B777" s="39" t="str">
        <f>IF(A777="","",'Articles'!B777&amp;"")</f>
        <v/>
      </c>
      <c r="C777" s="39" t="str">
        <f>IF(A777="","",'Articles'!D777&amp;"")</f>
        <v/>
      </c>
      <c r="D777" s="39" t="str">
        <f>IF(A777="","",ROUND(N('Articles'!H777)+SUMIFS(mv_qty,mv_ref,A777,mv_type,"Entrée",mv_date,"&lt;"&amp;$E$1)-SUMIFS(mv_qty,mv_ref,A777,mv_type,"Sortie",mv_date,"&lt;"&amp;$E$1),6))</f>
        <v/>
      </c>
      <c r="E777" s="39" t="str">
        <f>IF(A777="","",SUMIFS(mv_qty,mv_ref,A777,mv_type,"Entrée",mv_date,"&gt;="&amp;$E$1,mv_date,"&lt;="&amp;$G$1))</f>
        <v/>
      </c>
      <c r="F777" s="39" t="str">
        <f>IF(A777="","",SUMIFS(mv_qty,mv_ref,A777,mv_type,"Sortie",mv_date,"&gt;="&amp;$E$1,mv_date,"&lt;="&amp;$G$1))</f>
        <v/>
      </c>
      <c r="G777" s="39" t="str">
        <f>IF(A777="","",ROUND(D777+E777-F777,6))</f>
        <v/>
      </c>
      <c r="H777" s="40" t="str">
        <f>IF(A777="","",G777*N('Articles'!G777))</f>
        <v/>
      </c>
    </row>
    <row r="778">
      <c r="A778" s="39" t="str">
        <f>IF('Articles'!A778="","",'Articles'!A778)</f>
        <v/>
      </c>
      <c r="B778" s="39" t="str">
        <f>IF(A778="","",'Articles'!B778&amp;"")</f>
        <v/>
      </c>
      <c r="C778" s="39" t="str">
        <f>IF(A778="","",'Articles'!D778&amp;"")</f>
        <v/>
      </c>
      <c r="D778" s="39" t="str">
        <f>IF(A778="","",ROUND(N('Articles'!H778)+SUMIFS(mv_qty,mv_ref,A778,mv_type,"Entrée",mv_date,"&lt;"&amp;$E$1)-SUMIFS(mv_qty,mv_ref,A778,mv_type,"Sortie",mv_date,"&lt;"&amp;$E$1),6))</f>
        <v/>
      </c>
      <c r="E778" s="39" t="str">
        <f>IF(A778="","",SUMIFS(mv_qty,mv_ref,A778,mv_type,"Entrée",mv_date,"&gt;="&amp;$E$1,mv_date,"&lt;="&amp;$G$1))</f>
        <v/>
      </c>
      <c r="F778" s="39" t="str">
        <f>IF(A778="","",SUMIFS(mv_qty,mv_ref,A778,mv_type,"Sortie",mv_date,"&gt;="&amp;$E$1,mv_date,"&lt;="&amp;$G$1))</f>
        <v/>
      </c>
      <c r="G778" s="39" t="str">
        <f>IF(A778="","",ROUND(D778+E778-F778,6))</f>
        <v/>
      </c>
      <c r="H778" s="40" t="str">
        <f>IF(A778="","",G778*N('Articles'!G778))</f>
        <v/>
      </c>
    </row>
    <row r="779">
      <c r="A779" s="39" t="str">
        <f>IF('Articles'!A779="","",'Articles'!A779)</f>
        <v/>
      </c>
      <c r="B779" s="39" t="str">
        <f>IF(A779="","",'Articles'!B779&amp;"")</f>
        <v/>
      </c>
      <c r="C779" s="39" t="str">
        <f>IF(A779="","",'Articles'!D779&amp;"")</f>
        <v/>
      </c>
      <c r="D779" s="39" t="str">
        <f>IF(A779="","",ROUND(N('Articles'!H779)+SUMIFS(mv_qty,mv_ref,A779,mv_type,"Entrée",mv_date,"&lt;"&amp;$E$1)-SUMIFS(mv_qty,mv_ref,A779,mv_type,"Sortie",mv_date,"&lt;"&amp;$E$1),6))</f>
        <v/>
      </c>
      <c r="E779" s="39" t="str">
        <f>IF(A779="","",SUMIFS(mv_qty,mv_ref,A779,mv_type,"Entrée",mv_date,"&gt;="&amp;$E$1,mv_date,"&lt;="&amp;$G$1))</f>
        <v/>
      </c>
      <c r="F779" s="39" t="str">
        <f>IF(A779="","",SUMIFS(mv_qty,mv_ref,A779,mv_type,"Sortie",mv_date,"&gt;="&amp;$E$1,mv_date,"&lt;="&amp;$G$1))</f>
        <v/>
      </c>
      <c r="G779" s="39" t="str">
        <f>IF(A779="","",ROUND(D779+E779-F779,6))</f>
        <v/>
      </c>
      <c r="H779" s="40" t="str">
        <f>IF(A779="","",G779*N('Articles'!G779))</f>
        <v/>
      </c>
    </row>
    <row r="780">
      <c r="A780" s="39" t="str">
        <f>IF('Articles'!A780="","",'Articles'!A780)</f>
        <v/>
      </c>
      <c r="B780" s="39" t="str">
        <f>IF(A780="","",'Articles'!B780&amp;"")</f>
        <v/>
      </c>
      <c r="C780" s="39" t="str">
        <f>IF(A780="","",'Articles'!D780&amp;"")</f>
        <v/>
      </c>
      <c r="D780" s="39" t="str">
        <f>IF(A780="","",ROUND(N('Articles'!H780)+SUMIFS(mv_qty,mv_ref,A780,mv_type,"Entrée",mv_date,"&lt;"&amp;$E$1)-SUMIFS(mv_qty,mv_ref,A780,mv_type,"Sortie",mv_date,"&lt;"&amp;$E$1),6))</f>
        <v/>
      </c>
      <c r="E780" s="39" t="str">
        <f>IF(A780="","",SUMIFS(mv_qty,mv_ref,A780,mv_type,"Entrée",mv_date,"&gt;="&amp;$E$1,mv_date,"&lt;="&amp;$G$1))</f>
        <v/>
      </c>
      <c r="F780" s="39" t="str">
        <f>IF(A780="","",SUMIFS(mv_qty,mv_ref,A780,mv_type,"Sortie",mv_date,"&gt;="&amp;$E$1,mv_date,"&lt;="&amp;$G$1))</f>
        <v/>
      </c>
      <c r="G780" s="39" t="str">
        <f>IF(A780="","",ROUND(D780+E780-F780,6))</f>
        <v/>
      </c>
      <c r="H780" s="40" t="str">
        <f>IF(A780="","",G780*N('Articles'!G780))</f>
        <v/>
      </c>
    </row>
    <row r="781">
      <c r="A781" s="39" t="str">
        <f>IF('Articles'!A781="","",'Articles'!A781)</f>
        <v/>
      </c>
      <c r="B781" s="39" t="str">
        <f>IF(A781="","",'Articles'!B781&amp;"")</f>
        <v/>
      </c>
      <c r="C781" s="39" t="str">
        <f>IF(A781="","",'Articles'!D781&amp;"")</f>
        <v/>
      </c>
      <c r="D781" s="39" t="str">
        <f>IF(A781="","",ROUND(N('Articles'!H781)+SUMIFS(mv_qty,mv_ref,A781,mv_type,"Entrée",mv_date,"&lt;"&amp;$E$1)-SUMIFS(mv_qty,mv_ref,A781,mv_type,"Sortie",mv_date,"&lt;"&amp;$E$1),6))</f>
        <v/>
      </c>
      <c r="E781" s="39" t="str">
        <f>IF(A781="","",SUMIFS(mv_qty,mv_ref,A781,mv_type,"Entrée",mv_date,"&gt;="&amp;$E$1,mv_date,"&lt;="&amp;$G$1))</f>
        <v/>
      </c>
      <c r="F781" s="39" t="str">
        <f>IF(A781="","",SUMIFS(mv_qty,mv_ref,A781,mv_type,"Sortie",mv_date,"&gt;="&amp;$E$1,mv_date,"&lt;="&amp;$G$1))</f>
        <v/>
      </c>
      <c r="G781" s="39" t="str">
        <f>IF(A781="","",ROUND(D781+E781-F781,6))</f>
        <v/>
      </c>
      <c r="H781" s="40" t="str">
        <f>IF(A781="","",G781*N('Articles'!G781))</f>
        <v/>
      </c>
    </row>
    <row r="782">
      <c r="A782" s="39" t="str">
        <f>IF('Articles'!A782="","",'Articles'!A782)</f>
        <v/>
      </c>
      <c r="B782" s="39" t="str">
        <f>IF(A782="","",'Articles'!B782&amp;"")</f>
        <v/>
      </c>
      <c r="C782" s="39" t="str">
        <f>IF(A782="","",'Articles'!D782&amp;"")</f>
        <v/>
      </c>
      <c r="D782" s="39" t="str">
        <f>IF(A782="","",ROUND(N('Articles'!H782)+SUMIFS(mv_qty,mv_ref,A782,mv_type,"Entrée",mv_date,"&lt;"&amp;$E$1)-SUMIFS(mv_qty,mv_ref,A782,mv_type,"Sortie",mv_date,"&lt;"&amp;$E$1),6))</f>
        <v/>
      </c>
      <c r="E782" s="39" t="str">
        <f>IF(A782="","",SUMIFS(mv_qty,mv_ref,A782,mv_type,"Entrée",mv_date,"&gt;="&amp;$E$1,mv_date,"&lt;="&amp;$G$1))</f>
        <v/>
      </c>
      <c r="F782" s="39" t="str">
        <f>IF(A782="","",SUMIFS(mv_qty,mv_ref,A782,mv_type,"Sortie",mv_date,"&gt;="&amp;$E$1,mv_date,"&lt;="&amp;$G$1))</f>
        <v/>
      </c>
      <c r="G782" s="39" t="str">
        <f>IF(A782="","",ROUND(D782+E782-F782,6))</f>
        <v/>
      </c>
      <c r="H782" s="40" t="str">
        <f>IF(A782="","",G782*N('Articles'!G782))</f>
        <v/>
      </c>
    </row>
    <row r="783">
      <c r="A783" s="39" t="str">
        <f>IF('Articles'!A783="","",'Articles'!A783)</f>
        <v/>
      </c>
      <c r="B783" s="39" t="str">
        <f>IF(A783="","",'Articles'!B783&amp;"")</f>
        <v/>
      </c>
      <c r="C783" s="39" t="str">
        <f>IF(A783="","",'Articles'!D783&amp;"")</f>
        <v/>
      </c>
      <c r="D783" s="39" t="str">
        <f>IF(A783="","",ROUND(N('Articles'!H783)+SUMIFS(mv_qty,mv_ref,A783,mv_type,"Entrée",mv_date,"&lt;"&amp;$E$1)-SUMIFS(mv_qty,mv_ref,A783,mv_type,"Sortie",mv_date,"&lt;"&amp;$E$1),6))</f>
        <v/>
      </c>
      <c r="E783" s="39" t="str">
        <f>IF(A783="","",SUMIFS(mv_qty,mv_ref,A783,mv_type,"Entrée",mv_date,"&gt;="&amp;$E$1,mv_date,"&lt;="&amp;$G$1))</f>
        <v/>
      </c>
      <c r="F783" s="39" t="str">
        <f>IF(A783="","",SUMIFS(mv_qty,mv_ref,A783,mv_type,"Sortie",mv_date,"&gt;="&amp;$E$1,mv_date,"&lt;="&amp;$G$1))</f>
        <v/>
      </c>
      <c r="G783" s="39" t="str">
        <f>IF(A783="","",ROUND(D783+E783-F783,6))</f>
        <v/>
      </c>
      <c r="H783" s="40" t="str">
        <f>IF(A783="","",G783*N('Articles'!G783))</f>
        <v/>
      </c>
    </row>
    <row r="784">
      <c r="A784" s="39" t="str">
        <f>IF('Articles'!A784="","",'Articles'!A784)</f>
        <v/>
      </c>
      <c r="B784" s="39" t="str">
        <f>IF(A784="","",'Articles'!B784&amp;"")</f>
        <v/>
      </c>
      <c r="C784" s="39" t="str">
        <f>IF(A784="","",'Articles'!D784&amp;"")</f>
        <v/>
      </c>
      <c r="D784" s="39" t="str">
        <f>IF(A784="","",ROUND(N('Articles'!H784)+SUMIFS(mv_qty,mv_ref,A784,mv_type,"Entrée",mv_date,"&lt;"&amp;$E$1)-SUMIFS(mv_qty,mv_ref,A784,mv_type,"Sortie",mv_date,"&lt;"&amp;$E$1),6))</f>
        <v/>
      </c>
      <c r="E784" s="39" t="str">
        <f>IF(A784="","",SUMIFS(mv_qty,mv_ref,A784,mv_type,"Entrée",mv_date,"&gt;="&amp;$E$1,mv_date,"&lt;="&amp;$G$1))</f>
        <v/>
      </c>
      <c r="F784" s="39" t="str">
        <f>IF(A784="","",SUMIFS(mv_qty,mv_ref,A784,mv_type,"Sortie",mv_date,"&gt;="&amp;$E$1,mv_date,"&lt;="&amp;$G$1))</f>
        <v/>
      </c>
      <c r="G784" s="39" t="str">
        <f>IF(A784="","",ROUND(D784+E784-F784,6))</f>
        <v/>
      </c>
      <c r="H784" s="40" t="str">
        <f>IF(A784="","",G784*N('Articles'!G784))</f>
        <v/>
      </c>
    </row>
    <row r="785">
      <c r="A785" s="39" t="str">
        <f>IF('Articles'!A785="","",'Articles'!A785)</f>
        <v/>
      </c>
      <c r="B785" s="39" t="str">
        <f>IF(A785="","",'Articles'!B785&amp;"")</f>
        <v/>
      </c>
      <c r="C785" s="39" t="str">
        <f>IF(A785="","",'Articles'!D785&amp;"")</f>
        <v/>
      </c>
      <c r="D785" s="39" t="str">
        <f>IF(A785="","",ROUND(N('Articles'!H785)+SUMIFS(mv_qty,mv_ref,A785,mv_type,"Entrée",mv_date,"&lt;"&amp;$E$1)-SUMIFS(mv_qty,mv_ref,A785,mv_type,"Sortie",mv_date,"&lt;"&amp;$E$1),6))</f>
        <v/>
      </c>
      <c r="E785" s="39" t="str">
        <f>IF(A785="","",SUMIFS(mv_qty,mv_ref,A785,mv_type,"Entrée",mv_date,"&gt;="&amp;$E$1,mv_date,"&lt;="&amp;$G$1))</f>
        <v/>
      </c>
      <c r="F785" s="39" t="str">
        <f>IF(A785="","",SUMIFS(mv_qty,mv_ref,A785,mv_type,"Sortie",mv_date,"&gt;="&amp;$E$1,mv_date,"&lt;="&amp;$G$1))</f>
        <v/>
      </c>
      <c r="G785" s="39" t="str">
        <f>IF(A785="","",ROUND(D785+E785-F785,6))</f>
        <v/>
      </c>
      <c r="H785" s="40" t="str">
        <f>IF(A785="","",G785*N('Articles'!G785))</f>
        <v/>
      </c>
    </row>
    <row r="786">
      <c r="A786" s="39" t="str">
        <f>IF('Articles'!A786="","",'Articles'!A786)</f>
        <v/>
      </c>
      <c r="B786" s="39" t="str">
        <f>IF(A786="","",'Articles'!B786&amp;"")</f>
        <v/>
      </c>
      <c r="C786" s="39" t="str">
        <f>IF(A786="","",'Articles'!D786&amp;"")</f>
        <v/>
      </c>
      <c r="D786" s="39" t="str">
        <f>IF(A786="","",ROUND(N('Articles'!H786)+SUMIFS(mv_qty,mv_ref,A786,mv_type,"Entrée",mv_date,"&lt;"&amp;$E$1)-SUMIFS(mv_qty,mv_ref,A786,mv_type,"Sortie",mv_date,"&lt;"&amp;$E$1),6))</f>
        <v/>
      </c>
      <c r="E786" s="39" t="str">
        <f>IF(A786="","",SUMIFS(mv_qty,mv_ref,A786,mv_type,"Entrée",mv_date,"&gt;="&amp;$E$1,mv_date,"&lt;="&amp;$G$1))</f>
        <v/>
      </c>
      <c r="F786" s="39" t="str">
        <f>IF(A786="","",SUMIFS(mv_qty,mv_ref,A786,mv_type,"Sortie",mv_date,"&gt;="&amp;$E$1,mv_date,"&lt;="&amp;$G$1))</f>
        <v/>
      </c>
      <c r="G786" s="39" t="str">
        <f>IF(A786="","",ROUND(D786+E786-F786,6))</f>
        <v/>
      </c>
      <c r="H786" s="40" t="str">
        <f>IF(A786="","",G786*N('Articles'!G786))</f>
        <v/>
      </c>
    </row>
    <row r="787">
      <c r="A787" s="39" t="str">
        <f>IF('Articles'!A787="","",'Articles'!A787)</f>
        <v/>
      </c>
      <c r="B787" s="39" t="str">
        <f>IF(A787="","",'Articles'!B787&amp;"")</f>
        <v/>
      </c>
      <c r="C787" s="39" t="str">
        <f>IF(A787="","",'Articles'!D787&amp;"")</f>
        <v/>
      </c>
      <c r="D787" s="39" t="str">
        <f>IF(A787="","",ROUND(N('Articles'!H787)+SUMIFS(mv_qty,mv_ref,A787,mv_type,"Entrée",mv_date,"&lt;"&amp;$E$1)-SUMIFS(mv_qty,mv_ref,A787,mv_type,"Sortie",mv_date,"&lt;"&amp;$E$1),6))</f>
        <v/>
      </c>
      <c r="E787" s="39" t="str">
        <f>IF(A787="","",SUMIFS(mv_qty,mv_ref,A787,mv_type,"Entrée",mv_date,"&gt;="&amp;$E$1,mv_date,"&lt;="&amp;$G$1))</f>
        <v/>
      </c>
      <c r="F787" s="39" t="str">
        <f>IF(A787="","",SUMIFS(mv_qty,mv_ref,A787,mv_type,"Sortie",mv_date,"&gt;="&amp;$E$1,mv_date,"&lt;="&amp;$G$1))</f>
        <v/>
      </c>
      <c r="G787" s="39" t="str">
        <f>IF(A787="","",ROUND(D787+E787-F787,6))</f>
        <v/>
      </c>
      <c r="H787" s="40" t="str">
        <f>IF(A787="","",G787*N('Articles'!G787))</f>
        <v/>
      </c>
    </row>
    <row r="788">
      <c r="A788" s="39" t="str">
        <f>IF('Articles'!A788="","",'Articles'!A788)</f>
        <v/>
      </c>
      <c r="B788" s="39" t="str">
        <f>IF(A788="","",'Articles'!B788&amp;"")</f>
        <v/>
      </c>
      <c r="C788" s="39" t="str">
        <f>IF(A788="","",'Articles'!D788&amp;"")</f>
        <v/>
      </c>
      <c r="D788" s="39" t="str">
        <f>IF(A788="","",ROUND(N('Articles'!H788)+SUMIFS(mv_qty,mv_ref,A788,mv_type,"Entrée",mv_date,"&lt;"&amp;$E$1)-SUMIFS(mv_qty,mv_ref,A788,mv_type,"Sortie",mv_date,"&lt;"&amp;$E$1),6))</f>
        <v/>
      </c>
      <c r="E788" s="39" t="str">
        <f>IF(A788="","",SUMIFS(mv_qty,mv_ref,A788,mv_type,"Entrée",mv_date,"&gt;="&amp;$E$1,mv_date,"&lt;="&amp;$G$1))</f>
        <v/>
      </c>
      <c r="F788" s="39" t="str">
        <f>IF(A788="","",SUMIFS(mv_qty,mv_ref,A788,mv_type,"Sortie",mv_date,"&gt;="&amp;$E$1,mv_date,"&lt;="&amp;$G$1))</f>
        <v/>
      </c>
      <c r="G788" s="39" t="str">
        <f>IF(A788="","",ROUND(D788+E788-F788,6))</f>
        <v/>
      </c>
      <c r="H788" s="40" t="str">
        <f>IF(A788="","",G788*N('Articles'!G788))</f>
        <v/>
      </c>
    </row>
    <row r="789">
      <c r="A789" s="39" t="str">
        <f>IF('Articles'!A789="","",'Articles'!A789)</f>
        <v/>
      </c>
      <c r="B789" s="39" t="str">
        <f>IF(A789="","",'Articles'!B789&amp;"")</f>
        <v/>
      </c>
      <c r="C789" s="39" t="str">
        <f>IF(A789="","",'Articles'!D789&amp;"")</f>
        <v/>
      </c>
      <c r="D789" s="39" t="str">
        <f>IF(A789="","",ROUND(N('Articles'!H789)+SUMIFS(mv_qty,mv_ref,A789,mv_type,"Entrée",mv_date,"&lt;"&amp;$E$1)-SUMIFS(mv_qty,mv_ref,A789,mv_type,"Sortie",mv_date,"&lt;"&amp;$E$1),6))</f>
        <v/>
      </c>
      <c r="E789" s="39" t="str">
        <f>IF(A789="","",SUMIFS(mv_qty,mv_ref,A789,mv_type,"Entrée",mv_date,"&gt;="&amp;$E$1,mv_date,"&lt;="&amp;$G$1))</f>
        <v/>
      </c>
      <c r="F789" s="39" t="str">
        <f>IF(A789="","",SUMIFS(mv_qty,mv_ref,A789,mv_type,"Sortie",mv_date,"&gt;="&amp;$E$1,mv_date,"&lt;="&amp;$G$1))</f>
        <v/>
      </c>
      <c r="G789" s="39" t="str">
        <f>IF(A789="","",ROUND(D789+E789-F789,6))</f>
        <v/>
      </c>
      <c r="H789" s="40" t="str">
        <f>IF(A789="","",G789*N('Articles'!G789))</f>
        <v/>
      </c>
    </row>
    <row r="790">
      <c r="A790" s="39" t="str">
        <f>IF('Articles'!A790="","",'Articles'!A790)</f>
        <v/>
      </c>
      <c r="B790" s="39" t="str">
        <f>IF(A790="","",'Articles'!B790&amp;"")</f>
        <v/>
      </c>
      <c r="C790" s="39" t="str">
        <f>IF(A790="","",'Articles'!D790&amp;"")</f>
        <v/>
      </c>
      <c r="D790" s="39" t="str">
        <f>IF(A790="","",ROUND(N('Articles'!H790)+SUMIFS(mv_qty,mv_ref,A790,mv_type,"Entrée",mv_date,"&lt;"&amp;$E$1)-SUMIFS(mv_qty,mv_ref,A790,mv_type,"Sortie",mv_date,"&lt;"&amp;$E$1),6))</f>
        <v/>
      </c>
      <c r="E790" s="39" t="str">
        <f>IF(A790="","",SUMIFS(mv_qty,mv_ref,A790,mv_type,"Entrée",mv_date,"&gt;="&amp;$E$1,mv_date,"&lt;="&amp;$G$1))</f>
        <v/>
      </c>
      <c r="F790" s="39" t="str">
        <f>IF(A790="","",SUMIFS(mv_qty,mv_ref,A790,mv_type,"Sortie",mv_date,"&gt;="&amp;$E$1,mv_date,"&lt;="&amp;$G$1))</f>
        <v/>
      </c>
      <c r="G790" s="39" t="str">
        <f>IF(A790="","",ROUND(D790+E790-F790,6))</f>
        <v/>
      </c>
      <c r="H790" s="40" t="str">
        <f>IF(A790="","",G790*N('Articles'!G790))</f>
        <v/>
      </c>
    </row>
    <row r="791">
      <c r="A791" s="39" t="str">
        <f>IF('Articles'!A791="","",'Articles'!A791)</f>
        <v/>
      </c>
      <c r="B791" s="39" t="str">
        <f>IF(A791="","",'Articles'!B791&amp;"")</f>
        <v/>
      </c>
      <c r="C791" s="39" t="str">
        <f>IF(A791="","",'Articles'!D791&amp;"")</f>
        <v/>
      </c>
      <c r="D791" s="39" t="str">
        <f>IF(A791="","",ROUND(N('Articles'!H791)+SUMIFS(mv_qty,mv_ref,A791,mv_type,"Entrée",mv_date,"&lt;"&amp;$E$1)-SUMIFS(mv_qty,mv_ref,A791,mv_type,"Sortie",mv_date,"&lt;"&amp;$E$1),6))</f>
        <v/>
      </c>
      <c r="E791" s="39" t="str">
        <f>IF(A791="","",SUMIFS(mv_qty,mv_ref,A791,mv_type,"Entrée",mv_date,"&gt;="&amp;$E$1,mv_date,"&lt;="&amp;$G$1))</f>
        <v/>
      </c>
      <c r="F791" s="39" t="str">
        <f>IF(A791="","",SUMIFS(mv_qty,mv_ref,A791,mv_type,"Sortie",mv_date,"&gt;="&amp;$E$1,mv_date,"&lt;="&amp;$G$1))</f>
        <v/>
      </c>
      <c r="G791" s="39" t="str">
        <f>IF(A791="","",ROUND(D791+E791-F791,6))</f>
        <v/>
      </c>
      <c r="H791" s="40" t="str">
        <f>IF(A791="","",G791*N('Articles'!G791))</f>
        <v/>
      </c>
    </row>
    <row r="792">
      <c r="A792" s="39" t="str">
        <f>IF('Articles'!A792="","",'Articles'!A792)</f>
        <v/>
      </c>
      <c r="B792" s="39" t="str">
        <f>IF(A792="","",'Articles'!B792&amp;"")</f>
        <v/>
      </c>
      <c r="C792" s="39" t="str">
        <f>IF(A792="","",'Articles'!D792&amp;"")</f>
        <v/>
      </c>
      <c r="D792" s="39" t="str">
        <f>IF(A792="","",ROUND(N('Articles'!H792)+SUMIFS(mv_qty,mv_ref,A792,mv_type,"Entrée",mv_date,"&lt;"&amp;$E$1)-SUMIFS(mv_qty,mv_ref,A792,mv_type,"Sortie",mv_date,"&lt;"&amp;$E$1),6))</f>
        <v/>
      </c>
      <c r="E792" s="39" t="str">
        <f>IF(A792="","",SUMIFS(mv_qty,mv_ref,A792,mv_type,"Entrée",mv_date,"&gt;="&amp;$E$1,mv_date,"&lt;="&amp;$G$1))</f>
        <v/>
      </c>
      <c r="F792" s="39" t="str">
        <f>IF(A792="","",SUMIFS(mv_qty,mv_ref,A792,mv_type,"Sortie",mv_date,"&gt;="&amp;$E$1,mv_date,"&lt;="&amp;$G$1))</f>
        <v/>
      </c>
      <c r="G792" s="39" t="str">
        <f>IF(A792="","",ROUND(D792+E792-F792,6))</f>
        <v/>
      </c>
      <c r="H792" s="40" t="str">
        <f>IF(A792="","",G792*N('Articles'!G792))</f>
        <v/>
      </c>
    </row>
    <row r="793">
      <c r="A793" s="39" t="str">
        <f>IF('Articles'!A793="","",'Articles'!A793)</f>
        <v/>
      </c>
      <c r="B793" s="39" t="str">
        <f>IF(A793="","",'Articles'!B793&amp;"")</f>
        <v/>
      </c>
      <c r="C793" s="39" t="str">
        <f>IF(A793="","",'Articles'!D793&amp;"")</f>
        <v/>
      </c>
      <c r="D793" s="39" t="str">
        <f>IF(A793="","",ROUND(N('Articles'!H793)+SUMIFS(mv_qty,mv_ref,A793,mv_type,"Entrée",mv_date,"&lt;"&amp;$E$1)-SUMIFS(mv_qty,mv_ref,A793,mv_type,"Sortie",mv_date,"&lt;"&amp;$E$1),6))</f>
        <v/>
      </c>
      <c r="E793" s="39" t="str">
        <f>IF(A793="","",SUMIFS(mv_qty,mv_ref,A793,mv_type,"Entrée",mv_date,"&gt;="&amp;$E$1,mv_date,"&lt;="&amp;$G$1))</f>
        <v/>
      </c>
      <c r="F793" s="39" t="str">
        <f>IF(A793="","",SUMIFS(mv_qty,mv_ref,A793,mv_type,"Sortie",mv_date,"&gt;="&amp;$E$1,mv_date,"&lt;="&amp;$G$1))</f>
        <v/>
      </c>
      <c r="G793" s="39" t="str">
        <f>IF(A793="","",ROUND(D793+E793-F793,6))</f>
        <v/>
      </c>
      <c r="H793" s="40" t="str">
        <f>IF(A793="","",G793*N('Articles'!G793))</f>
        <v/>
      </c>
    </row>
    <row r="794">
      <c r="A794" s="39" t="str">
        <f>IF('Articles'!A794="","",'Articles'!A794)</f>
        <v/>
      </c>
      <c r="B794" s="39" t="str">
        <f>IF(A794="","",'Articles'!B794&amp;"")</f>
        <v/>
      </c>
      <c r="C794" s="39" t="str">
        <f>IF(A794="","",'Articles'!D794&amp;"")</f>
        <v/>
      </c>
      <c r="D794" s="39" t="str">
        <f>IF(A794="","",ROUND(N('Articles'!H794)+SUMIFS(mv_qty,mv_ref,A794,mv_type,"Entrée",mv_date,"&lt;"&amp;$E$1)-SUMIFS(mv_qty,mv_ref,A794,mv_type,"Sortie",mv_date,"&lt;"&amp;$E$1),6))</f>
        <v/>
      </c>
      <c r="E794" s="39" t="str">
        <f>IF(A794="","",SUMIFS(mv_qty,mv_ref,A794,mv_type,"Entrée",mv_date,"&gt;="&amp;$E$1,mv_date,"&lt;="&amp;$G$1))</f>
        <v/>
      </c>
      <c r="F794" s="39" t="str">
        <f>IF(A794="","",SUMIFS(mv_qty,mv_ref,A794,mv_type,"Sortie",mv_date,"&gt;="&amp;$E$1,mv_date,"&lt;="&amp;$G$1))</f>
        <v/>
      </c>
      <c r="G794" s="39" t="str">
        <f>IF(A794="","",ROUND(D794+E794-F794,6))</f>
        <v/>
      </c>
      <c r="H794" s="40" t="str">
        <f>IF(A794="","",G794*N('Articles'!G794))</f>
        <v/>
      </c>
    </row>
    <row r="795">
      <c r="A795" s="39" t="str">
        <f>IF('Articles'!A795="","",'Articles'!A795)</f>
        <v/>
      </c>
      <c r="B795" s="39" t="str">
        <f>IF(A795="","",'Articles'!B795&amp;"")</f>
        <v/>
      </c>
      <c r="C795" s="39" t="str">
        <f>IF(A795="","",'Articles'!D795&amp;"")</f>
        <v/>
      </c>
      <c r="D795" s="39" t="str">
        <f>IF(A795="","",ROUND(N('Articles'!H795)+SUMIFS(mv_qty,mv_ref,A795,mv_type,"Entrée",mv_date,"&lt;"&amp;$E$1)-SUMIFS(mv_qty,mv_ref,A795,mv_type,"Sortie",mv_date,"&lt;"&amp;$E$1),6))</f>
        <v/>
      </c>
      <c r="E795" s="39" t="str">
        <f>IF(A795="","",SUMIFS(mv_qty,mv_ref,A795,mv_type,"Entrée",mv_date,"&gt;="&amp;$E$1,mv_date,"&lt;="&amp;$G$1))</f>
        <v/>
      </c>
      <c r="F795" s="39" t="str">
        <f>IF(A795="","",SUMIFS(mv_qty,mv_ref,A795,mv_type,"Sortie",mv_date,"&gt;="&amp;$E$1,mv_date,"&lt;="&amp;$G$1))</f>
        <v/>
      </c>
      <c r="G795" s="39" t="str">
        <f>IF(A795="","",ROUND(D795+E795-F795,6))</f>
        <v/>
      </c>
      <c r="H795" s="40" t="str">
        <f>IF(A795="","",G795*N('Articles'!G795))</f>
        <v/>
      </c>
    </row>
    <row r="796">
      <c r="A796" s="39" t="str">
        <f>IF('Articles'!A796="","",'Articles'!A796)</f>
        <v/>
      </c>
      <c r="B796" s="39" t="str">
        <f>IF(A796="","",'Articles'!B796&amp;"")</f>
        <v/>
      </c>
      <c r="C796" s="39" t="str">
        <f>IF(A796="","",'Articles'!D796&amp;"")</f>
        <v/>
      </c>
      <c r="D796" s="39" t="str">
        <f>IF(A796="","",ROUND(N('Articles'!H796)+SUMIFS(mv_qty,mv_ref,A796,mv_type,"Entrée",mv_date,"&lt;"&amp;$E$1)-SUMIFS(mv_qty,mv_ref,A796,mv_type,"Sortie",mv_date,"&lt;"&amp;$E$1),6))</f>
        <v/>
      </c>
      <c r="E796" s="39" t="str">
        <f>IF(A796="","",SUMIFS(mv_qty,mv_ref,A796,mv_type,"Entrée",mv_date,"&gt;="&amp;$E$1,mv_date,"&lt;="&amp;$G$1))</f>
        <v/>
      </c>
      <c r="F796" s="39" t="str">
        <f>IF(A796="","",SUMIFS(mv_qty,mv_ref,A796,mv_type,"Sortie",mv_date,"&gt;="&amp;$E$1,mv_date,"&lt;="&amp;$G$1))</f>
        <v/>
      </c>
      <c r="G796" s="39" t="str">
        <f>IF(A796="","",ROUND(D796+E796-F796,6))</f>
        <v/>
      </c>
      <c r="H796" s="40" t="str">
        <f>IF(A796="","",G796*N('Articles'!G796))</f>
        <v/>
      </c>
    </row>
    <row r="797">
      <c r="A797" s="39" t="str">
        <f>IF('Articles'!A797="","",'Articles'!A797)</f>
        <v/>
      </c>
      <c r="B797" s="39" t="str">
        <f>IF(A797="","",'Articles'!B797&amp;"")</f>
        <v/>
      </c>
      <c r="C797" s="39" t="str">
        <f>IF(A797="","",'Articles'!D797&amp;"")</f>
        <v/>
      </c>
      <c r="D797" s="39" t="str">
        <f>IF(A797="","",ROUND(N('Articles'!H797)+SUMIFS(mv_qty,mv_ref,A797,mv_type,"Entrée",mv_date,"&lt;"&amp;$E$1)-SUMIFS(mv_qty,mv_ref,A797,mv_type,"Sortie",mv_date,"&lt;"&amp;$E$1),6))</f>
        <v/>
      </c>
      <c r="E797" s="39" t="str">
        <f>IF(A797="","",SUMIFS(mv_qty,mv_ref,A797,mv_type,"Entrée",mv_date,"&gt;="&amp;$E$1,mv_date,"&lt;="&amp;$G$1))</f>
        <v/>
      </c>
      <c r="F797" s="39" t="str">
        <f>IF(A797="","",SUMIFS(mv_qty,mv_ref,A797,mv_type,"Sortie",mv_date,"&gt;="&amp;$E$1,mv_date,"&lt;="&amp;$G$1))</f>
        <v/>
      </c>
      <c r="G797" s="39" t="str">
        <f>IF(A797="","",ROUND(D797+E797-F797,6))</f>
        <v/>
      </c>
      <c r="H797" s="40" t="str">
        <f>IF(A797="","",G797*N('Articles'!G797))</f>
        <v/>
      </c>
    </row>
    <row r="798">
      <c r="A798" s="39" t="str">
        <f>IF('Articles'!A798="","",'Articles'!A798)</f>
        <v/>
      </c>
      <c r="B798" s="39" t="str">
        <f>IF(A798="","",'Articles'!B798&amp;"")</f>
        <v/>
      </c>
      <c r="C798" s="39" t="str">
        <f>IF(A798="","",'Articles'!D798&amp;"")</f>
        <v/>
      </c>
      <c r="D798" s="39" t="str">
        <f>IF(A798="","",ROUND(N('Articles'!H798)+SUMIFS(mv_qty,mv_ref,A798,mv_type,"Entrée",mv_date,"&lt;"&amp;$E$1)-SUMIFS(mv_qty,mv_ref,A798,mv_type,"Sortie",mv_date,"&lt;"&amp;$E$1),6))</f>
        <v/>
      </c>
      <c r="E798" s="39" t="str">
        <f>IF(A798="","",SUMIFS(mv_qty,mv_ref,A798,mv_type,"Entrée",mv_date,"&gt;="&amp;$E$1,mv_date,"&lt;="&amp;$G$1))</f>
        <v/>
      </c>
      <c r="F798" s="39" t="str">
        <f>IF(A798="","",SUMIFS(mv_qty,mv_ref,A798,mv_type,"Sortie",mv_date,"&gt;="&amp;$E$1,mv_date,"&lt;="&amp;$G$1))</f>
        <v/>
      </c>
      <c r="G798" s="39" t="str">
        <f>IF(A798="","",ROUND(D798+E798-F798,6))</f>
        <v/>
      </c>
      <c r="H798" s="40" t="str">
        <f>IF(A798="","",G798*N('Articles'!G798))</f>
        <v/>
      </c>
    </row>
    <row r="799">
      <c r="A799" s="39" t="str">
        <f>IF('Articles'!A799="","",'Articles'!A799)</f>
        <v/>
      </c>
      <c r="B799" s="39" t="str">
        <f>IF(A799="","",'Articles'!B799&amp;"")</f>
        <v/>
      </c>
      <c r="C799" s="39" t="str">
        <f>IF(A799="","",'Articles'!D799&amp;"")</f>
        <v/>
      </c>
      <c r="D799" s="39" t="str">
        <f>IF(A799="","",ROUND(N('Articles'!H799)+SUMIFS(mv_qty,mv_ref,A799,mv_type,"Entrée",mv_date,"&lt;"&amp;$E$1)-SUMIFS(mv_qty,mv_ref,A799,mv_type,"Sortie",mv_date,"&lt;"&amp;$E$1),6))</f>
        <v/>
      </c>
      <c r="E799" s="39" t="str">
        <f>IF(A799="","",SUMIFS(mv_qty,mv_ref,A799,mv_type,"Entrée",mv_date,"&gt;="&amp;$E$1,mv_date,"&lt;="&amp;$G$1))</f>
        <v/>
      </c>
      <c r="F799" s="39" t="str">
        <f>IF(A799="","",SUMIFS(mv_qty,mv_ref,A799,mv_type,"Sortie",mv_date,"&gt;="&amp;$E$1,mv_date,"&lt;="&amp;$G$1))</f>
        <v/>
      </c>
      <c r="G799" s="39" t="str">
        <f>IF(A799="","",ROUND(D799+E799-F799,6))</f>
        <v/>
      </c>
      <c r="H799" s="40" t="str">
        <f>IF(A799="","",G799*N('Articles'!G799))</f>
        <v/>
      </c>
    </row>
    <row r="800">
      <c r="A800" s="39" t="str">
        <f>IF('Articles'!A800="","",'Articles'!A800)</f>
        <v/>
      </c>
      <c r="B800" s="39" t="str">
        <f>IF(A800="","",'Articles'!B800&amp;"")</f>
        <v/>
      </c>
      <c r="C800" s="39" t="str">
        <f>IF(A800="","",'Articles'!D800&amp;"")</f>
        <v/>
      </c>
      <c r="D800" s="39" t="str">
        <f>IF(A800="","",ROUND(N('Articles'!H800)+SUMIFS(mv_qty,mv_ref,A800,mv_type,"Entrée",mv_date,"&lt;"&amp;$E$1)-SUMIFS(mv_qty,mv_ref,A800,mv_type,"Sortie",mv_date,"&lt;"&amp;$E$1),6))</f>
        <v/>
      </c>
      <c r="E800" s="39" t="str">
        <f>IF(A800="","",SUMIFS(mv_qty,mv_ref,A800,mv_type,"Entrée",mv_date,"&gt;="&amp;$E$1,mv_date,"&lt;="&amp;$G$1))</f>
        <v/>
      </c>
      <c r="F800" s="39" t="str">
        <f>IF(A800="","",SUMIFS(mv_qty,mv_ref,A800,mv_type,"Sortie",mv_date,"&gt;="&amp;$E$1,mv_date,"&lt;="&amp;$G$1))</f>
        <v/>
      </c>
      <c r="G800" s="39" t="str">
        <f>IF(A800="","",ROUND(D800+E800-F800,6))</f>
        <v/>
      </c>
      <c r="H800" s="40" t="str">
        <f>IF(A800="","",G800*N('Articles'!G800))</f>
        <v/>
      </c>
    </row>
    <row r="801">
      <c r="A801" s="39" t="str">
        <f>IF('Articles'!A801="","",'Articles'!A801)</f>
        <v/>
      </c>
      <c r="B801" s="39" t="str">
        <f>IF(A801="","",'Articles'!B801&amp;"")</f>
        <v/>
      </c>
      <c r="C801" s="39" t="str">
        <f>IF(A801="","",'Articles'!D801&amp;"")</f>
        <v/>
      </c>
      <c r="D801" s="39" t="str">
        <f>IF(A801="","",ROUND(N('Articles'!H801)+SUMIFS(mv_qty,mv_ref,A801,mv_type,"Entrée",mv_date,"&lt;"&amp;$E$1)-SUMIFS(mv_qty,mv_ref,A801,mv_type,"Sortie",mv_date,"&lt;"&amp;$E$1),6))</f>
        <v/>
      </c>
      <c r="E801" s="39" t="str">
        <f>IF(A801="","",SUMIFS(mv_qty,mv_ref,A801,mv_type,"Entrée",mv_date,"&gt;="&amp;$E$1,mv_date,"&lt;="&amp;$G$1))</f>
        <v/>
      </c>
      <c r="F801" s="39" t="str">
        <f>IF(A801="","",SUMIFS(mv_qty,mv_ref,A801,mv_type,"Sortie",mv_date,"&gt;="&amp;$E$1,mv_date,"&lt;="&amp;$G$1))</f>
        <v/>
      </c>
      <c r="G801" s="39" t="str">
        <f>IF(A801="","",ROUND(D801+E801-F801,6))</f>
        <v/>
      </c>
      <c r="H801" s="40" t="str">
        <f>IF(A801="","",G801*N('Articles'!G801))</f>
        <v/>
      </c>
    </row>
    <row r="802">
      <c r="A802" s="39" t="str">
        <f>IF('Articles'!A802="","",'Articles'!A802)</f>
        <v/>
      </c>
      <c r="B802" s="39" t="str">
        <f>IF(A802="","",'Articles'!B802&amp;"")</f>
        <v/>
      </c>
      <c r="C802" s="39" t="str">
        <f>IF(A802="","",'Articles'!D802&amp;"")</f>
        <v/>
      </c>
      <c r="D802" s="39" t="str">
        <f>IF(A802="","",ROUND(N('Articles'!H802)+SUMIFS(mv_qty,mv_ref,A802,mv_type,"Entrée",mv_date,"&lt;"&amp;$E$1)-SUMIFS(mv_qty,mv_ref,A802,mv_type,"Sortie",mv_date,"&lt;"&amp;$E$1),6))</f>
        <v/>
      </c>
      <c r="E802" s="39" t="str">
        <f>IF(A802="","",SUMIFS(mv_qty,mv_ref,A802,mv_type,"Entrée",mv_date,"&gt;="&amp;$E$1,mv_date,"&lt;="&amp;$G$1))</f>
        <v/>
      </c>
      <c r="F802" s="39" t="str">
        <f>IF(A802="","",SUMIFS(mv_qty,mv_ref,A802,mv_type,"Sortie",mv_date,"&gt;="&amp;$E$1,mv_date,"&lt;="&amp;$G$1))</f>
        <v/>
      </c>
      <c r="G802" s="39" t="str">
        <f>IF(A802="","",ROUND(D802+E802-F802,6))</f>
        <v/>
      </c>
      <c r="H802" s="40" t="str">
        <f>IF(A802="","",G802*N('Articles'!G802))</f>
        <v/>
      </c>
    </row>
    <row r="803">
      <c r="A803" s="39" t="str">
        <f>IF('Articles'!A803="","",'Articles'!A803)</f>
        <v/>
      </c>
      <c r="B803" s="39" t="str">
        <f>IF(A803="","",'Articles'!B803&amp;"")</f>
        <v/>
      </c>
      <c r="C803" s="39" t="str">
        <f>IF(A803="","",'Articles'!D803&amp;"")</f>
        <v/>
      </c>
      <c r="D803" s="39" t="str">
        <f>IF(A803="","",ROUND(N('Articles'!H803)+SUMIFS(mv_qty,mv_ref,A803,mv_type,"Entrée",mv_date,"&lt;"&amp;$E$1)-SUMIFS(mv_qty,mv_ref,A803,mv_type,"Sortie",mv_date,"&lt;"&amp;$E$1),6))</f>
        <v/>
      </c>
      <c r="E803" s="39" t="str">
        <f>IF(A803="","",SUMIFS(mv_qty,mv_ref,A803,mv_type,"Entrée",mv_date,"&gt;="&amp;$E$1,mv_date,"&lt;="&amp;$G$1))</f>
        <v/>
      </c>
      <c r="F803" s="39" t="str">
        <f>IF(A803="","",SUMIFS(mv_qty,mv_ref,A803,mv_type,"Sortie",mv_date,"&gt;="&amp;$E$1,mv_date,"&lt;="&amp;$G$1))</f>
        <v/>
      </c>
      <c r="G803" s="39" t="str">
        <f>IF(A803="","",ROUND(D803+E803-F803,6))</f>
        <v/>
      </c>
      <c r="H803" s="40" t="str">
        <f>IF(A803="","",G803*N('Articles'!G803))</f>
        <v/>
      </c>
    </row>
    <row r="804">
      <c r="A804" s="39" t="str">
        <f>IF('Articles'!A804="","",'Articles'!A804)</f>
        <v/>
      </c>
      <c r="B804" s="39" t="str">
        <f>IF(A804="","",'Articles'!B804&amp;"")</f>
        <v/>
      </c>
      <c r="C804" s="39" t="str">
        <f>IF(A804="","",'Articles'!D804&amp;"")</f>
        <v/>
      </c>
      <c r="D804" s="39" t="str">
        <f>IF(A804="","",ROUND(N('Articles'!H804)+SUMIFS(mv_qty,mv_ref,A804,mv_type,"Entrée",mv_date,"&lt;"&amp;$E$1)-SUMIFS(mv_qty,mv_ref,A804,mv_type,"Sortie",mv_date,"&lt;"&amp;$E$1),6))</f>
        <v/>
      </c>
      <c r="E804" s="39" t="str">
        <f>IF(A804="","",SUMIFS(mv_qty,mv_ref,A804,mv_type,"Entrée",mv_date,"&gt;="&amp;$E$1,mv_date,"&lt;="&amp;$G$1))</f>
        <v/>
      </c>
      <c r="F804" s="39" t="str">
        <f>IF(A804="","",SUMIFS(mv_qty,mv_ref,A804,mv_type,"Sortie",mv_date,"&gt;="&amp;$E$1,mv_date,"&lt;="&amp;$G$1))</f>
        <v/>
      </c>
      <c r="G804" s="39" t="str">
        <f>IF(A804="","",ROUND(D804+E804-F804,6))</f>
        <v/>
      </c>
      <c r="H804" s="40" t="str">
        <f>IF(A804="","",G804*N('Articles'!G804))</f>
        <v/>
      </c>
    </row>
    <row r="805">
      <c r="A805" s="39" t="str">
        <f>IF('Articles'!A805="","",'Articles'!A805)</f>
        <v/>
      </c>
      <c r="B805" s="39" t="str">
        <f>IF(A805="","",'Articles'!B805&amp;"")</f>
        <v/>
      </c>
      <c r="C805" s="39" t="str">
        <f>IF(A805="","",'Articles'!D805&amp;"")</f>
        <v/>
      </c>
      <c r="D805" s="39" t="str">
        <f>IF(A805="","",ROUND(N('Articles'!H805)+SUMIFS(mv_qty,mv_ref,A805,mv_type,"Entrée",mv_date,"&lt;"&amp;$E$1)-SUMIFS(mv_qty,mv_ref,A805,mv_type,"Sortie",mv_date,"&lt;"&amp;$E$1),6))</f>
        <v/>
      </c>
      <c r="E805" s="39" t="str">
        <f>IF(A805="","",SUMIFS(mv_qty,mv_ref,A805,mv_type,"Entrée",mv_date,"&gt;="&amp;$E$1,mv_date,"&lt;="&amp;$G$1))</f>
        <v/>
      </c>
      <c r="F805" s="39" t="str">
        <f>IF(A805="","",SUMIFS(mv_qty,mv_ref,A805,mv_type,"Sortie",mv_date,"&gt;="&amp;$E$1,mv_date,"&lt;="&amp;$G$1))</f>
        <v/>
      </c>
      <c r="G805" s="39" t="str">
        <f>IF(A805="","",ROUND(D805+E805-F805,6))</f>
        <v/>
      </c>
      <c r="H805" s="40" t="str">
        <f>IF(A805="","",G805*N('Articles'!G805))</f>
        <v/>
      </c>
    </row>
    <row r="806">
      <c r="A806" s="39" t="str">
        <f>IF('Articles'!A806="","",'Articles'!A806)</f>
        <v/>
      </c>
      <c r="B806" s="39" t="str">
        <f>IF(A806="","",'Articles'!B806&amp;"")</f>
        <v/>
      </c>
      <c r="C806" s="39" t="str">
        <f>IF(A806="","",'Articles'!D806&amp;"")</f>
        <v/>
      </c>
      <c r="D806" s="39" t="str">
        <f>IF(A806="","",ROUND(N('Articles'!H806)+SUMIFS(mv_qty,mv_ref,A806,mv_type,"Entrée",mv_date,"&lt;"&amp;$E$1)-SUMIFS(mv_qty,mv_ref,A806,mv_type,"Sortie",mv_date,"&lt;"&amp;$E$1),6))</f>
        <v/>
      </c>
      <c r="E806" s="39" t="str">
        <f>IF(A806="","",SUMIFS(mv_qty,mv_ref,A806,mv_type,"Entrée",mv_date,"&gt;="&amp;$E$1,mv_date,"&lt;="&amp;$G$1))</f>
        <v/>
      </c>
      <c r="F806" s="39" t="str">
        <f>IF(A806="","",SUMIFS(mv_qty,mv_ref,A806,mv_type,"Sortie",mv_date,"&gt;="&amp;$E$1,mv_date,"&lt;="&amp;$G$1))</f>
        <v/>
      </c>
      <c r="G806" s="39" t="str">
        <f>IF(A806="","",ROUND(D806+E806-F806,6))</f>
        <v/>
      </c>
      <c r="H806" s="40" t="str">
        <f>IF(A806="","",G806*N('Articles'!G806))</f>
        <v/>
      </c>
    </row>
    <row r="807">
      <c r="A807" s="39" t="str">
        <f>IF('Articles'!A807="","",'Articles'!A807)</f>
        <v/>
      </c>
      <c r="B807" s="39" t="str">
        <f>IF(A807="","",'Articles'!B807&amp;"")</f>
        <v/>
      </c>
      <c r="C807" s="39" t="str">
        <f>IF(A807="","",'Articles'!D807&amp;"")</f>
        <v/>
      </c>
      <c r="D807" s="39" t="str">
        <f>IF(A807="","",ROUND(N('Articles'!H807)+SUMIFS(mv_qty,mv_ref,A807,mv_type,"Entrée",mv_date,"&lt;"&amp;$E$1)-SUMIFS(mv_qty,mv_ref,A807,mv_type,"Sortie",mv_date,"&lt;"&amp;$E$1),6))</f>
        <v/>
      </c>
      <c r="E807" s="39" t="str">
        <f>IF(A807="","",SUMIFS(mv_qty,mv_ref,A807,mv_type,"Entrée",mv_date,"&gt;="&amp;$E$1,mv_date,"&lt;="&amp;$G$1))</f>
        <v/>
      </c>
      <c r="F807" s="39" t="str">
        <f>IF(A807="","",SUMIFS(mv_qty,mv_ref,A807,mv_type,"Sortie",mv_date,"&gt;="&amp;$E$1,mv_date,"&lt;="&amp;$G$1))</f>
        <v/>
      </c>
      <c r="G807" s="39" t="str">
        <f>IF(A807="","",ROUND(D807+E807-F807,6))</f>
        <v/>
      </c>
      <c r="H807" s="40" t="str">
        <f>IF(A807="","",G807*N('Articles'!G807))</f>
        <v/>
      </c>
    </row>
    <row r="808">
      <c r="A808" s="39" t="str">
        <f>IF('Articles'!A808="","",'Articles'!A808)</f>
        <v/>
      </c>
      <c r="B808" s="39" t="str">
        <f>IF(A808="","",'Articles'!B808&amp;"")</f>
        <v/>
      </c>
      <c r="C808" s="39" t="str">
        <f>IF(A808="","",'Articles'!D808&amp;"")</f>
        <v/>
      </c>
      <c r="D808" s="39" t="str">
        <f>IF(A808="","",ROUND(N('Articles'!H808)+SUMIFS(mv_qty,mv_ref,A808,mv_type,"Entrée",mv_date,"&lt;"&amp;$E$1)-SUMIFS(mv_qty,mv_ref,A808,mv_type,"Sortie",mv_date,"&lt;"&amp;$E$1),6))</f>
        <v/>
      </c>
      <c r="E808" s="39" t="str">
        <f>IF(A808="","",SUMIFS(mv_qty,mv_ref,A808,mv_type,"Entrée",mv_date,"&gt;="&amp;$E$1,mv_date,"&lt;="&amp;$G$1))</f>
        <v/>
      </c>
      <c r="F808" s="39" t="str">
        <f>IF(A808="","",SUMIFS(mv_qty,mv_ref,A808,mv_type,"Sortie",mv_date,"&gt;="&amp;$E$1,mv_date,"&lt;="&amp;$G$1))</f>
        <v/>
      </c>
      <c r="G808" s="39" t="str">
        <f>IF(A808="","",ROUND(D808+E808-F808,6))</f>
        <v/>
      </c>
      <c r="H808" s="40" t="str">
        <f>IF(A808="","",G808*N('Articles'!G808))</f>
        <v/>
      </c>
    </row>
    <row r="809">
      <c r="A809" s="39" t="str">
        <f>IF('Articles'!A809="","",'Articles'!A809)</f>
        <v/>
      </c>
      <c r="B809" s="39" t="str">
        <f>IF(A809="","",'Articles'!B809&amp;"")</f>
        <v/>
      </c>
      <c r="C809" s="39" t="str">
        <f>IF(A809="","",'Articles'!D809&amp;"")</f>
        <v/>
      </c>
      <c r="D809" s="39" t="str">
        <f>IF(A809="","",ROUND(N('Articles'!H809)+SUMIFS(mv_qty,mv_ref,A809,mv_type,"Entrée",mv_date,"&lt;"&amp;$E$1)-SUMIFS(mv_qty,mv_ref,A809,mv_type,"Sortie",mv_date,"&lt;"&amp;$E$1),6))</f>
        <v/>
      </c>
      <c r="E809" s="39" t="str">
        <f>IF(A809="","",SUMIFS(mv_qty,mv_ref,A809,mv_type,"Entrée",mv_date,"&gt;="&amp;$E$1,mv_date,"&lt;="&amp;$G$1))</f>
        <v/>
      </c>
      <c r="F809" s="39" t="str">
        <f>IF(A809="","",SUMIFS(mv_qty,mv_ref,A809,mv_type,"Sortie",mv_date,"&gt;="&amp;$E$1,mv_date,"&lt;="&amp;$G$1))</f>
        <v/>
      </c>
      <c r="G809" s="39" t="str">
        <f>IF(A809="","",ROUND(D809+E809-F809,6))</f>
        <v/>
      </c>
      <c r="H809" s="40" t="str">
        <f>IF(A809="","",G809*N('Articles'!G809))</f>
        <v/>
      </c>
    </row>
    <row r="810">
      <c r="A810" s="39" t="str">
        <f>IF('Articles'!A810="","",'Articles'!A810)</f>
        <v/>
      </c>
      <c r="B810" s="39" t="str">
        <f>IF(A810="","",'Articles'!B810&amp;"")</f>
        <v/>
      </c>
      <c r="C810" s="39" t="str">
        <f>IF(A810="","",'Articles'!D810&amp;"")</f>
        <v/>
      </c>
      <c r="D810" s="39" t="str">
        <f>IF(A810="","",ROUND(N('Articles'!H810)+SUMIFS(mv_qty,mv_ref,A810,mv_type,"Entrée",mv_date,"&lt;"&amp;$E$1)-SUMIFS(mv_qty,mv_ref,A810,mv_type,"Sortie",mv_date,"&lt;"&amp;$E$1),6))</f>
        <v/>
      </c>
      <c r="E810" s="39" t="str">
        <f>IF(A810="","",SUMIFS(mv_qty,mv_ref,A810,mv_type,"Entrée",mv_date,"&gt;="&amp;$E$1,mv_date,"&lt;="&amp;$G$1))</f>
        <v/>
      </c>
      <c r="F810" s="39" t="str">
        <f>IF(A810="","",SUMIFS(mv_qty,mv_ref,A810,mv_type,"Sortie",mv_date,"&gt;="&amp;$E$1,mv_date,"&lt;="&amp;$G$1))</f>
        <v/>
      </c>
      <c r="G810" s="39" t="str">
        <f>IF(A810="","",ROUND(D810+E810-F810,6))</f>
        <v/>
      </c>
      <c r="H810" s="40" t="str">
        <f>IF(A810="","",G810*N('Articles'!G810))</f>
        <v/>
      </c>
    </row>
    <row r="811">
      <c r="A811" s="39" t="str">
        <f>IF('Articles'!A811="","",'Articles'!A811)</f>
        <v/>
      </c>
      <c r="B811" s="39" t="str">
        <f>IF(A811="","",'Articles'!B811&amp;"")</f>
        <v/>
      </c>
      <c r="C811" s="39" t="str">
        <f>IF(A811="","",'Articles'!D811&amp;"")</f>
        <v/>
      </c>
      <c r="D811" s="39" t="str">
        <f>IF(A811="","",ROUND(N('Articles'!H811)+SUMIFS(mv_qty,mv_ref,A811,mv_type,"Entrée",mv_date,"&lt;"&amp;$E$1)-SUMIFS(mv_qty,mv_ref,A811,mv_type,"Sortie",mv_date,"&lt;"&amp;$E$1),6))</f>
        <v/>
      </c>
      <c r="E811" s="39" t="str">
        <f>IF(A811="","",SUMIFS(mv_qty,mv_ref,A811,mv_type,"Entrée",mv_date,"&gt;="&amp;$E$1,mv_date,"&lt;="&amp;$G$1))</f>
        <v/>
      </c>
      <c r="F811" s="39" t="str">
        <f>IF(A811="","",SUMIFS(mv_qty,mv_ref,A811,mv_type,"Sortie",mv_date,"&gt;="&amp;$E$1,mv_date,"&lt;="&amp;$G$1))</f>
        <v/>
      </c>
      <c r="G811" s="39" t="str">
        <f>IF(A811="","",ROUND(D811+E811-F811,6))</f>
        <v/>
      </c>
      <c r="H811" s="40" t="str">
        <f>IF(A811="","",G811*N('Articles'!G811))</f>
        <v/>
      </c>
    </row>
    <row r="812">
      <c r="A812" s="39" t="str">
        <f>IF('Articles'!A812="","",'Articles'!A812)</f>
        <v/>
      </c>
      <c r="B812" s="39" t="str">
        <f>IF(A812="","",'Articles'!B812&amp;"")</f>
        <v/>
      </c>
      <c r="C812" s="39" t="str">
        <f>IF(A812="","",'Articles'!D812&amp;"")</f>
        <v/>
      </c>
      <c r="D812" s="39" t="str">
        <f>IF(A812="","",ROUND(N('Articles'!H812)+SUMIFS(mv_qty,mv_ref,A812,mv_type,"Entrée",mv_date,"&lt;"&amp;$E$1)-SUMIFS(mv_qty,mv_ref,A812,mv_type,"Sortie",mv_date,"&lt;"&amp;$E$1),6))</f>
        <v/>
      </c>
      <c r="E812" s="39" t="str">
        <f>IF(A812="","",SUMIFS(mv_qty,mv_ref,A812,mv_type,"Entrée",mv_date,"&gt;="&amp;$E$1,mv_date,"&lt;="&amp;$G$1))</f>
        <v/>
      </c>
      <c r="F812" s="39" t="str">
        <f>IF(A812="","",SUMIFS(mv_qty,mv_ref,A812,mv_type,"Sortie",mv_date,"&gt;="&amp;$E$1,mv_date,"&lt;="&amp;$G$1))</f>
        <v/>
      </c>
      <c r="G812" s="39" t="str">
        <f>IF(A812="","",ROUND(D812+E812-F812,6))</f>
        <v/>
      </c>
      <c r="H812" s="40" t="str">
        <f>IF(A812="","",G812*N('Articles'!G812))</f>
        <v/>
      </c>
    </row>
    <row r="813">
      <c r="A813" s="39" t="str">
        <f>IF('Articles'!A813="","",'Articles'!A813)</f>
        <v/>
      </c>
      <c r="B813" s="39" t="str">
        <f>IF(A813="","",'Articles'!B813&amp;"")</f>
        <v/>
      </c>
      <c r="C813" s="39" t="str">
        <f>IF(A813="","",'Articles'!D813&amp;"")</f>
        <v/>
      </c>
      <c r="D813" s="39" t="str">
        <f>IF(A813="","",ROUND(N('Articles'!H813)+SUMIFS(mv_qty,mv_ref,A813,mv_type,"Entrée",mv_date,"&lt;"&amp;$E$1)-SUMIFS(mv_qty,mv_ref,A813,mv_type,"Sortie",mv_date,"&lt;"&amp;$E$1),6))</f>
        <v/>
      </c>
      <c r="E813" s="39" t="str">
        <f>IF(A813="","",SUMIFS(mv_qty,mv_ref,A813,mv_type,"Entrée",mv_date,"&gt;="&amp;$E$1,mv_date,"&lt;="&amp;$G$1))</f>
        <v/>
      </c>
      <c r="F813" s="39" t="str">
        <f>IF(A813="","",SUMIFS(mv_qty,mv_ref,A813,mv_type,"Sortie",mv_date,"&gt;="&amp;$E$1,mv_date,"&lt;="&amp;$G$1))</f>
        <v/>
      </c>
      <c r="G813" s="39" t="str">
        <f>IF(A813="","",ROUND(D813+E813-F813,6))</f>
        <v/>
      </c>
      <c r="H813" s="40" t="str">
        <f>IF(A813="","",G813*N('Articles'!G813))</f>
        <v/>
      </c>
    </row>
    <row r="814">
      <c r="A814" s="39" t="str">
        <f>IF('Articles'!A814="","",'Articles'!A814)</f>
        <v/>
      </c>
      <c r="B814" s="39" t="str">
        <f>IF(A814="","",'Articles'!B814&amp;"")</f>
        <v/>
      </c>
      <c r="C814" s="39" t="str">
        <f>IF(A814="","",'Articles'!D814&amp;"")</f>
        <v/>
      </c>
      <c r="D814" s="39" t="str">
        <f>IF(A814="","",ROUND(N('Articles'!H814)+SUMIFS(mv_qty,mv_ref,A814,mv_type,"Entrée",mv_date,"&lt;"&amp;$E$1)-SUMIFS(mv_qty,mv_ref,A814,mv_type,"Sortie",mv_date,"&lt;"&amp;$E$1),6))</f>
        <v/>
      </c>
      <c r="E814" s="39" t="str">
        <f>IF(A814="","",SUMIFS(mv_qty,mv_ref,A814,mv_type,"Entrée",mv_date,"&gt;="&amp;$E$1,mv_date,"&lt;="&amp;$G$1))</f>
        <v/>
      </c>
      <c r="F814" s="39" t="str">
        <f>IF(A814="","",SUMIFS(mv_qty,mv_ref,A814,mv_type,"Sortie",mv_date,"&gt;="&amp;$E$1,mv_date,"&lt;="&amp;$G$1))</f>
        <v/>
      </c>
      <c r="G814" s="39" t="str">
        <f>IF(A814="","",ROUND(D814+E814-F814,6))</f>
        <v/>
      </c>
      <c r="H814" s="40" t="str">
        <f>IF(A814="","",G814*N('Articles'!G814))</f>
        <v/>
      </c>
    </row>
    <row r="815">
      <c r="A815" s="39" t="str">
        <f>IF('Articles'!A815="","",'Articles'!A815)</f>
        <v/>
      </c>
      <c r="B815" s="39" t="str">
        <f>IF(A815="","",'Articles'!B815&amp;"")</f>
        <v/>
      </c>
      <c r="C815" s="39" t="str">
        <f>IF(A815="","",'Articles'!D815&amp;"")</f>
        <v/>
      </c>
      <c r="D815" s="39" t="str">
        <f>IF(A815="","",ROUND(N('Articles'!H815)+SUMIFS(mv_qty,mv_ref,A815,mv_type,"Entrée",mv_date,"&lt;"&amp;$E$1)-SUMIFS(mv_qty,mv_ref,A815,mv_type,"Sortie",mv_date,"&lt;"&amp;$E$1),6))</f>
        <v/>
      </c>
      <c r="E815" s="39" t="str">
        <f>IF(A815="","",SUMIFS(mv_qty,mv_ref,A815,mv_type,"Entrée",mv_date,"&gt;="&amp;$E$1,mv_date,"&lt;="&amp;$G$1))</f>
        <v/>
      </c>
      <c r="F815" s="39" t="str">
        <f>IF(A815="","",SUMIFS(mv_qty,mv_ref,A815,mv_type,"Sortie",mv_date,"&gt;="&amp;$E$1,mv_date,"&lt;="&amp;$G$1))</f>
        <v/>
      </c>
      <c r="G815" s="39" t="str">
        <f>IF(A815="","",ROUND(D815+E815-F815,6))</f>
        <v/>
      </c>
      <c r="H815" s="40" t="str">
        <f>IF(A815="","",G815*N('Articles'!G815))</f>
        <v/>
      </c>
    </row>
    <row r="816">
      <c r="A816" s="39" t="str">
        <f>IF('Articles'!A816="","",'Articles'!A816)</f>
        <v/>
      </c>
      <c r="B816" s="39" t="str">
        <f>IF(A816="","",'Articles'!B816&amp;"")</f>
        <v/>
      </c>
      <c r="C816" s="39" t="str">
        <f>IF(A816="","",'Articles'!D816&amp;"")</f>
        <v/>
      </c>
      <c r="D816" s="39" t="str">
        <f>IF(A816="","",ROUND(N('Articles'!H816)+SUMIFS(mv_qty,mv_ref,A816,mv_type,"Entrée",mv_date,"&lt;"&amp;$E$1)-SUMIFS(mv_qty,mv_ref,A816,mv_type,"Sortie",mv_date,"&lt;"&amp;$E$1),6))</f>
        <v/>
      </c>
      <c r="E816" s="39" t="str">
        <f>IF(A816="","",SUMIFS(mv_qty,mv_ref,A816,mv_type,"Entrée",mv_date,"&gt;="&amp;$E$1,mv_date,"&lt;="&amp;$G$1))</f>
        <v/>
      </c>
      <c r="F816" s="39" t="str">
        <f>IF(A816="","",SUMIFS(mv_qty,mv_ref,A816,mv_type,"Sortie",mv_date,"&gt;="&amp;$E$1,mv_date,"&lt;="&amp;$G$1))</f>
        <v/>
      </c>
      <c r="G816" s="39" t="str">
        <f>IF(A816="","",ROUND(D816+E816-F816,6))</f>
        <v/>
      </c>
      <c r="H816" s="40" t="str">
        <f>IF(A816="","",G816*N('Articles'!G816))</f>
        <v/>
      </c>
    </row>
    <row r="817">
      <c r="A817" s="39" t="str">
        <f>IF('Articles'!A817="","",'Articles'!A817)</f>
        <v/>
      </c>
      <c r="B817" s="39" t="str">
        <f>IF(A817="","",'Articles'!B817&amp;"")</f>
        <v/>
      </c>
      <c r="C817" s="39" t="str">
        <f>IF(A817="","",'Articles'!D817&amp;"")</f>
        <v/>
      </c>
      <c r="D817" s="39" t="str">
        <f>IF(A817="","",ROUND(N('Articles'!H817)+SUMIFS(mv_qty,mv_ref,A817,mv_type,"Entrée",mv_date,"&lt;"&amp;$E$1)-SUMIFS(mv_qty,mv_ref,A817,mv_type,"Sortie",mv_date,"&lt;"&amp;$E$1),6))</f>
        <v/>
      </c>
      <c r="E817" s="39" t="str">
        <f>IF(A817="","",SUMIFS(mv_qty,mv_ref,A817,mv_type,"Entrée",mv_date,"&gt;="&amp;$E$1,mv_date,"&lt;="&amp;$G$1))</f>
        <v/>
      </c>
      <c r="F817" s="39" t="str">
        <f>IF(A817="","",SUMIFS(mv_qty,mv_ref,A817,mv_type,"Sortie",mv_date,"&gt;="&amp;$E$1,mv_date,"&lt;="&amp;$G$1))</f>
        <v/>
      </c>
      <c r="G817" s="39" t="str">
        <f>IF(A817="","",ROUND(D817+E817-F817,6))</f>
        <v/>
      </c>
      <c r="H817" s="40" t="str">
        <f>IF(A817="","",G817*N('Articles'!G817))</f>
        <v/>
      </c>
    </row>
    <row r="818">
      <c r="A818" s="39" t="str">
        <f>IF('Articles'!A818="","",'Articles'!A818)</f>
        <v/>
      </c>
      <c r="B818" s="39" t="str">
        <f>IF(A818="","",'Articles'!B818&amp;"")</f>
        <v/>
      </c>
      <c r="C818" s="39" t="str">
        <f>IF(A818="","",'Articles'!D818&amp;"")</f>
        <v/>
      </c>
      <c r="D818" s="39" t="str">
        <f>IF(A818="","",ROUND(N('Articles'!H818)+SUMIFS(mv_qty,mv_ref,A818,mv_type,"Entrée",mv_date,"&lt;"&amp;$E$1)-SUMIFS(mv_qty,mv_ref,A818,mv_type,"Sortie",mv_date,"&lt;"&amp;$E$1),6))</f>
        <v/>
      </c>
      <c r="E818" s="39" t="str">
        <f>IF(A818="","",SUMIFS(mv_qty,mv_ref,A818,mv_type,"Entrée",mv_date,"&gt;="&amp;$E$1,mv_date,"&lt;="&amp;$G$1))</f>
        <v/>
      </c>
      <c r="F818" s="39" t="str">
        <f>IF(A818="","",SUMIFS(mv_qty,mv_ref,A818,mv_type,"Sortie",mv_date,"&gt;="&amp;$E$1,mv_date,"&lt;="&amp;$G$1))</f>
        <v/>
      </c>
      <c r="G818" s="39" t="str">
        <f>IF(A818="","",ROUND(D818+E818-F818,6))</f>
        <v/>
      </c>
      <c r="H818" s="40" t="str">
        <f>IF(A818="","",G818*N('Articles'!G818))</f>
        <v/>
      </c>
    </row>
    <row r="819">
      <c r="A819" s="39" t="str">
        <f>IF('Articles'!A819="","",'Articles'!A819)</f>
        <v/>
      </c>
      <c r="B819" s="39" t="str">
        <f>IF(A819="","",'Articles'!B819&amp;"")</f>
        <v/>
      </c>
      <c r="C819" s="39" t="str">
        <f>IF(A819="","",'Articles'!D819&amp;"")</f>
        <v/>
      </c>
      <c r="D819" s="39" t="str">
        <f>IF(A819="","",ROUND(N('Articles'!H819)+SUMIFS(mv_qty,mv_ref,A819,mv_type,"Entrée",mv_date,"&lt;"&amp;$E$1)-SUMIFS(mv_qty,mv_ref,A819,mv_type,"Sortie",mv_date,"&lt;"&amp;$E$1),6))</f>
        <v/>
      </c>
      <c r="E819" s="39" t="str">
        <f>IF(A819="","",SUMIFS(mv_qty,mv_ref,A819,mv_type,"Entrée",mv_date,"&gt;="&amp;$E$1,mv_date,"&lt;="&amp;$G$1))</f>
        <v/>
      </c>
      <c r="F819" s="39" t="str">
        <f>IF(A819="","",SUMIFS(mv_qty,mv_ref,A819,mv_type,"Sortie",mv_date,"&gt;="&amp;$E$1,mv_date,"&lt;="&amp;$G$1))</f>
        <v/>
      </c>
      <c r="G819" s="39" t="str">
        <f>IF(A819="","",ROUND(D819+E819-F819,6))</f>
        <v/>
      </c>
      <c r="H819" s="40" t="str">
        <f>IF(A819="","",G819*N('Articles'!G819))</f>
        <v/>
      </c>
    </row>
    <row r="820">
      <c r="A820" s="39" t="str">
        <f>IF('Articles'!A820="","",'Articles'!A820)</f>
        <v/>
      </c>
      <c r="B820" s="39" t="str">
        <f>IF(A820="","",'Articles'!B820&amp;"")</f>
        <v/>
      </c>
      <c r="C820" s="39" t="str">
        <f>IF(A820="","",'Articles'!D820&amp;"")</f>
        <v/>
      </c>
      <c r="D820" s="39" t="str">
        <f>IF(A820="","",ROUND(N('Articles'!H820)+SUMIFS(mv_qty,mv_ref,A820,mv_type,"Entrée",mv_date,"&lt;"&amp;$E$1)-SUMIFS(mv_qty,mv_ref,A820,mv_type,"Sortie",mv_date,"&lt;"&amp;$E$1),6))</f>
        <v/>
      </c>
      <c r="E820" s="39" t="str">
        <f>IF(A820="","",SUMIFS(mv_qty,mv_ref,A820,mv_type,"Entrée",mv_date,"&gt;="&amp;$E$1,mv_date,"&lt;="&amp;$G$1))</f>
        <v/>
      </c>
      <c r="F820" s="39" t="str">
        <f>IF(A820="","",SUMIFS(mv_qty,mv_ref,A820,mv_type,"Sortie",mv_date,"&gt;="&amp;$E$1,mv_date,"&lt;="&amp;$G$1))</f>
        <v/>
      </c>
      <c r="G820" s="39" t="str">
        <f>IF(A820="","",ROUND(D820+E820-F820,6))</f>
        <v/>
      </c>
      <c r="H820" s="40" t="str">
        <f>IF(A820="","",G820*N('Articles'!G820))</f>
        <v/>
      </c>
    </row>
    <row r="821">
      <c r="A821" s="39" t="str">
        <f>IF('Articles'!A821="","",'Articles'!A821)</f>
        <v/>
      </c>
      <c r="B821" s="39" t="str">
        <f>IF(A821="","",'Articles'!B821&amp;"")</f>
        <v/>
      </c>
      <c r="C821" s="39" t="str">
        <f>IF(A821="","",'Articles'!D821&amp;"")</f>
        <v/>
      </c>
      <c r="D821" s="39" t="str">
        <f>IF(A821="","",ROUND(N('Articles'!H821)+SUMIFS(mv_qty,mv_ref,A821,mv_type,"Entrée",mv_date,"&lt;"&amp;$E$1)-SUMIFS(mv_qty,mv_ref,A821,mv_type,"Sortie",mv_date,"&lt;"&amp;$E$1),6))</f>
        <v/>
      </c>
      <c r="E821" s="39" t="str">
        <f>IF(A821="","",SUMIFS(mv_qty,mv_ref,A821,mv_type,"Entrée",mv_date,"&gt;="&amp;$E$1,mv_date,"&lt;="&amp;$G$1))</f>
        <v/>
      </c>
      <c r="F821" s="39" t="str">
        <f>IF(A821="","",SUMIFS(mv_qty,mv_ref,A821,mv_type,"Sortie",mv_date,"&gt;="&amp;$E$1,mv_date,"&lt;="&amp;$G$1))</f>
        <v/>
      </c>
      <c r="G821" s="39" t="str">
        <f>IF(A821="","",ROUND(D821+E821-F821,6))</f>
        <v/>
      </c>
      <c r="H821" s="40" t="str">
        <f>IF(A821="","",G821*N('Articles'!G821))</f>
        <v/>
      </c>
    </row>
    <row r="822">
      <c r="A822" s="39" t="str">
        <f>IF('Articles'!A822="","",'Articles'!A822)</f>
        <v/>
      </c>
      <c r="B822" s="39" t="str">
        <f>IF(A822="","",'Articles'!B822&amp;"")</f>
        <v/>
      </c>
      <c r="C822" s="39" t="str">
        <f>IF(A822="","",'Articles'!D822&amp;"")</f>
        <v/>
      </c>
      <c r="D822" s="39" t="str">
        <f>IF(A822="","",ROUND(N('Articles'!H822)+SUMIFS(mv_qty,mv_ref,A822,mv_type,"Entrée",mv_date,"&lt;"&amp;$E$1)-SUMIFS(mv_qty,mv_ref,A822,mv_type,"Sortie",mv_date,"&lt;"&amp;$E$1),6))</f>
        <v/>
      </c>
      <c r="E822" s="39" t="str">
        <f>IF(A822="","",SUMIFS(mv_qty,mv_ref,A822,mv_type,"Entrée",mv_date,"&gt;="&amp;$E$1,mv_date,"&lt;="&amp;$G$1))</f>
        <v/>
      </c>
      <c r="F822" s="39" t="str">
        <f>IF(A822="","",SUMIFS(mv_qty,mv_ref,A822,mv_type,"Sortie",mv_date,"&gt;="&amp;$E$1,mv_date,"&lt;="&amp;$G$1))</f>
        <v/>
      </c>
      <c r="G822" s="39" t="str">
        <f>IF(A822="","",ROUND(D822+E822-F822,6))</f>
        <v/>
      </c>
      <c r="H822" s="40" t="str">
        <f>IF(A822="","",G822*N('Articles'!G822))</f>
        <v/>
      </c>
    </row>
    <row r="823">
      <c r="A823" s="39" t="str">
        <f>IF('Articles'!A823="","",'Articles'!A823)</f>
        <v/>
      </c>
      <c r="B823" s="39" t="str">
        <f>IF(A823="","",'Articles'!B823&amp;"")</f>
        <v/>
      </c>
      <c r="C823" s="39" t="str">
        <f>IF(A823="","",'Articles'!D823&amp;"")</f>
        <v/>
      </c>
      <c r="D823" s="39" t="str">
        <f>IF(A823="","",ROUND(N('Articles'!H823)+SUMIFS(mv_qty,mv_ref,A823,mv_type,"Entrée",mv_date,"&lt;"&amp;$E$1)-SUMIFS(mv_qty,mv_ref,A823,mv_type,"Sortie",mv_date,"&lt;"&amp;$E$1),6))</f>
        <v/>
      </c>
      <c r="E823" s="39" t="str">
        <f>IF(A823="","",SUMIFS(mv_qty,mv_ref,A823,mv_type,"Entrée",mv_date,"&gt;="&amp;$E$1,mv_date,"&lt;="&amp;$G$1))</f>
        <v/>
      </c>
      <c r="F823" s="39" t="str">
        <f>IF(A823="","",SUMIFS(mv_qty,mv_ref,A823,mv_type,"Sortie",mv_date,"&gt;="&amp;$E$1,mv_date,"&lt;="&amp;$G$1))</f>
        <v/>
      </c>
      <c r="G823" s="39" t="str">
        <f>IF(A823="","",ROUND(D823+E823-F823,6))</f>
        <v/>
      </c>
      <c r="H823" s="40" t="str">
        <f>IF(A823="","",G823*N('Articles'!G823))</f>
        <v/>
      </c>
    </row>
    <row r="824">
      <c r="A824" s="39" t="str">
        <f>IF('Articles'!A824="","",'Articles'!A824)</f>
        <v/>
      </c>
      <c r="B824" s="39" t="str">
        <f>IF(A824="","",'Articles'!B824&amp;"")</f>
        <v/>
      </c>
      <c r="C824" s="39" t="str">
        <f>IF(A824="","",'Articles'!D824&amp;"")</f>
        <v/>
      </c>
      <c r="D824" s="39" t="str">
        <f>IF(A824="","",ROUND(N('Articles'!H824)+SUMIFS(mv_qty,mv_ref,A824,mv_type,"Entrée",mv_date,"&lt;"&amp;$E$1)-SUMIFS(mv_qty,mv_ref,A824,mv_type,"Sortie",mv_date,"&lt;"&amp;$E$1),6))</f>
        <v/>
      </c>
      <c r="E824" s="39" t="str">
        <f>IF(A824="","",SUMIFS(mv_qty,mv_ref,A824,mv_type,"Entrée",mv_date,"&gt;="&amp;$E$1,mv_date,"&lt;="&amp;$G$1))</f>
        <v/>
      </c>
      <c r="F824" s="39" t="str">
        <f>IF(A824="","",SUMIFS(mv_qty,mv_ref,A824,mv_type,"Sortie",mv_date,"&gt;="&amp;$E$1,mv_date,"&lt;="&amp;$G$1))</f>
        <v/>
      </c>
      <c r="G824" s="39" t="str">
        <f>IF(A824="","",ROUND(D824+E824-F824,6))</f>
        <v/>
      </c>
      <c r="H824" s="40" t="str">
        <f>IF(A824="","",G824*N('Articles'!G824))</f>
        <v/>
      </c>
    </row>
    <row r="825">
      <c r="A825" s="39" t="str">
        <f>IF('Articles'!A825="","",'Articles'!A825)</f>
        <v/>
      </c>
      <c r="B825" s="39" t="str">
        <f>IF(A825="","",'Articles'!B825&amp;"")</f>
        <v/>
      </c>
      <c r="C825" s="39" t="str">
        <f>IF(A825="","",'Articles'!D825&amp;"")</f>
        <v/>
      </c>
      <c r="D825" s="39" t="str">
        <f>IF(A825="","",ROUND(N('Articles'!H825)+SUMIFS(mv_qty,mv_ref,A825,mv_type,"Entrée",mv_date,"&lt;"&amp;$E$1)-SUMIFS(mv_qty,mv_ref,A825,mv_type,"Sortie",mv_date,"&lt;"&amp;$E$1),6))</f>
        <v/>
      </c>
      <c r="E825" s="39" t="str">
        <f>IF(A825="","",SUMIFS(mv_qty,mv_ref,A825,mv_type,"Entrée",mv_date,"&gt;="&amp;$E$1,mv_date,"&lt;="&amp;$G$1))</f>
        <v/>
      </c>
      <c r="F825" s="39" t="str">
        <f>IF(A825="","",SUMIFS(mv_qty,mv_ref,A825,mv_type,"Sortie",mv_date,"&gt;="&amp;$E$1,mv_date,"&lt;="&amp;$G$1))</f>
        <v/>
      </c>
      <c r="G825" s="39" t="str">
        <f>IF(A825="","",ROUND(D825+E825-F825,6))</f>
        <v/>
      </c>
      <c r="H825" s="40" t="str">
        <f>IF(A825="","",G825*N('Articles'!G825))</f>
        <v/>
      </c>
    </row>
    <row r="826">
      <c r="A826" s="39" t="str">
        <f>IF('Articles'!A826="","",'Articles'!A826)</f>
        <v/>
      </c>
      <c r="B826" s="39" t="str">
        <f>IF(A826="","",'Articles'!B826&amp;"")</f>
        <v/>
      </c>
      <c r="C826" s="39" t="str">
        <f>IF(A826="","",'Articles'!D826&amp;"")</f>
        <v/>
      </c>
      <c r="D826" s="39" t="str">
        <f>IF(A826="","",ROUND(N('Articles'!H826)+SUMIFS(mv_qty,mv_ref,A826,mv_type,"Entrée",mv_date,"&lt;"&amp;$E$1)-SUMIFS(mv_qty,mv_ref,A826,mv_type,"Sortie",mv_date,"&lt;"&amp;$E$1),6))</f>
        <v/>
      </c>
      <c r="E826" s="39" t="str">
        <f>IF(A826="","",SUMIFS(mv_qty,mv_ref,A826,mv_type,"Entrée",mv_date,"&gt;="&amp;$E$1,mv_date,"&lt;="&amp;$G$1))</f>
        <v/>
      </c>
      <c r="F826" s="39" t="str">
        <f>IF(A826="","",SUMIFS(mv_qty,mv_ref,A826,mv_type,"Sortie",mv_date,"&gt;="&amp;$E$1,mv_date,"&lt;="&amp;$G$1))</f>
        <v/>
      </c>
      <c r="G826" s="39" t="str">
        <f>IF(A826="","",ROUND(D826+E826-F826,6))</f>
        <v/>
      </c>
      <c r="H826" s="40" t="str">
        <f>IF(A826="","",G826*N('Articles'!G826))</f>
        <v/>
      </c>
    </row>
    <row r="827">
      <c r="A827" s="39" t="str">
        <f>IF('Articles'!A827="","",'Articles'!A827)</f>
        <v/>
      </c>
      <c r="B827" s="39" t="str">
        <f>IF(A827="","",'Articles'!B827&amp;"")</f>
        <v/>
      </c>
      <c r="C827" s="39" t="str">
        <f>IF(A827="","",'Articles'!D827&amp;"")</f>
        <v/>
      </c>
      <c r="D827" s="39" t="str">
        <f>IF(A827="","",ROUND(N('Articles'!H827)+SUMIFS(mv_qty,mv_ref,A827,mv_type,"Entrée",mv_date,"&lt;"&amp;$E$1)-SUMIFS(mv_qty,mv_ref,A827,mv_type,"Sortie",mv_date,"&lt;"&amp;$E$1),6))</f>
        <v/>
      </c>
      <c r="E827" s="39" t="str">
        <f>IF(A827="","",SUMIFS(mv_qty,mv_ref,A827,mv_type,"Entrée",mv_date,"&gt;="&amp;$E$1,mv_date,"&lt;="&amp;$G$1))</f>
        <v/>
      </c>
      <c r="F827" s="39" t="str">
        <f>IF(A827="","",SUMIFS(mv_qty,mv_ref,A827,mv_type,"Sortie",mv_date,"&gt;="&amp;$E$1,mv_date,"&lt;="&amp;$G$1))</f>
        <v/>
      </c>
      <c r="G827" s="39" t="str">
        <f>IF(A827="","",ROUND(D827+E827-F827,6))</f>
        <v/>
      </c>
      <c r="H827" s="40" t="str">
        <f>IF(A827="","",G827*N('Articles'!G827))</f>
        <v/>
      </c>
    </row>
    <row r="828">
      <c r="A828" s="39" t="str">
        <f>IF('Articles'!A828="","",'Articles'!A828)</f>
        <v/>
      </c>
      <c r="B828" s="39" t="str">
        <f>IF(A828="","",'Articles'!B828&amp;"")</f>
        <v/>
      </c>
      <c r="C828" s="39" t="str">
        <f>IF(A828="","",'Articles'!D828&amp;"")</f>
        <v/>
      </c>
      <c r="D828" s="39" t="str">
        <f>IF(A828="","",ROUND(N('Articles'!H828)+SUMIFS(mv_qty,mv_ref,A828,mv_type,"Entrée",mv_date,"&lt;"&amp;$E$1)-SUMIFS(mv_qty,mv_ref,A828,mv_type,"Sortie",mv_date,"&lt;"&amp;$E$1),6))</f>
        <v/>
      </c>
      <c r="E828" s="39" t="str">
        <f>IF(A828="","",SUMIFS(mv_qty,mv_ref,A828,mv_type,"Entrée",mv_date,"&gt;="&amp;$E$1,mv_date,"&lt;="&amp;$G$1))</f>
        <v/>
      </c>
      <c r="F828" s="39" t="str">
        <f>IF(A828="","",SUMIFS(mv_qty,mv_ref,A828,mv_type,"Sortie",mv_date,"&gt;="&amp;$E$1,mv_date,"&lt;="&amp;$G$1))</f>
        <v/>
      </c>
      <c r="G828" s="39" t="str">
        <f>IF(A828="","",ROUND(D828+E828-F828,6))</f>
        <v/>
      </c>
      <c r="H828" s="40" t="str">
        <f>IF(A828="","",G828*N('Articles'!G828))</f>
        <v/>
      </c>
    </row>
    <row r="829">
      <c r="A829" s="39" t="str">
        <f>IF('Articles'!A829="","",'Articles'!A829)</f>
        <v/>
      </c>
      <c r="B829" s="39" t="str">
        <f>IF(A829="","",'Articles'!B829&amp;"")</f>
        <v/>
      </c>
      <c r="C829" s="39" t="str">
        <f>IF(A829="","",'Articles'!D829&amp;"")</f>
        <v/>
      </c>
      <c r="D829" s="39" t="str">
        <f>IF(A829="","",ROUND(N('Articles'!H829)+SUMIFS(mv_qty,mv_ref,A829,mv_type,"Entrée",mv_date,"&lt;"&amp;$E$1)-SUMIFS(mv_qty,mv_ref,A829,mv_type,"Sortie",mv_date,"&lt;"&amp;$E$1),6))</f>
        <v/>
      </c>
      <c r="E829" s="39" t="str">
        <f>IF(A829="","",SUMIFS(mv_qty,mv_ref,A829,mv_type,"Entrée",mv_date,"&gt;="&amp;$E$1,mv_date,"&lt;="&amp;$G$1))</f>
        <v/>
      </c>
      <c r="F829" s="39" t="str">
        <f>IF(A829="","",SUMIFS(mv_qty,mv_ref,A829,mv_type,"Sortie",mv_date,"&gt;="&amp;$E$1,mv_date,"&lt;="&amp;$G$1))</f>
        <v/>
      </c>
      <c r="G829" s="39" t="str">
        <f>IF(A829="","",ROUND(D829+E829-F829,6))</f>
        <v/>
      </c>
      <c r="H829" s="40" t="str">
        <f>IF(A829="","",G829*N('Articles'!G829))</f>
        <v/>
      </c>
    </row>
    <row r="830">
      <c r="A830" s="39" t="str">
        <f>IF('Articles'!A830="","",'Articles'!A830)</f>
        <v/>
      </c>
      <c r="B830" s="39" t="str">
        <f>IF(A830="","",'Articles'!B830&amp;"")</f>
        <v/>
      </c>
      <c r="C830" s="39" t="str">
        <f>IF(A830="","",'Articles'!D830&amp;"")</f>
        <v/>
      </c>
      <c r="D830" s="39" t="str">
        <f>IF(A830="","",ROUND(N('Articles'!H830)+SUMIFS(mv_qty,mv_ref,A830,mv_type,"Entrée",mv_date,"&lt;"&amp;$E$1)-SUMIFS(mv_qty,mv_ref,A830,mv_type,"Sortie",mv_date,"&lt;"&amp;$E$1),6))</f>
        <v/>
      </c>
      <c r="E830" s="39" t="str">
        <f>IF(A830="","",SUMIFS(mv_qty,mv_ref,A830,mv_type,"Entrée",mv_date,"&gt;="&amp;$E$1,mv_date,"&lt;="&amp;$G$1))</f>
        <v/>
      </c>
      <c r="F830" s="39" t="str">
        <f>IF(A830="","",SUMIFS(mv_qty,mv_ref,A830,mv_type,"Sortie",mv_date,"&gt;="&amp;$E$1,mv_date,"&lt;="&amp;$G$1))</f>
        <v/>
      </c>
      <c r="G830" s="39" t="str">
        <f>IF(A830="","",ROUND(D830+E830-F830,6))</f>
        <v/>
      </c>
      <c r="H830" s="40" t="str">
        <f>IF(A830="","",G830*N('Articles'!G830))</f>
        <v/>
      </c>
    </row>
    <row r="831">
      <c r="A831" s="39" t="str">
        <f>IF('Articles'!A831="","",'Articles'!A831)</f>
        <v/>
      </c>
      <c r="B831" s="39" t="str">
        <f>IF(A831="","",'Articles'!B831&amp;"")</f>
        <v/>
      </c>
      <c r="C831" s="39" t="str">
        <f>IF(A831="","",'Articles'!D831&amp;"")</f>
        <v/>
      </c>
      <c r="D831" s="39" t="str">
        <f>IF(A831="","",ROUND(N('Articles'!H831)+SUMIFS(mv_qty,mv_ref,A831,mv_type,"Entrée",mv_date,"&lt;"&amp;$E$1)-SUMIFS(mv_qty,mv_ref,A831,mv_type,"Sortie",mv_date,"&lt;"&amp;$E$1),6))</f>
        <v/>
      </c>
      <c r="E831" s="39" t="str">
        <f>IF(A831="","",SUMIFS(mv_qty,mv_ref,A831,mv_type,"Entrée",mv_date,"&gt;="&amp;$E$1,mv_date,"&lt;="&amp;$G$1))</f>
        <v/>
      </c>
      <c r="F831" s="39" t="str">
        <f>IF(A831="","",SUMIFS(mv_qty,mv_ref,A831,mv_type,"Sortie",mv_date,"&gt;="&amp;$E$1,mv_date,"&lt;="&amp;$G$1))</f>
        <v/>
      </c>
      <c r="G831" s="39" t="str">
        <f>IF(A831="","",ROUND(D831+E831-F831,6))</f>
        <v/>
      </c>
      <c r="H831" s="40" t="str">
        <f>IF(A831="","",G831*N('Articles'!G831))</f>
        <v/>
      </c>
    </row>
    <row r="832">
      <c r="A832" s="39" t="str">
        <f>IF('Articles'!A832="","",'Articles'!A832)</f>
        <v/>
      </c>
      <c r="B832" s="39" t="str">
        <f>IF(A832="","",'Articles'!B832&amp;"")</f>
        <v/>
      </c>
      <c r="C832" s="39" t="str">
        <f>IF(A832="","",'Articles'!D832&amp;"")</f>
        <v/>
      </c>
      <c r="D832" s="39" t="str">
        <f>IF(A832="","",ROUND(N('Articles'!H832)+SUMIFS(mv_qty,mv_ref,A832,mv_type,"Entrée",mv_date,"&lt;"&amp;$E$1)-SUMIFS(mv_qty,mv_ref,A832,mv_type,"Sortie",mv_date,"&lt;"&amp;$E$1),6))</f>
        <v/>
      </c>
      <c r="E832" s="39" t="str">
        <f>IF(A832="","",SUMIFS(mv_qty,mv_ref,A832,mv_type,"Entrée",mv_date,"&gt;="&amp;$E$1,mv_date,"&lt;="&amp;$G$1))</f>
        <v/>
      </c>
      <c r="F832" s="39" t="str">
        <f>IF(A832="","",SUMIFS(mv_qty,mv_ref,A832,mv_type,"Sortie",mv_date,"&gt;="&amp;$E$1,mv_date,"&lt;="&amp;$G$1))</f>
        <v/>
      </c>
      <c r="G832" s="39" t="str">
        <f>IF(A832="","",ROUND(D832+E832-F832,6))</f>
        <v/>
      </c>
      <c r="H832" s="40" t="str">
        <f>IF(A832="","",G832*N('Articles'!G832))</f>
        <v/>
      </c>
    </row>
    <row r="833">
      <c r="A833" s="39" t="str">
        <f>IF('Articles'!A833="","",'Articles'!A833)</f>
        <v/>
      </c>
      <c r="B833" s="39" t="str">
        <f>IF(A833="","",'Articles'!B833&amp;"")</f>
        <v/>
      </c>
      <c r="C833" s="39" t="str">
        <f>IF(A833="","",'Articles'!D833&amp;"")</f>
        <v/>
      </c>
      <c r="D833" s="39" t="str">
        <f>IF(A833="","",ROUND(N('Articles'!H833)+SUMIFS(mv_qty,mv_ref,A833,mv_type,"Entrée",mv_date,"&lt;"&amp;$E$1)-SUMIFS(mv_qty,mv_ref,A833,mv_type,"Sortie",mv_date,"&lt;"&amp;$E$1),6))</f>
        <v/>
      </c>
      <c r="E833" s="39" t="str">
        <f>IF(A833="","",SUMIFS(mv_qty,mv_ref,A833,mv_type,"Entrée",mv_date,"&gt;="&amp;$E$1,mv_date,"&lt;="&amp;$G$1))</f>
        <v/>
      </c>
      <c r="F833" s="39" t="str">
        <f>IF(A833="","",SUMIFS(mv_qty,mv_ref,A833,mv_type,"Sortie",mv_date,"&gt;="&amp;$E$1,mv_date,"&lt;="&amp;$G$1))</f>
        <v/>
      </c>
      <c r="G833" s="39" t="str">
        <f>IF(A833="","",ROUND(D833+E833-F833,6))</f>
        <v/>
      </c>
      <c r="H833" s="40" t="str">
        <f>IF(A833="","",G833*N('Articles'!G833))</f>
        <v/>
      </c>
    </row>
    <row r="834">
      <c r="A834" s="39" t="str">
        <f>IF('Articles'!A834="","",'Articles'!A834)</f>
        <v/>
      </c>
      <c r="B834" s="39" t="str">
        <f>IF(A834="","",'Articles'!B834&amp;"")</f>
        <v/>
      </c>
      <c r="C834" s="39" t="str">
        <f>IF(A834="","",'Articles'!D834&amp;"")</f>
        <v/>
      </c>
      <c r="D834" s="39" t="str">
        <f>IF(A834="","",ROUND(N('Articles'!H834)+SUMIFS(mv_qty,mv_ref,A834,mv_type,"Entrée",mv_date,"&lt;"&amp;$E$1)-SUMIFS(mv_qty,mv_ref,A834,mv_type,"Sortie",mv_date,"&lt;"&amp;$E$1),6))</f>
        <v/>
      </c>
      <c r="E834" s="39" t="str">
        <f>IF(A834="","",SUMIFS(mv_qty,mv_ref,A834,mv_type,"Entrée",mv_date,"&gt;="&amp;$E$1,mv_date,"&lt;="&amp;$G$1))</f>
        <v/>
      </c>
      <c r="F834" s="39" t="str">
        <f>IF(A834="","",SUMIFS(mv_qty,mv_ref,A834,mv_type,"Sortie",mv_date,"&gt;="&amp;$E$1,mv_date,"&lt;="&amp;$G$1))</f>
        <v/>
      </c>
      <c r="G834" s="39" t="str">
        <f>IF(A834="","",ROUND(D834+E834-F834,6))</f>
        <v/>
      </c>
      <c r="H834" s="40" t="str">
        <f>IF(A834="","",G834*N('Articles'!G834))</f>
        <v/>
      </c>
    </row>
    <row r="835">
      <c r="A835" s="39" t="str">
        <f>IF('Articles'!A835="","",'Articles'!A835)</f>
        <v/>
      </c>
      <c r="B835" s="39" t="str">
        <f>IF(A835="","",'Articles'!B835&amp;"")</f>
        <v/>
      </c>
      <c r="C835" s="39" t="str">
        <f>IF(A835="","",'Articles'!D835&amp;"")</f>
        <v/>
      </c>
      <c r="D835" s="39" t="str">
        <f>IF(A835="","",ROUND(N('Articles'!H835)+SUMIFS(mv_qty,mv_ref,A835,mv_type,"Entrée",mv_date,"&lt;"&amp;$E$1)-SUMIFS(mv_qty,mv_ref,A835,mv_type,"Sortie",mv_date,"&lt;"&amp;$E$1),6))</f>
        <v/>
      </c>
      <c r="E835" s="39" t="str">
        <f>IF(A835="","",SUMIFS(mv_qty,mv_ref,A835,mv_type,"Entrée",mv_date,"&gt;="&amp;$E$1,mv_date,"&lt;="&amp;$G$1))</f>
        <v/>
      </c>
      <c r="F835" s="39" t="str">
        <f>IF(A835="","",SUMIFS(mv_qty,mv_ref,A835,mv_type,"Sortie",mv_date,"&gt;="&amp;$E$1,mv_date,"&lt;="&amp;$G$1))</f>
        <v/>
      </c>
      <c r="G835" s="39" t="str">
        <f>IF(A835="","",ROUND(D835+E835-F835,6))</f>
        <v/>
      </c>
      <c r="H835" s="40" t="str">
        <f>IF(A835="","",G835*N('Articles'!G835))</f>
        <v/>
      </c>
    </row>
    <row r="836">
      <c r="A836" s="39" t="str">
        <f>IF('Articles'!A836="","",'Articles'!A836)</f>
        <v/>
      </c>
      <c r="B836" s="39" t="str">
        <f>IF(A836="","",'Articles'!B836&amp;"")</f>
        <v/>
      </c>
      <c r="C836" s="39" t="str">
        <f>IF(A836="","",'Articles'!D836&amp;"")</f>
        <v/>
      </c>
      <c r="D836" s="39" t="str">
        <f>IF(A836="","",ROUND(N('Articles'!H836)+SUMIFS(mv_qty,mv_ref,A836,mv_type,"Entrée",mv_date,"&lt;"&amp;$E$1)-SUMIFS(mv_qty,mv_ref,A836,mv_type,"Sortie",mv_date,"&lt;"&amp;$E$1),6))</f>
        <v/>
      </c>
      <c r="E836" s="39" t="str">
        <f>IF(A836="","",SUMIFS(mv_qty,mv_ref,A836,mv_type,"Entrée",mv_date,"&gt;="&amp;$E$1,mv_date,"&lt;="&amp;$G$1))</f>
        <v/>
      </c>
      <c r="F836" s="39" t="str">
        <f>IF(A836="","",SUMIFS(mv_qty,mv_ref,A836,mv_type,"Sortie",mv_date,"&gt;="&amp;$E$1,mv_date,"&lt;="&amp;$G$1))</f>
        <v/>
      </c>
      <c r="G836" s="39" t="str">
        <f>IF(A836="","",ROUND(D836+E836-F836,6))</f>
        <v/>
      </c>
      <c r="H836" s="40" t="str">
        <f>IF(A836="","",G836*N('Articles'!G836))</f>
        <v/>
      </c>
    </row>
    <row r="837">
      <c r="A837" s="39" t="str">
        <f>IF('Articles'!A837="","",'Articles'!A837)</f>
        <v/>
      </c>
      <c r="B837" s="39" t="str">
        <f>IF(A837="","",'Articles'!B837&amp;"")</f>
        <v/>
      </c>
      <c r="C837" s="39" t="str">
        <f>IF(A837="","",'Articles'!D837&amp;"")</f>
        <v/>
      </c>
      <c r="D837" s="39" t="str">
        <f>IF(A837="","",ROUND(N('Articles'!H837)+SUMIFS(mv_qty,mv_ref,A837,mv_type,"Entrée",mv_date,"&lt;"&amp;$E$1)-SUMIFS(mv_qty,mv_ref,A837,mv_type,"Sortie",mv_date,"&lt;"&amp;$E$1),6))</f>
        <v/>
      </c>
      <c r="E837" s="39" t="str">
        <f>IF(A837="","",SUMIFS(mv_qty,mv_ref,A837,mv_type,"Entrée",mv_date,"&gt;="&amp;$E$1,mv_date,"&lt;="&amp;$G$1))</f>
        <v/>
      </c>
      <c r="F837" s="39" t="str">
        <f>IF(A837="","",SUMIFS(mv_qty,mv_ref,A837,mv_type,"Sortie",mv_date,"&gt;="&amp;$E$1,mv_date,"&lt;="&amp;$G$1))</f>
        <v/>
      </c>
      <c r="G837" s="39" t="str">
        <f>IF(A837="","",ROUND(D837+E837-F837,6))</f>
        <v/>
      </c>
      <c r="H837" s="40" t="str">
        <f>IF(A837="","",G837*N('Articles'!G837))</f>
        <v/>
      </c>
    </row>
    <row r="838">
      <c r="A838" s="39" t="str">
        <f>IF('Articles'!A838="","",'Articles'!A838)</f>
        <v/>
      </c>
      <c r="B838" s="39" t="str">
        <f>IF(A838="","",'Articles'!B838&amp;"")</f>
        <v/>
      </c>
      <c r="C838" s="39" t="str">
        <f>IF(A838="","",'Articles'!D838&amp;"")</f>
        <v/>
      </c>
      <c r="D838" s="39" t="str">
        <f>IF(A838="","",ROUND(N('Articles'!H838)+SUMIFS(mv_qty,mv_ref,A838,mv_type,"Entrée",mv_date,"&lt;"&amp;$E$1)-SUMIFS(mv_qty,mv_ref,A838,mv_type,"Sortie",mv_date,"&lt;"&amp;$E$1),6))</f>
        <v/>
      </c>
      <c r="E838" s="39" t="str">
        <f>IF(A838="","",SUMIFS(mv_qty,mv_ref,A838,mv_type,"Entrée",mv_date,"&gt;="&amp;$E$1,mv_date,"&lt;="&amp;$G$1))</f>
        <v/>
      </c>
      <c r="F838" s="39" t="str">
        <f>IF(A838="","",SUMIFS(mv_qty,mv_ref,A838,mv_type,"Sortie",mv_date,"&gt;="&amp;$E$1,mv_date,"&lt;="&amp;$G$1))</f>
        <v/>
      </c>
      <c r="G838" s="39" t="str">
        <f>IF(A838="","",ROUND(D838+E838-F838,6))</f>
        <v/>
      </c>
      <c r="H838" s="40" t="str">
        <f>IF(A838="","",G838*N('Articles'!G838))</f>
        <v/>
      </c>
    </row>
    <row r="839">
      <c r="A839" s="39" t="str">
        <f>IF('Articles'!A839="","",'Articles'!A839)</f>
        <v/>
      </c>
      <c r="B839" s="39" t="str">
        <f>IF(A839="","",'Articles'!B839&amp;"")</f>
        <v/>
      </c>
      <c r="C839" s="39" t="str">
        <f>IF(A839="","",'Articles'!D839&amp;"")</f>
        <v/>
      </c>
      <c r="D839" s="39" t="str">
        <f>IF(A839="","",ROUND(N('Articles'!H839)+SUMIFS(mv_qty,mv_ref,A839,mv_type,"Entrée",mv_date,"&lt;"&amp;$E$1)-SUMIFS(mv_qty,mv_ref,A839,mv_type,"Sortie",mv_date,"&lt;"&amp;$E$1),6))</f>
        <v/>
      </c>
      <c r="E839" s="39" t="str">
        <f>IF(A839="","",SUMIFS(mv_qty,mv_ref,A839,mv_type,"Entrée",mv_date,"&gt;="&amp;$E$1,mv_date,"&lt;="&amp;$G$1))</f>
        <v/>
      </c>
      <c r="F839" s="39" t="str">
        <f>IF(A839="","",SUMIFS(mv_qty,mv_ref,A839,mv_type,"Sortie",mv_date,"&gt;="&amp;$E$1,mv_date,"&lt;="&amp;$G$1))</f>
        <v/>
      </c>
      <c r="G839" s="39" t="str">
        <f>IF(A839="","",ROUND(D839+E839-F839,6))</f>
        <v/>
      </c>
      <c r="H839" s="40" t="str">
        <f>IF(A839="","",G839*N('Articles'!G839))</f>
        <v/>
      </c>
    </row>
    <row r="840">
      <c r="A840" s="39" t="str">
        <f>IF('Articles'!A840="","",'Articles'!A840)</f>
        <v/>
      </c>
      <c r="B840" s="39" t="str">
        <f>IF(A840="","",'Articles'!B840&amp;"")</f>
        <v/>
      </c>
      <c r="C840" s="39" t="str">
        <f>IF(A840="","",'Articles'!D840&amp;"")</f>
        <v/>
      </c>
      <c r="D840" s="39" t="str">
        <f>IF(A840="","",ROUND(N('Articles'!H840)+SUMIFS(mv_qty,mv_ref,A840,mv_type,"Entrée",mv_date,"&lt;"&amp;$E$1)-SUMIFS(mv_qty,mv_ref,A840,mv_type,"Sortie",mv_date,"&lt;"&amp;$E$1),6))</f>
        <v/>
      </c>
      <c r="E840" s="39" t="str">
        <f>IF(A840="","",SUMIFS(mv_qty,mv_ref,A840,mv_type,"Entrée",mv_date,"&gt;="&amp;$E$1,mv_date,"&lt;="&amp;$G$1))</f>
        <v/>
      </c>
      <c r="F840" s="39" t="str">
        <f>IF(A840="","",SUMIFS(mv_qty,mv_ref,A840,mv_type,"Sortie",mv_date,"&gt;="&amp;$E$1,mv_date,"&lt;="&amp;$G$1))</f>
        <v/>
      </c>
      <c r="G840" s="39" t="str">
        <f>IF(A840="","",ROUND(D840+E840-F840,6))</f>
        <v/>
      </c>
      <c r="H840" s="40" t="str">
        <f>IF(A840="","",G840*N('Articles'!G840))</f>
        <v/>
      </c>
    </row>
    <row r="841">
      <c r="A841" s="39" t="str">
        <f>IF('Articles'!A841="","",'Articles'!A841)</f>
        <v/>
      </c>
      <c r="B841" s="39" t="str">
        <f>IF(A841="","",'Articles'!B841&amp;"")</f>
        <v/>
      </c>
      <c r="C841" s="39" t="str">
        <f>IF(A841="","",'Articles'!D841&amp;"")</f>
        <v/>
      </c>
      <c r="D841" s="39" t="str">
        <f>IF(A841="","",ROUND(N('Articles'!H841)+SUMIFS(mv_qty,mv_ref,A841,mv_type,"Entrée",mv_date,"&lt;"&amp;$E$1)-SUMIFS(mv_qty,mv_ref,A841,mv_type,"Sortie",mv_date,"&lt;"&amp;$E$1),6))</f>
        <v/>
      </c>
      <c r="E841" s="39" t="str">
        <f>IF(A841="","",SUMIFS(mv_qty,mv_ref,A841,mv_type,"Entrée",mv_date,"&gt;="&amp;$E$1,mv_date,"&lt;="&amp;$G$1))</f>
        <v/>
      </c>
      <c r="F841" s="39" t="str">
        <f>IF(A841="","",SUMIFS(mv_qty,mv_ref,A841,mv_type,"Sortie",mv_date,"&gt;="&amp;$E$1,mv_date,"&lt;="&amp;$G$1))</f>
        <v/>
      </c>
      <c r="G841" s="39" t="str">
        <f>IF(A841="","",ROUND(D841+E841-F841,6))</f>
        <v/>
      </c>
      <c r="H841" s="40" t="str">
        <f>IF(A841="","",G841*N('Articles'!G841))</f>
        <v/>
      </c>
    </row>
    <row r="842">
      <c r="A842" s="39" t="str">
        <f>IF('Articles'!A842="","",'Articles'!A842)</f>
        <v/>
      </c>
      <c r="B842" s="39" t="str">
        <f>IF(A842="","",'Articles'!B842&amp;"")</f>
        <v/>
      </c>
      <c r="C842" s="39" t="str">
        <f>IF(A842="","",'Articles'!D842&amp;"")</f>
        <v/>
      </c>
      <c r="D842" s="39" t="str">
        <f>IF(A842="","",ROUND(N('Articles'!H842)+SUMIFS(mv_qty,mv_ref,A842,mv_type,"Entrée",mv_date,"&lt;"&amp;$E$1)-SUMIFS(mv_qty,mv_ref,A842,mv_type,"Sortie",mv_date,"&lt;"&amp;$E$1),6))</f>
        <v/>
      </c>
      <c r="E842" s="39" t="str">
        <f>IF(A842="","",SUMIFS(mv_qty,mv_ref,A842,mv_type,"Entrée",mv_date,"&gt;="&amp;$E$1,mv_date,"&lt;="&amp;$G$1))</f>
        <v/>
      </c>
      <c r="F842" s="39" t="str">
        <f>IF(A842="","",SUMIFS(mv_qty,mv_ref,A842,mv_type,"Sortie",mv_date,"&gt;="&amp;$E$1,mv_date,"&lt;="&amp;$G$1))</f>
        <v/>
      </c>
      <c r="G842" s="39" t="str">
        <f>IF(A842="","",ROUND(D842+E842-F842,6))</f>
        <v/>
      </c>
      <c r="H842" s="40" t="str">
        <f>IF(A842="","",G842*N('Articles'!G842))</f>
        <v/>
      </c>
    </row>
    <row r="843">
      <c r="A843" s="39" t="str">
        <f>IF('Articles'!A843="","",'Articles'!A843)</f>
        <v/>
      </c>
      <c r="B843" s="39" t="str">
        <f>IF(A843="","",'Articles'!B843&amp;"")</f>
        <v/>
      </c>
      <c r="C843" s="39" t="str">
        <f>IF(A843="","",'Articles'!D843&amp;"")</f>
        <v/>
      </c>
      <c r="D843" s="39" t="str">
        <f>IF(A843="","",ROUND(N('Articles'!H843)+SUMIFS(mv_qty,mv_ref,A843,mv_type,"Entrée",mv_date,"&lt;"&amp;$E$1)-SUMIFS(mv_qty,mv_ref,A843,mv_type,"Sortie",mv_date,"&lt;"&amp;$E$1),6))</f>
        <v/>
      </c>
      <c r="E843" s="39" t="str">
        <f>IF(A843="","",SUMIFS(mv_qty,mv_ref,A843,mv_type,"Entrée",mv_date,"&gt;="&amp;$E$1,mv_date,"&lt;="&amp;$G$1))</f>
        <v/>
      </c>
      <c r="F843" s="39" t="str">
        <f>IF(A843="","",SUMIFS(mv_qty,mv_ref,A843,mv_type,"Sortie",mv_date,"&gt;="&amp;$E$1,mv_date,"&lt;="&amp;$G$1))</f>
        <v/>
      </c>
      <c r="G843" s="39" t="str">
        <f>IF(A843="","",ROUND(D843+E843-F843,6))</f>
        <v/>
      </c>
      <c r="H843" s="40" t="str">
        <f>IF(A843="","",G843*N('Articles'!G843))</f>
        <v/>
      </c>
    </row>
    <row r="844">
      <c r="A844" s="39" t="str">
        <f>IF('Articles'!A844="","",'Articles'!A844)</f>
        <v/>
      </c>
      <c r="B844" s="39" t="str">
        <f>IF(A844="","",'Articles'!B844&amp;"")</f>
        <v/>
      </c>
      <c r="C844" s="39" t="str">
        <f>IF(A844="","",'Articles'!D844&amp;"")</f>
        <v/>
      </c>
      <c r="D844" s="39" t="str">
        <f>IF(A844="","",ROUND(N('Articles'!H844)+SUMIFS(mv_qty,mv_ref,A844,mv_type,"Entrée",mv_date,"&lt;"&amp;$E$1)-SUMIFS(mv_qty,mv_ref,A844,mv_type,"Sortie",mv_date,"&lt;"&amp;$E$1),6))</f>
        <v/>
      </c>
      <c r="E844" s="39" t="str">
        <f>IF(A844="","",SUMIFS(mv_qty,mv_ref,A844,mv_type,"Entrée",mv_date,"&gt;="&amp;$E$1,mv_date,"&lt;="&amp;$G$1))</f>
        <v/>
      </c>
      <c r="F844" s="39" t="str">
        <f>IF(A844="","",SUMIFS(mv_qty,mv_ref,A844,mv_type,"Sortie",mv_date,"&gt;="&amp;$E$1,mv_date,"&lt;="&amp;$G$1))</f>
        <v/>
      </c>
      <c r="G844" s="39" t="str">
        <f>IF(A844="","",ROUND(D844+E844-F844,6))</f>
        <v/>
      </c>
      <c r="H844" s="40" t="str">
        <f>IF(A844="","",G844*N('Articles'!G844))</f>
        <v/>
      </c>
    </row>
    <row r="845">
      <c r="A845" s="39" t="str">
        <f>IF('Articles'!A845="","",'Articles'!A845)</f>
        <v/>
      </c>
      <c r="B845" s="39" t="str">
        <f>IF(A845="","",'Articles'!B845&amp;"")</f>
        <v/>
      </c>
      <c r="C845" s="39" t="str">
        <f>IF(A845="","",'Articles'!D845&amp;"")</f>
        <v/>
      </c>
      <c r="D845" s="39" t="str">
        <f>IF(A845="","",ROUND(N('Articles'!H845)+SUMIFS(mv_qty,mv_ref,A845,mv_type,"Entrée",mv_date,"&lt;"&amp;$E$1)-SUMIFS(mv_qty,mv_ref,A845,mv_type,"Sortie",mv_date,"&lt;"&amp;$E$1),6))</f>
        <v/>
      </c>
      <c r="E845" s="39" t="str">
        <f>IF(A845="","",SUMIFS(mv_qty,mv_ref,A845,mv_type,"Entrée",mv_date,"&gt;="&amp;$E$1,mv_date,"&lt;="&amp;$G$1))</f>
        <v/>
      </c>
      <c r="F845" s="39" t="str">
        <f>IF(A845="","",SUMIFS(mv_qty,mv_ref,A845,mv_type,"Sortie",mv_date,"&gt;="&amp;$E$1,mv_date,"&lt;="&amp;$G$1))</f>
        <v/>
      </c>
      <c r="G845" s="39" t="str">
        <f>IF(A845="","",ROUND(D845+E845-F845,6))</f>
        <v/>
      </c>
      <c r="H845" s="40" t="str">
        <f>IF(A845="","",G845*N('Articles'!G845))</f>
        <v/>
      </c>
    </row>
    <row r="846">
      <c r="A846" s="39" t="str">
        <f>IF('Articles'!A846="","",'Articles'!A846)</f>
        <v/>
      </c>
      <c r="B846" s="39" t="str">
        <f>IF(A846="","",'Articles'!B846&amp;"")</f>
        <v/>
      </c>
      <c r="C846" s="39" t="str">
        <f>IF(A846="","",'Articles'!D846&amp;"")</f>
        <v/>
      </c>
      <c r="D846" s="39" t="str">
        <f>IF(A846="","",ROUND(N('Articles'!H846)+SUMIFS(mv_qty,mv_ref,A846,mv_type,"Entrée",mv_date,"&lt;"&amp;$E$1)-SUMIFS(mv_qty,mv_ref,A846,mv_type,"Sortie",mv_date,"&lt;"&amp;$E$1),6))</f>
        <v/>
      </c>
      <c r="E846" s="39" t="str">
        <f>IF(A846="","",SUMIFS(mv_qty,mv_ref,A846,mv_type,"Entrée",mv_date,"&gt;="&amp;$E$1,mv_date,"&lt;="&amp;$G$1))</f>
        <v/>
      </c>
      <c r="F846" s="39" t="str">
        <f>IF(A846="","",SUMIFS(mv_qty,mv_ref,A846,mv_type,"Sortie",mv_date,"&gt;="&amp;$E$1,mv_date,"&lt;="&amp;$G$1))</f>
        <v/>
      </c>
      <c r="G846" s="39" t="str">
        <f>IF(A846="","",ROUND(D846+E846-F846,6))</f>
        <v/>
      </c>
      <c r="H846" s="40" t="str">
        <f>IF(A846="","",G846*N('Articles'!G846))</f>
        <v/>
      </c>
    </row>
    <row r="847">
      <c r="A847" s="39" t="str">
        <f>IF('Articles'!A847="","",'Articles'!A847)</f>
        <v/>
      </c>
      <c r="B847" s="39" t="str">
        <f>IF(A847="","",'Articles'!B847&amp;"")</f>
        <v/>
      </c>
      <c r="C847" s="39" t="str">
        <f>IF(A847="","",'Articles'!D847&amp;"")</f>
        <v/>
      </c>
      <c r="D847" s="39" t="str">
        <f>IF(A847="","",ROUND(N('Articles'!H847)+SUMIFS(mv_qty,mv_ref,A847,mv_type,"Entrée",mv_date,"&lt;"&amp;$E$1)-SUMIFS(mv_qty,mv_ref,A847,mv_type,"Sortie",mv_date,"&lt;"&amp;$E$1),6))</f>
        <v/>
      </c>
      <c r="E847" s="39" t="str">
        <f>IF(A847="","",SUMIFS(mv_qty,mv_ref,A847,mv_type,"Entrée",mv_date,"&gt;="&amp;$E$1,mv_date,"&lt;="&amp;$G$1))</f>
        <v/>
      </c>
      <c r="F847" s="39" t="str">
        <f>IF(A847="","",SUMIFS(mv_qty,mv_ref,A847,mv_type,"Sortie",mv_date,"&gt;="&amp;$E$1,mv_date,"&lt;="&amp;$G$1))</f>
        <v/>
      </c>
      <c r="G847" s="39" t="str">
        <f>IF(A847="","",ROUND(D847+E847-F847,6))</f>
        <v/>
      </c>
      <c r="H847" s="40" t="str">
        <f>IF(A847="","",G847*N('Articles'!G847))</f>
        <v/>
      </c>
    </row>
    <row r="848">
      <c r="A848" s="39" t="str">
        <f>IF('Articles'!A848="","",'Articles'!A848)</f>
        <v/>
      </c>
      <c r="B848" s="39" t="str">
        <f>IF(A848="","",'Articles'!B848&amp;"")</f>
        <v/>
      </c>
      <c r="C848" s="39" t="str">
        <f>IF(A848="","",'Articles'!D848&amp;"")</f>
        <v/>
      </c>
      <c r="D848" s="39" t="str">
        <f>IF(A848="","",ROUND(N('Articles'!H848)+SUMIFS(mv_qty,mv_ref,A848,mv_type,"Entrée",mv_date,"&lt;"&amp;$E$1)-SUMIFS(mv_qty,mv_ref,A848,mv_type,"Sortie",mv_date,"&lt;"&amp;$E$1),6))</f>
        <v/>
      </c>
      <c r="E848" s="39" t="str">
        <f>IF(A848="","",SUMIFS(mv_qty,mv_ref,A848,mv_type,"Entrée",mv_date,"&gt;="&amp;$E$1,mv_date,"&lt;="&amp;$G$1))</f>
        <v/>
      </c>
      <c r="F848" s="39" t="str">
        <f>IF(A848="","",SUMIFS(mv_qty,mv_ref,A848,mv_type,"Sortie",mv_date,"&gt;="&amp;$E$1,mv_date,"&lt;="&amp;$G$1))</f>
        <v/>
      </c>
      <c r="G848" s="39" t="str">
        <f>IF(A848="","",ROUND(D848+E848-F848,6))</f>
        <v/>
      </c>
      <c r="H848" s="40" t="str">
        <f>IF(A848="","",G848*N('Articles'!G848))</f>
        <v/>
      </c>
    </row>
    <row r="849">
      <c r="A849" s="39" t="str">
        <f>IF('Articles'!A849="","",'Articles'!A849)</f>
        <v/>
      </c>
      <c r="B849" s="39" t="str">
        <f>IF(A849="","",'Articles'!B849&amp;"")</f>
        <v/>
      </c>
      <c r="C849" s="39" t="str">
        <f>IF(A849="","",'Articles'!D849&amp;"")</f>
        <v/>
      </c>
      <c r="D849" s="39" t="str">
        <f>IF(A849="","",ROUND(N('Articles'!H849)+SUMIFS(mv_qty,mv_ref,A849,mv_type,"Entrée",mv_date,"&lt;"&amp;$E$1)-SUMIFS(mv_qty,mv_ref,A849,mv_type,"Sortie",mv_date,"&lt;"&amp;$E$1),6))</f>
        <v/>
      </c>
      <c r="E849" s="39" t="str">
        <f>IF(A849="","",SUMIFS(mv_qty,mv_ref,A849,mv_type,"Entrée",mv_date,"&gt;="&amp;$E$1,mv_date,"&lt;="&amp;$G$1))</f>
        <v/>
      </c>
      <c r="F849" s="39" t="str">
        <f>IF(A849="","",SUMIFS(mv_qty,mv_ref,A849,mv_type,"Sortie",mv_date,"&gt;="&amp;$E$1,mv_date,"&lt;="&amp;$G$1))</f>
        <v/>
      </c>
      <c r="G849" s="39" t="str">
        <f>IF(A849="","",ROUND(D849+E849-F849,6))</f>
        <v/>
      </c>
      <c r="H849" s="40" t="str">
        <f>IF(A849="","",G849*N('Articles'!G849))</f>
        <v/>
      </c>
    </row>
    <row r="850">
      <c r="A850" s="39" t="str">
        <f>IF('Articles'!A850="","",'Articles'!A850)</f>
        <v/>
      </c>
      <c r="B850" s="39" t="str">
        <f>IF(A850="","",'Articles'!B850&amp;"")</f>
        <v/>
      </c>
      <c r="C850" s="39" t="str">
        <f>IF(A850="","",'Articles'!D850&amp;"")</f>
        <v/>
      </c>
      <c r="D850" s="39" t="str">
        <f>IF(A850="","",ROUND(N('Articles'!H850)+SUMIFS(mv_qty,mv_ref,A850,mv_type,"Entrée",mv_date,"&lt;"&amp;$E$1)-SUMIFS(mv_qty,mv_ref,A850,mv_type,"Sortie",mv_date,"&lt;"&amp;$E$1),6))</f>
        <v/>
      </c>
      <c r="E850" s="39" t="str">
        <f>IF(A850="","",SUMIFS(mv_qty,mv_ref,A850,mv_type,"Entrée",mv_date,"&gt;="&amp;$E$1,mv_date,"&lt;="&amp;$G$1))</f>
        <v/>
      </c>
      <c r="F850" s="39" t="str">
        <f>IF(A850="","",SUMIFS(mv_qty,mv_ref,A850,mv_type,"Sortie",mv_date,"&gt;="&amp;$E$1,mv_date,"&lt;="&amp;$G$1))</f>
        <v/>
      </c>
      <c r="G850" s="39" t="str">
        <f>IF(A850="","",ROUND(D850+E850-F850,6))</f>
        <v/>
      </c>
      <c r="H850" s="40" t="str">
        <f>IF(A850="","",G850*N('Articles'!G850))</f>
        <v/>
      </c>
    </row>
    <row r="851">
      <c r="A851" s="39" t="str">
        <f>IF('Articles'!A851="","",'Articles'!A851)</f>
        <v/>
      </c>
      <c r="B851" s="39" t="str">
        <f>IF(A851="","",'Articles'!B851&amp;"")</f>
        <v/>
      </c>
      <c r="C851" s="39" t="str">
        <f>IF(A851="","",'Articles'!D851&amp;"")</f>
        <v/>
      </c>
      <c r="D851" s="39" t="str">
        <f>IF(A851="","",ROUND(N('Articles'!H851)+SUMIFS(mv_qty,mv_ref,A851,mv_type,"Entrée",mv_date,"&lt;"&amp;$E$1)-SUMIFS(mv_qty,mv_ref,A851,mv_type,"Sortie",mv_date,"&lt;"&amp;$E$1),6))</f>
        <v/>
      </c>
      <c r="E851" s="39" t="str">
        <f>IF(A851="","",SUMIFS(mv_qty,mv_ref,A851,mv_type,"Entrée",mv_date,"&gt;="&amp;$E$1,mv_date,"&lt;="&amp;$G$1))</f>
        <v/>
      </c>
      <c r="F851" s="39" t="str">
        <f>IF(A851="","",SUMIFS(mv_qty,mv_ref,A851,mv_type,"Sortie",mv_date,"&gt;="&amp;$E$1,mv_date,"&lt;="&amp;$G$1))</f>
        <v/>
      </c>
      <c r="G851" s="39" t="str">
        <f>IF(A851="","",ROUND(D851+E851-F851,6))</f>
        <v/>
      </c>
      <c r="H851" s="40" t="str">
        <f>IF(A851="","",G851*N('Articles'!G851))</f>
        <v/>
      </c>
    </row>
    <row r="852">
      <c r="A852" s="39" t="str">
        <f>IF('Articles'!A852="","",'Articles'!A852)</f>
        <v/>
      </c>
      <c r="B852" s="39" t="str">
        <f>IF(A852="","",'Articles'!B852&amp;"")</f>
        <v/>
      </c>
      <c r="C852" s="39" t="str">
        <f>IF(A852="","",'Articles'!D852&amp;"")</f>
        <v/>
      </c>
      <c r="D852" s="39" t="str">
        <f>IF(A852="","",ROUND(N('Articles'!H852)+SUMIFS(mv_qty,mv_ref,A852,mv_type,"Entrée",mv_date,"&lt;"&amp;$E$1)-SUMIFS(mv_qty,mv_ref,A852,mv_type,"Sortie",mv_date,"&lt;"&amp;$E$1),6))</f>
        <v/>
      </c>
      <c r="E852" s="39" t="str">
        <f>IF(A852="","",SUMIFS(mv_qty,mv_ref,A852,mv_type,"Entrée",mv_date,"&gt;="&amp;$E$1,mv_date,"&lt;="&amp;$G$1))</f>
        <v/>
      </c>
      <c r="F852" s="39" t="str">
        <f>IF(A852="","",SUMIFS(mv_qty,mv_ref,A852,mv_type,"Sortie",mv_date,"&gt;="&amp;$E$1,mv_date,"&lt;="&amp;$G$1))</f>
        <v/>
      </c>
      <c r="G852" s="39" t="str">
        <f>IF(A852="","",ROUND(D852+E852-F852,6))</f>
        <v/>
      </c>
      <c r="H852" s="40" t="str">
        <f>IF(A852="","",G852*N('Articles'!G852))</f>
        <v/>
      </c>
    </row>
    <row r="853">
      <c r="A853" s="39" t="str">
        <f>IF('Articles'!A853="","",'Articles'!A853)</f>
        <v/>
      </c>
      <c r="B853" s="39" t="str">
        <f>IF(A853="","",'Articles'!B853&amp;"")</f>
        <v/>
      </c>
      <c r="C853" s="39" t="str">
        <f>IF(A853="","",'Articles'!D853&amp;"")</f>
        <v/>
      </c>
      <c r="D853" s="39" t="str">
        <f>IF(A853="","",ROUND(N('Articles'!H853)+SUMIFS(mv_qty,mv_ref,A853,mv_type,"Entrée",mv_date,"&lt;"&amp;$E$1)-SUMIFS(mv_qty,mv_ref,A853,mv_type,"Sortie",mv_date,"&lt;"&amp;$E$1),6))</f>
        <v/>
      </c>
      <c r="E853" s="39" t="str">
        <f>IF(A853="","",SUMIFS(mv_qty,mv_ref,A853,mv_type,"Entrée",mv_date,"&gt;="&amp;$E$1,mv_date,"&lt;="&amp;$G$1))</f>
        <v/>
      </c>
      <c r="F853" s="39" t="str">
        <f>IF(A853="","",SUMIFS(mv_qty,mv_ref,A853,mv_type,"Sortie",mv_date,"&gt;="&amp;$E$1,mv_date,"&lt;="&amp;$G$1))</f>
        <v/>
      </c>
      <c r="G853" s="39" t="str">
        <f>IF(A853="","",ROUND(D853+E853-F853,6))</f>
        <v/>
      </c>
      <c r="H853" s="40" t="str">
        <f>IF(A853="","",G853*N('Articles'!G853))</f>
        <v/>
      </c>
    </row>
    <row r="854">
      <c r="A854" s="39" t="str">
        <f>IF('Articles'!A854="","",'Articles'!A854)</f>
        <v/>
      </c>
      <c r="B854" s="39" t="str">
        <f>IF(A854="","",'Articles'!B854&amp;"")</f>
        <v/>
      </c>
      <c r="C854" s="39" t="str">
        <f>IF(A854="","",'Articles'!D854&amp;"")</f>
        <v/>
      </c>
      <c r="D854" s="39" t="str">
        <f>IF(A854="","",ROUND(N('Articles'!H854)+SUMIFS(mv_qty,mv_ref,A854,mv_type,"Entrée",mv_date,"&lt;"&amp;$E$1)-SUMIFS(mv_qty,mv_ref,A854,mv_type,"Sortie",mv_date,"&lt;"&amp;$E$1),6))</f>
        <v/>
      </c>
      <c r="E854" s="39" t="str">
        <f>IF(A854="","",SUMIFS(mv_qty,mv_ref,A854,mv_type,"Entrée",mv_date,"&gt;="&amp;$E$1,mv_date,"&lt;="&amp;$G$1))</f>
        <v/>
      </c>
      <c r="F854" s="39" t="str">
        <f>IF(A854="","",SUMIFS(mv_qty,mv_ref,A854,mv_type,"Sortie",mv_date,"&gt;="&amp;$E$1,mv_date,"&lt;="&amp;$G$1))</f>
        <v/>
      </c>
      <c r="G854" s="39" t="str">
        <f>IF(A854="","",ROUND(D854+E854-F854,6))</f>
        <v/>
      </c>
      <c r="H854" s="40" t="str">
        <f>IF(A854="","",G854*N('Articles'!G854))</f>
        <v/>
      </c>
    </row>
    <row r="855">
      <c r="A855" s="39" t="str">
        <f>IF('Articles'!A855="","",'Articles'!A855)</f>
        <v/>
      </c>
      <c r="B855" s="39" t="str">
        <f>IF(A855="","",'Articles'!B855&amp;"")</f>
        <v/>
      </c>
      <c r="C855" s="39" t="str">
        <f>IF(A855="","",'Articles'!D855&amp;"")</f>
        <v/>
      </c>
      <c r="D855" s="39" t="str">
        <f>IF(A855="","",ROUND(N('Articles'!H855)+SUMIFS(mv_qty,mv_ref,A855,mv_type,"Entrée",mv_date,"&lt;"&amp;$E$1)-SUMIFS(mv_qty,mv_ref,A855,mv_type,"Sortie",mv_date,"&lt;"&amp;$E$1),6))</f>
        <v/>
      </c>
      <c r="E855" s="39" t="str">
        <f>IF(A855="","",SUMIFS(mv_qty,mv_ref,A855,mv_type,"Entrée",mv_date,"&gt;="&amp;$E$1,mv_date,"&lt;="&amp;$G$1))</f>
        <v/>
      </c>
      <c r="F855" s="39" t="str">
        <f>IF(A855="","",SUMIFS(mv_qty,mv_ref,A855,mv_type,"Sortie",mv_date,"&gt;="&amp;$E$1,mv_date,"&lt;="&amp;$G$1))</f>
        <v/>
      </c>
      <c r="G855" s="39" t="str">
        <f>IF(A855="","",ROUND(D855+E855-F855,6))</f>
        <v/>
      </c>
      <c r="H855" s="40" t="str">
        <f>IF(A855="","",G855*N('Articles'!G855))</f>
        <v/>
      </c>
    </row>
    <row r="856">
      <c r="A856" s="39" t="str">
        <f>IF('Articles'!A856="","",'Articles'!A856)</f>
        <v/>
      </c>
      <c r="B856" s="39" t="str">
        <f>IF(A856="","",'Articles'!B856&amp;"")</f>
        <v/>
      </c>
      <c r="C856" s="39" t="str">
        <f>IF(A856="","",'Articles'!D856&amp;"")</f>
        <v/>
      </c>
      <c r="D856" s="39" t="str">
        <f>IF(A856="","",ROUND(N('Articles'!H856)+SUMIFS(mv_qty,mv_ref,A856,mv_type,"Entrée",mv_date,"&lt;"&amp;$E$1)-SUMIFS(mv_qty,mv_ref,A856,mv_type,"Sortie",mv_date,"&lt;"&amp;$E$1),6))</f>
        <v/>
      </c>
      <c r="E856" s="39" t="str">
        <f>IF(A856="","",SUMIFS(mv_qty,mv_ref,A856,mv_type,"Entrée",mv_date,"&gt;="&amp;$E$1,mv_date,"&lt;="&amp;$G$1))</f>
        <v/>
      </c>
      <c r="F856" s="39" t="str">
        <f>IF(A856="","",SUMIFS(mv_qty,mv_ref,A856,mv_type,"Sortie",mv_date,"&gt;="&amp;$E$1,mv_date,"&lt;="&amp;$G$1))</f>
        <v/>
      </c>
      <c r="G856" s="39" t="str">
        <f>IF(A856="","",ROUND(D856+E856-F856,6))</f>
        <v/>
      </c>
      <c r="H856" s="40" t="str">
        <f>IF(A856="","",G856*N('Articles'!G856))</f>
        <v/>
      </c>
    </row>
    <row r="857">
      <c r="A857" s="39" t="str">
        <f>IF('Articles'!A857="","",'Articles'!A857)</f>
        <v/>
      </c>
      <c r="B857" s="39" t="str">
        <f>IF(A857="","",'Articles'!B857&amp;"")</f>
        <v/>
      </c>
      <c r="C857" s="39" t="str">
        <f>IF(A857="","",'Articles'!D857&amp;"")</f>
        <v/>
      </c>
      <c r="D857" s="39" t="str">
        <f>IF(A857="","",ROUND(N('Articles'!H857)+SUMIFS(mv_qty,mv_ref,A857,mv_type,"Entrée",mv_date,"&lt;"&amp;$E$1)-SUMIFS(mv_qty,mv_ref,A857,mv_type,"Sortie",mv_date,"&lt;"&amp;$E$1),6))</f>
        <v/>
      </c>
      <c r="E857" s="39" t="str">
        <f>IF(A857="","",SUMIFS(mv_qty,mv_ref,A857,mv_type,"Entrée",mv_date,"&gt;="&amp;$E$1,mv_date,"&lt;="&amp;$G$1))</f>
        <v/>
      </c>
      <c r="F857" s="39" t="str">
        <f>IF(A857="","",SUMIFS(mv_qty,mv_ref,A857,mv_type,"Sortie",mv_date,"&gt;="&amp;$E$1,mv_date,"&lt;="&amp;$G$1))</f>
        <v/>
      </c>
      <c r="G857" s="39" t="str">
        <f>IF(A857="","",ROUND(D857+E857-F857,6))</f>
        <v/>
      </c>
      <c r="H857" s="40" t="str">
        <f>IF(A857="","",G857*N('Articles'!G857))</f>
        <v/>
      </c>
    </row>
    <row r="858">
      <c r="A858" s="39" t="str">
        <f>IF('Articles'!A858="","",'Articles'!A858)</f>
        <v/>
      </c>
      <c r="B858" s="39" t="str">
        <f>IF(A858="","",'Articles'!B858&amp;"")</f>
        <v/>
      </c>
      <c r="C858" s="39" t="str">
        <f>IF(A858="","",'Articles'!D858&amp;"")</f>
        <v/>
      </c>
      <c r="D858" s="39" t="str">
        <f>IF(A858="","",ROUND(N('Articles'!H858)+SUMIFS(mv_qty,mv_ref,A858,mv_type,"Entrée",mv_date,"&lt;"&amp;$E$1)-SUMIFS(mv_qty,mv_ref,A858,mv_type,"Sortie",mv_date,"&lt;"&amp;$E$1),6))</f>
        <v/>
      </c>
      <c r="E858" s="39" t="str">
        <f>IF(A858="","",SUMIFS(mv_qty,mv_ref,A858,mv_type,"Entrée",mv_date,"&gt;="&amp;$E$1,mv_date,"&lt;="&amp;$G$1))</f>
        <v/>
      </c>
      <c r="F858" s="39" t="str">
        <f>IF(A858="","",SUMIFS(mv_qty,mv_ref,A858,mv_type,"Sortie",mv_date,"&gt;="&amp;$E$1,mv_date,"&lt;="&amp;$G$1))</f>
        <v/>
      </c>
      <c r="G858" s="39" t="str">
        <f>IF(A858="","",ROUND(D858+E858-F858,6))</f>
        <v/>
      </c>
      <c r="H858" s="40" t="str">
        <f>IF(A858="","",G858*N('Articles'!G858))</f>
        <v/>
      </c>
    </row>
    <row r="859">
      <c r="A859" s="39" t="str">
        <f>IF('Articles'!A859="","",'Articles'!A859)</f>
        <v/>
      </c>
      <c r="B859" s="39" t="str">
        <f>IF(A859="","",'Articles'!B859&amp;"")</f>
        <v/>
      </c>
      <c r="C859" s="39" t="str">
        <f>IF(A859="","",'Articles'!D859&amp;"")</f>
        <v/>
      </c>
      <c r="D859" s="39" t="str">
        <f>IF(A859="","",ROUND(N('Articles'!H859)+SUMIFS(mv_qty,mv_ref,A859,mv_type,"Entrée",mv_date,"&lt;"&amp;$E$1)-SUMIFS(mv_qty,mv_ref,A859,mv_type,"Sortie",mv_date,"&lt;"&amp;$E$1),6))</f>
        <v/>
      </c>
      <c r="E859" s="39" t="str">
        <f>IF(A859="","",SUMIFS(mv_qty,mv_ref,A859,mv_type,"Entrée",mv_date,"&gt;="&amp;$E$1,mv_date,"&lt;="&amp;$G$1))</f>
        <v/>
      </c>
      <c r="F859" s="39" t="str">
        <f>IF(A859="","",SUMIFS(mv_qty,mv_ref,A859,mv_type,"Sortie",mv_date,"&gt;="&amp;$E$1,mv_date,"&lt;="&amp;$G$1))</f>
        <v/>
      </c>
      <c r="G859" s="39" t="str">
        <f>IF(A859="","",ROUND(D859+E859-F859,6))</f>
        <v/>
      </c>
      <c r="H859" s="40" t="str">
        <f>IF(A859="","",G859*N('Articles'!G859))</f>
        <v/>
      </c>
    </row>
    <row r="860">
      <c r="A860" s="39" t="str">
        <f>IF('Articles'!A860="","",'Articles'!A860)</f>
        <v/>
      </c>
      <c r="B860" s="39" t="str">
        <f>IF(A860="","",'Articles'!B860&amp;"")</f>
        <v/>
      </c>
      <c r="C860" s="39" t="str">
        <f>IF(A860="","",'Articles'!D860&amp;"")</f>
        <v/>
      </c>
      <c r="D860" s="39" t="str">
        <f>IF(A860="","",ROUND(N('Articles'!H860)+SUMIFS(mv_qty,mv_ref,A860,mv_type,"Entrée",mv_date,"&lt;"&amp;$E$1)-SUMIFS(mv_qty,mv_ref,A860,mv_type,"Sortie",mv_date,"&lt;"&amp;$E$1),6))</f>
        <v/>
      </c>
      <c r="E860" s="39" t="str">
        <f>IF(A860="","",SUMIFS(mv_qty,mv_ref,A860,mv_type,"Entrée",mv_date,"&gt;="&amp;$E$1,mv_date,"&lt;="&amp;$G$1))</f>
        <v/>
      </c>
      <c r="F860" s="39" t="str">
        <f>IF(A860="","",SUMIFS(mv_qty,mv_ref,A860,mv_type,"Sortie",mv_date,"&gt;="&amp;$E$1,mv_date,"&lt;="&amp;$G$1))</f>
        <v/>
      </c>
      <c r="G860" s="39" t="str">
        <f>IF(A860="","",ROUND(D860+E860-F860,6))</f>
        <v/>
      </c>
      <c r="H860" s="40" t="str">
        <f>IF(A860="","",G860*N('Articles'!G860))</f>
        <v/>
      </c>
    </row>
    <row r="861">
      <c r="A861" s="39" t="str">
        <f>IF('Articles'!A861="","",'Articles'!A861)</f>
        <v/>
      </c>
      <c r="B861" s="39" t="str">
        <f>IF(A861="","",'Articles'!B861&amp;"")</f>
        <v/>
      </c>
      <c r="C861" s="39" t="str">
        <f>IF(A861="","",'Articles'!D861&amp;"")</f>
        <v/>
      </c>
      <c r="D861" s="39" t="str">
        <f>IF(A861="","",ROUND(N('Articles'!H861)+SUMIFS(mv_qty,mv_ref,A861,mv_type,"Entrée",mv_date,"&lt;"&amp;$E$1)-SUMIFS(mv_qty,mv_ref,A861,mv_type,"Sortie",mv_date,"&lt;"&amp;$E$1),6))</f>
        <v/>
      </c>
      <c r="E861" s="39" t="str">
        <f>IF(A861="","",SUMIFS(mv_qty,mv_ref,A861,mv_type,"Entrée",mv_date,"&gt;="&amp;$E$1,mv_date,"&lt;="&amp;$G$1))</f>
        <v/>
      </c>
      <c r="F861" s="39" t="str">
        <f>IF(A861="","",SUMIFS(mv_qty,mv_ref,A861,mv_type,"Sortie",mv_date,"&gt;="&amp;$E$1,mv_date,"&lt;="&amp;$G$1))</f>
        <v/>
      </c>
      <c r="G861" s="39" t="str">
        <f>IF(A861="","",ROUND(D861+E861-F861,6))</f>
        <v/>
      </c>
      <c r="H861" s="40" t="str">
        <f>IF(A861="","",G861*N('Articles'!G861))</f>
        <v/>
      </c>
    </row>
    <row r="862">
      <c r="A862" s="39" t="str">
        <f>IF('Articles'!A862="","",'Articles'!A862)</f>
        <v/>
      </c>
      <c r="B862" s="39" t="str">
        <f>IF(A862="","",'Articles'!B862&amp;"")</f>
        <v/>
      </c>
      <c r="C862" s="39" t="str">
        <f>IF(A862="","",'Articles'!D862&amp;"")</f>
        <v/>
      </c>
      <c r="D862" s="39" t="str">
        <f>IF(A862="","",ROUND(N('Articles'!H862)+SUMIFS(mv_qty,mv_ref,A862,mv_type,"Entrée",mv_date,"&lt;"&amp;$E$1)-SUMIFS(mv_qty,mv_ref,A862,mv_type,"Sortie",mv_date,"&lt;"&amp;$E$1),6))</f>
        <v/>
      </c>
      <c r="E862" s="39" t="str">
        <f>IF(A862="","",SUMIFS(mv_qty,mv_ref,A862,mv_type,"Entrée",mv_date,"&gt;="&amp;$E$1,mv_date,"&lt;="&amp;$G$1))</f>
        <v/>
      </c>
      <c r="F862" s="39" t="str">
        <f>IF(A862="","",SUMIFS(mv_qty,mv_ref,A862,mv_type,"Sortie",mv_date,"&gt;="&amp;$E$1,mv_date,"&lt;="&amp;$G$1))</f>
        <v/>
      </c>
      <c r="G862" s="39" t="str">
        <f>IF(A862="","",ROUND(D862+E862-F862,6))</f>
        <v/>
      </c>
      <c r="H862" s="40" t="str">
        <f>IF(A862="","",G862*N('Articles'!G862))</f>
        <v/>
      </c>
    </row>
    <row r="863">
      <c r="A863" s="39" t="str">
        <f>IF('Articles'!A863="","",'Articles'!A863)</f>
        <v/>
      </c>
      <c r="B863" s="39" t="str">
        <f>IF(A863="","",'Articles'!B863&amp;"")</f>
        <v/>
      </c>
      <c r="C863" s="39" t="str">
        <f>IF(A863="","",'Articles'!D863&amp;"")</f>
        <v/>
      </c>
      <c r="D863" s="39" t="str">
        <f>IF(A863="","",ROUND(N('Articles'!H863)+SUMIFS(mv_qty,mv_ref,A863,mv_type,"Entrée",mv_date,"&lt;"&amp;$E$1)-SUMIFS(mv_qty,mv_ref,A863,mv_type,"Sortie",mv_date,"&lt;"&amp;$E$1),6))</f>
        <v/>
      </c>
      <c r="E863" s="39" t="str">
        <f>IF(A863="","",SUMIFS(mv_qty,mv_ref,A863,mv_type,"Entrée",mv_date,"&gt;="&amp;$E$1,mv_date,"&lt;="&amp;$G$1))</f>
        <v/>
      </c>
      <c r="F863" s="39" t="str">
        <f>IF(A863="","",SUMIFS(mv_qty,mv_ref,A863,mv_type,"Sortie",mv_date,"&gt;="&amp;$E$1,mv_date,"&lt;="&amp;$G$1))</f>
        <v/>
      </c>
      <c r="G863" s="39" t="str">
        <f>IF(A863="","",ROUND(D863+E863-F863,6))</f>
        <v/>
      </c>
      <c r="H863" s="40" t="str">
        <f>IF(A863="","",G863*N('Articles'!G863))</f>
        <v/>
      </c>
    </row>
    <row r="864">
      <c r="A864" s="39" t="str">
        <f>IF('Articles'!A864="","",'Articles'!A864)</f>
        <v/>
      </c>
      <c r="B864" s="39" t="str">
        <f>IF(A864="","",'Articles'!B864&amp;"")</f>
        <v/>
      </c>
      <c r="C864" s="39" t="str">
        <f>IF(A864="","",'Articles'!D864&amp;"")</f>
        <v/>
      </c>
      <c r="D864" s="39" t="str">
        <f>IF(A864="","",ROUND(N('Articles'!H864)+SUMIFS(mv_qty,mv_ref,A864,mv_type,"Entrée",mv_date,"&lt;"&amp;$E$1)-SUMIFS(mv_qty,mv_ref,A864,mv_type,"Sortie",mv_date,"&lt;"&amp;$E$1),6))</f>
        <v/>
      </c>
      <c r="E864" s="39" t="str">
        <f>IF(A864="","",SUMIFS(mv_qty,mv_ref,A864,mv_type,"Entrée",mv_date,"&gt;="&amp;$E$1,mv_date,"&lt;="&amp;$G$1))</f>
        <v/>
      </c>
      <c r="F864" s="39" t="str">
        <f>IF(A864="","",SUMIFS(mv_qty,mv_ref,A864,mv_type,"Sortie",mv_date,"&gt;="&amp;$E$1,mv_date,"&lt;="&amp;$G$1))</f>
        <v/>
      </c>
      <c r="G864" s="39" t="str">
        <f>IF(A864="","",ROUND(D864+E864-F864,6))</f>
        <v/>
      </c>
      <c r="H864" s="40" t="str">
        <f>IF(A864="","",G864*N('Articles'!G864))</f>
        <v/>
      </c>
    </row>
    <row r="865">
      <c r="A865" s="39" t="str">
        <f>IF('Articles'!A865="","",'Articles'!A865)</f>
        <v/>
      </c>
      <c r="B865" s="39" t="str">
        <f>IF(A865="","",'Articles'!B865&amp;"")</f>
        <v/>
      </c>
      <c r="C865" s="39" t="str">
        <f>IF(A865="","",'Articles'!D865&amp;"")</f>
        <v/>
      </c>
      <c r="D865" s="39" t="str">
        <f>IF(A865="","",ROUND(N('Articles'!H865)+SUMIFS(mv_qty,mv_ref,A865,mv_type,"Entrée",mv_date,"&lt;"&amp;$E$1)-SUMIFS(mv_qty,mv_ref,A865,mv_type,"Sortie",mv_date,"&lt;"&amp;$E$1),6))</f>
        <v/>
      </c>
      <c r="E865" s="39" t="str">
        <f>IF(A865="","",SUMIFS(mv_qty,mv_ref,A865,mv_type,"Entrée",mv_date,"&gt;="&amp;$E$1,mv_date,"&lt;="&amp;$G$1))</f>
        <v/>
      </c>
      <c r="F865" s="39" t="str">
        <f>IF(A865="","",SUMIFS(mv_qty,mv_ref,A865,mv_type,"Sortie",mv_date,"&gt;="&amp;$E$1,mv_date,"&lt;="&amp;$G$1))</f>
        <v/>
      </c>
      <c r="G865" s="39" t="str">
        <f>IF(A865="","",ROUND(D865+E865-F865,6))</f>
        <v/>
      </c>
      <c r="H865" s="40" t="str">
        <f>IF(A865="","",G865*N('Articles'!G865))</f>
        <v/>
      </c>
    </row>
    <row r="866">
      <c r="A866" s="39" t="str">
        <f>IF('Articles'!A866="","",'Articles'!A866)</f>
        <v/>
      </c>
      <c r="B866" s="39" t="str">
        <f>IF(A866="","",'Articles'!B866&amp;"")</f>
        <v/>
      </c>
      <c r="C866" s="39" t="str">
        <f>IF(A866="","",'Articles'!D866&amp;"")</f>
        <v/>
      </c>
      <c r="D866" s="39" t="str">
        <f>IF(A866="","",ROUND(N('Articles'!H866)+SUMIFS(mv_qty,mv_ref,A866,mv_type,"Entrée",mv_date,"&lt;"&amp;$E$1)-SUMIFS(mv_qty,mv_ref,A866,mv_type,"Sortie",mv_date,"&lt;"&amp;$E$1),6))</f>
        <v/>
      </c>
      <c r="E866" s="39" t="str">
        <f>IF(A866="","",SUMIFS(mv_qty,mv_ref,A866,mv_type,"Entrée",mv_date,"&gt;="&amp;$E$1,mv_date,"&lt;="&amp;$G$1))</f>
        <v/>
      </c>
      <c r="F866" s="39" t="str">
        <f>IF(A866="","",SUMIFS(mv_qty,mv_ref,A866,mv_type,"Sortie",mv_date,"&gt;="&amp;$E$1,mv_date,"&lt;="&amp;$G$1))</f>
        <v/>
      </c>
      <c r="G866" s="39" t="str">
        <f>IF(A866="","",ROUND(D866+E866-F866,6))</f>
        <v/>
      </c>
      <c r="H866" s="40" t="str">
        <f>IF(A866="","",G866*N('Articles'!G866))</f>
        <v/>
      </c>
    </row>
    <row r="867">
      <c r="A867" s="39" t="str">
        <f>IF('Articles'!A867="","",'Articles'!A867)</f>
        <v/>
      </c>
      <c r="B867" s="39" t="str">
        <f>IF(A867="","",'Articles'!B867&amp;"")</f>
        <v/>
      </c>
      <c r="C867" s="39" t="str">
        <f>IF(A867="","",'Articles'!D867&amp;"")</f>
        <v/>
      </c>
      <c r="D867" s="39" t="str">
        <f>IF(A867="","",ROUND(N('Articles'!H867)+SUMIFS(mv_qty,mv_ref,A867,mv_type,"Entrée",mv_date,"&lt;"&amp;$E$1)-SUMIFS(mv_qty,mv_ref,A867,mv_type,"Sortie",mv_date,"&lt;"&amp;$E$1),6))</f>
        <v/>
      </c>
      <c r="E867" s="39" t="str">
        <f>IF(A867="","",SUMIFS(mv_qty,mv_ref,A867,mv_type,"Entrée",mv_date,"&gt;="&amp;$E$1,mv_date,"&lt;="&amp;$G$1))</f>
        <v/>
      </c>
      <c r="F867" s="39" t="str">
        <f>IF(A867="","",SUMIFS(mv_qty,mv_ref,A867,mv_type,"Sortie",mv_date,"&gt;="&amp;$E$1,mv_date,"&lt;="&amp;$G$1))</f>
        <v/>
      </c>
      <c r="G867" s="39" t="str">
        <f>IF(A867="","",ROUND(D867+E867-F867,6))</f>
        <v/>
      </c>
      <c r="H867" s="40" t="str">
        <f>IF(A867="","",G867*N('Articles'!G867))</f>
        <v/>
      </c>
    </row>
    <row r="868">
      <c r="A868" s="39" t="str">
        <f>IF('Articles'!A868="","",'Articles'!A868)</f>
        <v/>
      </c>
      <c r="B868" s="39" t="str">
        <f>IF(A868="","",'Articles'!B868&amp;"")</f>
        <v/>
      </c>
      <c r="C868" s="39" t="str">
        <f>IF(A868="","",'Articles'!D868&amp;"")</f>
        <v/>
      </c>
      <c r="D868" s="39" t="str">
        <f>IF(A868="","",ROUND(N('Articles'!H868)+SUMIFS(mv_qty,mv_ref,A868,mv_type,"Entrée",mv_date,"&lt;"&amp;$E$1)-SUMIFS(mv_qty,mv_ref,A868,mv_type,"Sortie",mv_date,"&lt;"&amp;$E$1),6))</f>
        <v/>
      </c>
      <c r="E868" s="39" t="str">
        <f>IF(A868="","",SUMIFS(mv_qty,mv_ref,A868,mv_type,"Entrée",mv_date,"&gt;="&amp;$E$1,mv_date,"&lt;="&amp;$G$1))</f>
        <v/>
      </c>
      <c r="F868" s="39" t="str">
        <f>IF(A868="","",SUMIFS(mv_qty,mv_ref,A868,mv_type,"Sortie",mv_date,"&gt;="&amp;$E$1,mv_date,"&lt;="&amp;$G$1))</f>
        <v/>
      </c>
      <c r="G868" s="39" t="str">
        <f>IF(A868="","",ROUND(D868+E868-F868,6))</f>
        <v/>
      </c>
      <c r="H868" s="40" t="str">
        <f>IF(A868="","",G868*N('Articles'!G868))</f>
        <v/>
      </c>
    </row>
    <row r="869">
      <c r="A869" s="39" t="str">
        <f>IF('Articles'!A869="","",'Articles'!A869)</f>
        <v/>
      </c>
      <c r="B869" s="39" t="str">
        <f>IF(A869="","",'Articles'!B869&amp;"")</f>
        <v/>
      </c>
      <c r="C869" s="39" t="str">
        <f>IF(A869="","",'Articles'!D869&amp;"")</f>
        <v/>
      </c>
      <c r="D869" s="39" t="str">
        <f>IF(A869="","",ROUND(N('Articles'!H869)+SUMIFS(mv_qty,mv_ref,A869,mv_type,"Entrée",mv_date,"&lt;"&amp;$E$1)-SUMIFS(mv_qty,mv_ref,A869,mv_type,"Sortie",mv_date,"&lt;"&amp;$E$1),6))</f>
        <v/>
      </c>
      <c r="E869" s="39" t="str">
        <f>IF(A869="","",SUMIFS(mv_qty,mv_ref,A869,mv_type,"Entrée",mv_date,"&gt;="&amp;$E$1,mv_date,"&lt;="&amp;$G$1))</f>
        <v/>
      </c>
      <c r="F869" s="39" t="str">
        <f>IF(A869="","",SUMIFS(mv_qty,mv_ref,A869,mv_type,"Sortie",mv_date,"&gt;="&amp;$E$1,mv_date,"&lt;="&amp;$G$1))</f>
        <v/>
      </c>
      <c r="G869" s="39" t="str">
        <f>IF(A869="","",ROUND(D869+E869-F869,6))</f>
        <v/>
      </c>
      <c r="H869" s="40" t="str">
        <f>IF(A869="","",G869*N('Articles'!G869))</f>
        <v/>
      </c>
    </row>
    <row r="870">
      <c r="A870" s="39" t="str">
        <f>IF('Articles'!A870="","",'Articles'!A870)</f>
        <v/>
      </c>
      <c r="B870" s="39" t="str">
        <f>IF(A870="","",'Articles'!B870&amp;"")</f>
        <v/>
      </c>
      <c r="C870" s="39" t="str">
        <f>IF(A870="","",'Articles'!D870&amp;"")</f>
        <v/>
      </c>
      <c r="D870" s="39" t="str">
        <f>IF(A870="","",ROUND(N('Articles'!H870)+SUMIFS(mv_qty,mv_ref,A870,mv_type,"Entrée",mv_date,"&lt;"&amp;$E$1)-SUMIFS(mv_qty,mv_ref,A870,mv_type,"Sortie",mv_date,"&lt;"&amp;$E$1),6))</f>
        <v/>
      </c>
      <c r="E870" s="39" t="str">
        <f>IF(A870="","",SUMIFS(mv_qty,mv_ref,A870,mv_type,"Entrée",mv_date,"&gt;="&amp;$E$1,mv_date,"&lt;="&amp;$G$1))</f>
        <v/>
      </c>
      <c r="F870" s="39" t="str">
        <f>IF(A870="","",SUMIFS(mv_qty,mv_ref,A870,mv_type,"Sortie",mv_date,"&gt;="&amp;$E$1,mv_date,"&lt;="&amp;$G$1))</f>
        <v/>
      </c>
      <c r="G870" s="39" t="str">
        <f>IF(A870="","",ROUND(D870+E870-F870,6))</f>
        <v/>
      </c>
      <c r="H870" s="40" t="str">
        <f>IF(A870="","",G870*N('Articles'!G870))</f>
        <v/>
      </c>
    </row>
    <row r="871">
      <c r="A871" s="39" t="str">
        <f>IF('Articles'!A871="","",'Articles'!A871)</f>
        <v/>
      </c>
      <c r="B871" s="39" t="str">
        <f>IF(A871="","",'Articles'!B871&amp;"")</f>
        <v/>
      </c>
      <c r="C871" s="39" t="str">
        <f>IF(A871="","",'Articles'!D871&amp;"")</f>
        <v/>
      </c>
      <c r="D871" s="39" t="str">
        <f>IF(A871="","",ROUND(N('Articles'!H871)+SUMIFS(mv_qty,mv_ref,A871,mv_type,"Entrée",mv_date,"&lt;"&amp;$E$1)-SUMIFS(mv_qty,mv_ref,A871,mv_type,"Sortie",mv_date,"&lt;"&amp;$E$1),6))</f>
        <v/>
      </c>
      <c r="E871" s="39" t="str">
        <f>IF(A871="","",SUMIFS(mv_qty,mv_ref,A871,mv_type,"Entrée",mv_date,"&gt;="&amp;$E$1,mv_date,"&lt;="&amp;$G$1))</f>
        <v/>
      </c>
      <c r="F871" s="39" t="str">
        <f>IF(A871="","",SUMIFS(mv_qty,mv_ref,A871,mv_type,"Sortie",mv_date,"&gt;="&amp;$E$1,mv_date,"&lt;="&amp;$G$1))</f>
        <v/>
      </c>
      <c r="G871" s="39" t="str">
        <f>IF(A871="","",ROUND(D871+E871-F871,6))</f>
        <v/>
      </c>
      <c r="H871" s="40" t="str">
        <f>IF(A871="","",G871*N('Articles'!G871))</f>
        <v/>
      </c>
    </row>
    <row r="872">
      <c r="A872" s="39" t="str">
        <f>IF('Articles'!A872="","",'Articles'!A872)</f>
        <v/>
      </c>
      <c r="B872" s="39" t="str">
        <f>IF(A872="","",'Articles'!B872&amp;"")</f>
        <v/>
      </c>
      <c r="C872" s="39" t="str">
        <f>IF(A872="","",'Articles'!D872&amp;"")</f>
        <v/>
      </c>
      <c r="D872" s="39" t="str">
        <f>IF(A872="","",ROUND(N('Articles'!H872)+SUMIFS(mv_qty,mv_ref,A872,mv_type,"Entrée",mv_date,"&lt;"&amp;$E$1)-SUMIFS(mv_qty,mv_ref,A872,mv_type,"Sortie",mv_date,"&lt;"&amp;$E$1),6))</f>
        <v/>
      </c>
      <c r="E872" s="39" t="str">
        <f>IF(A872="","",SUMIFS(mv_qty,mv_ref,A872,mv_type,"Entrée",mv_date,"&gt;="&amp;$E$1,mv_date,"&lt;="&amp;$G$1))</f>
        <v/>
      </c>
      <c r="F872" s="39" t="str">
        <f>IF(A872="","",SUMIFS(mv_qty,mv_ref,A872,mv_type,"Sortie",mv_date,"&gt;="&amp;$E$1,mv_date,"&lt;="&amp;$G$1))</f>
        <v/>
      </c>
      <c r="G872" s="39" t="str">
        <f>IF(A872="","",ROUND(D872+E872-F872,6))</f>
        <v/>
      </c>
      <c r="H872" s="40" t="str">
        <f>IF(A872="","",G872*N('Articles'!G872))</f>
        <v/>
      </c>
    </row>
    <row r="873">
      <c r="A873" s="39" t="str">
        <f>IF('Articles'!A873="","",'Articles'!A873)</f>
        <v/>
      </c>
      <c r="B873" s="39" t="str">
        <f>IF(A873="","",'Articles'!B873&amp;"")</f>
        <v/>
      </c>
      <c r="C873" s="39" t="str">
        <f>IF(A873="","",'Articles'!D873&amp;"")</f>
        <v/>
      </c>
      <c r="D873" s="39" t="str">
        <f>IF(A873="","",ROUND(N('Articles'!H873)+SUMIFS(mv_qty,mv_ref,A873,mv_type,"Entrée",mv_date,"&lt;"&amp;$E$1)-SUMIFS(mv_qty,mv_ref,A873,mv_type,"Sortie",mv_date,"&lt;"&amp;$E$1),6))</f>
        <v/>
      </c>
      <c r="E873" s="39" t="str">
        <f>IF(A873="","",SUMIFS(mv_qty,mv_ref,A873,mv_type,"Entrée",mv_date,"&gt;="&amp;$E$1,mv_date,"&lt;="&amp;$G$1))</f>
        <v/>
      </c>
      <c r="F873" s="39" t="str">
        <f>IF(A873="","",SUMIFS(mv_qty,mv_ref,A873,mv_type,"Sortie",mv_date,"&gt;="&amp;$E$1,mv_date,"&lt;="&amp;$G$1))</f>
        <v/>
      </c>
      <c r="G873" s="39" t="str">
        <f>IF(A873="","",ROUND(D873+E873-F873,6))</f>
        <v/>
      </c>
      <c r="H873" s="40" t="str">
        <f>IF(A873="","",G873*N('Articles'!G873))</f>
        <v/>
      </c>
    </row>
    <row r="874">
      <c r="A874" s="39" t="str">
        <f>IF('Articles'!A874="","",'Articles'!A874)</f>
        <v/>
      </c>
      <c r="B874" s="39" t="str">
        <f>IF(A874="","",'Articles'!B874&amp;"")</f>
        <v/>
      </c>
      <c r="C874" s="39" t="str">
        <f>IF(A874="","",'Articles'!D874&amp;"")</f>
        <v/>
      </c>
      <c r="D874" s="39" t="str">
        <f>IF(A874="","",ROUND(N('Articles'!H874)+SUMIFS(mv_qty,mv_ref,A874,mv_type,"Entrée",mv_date,"&lt;"&amp;$E$1)-SUMIFS(mv_qty,mv_ref,A874,mv_type,"Sortie",mv_date,"&lt;"&amp;$E$1),6))</f>
        <v/>
      </c>
      <c r="E874" s="39" t="str">
        <f>IF(A874="","",SUMIFS(mv_qty,mv_ref,A874,mv_type,"Entrée",mv_date,"&gt;="&amp;$E$1,mv_date,"&lt;="&amp;$G$1))</f>
        <v/>
      </c>
      <c r="F874" s="39" t="str">
        <f>IF(A874="","",SUMIFS(mv_qty,mv_ref,A874,mv_type,"Sortie",mv_date,"&gt;="&amp;$E$1,mv_date,"&lt;="&amp;$G$1))</f>
        <v/>
      </c>
      <c r="G874" s="39" t="str">
        <f>IF(A874="","",ROUND(D874+E874-F874,6))</f>
        <v/>
      </c>
      <c r="H874" s="40" t="str">
        <f>IF(A874="","",G874*N('Articles'!G874))</f>
        <v/>
      </c>
    </row>
    <row r="875">
      <c r="A875" s="39" t="str">
        <f>IF('Articles'!A875="","",'Articles'!A875)</f>
        <v/>
      </c>
      <c r="B875" s="39" t="str">
        <f>IF(A875="","",'Articles'!B875&amp;"")</f>
        <v/>
      </c>
      <c r="C875" s="39" t="str">
        <f>IF(A875="","",'Articles'!D875&amp;"")</f>
        <v/>
      </c>
      <c r="D875" s="39" t="str">
        <f>IF(A875="","",ROUND(N('Articles'!H875)+SUMIFS(mv_qty,mv_ref,A875,mv_type,"Entrée",mv_date,"&lt;"&amp;$E$1)-SUMIFS(mv_qty,mv_ref,A875,mv_type,"Sortie",mv_date,"&lt;"&amp;$E$1),6))</f>
        <v/>
      </c>
      <c r="E875" s="39" t="str">
        <f>IF(A875="","",SUMIFS(mv_qty,mv_ref,A875,mv_type,"Entrée",mv_date,"&gt;="&amp;$E$1,mv_date,"&lt;="&amp;$G$1))</f>
        <v/>
      </c>
      <c r="F875" s="39" t="str">
        <f>IF(A875="","",SUMIFS(mv_qty,mv_ref,A875,mv_type,"Sortie",mv_date,"&gt;="&amp;$E$1,mv_date,"&lt;="&amp;$G$1))</f>
        <v/>
      </c>
      <c r="G875" s="39" t="str">
        <f>IF(A875="","",ROUND(D875+E875-F875,6))</f>
        <v/>
      </c>
      <c r="H875" s="40" t="str">
        <f>IF(A875="","",G875*N('Articles'!G875))</f>
        <v/>
      </c>
    </row>
    <row r="876">
      <c r="A876" s="39" t="str">
        <f>IF('Articles'!A876="","",'Articles'!A876)</f>
        <v/>
      </c>
      <c r="B876" s="39" t="str">
        <f>IF(A876="","",'Articles'!B876&amp;"")</f>
        <v/>
      </c>
      <c r="C876" s="39" t="str">
        <f>IF(A876="","",'Articles'!D876&amp;"")</f>
        <v/>
      </c>
      <c r="D876" s="39" t="str">
        <f>IF(A876="","",ROUND(N('Articles'!H876)+SUMIFS(mv_qty,mv_ref,A876,mv_type,"Entrée",mv_date,"&lt;"&amp;$E$1)-SUMIFS(mv_qty,mv_ref,A876,mv_type,"Sortie",mv_date,"&lt;"&amp;$E$1),6))</f>
        <v/>
      </c>
      <c r="E876" s="39" t="str">
        <f>IF(A876="","",SUMIFS(mv_qty,mv_ref,A876,mv_type,"Entrée",mv_date,"&gt;="&amp;$E$1,mv_date,"&lt;="&amp;$G$1))</f>
        <v/>
      </c>
      <c r="F876" s="39" t="str">
        <f>IF(A876="","",SUMIFS(mv_qty,mv_ref,A876,mv_type,"Sortie",mv_date,"&gt;="&amp;$E$1,mv_date,"&lt;="&amp;$G$1))</f>
        <v/>
      </c>
      <c r="G876" s="39" t="str">
        <f>IF(A876="","",ROUND(D876+E876-F876,6))</f>
        <v/>
      </c>
      <c r="H876" s="40" t="str">
        <f>IF(A876="","",G876*N('Articles'!G876))</f>
        <v/>
      </c>
    </row>
    <row r="877">
      <c r="A877" s="39" t="str">
        <f>IF('Articles'!A877="","",'Articles'!A877)</f>
        <v/>
      </c>
      <c r="B877" s="39" t="str">
        <f>IF(A877="","",'Articles'!B877&amp;"")</f>
        <v/>
      </c>
      <c r="C877" s="39" t="str">
        <f>IF(A877="","",'Articles'!D877&amp;"")</f>
        <v/>
      </c>
      <c r="D877" s="39" t="str">
        <f>IF(A877="","",ROUND(N('Articles'!H877)+SUMIFS(mv_qty,mv_ref,A877,mv_type,"Entrée",mv_date,"&lt;"&amp;$E$1)-SUMIFS(mv_qty,mv_ref,A877,mv_type,"Sortie",mv_date,"&lt;"&amp;$E$1),6))</f>
        <v/>
      </c>
      <c r="E877" s="39" t="str">
        <f>IF(A877="","",SUMIFS(mv_qty,mv_ref,A877,mv_type,"Entrée",mv_date,"&gt;="&amp;$E$1,mv_date,"&lt;="&amp;$G$1))</f>
        <v/>
      </c>
      <c r="F877" s="39" t="str">
        <f>IF(A877="","",SUMIFS(mv_qty,mv_ref,A877,mv_type,"Sortie",mv_date,"&gt;="&amp;$E$1,mv_date,"&lt;="&amp;$G$1))</f>
        <v/>
      </c>
      <c r="G877" s="39" t="str">
        <f>IF(A877="","",ROUND(D877+E877-F877,6))</f>
        <v/>
      </c>
      <c r="H877" s="40" t="str">
        <f>IF(A877="","",G877*N('Articles'!G877))</f>
        <v/>
      </c>
    </row>
    <row r="878">
      <c r="A878" s="39" t="str">
        <f>IF('Articles'!A878="","",'Articles'!A878)</f>
        <v/>
      </c>
      <c r="B878" s="39" t="str">
        <f>IF(A878="","",'Articles'!B878&amp;"")</f>
        <v/>
      </c>
      <c r="C878" s="39" t="str">
        <f>IF(A878="","",'Articles'!D878&amp;"")</f>
        <v/>
      </c>
      <c r="D878" s="39" t="str">
        <f>IF(A878="","",ROUND(N('Articles'!H878)+SUMIFS(mv_qty,mv_ref,A878,mv_type,"Entrée",mv_date,"&lt;"&amp;$E$1)-SUMIFS(mv_qty,mv_ref,A878,mv_type,"Sortie",mv_date,"&lt;"&amp;$E$1),6))</f>
        <v/>
      </c>
      <c r="E878" s="39" t="str">
        <f>IF(A878="","",SUMIFS(mv_qty,mv_ref,A878,mv_type,"Entrée",mv_date,"&gt;="&amp;$E$1,mv_date,"&lt;="&amp;$G$1))</f>
        <v/>
      </c>
      <c r="F878" s="39" t="str">
        <f>IF(A878="","",SUMIFS(mv_qty,mv_ref,A878,mv_type,"Sortie",mv_date,"&gt;="&amp;$E$1,mv_date,"&lt;="&amp;$G$1))</f>
        <v/>
      </c>
      <c r="G878" s="39" t="str">
        <f>IF(A878="","",ROUND(D878+E878-F878,6))</f>
        <v/>
      </c>
      <c r="H878" s="40" t="str">
        <f>IF(A878="","",G878*N('Articles'!G878))</f>
        <v/>
      </c>
    </row>
    <row r="879">
      <c r="A879" s="39" t="str">
        <f>IF('Articles'!A879="","",'Articles'!A879)</f>
        <v/>
      </c>
      <c r="B879" s="39" t="str">
        <f>IF(A879="","",'Articles'!B879&amp;"")</f>
        <v/>
      </c>
      <c r="C879" s="39" t="str">
        <f>IF(A879="","",'Articles'!D879&amp;"")</f>
        <v/>
      </c>
      <c r="D879" s="39" t="str">
        <f>IF(A879="","",ROUND(N('Articles'!H879)+SUMIFS(mv_qty,mv_ref,A879,mv_type,"Entrée",mv_date,"&lt;"&amp;$E$1)-SUMIFS(mv_qty,mv_ref,A879,mv_type,"Sortie",mv_date,"&lt;"&amp;$E$1),6))</f>
        <v/>
      </c>
      <c r="E879" s="39" t="str">
        <f>IF(A879="","",SUMIFS(mv_qty,mv_ref,A879,mv_type,"Entrée",mv_date,"&gt;="&amp;$E$1,mv_date,"&lt;="&amp;$G$1))</f>
        <v/>
      </c>
      <c r="F879" s="39" t="str">
        <f>IF(A879="","",SUMIFS(mv_qty,mv_ref,A879,mv_type,"Sortie",mv_date,"&gt;="&amp;$E$1,mv_date,"&lt;="&amp;$G$1))</f>
        <v/>
      </c>
      <c r="G879" s="39" t="str">
        <f>IF(A879="","",ROUND(D879+E879-F879,6))</f>
        <v/>
      </c>
      <c r="H879" s="40" t="str">
        <f>IF(A879="","",G879*N('Articles'!G879))</f>
        <v/>
      </c>
    </row>
    <row r="880">
      <c r="A880" s="39" t="str">
        <f>IF('Articles'!A880="","",'Articles'!A880)</f>
        <v/>
      </c>
      <c r="B880" s="39" t="str">
        <f>IF(A880="","",'Articles'!B880&amp;"")</f>
        <v/>
      </c>
      <c r="C880" s="39" t="str">
        <f>IF(A880="","",'Articles'!D880&amp;"")</f>
        <v/>
      </c>
      <c r="D880" s="39" t="str">
        <f>IF(A880="","",ROUND(N('Articles'!H880)+SUMIFS(mv_qty,mv_ref,A880,mv_type,"Entrée",mv_date,"&lt;"&amp;$E$1)-SUMIFS(mv_qty,mv_ref,A880,mv_type,"Sortie",mv_date,"&lt;"&amp;$E$1),6))</f>
        <v/>
      </c>
      <c r="E880" s="39" t="str">
        <f>IF(A880="","",SUMIFS(mv_qty,mv_ref,A880,mv_type,"Entrée",mv_date,"&gt;="&amp;$E$1,mv_date,"&lt;="&amp;$G$1))</f>
        <v/>
      </c>
      <c r="F880" s="39" t="str">
        <f>IF(A880="","",SUMIFS(mv_qty,mv_ref,A880,mv_type,"Sortie",mv_date,"&gt;="&amp;$E$1,mv_date,"&lt;="&amp;$G$1))</f>
        <v/>
      </c>
      <c r="G880" s="39" t="str">
        <f>IF(A880="","",ROUND(D880+E880-F880,6))</f>
        <v/>
      </c>
      <c r="H880" s="40" t="str">
        <f>IF(A880="","",G880*N('Articles'!G880))</f>
        <v/>
      </c>
    </row>
    <row r="881">
      <c r="A881" s="39" t="str">
        <f>IF('Articles'!A881="","",'Articles'!A881)</f>
        <v/>
      </c>
      <c r="B881" s="39" t="str">
        <f>IF(A881="","",'Articles'!B881&amp;"")</f>
        <v/>
      </c>
      <c r="C881" s="39" t="str">
        <f>IF(A881="","",'Articles'!D881&amp;"")</f>
        <v/>
      </c>
      <c r="D881" s="39" t="str">
        <f>IF(A881="","",ROUND(N('Articles'!H881)+SUMIFS(mv_qty,mv_ref,A881,mv_type,"Entrée",mv_date,"&lt;"&amp;$E$1)-SUMIFS(mv_qty,mv_ref,A881,mv_type,"Sortie",mv_date,"&lt;"&amp;$E$1),6))</f>
        <v/>
      </c>
      <c r="E881" s="39" t="str">
        <f>IF(A881="","",SUMIFS(mv_qty,mv_ref,A881,mv_type,"Entrée",mv_date,"&gt;="&amp;$E$1,mv_date,"&lt;="&amp;$G$1))</f>
        <v/>
      </c>
      <c r="F881" s="39" t="str">
        <f>IF(A881="","",SUMIFS(mv_qty,mv_ref,A881,mv_type,"Sortie",mv_date,"&gt;="&amp;$E$1,mv_date,"&lt;="&amp;$G$1))</f>
        <v/>
      </c>
      <c r="G881" s="39" t="str">
        <f>IF(A881="","",ROUND(D881+E881-F881,6))</f>
        <v/>
      </c>
      <c r="H881" s="40" t="str">
        <f>IF(A881="","",G881*N('Articles'!G881))</f>
        <v/>
      </c>
    </row>
    <row r="882">
      <c r="A882" s="39" t="str">
        <f>IF('Articles'!A882="","",'Articles'!A882)</f>
        <v/>
      </c>
      <c r="B882" s="39" t="str">
        <f>IF(A882="","",'Articles'!B882&amp;"")</f>
        <v/>
      </c>
      <c r="C882" s="39" t="str">
        <f>IF(A882="","",'Articles'!D882&amp;"")</f>
        <v/>
      </c>
      <c r="D882" s="39" t="str">
        <f>IF(A882="","",ROUND(N('Articles'!H882)+SUMIFS(mv_qty,mv_ref,A882,mv_type,"Entrée",mv_date,"&lt;"&amp;$E$1)-SUMIFS(mv_qty,mv_ref,A882,mv_type,"Sortie",mv_date,"&lt;"&amp;$E$1),6))</f>
        <v/>
      </c>
      <c r="E882" s="39" t="str">
        <f>IF(A882="","",SUMIFS(mv_qty,mv_ref,A882,mv_type,"Entrée",mv_date,"&gt;="&amp;$E$1,mv_date,"&lt;="&amp;$G$1))</f>
        <v/>
      </c>
      <c r="F882" s="39" t="str">
        <f>IF(A882="","",SUMIFS(mv_qty,mv_ref,A882,mv_type,"Sortie",mv_date,"&gt;="&amp;$E$1,mv_date,"&lt;="&amp;$G$1))</f>
        <v/>
      </c>
      <c r="G882" s="39" t="str">
        <f>IF(A882="","",ROUND(D882+E882-F882,6))</f>
        <v/>
      </c>
      <c r="H882" s="40" t="str">
        <f>IF(A882="","",G882*N('Articles'!G882))</f>
        <v/>
      </c>
    </row>
    <row r="883">
      <c r="A883" s="39" t="str">
        <f>IF('Articles'!A883="","",'Articles'!A883)</f>
        <v/>
      </c>
      <c r="B883" s="39" t="str">
        <f>IF(A883="","",'Articles'!B883&amp;"")</f>
        <v/>
      </c>
      <c r="C883" s="39" t="str">
        <f>IF(A883="","",'Articles'!D883&amp;"")</f>
        <v/>
      </c>
      <c r="D883" s="39" t="str">
        <f>IF(A883="","",ROUND(N('Articles'!H883)+SUMIFS(mv_qty,mv_ref,A883,mv_type,"Entrée",mv_date,"&lt;"&amp;$E$1)-SUMIFS(mv_qty,mv_ref,A883,mv_type,"Sortie",mv_date,"&lt;"&amp;$E$1),6))</f>
        <v/>
      </c>
      <c r="E883" s="39" t="str">
        <f>IF(A883="","",SUMIFS(mv_qty,mv_ref,A883,mv_type,"Entrée",mv_date,"&gt;="&amp;$E$1,mv_date,"&lt;="&amp;$G$1))</f>
        <v/>
      </c>
      <c r="F883" s="39" t="str">
        <f>IF(A883="","",SUMIFS(mv_qty,mv_ref,A883,mv_type,"Sortie",mv_date,"&gt;="&amp;$E$1,mv_date,"&lt;="&amp;$G$1))</f>
        <v/>
      </c>
      <c r="G883" s="39" t="str">
        <f>IF(A883="","",ROUND(D883+E883-F883,6))</f>
        <v/>
      </c>
      <c r="H883" s="40" t="str">
        <f>IF(A883="","",G883*N('Articles'!G883))</f>
        <v/>
      </c>
    </row>
    <row r="884">
      <c r="A884" s="39" t="str">
        <f>IF('Articles'!A884="","",'Articles'!A884)</f>
        <v/>
      </c>
      <c r="B884" s="39" t="str">
        <f>IF(A884="","",'Articles'!B884&amp;"")</f>
        <v/>
      </c>
      <c r="C884" s="39" t="str">
        <f>IF(A884="","",'Articles'!D884&amp;"")</f>
        <v/>
      </c>
      <c r="D884" s="39" t="str">
        <f>IF(A884="","",ROUND(N('Articles'!H884)+SUMIFS(mv_qty,mv_ref,A884,mv_type,"Entrée",mv_date,"&lt;"&amp;$E$1)-SUMIFS(mv_qty,mv_ref,A884,mv_type,"Sortie",mv_date,"&lt;"&amp;$E$1),6))</f>
        <v/>
      </c>
      <c r="E884" s="39" t="str">
        <f>IF(A884="","",SUMIFS(mv_qty,mv_ref,A884,mv_type,"Entrée",mv_date,"&gt;="&amp;$E$1,mv_date,"&lt;="&amp;$G$1))</f>
        <v/>
      </c>
      <c r="F884" s="39" t="str">
        <f>IF(A884="","",SUMIFS(mv_qty,mv_ref,A884,mv_type,"Sortie",mv_date,"&gt;="&amp;$E$1,mv_date,"&lt;="&amp;$G$1))</f>
        <v/>
      </c>
      <c r="G884" s="39" t="str">
        <f>IF(A884="","",ROUND(D884+E884-F884,6))</f>
        <v/>
      </c>
      <c r="H884" s="40" t="str">
        <f>IF(A884="","",G884*N('Articles'!G884))</f>
        <v/>
      </c>
    </row>
    <row r="885">
      <c r="A885" s="39" t="str">
        <f>IF('Articles'!A885="","",'Articles'!A885)</f>
        <v/>
      </c>
      <c r="B885" s="39" t="str">
        <f>IF(A885="","",'Articles'!B885&amp;"")</f>
        <v/>
      </c>
      <c r="C885" s="39" t="str">
        <f>IF(A885="","",'Articles'!D885&amp;"")</f>
        <v/>
      </c>
      <c r="D885" s="39" t="str">
        <f>IF(A885="","",ROUND(N('Articles'!H885)+SUMIFS(mv_qty,mv_ref,A885,mv_type,"Entrée",mv_date,"&lt;"&amp;$E$1)-SUMIFS(mv_qty,mv_ref,A885,mv_type,"Sortie",mv_date,"&lt;"&amp;$E$1),6))</f>
        <v/>
      </c>
      <c r="E885" s="39" t="str">
        <f>IF(A885="","",SUMIFS(mv_qty,mv_ref,A885,mv_type,"Entrée",mv_date,"&gt;="&amp;$E$1,mv_date,"&lt;="&amp;$G$1))</f>
        <v/>
      </c>
      <c r="F885" s="39" t="str">
        <f>IF(A885="","",SUMIFS(mv_qty,mv_ref,A885,mv_type,"Sortie",mv_date,"&gt;="&amp;$E$1,mv_date,"&lt;="&amp;$G$1))</f>
        <v/>
      </c>
      <c r="G885" s="39" t="str">
        <f>IF(A885="","",ROUND(D885+E885-F885,6))</f>
        <v/>
      </c>
      <c r="H885" s="40" t="str">
        <f>IF(A885="","",G885*N('Articles'!G885))</f>
        <v/>
      </c>
    </row>
    <row r="886">
      <c r="A886" s="39" t="str">
        <f>IF('Articles'!A886="","",'Articles'!A886)</f>
        <v/>
      </c>
      <c r="B886" s="39" t="str">
        <f>IF(A886="","",'Articles'!B886&amp;"")</f>
        <v/>
      </c>
      <c r="C886" s="39" t="str">
        <f>IF(A886="","",'Articles'!D886&amp;"")</f>
        <v/>
      </c>
      <c r="D886" s="39" t="str">
        <f>IF(A886="","",ROUND(N('Articles'!H886)+SUMIFS(mv_qty,mv_ref,A886,mv_type,"Entrée",mv_date,"&lt;"&amp;$E$1)-SUMIFS(mv_qty,mv_ref,A886,mv_type,"Sortie",mv_date,"&lt;"&amp;$E$1),6))</f>
        <v/>
      </c>
      <c r="E886" s="39" t="str">
        <f>IF(A886="","",SUMIFS(mv_qty,mv_ref,A886,mv_type,"Entrée",mv_date,"&gt;="&amp;$E$1,mv_date,"&lt;="&amp;$G$1))</f>
        <v/>
      </c>
      <c r="F886" s="39" t="str">
        <f>IF(A886="","",SUMIFS(mv_qty,mv_ref,A886,mv_type,"Sortie",mv_date,"&gt;="&amp;$E$1,mv_date,"&lt;="&amp;$G$1))</f>
        <v/>
      </c>
      <c r="G886" s="39" t="str">
        <f>IF(A886="","",ROUND(D886+E886-F886,6))</f>
        <v/>
      </c>
      <c r="H886" s="40" t="str">
        <f>IF(A886="","",G886*N('Articles'!G886))</f>
        <v/>
      </c>
    </row>
    <row r="887">
      <c r="A887" s="39" t="str">
        <f>IF('Articles'!A887="","",'Articles'!A887)</f>
        <v/>
      </c>
      <c r="B887" s="39" t="str">
        <f>IF(A887="","",'Articles'!B887&amp;"")</f>
        <v/>
      </c>
      <c r="C887" s="39" t="str">
        <f>IF(A887="","",'Articles'!D887&amp;"")</f>
        <v/>
      </c>
      <c r="D887" s="39" t="str">
        <f>IF(A887="","",ROUND(N('Articles'!H887)+SUMIFS(mv_qty,mv_ref,A887,mv_type,"Entrée",mv_date,"&lt;"&amp;$E$1)-SUMIFS(mv_qty,mv_ref,A887,mv_type,"Sortie",mv_date,"&lt;"&amp;$E$1),6))</f>
        <v/>
      </c>
      <c r="E887" s="39" t="str">
        <f>IF(A887="","",SUMIFS(mv_qty,mv_ref,A887,mv_type,"Entrée",mv_date,"&gt;="&amp;$E$1,mv_date,"&lt;="&amp;$G$1))</f>
        <v/>
      </c>
      <c r="F887" s="39" t="str">
        <f>IF(A887="","",SUMIFS(mv_qty,mv_ref,A887,mv_type,"Sortie",mv_date,"&gt;="&amp;$E$1,mv_date,"&lt;="&amp;$G$1))</f>
        <v/>
      </c>
      <c r="G887" s="39" t="str">
        <f>IF(A887="","",ROUND(D887+E887-F887,6))</f>
        <v/>
      </c>
      <c r="H887" s="40" t="str">
        <f>IF(A887="","",G887*N('Articles'!G887))</f>
        <v/>
      </c>
    </row>
    <row r="888">
      <c r="A888" s="39" t="str">
        <f>IF('Articles'!A888="","",'Articles'!A888)</f>
        <v/>
      </c>
      <c r="B888" s="39" t="str">
        <f>IF(A888="","",'Articles'!B888&amp;"")</f>
        <v/>
      </c>
      <c r="C888" s="39" t="str">
        <f>IF(A888="","",'Articles'!D888&amp;"")</f>
        <v/>
      </c>
      <c r="D888" s="39" t="str">
        <f>IF(A888="","",ROUND(N('Articles'!H888)+SUMIFS(mv_qty,mv_ref,A888,mv_type,"Entrée",mv_date,"&lt;"&amp;$E$1)-SUMIFS(mv_qty,mv_ref,A888,mv_type,"Sortie",mv_date,"&lt;"&amp;$E$1),6))</f>
        <v/>
      </c>
      <c r="E888" s="39" t="str">
        <f>IF(A888="","",SUMIFS(mv_qty,mv_ref,A888,mv_type,"Entrée",mv_date,"&gt;="&amp;$E$1,mv_date,"&lt;="&amp;$G$1))</f>
        <v/>
      </c>
      <c r="F888" s="39" t="str">
        <f>IF(A888="","",SUMIFS(mv_qty,mv_ref,A888,mv_type,"Sortie",mv_date,"&gt;="&amp;$E$1,mv_date,"&lt;="&amp;$G$1))</f>
        <v/>
      </c>
      <c r="G888" s="39" t="str">
        <f>IF(A888="","",ROUND(D888+E888-F888,6))</f>
        <v/>
      </c>
      <c r="H888" s="40" t="str">
        <f>IF(A888="","",G888*N('Articles'!G888))</f>
        <v/>
      </c>
    </row>
    <row r="889">
      <c r="A889" s="39" t="str">
        <f>IF('Articles'!A889="","",'Articles'!A889)</f>
        <v/>
      </c>
      <c r="B889" s="39" t="str">
        <f>IF(A889="","",'Articles'!B889&amp;"")</f>
        <v/>
      </c>
      <c r="C889" s="39" t="str">
        <f>IF(A889="","",'Articles'!D889&amp;"")</f>
        <v/>
      </c>
      <c r="D889" s="39" t="str">
        <f>IF(A889="","",ROUND(N('Articles'!H889)+SUMIFS(mv_qty,mv_ref,A889,mv_type,"Entrée",mv_date,"&lt;"&amp;$E$1)-SUMIFS(mv_qty,mv_ref,A889,mv_type,"Sortie",mv_date,"&lt;"&amp;$E$1),6))</f>
        <v/>
      </c>
      <c r="E889" s="39" t="str">
        <f>IF(A889="","",SUMIFS(mv_qty,mv_ref,A889,mv_type,"Entrée",mv_date,"&gt;="&amp;$E$1,mv_date,"&lt;="&amp;$G$1))</f>
        <v/>
      </c>
      <c r="F889" s="39" t="str">
        <f>IF(A889="","",SUMIFS(mv_qty,mv_ref,A889,mv_type,"Sortie",mv_date,"&gt;="&amp;$E$1,mv_date,"&lt;="&amp;$G$1))</f>
        <v/>
      </c>
      <c r="G889" s="39" t="str">
        <f>IF(A889="","",ROUND(D889+E889-F889,6))</f>
        <v/>
      </c>
      <c r="H889" s="40" t="str">
        <f>IF(A889="","",G889*N('Articles'!G889))</f>
        <v/>
      </c>
    </row>
    <row r="890">
      <c r="A890" s="39" t="str">
        <f>IF('Articles'!A890="","",'Articles'!A890)</f>
        <v/>
      </c>
      <c r="B890" s="39" t="str">
        <f>IF(A890="","",'Articles'!B890&amp;"")</f>
        <v/>
      </c>
      <c r="C890" s="39" t="str">
        <f>IF(A890="","",'Articles'!D890&amp;"")</f>
        <v/>
      </c>
      <c r="D890" s="39" t="str">
        <f>IF(A890="","",ROUND(N('Articles'!H890)+SUMIFS(mv_qty,mv_ref,A890,mv_type,"Entrée",mv_date,"&lt;"&amp;$E$1)-SUMIFS(mv_qty,mv_ref,A890,mv_type,"Sortie",mv_date,"&lt;"&amp;$E$1),6))</f>
        <v/>
      </c>
      <c r="E890" s="39" t="str">
        <f>IF(A890="","",SUMIFS(mv_qty,mv_ref,A890,mv_type,"Entrée",mv_date,"&gt;="&amp;$E$1,mv_date,"&lt;="&amp;$G$1))</f>
        <v/>
      </c>
      <c r="F890" s="39" t="str">
        <f>IF(A890="","",SUMIFS(mv_qty,mv_ref,A890,mv_type,"Sortie",mv_date,"&gt;="&amp;$E$1,mv_date,"&lt;="&amp;$G$1))</f>
        <v/>
      </c>
      <c r="G890" s="39" t="str">
        <f>IF(A890="","",ROUND(D890+E890-F890,6))</f>
        <v/>
      </c>
      <c r="H890" s="40" t="str">
        <f>IF(A890="","",G890*N('Articles'!G890))</f>
        <v/>
      </c>
    </row>
    <row r="891">
      <c r="A891" s="39" t="str">
        <f>IF('Articles'!A891="","",'Articles'!A891)</f>
        <v/>
      </c>
      <c r="B891" s="39" t="str">
        <f>IF(A891="","",'Articles'!B891&amp;"")</f>
        <v/>
      </c>
      <c r="C891" s="39" t="str">
        <f>IF(A891="","",'Articles'!D891&amp;"")</f>
        <v/>
      </c>
      <c r="D891" s="39" t="str">
        <f>IF(A891="","",ROUND(N('Articles'!H891)+SUMIFS(mv_qty,mv_ref,A891,mv_type,"Entrée",mv_date,"&lt;"&amp;$E$1)-SUMIFS(mv_qty,mv_ref,A891,mv_type,"Sortie",mv_date,"&lt;"&amp;$E$1),6))</f>
        <v/>
      </c>
      <c r="E891" s="39" t="str">
        <f>IF(A891="","",SUMIFS(mv_qty,mv_ref,A891,mv_type,"Entrée",mv_date,"&gt;="&amp;$E$1,mv_date,"&lt;="&amp;$G$1))</f>
        <v/>
      </c>
      <c r="F891" s="39" t="str">
        <f>IF(A891="","",SUMIFS(mv_qty,mv_ref,A891,mv_type,"Sortie",mv_date,"&gt;="&amp;$E$1,mv_date,"&lt;="&amp;$G$1))</f>
        <v/>
      </c>
      <c r="G891" s="39" t="str">
        <f>IF(A891="","",ROUND(D891+E891-F891,6))</f>
        <v/>
      </c>
      <c r="H891" s="40" t="str">
        <f>IF(A891="","",G891*N('Articles'!G891))</f>
        <v/>
      </c>
    </row>
    <row r="892">
      <c r="A892" s="39" t="str">
        <f>IF('Articles'!A892="","",'Articles'!A892)</f>
        <v/>
      </c>
      <c r="B892" s="39" t="str">
        <f>IF(A892="","",'Articles'!B892&amp;"")</f>
        <v/>
      </c>
      <c r="C892" s="39" t="str">
        <f>IF(A892="","",'Articles'!D892&amp;"")</f>
        <v/>
      </c>
      <c r="D892" s="39" t="str">
        <f>IF(A892="","",ROUND(N('Articles'!H892)+SUMIFS(mv_qty,mv_ref,A892,mv_type,"Entrée",mv_date,"&lt;"&amp;$E$1)-SUMIFS(mv_qty,mv_ref,A892,mv_type,"Sortie",mv_date,"&lt;"&amp;$E$1),6))</f>
        <v/>
      </c>
      <c r="E892" s="39" t="str">
        <f>IF(A892="","",SUMIFS(mv_qty,mv_ref,A892,mv_type,"Entrée",mv_date,"&gt;="&amp;$E$1,mv_date,"&lt;="&amp;$G$1))</f>
        <v/>
      </c>
      <c r="F892" s="39" t="str">
        <f>IF(A892="","",SUMIFS(mv_qty,mv_ref,A892,mv_type,"Sortie",mv_date,"&gt;="&amp;$E$1,mv_date,"&lt;="&amp;$G$1))</f>
        <v/>
      </c>
      <c r="G892" s="39" t="str">
        <f>IF(A892="","",ROUND(D892+E892-F892,6))</f>
        <v/>
      </c>
      <c r="H892" s="40" t="str">
        <f>IF(A892="","",G892*N('Articles'!G892))</f>
        <v/>
      </c>
    </row>
    <row r="893">
      <c r="A893" s="39" t="str">
        <f>IF('Articles'!A893="","",'Articles'!A893)</f>
        <v/>
      </c>
      <c r="B893" s="39" t="str">
        <f>IF(A893="","",'Articles'!B893&amp;"")</f>
        <v/>
      </c>
      <c r="C893" s="39" t="str">
        <f>IF(A893="","",'Articles'!D893&amp;"")</f>
        <v/>
      </c>
      <c r="D893" s="39" t="str">
        <f>IF(A893="","",ROUND(N('Articles'!H893)+SUMIFS(mv_qty,mv_ref,A893,mv_type,"Entrée",mv_date,"&lt;"&amp;$E$1)-SUMIFS(mv_qty,mv_ref,A893,mv_type,"Sortie",mv_date,"&lt;"&amp;$E$1),6))</f>
        <v/>
      </c>
      <c r="E893" s="39" t="str">
        <f>IF(A893="","",SUMIFS(mv_qty,mv_ref,A893,mv_type,"Entrée",mv_date,"&gt;="&amp;$E$1,mv_date,"&lt;="&amp;$G$1))</f>
        <v/>
      </c>
      <c r="F893" s="39" t="str">
        <f>IF(A893="","",SUMIFS(mv_qty,mv_ref,A893,mv_type,"Sortie",mv_date,"&gt;="&amp;$E$1,mv_date,"&lt;="&amp;$G$1))</f>
        <v/>
      </c>
      <c r="G893" s="39" t="str">
        <f>IF(A893="","",ROUND(D893+E893-F893,6))</f>
        <v/>
      </c>
      <c r="H893" s="40" t="str">
        <f>IF(A893="","",G893*N('Articles'!G893))</f>
        <v/>
      </c>
    </row>
    <row r="894">
      <c r="A894" s="39" t="str">
        <f>IF('Articles'!A894="","",'Articles'!A894)</f>
        <v/>
      </c>
      <c r="B894" s="39" t="str">
        <f>IF(A894="","",'Articles'!B894&amp;"")</f>
        <v/>
      </c>
      <c r="C894" s="39" t="str">
        <f>IF(A894="","",'Articles'!D894&amp;"")</f>
        <v/>
      </c>
      <c r="D894" s="39" t="str">
        <f>IF(A894="","",ROUND(N('Articles'!H894)+SUMIFS(mv_qty,mv_ref,A894,mv_type,"Entrée",mv_date,"&lt;"&amp;$E$1)-SUMIFS(mv_qty,mv_ref,A894,mv_type,"Sortie",mv_date,"&lt;"&amp;$E$1),6))</f>
        <v/>
      </c>
      <c r="E894" s="39" t="str">
        <f>IF(A894="","",SUMIFS(mv_qty,mv_ref,A894,mv_type,"Entrée",mv_date,"&gt;="&amp;$E$1,mv_date,"&lt;="&amp;$G$1))</f>
        <v/>
      </c>
      <c r="F894" s="39" t="str">
        <f>IF(A894="","",SUMIFS(mv_qty,mv_ref,A894,mv_type,"Sortie",mv_date,"&gt;="&amp;$E$1,mv_date,"&lt;="&amp;$G$1))</f>
        <v/>
      </c>
      <c r="G894" s="39" t="str">
        <f>IF(A894="","",ROUND(D894+E894-F894,6))</f>
        <v/>
      </c>
      <c r="H894" s="40" t="str">
        <f>IF(A894="","",G894*N('Articles'!G894))</f>
        <v/>
      </c>
    </row>
    <row r="895">
      <c r="A895" s="39" t="str">
        <f>IF('Articles'!A895="","",'Articles'!A895)</f>
        <v/>
      </c>
      <c r="B895" s="39" t="str">
        <f>IF(A895="","",'Articles'!B895&amp;"")</f>
        <v/>
      </c>
      <c r="C895" s="39" t="str">
        <f>IF(A895="","",'Articles'!D895&amp;"")</f>
        <v/>
      </c>
      <c r="D895" s="39" t="str">
        <f>IF(A895="","",ROUND(N('Articles'!H895)+SUMIFS(mv_qty,mv_ref,A895,mv_type,"Entrée",mv_date,"&lt;"&amp;$E$1)-SUMIFS(mv_qty,mv_ref,A895,mv_type,"Sortie",mv_date,"&lt;"&amp;$E$1),6))</f>
        <v/>
      </c>
      <c r="E895" s="39" t="str">
        <f>IF(A895="","",SUMIFS(mv_qty,mv_ref,A895,mv_type,"Entrée",mv_date,"&gt;="&amp;$E$1,mv_date,"&lt;="&amp;$G$1))</f>
        <v/>
      </c>
      <c r="F895" s="39" t="str">
        <f>IF(A895="","",SUMIFS(mv_qty,mv_ref,A895,mv_type,"Sortie",mv_date,"&gt;="&amp;$E$1,mv_date,"&lt;="&amp;$G$1))</f>
        <v/>
      </c>
      <c r="G895" s="39" t="str">
        <f>IF(A895="","",ROUND(D895+E895-F895,6))</f>
        <v/>
      </c>
      <c r="H895" s="40" t="str">
        <f>IF(A895="","",G895*N('Articles'!G895))</f>
        <v/>
      </c>
    </row>
    <row r="896">
      <c r="A896" s="39" t="str">
        <f>IF('Articles'!A896="","",'Articles'!A896)</f>
        <v/>
      </c>
      <c r="B896" s="39" t="str">
        <f>IF(A896="","",'Articles'!B896&amp;"")</f>
        <v/>
      </c>
      <c r="C896" s="39" t="str">
        <f>IF(A896="","",'Articles'!D896&amp;"")</f>
        <v/>
      </c>
      <c r="D896" s="39" t="str">
        <f>IF(A896="","",ROUND(N('Articles'!H896)+SUMIFS(mv_qty,mv_ref,A896,mv_type,"Entrée",mv_date,"&lt;"&amp;$E$1)-SUMIFS(mv_qty,mv_ref,A896,mv_type,"Sortie",mv_date,"&lt;"&amp;$E$1),6))</f>
        <v/>
      </c>
      <c r="E896" s="39" t="str">
        <f>IF(A896="","",SUMIFS(mv_qty,mv_ref,A896,mv_type,"Entrée",mv_date,"&gt;="&amp;$E$1,mv_date,"&lt;="&amp;$G$1))</f>
        <v/>
      </c>
      <c r="F896" s="39" t="str">
        <f>IF(A896="","",SUMIFS(mv_qty,mv_ref,A896,mv_type,"Sortie",mv_date,"&gt;="&amp;$E$1,mv_date,"&lt;="&amp;$G$1))</f>
        <v/>
      </c>
      <c r="G896" s="39" t="str">
        <f>IF(A896="","",ROUND(D896+E896-F896,6))</f>
        <v/>
      </c>
      <c r="H896" s="40" t="str">
        <f>IF(A896="","",G896*N('Articles'!G896))</f>
        <v/>
      </c>
    </row>
    <row r="897">
      <c r="A897" s="39" t="str">
        <f>IF('Articles'!A897="","",'Articles'!A897)</f>
        <v/>
      </c>
      <c r="B897" s="39" t="str">
        <f>IF(A897="","",'Articles'!B897&amp;"")</f>
        <v/>
      </c>
      <c r="C897" s="39" t="str">
        <f>IF(A897="","",'Articles'!D897&amp;"")</f>
        <v/>
      </c>
      <c r="D897" s="39" t="str">
        <f>IF(A897="","",ROUND(N('Articles'!H897)+SUMIFS(mv_qty,mv_ref,A897,mv_type,"Entrée",mv_date,"&lt;"&amp;$E$1)-SUMIFS(mv_qty,mv_ref,A897,mv_type,"Sortie",mv_date,"&lt;"&amp;$E$1),6))</f>
        <v/>
      </c>
      <c r="E897" s="39" t="str">
        <f>IF(A897="","",SUMIFS(mv_qty,mv_ref,A897,mv_type,"Entrée",mv_date,"&gt;="&amp;$E$1,mv_date,"&lt;="&amp;$G$1))</f>
        <v/>
      </c>
      <c r="F897" s="39" t="str">
        <f>IF(A897="","",SUMIFS(mv_qty,mv_ref,A897,mv_type,"Sortie",mv_date,"&gt;="&amp;$E$1,mv_date,"&lt;="&amp;$G$1))</f>
        <v/>
      </c>
      <c r="G897" s="39" t="str">
        <f>IF(A897="","",ROUND(D897+E897-F897,6))</f>
        <v/>
      </c>
      <c r="H897" s="40" t="str">
        <f>IF(A897="","",G897*N('Articles'!G897))</f>
        <v/>
      </c>
    </row>
    <row r="898">
      <c r="A898" s="39" t="str">
        <f>IF('Articles'!A898="","",'Articles'!A898)</f>
        <v/>
      </c>
      <c r="B898" s="39" t="str">
        <f>IF(A898="","",'Articles'!B898&amp;"")</f>
        <v/>
      </c>
      <c r="C898" s="39" t="str">
        <f>IF(A898="","",'Articles'!D898&amp;"")</f>
        <v/>
      </c>
      <c r="D898" s="39" t="str">
        <f>IF(A898="","",ROUND(N('Articles'!H898)+SUMIFS(mv_qty,mv_ref,A898,mv_type,"Entrée",mv_date,"&lt;"&amp;$E$1)-SUMIFS(mv_qty,mv_ref,A898,mv_type,"Sortie",mv_date,"&lt;"&amp;$E$1),6))</f>
        <v/>
      </c>
      <c r="E898" s="39" t="str">
        <f>IF(A898="","",SUMIFS(mv_qty,mv_ref,A898,mv_type,"Entrée",mv_date,"&gt;="&amp;$E$1,mv_date,"&lt;="&amp;$G$1))</f>
        <v/>
      </c>
      <c r="F898" s="39" t="str">
        <f>IF(A898="","",SUMIFS(mv_qty,mv_ref,A898,mv_type,"Sortie",mv_date,"&gt;="&amp;$E$1,mv_date,"&lt;="&amp;$G$1))</f>
        <v/>
      </c>
      <c r="G898" s="39" t="str">
        <f>IF(A898="","",ROUND(D898+E898-F898,6))</f>
        <v/>
      </c>
      <c r="H898" s="40" t="str">
        <f>IF(A898="","",G898*N('Articles'!G898))</f>
        <v/>
      </c>
    </row>
    <row r="899">
      <c r="A899" s="39" t="str">
        <f>IF('Articles'!A899="","",'Articles'!A899)</f>
        <v/>
      </c>
      <c r="B899" s="39" t="str">
        <f>IF(A899="","",'Articles'!B899&amp;"")</f>
        <v/>
      </c>
      <c r="C899" s="39" t="str">
        <f>IF(A899="","",'Articles'!D899&amp;"")</f>
        <v/>
      </c>
      <c r="D899" s="39" t="str">
        <f>IF(A899="","",ROUND(N('Articles'!H899)+SUMIFS(mv_qty,mv_ref,A899,mv_type,"Entrée",mv_date,"&lt;"&amp;$E$1)-SUMIFS(mv_qty,mv_ref,A899,mv_type,"Sortie",mv_date,"&lt;"&amp;$E$1),6))</f>
        <v/>
      </c>
      <c r="E899" s="39" t="str">
        <f>IF(A899="","",SUMIFS(mv_qty,mv_ref,A899,mv_type,"Entrée",mv_date,"&gt;="&amp;$E$1,mv_date,"&lt;="&amp;$G$1))</f>
        <v/>
      </c>
      <c r="F899" s="39" t="str">
        <f>IF(A899="","",SUMIFS(mv_qty,mv_ref,A899,mv_type,"Sortie",mv_date,"&gt;="&amp;$E$1,mv_date,"&lt;="&amp;$G$1))</f>
        <v/>
      </c>
      <c r="G899" s="39" t="str">
        <f>IF(A899="","",ROUND(D899+E899-F899,6))</f>
        <v/>
      </c>
      <c r="H899" s="40" t="str">
        <f>IF(A899="","",G899*N('Articles'!G899))</f>
        <v/>
      </c>
    </row>
    <row r="900">
      <c r="A900" s="39" t="str">
        <f>IF('Articles'!A900="","",'Articles'!A900)</f>
        <v/>
      </c>
      <c r="B900" s="39" t="str">
        <f>IF(A900="","",'Articles'!B900&amp;"")</f>
        <v/>
      </c>
      <c r="C900" s="39" t="str">
        <f>IF(A900="","",'Articles'!D900&amp;"")</f>
        <v/>
      </c>
      <c r="D900" s="39" t="str">
        <f>IF(A900="","",ROUND(N('Articles'!H900)+SUMIFS(mv_qty,mv_ref,A900,mv_type,"Entrée",mv_date,"&lt;"&amp;$E$1)-SUMIFS(mv_qty,mv_ref,A900,mv_type,"Sortie",mv_date,"&lt;"&amp;$E$1),6))</f>
        <v/>
      </c>
      <c r="E900" s="39" t="str">
        <f>IF(A900="","",SUMIFS(mv_qty,mv_ref,A900,mv_type,"Entrée",mv_date,"&gt;="&amp;$E$1,mv_date,"&lt;="&amp;$G$1))</f>
        <v/>
      </c>
      <c r="F900" s="39" t="str">
        <f>IF(A900="","",SUMIFS(mv_qty,mv_ref,A900,mv_type,"Sortie",mv_date,"&gt;="&amp;$E$1,mv_date,"&lt;="&amp;$G$1))</f>
        <v/>
      </c>
      <c r="G900" s="39" t="str">
        <f>IF(A900="","",ROUND(D900+E900-F900,6))</f>
        <v/>
      </c>
      <c r="H900" s="40" t="str">
        <f>IF(A900="","",G900*N('Articles'!G900))</f>
        <v/>
      </c>
    </row>
    <row r="901">
      <c r="A901" s="39" t="str">
        <f>IF('Articles'!A901="","",'Articles'!A901)</f>
        <v/>
      </c>
      <c r="B901" s="39" t="str">
        <f>IF(A901="","",'Articles'!B901&amp;"")</f>
        <v/>
      </c>
      <c r="C901" s="39" t="str">
        <f>IF(A901="","",'Articles'!D901&amp;"")</f>
        <v/>
      </c>
      <c r="D901" s="39" t="str">
        <f>IF(A901="","",ROUND(N('Articles'!H901)+SUMIFS(mv_qty,mv_ref,A901,mv_type,"Entrée",mv_date,"&lt;"&amp;$E$1)-SUMIFS(mv_qty,mv_ref,A901,mv_type,"Sortie",mv_date,"&lt;"&amp;$E$1),6))</f>
        <v/>
      </c>
      <c r="E901" s="39" t="str">
        <f>IF(A901="","",SUMIFS(mv_qty,mv_ref,A901,mv_type,"Entrée",mv_date,"&gt;="&amp;$E$1,mv_date,"&lt;="&amp;$G$1))</f>
        <v/>
      </c>
      <c r="F901" s="39" t="str">
        <f>IF(A901="","",SUMIFS(mv_qty,mv_ref,A901,mv_type,"Sortie",mv_date,"&gt;="&amp;$E$1,mv_date,"&lt;="&amp;$G$1))</f>
        <v/>
      </c>
      <c r="G901" s="39" t="str">
        <f>IF(A901="","",ROUND(D901+E901-F901,6))</f>
        <v/>
      </c>
      <c r="H901" s="40" t="str">
        <f>IF(A901="","",G901*N('Articles'!G901))</f>
        <v/>
      </c>
    </row>
    <row r="902">
      <c r="A902" s="39" t="str">
        <f>IF('Articles'!A902="","",'Articles'!A902)</f>
        <v/>
      </c>
      <c r="B902" s="39" t="str">
        <f>IF(A902="","",'Articles'!B902&amp;"")</f>
        <v/>
      </c>
      <c r="C902" s="39" t="str">
        <f>IF(A902="","",'Articles'!D902&amp;"")</f>
        <v/>
      </c>
      <c r="D902" s="39" t="str">
        <f>IF(A902="","",ROUND(N('Articles'!H902)+SUMIFS(mv_qty,mv_ref,A902,mv_type,"Entrée",mv_date,"&lt;"&amp;$E$1)-SUMIFS(mv_qty,mv_ref,A902,mv_type,"Sortie",mv_date,"&lt;"&amp;$E$1),6))</f>
        <v/>
      </c>
      <c r="E902" s="39" t="str">
        <f>IF(A902="","",SUMIFS(mv_qty,mv_ref,A902,mv_type,"Entrée",mv_date,"&gt;="&amp;$E$1,mv_date,"&lt;="&amp;$G$1))</f>
        <v/>
      </c>
      <c r="F902" s="39" t="str">
        <f>IF(A902="","",SUMIFS(mv_qty,mv_ref,A902,mv_type,"Sortie",mv_date,"&gt;="&amp;$E$1,mv_date,"&lt;="&amp;$G$1))</f>
        <v/>
      </c>
      <c r="G902" s="39" t="str">
        <f>IF(A902="","",ROUND(D902+E902-F902,6))</f>
        <v/>
      </c>
      <c r="H902" s="40" t="str">
        <f>IF(A902="","",G902*N('Articles'!G902))</f>
        <v/>
      </c>
    </row>
    <row r="903">
      <c r="A903" s="39" t="str">
        <f>IF('Articles'!A903="","",'Articles'!A903)</f>
        <v/>
      </c>
      <c r="B903" s="39" t="str">
        <f>IF(A903="","",'Articles'!B903&amp;"")</f>
        <v/>
      </c>
      <c r="C903" s="39" t="str">
        <f>IF(A903="","",'Articles'!D903&amp;"")</f>
        <v/>
      </c>
      <c r="D903" s="39" t="str">
        <f>IF(A903="","",ROUND(N('Articles'!H903)+SUMIFS(mv_qty,mv_ref,A903,mv_type,"Entrée",mv_date,"&lt;"&amp;$E$1)-SUMIFS(mv_qty,mv_ref,A903,mv_type,"Sortie",mv_date,"&lt;"&amp;$E$1),6))</f>
        <v/>
      </c>
      <c r="E903" s="39" t="str">
        <f>IF(A903="","",SUMIFS(mv_qty,mv_ref,A903,mv_type,"Entrée",mv_date,"&gt;="&amp;$E$1,mv_date,"&lt;="&amp;$G$1))</f>
        <v/>
      </c>
      <c r="F903" s="39" t="str">
        <f>IF(A903="","",SUMIFS(mv_qty,mv_ref,A903,mv_type,"Sortie",mv_date,"&gt;="&amp;$E$1,mv_date,"&lt;="&amp;$G$1))</f>
        <v/>
      </c>
      <c r="G903" s="39" t="str">
        <f>IF(A903="","",ROUND(D903+E903-F903,6))</f>
        <v/>
      </c>
      <c r="H903" s="40" t="str">
        <f>IF(A903="","",G903*N('Articles'!G903))</f>
        <v/>
      </c>
    </row>
    <row r="904">
      <c r="A904" s="39" t="str">
        <f>IF('Articles'!A904="","",'Articles'!A904)</f>
        <v/>
      </c>
      <c r="B904" s="39" t="str">
        <f>IF(A904="","",'Articles'!B904&amp;"")</f>
        <v/>
      </c>
      <c r="C904" s="39" t="str">
        <f>IF(A904="","",'Articles'!D904&amp;"")</f>
        <v/>
      </c>
      <c r="D904" s="39" t="str">
        <f>IF(A904="","",ROUND(N('Articles'!H904)+SUMIFS(mv_qty,mv_ref,A904,mv_type,"Entrée",mv_date,"&lt;"&amp;$E$1)-SUMIFS(mv_qty,mv_ref,A904,mv_type,"Sortie",mv_date,"&lt;"&amp;$E$1),6))</f>
        <v/>
      </c>
      <c r="E904" s="39" t="str">
        <f>IF(A904="","",SUMIFS(mv_qty,mv_ref,A904,mv_type,"Entrée",mv_date,"&gt;="&amp;$E$1,mv_date,"&lt;="&amp;$G$1))</f>
        <v/>
      </c>
      <c r="F904" s="39" t="str">
        <f>IF(A904="","",SUMIFS(mv_qty,mv_ref,A904,mv_type,"Sortie",mv_date,"&gt;="&amp;$E$1,mv_date,"&lt;="&amp;$G$1))</f>
        <v/>
      </c>
      <c r="G904" s="39" t="str">
        <f>IF(A904="","",ROUND(D904+E904-F904,6))</f>
        <v/>
      </c>
      <c r="H904" s="40" t="str">
        <f>IF(A904="","",G904*N('Articles'!G904))</f>
        <v/>
      </c>
    </row>
    <row r="905">
      <c r="A905" s="39" t="str">
        <f>IF('Articles'!A905="","",'Articles'!A905)</f>
        <v/>
      </c>
      <c r="B905" s="39" t="str">
        <f>IF(A905="","",'Articles'!B905&amp;"")</f>
        <v/>
      </c>
      <c r="C905" s="39" t="str">
        <f>IF(A905="","",'Articles'!D905&amp;"")</f>
        <v/>
      </c>
      <c r="D905" s="39" t="str">
        <f>IF(A905="","",ROUND(N('Articles'!H905)+SUMIFS(mv_qty,mv_ref,A905,mv_type,"Entrée",mv_date,"&lt;"&amp;$E$1)-SUMIFS(mv_qty,mv_ref,A905,mv_type,"Sortie",mv_date,"&lt;"&amp;$E$1),6))</f>
        <v/>
      </c>
      <c r="E905" s="39" t="str">
        <f>IF(A905="","",SUMIFS(mv_qty,mv_ref,A905,mv_type,"Entrée",mv_date,"&gt;="&amp;$E$1,mv_date,"&lt;="&amp;$G$1))</f>
        <v/>
      </c>
      <c r="F905" s="39" t="str">
        <f>IF(A905="","",SUMIFS(mv_qty,mv_ref,A905,mv_type,"Sortie",mv_date,"&gt;="&amp;$E$1,mv_date,"&lt;="&amp;$G$1))</f>
        <v/>
      </c>
      <c r="G905" s="39" t="str">
        <f>IF(A905="","",ROUND(D905+E905-F905,6))</f>
        <v/>
      </c>
      <c r="H905" s="40" t="str">
        <f>IF(A905="","",G905*N('Articles'!G905))</f>
        <v/>
      </c>
    </row>
    <row r="906">
      <c r="A906" s="39" t="str">
        <f>IF('Articles'!A906="","",'Articles'!A906)</f>
        <v/>
      </c>
      <c r="B906" s="39" t="str">
        <f>IF(A906="","",'Articles'!B906&amp;"")</f>
        <v/>
      </c>
      <c r="C906" s="39" t="str">
        <f>IF(A906="","",'Articles'!D906&amp;"")</f>
        <v/>
      </c>
      <c r="D906" s="39" t="str">
        <f>IF(A906="","",ROUND(N('Articles'!H906)+SUMIFS(mv_qty,mv_ref,A906,mv_type,"Entrée",mv_date,"&lt;"&amp;$E$1)-SUMIFS(mv_qty,mv_ref,A906,mv_type,"Sortie",mv_date,"&lt;"&amp;$E$1),6))</f>
        <v/>
      </c>
      <c r="E906" s="39" t="str">
        <f>IF(A906="","",SUMIFS(mv_qty,mv_ref,A906,mv_type,"Entrée",mv_date,"&gt;="&amp;$E$1,mv_date,"&lt;="&amp;$G$1))</f>
        <v/>
      </c>
      <c r="F906" s="39" t="str">
        <f>IF(A906="","",SUMIFS(mv_qty,mv_ref,A906,mv_type,"Sortie",mv_date,"&gt;="&amp;$E$1,mv_date,"&lt;="&amp;$G$1))</f>
        <v/>
      </c>
      <c r="G906" s="39" t="str">
        <f>IF(A906="","",ROUND(D906+E906-F906,6))</f>
        <v/>
      </c>
      <c r="H906" s="40" t="str">
        <f>IF(A906="","",G906*N('Articles'!G906))</f>
        <v/>
      </c>
    </row>
    <row r="907">
      <c r="A907" s="39" t="str">
        <f>IF('Articles'!A907="","",'Articles'!A907)</f>
        <v/>
      </c>
      <c r="B907" s="39" t="str">
        <f>IF(A907="","",'Articles'!B907&amp;"")</f>
        <v/>
      </c>
      <c r="C907" s="39" t="str">
        <f>IF(A907="","",'Articles'!D907&amp;"")</f>
        <v/>
      </c>
      <c r="D907" s="39" t="str">
        <f>IF(A907="","",ROUND(N('Articles'!H907)+SUMIFS(mv_qty,mv_ref,A907,mv_type,"Entrée",mv_date,"&lt;"&amp;$E$1)-SUMIFS(mv_qty,mv_ref,A907,mv_type,"Sortie",mv_date,"&lt;"&amp;$E$1),6))</f>
        <v/>
      </c>
      <c r="E907" s="39" t="str">
        <f>IF(A907="","",SUMIFS(mv_qty,mv_ref,A907,mv_type,"Entrée",mv_date,"&gt;="&amp;$E$1,mv_date,"&lt;="&amp;$G$1))</f>
        <v/>
      </c>
      <c r="F907" s="39" t="str">
        <f>IF(A907="","",SUMIFS(mv_qty,mv_ref,A907,mv_type,"Sortie",mv_date,"&gt;="&amp;$E$1,mv_date,"&lt;="&amp;$G$1))</f>
        <v/>
      </c>
      <c r="G907" s="39" t="str">
        <f>IF(A907="","",ROUND(D907+E907-F907,6))</f>
        <v/>
      </c>
      <c r="H907" s="40" t="str">
        <f>IF(A907="","",G907*N('Articles'!G907))</f>
        <v/>
      </c>
    </row>
    <row r="908">
      <c r="A908" s="39" t="str">
        <f>IF('Articles'!A908="","",'Articles'!A908)</f>
        <v/>
      </c>
      <c r="B908" s="39" t="str">
        <f>IF(A908="","",'Articles'!B908&amp;"")</f>
        <v/>
      </c>
      <c r="C908" s="39" t="str">
        <f>IF(A908="","",'Articles'!D908&amp;"")</f>
        <v/>
      </c>
      <c r="D908" s="39" t="str">
        <f>IF(A908="","",ROUND(N('Articles'!H908)+SUMIFS(mv_qty,mv_ref,A908,mv_type,"Entrée",mv_date,"&lt;"&amp;$E$1)-SUMIFS(mv_qty,mv_ref,A908,mv_type,"Sortie",mv_date,"&lt;"&amp;$E$1),6))</f>
        <v/>
      </c>
      <c r="E908" s="39" t="str">
        <f>IF(A908="","",SUMIFS(mv_qty,mv_ref,A908,mv_type,"Entrée",mv_date,"&gt;="&amp;$E$1,mv_date,"&lt;="&amp;$G$1))</f>
        <v/>
      </c>
      <c r="F908" s="39" t="str">
        <f>IF(A908="","",SUMIFS(mv_qty,mv_ref,A908,mv_type,"Sortie",mv_date,"&gt;="&amp;$E$1,mv_date,"&lt;="&amp;$G$1))</f>
        <v/>
      </c>
      <c r="G908" s="39" t="str">
        <f>IF(A908="","",ROUND(D908+E908-F908,6))</f>
        <v/>
      </c>
      <c r="H908" s="40" t="str">
        <f>IF(A908="","",G908*N('Articles'!G908))</f>
        <v/>
      </c>
    </row>
    <row r="909">
      <c r="A909" s="39" t="str">
        <f>IF('Articles'!A909="","",'Articles'!A909)</f>
        <v/>
      </c>
      <c r="B909" s="39" t="str">
        <f>IF(A909="","",'Articles'!B909&amp;"")</f>
        <v/>
      </c>
      <c r="C909" s="39" t="str">
        <f>IF(A909="","",'Articles'!D909&amp;"")</f>
        <v/>
      </c>
      <c r="D909" s="39" t="str">
        <f>IF(A909="","",ROUND(N('Articles'!H909)+SUMIFS(mv_qty,mv_ref,A909,mv_type,"Entrée",mv_date,"&lt;"&amp;$E$1)-SUMIFS(mv_qty,mv_ref,A909,mv_type,"Sortie",mv_date,"&lt;"&amp;$E$1),6))</f>
        <v/>
      </c>
      <c r="E909" s="39" t="str">
        <f>IF(A909="","",SUMIFS(mv_qty,mv_ref,A909,mv_type,"Entrée",mv_date,"&gt;="&amp;$E$1,mv_date,"&lt;="&amp;$G$1))</f>
        <v/>
      </c>
      <c r="F909" s="39" t="str">
        <f>IF(A909="","",SUMIFS(mv_qty,mv_ref,A909,mv_type,"Sortie",mv_date,"&gt;="&amp;$E$1,mv_date,"&lt;="&amp;$G$1))</f>
        <v/>
      </c>
      <c r="G909" s="39" t="str">
        <f>IF(A909="","",ROUND(D909+E909-F909,6))</f>
        <v/>
      </c>
      <c r="H909" s="40" t="str">
        <f>IF(A909="","",G909*N('Articles'!G909))</f>
        <v/>
      </c>
    </row>
    <row r="910">
      <c r="A910" s="39" t="str">
        <f>IF('Articles'!A910="","",'Articles'!A910)</f>
        <v/>
      </c>
      <c r="B910" s="39" t="str">
        <f>IF(A910="","",'Articles'!B910&amp;"")</f>
        <v/>
      </c>
      <c r="C910" s="39" t="str">
        <f>IF(A910="","",'Articles'!D910&amp;"")</f>
        <v/>
      </c>
      <c r="D910" s="39" t="str">
        <f>IF(A910="","",ROUND(N('Articles'!H910)+SUMIFS(mv_qty,mv_ref,A910,mv_type,"Entrée",mv_date,"&lt;"&amp;$E$1)-SUMIFS(mv_qty,mv_ref,A910,mv_type,"Sortie",mv_date,"&lt;"&amp;$E$1),6))</f>
        <v/>
      </c>
      <c r="E910" s="39" t="str">
        <f>IF(A910="","",SUMIFS(mv_qty,mv_ref,A910,mv_type,"Entrée",mv_date,"&gt;="&amp;$E$1,mv_date,"&lt;="&amp;$G$1))</f>
        <v/>
      </c>
      <c r="F910" s="39" t="str">
        <f>IF(A910="","",SUMIFS(mv_qty,mv_ref,A910,mv_type,"Sortie",mv_date,"&gt;="&amp;$E$1,mv_date,"&lt;="&amp;$G$1))</f>
        <v/>
      </c>
      <c r="G910" s="39" t="str">
        <f>IF(A910="","",ROUND(D910+E910-F910,6))</f>
        <v/>
      </c>
      <c r="H910" s="40" t="str">
        <f>IF(A910="","",G910*N('Articles'!G910))</f>
        <v/>
      </c>
    </row>
    <row r="911">
      <c r="A911" s="39" t="str">
        <f>IF('Articles'!A911="","",'Articles'!A911)</f>
        <v/>
      </c>
      <c r="B911" s="39" t="str">
        <f>IF(A911="","",'Articles'!B911&amp;"")</f>
        <v/>
      </c>
      <c r="C911" s="39" t="str">
        <f>IF(A911="","",'Articles'!D911&amp;"")</f>
        <v/>
      </c>
      <c r="D911" s="39" t="str">
        <f>IF(A911="","",ROUND(N('Articles'!H911)+SUMIFS(mv_qty,mv_ref,A911,mv_type,"Entrée",mv_date,"&lt;"&amp;$E$1)-SUMIFS(mv_qty,mv_ref,A911,mv_type,"Sortie",mv_date,"&lt;"&amp;$E$1),6))</f>
        <v/>
      </c>
      <c r="E911" s="39" t="str">
        <f>IF(A911="","",SUMIFS(mv_qty,mv_ref,A911,mv_type,"Entrée",mv_date,"&gt;="&amp;$E$1,mv_date,"&lt;="&amp;$G$1))</f>
        <v/>
      </c>
      <c r="F911" s="39" t="str">
        <f>IF(A911="","",SUMIFS(mv_qty,mv_ref,A911,mv_type,"Sortie",mv_date,"&gt;="&amp;$E$1,mv_date,"&lt;="&amp;$G$1))</f>
        <v/>
      </c>
      <c r="G911" s="39" t="str">
        <f>IF(A911="","",ROUND(D911+E911-F911,6))</f>
        <v/>
      </c>
      <c r="H911" s="40" t="str">
        <f>IF(A911="","",G911*N('Articles'!G911))</f>
        <v/>
      </c>
    </row>
    <row r="912">
      <c r="A912" s="39" t="str">
        <f>IF('Articles'!A912="","",'Articles'!A912)</f>
        <v/>
      </c>
      <c r="B912" s="39" t="str">
        <f>IF(A912="","",'Articles'!B912&amp;"")</f>
        <v/>
      </c>
      <c r="C912" s="39" t="str">
        <f>IF(A912="","",'Articles'!D912&amp;"")</f>
        <v/>
      </c>
      <c r="D912" s="39" t="str">
        <f>IF(A912="","",ROUND(N('Articles'!H912)+SUMIFS(mv_qty,mv_ref,A912,mv_type,"Entrée",mv_date,"&lt;"&amp;$E$1)-SUMIFS(mv_qty,mv_ref,A912,mv_type,"Sortie",mv_date,"&lt;"&amp;$E$1),6))</f>
        <v/>
      </c>
      <c r="E912" s="39" t="str">
        <f>IF(A912="","",SUMIFS(mv_qty,mv_ref,A912,mv_type,"Entrée",mv_date,"&gt;="&amp;$E$1,mv_date,"&lt;="&amp;$G$1))</f>
        <v/>
      </c>
      <c r="F912" s="39" t="str">
        <f>IF(A912="","",SUMIFS(mv_qty,mv_ref,A912,mv_type,"Sortie",mv_date,"&gt;="&amp;$E$1,mv_date,"&lt;="&amp;$G$1))</f>
        <v/>
      </c>
      <c r="G912" s="39" t="str">
        <f>IF(A912="","",ROUND(D912+E912-F912,6))</f>
        <v/>
      </c>
      <c r="H912" s="40" t="str">
        <f>IF(A912="","",G912*N('Articles'!G912))</f>
        <v/>
      </c>
    </row>
    <row r="913">
      <c r="A913" s="39" t="str">
        <f>IF('Articles'!A913="","",'Articles'!A913)</f>
        <v/>
      </c>
      <c r="B913" s="39" t="str">
        <f>IF(A913="","",'Articles'!B913&amp;"")</f>
        <v/>
      </c>
      <c r="C913" s="39" t="str">
        <f>IF(A913="","",'Articles'!D913&amp;"")</f>
        <v/>
      </c>
      <c r="D913" s="39" t="str">
        <f>IF(A913="","",ROUND(N('Articles'!H913)+SUMIFS(mv_qty,mv_ref,A913,mv_type,"Entrée",mv_date,"&lt;"&amp;$E$1)-SUMIFS(mv_qty,mv_ref,A913,mv_type,"Sortie",mv_date,"&lt;"&amp;$E$1),6))</f>
        <v/>
      </c>
      <c r="E913" s="39" t="str">
        <f>IF(A913="","",SUMIFS(mv_qty,mv_ref,A913,mv_type,"Entrée",mv_date,"&gt;="&amp;$E$1,mv_date,"&lt;="&amp;$G$1))</f>
        <v/>
      </c>
      <c r="F913" s="39" t="str">
        <f>IF(A913="","",SUMIFS(mv_qty,mv_ref,A913,mv_type,"Sortie",mv_date,"&gt;="&amp;$E$1,mv_date,"&lt;="&amp;$G$1))</f>
        <v/>
      </c>
      <c r="G913" s="39" t="str">
        <f>IF(A913="","",ROUND(D913+E913-F913,6))</f>
        <v/>
      </c>
      <c r="H913" s="40" t="str">
        <f>IF(A913="","",G913*N('Articles'!G913))</f>
        <v/>
      </c>
    </row>
    <row r="914">
      <c r="A914" s="39" t="str">
        <f>IF('Articles'!A914="","",'Articles'!A914)</f>
        <v/>
      </c>
      <c r="B914" s="39" t="str">
        <f>IF(A914="","",'Articles'!B914&amp;"")</f>
        <v/>
      </c>
      <c r="C914" s="39" t="str">
        <f>IF(A914="","",'Articles'!D914&amp;"")</f>
        <v/>
      </c>
      <c r="D914" s="39" t="str">
        <f>IF(A914="","",ROUND(N('Articles'!H914)+SUMIFS(mv_qty,mv_ref,A914,mv_type,"Entrée",mv_date,"&lt;"&amp;$E$1)-SUMIFS(mv_qty,mv_ref,A914,mv_type,"Sortie",mv_date,"&lt;"&amp;$E$1),6))</f>
        <v/>
      </c>
      <c r="E914" s="39" t="str">
        <f>IF(A914="","",SUMIFS(mv_qty,mv_ref,A914,mv_type,"Entrée",mv_date,"&gt;="&amp;$E$1,mv_date,"&lt;="&amp;$G$1))</f>
        <v/>
      </c>
      <c r="F914" s="39" t="str">
        <f>IF(A914="","",SUMIFS(mv_qty,mv_ref,A914,mv_type,"Sortie",mv_date,"&gt;="&amp;$E$1,mv_date,"&lt;="&amp;$G$1))</f>
        <v/>
      </c>
      <c r="G914" s="39" t="str">
        <f>IF(A914="","",ROUND(D914+E914-F914,6))</f>
        <v/>
      </c>
      <c r="H914" s="40" t="str">
        <f>IF(A914="","",G914*N('Articles'!G914))</f>
        <v/>
      </c>
    </row>
    <row r="915">
      <c r="A915" s="39" t="str">
        <f>IF('Articles'!A915="","",'Articles'!A915)</f>
        <v/>
      </c>
      <c r="B915" s="39" t="str">
        <f>IF(A915="","",'Articles'!B915&amp;"")</f>
        <v/>
      </c>
      <c r="C915" s="39" t="str">
        <f>IF(A915="","",'Articles'!D915&amp;"")</f>
        <v/>
      </c>
      <c r="D915" s="39" t="str">
        <f>IF(A915="","",ROUND(N('Articles'!H915)+SUMIFS(mv_qty,mv_ref,A915,mv_type,"Entrée",mv_date,"&lt;"&amp;$E$1)-SUMIFS(mv_qty,mv_ref,A915,mv_type,"Sortie",mv_date,"&lt;"&amp;$E$1),6))</f>
        <v/>
      </c>
      <c r="E915" s="39" t="str">
        <f>IF(A915="","",SUMIFS(mv_qty,mv_ref,A915,mv_type,"Entrée",mv_date,"&gt;="&amp;$E$1,mv_date,"&lt;="&amp;$G$1))</f>
        <v/>
      </c>
      <c r="F915" s="39" t="str">
        <f>IF(A915="","",SUMIFS(mv_qty,mv_ref,A915,mv_type,"Sortie",mv_date,"&gt;="&amp;$E$1,mv_date,"&lt;="&amp;$G$1))</f>
        <v/>
      </c>
      <c r="G915" s="39" t="str">
        <f>IF(A915="","",ROUND(D915+E915-F915,6))</f>
        <v/>
      </c>
      <c r="H915" s="40" t="str">
        <f>IF(A915="","",G915*N('Articles'!G915))</f>
        <v/>
      </c>
    </row>
    <row r="916">
      <c r="A916" s="39" t="str">
        <f>IF('Articles'!A916="","",'Articles'!A916)</f>
        <v/>
      </c>
      <c r="B916" s="39" t="str">
        <f>IF(A916="","",'Articles'!B916&amp;"")</f>
        <v/>
      </c>
      <c r="C916" s="39" t="str">
        <f>IF(A916="","",'Articles'!D916&amp;"")</f>
        <v/>
      </c>
      <c r="D916" s="39" t="str">
        <f>IF(A916="","",ROUND(N('Articles'!H916)+SUMIFS(mv_qty,mv_ref,A916,mv_type,"Entrée",mv_date,"&lt;"&amp;$E$1)-SUMIFS(mv_qty,mv_ref,A916,mv_type,"Sortie",mv_date,"&lt;"&amp;$E$1),6))</f>
        <v/>
      </c>
      <c r="E916" s="39" t="str">
        <f>IF(A916="","",SUMIFS(mv_qty,mv_ref,A916,mv_type,"Entrée",mv_date,"&gt;="&amp;$E$1,mv_date,"&lt;="&amp;$G$1))</f>
        <v/>
      </c>
      <c r="F916" s="39" t="str">
        <f>IF(A916="","",SUMIFS(mv_qty,mv_ref,A916,mv_type,"Sortie",mv_date,"&gt;="&amp;$E$1,mv_date,"&lt;="&amp;$G$1))</f>
        <v/>
      </c>
      <c r="G916" s="39" t="str">
        <f>IF(A916="","",ROUND(D916+E916-F916,6))</f>
        <v/>
      </c>
      <c r="H916" s="40" t="str">
        <f>IF(A916="","",G916*N('Articles'!G916))</f>
        <v/>
      </c>
    </row>
    <row r="917">
      <c r="A917" s="39" t="str">
        <f>IF('Articles'!A917="","",'Articles'!A917)</f>
        <v/>
      </c>
      <c r="B917" s="39" t="str">
        <f>IF(A917="","",'Articles'!B917&amp;"")</f>
        <v/>
      </c>
      <c r="C917" s="39" t="str">
        <f>IF(A917="","",'Articles'!D917&amp;"")</f>
        <v/>
      </c>
      <c r="D917" s="39" t="str">
        <f>IF(A917="","",ROUND(N('Articles'!H917)+SUMIFS(mv_qty,mv_ref,A917,mv_type,"Entrée",mv_date,"&lt;"&amp;$E$1)-SUMIFS(mv_qty,mv_ref,A917,mv_type,"Sortie",mv_date,"&lt;"&amp;$E$1),6))</f>
        <v/>
      </c>
      <c r="E917" s="39" t="str">
        <f>IF(A917="","",SUMIFS(mv_qty,mv_ref,A917,mv_type,"Entrée",mv_date,"&gt;="&amp;$E$1,mv_date,"&lt;="&amp;$G$1))</f>
        <v/>
      </c>
      <c r="F917" s="39" t="str">
        <f>IF(A917="","",SUMIFS(mv_qty,mv_ref,A917,mv_type,"Sortie",mv_date,"&gt;="&amp;$E$1,mv_date,"&lt;="&amp;$G$1))</f>
        <v/>
      </c>
      <c r="G917" s="39" t="str">
        <f>IF(A917="","",ROUND(D917+E917-F917,6))</f>
        <v/>
      </c>
      <c r="H917" s="40" t="str">
        <f>IF(A917="","",G917*N('Articles'!G917))</f>
        <v/>
      </c>
    </row>
    <row r="918">
      <c r="A918" s="39" t="str">
        <f>IF('Articles'!A918="","",'Articles'!A918)</f>
        <v/>
      </c>
      <c r="B918" s="39" t="str">
        <f>IF(A918="","",'Articles'!B918&amp;"")</f>
        <v/>
      </c>
      <c r="C918" s="39" t="str">
        <f>IF(A918="","",'Articles'!D918&amp;"")</f>
        <v/>
      </c>
      <c r="D918" s="39" t="str">
        <f>IF(A918="","",ROUND(N('Articles'!H918)+SUMIFS(mv_qty,mv_ref,A918,mv_type,"Entrée",mv_date,"&lt;"&amp;$E$1)-SUMIFS(mv_qty,mv_ref,A918,mv_type,"Sortie",mv_date,"&lt;"&amp;$E$1),6))</f>
        <v/>
      </c>
      <c r="E918" s="39" t="str">
        <f>IF(A918="","",SUMIFS(mv_qty,mv_ref,A918,mv_type,"Entrée",mv_date,"&gt;="&amp;$E$1,mv_date,"&lt;="&amp;$G$1))</f>
        <v/>
      </c>
      <c r="F918" s="39" t="str">
        <f>IF(A918="","",SUMIFS(mv_qty,mv_ref,A918,mv_type,"Sortie",mv_date,"&gt;="&amp;$E$1,mv_date,"&lt;="&amp;$G$1))</f>
        <v/>
      </c>
      <c r="G918" s="39" t="str">
        <f>IF(A918="","",ROUND(D918+E918-F918,6))</f>
        <v/>
      </c>
      <c r="H918" s="40" t="str">
        <f>IF(A918="","",G918*N('Articles'!G918))</f>
        <v/>
      </c>
    </row>
    <row r="919">
      <c r="A919" s="39" t="str">
        <f>IF('Articles'!A919="","",'Articles'!A919)</f>
        <v/>
      </c>
      <c r="B919" s="39" t="str">
        <f>IF(A919="","",'Articles'!B919&amp;"")</f>
        <v/>
      </c>
      <c r="C919" s="39" t="str">
        <f>IF(A919="","",'Articles'!D919&amp;"")</f>
        <v/>
      </c>
      <c r="D919" s="39" t="str">
        <f>IF(A919="","",ROUND(N('Articles'!H919)+SUMIFS(mv_qty,mv_ref,A919,mv_type,"Entrée",mv_date,"&lt;"&amp;$E$1)-SUMIFS(mv_qty,mv_ref,A919,mv_type,"Sortie",mv_date,"&lt;"&amp;$E$1),6))</f>
        <v/>
      </c>
      <c r="E919" s="39" t="str">
        <f>IF(A919="","",SUMIFS(mv_qty,mv_ref,A919,mv_type,"Entrée",mv_date,"&gt;="&amp;$E$1,mv_date,"&lt;="&amp;$G$1))</f>
        <v/>
      </c>
      <c r="F919" s="39" t="str">
        <f>IF(A919="","",SUMIFS(mv_qty,mv_ref,A919,mv_type,"Sortie",mv_date,"&gt;="&amp;$E$1,mv_date,"&lt;="&amp;$G$1))</f>
        <v/>
      </c>
      <c r="G919" s="39" t="str">
        <f>IF(A919="","",ROUND(D919+E919-F919,6))</f>
        <v/>
      </c>
      <c r="H919" s="40" t="str">
        <f>IF(A919="","",G919*N('Articles'!G919))</f>
        <v/>
      </c>
    </row>
    <row r="920">
      <c r="A920" s="39" t="str">
        <f>IF('Articles'!A920="","",'Articles'!A920)</f>
        <v/>
      </c>
      <c r="B920" s="39" t="str">
        <f>IF(A920="","",'Articles'!B920&amp;"")</f>
        <v/>
      </c>
      <c r="C920" s="39" t="str">
        <f>IF(A920="","",'Articles'!D920&amp;"")</f>
        <v/>
      </c>
      <c r="D920" s="39" t="str">
        <f>IF(A920="","",ROUND(N('Articles'!H920)+SUMIFS(mv_qty,mv_ref,A920,mv_type,"Entrée",mv_date,"&lt;"&amp;$E$1)-SUMIFS(mv_qty,mv_ref,A920,mv_type,"Sortie",mv_date,"&lt;"&amp;$E$1),6))</f>
        <v/>
      </c>
      <c r="E920" s="39" t="str">
        <f>IF(A920="","",SUMIFS(mv_qty,mv_ref,A920,mv_type,"Entrée",mv_date,"&gt;="&amp;$E$1,mv_date,"&lt;="&amp;$G$1))</f>
        <v/>
      </c>
      <c r="F920" s="39" t="str">
        <f>IF(A920="","",SUMIFS(mv_qty,mv_ref,A920,mv_type,"Sortie",mv_date,"&gt;="&amp;$E$1,mv_date,"&lt;="&amp;$G$1))</f>
        <v/>
      </c>
      <c r="G920" s="39" t="str">
        <f>IF(A920="","",ROUND(D920+E920-F920,6))</f>
        <v/>
      </c>
      <c r="H920" s="40" t="str">
        <f>IF(A920="","",G920*N('Articles'!G920))</f>
        <v/>
      </c>
    </row>
    <row r="921">
      <c r="A921" s="39" t="str">
        <f>IF('Articles'!A921="","",'Articles'!A921)</f>
        <v/>
      </c>
      <c r="B921" s="39" t="str">
        <f>IF(A921="","",'Articles'!B921&amp;"")</f>
        <v/>
      </c>
      <c r="C921" s="39" t="str">
        <f>IF(A921="","",'Articles'!D921&amp;"")</f>
        <v/>
      </c>
      <c r="D921" s="39" t="str">
        <f>IF(A921="","",ROUND(N('Articles'!H921)+SUMIFS(mv_qty,mv_ref,A921,mv_type,"Entrée",mv_date,"&lt;"&amp;$E$1)-SUMIFS(mv_qty,mv_ref,A921,mv_type,"Sortie",mv_date,"&lt;"&amp;$E$1),6))</f>
        <v/>
      </c>
      <c r="E921" s="39" t="str">
        <f>IF(A921="","",SUMIFS(mv_qty,mv_ref,A921,mv_type,"Entrée",mv_date,"&gt;="&amp;$E$1,mv_date,"&lt;="&amp;$G$1))</f>
        <v/>
      </c>
      <c r="F921" s="39" t="str">
        <f>IF(A921="","",SUMIFS(mv_qty,mv_ref,A921,mv_type,"Sortie",mv_date,"&gt;="&amp;$E$1,mv_date,"&lt;="&amp;$G$1))</f>
        <v/>
      </c>
      <c r="G921" s="39" t="str">
        <f>IF(A921="","",ROUND(D921+E921-F921,6))</f>
        <v/>
      </c>
      <c r="H921" s="40" t="str">
        <f>IF(A921="","",G921*N('Articles'!G921))</f>
        <v/>
      </c>
    </row>
    <row r="922">
      <c r="A922" s="39" t="str">
        <f>IF('Articles'!A922="","",'Articles'!A922)</f>
        <v/>
      </c>
      <c r="B922" s="39" t="str">
        <f>IF(A922="","",'Articles'!B922&amp;"")</f>
        <v/>
      </c>
      <c r="C922" s="39" t="str">
        <f>IF(A922="","",'Articles'!D922&amp;"")</f>
        <v/>
      </c>
      <c r="D922" s="39" t="str">
        <f>IF(A922="","",ROUND(N('Articles'!H922)+SUMIFS(mv_qty,mv_ref,A922,mv_type,"Entrée",mv_date,"&lt;"&amp;$E$1)-SUMIFS(mv_qty,mv_ref,A922,mv_type,"Sortie",mv_date,"&lt;"&amp;$E$1),6))</f>
        <v/>
      </c>
      <c r="E922" s="39" t="str">
        <f>IF(A922="","",SUMIFS(mv_qty,mv_ref,A922,mv_type,"Entrée",mv_date,"&gt;="&amp;$E$1,mv_date,"&lt;="&amp;$G$1))</f>
        <v/>
      </c>
      <c r="F922" s="39" t="str">
        <f>IF(A922="","",SUMIFS(mv_qty,mv_ref,A922,mv_type,"Sortie",mv_date,"&gt;="&amp;$E$1,mv_date,"&lt;="&amp;$G$1))</f>
        <v/>
      </c>
      <c r="G922" s="39" t="str">
        <f>IF(A922="","",ROUND(D922+E922-F922,6))</f>
        <v/>
      </c>
      <c r="H922" s="40" t="str">
        <f>IF(A922="","",G922*N('Articles'!G922))</f>
        <v/>
      </c>
    </row>
    <row r="923">
      <c r="A923" s="39" t="str">
        <f>IF('Articles'!A923="","",'Articles'!A923)</f>
        <v/>
      </c>
      <c r="B923" s="39" t="str">
        <f>IF(A923="","",'Articles'!B923&amp;"")</f>
        <v/>
      </c>
      <c r="C923" s="39" t="str">
        <f>IF(A923="","",'Articles'!D923&amp;"")</f>
        <v/>
      </c>
      <c r="D923" s="39" t="str">
        <f>IF(A923="","",ROUND(N('Articles'!H923)+SUMIFS(mv_qty,mv_ref,A923,mv_type,"Entrée",mv_date,"&lt;"&amp;$E$1)-SUMIFS(mv_qty,mv_ref,A923,mv_type,"Sortie",mv_date,"&lt;"&amp;$E$1),6))</f>
        <v/>
      </c>
      <c r="E923" s="39" t="str">
        <f>IF(A923="","",SUMIFS(mv_qty,mv_ref,A923,mv_type,"Entrée",mv_date,"&gt;="&amp;$E$1,mv_date,"&lt;="&amp;$G$1))</f>
        <v/>
      </c>
      <c r="F923" s="39" t="str">
        <f>IF(A923="","",SUMIFS(mv_qty,mv_ref,A923,mv_type,"Sortie",mv_date,"&gt;="&amp;$E$1,mv_date,"&lt;="&amp;$G$1))</f>
        <v/>
      </c>
      <c r="G923" s="39" t="str">
        <f>IF(A923="","",ROUND(D923+E923-F923,6))</f>
        <v/>
      </c>
      <c r="H923" s="40" t="str">
        <f>IF(A923="","",G923*N('Articles'!G923))</f>
        <v/>
      </c>
    </row>
    <row r="924">
      <c r="A924" s="39" t="str">
        <f>IF('Articles'!A924="","",'Articles'!A924)</f>
        <v/>
      </c>
      <c r="B924" s="39" t="str">
        <f>IF(A924="","",'Articles'!B924&amp;"")</f>
        <v/>
      </c>
      <c r="C924" s="39" t="str">
        <f>IF(A924="","",'Articles'!D924&amp;"")</f>
        <v/>
      </c>
      <c r="D924" s="39" t="str">
        <f>IF(A924="","",ROUND(N('Articles'!H924)+SUMIFS(mv_qty,mv_ref,A924,mv_type,"Entrée",mv_date,"&lt;"&amp;$E$1)-SUMIFS(mv_qty,mv_ref,A924,mv_type,"Sortie",mv_date,"&lt;"&amp;$E$1),6))</f>
        <v/>
      </c>
      <c r="E924" s="39" t="str">
        <f>IF(A924="","",SUMIFS(mv_qty,mv_ref,A924,mv_type,"Entrée",mv_date,"&gt;="&amp;$E$1,mv_date,"&lt;="&amp;$G$1))</f>
        <v/>
      </c>
      <c r="F924" s="39" t="str">
        <f>IF(A924="","",SUMIFS(mv_qty,mv_ref,A924,mv_type,"Sortie",mv_date,"&gt;="&amp;$E$1,mv_date,"&lt;="&amp;$G$1))</f>
        <v/>
      </c>
      <c r="G924" s="39" t="str">
        <f>IF(A924="","",ROUND(D924+E924-F924,6))</f>
        <v/>
      </c>
      <c r="H924" s="40" t="str">
        <f>IF(A924="","",G924*N('Articles'!G924))</f>
        <v/>
      </c>
    </row>
    <row r="925">
      <c r="A925" s="39" t="str">
        <f>IF('Articles'!A925="","",'Articles'!A925)</f>
        <v/>
      </c>
      <c r="B925" s="39" t="str">
        <f>IF(A925="","",'Articles'!B925&amp;"")</f>
        <v/>
      </c>
      <c r="C925" s="39" t="str">
        <f>IF(A925="","",'Articles'!D925&amp;"")</f>
        <v/>
      </c>
      <c r="D925" s="39" t="str">
        <f>IF(A925="","",ROUND(N('Articles'!H925)+SUMIFS(mv_qty,mv_ref,A925,mv_type,"Entrée",mv_date,"&lt;"&amp;$E$1)-SUMIFS(mv_qty,mv_ref,A925,mv_type,"Sortie",mv_date,"&lt;"&amp;$E$1),6))</f>
        <v/>
      </c>
      <c r="E925" s="39" t="str">
        <f>IF(A925="","",SUMIFS(mv_qty,mv_ref,A925,mv_type,"Entrée",mv_date,"&gt;="&amp;$E$1,mv_date,"&lt;="&amp;$G$1))</f>
        <v/>
      </c>
      <c r="F925" s="39" t="str">
        <f>IF(A925="","",SUMIFS(mv_qty,mv_ref,A925,mv_type,"Sortie",mv_date,"&gt;="&amp;$E$1,mv_date,"&lt;="&amp;$G$1))</f>
        <v/>
      </c>
      <c r="G925" s="39" t="str">
        <f>IF(A925="","",ROUND(D925+E925-F925,6))</f>
        <v/>
      </c>
      <c r="H925" s="40" t="str">
        <f>IF(A925="","",G925*N('Articles'!G925))</f>
        <v/>
      </c>
    </row>
    <row r="926">
      <c r="A926" s="39" t="str">
        <f>IF('Articles'!A926="","",'Articles'!A926)</f>
        <v/>
      </c>
      <c r="B926" s="39" t="str">
        <f>IF(A926="","",'Articles'!B926&amp;"")</f>
        <v/>
      </c>
      <c r="C926" s="39" t="str">
        <f>IF(A926="","",'Articles'!D926&amp;"")</f>
        <v/>
      </c>
      <c r="D926" s="39" t="str">
        <f>IF(A926="","",ROUND(N('Articles'!H926)+SUMIFS(mv_qty,mv_ref,A926,mv_type,"Entrée",mv_date,"&lt;"&amp;$E$1)-SUMIFS(mv_qty,mv_ref,A926,mv_type,"Sortie",mv_date,"&lt;"&amp;$E$1),6))</f>
        <v/>
      </c>
      <c r="E926" s="39" t="str">
        <f>IF(A926="","",SUMIFS(mv_qty,mv_ref,A926,mv_type,"Entrée",mv_date,"&gt;="&amp;$E$1,mv_date,"&lt;="&amp;$G$1))</f>
        <v/>
      </c>
      <c r="F926" s="39" t="str">
        <f>IF(A926="","",SUMIFS(mv_qty,mv_ref,A926,mv_type,"Sortie",mv_date,"&gt;="&amp;$E$1,mv_date,"&lt;="&amp;$G$1))</f>
        <v/>
      </c>
      <c r="G926" s="39" t="str">
        <f>IF(A926="","",ROUND(D926+E926-F926,6))</f>
        <v/>
      </c>
      <c r="H926" s="40" t="str">
        <f>IF(A926="","",G926*N('Articles'!G926))</f>
        <v/>
      </c>
    </row>
    <row r="927">
      <c r="A927" s="39" t="str">
        <f>IF('Articles'!A927="","",'Articles'!A927)</f>
        <v/>
      </c>
      <c r="B927" s="39" t="str">
        <f>IF(A927="","",'Articles'!B927&amp;"")</f>
        <v/>
      </c>
      <c r="C927" s="39" t="str">
        <f>IF(A927="","",'Articles'!D927&amp;"")</f>
        <v/>
      </c>
      <c r="D927" s="39" t="str">
        <f>IF(A927="","",ROUND(N('Articles'!H927)+SUMIFS(mv_qty,mv_ref,A927,mv_type,"Entrée",mv_date,"&lt;"&amp;$E$1)-SUMIFS(mv_qty,mv_ref,A927,mv_type,"Sortie",mv_date,"&lt;"&amp;$E$1),6))</f>
        <v/>
      </c>
      <c r="E927" s="39" t="str">
        <f>IF(A927="","",SUMIFS(mv_qty,mv_ref,A927,mv_type,"Entrée",mv_date,"&gt;="&amp;$E$1,mv_date,"&lt;="&amp;$G$1))</f>
        <v/>
      </c>
      <c r="F927" s="39" t="str">
        <f>IF(A927="","",SUMIFS(mv_qty,mv_ref,A927,mv_type,"Sortie",mv_date,"&gt;="&amp;$E$1,mv_date,"&lt;="&amp;$G$1))</f>
        <v/>
      </c>
      <c r="G927" s="39" t="str">
        <f>IF(A927="","",ROUND(D927+E927-F927,6))</f>
        <v/>
      </c>
      <c r="H927" s="40" t="str">
        <f>IF(A927="","",G927*N('Articles'!G927))</f>
        <v/>
      </c>
    </row>
    <row r="928">
      <c r="A928" s="39" t="str">
        <f>IF('Articles'!A928="","",'Articles'!A928)</f>
        <v/>
      </c>
      <c r="B928" s="39" t="str">
        <f>IF(A928="","",'Articles'!B928&amp;"")</f>
        <v/>
      </c>
      <c r="C928" s="39" t="str">
        <f>IF(A928="","",'Articles'!D928&amp;"")</f>
        <v/>
      </c>
      <c r="D928" s="39" t="str">
        <f>IF(A928="","",ROUND(N('Articles'!H928)+SUMIFS(mv_qty,mv_ref,A928,mv_type,"Entrée",mv_date,"&lt;"&amp;$E$1)-SUMIFS(mv_qty,mv_ref,A928,mv_type,"Sortie",mv_date,"&lt;"&amp;$E$1),6))</f>
        <v/>
      </c>
      <c r="E928" s="39" t="str">
        <f>IF(A928="","",SUMIFS(mv_qty,mv_ref,A928,mv_type,"Entrée",mv_date,"&gt;="&amp;$E$1,mv_date,"&lt;="&amp;$G$1))</f>
        <v/>
      </c>
      <c r="F928" s="39" t="str">
        <f>IF(A928="","",SUMIFS(mv_qty,mv_ref,A928,mv_type,"Sortie",mv_date,"&gt;="&amp;$E$1,mv_date,"&lt;="&amp;$G$1))</f>
        <v/>
      </c>
      <c r="G928" s="39" t="str">
        <f>IF(A928="","",ROUND(D928+E928-F928,6))</f>
        <v/>
      </c>
      <c r="H928" s="40" t="str">
        <f>IF(A928="","",G928*N('Articles'!G928))</f>
        <v/>
      </c>
    </row>
    <row r="929">
      <c r="A929" s="39" t="str">
        <f>IF('Articles'!A929="","",'Articles'!A929)</f>
        <v/>
      </c>
      <c r="B929" s="39" t="str">
        <f>IF(A929="","",'Articles'!B929&amp;"")</f>
        <v/>
      </c>
      <c r="C929" s="39" t="str">
        <f>IF(A929="","",'Articles'!D929&amp;"")</f>
        <v/>
      </c>
      <c r="D929" s="39" t="str">
        <f>IF(A929="","",ROUND(N('Articles'!H929)+SUMIFS(mv_qty,mv_ref,A929,mv_type,"Entrée",mv_date,"&lt;"&amp;$E$1)-SUMIFS(mv_qty,mv_ref,A929,mv_type,"Sortie",mv_date,"&lt;"&amp;$E$1),6))</f>
        <v/>
      </c>
      <c r="E929" s="39" t="str">
        <f>IF(A929="","",SUMIFS(mv_qty,mv_ref,A929,mv_type,"Entrée",mv_date,"&gt;="&amp;$E$1,mv_date,"&lt;="&amp;$G$1))</f>
        <v/>
      </c>
      <c r="F929" s="39" t="str">
        <f>IF(A929="","",SUMIFS(mv_qty,mv_ref,A929,mv_type,"Sortie",mv_date,"&gt;="&amp;$E$1,mv_date,"&lt;="&amp;$G$1))</f>
        <v/>
      </c>
      <c r="G929" s="39" t="str">
        <f>IF(A929="","",ROUND(D929+E929-F929,6))</f>
        <v/>
      </c>
      <c r="H929" s="40" t="str">
        <f>IF(A929="","",G929*N('Articles'!G929))</f>
        <v/>
      </c>
    </row>
    <row r="930">
      <c r="A930" s="39" t="str">
        <f>IF('Articles'!A930="","",'Articles'!A930)</f>
        <v/>
      </c>
      <c r="B930" s="39" t="str">
        <f>IF(A930="","",'Articles'!B930&amp;"")</f>
        <v/>
      </c>
      <c r="C930" s="39" t="str">
        <f>IF(A930="","",'Articles'!D930&amp;"")</f>
        <v/>
      </c>
      <c r="D930" s="39" t="str">
        <f>IF(A930="","",ROUND(N('Articles'!H930)+SUMIFS(mv_qty,mv_ref,A930,mv_type,"Entrée",mv_date,"&lt;"&amp;$E$1)-SUMIFS(mv_qty,mv_ref,A930,mv_type,"Sortie",mv_date,"&lt;"&amp;$E$1),6))</f>
        <v/>
      </c>
      <c r="E930" s="39" t="str">
        <f>IF(A930="","",SUMIFS(mv_qty,mv_ref,A930,mv_type,"Entrée",mv_date,"&gt;="&amp;$E$1,mv_date,"&lt;="&amp;$G$1))</f>
        <v/>
      </c>
      <c r="F930" s="39" t="str">
        <f>IF(A930="","",SUMIFS(mv_qty,mv_ref,A930,mv_type,"Sortie",mv_date,"&gt;="&amp;$E$1,mv_date,"&lt;="&amp;$G$1))</f>
        <v/>
      </c>
      <c r="G930" s="39" t="str">
        <f>IF(A930="","",ROUND(D930+E930-F930,6))</f>
        <v/>
      </c>
      <c r="H930" s="40" t="str">
        <f>IF(A930="","",G930*N('Articles'!G930))</f>
        <v/>
      </c>
    </row>
    <row r="931">
      <c r="A931" s="39" t="str">
        <f>IF('Articles'!A931="","",'Articles'!A931)</f>
        <v/>
      </c>
      <c r="B931" s="39" t="str">
        <f>IF(A931="","",'Articles'!B931&amp;"")</f>
        <v/>
      </c>
      <c r="C931" s="39" t="str">
        <f>IF(A931="","",'Articles'!D931&amp;"")</f>
        <v/>
      </c>
      <c r="D931" s="39" t="str">
        <f>IF(A931="","",ROUND(N('Articles'!H931)+SUMIFS(mv_qty,mv_ref,A931,mv_type,"Entrée",mv_date,"&lt;"&amp;$E$1)-SUMIFS(mv_qty,mv_ref,A931,mv_type,"Sortie",mv_date,"&lt;"&amp;$E$1),6))</f>
        <v/>
      </c>
      <c r="E931" s="39" t="str">
        <f>IF(A931="","",SUMIFS(mv_qty,mv_ref,A931,mv_type,"Entrée",mv_date,"&gt;="&amp;$E$1,mv_date,"&lt;="&amp;$G$1))</f>
        <v/>
      </c>
      <c r="F931" s="39" t="str">
        <f>IF(A931="","",SUMIFS(mv_qty,mv_ref,A931,mv_type,"Sortie",mv_date,"&gt;="&amp;$E$1,mv_date,"&lt;="&amp;$G$1))</f>
        <v/>
      </c>
      <c r="G931" s="39" t="str">
        <f>IF(A931="","",ROUND(D931+E931-F931,6))</f>
        <v/>
      </c>
      <c r="H931" s="40" t="str">
        <f>IF(A931="","",G931*N('Articles'!G931))</f>
        <v/>
      </c>
    </row>
    <row r="932">
      <c r="A932" s="39" t="str">
        <f>IF('Articles'!A932="","",'Articles'!A932)</f>
        <v/>
      </c>
      <c r="B932" s="39" t="str">
        <f>IF(A932="","",'Articles'!B932&amp;"")</f>
        <v/>
      </c>
      <c r="C932" s="39" t="str">
        <f>IF(A932="","",'Articles'!D932&amp;"")</f>
        <v/>
      </c>
      <c r="D932" s="39" t="str">
        <f>IF(A932="","",ROUND(N('Articles'!H932)+SUMIFS(mv_qty,mv_ref,A932,mv_type,"Entrée",mv_date,"&lt;"&amp;$E$1)-SUMIFS(mv_qty,mv_ref,A932,mv_type,"Sortie",mv_date,"&lt;"&amp;$E$1),6))</f>
        <v/>
      </c>
      <c r="E932" s="39" t="str">
        <f>IF(A932="","",SUMIFS(mv_qty,mv_ref,A932,mv_type,"Entrée",mv_date,"&gt;="&amp;$E$1,mv_date,"&lt;="&amp;$G$1))</f>
        <v/>
      </c>
      <c r="F932" s="39" t="str">
        <f>IF(A932="","",SUMIFS(mv_qty,mv_ref,A932,mv_type,"Sortie",mv_date,"&gt;="&amp;$E$1,mv_date,"&lt;="&amp;$G$1))</f>
        <v/>
      </c>
      <c r="G932" s="39" t="str">
        <f>IF(A932="","",ROUND(D932+E932-F932,6))</f>
        <v/>
      </c>
      <c r="H932" s="40" t="str">
        <f>IF(A932="","",G932*N('Articles'!G932))</f>
        <v/>
      </c>
    </row>
    <row r="933">
      <c r="A933" s="39" t="str">
        <f>IF('Articles'!A933="","",'Articles'!A933)</f>
        <v/>
      </c>
      <c r="B933" s="39" t="str">
        <f>IF(A933="","",'Articles'!B933&amp;"")</f>
        <v/>
      </c>
      <c r="C933" s="39" t="str">
        <f>IF(A933="","",'Articles'!D933&amp;"")</f>
        <v/>
      </c>
      <c r="D933" s="39" t="str">
        <f>IF(A933="","",ROUND(N('Articles'!H933)+SUMIFS(mv_qty,mv_ref,A933,mv_type,"Entrée",mv_date,"&lt;"&amp;$E$1)-SUMIFS(mv_qty,mv_ref,A933,mv_type,"Sortie",mv_date,"&lt;"&amp;$E$1),6))</f>
        <v/>
      </c>
      <c r="E933" s="39" t="str">
        <f>IF(A933="","",SUMIFS(mv_qty,mv_ref,A933,mv_type,"Entrée",mv_date,"&gt;="&amp;$E$1,mv_date,"&lt;="&amp;$G$1))</f>
        <v/>
      </c>
      <c r="F933" s="39" t="str">
        <f>IF(A933="","",SUMIFS(mv_qty,mv_ref,A933,mv_type,"Sortie",mv_date,"&gt;="&amp;$E$1,mv_date,"&lt;="&amp;$G$1))</f>
        <v/>
      </c>
      <c r="G933" s="39" t="str">
        <f>IF(A933="","",ROUND(D933+E933-F933,6))</f>
        <v/>
      </c>
      <c r="H933" s="40" t="str">
        <f>IF(A933="","",G933*N('Articles'!G933))</f>
        <v/>
      </c>
    </row>
    <row r="934">
      <c r="A934" s="39" t="str">
        <f>IF('Articles'!A934="","",'Articles'!A934)</f>
        <v/>
      </c>
      <c r="B934" s="39" t="str">
        <f>IF(A934="","",'Articles'!B934&amp;"")</f>
        <v/>
      </c>
      <c r="C934" s="39" t="str">
        <f>IF(A934="","",'Articles'!D934&amp;"")</f>
        <v/>
      </c>
      <c r="D934" s="39" t="str">
        <f>IF(A934="","",ROUND(N('Articles'!H934)+SUMIFS(mv_qty,mv_ref,A934,mv_type,"Entrée",mv_date,"&lt;"&amp;$E$1)-SUMIFS(mv_qty,mv_ref,A934,mv_type,"Sortie",mv_date,"&lt;"&amp;$E$1),6))</f>
        <v/>
      </c>
      <c r="E934" s="39" t="str">
        <f>IF(A934="","",SUMIFS(mv_qty,mv_ref,A934,mv_type,"Entrée",mv_date,"&gt;="&amp;$E$1,mv_date,"&lt;="&amp;$G$1))</f>
        <v/>
      </c>
      <c r="F934" s="39" t="str">
        <f>IF(A934="","",SUMIFS(mv_qty,mv_ref,A934,mv_type,"Sortie",mv_date,"&gt;="&amp;$E$1,mv_date,"&lt;="&amp;$G$1))</f>
        <v/>
      </c>
      <c r="G934" s="39" t="str">
        <f>IF(A934="","",ROUND(D934+E934-F934,6))</f>
        <v/>
      </c>
      <c r="H934" s="40" t="str">
        <f>IF(A934="","",G934*N('Articles'!G934))</f>
        <v/>
      </c>
    </row>
    <row r="935">
      <c r="A935" s="39" t="str">
        <f>IF('Articles'!A935="","",'Articles'!A935)</f>
        <v/>
      </c>
      <c r="B935" s="39" t="str">
        <f>IF(A935="","",'Articles'!B935&amp;"")</f>
        <v/>
      </c>
      <c r="C935" s="39" t="str">
        <f>IF(A935="","",'Articles'!D935&amp;"")</f>
        <v/>
      </c>
      <c r="D935" s="39" t="str">
        <f>IF(A935="","",ROUND(N('Articles'!H935)+SUMIFS(mv_qty,mv_ref,A935,mv_type,"Entrée",mv_date,"&lt;"&amp;$E$1)-SUMIFS(mv_qty,mv_ref,A935,mv_type,"Sortie",mv_date,"&lt;"&amp;$E$1),6))</f>
        <v/>
      </c>
      <c r="E935" s="39" t="str">
        <f>IF(A935="","",SUMIFS(mv_qty,mv_ref,A935,mv_type,"Entrée",mv_date,"&gt;="&amp;$E$1,mv_date,"&lt;="&amp;$G$1))</f>
        <v/>
      </c>
      <c r="F935" s="39" t="str">
        <f>IF(A935="","",SUMIFS(mv_qty,mv_ref,A935,mv_type,"Sortie",mv_date,"&gt;="&amp;$E$1,mv_date,"&lt;="&amp;$G$1))</f>
        <v/>
      </c>
      <c r="G935" s="39" t="str">
        <f>IF(A935="","",ROUND(D935+E935-F935,6))</f>
        <v/>
      </c>
      <c r="H935" s="40" t="str">
        <f>IF(A935="","",G935*N('Articles'!G935))</f>
        <v/>
      </c>
    </row>
    <row r="936">
      <c r="A936" s="39" t="str">
        <f>IF('Articles'!A936="","",'Articles'!A936)</f>
        <v/>
      </c>
      <c r="B936" s="39" t="str">
        <f>IF(A936="","",'Articles'!B936&amp;"")</f>
        <v/>
      </c>
      <c r="C936" s="39" t="str">
        <f>IF(A936="","",'Articles'!D936&amp;"")</f>
        <v/>
      </c>
      <c r="D936" s="39" t="str">
        <f>IF(A936="","",ROUND(N('Articles'!H936)+SUMIFS(mv_qty,mv_ref,A936,mv_type,"Entrée",mv_date,"&lt;"&amp;$E$1)-SUMIFS(mv_qty,mv_ref,A936,mv_type,"Sortie",mv_date,"&lt;"&amp;$E$1),6))</f>
        <v/>
      </c>
      <c r="E936" s="39" t="str">
        <f>IF(A936="","",SUMIFS(mv_qty,mv_ref,A936,mv_type,"Entrée",mv_date,"&gt;="&amp;$E$1,mv_date,"&lt;="&amp;$G$1))</f>
        <v/>
      </c>
      <c r="F936" s="39" t="str">
        <f>IF(A936="","",SUMIFS(mv_qty,mv_ref,A936,mv_type,"Sortie",mv_date,"&gt;="&amp;$E$1,mv_date,"&lt;="&amp;$G$1))</f>
        <v/>
      </c>
      <c r="G936" s="39" t="str">
        <f>IF(A936="","",ROUND(D936+E936-F936,6))</f>
        <v/>
      </c>
      <c r="H936" s="40" t="str">
        <f>IF(A936="","",G936*N('Articles'!G936))</f>
        <v/>
      </c>
    </row>
    <row r="937">
      <c r="A937" s="39" t="str">
        <f>IF('Articles'!A937="","",'Articles'!A937)</f>
        <v/>
      </c>
      <c r="B937" s="39" t="str">
        <f>IF(A937="","",'Articles'!B937&amp;"")</f>
        <v/>
      </c>
      <c r="C937" s="39" t="str">
        <f>IF(A937="","",'Articles'!D937&amp;"")</f>
        <v/>
      </c>
      <c r="D937" s="39" t="str">
        <f>IF(A937="","",ROUND(N('Articles'!H937)+SUMIFS(mv_qty,mv_ref,A937,mv_type,"Entrée",mv_date,"&lt;"&amp;$E$1)-SUMIFS(mv_qty,mv_ref,A937,mv_type,"Sortie",mv_date,"&lt;"&amp;$E$1),6))</f>
        <v/>
      </c>
      <c r="E937" s="39" t="str">
        <f>IF(A937="","",SUMIFS(mv_qty,mv_ref,A937,mv_type,"Entrée",mv_date,"&gt;="&amp;$E$1,mv_date,"&lt;="&amp;$G$1))</f>
        <v/>
      </c>
      <c r="F937" s="39" t="str">
        <f>IF(A937="","",SUMIFS(mv_qty,mv_ref,A937,mv_type,"Sortie",mv_date,"&gt;="&amp;$E$1,mv_date,"&lt;="&amp;$G$1))</f>
        <v/>
      </c>
      <c r="G937" s="39" t="str">
        <f>IF(A937="","",ROUND(D937+E937-F937,6))</f>
        <v/>
      </c>
      <c r="H937" s="40" t="str">
        <f>IF(A937="","",G937*N('Articles'!G937))</f>
        <v/>
      </c>
    </row>
    <row r="938">
      <c r="A938" s="39" t="str">
        <f>IF('Articles'!A938="","",'Articles'!A938)</f>
        <v/>
      </c>
      <c r="B938" s="39" t="str">
        <f>IF(A938="","",'Articles'!B938&amp;"")</f>
        <v/>
      </c>
      <c r="C938" s="39" t="str">
        <f>IF(A938="","",'Articles'!D938&amp;"")</f>
        <v/>
      </c>
      <c r="D938" s="39" t="str">
        <f>IF(A938="","",ROUND(N('Articles'!H938)+SUMIFS(mv_qty,mv_ref,A938,mv_type,"Entrée",mv_date,"&lt;"&amp;$E$1)-SUMIFS(mv_qty,mv_ref,A938,mv_type,"Sortie",mv_date,"&lt;"&amp;$E$1),6))</f>
        <v/>
      </c>
      <c r="E938" s="39" t="str">
        <f>IF(A938="","",SUMIFS(mv_qty,mv_ref,A938,mv_type,"Entrée",mv_date,"&gt;="&amp;$E$1,mv_date,"&lt;="&amp;$G$1))</f>
        <v/>
      </c>
      <c r="F938" s="39" t="str">
        <f>IF(A938="","",SUMIFS(mv_qty,mv_ref,A938,mv_type,"Sortie",mv_date,"&gt;="&amp;$E$1,mv_date,"&lt;="&amp;$G$1))</f>
        <v/>
      </c>
      <c r="G938" s="39" t="str">
        <f>IF(A938="","",ROUND(D938+E938-F938,6))</f>
        <v/>
      </c>
      <c r="H938" s="40" t="str">
        <f>IF(A938="","",G938*N('Articles'!G938))</f>
        <v/>
      </c>
    </row>
    <row r="939">
      <c r="A939" s="39" t="str">
        <f>IF('Articles'!A939="","",'Articles'!A939)</f>
        <v/>
      </c>
      <c r="B939" s="39" t="str">
        <f>IF(A939="","",'Articles'!B939&amp;"")</f>
        <v/>
      </c>
      <c r="C939" s="39" t="str">
        <f>IF(A939="","",'Articles'!D939&amp;"")</f>
        <v/>
      </c>
      <c r="D939" s="39" t="str">
        <f>IF(A939="","",ROUND(N('Articles'!H939)+SUMIFS(mv_qty,mv_ref,A939,mv_type,"Entrée",mv_date,"&lt;"&amp;$E$1)-SUMIFS(mv_qty,mv_ref,A939,mv_type,"Sortie",mv_date,"&lt;"&amp;$E$1),6))</f>
        <v/>
      </c>
      <c r="E939" s="39" t="str">
        <f>IF(A939="","",SUMIFS(mv_qty,mv_ref,A939,mv_type,"Entrée",mv_date,"&gt;="&amp;$E$1,mv_date,"&lt;="&amp;$G$1))</f>
        <v/>
      </c>
      <c r="F939" s="39" t="str">
        <f>IF(A939="","",SUMIFS(mv_qty,mv_ref,A939,mv_type,"Sortie",mv_date,"&gt;="&amp;$E$1,mv_date,"&lt;="&amp;$G$1))</f>
        <v/>
      </c>
      <c r="G939" s="39" t="str">
        <f>IF(A939="","",ROUND(D939+E939-F939,6))</f>
        <v/>
      </c>
      <c r="H939" s="40" t="str">
        <f>IF(A939="","",G939*N('Articles'!G939))</f>
        <v/>
      </c>
    </row>
    <row r="940">
      <c r="A940" s="39" t="str">
        <f>IF('Articles'!A940="","",'Articles'!A940)</f>
        <v/>
      </c>
      <c r="B940" s="39" t="str">
        <f>IF(A940="","",'Articles'!B940&amp;"")</f>
        <v/>
      </c>
      <c r="C940" s="39" t="str">
        <f>IF(A940="","",'Articles'!D940&amp;"")</f>
        <v/>
      </c>
      <c r="D940" s="39" t="str">
        <f>IF(A940="","",ROUND(N('Articles'!H940)+SUMIFS(mv_qty,mv_ref,A940,mv_type,"Entrée",mv_date,"&lt;"&amp;$E$1)-SUMIFS(mv_qty,mv_ref,A940,mv_type,"Sortie",mv_date,"&lt;"&amp;$E$1),6))</f>
        <v/>
      </c>
      <c r="E940" s="39" t="str">
        <f>IF(A940="","",SUMIFS(mv_qty,mv_ref,A940,mv_type,"Entrée",mv_date,"&gt;="&amp;$E$1,mv_date,"&lt;="&amp;$G$1))</f>
        <v/>
      </c>
      <c r="F940" s="39" t="str">
        <f>IF(A940="","",SUMIFS(mv_qty,mv_ref,A940,mv_type,"Sortie",mv_date,"&gt;="&amp;$E$1,mv_date,"&lt;="&amp;$G$1))</f>
        <v/>
      </c>
      <c r="G940" s="39" t="str">
        <f>IF(A940="","",ROUND(D940+E940-F940,6))</f>
        <v/>
      </c>
      <c r="H940" s="40" t="str">
        <f>IF(A940="","",G940*N('Articles'!G940))</f>
        <v/>
      </c>
    </row>
    <row r="941">
      <c r="A941" s="39" t="str">
        <f>IF('Articles'!A941="","",'Articles'!A941)</f>
        <v/>
      </c>
      <c r="B941" s="39" t="str">
        <f>IF(A941="","",'Articles'!B941&amp;"")</f>
        <v/>
      </c>
      <c r="C941" s="39" t="str">
        <f>IF(A941="","",'Articles'!D941&amp;"")</f>
        <v/>
      </c>
      <c r="D941" s="39" t="str">
        <f>IF(A941="","",ROUND(N('Articles'!H941)+SUMIFS(mv_qty,mv_ref,A941,mv_type,"Entrée",mv_date,"&lt;"&amp;$E$1)-SUMIFS(mv_qty,mv_ref,A941,mv_type,"Sortie",mv_date,"&lt;"&amp;$E$1),6))</f>
        <v/>
      </c>
      <c r="E941" s="39" t="str">
        <f>IF(A941="","",SUMIFS(mv_qty,mv_ref,A941,mv_type,"Entrée",mv_date,"&gt;="&amp;$E$1,mv_date,"&lt;="&amp;$G$1))</f>
        <v/>
      </c>
      <c r="F941" s="39" t="str">
        <f>IF(A941="","",SUMIFS(mv_qty,mv_ref,A941,mv_type,"Sortie",mv_date,"&gt;="&amp;$E$1,mv_date,"&lt;="&amp;$G$1))</f>
        <v/>
      </c>
      <c r="G941" s="39" t="str">
        <f>IF(A941="","",ROUND(D941+E941-F941,6))</f>
        <v/>
      </c>
      <c r="H941" s="40" t="str">
        <f>IF(A941="","",G941*N('Articles'!G941))</f>
        <v/>
      </c>
    </row>
    <row r="942">
      <c r="A942" s="39" t="str">
        <f>IF('Articles'!A942="","",'Articles'!A942)</f>
        <v/>
      </c>
      <c r="B942" s="39" t="str">
        <f>IF(A942="","",'Articles'!B942&amp;"")</f>
        <v/>
      </c>
      <c r="C942" s="39" t="str">
        <f>IF(A942="","",'Articles'!D942&amp;"")</f>
        <v/>
      </c>
      <c r="D942" s="39" t="str">
        <f>IF(A942="","",ROUND(N('Articles'!H942)+SUMIFS(mv_qty,mv_ref,A942,mv_type,"Entrée",mv_date,"&lt;"&amp;$E$1)-SUMIFS(mv_qty,mv_ref,A942,mv_type,"Sortie",mv_date,"&lt;"&amp;$E$1),6))</f>
        <v/>
      </c>
      <c r="E942" s="39" t="str">
        <f>IF(A942="","",SUMIFS(mv_qty,mv_ref,A942,mv_type,"Entrée",mv_date,"&gt;="&amp;$E$1,mv_date,"&lt;="&amp;$G$1))</f>
        <v/>
      </c>
      <c r="F942" s="39" t="str">
        <f>IF(A942="","",SUMIFS(mv_qty,mv_ref,A942,mv_type,"Sortie",mv_date,"&gt;="&amp;$E$1,mv_date,"&lt;="&amp;$G$1))</f>
        <v/>
      </c>
      <c r="G942" s="39" t="str">
        <f>IF(A942="","",ROUND(D942+E942-F942,6))</f>
        <v/>
      </c>
      <c r="H942" s="40" t="str">
        <f>IF(A942="","",G942*N('Articles'!G942))</f>
        <v/>
      </c>
    </row>
    <row r="943">
      <c r="A943" s="39" t="str">
        <f>IF('Articles'!A943="","",'Articles'!A943)</f>
        <v/>
      </c>
      <c r="B943" s="39" t="str">
        <f>IF(A943="","",'Articles'!B943&amp;"")</f>
        <v/>
      </c>
      <c r="C943" s="39" t="str">
        <f>IF(A943="","",'Articles'!D943&amp;"")</f>
        <v/>
      </c>
      <c r="D943" s="39" t="str">
        <f>IF(A943="","",ROUND(N('Articles'!H943)+SUMIFS(mv_qty,mv_ref,A943,mv_type,"Entrée",mv_date,"&lt;"&amp;$E$1)-SUMIFS(mv_qty,mv_ref,A943,mv_type,"Sortie",mv_date,"&lt;"&amp;$E$1),6))</f>
        <v/>
      </c>
      <c r="E943" s="39" t="str">
        <f>IF(A943="","",SUMIFS(mv_qty,mv_ref,A943,mv_type,"Entrée",mv_date,"&gt;="&amp;$E$1,mv_date,"&lt;="&amp;$G$1))</f>
        <v/>
      </c>
      <c r="F943" s="39" t="str">
        <f>IF(A943="","",SUMIFS(mv_qty,mv_ref,A943,mv_type,"Sortie",mv_date,"&gt;="&amp;$E$1,mv_date,"&lt;="&amp;$G$1))</f>
        <v/>
      </c>
      <c r="G943" s="39" t="str">
        <f>IF(A943="","",ROUND(D943+E943-F943,6))</f>
        <v/>
      </c>
      <c r="H943" s="40" t="str">
        <f>IF(A943="","",G943*N('Articles'!G943))</f>
        <v/>
      </c>
    </row>
    <row r="944">
      <c r="A944" s="39" t="str">
        <f>IF('Articles'!A944="","",'Articles'!A944)</f>
        <v/>
      </c>
      <c r="B944" s="39" t="str">
        <f>IF(A944="","",'Articles'!B944&amp;"")</f>
        <v/>
      </c>
      <c r="C944" s="39" t="str">
        <f>IF(A944="","",'Articles'!D944&amp;"")</f>
        <v/>
      </c>
      <c r="D944" s="39" t="str">
        <f>IF(A944="","",ROUND(N('Articles'!H944)+SUMIFS(mv_qty,mv_ref,A944,mv_type,"Entrée",mv_date,"&lt;"&amp;$E$1)-SUMIFS(mv_qty,mv_ref,A944,mv_type,"Sortie",mv_date,"&lt;"&amp;$E$1),6))</f>
        <v/>
      </c>
      <c r="E944" s="39" t="str">
        <f>IF(A944="","",SUMIFS(mv_qty,mv_ref,A944,mv_type,"Entrée",mv_date,"&gt;="&amp;$E$1,mv_date,"&lt;="&amp;$G$1))</f>
        <v/>
      </c>
      <c r="F944" s="39" t="str">
        <f>IF(A944="","",SUMIFS(mv_qty,mv_ref,A944,mv_type,"Sortie",mv_date,"&gt;="&amp;$E$1,mv_date,"&lt;="&amp;$G$1))</f>
        <v/>
      </c>
      <c r="G944" s="39" t="str">
        <f>IF(A944="","",ROUND(D944+E944-F944,6))</f>
        <v/>
      </c>
      <c r="H944" s="40" t="str">
        <f>IF(A944="","",G944*N('Articles'!G944))</f>
        <v/>
      </c>
    </row>
    <row r="945">
      <c r="A945" s="39" t="str">
        <f>IF('Articles'!A945="","",'Articles'!A945)</f>
        <v/>
      </c>
      <c r="B945" s="39" t="str">
        <f>IF(A945="","",'Articles'!B945&amp;"")</f>
        <v/>
      </c>
      <c r="C945" s="39" t="str">
        <f>IF(A945="","",'Articles'!D945&amp;"")</f>
        <v/>
      </c>
      <c r="D945" s="39" t="str">
        <f>IF(A945="","",ROUND(N('Articles'!H945)+SUMIFS(mv_qty,mv_ref,A945,mv_type,"Entrée",mv_date,"&lt;"&amp;$E$1)-SUMIFS(mv_qty,mv_ref,A945,mv_type,"Sortie",mv_date,"&lt;"&amp;$E$1),6))</f>
        <v/>
      </c>
      <c r="E945" s="39" t="str">
        <f>IF(A945="","",SUMIFS(mv_qty,mv_ref,A945,mv_type,"Entrée",mv_date,"&gt;="&amp;$E$1,mv_date,"&lt;="&amp;$G$1))</f>
        <v/>
      </c>
      <c r="F945" s="39" t="str">
        <f>IF(A945="","",SUMIFS(mv_qty,mv_ref,A945,mv_type,"Sortie",mv_date,"&gt;="&amp;$E$1,mv_date,"&lt;="&amp;$G$1))</f>
        <v/>
      </c>
      <c r="G945" s="39" t="str">
        <f>IF(A945="","",ROUND(D945+E945-F945,6))</f>
        <v/>
      </c>
      <c r="H945" s="40" t="str">
        <f>IF(A945="","",G945*N('Articles'!G945))</f>
        <v/>
      </c>
    </row>
    <row r="946">
      <c r="A946" s="39" t="str">
        <f>IF('Articles'!A946="","",'Articles'!A946)</f>
        <v/>
      </c>
      <c r="B946" s="39" t="str">
        <f>IF(A946="","",'Articles'!B946&amp;"")</f>
        <v/>
      </c>
      <c r="C946" s="39" t="str">
        <f>IF(A946="","",'Articles'!D946&amp;"")</f>
        <v/>
      </c>
      <c r="D946" s="39" t="str">
        <f>IF(A946="","",ROUND(N('Articles'!H946)+SUMIFS(mv_qty,mv_ref,A946,mv_type,"Entrée",mv_date,"&lt;"&amp;$E$1)-SUMIFS(mv_qty,mv_ref,A946,mv_type,"Sortie",mv_date,"&lt;"&amp;$E$1),6))</f>
        <v/>
      </c>
      <c r="E946" s="39" t="str">
        <f>IF(A946="","",SUMIFS(mv_qty,mv_ref,A946,mv_type,"Entrée",mv_date,"&gt;="&amp;$E$1,mv_date,"&lt;="&amp;$G$1))</f>
        <v/>
      </c>
      <c r="F946" s="39" t="str">
        <f>IF(A946="","",SUMIFS(mv_qty,mv_ref,A946,mv_type,"Sortie",mv_date,"&gt;="&amp;$E$1,mv_date,"&lt;="&amp;$G$1))</f>
        <v/>
      </c>
      <c r="G946" s="39" t="str">
        <f>IF(A946="","",ROUND(D946+E946-F946,6))</f>
        <v/>
      </c>
      <c r="H946" s="40" t="str">
        <f>IF(A946="","",G946*N('Articles'!G946))</f>
        <v/>
      </c>
    </row>
    <row r="947">
      <c r="A947" s="39" t="str">
        <f>IF('Articles'!A947="","",'Articles'!A947)</f>
        <v/>
      </c>
      <c r="B947" s="39" t="str">
        <f>IF(A947="","",'Articles'!B947&amp;"")</f>
        <v/>
      </c>
      <c r="C947" s="39" t="str">
        <f>IF(A947="","",'Articles'!D947&amp;"")</f>
        <v/>
      </c>
      <c r="D947" s="39" t="str">
        <f>IF(A947="","",ROUND(N('Articles'!H947)+SUMIFS(mv_qty,mv_ref,A947,mv_type,"Entrée",mv_date,"&lt;"&amp;$E$1)-SUMIFS(mv_qty,mv_ref,A947,mv_type,"Sortie",mv_date,"&lt;"&amp;$E$1),6))</f>
        <v/>
      </c>
      <c r="E947" s="39" t="str">
        <f>IF(A947="","",SUMIFS(mv_qty,mv_ref,A947,mv_type,"Entrée",mv_date,"&gt;="&amp;$E$1,mv_date,"&lt;="&amp;$G$1))</f>
        <v/>
      </c>
      <c r="F947" s="39" t="str">
        <f>IF(A947="","",SUMIFS(mv_qty,mv_ref,A947,mv_type,"Sortie",mv_date,"&gt;="&amp;$E$1,mv_date,"&lt;="&amp;$G$1))</f>
        <v/>
      </c>
      <c r="G947" s="39" t="str">
        <f>IF(A947="","",ROUND(D947+E947-F947,6))</f>
        <v/>
      </c>
      <c r="H947" s="40" t="str">
        <f>IF(A947="","",G947*N('Articles'!G947))</f>
        <v/>
      </c>
    </row>
    <row r="948">
      <c r="A948" s="39" t="str">
        <f>IF('Articles'!A948="","",'Articles'!A948)</f>
        <v/>
      </c>
      <c r="B948" s="39" t="str">
        <f>IF(A948="","",'Articles'!B948&amp;"")</f>
        <v/>
      </c>
      <c r="C948" s="39" t="str">
        <f>IF(A948="","",'Articles'!D948&amp;"")</f>
        <v/>
      </c>
      <c r="D948" s="39" t="str">
        <f>IF(A948="","",ROUND(N('Articles'!H948)+SUMIFS(mv_qty,mv_ref,A948,mv_type,"Entrée",mv_date,"&lt;"&amp;$E$1)-SUMIFS(mv_qty,mv_ref,A948,mv_type,"Sortie",mv_date,"&lt;"&amp;$E$1),6))</f>
        <v/>
      </c>
      <c r="E948" s="39" t="str">
        <f>IF(A948="","",SUMIFS(mv_qty,mv_ref,A948,mv_type,"Entrée",mv_date,"&gt;="&amp;$E$1,mv_date,"&lt;="&amp;$G$1))</f>
        <v/>
      </c>
      <c r="F948" s="39" t="str">
        <f>IF(A948="","",SUMIFS(mv_qty,mv_ref,A948,mv_type,"Sortie",mv_date,"&gt;="&amp;$E$1,mv_date,"&lt;="&amp;$G$1))</f>
        <v/>
      </c>
      <c r="G948" s="39" t="str">
        <f>IF(A948="","",ROUND(D948+E948-F948,6))</f>
        <v/>
      </c>
      <c r="H948" s="40" t="str">
        <f>IF(A948="","",G948*N('Articles'!G948))</f>
        <v/>
      </c>
    </row>
    <row r="949">
      <c r="A949" s="39" t="str">
        <f>IF('Articles'!A949="","",'Articles'!A949)</f>
        <v/>
      </c>
      <c r="B949" s="39" t="str">
        <f>IF(A949="","",'Articles'!B949&amp;"")</f>
        <v/>
      </c>
      <c r="C949" s="39" t="str">
        <f>IF(A949="","",'Articles'!D949&amp;"")</f>
        <v/>
      </c>
      <c r="D949" s="39" t="str">
        <f>IF(A949="","",ROUND(N('Articles'!H949)+SUMIFS(mv_qty,mv_ref,A949,mv_type,"Entrée",mv_date,"&lt;"&amp;$E$1)-SUMIFS(mv_qty,mv_ref,A949,mv_type,"Sortie",mv_date,"&lt;"&amp;$E$1),6))</f>
        <v/>
      </c>
      <c r="E949" s="39" t="str">
        <f>IF(A949="","",SUMIFS(mv_qty,mv_ref,A949,mv_type,"Entrée",mv_date,"&gt;="&amp;$E$1,mv_date,"&lt;="&amp;$G$1))</f>
        <v/>
      </c>
      <c r="F949" s="39" t="str">
        <f>IF(A949="","",SUMIFS(mv_qty,mv_ref,A949,mv_type,"Sortie",mv_date,"&gt;="&amp;$E$1,mv_date,"&lt;="&amp;$G$1))</f>
        <v/>
      </c>
      <c r="G949" s="39" t="str">
        <f>IF(A949="","",ROUND(D949+E949-F949,6))</f>
        <v/>
      </c>
      <c r="H949" s="40" t="str">
        <f>IF(A949="","",G949*N('Articles'!G949))</f>
        <v/>
      </c>
    </row>
    <row r="950">
      <c r="A950" s="39" t="str">
        <f>IF('Articles'!A950="","",'Articles'!A950)</f>
        <v/>
      </c>
      <c r="B950" s="39" t="str">
        <f>IF(A950="","",'Articles'!B950&amp;"")</f>
        <v/>
      </c>
      <c r="C950" s="39" t="str">
        <f>IF(A950="","",'Articles'!D950&amp;"")</f>
        <v/>
      </c>
      <c r="D950" s="39" t="str">
        <f>IF(A950="","",ROUND(N('Articles'!H950)+SUMIFS(mv_qty,mv_ref,A950,mv_type,"Entrée",mv_date,"&lt;"&amp;$E$1)-SUMIFS(mv_qty,mv_ref,A950,mv_type,"Sortie",mv_date,"&lt;"&amp;$E$1),6))</f>
        <v/>
      </c>
      <c r="E950" s="39" t="str">
        <f>IF(A950="","",SUMIFS(mv_qty,mv_ref,A950,mv_type,"Entrée",mv_date,"&gt;="&amp;$E$1,mv_date,"&lt;="&amp;$G$1))</f>
        <v/>
      </c>
      <c r="F950" s="39" t="str">
        <f>IF(A950="","",SUMIFS(mv_qty,mv_ref,A950,mv_type,"Sortie",mv_date,"&gt;="&amp;$E$1,mv_date,"&lt;="&amp;$G$1))</f>
        <v/>
      </c>
      <c r="G950" s="39" t="str">
        <f>IF(A950="","",ROUND(D950+E950-F950,6))</f>
        <v/>
      </c>
      <c r="H950" s="40" t="str">
        <f>IF(A950="","",G950*N('Articles'!G950))</f>
        <v/>
      </c>
    </row>
    <row r="951">
      <c r="A951" s="39" t="str">
        <f>IF('Articles'!A951="","",'Articles'!A951)</f>
        <v/>
      </c>
      <c r="B951" s="39" t="str">
        <f>IF(A951="","",'Articles'!B951&amp;"")</f>
        <v/>
      </c>
      <c r="C951" s="39" t="str">
        <f>IF(A951="","",'Articles'!D951&amp;"")</f>
        <v/>
      </c>
      <c r="D951" s="39" t="str">
        <f>IF(A951="","",ROUND(N('Articles'!H951)+SUMIFS(mv_qty,mv_ref,A951,mv_type,"Entrée",mv_date,"&lt;"&amp;$E$1)-SUMIFS(mv_qty,mv_ref,A951,mv_type,"Sortie",mv_date,"&lt;"&amp;$E$1),6))</f>
        <v/>
      </c>
      <c r="E951" s="39" t="str">
        <f>IF(A951="","",SUMIFS(mv_qty,mv_ref,A951,mv_type,"Entrée",mv_date,"&gt;="&amp;$E$1,mv_date,"&lt;="&amp;$G$1))</f>
        <v/>
      </c>
      <c r="F951" s="39" t="str">
        <f>IF(A951="","",SUMIFS(mv_qty,mv_ref,A951,mv_type,"Sortie",mv_date,"&gt;="&amp;$E$1,mv_date,"&lt;="&amp;$G$1))</f>
        <v/>
      </c>
      <c r="G951" s="39" t="str">
        <f>IF(A951="","",ROUND(D951+E951-F951,6))</f>
        <v/>
      </c>
      <c r="H951" s="40" t="str">
        <f>IF(A951="","",G951*N('Articles'!G951))</f>
        <v/>
      </c>
    </row>
    <row r="952">
      <c r="A952" s="39" t="str">
        <f>IF('Articles'!A952="","",'Articles'!A952)</f>
        <v/>
      </c>
      <c r="B952" s="39" t="str">
        <f>IF(A952="","",'Articles'!B952&amp;"")</f>
        <v/>
      </c>
      <c r="C952" s="39" t="str">
        <f>IF(A952="","",'Articles'!D952&amp;"")</f>
        <v/>
      </c>
      <c r="D952" s="39" t="str">
        <f>IF(A952="","",ROUND(N('Articles'!H952)+SUMIFS(mv_qty,mv_ref,A952,mv_type,"Entrée",mv_date,"&lt;"&amp;$E$1)-SUMIFS(mv_qty,mv_ref,A952,mv_type,"Sortie",mv_date,"&lt;"&amp;$E$1),6))</f>
        <v/>
      </c>
      <c r="E952" s="39" t="str">
        <f>IF(A952="","",SUMIFS(mv_qty,mv_ref,A952,mv_type,"Entrée",mv_date,"&gt;="&amp;$E$1,mv_date,"&lt;="&amp;$G$1))</f>
        <v/>
      </c>
      <c r="F952" s="39" t="str">
        <f>IF(A952="","",SUMIFS(mv_qty,mv_ref,A952,mv_type,"Sortie",mv_date,"&gt;="&amp;$E$1,mv_date,"&lt;="&amp;$G$1))</f>
        <v/>
      </c>
      <c r="G952" s="39" t="str">
        <f>IF(A952="","",ROUND(D952+E952-F952,6))</f>
        <v/>
      </c>
      <c r="H952" s="40" t="str">
        <f>IF(A952="","",G952*N('Articles'!G952))</f>
        <v/>
      </c>
    </row>
    <row r="953">
      <c r="A953" s="39" t="str">
        <f>IF('Articles'!A953="","",'Articles'!A953)</f>
        <v/>
      </c>
      <c r="B953" s="39" t="str">
        <f>IF(A953="","",'Articles'!B953&amp;"")</f>
        <v/>
      </c>
      <c r="C953" s="39" t="str">
        <f>IF(A953="","",'Articles'!D953&amp;"")</f>
        <v/>
      </c>
      <c r="D953" s="39" t="str">
        <f>IF(A953="","",ROUND(N('Articles'!H953)+SUMIFS(mv_qty,mv_ref,A953,mv_type,"Entrée",mv_date,"&lt;"&amp;$E$1)-SUMIFS(mv_qty,mv_ref,A953,mv_type,"Sortie",mv_date,"&lt;"&amp;$E$1),6))</f>
        <v/>
      </c>
      <c r="E953" s="39" t="str">
        <f>IF(A953="","",SUMIFS(mv_qty,mv_ref,A953,mv_type,"Entrée",mv_date,"&gt;="&amp;$E$1,mv_date,"&lt;="&amp;$G$1))</f>
        <v/>
      </c>
      <c r="F953" s="39" t="str">
        <f>IF(A953="","",SUMIFS(mv_qty,mv_ref,A953,mv_type,"Sortie",mv_date,"&gt;="&amp;$E$1,mv_date,"&lt;="&amp;$G$1))</f>
        <v/>
      </c>
      <c r="G953" s="39" t="str">
        <f>IF(A953="","",ROUND(D953+E953-F953,6))</f>
        <v/>
      </c>
      <c r="H953" s="40" t="str">
        <f>IF(A953="","",G953*N('Articles'!G953))</f>
        <v/>
      </c>
    </row>
    <row r="954">
      <c r="A954" s="39" t="str">
        <f>IF('Articles'!A954="","",'Articles'!A954)</f>
        <v/>
      </c>
      <c r="B954" s="39" t="str">
        <f>IF(A954="","",'Articles'!B954&amp;"")</f>
        <v/>
      </c>
      <c r="C954" s="39" t="str">
        <f>IF(A954="","",'Articles'!D954&amp;"")</f>
        <v/>
      </c>
      <c r="D954" s="39" t="str">
        <f>IF(A954="","",ROUND(N('Articles'!H954)+SUMIFS(mv_qty,mv_ref,A954,mv_type,"Entrée",mv_date,"&lt;"&amp;$E$1)-SUMIFS(mv_qty,mv_ref,A954,mv_type,"Sortie",mv_date,"&lt;"&amp;$E$1),6))</f>
        <v/>
      </c>
      <c r="E954" s="39" t="str">
        <f>IF(A954="","",SUMIFS(mv_qty,mv_ref,A954,mv_type,"Entrée",mv_date,"&gt;="&amp;$E$1,mv_date,"&lt;="&amp;$G$1))</f>
        <v/>
      </c>
      <c r="F954" s="39" t="str">
        <f>IF(A954="","",SUMIFS(mv_qty,mv_ref,A954,mv_type,"Sortie",mv_date,"&gt;="&amp;$E$1,mv_date,"&lt;="&amp;$G$1))</f>
        <v/>
      </c>
      <c r="G954" s="39" t="str">
        <f>IF(A954="","",ROUND(D954+E954-F954,6))</f>
        <v/>
      </c>
      <c r="H954" s="40" t="str">
        <f>IF(A954="","",G954*N('Articles'!G954))</f>
        <v/>
      </c>
    </row>
    <row r="955">
      <c r="A955" s="39" t="str">
        <f>IF('Articles'!A955="","",'Articles'!A955)</f>
        <v/>
      </c>
      <c r="B955" s="39" t="str">
        <f>IF(A955="","",'Articles'!B955&amp;"")</f>
        <v/>
      </c>
      <c r="C955" s="39" t="str">
        <f>IF(A955="","",'Articles'!D955&amp;"")</f>
        <v/>
      </c>
      <c r="D955" s="39" t="str">
        <f>IF(A955="","",ROUND(N('Articles'!H955)+SUMIFS(mv_qty,mv_ref,A955,mv_type,"Entrée",mv_date,"&lt;"&amp;$E$1)-SUMIFS(mv_qty,mv_ref,A955,mv_type,"Sortie",mv_date,"&lt;"&amp;$E$1),6))</f>
        <v/>
      </c>
      <c r="E955" s="39" t="str">
        <f>IF(A955="","",SUMIFS(mv_qty,mv_ref,A955,mv_type,"Entrée",mv_date,"&gt;="&amp;$E$1,mv_date,"&lt;="&amp;$G$1))</f>
        <v/>
      </c>
      <c r="F955" s="39" t="str">
        <f>IF(A955="","",SUMIFS(mv_qty,mv_ref,A955,mv_type,"Sortie",mv_date,"&gt;="&amp;$E$1,mv_date,"&lt;="&amp;$G$1))</f>
        <v/>
      </c>
      <c r="G955" s="39" t="str">
        <f>IF(A955="","",ROUND(D955+E955-F955,6))</f>
        <v/>
      </c>
      <c r="H955" s="40" t="str">
        <f>IF(A955="","",G955*N('Articles'!G955))</f>
        <v/>
      </c>
    </row>
    <row r="956">
      <c r="A956" s="39" t="str">
        <f>IF('Articles'!A956="","",'Articles'!A956)</f>
        <v/>
      </c>
      <c r="B956" s="39" t="str">
        <f>IF(A956="","",'Articles'!B956&amp;"")</f>
        <v/>
      </c>
      <c r="C956" s="39" t="str">
        <f>IF(A956="","",'Articles'!D956&amp;"")</f>
        <v/>
      </c>
      <c r="D956" s="39" t="str">
        <f>IF(A956="","",ROUND(N('Articles'!H956)+SUMIFS(mv_qty,mv_ref,A956,mv_type,"Entrée",mv_date,"&lt;"&amp;$E$1)-SUMIFS(mv_qty,mv_ref,A956,mv_type,"Sortie",mv_date,"&lt;"&amp;$E$1),6))</f>
        <v/>
      </c>
      <c r="E956" s="39" t="str">
        <f>IF(A956="","",SUMIFS(mv_qty,mv_ref,A956,mv_type,"Entrée",mv_date,"&gt;="&amp;$E$1,mv_date,"&lt;="&amp;$G$1))</f>
        <v/>
      </c>
      <c r="F956" s="39" t="str">
        <f>IF(A956="","",SUMIFS(mv_qty,mv_ref,A956,mv_type,"Sortie",mv_date,"&gt;="&amp;$E$1,mv_date,"&lt;="&amp;$G$1))</f>
        <v/>
      </c>
      <c r="G956" s="39" t="str">
        <f>IF(A956="","",ROUND(D956+E956-F956,6))</f>
        <v/>
      </c>
      <c r="H956" s="40" t="str">
        <f>IF(A956="","",G956*N('Articles'!G956))</f>
        <v/>
      </c>
    </row>
    <row r="957">
      <c r="A957" s="39" t="str">
        <f>IF('Articles'!A957="","",'Articles'!A957)</f>
        <v/>
      </c>
      <c r="B957" s="39" t="str">
        <f>IF(A957="","",'Articles'!B957&amp;"")</f>
        <v/>
      </c>
      <c r="C957" s="39" t="str">
        <f>IF(A957="","",'Articles'!D957&amp;"")</f>
        <v/>
      </c>
      <c r="D957" s="39" t="str">
        <f>IF(A957="","",ROUND(N('Articles'!H957)+SUMIFS(mv_qty,mv_ref,A957,mv_type,"Entrée",mv_date,"&lt;"&amp;$E$1)-SUMIFS(mv_qty,mv_ref,A957,mv_type,"Sortie",mv_date,"&lt;"&amp;$E$1),6))</f>
        <v/>
      </c>
      <c r="E957" s="39" t="str">
        <f>IF(A957="","",SUMIFS(mv_qty,mv_ref,A957,mv_type,"Entrée",mv_date,"&gt;="&amp;$E$1,mv_date,"&lt;="&amp;$G$1))</f>
        <v/>
      </c>
      <c r="F957" s="39" t="str">
        <f>IF(A957="","",SUMIFS(mv_qty,mv_ref,A957,mv_type,"Sortie",mv_date,"&gt;="&amp;$E$1,mv_date,"&lt;="&amp;$G$1))</f>
        <v/>
      </c>
      <c r="G957" s="39" t="str">
        <f>IF(A957="","",ROUND(D957+E957-F957,6))</f>
        <v/>
      </c>
      <c r="H957" s="40" t="str">
        <f>IF(A957="","",G957*N('Articles'!G957))</f>
        <v/>
      </c>
    </row>
    <row r="958">
      <c r="A958" s="39" t="str">
        <f>IF('Articles'!A958="","",'Articles'!A958)</f>
        <v/>
      </c>
      <c r="B958" s="39" t="str">
        <f>IF(A958="","",'Articles'!B958&amp;"")</f>
        <v/>
      </c>
      <c r="C958" s="39" t="str">
        <f>IF(A958="","",'Articles'!D958&amp;"")</f>
        <v/>
      </c>
      <c r="D958" s="39" t="str">
        <f>IF(A958="","",ROUND(N('Articles'!H958)+SUMIFS(mv_qty,mv_ref,A958,mv_type,"Entrée",mv_date,"&lt;"&amp;$E$1)-SUMIFS(mv_qty,mv_ref,A958,mv_type,"Sortie",mv_date,"&lt;"&amp;$E$1),6))</f>
        <v/>
      </c>
      <c r="E958" s="39" t="str">
        <f>IF(A958="","",SUMIFS(mv_qty,mv_ref,A958,mv_type,"Entrée",mv_date,"&gt;="&amp;$E$1,mv_date,"&lt;="&amp;$G$1))</f>
        <v/>
      </c>
      <c r="F958" s="39" t="str">
        <f>IF(A958="","",SUMIFS(mv_qty,mv_ref,A958,mv_type,"Sortie",mv_date,"&gt;="&amp;$E$1,mv_date,"&lt;="&amp;$G$1))</f>
        <v/>
      </c>
      <c r="G958" s="39" t="str">
        <f>IF(A958="","",ROUND(D958+E958-F958,6))</f>
        <v/>
      </c>
      <c r="H958" s="40" t="str">
        <f>IF(A958="","",G958*N('Articles'!G958))</f>
        <v/>
      </c>
    </row>
    <row r="959">
      <c r="A959" s="39" t="str">
        <f>IF('Articles'!A959="","",'Articles'!A959)</f>
        <v/>
      </c>
      <c r="B959" s="39" t="str">
        <f>IF(A959="","",'Articles'!B959&amp;"")</f>
        <v/>
      </c>
      <c r="C959" s="39" t="str">
        <f>IF(A959="","",'Articles'!D959&amp;"")</f>
        <v/>
      </c>
      <c r="D959" s="39" t="str">
        <f>IF(A959="","",ROUND(N('Articles'!H959)+SUMIFS(mv_qty,mv_ref,A959,mv_type,"Entrée",mv_date,"&lt;"&amp;$E$1)-SUMIFS(mv_qty,mv_ref,A959,mv_type,"Sortie",mv_date,"&lt;"&amp;$E$1),6))</f>
        <v/>
      </c>
      <c r="E959" s="39" t="str">
        <f>IF(A959="","",SUMIFS(mv_qty,mv_ref,A959,mv_type,"Entrée",mv_date,"&gt;="&amp;$E$1,mv_date,"&lt;="&amp;$G$1))</f>
        <v/>
      </c>
      <c r="F959" s="39" t="str">
        <f>IF(A959="","",SUMIFS(mv_qty,mv_ref,A959,mv_type,"Sortie",mv_date,"&gt;="&amp;$E$1,mv_date,"&lt;="&amp;$G$1))</f>
        <v/>
      </c>
      <c r="G959" s="39" t="str">
        <f>IF(A959="","",ROUND(D959+E959-F959,6))</f>
        <v/>
      </c>
      <c r="H959" s="40" t="str">
        <f>IF(A959="","",G959*N('Articles'!G959))</f>
        <v/>
      </c>
    </row>
    <row r="960">
      <c r="A960" s="39" t="str">
        <f>IF('Articles'!A960="","",'Articles'!A960)</f>
        <v/>
      </c>
      <c r="B960" s="39" t="str">
        <f>IF(A960="","",'Articles'!B960&amp;"")</f>
        <v/>
      </c>
      <c r="C960" s="39" t="str">
        <f>IF(A960="","",'Articles'!D960&amp;"")</f>
        <v/>
      </c>
      <c r="D960" s="39" t="str">
        <f>IF(A960="","",ROUND(N('Articles'!H960)+SUMIFS(mv_qty,mv_ref,A960,mv_type,"Entrée",mv_date,"&lt;"&amp;$E$1)-SUMIFS(mv_qty,mv_ref,A960,mv_type,"Sortie",mv_date,"&lt;"&amp;$E$1),6))</f>
        <v/>
      </c>
      <c r="E960" s="39" t="str">
        <f>IF(A960="","",SUMIFS(mv_qty,mv_ref,A960,mv_type,"Entrée",mv_date,"&gt;="&amp;$E$1,mv_date,"&lt;="&amp;$G$1))</f>
        <v/>
      </c>
      <c r="F960" s="39" t="str">
        <f>IF(A960="","",SUMIFS(mv_qty,mv_ref,A960,mv_type,"Sortie",mv_date,"&gt;="&amp;$E$1,mv_date,"&lt;="&amp;$G$1))</f>
        <v/>
      </c>
      <c r="G960" s="39" t="str">
        <f>IF(A960="","",ROUND(D960+E960-F960,6))</f>
        <v/>
      </c>
      <c r="H960" s="40" t="str">
        <f>IF(A960="","",G960*N('Articles'!G960))</f>
        <v/>
      </c>
    </row>
    <row r="961">
      <c r="A961" s="39" t="str">
        <f>IF('Articles'!A961="","",'Articles'!A961)</f>
        <v/>
      </c>
      <c r="B961" s="39" t="str">
        <f>IF(A961="","",'Articles'!B961&amp;"")</f>
        <v/>
      </c>
      <c r="C961" s="39" t="str">
        <f>IF(A961="","",'Articles'!D961&amp;"")</f>
        <v/>
      </c>
      <c r="D961" s="39" t="str">
        <f>IF(A961="","",ROUND(N('Articles'!H961)+SUMIFS(mv_qty,mv_ref,A961,mv_type,"Entrée",mv_date,"&lt;"&amp;$E$1)-SUMIFS(mv_qty,mv_ref,A961,mv_type,"Sortie",mv_date,"&lt;"&amp;$E$1),6))</f>
        <v/>
      </c>
      <c r="E961" s="39" t="str">
        <f>IF(A961="","",SUMIFS(mv_qty,mv_ref,A961,mv_type,"Entrée",mv_date,"&gt;="&amp;$E$1,mv_date,"&lt;="&amp;$G$1))</f>
        <v/>
      </c>
      <c r="F961" s="39" t="str">
        <f>IF(A961="","",SUMIFS(mv_qty,mv_ref,A961,mv_type,"Sortie",mv_date,"&gt;="&amp;$E$1,mv_date,"&lt;="&amp;$G$1))</f>
        <v/>
      </c>
      <c r="G961" s="39" t="str">
        <f>IF(A961="","",ROUND(D961+E961-F961,6))</f>
        <v/>
      </c>
      <c r="H961" s="40" t="str">
        <f>IF(A961="","",G961*N('Articles'!G961))</f>
        <v/>
      </c>
    </row>
    <row r="962">
      <c r="A962" s="39" t="str">
        <f>IF('Articles'!A962="","",'Articles'!A962)</f>
        <v/>
      </c>
      <c r="B962" s="39" t="str">
        <f>IF(A962="","",'Articles'!B962&amp;"")</f>
        <v/>
      </c>
      <c r="C962" s="39" t="str">
        <f>IF(A962="","",'Articles'!D962&amp;"")</f>
        <v/>
      </c>
      <c r="D962" s="39" t="str">
        <f>IF(A962="","",ROUND(N('Articles'!H962)+SUMIFS(mv_qty,mv_ref,A962,mv_type,"Entrée",mv_date,"&lt;"&amp;$E$1)-SUMIFS(mv_qty,mv_ref,A962,mv_type,"Sortie",mv_date,"&lt;"&amp;$E$1),6))</f>
        <v/>
      </c>
      <c r="E962" s="39" t="str">
        <f>IF(A962="","",SUMIFS(mv_qty,mv_ref,A962,mv_type,"Entrée",mv_date,"&gt;="&amp;$E$1,mv_date,"&lt;="&amp;$G$1))</f>
        <v/>
      </c>
      <c r="F962" s="39" t="str">
        <f>IF(A962="","",SUMIFS(mv_qty,mv_ref,A962,mv_type,"Sortie",mv_date,"&gt;="&amp;$E$1,mv_date,"&lt;="&amp;$G$1))</f>
        <v/>
      </c>
      <c r="G962" s="39" t="str">
        <f>IF(A962="","",ROUND(D962+E962-F962,6))</f>
        <v/>
      </c>
      <c r="H962" s="40" t="str">
        <f>IF(A962="","",G962*N('Articles'!G962))</f>
        <v/>
      </c>
    </row>
    <row r="963">
      <c r="A963" s="39" t="str">
        <f>IF('Articles'!A963="","",'Articles'!A963)</f>
        <v/>
      </c>
      <c r="B963" s="39" t="str">
        <f>IF(A963="","",'Articles'!B963&amp;"")</f>
        <v/>
      </c>
      <c r="C963" s="39" t="str">
        <f>IF(A963="","",'Articles'!D963&amp;"")</f>
        <v/>
      </c>
      <c r="D963" s="39" t="str">
        <f>IF(A963="","",ROUND(N('Articles'!H963)+SUMIFS(mv_qty,mv_ref,A963,mv_type,"Entrée",mv_date,"&lt;"&amp;$E$1)-SUMIFS(mv_qty,mv_ref,A963,mv_type,"Sortie",mv_date,"&lt;"&amp;$E$1),6))</f>
        <v/>
      </c>
      <c r="E963" s="39" t="str">
        <f>IF(A963="","",SUMIFS(mv_qty,mv_ref,A963,mv_type,"Entrée",mv_date,"&gt;="&amp;$E$1,mv_date,"&lt;="&amp;$G$1))</f>
        <v/>
      </c>
      <c r="F963" s="39" t="str">
        <f>IF(A963="","",SUMIFS(mv_qty,mv_ref,A963,mv_type,"Sortie",mv_date,"&gt;="&amp;$E$1,mv_date,"&lt;="&amp;$G$1))</f>
        <v/>
      </c>
      <c r="G963" s="39" t="str">
        <f>IF(A963="","",ROUND(D963+E963-F963,6))</f>
        <v/>
      </c>
      <c r="H963" s="40" t="str">
        <f>IF(A963="","",G963*N('Articles'!G963))</f>
        <v/>
      </c>
    </row>
    <row r="964">
      <c r="A964" s="39" t="str">
        <f>IF('Articles'!A964="","",'Articles'!A964)</f>
        <v/>
      </c>
      <c r="B964" s="39" t="str">
        <f>IF(A964="","",'Articles'!B964&amp;"")</f>
        <v/>
      </c>
      <c r="C964" s="39" t="str">
        <f>IF(A964="","",'Articles'!D964&amp;"")</f>
        <v/>
      </c>
      <c r="D964" s="39" t="str">
        <f>IF(A964="","",ROUND(N('Articles'!H964)+SUMIFS(mv_qty,mv_ref,A964,mv_type,"Entrée",mv_date,"&lt;"&amp;$E$1)-SUMIFS(mv_qty,mv_ref,A964,mv_type,"Sortie",mv_date,"&lt;"&amp;$E$1),6))</f>
        <v/>
      </c>
      <c r="E964" s="39" t="str">
        <f>IF(A964="","",SUMIFS(mv_qty,mv_ref,A964,mv_type,"Entrée",mv_date,"&gt;="&amp;$E$1,mv_date,"&lt;="&amp;$G$1))</f>
        <v/>
      </c>
      <c r="F964" s="39" t="str">
        <f>IF(A964="","",SUMIFS(mv_qty,mv_ref,A964,mv_type,"Sortie",mv_date,"&gt;="&amp;$E$1,mv_date,"&lt;="&amp;$G$1))</f>
        <v/>
      </c>
      <c r="G964" s="39" t="str">
        <f>IF(A964="","",ROUND(D964+E964-F964,6))</f>
        <v/>
      </c>
      <c r="H964" s="40" t="str">
        <f>IF(A964="","",G964*N('Articles'!G964))</f>
        <v/>
      </c>
    </row>
    <row r="965">
      <c r="A965" s="39" t="str">
        <f>IF('Articles'!A965="","",'Articles'!A965)</f>
        <v/>
      </c>
      <c r="B965" s="39" t="str">
        <f>IF(A965="","",'Articles'!B965&amp;"")</f>
        <v/>
      </c>
      <c r="C965" s="39" t="str">
        <f>IF(A965="","",'Articles'!D965&amp;"")</f>
        <v/>
      </c>
      <c r="D965" s="39" t="str">
        <f>IF(A965="","",ROUND(N('Articles'!H965)+SUMIFS(mv_qty,mv_ref,A965,mv_type,"Entrée",mv_date,"&lt;"&amp;$E$1)-SUMIFS(mv_qty,mv_ref,A965,mv_type,"Sortie",mv_date,"&lt;"&amp;$E$1),6))</f>
        <v/>
      </c>
      <c r="E965" s="39" t="str">
        <f>IF(A965="","",SUMIFS(mv_qty,mv_ref,A965,mv_type,"Entrée",mv_date,"&gt;="&amp;$E$1,mv_date,"&lt;="&amp;$G$1))</f>
        <v/>
      </c>
      <c r="F965" s="39" t="str">
        <f>IF(A965="","",SUMIFS(mv_qty,mv_ref,A965,mv_type,"Sortie",mv_date,"&gt;="&amp;$E$1,mv_date,"&lt;="&amp;$G$1))</f>
        <v/>
      </c>
      <c r="G965" s="39" t="str">
        <f>IF(A965="","",ROUND(D965+E965-F965,6))</f>
        <v/>
      </c>
      <c r="H965" s="40" t="str">
        <f>IF(A965="","",G965*N('Articles'!G965))</f>
        <v/>
      </c>
    </row>
    <row r="966">
      <c r="A966" s="39" t="str">
        <f>IF('Articles'!A966="","",'Articles'!A966)</f>
        <v/>
      </c>
      <c r="B966" s="39" t="str">
        <f>IF(A966="","",'Articles'!B966&amp;"")</f>
        <v/>
      </c>
      <c r="C966" s="39" t="str">
        <f>IF(A966="","",'Articles'!D966&amp;"")</f>
        <v/>
      </c>
      <c r="D966" s="39" t="str">
        <f>IF(A966="","",ROUND(N('Articles'!H966)+SUMIFS(mv_qty,mv_ref,A966,mv_type,"Entrée",mv_date,"&lt;"&amp;$E$1)-SUMIFS(mv_qty,mv_ref,A966,mv_type,"Sortie",mv_date,"&lt;"&amp;$E$1),6))</f>
        <v/>
      </c>
      <c r="E966" s="39" t="str">
        <f>IF(A966="","",SUMIFS(mv_qty,mv_ref,A966,mv_type,"Entrée",mv_date,"&gt;="&amp;$E$1,mv_date,"&lt;="&amp;$G$1))</f>
        <v/>
      </c>
      <c r="F966" s="39" t="str">
        <f>IF(A966="","",SUMIFS(mv_qty,mv_ref,A966,mv_type,"Sortie",mv_date,"&gt;="&amp;$E$1,mv_date,"&lt;="&amp;$G$1))</f>
        <v/>
      </c>
      <c r="G966" s="39" t="str">
        <f>IF(A966="","",ROUND(D966+E966-F966,6))</f>
        <v/>
      </c>
      <c r="H966" s="40" t="str">
        <f>IF(A966="","",G966*N('Articles'!G966))</f>
        <v/>
      </c>
    </row>
    <row r="967">
      <c r="A967" s="39" t="str">
        <f>IF('Articles'!A967="","",'Articles'!A967)</f>
        <v/>
      </c>
      <c r="B967" s="39" t="str">
        <f>IF(A967="","",'Articles'!B967&amp;"")</f>
        <v/>
      </c>
      <c r="C967" s="39" t="str">
        <f>IF(A967="","",'Articles'!D967&amp;"")</f>
        <v/>
      </c>
      <c r="D967" s="39" t="str">
        <f>IF(A967="","",ROUND(N('Articles'!H967)+SUMIFS(mv_qty,mv_ref,A967,mv_type,"Entrée",mv_date,"&lt;"&amp;$E$1)-SUMIFS(mv_qty,mv_ref,A967,mv_type,"Sortie",mv_date,"&lt;"&amp;$E$1),6))</f>
        <v/>
      </c>
      <c r="E967" s="39" t="str">
        <f>IF(A967="","",SUMIFS(mv_qty,mv_ref,A967,mv_type,"Entrée",mv_date,"&gt;="&amp;$E$1,mv_date,"&lt;="&amp;$G$1))</f>
        <v/>
      </c>
      <c r="F967" s="39" t="str">
        <f>IF(A967="","",SUMIFS(mv_qty,mv_ref,A967,mv_type,"Sortie",mv_date,"&gt;="&amp;$E$1,mv_date,"&lt;="&amp;$G$1))</f>
        <v/>
      </c>
      <c r="G967" s="39" t="str">
        <f>IF(A967="","",ROUND(D967+E967-F967,6))</f>
        <v/>
      </c>
      <c r="H967" s="40" t="str">
        <f>IF(A967="","",G967*N('Articles'!G967))</f>
        <v/>
      </c>
    </row>
    <row r="968">
      <c r="A968" s="39" t="str">
        <f>IF('Articles'!A968="","",'Articles'!A968)</f>
        <v/>
      </c>
      <c r="B968" s="39" t="str">
        <f>IF(A968="","",'Articles'!B968&amp;"")</f>
        <v/>
      </c>
      <c r="C968" s="39" t="str">
        <f>IF(A968="","",'Articles'!D968&amp;"")</f>
        <v/>
      </c>
      <c r="D968" s="39" t="str">
        <f>IF(A968="","",ROUND(N('Articles'!H968)+SUMIFS(mv_qty,mv_ref,A968,mv_type,"Entrée",mv_date,"&lt;"&amp;$E$1)-SUMIFS(mv_qty,mv_ref,A968,mv_type,"Sortie",mv_date,"&lt;"&amp;$E$1),6))</f>
        <v/>
      </c>
      <c r="E968" s="39" t="str">
        <f>IF(A968="","",SUMIFS(mv_qty,mv_ref,A968,mv_type,"Entrée",mv_date,"&gt;="&amp;$E$1,mv_date,"&lt;="&amp;$G$1))</f>
        <v/>
      </c>
      <c r="F968" s="39" t="str">
        <f>IF(A968="","",SUMIFS(mv_qty,mv_ref,A968,mv_type,"Sortie",mv_date,"&gt;="&amp;$E$1,mv_date,"&lt;="&amp;$G$1))</f>
        <v/>
      </c>
      <c r="G968" s="39" t="str">
        <f>IF(A968="","",ROUND(D968+E968-F968,6))</f>
        <v/>
      </c>
      <c r="H968" s="40" t="str">
        <f>IF(A968="","",G968*N('Articles'!G968))</f>
        <v/>
      </c>
    </row>
    <row r="969">
      <c r="A969" s="39" t="str">
        <f>IF('Articles'!A969="","",'Articles'!A969)</f>
        <v/>
      </c>
      <c r="B969" s="39" t="str">
        <f>IF(A969="","",'Articles'!B969&amp;"")</f>
        <v/>
      </c>
      <c r="C969" s="39" t="str">
        <f>IF(A969="","",'Articles'!D969&amp;"")</f>
        <v/>
      </c>
      <c r="D969" s="39" t="str">
        <f>IF(A969="","",ROUND(N('Articles'!H969)+SUMIFS(mv_qty,mv_ref,A969,mv_type,"Entrée",mv_date,"&lt;"&amp;$E$1)-SUMIFS(mv_qty,mv_ref,A969,mv_type,"Sortie",mv_date,"&lt;"&amp;$E$1),6))</f>
        <v/>
      </c>
      <c r="E969" s="39" t="str">
        <f>IF(A969="","",SUMIFS(mv_qty,mv_ref,A969,mv_type,"Entrée",mv_date,"&gt;="&amp;$E$1,mv_date,"&lt;="&amp;$G$1))</f>
        <v/>
      </c>
      <c r="F969" s="39" t="str">
        <f>IF(A969="","",SUMIFS(mv_qty,mv_ref,A969,mv_type,"Sortie",mv_date,"&gt;="&amp;$E$1,mv_date,"&lt;="&amp;$G$1))</f>
        <v/>
      </c>
      <c r="G969" s="39" t="str">
        <f>IF(A969="","",ROUND(D969+E969-F969,6))</f>
        <v/>
      </c>
      <c r="H969" s="40" t="str">
        <f>IF(A969="","",G969*N('Articles'!G969))</f>
        <v/>
      </c>
    </row>
    <row r="970">
      <c r="A970" s="39" t="str">
        <f>IF('Articles'!A970="","",'Articles'!A970)</f>
        <v/>
      </c>
      <c r="B970" s="39" t="str">
        <f>IF(A970="","",'Articles'!B970&amp;"")</f>
        <v/>
      </c>
      <c r="C970" s="39" t="str">
        <f>IF(A970="","",'Articles'!D970&amp;"")</f>
        <v/>
      </c>
      <c r="D970" s="39" t="str">
        <f>IF(A970="","",ROUND(N('Articles'!H970)+SUMIFS(mv_qty,mv_ref,A970,mv_type,"Entrée",mv_date,"&lt;"&amp;$E$1)-SUMIFS(mv_qty,mv_ref,A970,mv_type,"Sortie",mv_date,"&lt;"&amp;$E$1),6))</f>
        <v/>
      </c>
      <c r="E970" s="39" t="str">
        <f>IF(A970="","",SUMIFS(mv_qty,mv_ref,A970,mv_type,"Entrée",mv_date,"&gt;="&amp;$E$1,mv_date,"&lt;="&amp;$G$1))</f>
        <v/>
      </c>
      <c r="F970" s="39" t="str">
        <f>IF(A970="","",SUMIFS(mv_qty,mv_ref,A970,mv_type,"Sortie",mv_date,"&gt;="&amp;$E$1,mv_date,"&lt;="&amp;$G$1))</f>
        <v/>
      </c>
      <c r="G970" s="39" t="str">
        <f>IF(A970="","",ROUND(D970+E970-F970,6))</f>
        <v/>
      </c>
      <c r="H970" s="40" t="str">
        <f>IF(A970="","",G970*N('Articles'!G970))</f>
        <v/>
      </c>
    </row>
    <row r="971">
      <c r="A971" s="39" t="str">
        <f>IF('Articles'!A971="","",'Articles'!A971)</f>
        <v/>
      </c>
      <c r="B971" s="39" t="str">
        <f>IF(A971="","",'Articles'!B971&amp;"")</f>
        <v/>
      </c>
      <c r="C971" s="39" t="str">
        <f>IF(A971="","",'Articles'!D971&amp;"")</f>
        <v/>
      </c>
      <c r="D971" s="39" t="str">
        <f>IF(A971="","",ROUND(N('Articles'!H971)+SUMIFS(mv_qty,mv_ref,A971,mv_type,"Entrée",mv_date,"&lt;"&amp;$E$1)-SUMIFS(mv_qty,mv_ref,A971,mv_type,"Sortie",mv_date,"&lt;"&amp;$E$1),6))</f>
        <v/>
      </c>
      <c r="E971" s="39" t="str">
        <f>IF(A971="","",SUMIFS(mv_qty,mv_ref,A971,mv_type,"Entrée",mv_date,"&gt;="&amp;$E$1,mv_date,"&lt;="&amp;$G$1))</f>
        <v/>
      </c>
      <c r="F971" s="39" t="str">
        <f>IF(A971="","",SUMIFS(mv_qty,mv_ref,A971,mv_type,"Sortie",mv_date,"&gt;="&amp;$E$1,mv_date,"&lt;="&amp;$G$1))</f>
        <v/>
      </c>
      <c r="G971" s="39" t="str">
        <f>IF(A971="","",ROUND(D971+E971-F971,6))</f>
        <v/>
      </c>
      <c r="H971" s="40" t="str">
        <f>IF(A971="","",G971*N('Articles'!G971))</f>
        <v/>
      </c>
    </row>
    <row r="972">
      <c r="A972" s="39" t="str">
        <f>IF('Articles'!A972="","",'Articles'!A972)</f>
        <v/>
      </c>
      <c r="B972" s="39" t="str">
        <f>IF(A972="","",'Articles'!B972&amp;"")</f>
        <v/>
      </c>
      <c r="C972" s="39" t="str">
        <f>IF(A972="","",'Articles'!D972&amp;"")</f>
        <v/>
      </c>
      <c r="D972" s="39" t="str">
        <f>IF(A972="","",ROUND(N('Articles'!H972)+SUMIFS(mv_qty,mv_ref,A972,mv_type,"Entrée",mv_date,"&lt;"&amp;$E$1)-SUMIFS(mv_qty,mv_ref,A972,mv_type,"Sortie",mv_date,"&lt;"&amp;$E$1),6))</f>
        <v/>
      </c>
      <c r="E972" s="39" t="str">
        <f>IF(A972="","",SUMIFS(mv_qty,mv_ref,A972,mv_type,"Entrée",mv_date,"&gt;="&amp;$E$1,mv_date,"&lt;="&amp;$G$1))</f>
        <v/>
      </c>
      <c r="F972" s="39" t="str">
        <f>IF(A972="","",SUMIFS(mv_qty,mv_ref,A972,mv_type,"Sortie",mv_date,"&gt;="&amp;$E$1,mv_date,"&lt;="&amp;$G$1))</f>
        <v/>
      </c>
      <c r="G972" s="39" t="str">
        <f>IF(A972="","",ROUND(D972+E972-F972,6))</f>
        <v/>
      </c>
      <c r="H972" s="40" t="str">
        <f>IF(A972="","",G972*N('Articles'!G972))</f>
        <v/>
      </c>
    </row>
    <row r="973">
      <c r="A973" s="39" t="str">
        <f>IF('Articles'!A973="","",'Articles'!A973)</f>
        <v/>
      </c>
      <c r="B973" s="39" t="str">
        <f>IF(A973="","",'Articles'!B973&amp;"")</f>
        <v/>
      </c>
      <c r="C973" s="39" t="str">
        <f>IF(A973="","",'Articles'!D973&amp;"")</f>
        <v/>
      </c>
      <c r="D973" s="39" t="str">
        <f>IF(A973="","",ROUND(N('Articles'!H973)+SUMIFS(mv_qty,mv_ref,A973,mv_type,"Entrée",mv_date,"&lt;"&amp;$E$1)-SUMIFS(mv_qty,mv_ref,A973,mv_type,"Sortie",mv_date,"&lt;"&amp;$E$1),6))</f>
        <v/>
      </c>
      <c r="E973" s="39" t="str">
        <f>IF(A973="","",SUMIFS(mv_qty,mv_ref,A973,mv_type,"Entrée",mv_date,"&gt;="&amp;$E$1,mv_date,"&lt;="&amp;$G$1))</f>
        <v/>
      </c>
      <c r="F973" s="39" t="str">
        <f>IF(A973="","",SUMIFS(mv_qty,mv_ref,A973,mv_type,"Sortie",mv_date,"&gt;="&amp;$E$1,mv_date,"&lt;="&amp;$G$1))</f>
        <v/>
      </c>
      <c r="G973" s="39" t="str">
        <f>IF(A973="","",ROUND(D973+E973-F973,6))</f>
        <v/>
      </c>
      <c r="H973" s="40" t="str">
        <f>IF(A973="","",G973*N('Articles'!G973))</f>
        <v/>
      </c>
    </row>
    <row r="974">
      <c r="A974" s="39" t="str">
        <f>IF('Articles'!A974="","",'Articles'!A974)</f>
        <v/>
      </c>
      <c r="B974" s="39" t="str">
        <f>IF(A974="","",'Articles'!B974&amp;"")</f>
        <v/>
      </c>
      <c r="C974" s="39" t="str">
        <f>IF(A974="","",'Articles'!D974&amp;"")</f>
        <v/>
      </c>
      <c r="D974" s="39" t="str">
        <f>IF(A974="","",ROUND(N('Articles'!H974)+SUMIFS(mv_qty,mv_ref,A974,mv_type,"Entrée",mv_date,"&lt;"&amp;$E$1)-SUMIFS(mv_qty,mv_ref,A974,mv_type,"Sortie",mv_date,"&lt;"&amp;$E$1),6))</f>
        <v/>
      </c>
      <c r="E974" s="39" t="str">
        <f>IF(A974="","",SUMIFS(mv_qty,mv_ref,A974,mv_type,"Entrée",mv_date,"&gt;="&amp;$E$1,mv_date,"&lt;="&amp;$G$1))</f>
        <v/>
      </c>
      <c r="F974" s="39" t="str">
        <f>IF(A974="","",SUMIFS(mv_qty,mv_ref,A974,mv_type,"Sortie",mv_date,"&gt;="&amp;$E$1,mv_date,"&lt;="&amp;$G$1))</f>
        <v/>
      </c>
      <c r="G974" s="39" t="str">
        <f>IF(A974="","",ROUND(D974+E974-F974,6))</f>
        <v/>
      </c>
      <c r="H974" s="40" t="str">
        <f>IF(A974="","",G974*N('Articles'!G974))</f>
        <v/>
      </c>
    </row>
    <row r="975">
      <c r="A975" s="39" t="str">
        <f>IF('Articles'!A975="","",'Articles'!A975)</f>
        <v/>
      </c>
      <c r="B975" s="39" t="str">
        <f>IF(A975="","",'Articles'!B975&amp;"")</f>
        <v/>
      </c>
      <c r="C975" s="39" t="str">
        <f>IF(A975="","",'Articles'!D975&amp;"")</f>
        <v/>
      </c>
      <c r="D975" s="39" t="str">
        <f>IF(A975="","",ROUND(N('Articles'!H975)+SUMIFS(mv_qty,mv_ref,A975,mv_type,"Entrée",mv_date,"&lt;"&amp;$E$1)-SUMIFS(mv_qty,mv_ref,A975,mv_type,"Sortie",mv_date,"&lt;"&amp;$E$1),6))</f>
        <v/>
      </c>
      <c r="E975" s="39" t="str">
        <f>IF(A975="","",SUMIFS(mv_qty,mv_ref,A975,mv_type,"Entrée",mv_date,"&gt;="&amp;$E$1,mv_date,"&lt;="&amp;$G$1))</f>
        <v/>
      </c>
      <c r="F975" s="39" t="str">
        <f>IF(A975="","",SUMIFS(mv_qty,mv_ref,A975,mv_type,"Sortie",mv_date,"&gt;="&amp;$E$1,mv_date,"&lt;="&amp;$G$1))</f>
        <v/>
      </c>
      <c r="G975" s="39" t="str">
        <f>IF(A975="","",ROUND(D975+E975-F975,6))</f>
        <v/>
      </c>
      <c r="H975" s="40" t="str">
        <f>IF(A975="","",G975*N('Articles'!G975))</f>
        <v/>
      </c>
    </row>
    <row r="976">
      <c r="A976" s="39" t="str">
        <f>IF('Articles'!A976="","",'Articles'!A976)</f>
        <v/>
      </c>
      <c r="B976" s="39" t="str">
        <f>IF(A976="","",'Articles'!B976&amp;"")</f>
        <v/>
      </c>
      <c r="C976" s="39" t="str">
        <f>IF(A976="","",'Articles'!D976&amp;"")</f>
        <v/>
      </c>
      <c r="D976" s="39" t="str">
        <f>IF(A976="","",ROUND(N('Articles'!H976)+SUMIFS(mv_qty,mv_ref,A976,mv_type,"Entrée",mv_date,"&lt;"&amp;$E$1)-SUMIFS(mv_qty,mv_ref,A976,mv_type,"Sortie",mv_date,"&lt;"&amp;$E$1),6))</f>
        <v/>
      </c>
      <c r="E976" s="39" t="str">
        <f>IF(A976="","",SUMIFS(mv_qty,mv_ref,A976,mv_type,"Entrée",mv_date,"&gt;="&amp;$E$1,mv_date,"&lt;="&amp;$G$1))</f>
        <v/>
      </c>
      <c r="F976" s="39" t="str">
        <f>IF(A976="","",SUMIFS(mv_qty,mv_ref,A976,mv_type,"Sortie",mv_date,"&gt;="&amp;$E$1,mv_date,"&lt;="&amp;$G$1))</f>
        <v/>
      </c>
      <c r="G976" s="39" t="str">
        <f>IF(A976="","",ROUND(D976+E976-F976,6))</f>
        <v/>
      </c>
      <c r="H976" s="40" t="str">
        <f>IF(A976="","",G976*N('Articles'!G976))</f>
        <v/>
      </c>
    </row>
    <row r="977">
      <c r="A977" s="39" t="str">
        <f>IF('Articles'!A977="","",'Articles'!A977)</f>
        <v/>
      </c>
      <c r="B977" s="39" t="str">
        <f>IF(A977="","",'Articles'!B977&amp;"")</f>
        <v/>
      </c>
      <c r="C977" s="39" t="str">
        <f>IF(A977="","",'Articles'!D977&amp;"")</f>
        <v/>
      </c>
      <c r="D977" s="39" t="str">
        <f>IF(A977="","",ROUND(N('Articles'!H977)+SUMIFS(mv_qty,mv_ref,A977,mv_type,"Entrée",mv_date,"&lt;"&amp;$E$1)-SUMIFS(mv_qty,mv_ref,A977,mv_type,"Sortie",mv_date,"&lt;"&amp;$E$1),6))</f>
        <v/>
      </c>
      <c r="E977" s="39" t="str">
        <f>IF(A977="","",SUMIFS(mv_qty,mv_ref,A977,mv_type,"Entrée",mv_date,"&gt;="&amp;$E$1,mv_date,"&lt;="&amp;$G$1))</f>
        <v/>
      </c>
      <c r="F977" s="39" t="str">
        <f>IF(A977="","",SUMIFS(mv_qty,mv_ref,A977,mv_type,"Sortie",mv_date,"&gt;="&amp;$E$1,mv_date,"&lt;="&amp;$G$1))</f>
        <v/>
      </c>
      <c r="G977" s="39" t="str">
        <f>IF(A977="","",ROUND(D977+E977-F977,6))</f>
        <v/>
      </c>
      <c r="H977" s="40" t="str">
        <f>IF(A977="","",G977*N('Articles'!G977))</f>
        <v/>
      </c>
    </row>
    <row r="978">
      <c r="A978" s="39" t="str">
        <f>IF('Articles'!A978="","",'Articles'!A978)</f>
        <v/>
      </c>
      <c r="B978" s="39" t="str">
        <f>IF(A978="","",'Articles'!B978&amp;"")</f>
        <v/>
      </c>
      <c r="C978" s="39" t="str">
        <f>IF(A978="","",'Articles'!D978&amp;"")</f>
        <v/>
      </c>
      <c r="D978" s="39" t="str">
        <f>IF(A978="","",ROUND(N('Articles'!H978)+SUMIFS(mv_qty,mv_ref,A978,mv_type,"Entrée",mv_date,"&lt;"&amp;$E$1)-SUMIFS(mv_qty,mv_ref,A978,mv_type,"Sortie",mv_date,"&lt;"&amp;$E$1),6))</f>
        <v/>
      </c>
      <c r="E978" s="39" t="str">
        <f>IF(A978="","",SUMIFS(mv_qty,mv_ref,A978,mv_type,"Entrée",mv_date,"&gt;="&amp;$E$1,mv_date,"&lt;="&amp;$G$1))</f>
        <v/>
      </c>
      <c r="F978" s="39" t="str">
        <f>IF(A978="","",SUMIFS(mv_qty,mv_ref,A978,mv_type,"Sortie",mv_date,"&gt;="&amp;$E$1,mv_date,"&lt;="&amp;$G$1))</f>
        <v/>
      </c>
      <c r="G978" s="39" t="str">
        <f>IF(A978="","",ROUND(D978+E978-F978,6))</f>
        <v/>
      </c>
      <c r="H978" s="40" t="str">
        <f>IF(A978="","",G978*N('Articles'!G978))</f>
        <v/>
      </c>
    </row>
    <row r="979">
      <c r="A979" s="39" t="str">
        <f>IF('Articles'!A979="","",'Articles'!A979)</f>
        <v/>
      </c>
      <c r="B979" s="39" t="str">
        <f>IF(A979="","",'Articles'!B979&amp;"")</f>
        <v/>
      </c>
      <c r="C979" s="39" t="str">
        <f>IF(A979="","",'Articles'!D979&amp;"")</f>
        <v/>
      </c>
      <c r="D979" s="39" t="str">
        <f>IF(A979="","",ROUND(N('Articles'!H979)+SUMIFS(mv_qty,mv_ref,A979,mv_type,"Entrée",mv_date,"&lt;"&amp;$E$1)-SUMIFS(mv_qty,mv_ref,A979,mv_type,"Sortie",mv_date,"&lt;"&amp;$E$1),6))</f>
        <v/>
      </c>
      <c r="E979" s="39" t="str">
        <f>IF(A979="","",SUMIFS(mv_qty,mv_ref,A979,mv_type,"Entrée",mv_date,"&gt;="&amp;$E$1,mv_date,"&lt;="&amp;$G$1))</f>
        <v/>
      </c>
      <c r="F979" s="39" t="str">
        <f>IF(A979="","",SUMIFS(mv_qty,mv_ref,A979,mv_type,"Sortie",mv_date,"&gt;="&amp;$E$1,mv_date,"&lt;="&amp;$G$1))</f>
        <v/>
      </c>
      <c r="G979" s="39" t="str">
        <f>IF(A979="","",ROUND(D979+E979-F979,6))</f>
        <v/>
      </c>
      <c r="H979" s="40" t="str">
        <f>IF(A979="","",G979*N('Articles'!G979))</f>
        <v/>
      </c>
    </row>
    <row r="980">
      <c r="A980" s="39" t="str">
        <f>IF('Articles'!A980="","",'Articles'!A980)</f>
        <v/>
      </c>
      <c r="B980" s="39" t="str">
        <f>IF(A980="","",'Articles'!B980&amp;"")</f>
        <v/>
      </c>
      <c r="C980" s="39" t="str">
        <f>IF(A980="","",'Articles'!D980&amp;"")</f>
        <v/>
      </c>
      <c r="D980" s="39" t="str">
        <f>IF(A980="","",ROUND(N('Articles'!H980)+SUMIFS(mv_qty,mv_ref,A980,mv_type,"Entrée",mv_date,"&lt;"&amp;$E$1)-SUMIFS(mv_qty,mv_ref,A980,mv_type,"Sortie",mv_date,"&lt;"&amp;$E$1),6))</f>
        <v/>
      </c>
      <c r="E980" s="39" t="str">
        <f>IF(A980="","",SUMIFS(mv_qty,mv_ref,A980,mv_type,"Entrée",mv_date,"&gt;="&amp;$E$1,mv_date,"&lt;="&amp;$G$1))</f>
        <v/>
      </c>
      <c r="F980" s="39" t="str">
        <f>IF(A980="","",SUMIFS(mv_qty,mv_ref,A980,mv_type,"Sortie",mv_date,"&gt;="&amp;$E$1,mv_date,"&lt;="&amp;$G$1))</f>
        <v/>
      </c>
      <c r="G980" s="39" t="str">
        <f>IF(A980="","",ROUND(D980+E980-F980,6))</f>
        <v/>
      </c>
      <c r="H980" s="40" t="str">
        <f>IF(A980="","",G980*N('Articles'!G980))</f>
        <v/>
      </c>
    </row>
    <row r="981">
      <c r="A981" s="39" t="str">
        <f>IF('Articles'!A981="","",'Articles'!A981)</f>
        <v/>
      </c>
      <c r="B981" s="39" t="str">
        <f>IF(A981="","",'Articles'!B981&amp;"")</f>
        <v/>
      </c>
      <c r="C981" s="39" t="str">
        <f>IF(A981="","",'Articles'!D981&amp;"")</f>
        <v/>
      </c>
      <c r="D981" s="39" t="str">
        <f>IF(A981="","",ROUND(N('Articles'!H981)+SUMIFS(mv_qty,mv_ref,A981,mv_type,"Entrée",mv_date,"&lt;"&amp;$E$1)-SUMIFS(mv_qty,mv_ref,A981,mv_type,"Sortie",mv_date,"&lt;"&amp;$E$1),6))</f>
        <v/>
      </c>
      <c r="E981" s="39" t="str">
        <f>IF(A981="","",SUMIFS(mv_qty,mv_ref,A981,mv_type,"Entrée",mv_date,"&gt;="&amp;$E$1,mv_date,"&lt;="&amp;$G$1))</f>
        <v/>
      </c>
      <c r="F981" s="39" t="str">
        <f>IF(A981="","",SUMIFS(mv_qty,mv_ref,A981,mv_type,"Sortie",mv_date,"&gt;="&amp;$E$1,mv_date,"&lt;="&amp;$G$1))</f>
        <v/>
      </c>
      <c r="G981" s="39" t="str">
        <f>IF(A981="","",ROUND(D981+E981-F981,6))</f>
        <v/>
      </c>
      <c r="H981" s="40" t="str">
        <f>IF(A981="","",G981*N('Articles'!G981))</f>
        <v/>
      </c>
    </row>
    <row r="982">
      <c r="A982" s="39" t="str">
        <f>IF('Articles'!A982="","",'Articles'!A982)</f>
        <v/>
      </c>
      <c r="B982" s="39" t="str">
        <f>IF(A982="","",'Articles'!B982&amp;"")</f>
        <v/>
      </c>
      <c r="C982" s="39" t="str">
        <f>IF(A982="","",'Articles'!D982&amp;"")</f>
        <v/>
      </c>
      <c r="D982" s="39" t="str">
        <f>IF(A982="","",ROUND(N('Articles'!H982)+SUMIFS(mv_qty,mv_ref,A982,mv_type,"Entrée",mv_date,"&lt;"&amp;$E$1)-SUMIFS(mv_qty,mv_ref,A982,mv_type,"Sortie",mv_date,"&lt;"&amp;$E$1),6))</f>
        <v/>
      </c>
      <c r="E982" s="39" t="str">
        <f>IF(A982="","",SUMIFS(mv_qty,mv_ref,A982,mv_type,"Entrée",mv_date,"&gt;="&amp;$E$1,mv_date,"&lt;="&amp;$G$1))</f>
        <v/>
      </c>
      <c r="F982" s="39" t="str">
        <f>IF(A982="","",SUMIFS(mv_qty,mv_ref,A982,mv_type,"Sortie",mv_date,"&gt;="&amp;$E$1,mv_date,"&lt;="&amp;$G$1))</f>
        <v/>
      </c>
      <c r="G982" s="39" t="str">
        <f>IF(A982="","",ROUND(D982+E982-F982,6))</f>
        <v/>
      </c>
      <c r="H982" s="40" t="str">
        <f>IF(A982="","",G982*N('Articles'!G982))</f>
        <v/>
      </c>
    </row>
    <row r="983">
      <c r="A983" s="39" t="str">
        <f>IF('Articles'!A983="","",'Articles'!A983)</f>
        <v/>
      </c>
      <c r="B983" s="39" t="str">
        <f>IF(A983="","",'Articles'!B983&amp;"")</f>
        <v/>
      </c>
      <c r="C983" s="39" t="str">
        <f>IF(A983="","",'Articles'!D983&amp;"")</f>
        <v/>
      </c>
      <c r="D983" s="39" t="str">
        <f>IF(A983="","",ROUND(N('Articles'!H983)+SUMIFS(mv_qty,mv_ref,A983,mv_type,"Entrée",mv_date,"&lt;"&amp;$E$1)-SUMIFS(mv_qty,mv_ref,A983,mv_type,"Sortie",mv_date,"&lt;"&amp;$E$1),6))</f>
        <v/>
      </c>
      <c r="E983" s="39" t="str">
        <f>IF(A983="","",SUMIFS(mv_qty,mv_ref,A983,mv_type,"Entrée",mv_date,"&gt;="&amp;$E$1,mv_date,"&lt;="&amp;$G$1))</f>
        <v/>
      </c>
      <c r="F983" s="39" t="str">
        <f>IF(A983="","",SUMIFS(mv_qty,mv_ref,A983,mv_type,"Sortie",mv_date,"&gt;="&amp;$E$1,mv_date,"&lt;="&amp;$G$1))</f>
        <v/>
      </c>
      <c r="G983" s="39" t="str">
        <f>IF(A983="","",ROUND(D983+E983-F983,6))</f>
        <v/>
      </c>
      <c r="H983" s="40" t="str">
        <f>IF(A983="","",G983*N('Articles'!G983))</f>
        <v/>
      </c>
    </row>
    <row r="984">
      <c r="A984" s="39" t="str">
        <f>IF('Articles'!A984="","",'Articles'!A984)</f>
        <v/>
      </c>
      <c r="B984" s="39" t="str">
        <f>IF(A984="","",'Articles'!B984&amp;"")</f>
        <v/>
      </c>
      <c r="C984" s="39" t="str">
        <f>IF(A984="","",'Articles'!D984&amp;"")</f>
        <v/>
      </c>
      <c r="D984" s="39" t="str">
        <f>IF(A984="","",ROUND(N('Articles'!H984)+SUMIFS(mv_qty,mv_ref,A984,mv_type,"Entrée",mv_date,"&lt;"&amp;$E$1)-SUMIFS(mv_qty,mv_ref,A984,mv_type,"Sortie",mv_date,"&lt;"&amp;$E$1),6))</f>
        <v/>
      </c>
      <c r="E984" s="39" t="str">
        <f>IF(A984="","",SUMIFS(mv_qty,mv_ref,A984,mv_type,"Entrée",mv_date,"&gt;="&amp;$E$1,mv_date,"&lt;="&amp;$G$1))</f>
        <v/>
      </c>
      <c r="F984" s="39" t="str">
        <f>IF(A984="","",SUMIFS(mv_qty,mv_ref,A984,mv_type,"Sortie",mv_date,"&gt;="&amp;$E$1,mv_date,"&lt;="&amp;$G$1))</f>
        <v/>
      </c>
      <c r="G984" s="39" t="str">
        <f>IF(A984="","",ROUND(D984+E984-F984,6))</f>
        <v/>
      </c>
      <c r="H984" s="40" t="str">
        <f>IF(A984="","",G984*N('Articles'!G984))</f>
        <v/>
      </c>
    </row>
    <row r="985">
      <c r="A985" s="39" t="str">
        <f>IF('Articles'!A985="","",'Articles'!A985)</f>
        <v/>
      </c>
      <c r="B985" s="39" t="str">
        <f>IF(A985="","",'Articles'!B985&amp;"")</f>
        <v/>
      </c>
      <c r="C985" s="39" t="str">
        <f>IF(A985="","",'Articles'!D985&amp;"")</f>
        <v/>
      </c>
      <c r="D985" s="39" t="str">
        <f>IF(A985="","",ROUND(N('Articles'!H985)+SUMIFS(mv_qty,mv_ref,A985,mv_type,"Entrée",mv_date,"&lt;"&amp;$E$1)-SUMIFS(mv_qty,mv_ref,A985,mv_type,"Sortie",mv_date,"&lt;"&amp;$E$1),6))</f>
        <v/>
      </c>
      <c r="E985" s="39" t="str">
        <f>IF(A985="","",SUMIFS(mv_qty,mv_ref,A985,mv_type,"Entrée",mv_date,"&gt;="&amp;$E$1,mv_date,"&lt;="&amp;$G$1))</f>
        <v/>
      </c>
      <c r="F985" s="39" t="str">
        <f>IF(A985="","",SUMIFS(mv_qty,mv_ref,A985,mv_type,"Sortie",mv_date,"&gt;="&amp;$E$1,mv_date,"&lt;="&amp;$G$1))</f>
        <v/>
      </c>
      <c r="G985" s="39" t="str">
        <f>IF(A985="","",ROUND(D985+E985-F985,6))</f>
        <v/>
      </c>
      <c r="H985" s="40" t="str">
        <f>IF(A985="","",G985*N('Articles'!G985))</f>
        <v/>
      </c>
    </row>
    <row r="986">
      <c r="A986" s="39" t="str">
        <f>IF('Articles'!A986="","",'Articles'!A986)</f>
        <v/>
      </c>
      <c r="B986" s="39" t="str">
        <f>IF(A986="","",'Articles'!B986&amp;"")</f>
        <v/>
      </c>
      <c r="C986" s="39" t="str">
        <f>IF(A986="","",'Articles'!D986&amp;"")</f>
        <v/>
      </c>
      <c r="D986" s="39" t="str">
        <f>IF(A986="","",ROUND(N('Articles'!H986)+SUMIFS(mv_qty,mv_ref,A986,mv_type,"Entrée",mv_date,"&lt;"&amp;$E$1)-SUMIFS(mv_qty,mv_ref,A986,mv_type,"Sortie",mv_date,"&lt;"&amp;$E$1),6))</f>
        <v/>
      </c>
      <c r="E986" s="39" t="str">
        <f>IF(A986="","",SUMIFS(mv_qty,mv_ref,A986,mv_type,"Entrée",mv_date,"&gt;="&amp;$E$1,mv_date,"&lt;="&amp;$G$1))</f>
        <v/>
      </c>
      <c r="F986" s="39" t="str">
        <f>IF(A986="","",SUMIFS(mv_qty,mv_ref,A986,mv_type,"Sortie",mv_date,"&gt;="&amp;$E$1,mv_date,"&lt;="&amp;$G$1))</f>
        <v/>
      </c>
      <c r="G986" s="39" t="str">
        <f>IF(A986="","",ROUND(D986+E986-F986,6))</f>
        <v/>
      </c>
      <c r="H986" s="40" t="str">
        <f>IF(A986="","",G986*N('Articles'!G986))</f>
        <v/>
      </c>
    </row>
    <row r="987">
      <c r="A987" s="39" t="str">
        <f>IF('Articles'!A987="","",'Articles'!A987)</f>
        <v/>
      </c>
      <c r="B987" s="39" t="str">
        <f>IF(A987="","",'Articles'!B987&amp;"")</f>
        <v/>
      </c>
      <c r="C987" s="39" t="str">
        <f>IF(A987="","",'Articles'!D987&amp;"")</f>
        <v/>
      </c>
      <c r="D987" s="39" t="str">
        <f>IF(A987="","",ROUND(N('Articles'!H987)+SUMIFS(mv_qty,mv_ref,A987,mv_type,"Entrée",mv_date,"&lt;"&amp;$E$1)-SUMIFS(mv_qty,mv_ref,A987,mv_type,"Sortie",mv_date,"&lt;"&amp;$E$1),6))</f>
        <v/>
      </c>
      <c r="E987" s="39" t="str">
        <f>IF(A987="","",SUMIFS(mv_qty,mv_ref,A987,mv_type,"Entrée",mv_date,"&gt;="&amp;$E$1,mv_date,"&lt;="&amp;$G$1))</f>
        <v/>
      </c>
      <c r="F987" s="39" t="str">
        <f>IF(A987="","",SUMIFS(mv_qty,mv_ref,A987,mv_type,"Sortie",mv_date,"&gt;="&amp;$E$1,mv_date,"&lt;="&amp;$G$1))</f>
        <v/>
      </c>
      <c r="G987" s="39" t="str">
        <f>IF(A987="","",ROUND(D987+E987-F987,6))</f>
        <v/>
      </c>
      <c r="H987" s="40" t="str">
        <f>IF(A987="","",G987*N('Articles'!G987))</f>
        <v/>
      </c>
    </row>
    <row r="988">
      <c r="A988" s="39" t="str">
        <f>IF('Articles'!A988="","",'Articles'!A988)</f>
        <v/>
      </c>
      <c r="B988" s="39" t="str">
        <f>IF(A988="","",'Articles'!B988&amp;"")</f>
        <v/>
      </c>
      <c r="C988" s="39" t="str">
        <f>IF(A988="","",'Articles'!D988&amp;"")</f>
        <v/>
      </c>
      <c r="D988" s="39" t="str">
        <f>IF(A988="","",ROUND(N('Articles'!H988)+SUMIFS(mv_qty,mv_ref,A988,mv_type,"Entrée",mv_date,"&lt;"&amp;$E$1)-SUMIFS(mv_qty,mv_ref,A988,mv_type,"Sortie",mv_date,"&lt;"&amp;$E$1),6))</f>
        <v/>
      </c>
      <c r="E988" s="39" t="str">
        <f>IF(A988="","",SUMIFS(mv_qty,mv_ref,A988,mv_type,"Entrée",mv_date,"&gt;="&amp;$E$1,mv_date,"&lt;="&amp;$G$1))</f>
        <v/>
      </c>
      <c r="F988" s="39" t="str">
        <f>IF(A988="","",SUMIFS(mv_qty,mv_ref,A988,mv_type,"Sortie",mv_date,"&gt;="&amp;$E$1,mv_date,"&lt;="&amp;$G$1))</f>
        <v/>
      </c>
      <c r="G988" s="39" t="str">
        <f>IF(A988="","",ROUND(D988+E988-F988,6))</f>
        <v/>
      </c>
      <c r="H988" s="40" t="str">
        <f>IF(A988="","",G988*N('Articles'!G988))</f>
        <v/>
      </c>
    </row>
    <row r="989">
      <c r="A989" s="39" t="str">
        <f>IF('Articles'!A989="","",'Articles'!A989)</f>
        <v/>
      </c>
      <c r="B989" s="39" t="str">
        <f>IF(A989="","",'Articles'!B989&amp;"")</f>
        <v/>
      </c>
      <c r="C989" s="39" t="str">
        <f>IF(A989="","",'Articles'!D989&amp;"")</f>
        <v/>
      </c>
      <c r="D989" s="39" t="str">
        <f>IF(A989="","",ROUND(N('Articles'!H989)+SUMIFS(mv_qty,mv_ref,A989,mv_type,"Entrée",mv_date,"&lt;"&amp;$E$1)-SUMIFS(mv_qty,mv_ref,A989,mv_type,"Sortie",mv_date,"&lt;"&amp;$E$1),6))</f>
        <v/>
      </c>
      <c r="E989" s="39" t="str">
        <f>IF(A989="","",SUMIFS(mv_qty,mv_ref,A989,mv_type,"Entrée",mv_date,"&gt;="&amp;$E$1,mv_date,"&lt;="&amp;$G$1))</f>
        <v/>
      </c>
      <c r="F989" s="39" t="str">
        <f>IF(A989="","",SUMIFS(mv_qty,mv_ref,A989,mv_type,"Sortie",mv_date,"&gt;="&amp;$E$1,mv_date,"&lt;="&amp;$G$1))</f>
        <v/>
      </c>
      <c r="G989" s="39" t="str">
        <f>IF(A989="","",ROUND(D989+E989-F989,6))</f>
        <v/>
      </c>
      <c r="H989" s="40" t="str">
        <f>IF(A989="","",G989*N('Articles'!G989))</f>
        <v/>
      </c>
    </row>
    <row r="990">
      <c r="A990" s="39" t="str">
        <f>IF('Articles'!A990="","",'Articles'!A990)</f>
        <v/>
      </c>
      <c r="B990" s="39" t="str">
        <f>IF(A990="","",'Articles'!B990&amp;"")</f>
        <v/>
      </c>
      <c r="C990" s="39" t="str">
        <f>IF(A990="","",'Articles'!D990&amp;"")</f>
        <v/>
      </c>
      <c r="D990" s="39" t="str">
        <f>IF(A990="","",ROUND(N('Articles'!H990)+SUMIFS(mv_qty,mv_ref,A990,mv_type,"Entrée",mv_date,"&lt;"&amp;$E$1)-SUMIFS(mv_qty,mv_ref,A990,mv_type,"Sortie",mv_date,"&lt;"&amp;$E$1),6))</f>
        <v/>
      </c>
      <c r="E990" s="39" t="str">
        <f>IF(A990="","",SUMIFS(mv_qty,mv_ref,A990,mv_type,"Entrée",mv_date,"&gt;="&amp;$E$1,mv_date,"&lt;="&amp;$G$1))</f>
        <v/>
      </c>
      <c r="F990" s="39" t="str">
        <f>IF(A990="","",SUMIFS(mv_qty,mv_ref,A990,mv_type,"Sortie",mv_date,"&gt;="&amp;$E$1,mv_date,"&lt;="&amp;$G$1))</f>
        <v/>
      </c>
      <c r="G990" s="39" t="str">
        <f>IF(A990="","",ROUND(D990+E990-F990,6))</f>
        <v/>
      </c>
      <c r="H990" s="40" t="str">
        <f>IF(A990="","",G990*N('Articles'!G990))</f>
        <v/>
      </c>
    </row>
    <row r="991">
      <c r="A991" s="39" t="str">
        <f>IF('Articles'!A991="","",'Articles'!A991)</f>
        <v/>
      </c>
      <c r="B991" s="39" t="str">
        <f>IF(A991="","",'Articles'!B991&amp;"")</f>
        <v/>
      </c>
      <c r="C991" s="39" t="str">
        <f>IF(A991="","",'Articles'!D991&amp;"")</f>
        <v/>
      </c>
      <c r="D991" s="39" t="str">
        <f>IF(A991="","",ROUND(N('Articles'!H991)+SUMIFS(mv_qty,mv_ref,A991,mv_type,"Entrée",mv_date,"&lt;"&amp;$E$1)-SUMIFS(mv_qty,mv_ref,A991,mv_type,"Sortie",mv_date,"&lt;"&amp;$E$1),6))</f>
        <v/>
      </c>
      <c r="E991" s="39" t="str">
        <f>IF(A991="","",SUMIFS(mv_qty,mv_ref,A991,mv_type,"Entrée",mv_date,"&gt;="&amp;$E$1,mv_date,"&lt;="&amp;$G$1))</f>
        <v/>
      </c>
      <c r="F991" s="39" t="str">
        <f>IF(A991="","",SUMIFS(mv_qty,mv_ref,A991,mv_type,"Sortie",mv_date,"&gt;="&amp;$E$1,mv_date,"&lt;="&amp;$G$1))</f>
        <v/>
      </c>
      <c r="G991" s="39" t="str">
        <f>IF(A991="","",ROUND(D991+E991-F991,6))</f>
        <v/>
      </c>
      <c r="H991" s="40" t="str">
        <f>IF(A991="","",G991*N('Articles'!G991))</f>
        <v/>
      </c>
    </row>
    <row r="992">
      <c r="A992" s="39" t="str">
        <f>IF('Articles'!A992="","",'Articles'!A992)</f>
        <v/>
      </c>
      <c r="B992" s="39" t="str">
        <f>IF(A992="","",'Articles'!B992&amp;"")</f>
        <v/>
      </c>
      <c r="C992" s="39" t="str">
        <f>IF(A992="","",'Articles'!D992&amp;"")</f>
        <v/>
      </c>
      <c r="D992" s="39" t="str">
        <f>IF(A992="","",ROUND(N('Articles'!H992)+SUMIFS(mv_qty,mv_ref,A992,mv_type,"Entrée",mv_date,"&lt;"&amp;$E$1)-SUMIFS(mv_qty,mv_ref,A992,mv_type,"Sortie",mv_date,"&lt;"&amp;$E$1),6))</f>
        <v/>
      </c>
      <c r="E992" s="39" t="str">
        <f>IF(A992="","",SUMIFS(mv_qty,mv_ref,A992,mv_type,"Entrée",mv_date,"&gt;="&amp;$E$1,mv_date,"&lt;="&amp;$G$1))</f>
        <v/>
      </c>
      <c r="F992" s="39" t="str">
        <f>IF(A992="","",SUMIFS(mv_qty,mv_ref,A992,mv_type,"Sortie",mv_date,"&gt;="&amp;$E$1,mv_date,"&lt;="&amp;$G$1))</f>
        <v/>
      </c>
      <c r="G992" s="39" t="str">
        <f>IF(A992="","",ROUND(D992+E992-F992,6))</f>
        <v/>
      </c>
      <c r="H992" s="40" t="str">
        <f>IF(A992="","",G992*N('Articles'!G992))</f>
        <v/>
      </c>
    </row>
    <row r="993">
      <c r="A993" s="39" t="str">
        <f>IF('Articles'!A993="","",'Articles'!A993)</f>
        <v/>
      </c>
      <c r="B993" s="39" t="str">
        <f>IF(A993="","",'Articles'!B993&amp;"")</f>
        <v/>
      </c>
      <c r="C993" s="39" t="str">
        <f>IF(A993="","",'Articles'!D993&amp;"")</f>
        <v/>
      </c>
      <c r="D993" s="39" t="str">
        <f>IF(A993="","",ROUND(N('Articles'!H993)+SUMIFS(mv_qty,mv_ref,A993,mv_type,"Entrée",mv_date,"&lt;"&amp;$E$1)-SUMIFS(mv_qty,mv_ref,A993,mv_type,"Sortie",mv_date,"&lt;"&amp;$E$1),6))</f>
        <v/>
      </c>
      <c r="E993" s="39" t="str">
        <f>IF(A993="","",SUMIFS(mv_qty,mv_ref,A993,mv_type,"Entrée",mv_date,"&gt;="&amp;$E$1,mv_date,"&lt;="&amp;$G$1))</f>
        <v/>
      </c>
      <c r="F993" s="39" t="str">
        <f>IF(A993="","",SUMIFS(mv_qty,mv_ref,A993,mv_type,"Sortie",mv_date,"&gt;="&amp;$E$1,mv_date,"&lt;="&amp;$G$1))</f>
        <v/>
      </c>
      <c r="G993" s="39" t="str">
        <f>IF(A993="","",ROUND(D993+E993-F993,6))</f>
        <v/>
      </c>
      <c r="H993" s="40" t="str">
        <f>IF(A993="","",G993*N('Articles'!G993))</f>
        <v/>
      </c>
    </row>
    <row r="994">
      <c r="A994" s="39" t="str">
        <f>IF('Articles'!A994="","",'Articles'!A994)</f>
        <v/>
      </c>
      <c r="B994" s="39" t="str">
        <f>IF(A994="","",'Articles'!B994&amp;"")</f>
        <v/>
      </c>
      <c r="C994" s="39" t="str">
        <f>IF(A994="","",'Articles'!D994&amp;"")</f>
        <v/>
      </c>
      <c r="D994" s="39" t="str">
        <f>IF(A994="","",ROUND(N('Articles'!H994)+SUMIFS(mv_qty,mv_ref,A994,mv_type,"Entrée",mv_date,"&lt;"&amp;$E$1)-SUMIFS(mv_qty,mv_ref,A994,mv_type,"Sortie",mv_date,"&lt;"&amp;$E$1),6))</f>
        <v/>
      </c>
      <c r="E994" s="39" t="str">
        <f>IF(A994="","",SUMIFS(mv_qty,mv_ref,A994,mv_type,"Entrée",mv_date,"&gt;="&amp;$E$1,mv_date,"&lt;="&amp;$G$1))</f>
        <v/>
      </c>
      <c r="F994" s="39" t="str">
        <f>IF(A994="","",SUMIFS(mv_qty,mv_ref,A994,mv_type,"Sortie",mv_date,"&gt;="&amp;$E$1,mv_date,"&lt;="&amp;$G$1))</f>
        <v/>
      </c>
      <c r="G994" s="39" t="str">
        <f>IF(A994="","",ROUND(D994+E994-F994,6))</f>
        <v/>
      </c>
      <c r="H994" s="40" t="str">
        <f>IF(A994="","",G994*N('Articles'!G994))</f>
        <v/>
      </c>
    </row>
    <row r="995">
      <c r="A995" s="39" t="str">
        <f>IF('Articles'!A995="","",'Articles'!A995)</f>
        <v/>
      </c>
      <c r="B995" s="39" t="str">
        <f>IF(A995="","",'Articles'!B995&amp;"")</f>
        <v/>
      </c>
      <c r="C995" s="39" t="str">
        <f>IF(A995="","",'Articles'!D995&amp;"")</f>
        <v/>
      </c>
      <c r="D995" s="39" t="str">
        <f>IF(A995="","",ROUND(N('Articles'!H995)+SUMIFS(mv_qty,mv_ref,A995,mv_type,"Entrée",mv_date,"&lt;"&amp;$E$1)-SUMIFS(mv_qty,mv_ref,A995,mv_type,"Sortie",mv_date,"&lt;"&amp;$E$1),6))</f>
        <v/>
      </c>
      <c r="E995" s="39" t="str">
        <f>IF(A995="","",SUMIFS(mv_qty,mv_ref,A995,mv_type,"Entrée",mv_date,"&gt;="&amp;$E$1,mv_date,"&lt;="&amp;$G$1))</f>
        <v/>
      </c>
      <c r="F995" s="39" t="str">
        <f>IF(A995="","",SUMIFS(mv_qty,mv_ref,A995,mv_type,"Sortie",mv_date,"&gt;="&amp;$E$1,mv_date,"&lt;="&amp;$G$1))</f>
        <v/>
      </c>
      <c r="G995" s="39" t="str">
        <f>IF(A995="","",ROUND(D995+E995-F995,6))</f>
        <v/>
      </c>
      <c r="H995" s="40" t="str">
        <f>IF(A995="","",G995*N('Articles'!G995))</f>
        <v/>
      </c>
    </row>
    <row r="996">
      <c r="A996" s="39" t="str">
        <f>IF('Articles'!A996="","",'Articles'!A996)</f>
        <v/>
      </c>
      <c r="B996" s="39" t="str">
        <f>IF(A996="","",'Articles'!B996&amp;"")</f>
        <v/>
      </c>
      <c r="C996" s="39" t="str">
        <f>IF(A996="","",'Articles'!D996&amp;"")</f>
        <v/>
      </c>
      <c r="D996" s="39" t="str">
        <f>IF(A996="","",ROUND(N('Articles'!H996)+SUMIFS(mv_qty,mv_ref,A996,mv_type,"Entrée",mv_date,"&lt;"&amp;$E$1)-SUMIFS(mv_qty,mv_ref,A996,mv_type,"Sortie",mv_date,"&lt;"&amp;$E$1),6))</f>
        <v/>
      </c>
      <c r="E996" s="39" t="str">
        <f>IF(A996="","",SUMIFS(mv_qty,mv_ref,A996,mv_type,"Entrée",mv_date,"&gt;="&amp;$E$1,mv_date,"&lt;="&amp;$G$1))</f>
        <v/>
      </c>
      <c r="F996" s="39" t="str">
        <f>IF(A996="","",SUMIFS(mv_qty,mv_ref,A996,mv_type,"Sortie",mv_date,"&gt;="&amp;$E$1,mv_date,"&lt;="&amp;$G$1))</f>
        <v/>
      </c>
      <c r="G996" s="39" t="str">
        <f>IF(A996="","",ROUND(D996+E996-F996,6))</f>
        <v/>
      </c>
      <c r="H996" s="40" t="str">
        <f>IF(A996="","",G996*N('Articles'!G996))</f>
        <v/>
      </c>
    </row>
    <row r="997">
      <c r="A997" s="39" t="str">
        <f>IF('Articles'!A997="","",'Articles'!A997)</f>
        <v/>
      </c>
      <c r="B997" s="39" t="str">
        <f>IF(A997="","",'Articles'!B997&amp;"")</f>
        <v/>
      </c>
      <c r="C997" s="39" t="str">
        <f>IF(A997="","",'Articles'!D997&amp;"")</f>
        <v/>
      </c>
      <c r="D997" s="39" t="str">
        <f>IF(A997="","",ROUND(N('Articles'!H997)+SUMIFS(mv_qty,mv_ref,A997,mv_type,"Entrée",mv_date,"&lt;"&amp;$E$1)-SUMIFS(mv_qty,mv_ref,A997,mv_type,"Sortie",mv_date,"&lt;"&amp;$E$1),6))</f>
        <v/>
      </c>
      <c r="E997" s="39" t="str">
        <f>IF(A997="","",SUMIFS(mv_qty,mv_ref,A997,mv_type,"Entrée",mv_date,"&gt;="&amp;$E$1,mv_date,"&lt;="&amp;$G$1))</f>
        <v/>
      </c>
      <c r="F997" s="39" t="str">
        <f>IF(A997="","",SUMIFS(mv_qty,mv_ref,A997,mv_type,"Sortie",mv_date,"&gt;="&amp;$E$1,mv_date,"&lt;="&amp;$G$1))</f>
        <v/>
      </c>
      <c r="G997" s="39" t="str">
        <f>IF(A997="","",ROUND(D997+E997-F997,6))</f>
        <v/>
      </c>
      <c r="H997" s="40" t="str">
        <f>IF(A997="","",G997*N('Articles'!G997))</f>
        <v/>
      </c>
    </row>
    <row r="998">
      <c r="A998" s="39" t="str">
        <f>IF('Articles'!A998="","",'Articles'!A998)</f>
        <v/>
      </c>
      <c r="B998" s="39" t="str">
        <f>IF(A998="","",'Articles'!B998&amp;"")</f>
        <v/>
      </c>
      <c r="C998" s="39" t="str">
        <f>IF(A998="","",'Articles'!D998&amp;"")</f>
        <v/>
      </c>
      <c r="D998" s="39" t="str">
        <f>IF(A998="","",ROUND(N('Articles'!H998)+SUMIFS(mv_qty,mv_ref,A998,mv_type,"Entrée",mv_date,"&lt;"&amp;$E$1)-SUMIFS(mv_qty,mv_ref,A998,mv_type,"Sortie",mv_date,"&lt;"&amp;$E$1),6))</f>
        <v/>
      </c>
      <c r="E998" s="39" t="str">
        <f>IF(A998="","",SUMIFS(mv_qty,mv_ref,A998,mv_type,"Entrée",mv_date,"&gt;="&amp;$E$1,mv_date,"&lt;="&amp;$G$1))</f>
        <v/>
      </c>
      <c r="F998" s="39" t="str">
        <f>IF(A998="","",SUMIFS(mv_qty,mv_ref,A998,mv_type,"Sortie",mv_date,"&gt;="&amp;$E$1,mv_date,"&lt;="&amp;$G$1))</f>
        <v/>
      </c>
      <c r="G998" s="39" t="str">
        <f>IF(A998="","",ROUND(D998+E998-F998,6))</f>
        <v/>
      </c>
      <c r="H998" s="40" t="str">
        <f>IF(A998="","",G998*N('Articles'!G998))</f>
        <v/>
      </c>
    </row>
    <row r="999">
      <c r="A999" s="39" t="str">
        <f>IF('Articles'!A999="","",'Articles'!A999)</f>
        <v/>
      </c>
      <c r="B999" s="39" t="str">
        <f>IF(A999="","",'Articles'!B999&amp;"")</f>
        <v/>
      </c>
      <c r="C999" s="39" t="str">
        <f>IF(A999="","",'Articles'!D999&amp;"")</f>
        <v/>
      </c>
      <c r="D999" s="39" t="str">
        <f>IF(A999="","",ROUND(N('Articles'!H999)+SUMIFS(mv_qty,mv_ref,A999,mv_type,"Entrée",mv_date,"&lt;"&amp;$E$1)-SUMIFS(mv_qty,mv_ref,A999,mv_type,"Sortie",mv_date,"&lt;"&amp;$E$1),6))</f>
        <v/>
      </c>
      <c r="E999" s="39" t="str">
        <f>IF(A999="","",SUMIFS(mv_qty,mv_ref,A999,mv_type,"Entrée",mv_date,"&gt;="&amp;$E$1,mv_date,"&lt;="&amp;$G$1))</f>
        <v/>
      </c>
      <c r="F999" s="39" t="str">
        <f>IF(A999="","",SUMIFS(mv_qty,mv_ref,A999,mv_type,"Sortie",mv_date,"&gt;="&amp;$E$1,mv_date,"&lt;="&amp;$G$1))</f>
        <v/>
      </c>
      <c r="G999" s="39" t="str">
        <f>IF(A999="","",ROUND(D999+E999-F999,6))</f>
        <v/>
      </c>
      <c r="H999" s="40" t="str">
        <f>IF(A999="","",G999*N('Articles'!G999))</f>
        <v/>
      </c>
    </row>
    <row r="1000">
      <c r="A1000" s="39" t="str">
        <f>IF('Articles'!A1000="","",'Articles'!A1000)</f>
        <v/>
      </c>
      <c r="B1000" s="39" t="str">
        <f>IF(A1000="","",'Articles'!B1000&amp;"")</f>
        <v/>
      </c>
      <c r="C1000" s="39" t="str">
        <f>IF(A1000="","",'Articles'!D1000&amp;"")</f>
        <v/>
      </c>
      <c r="D1000" s="39" t="str">
        <f>IF(A1000="","",ROUND(N('Articles'!H1000)+SUMIFS(mv_qty,mv_ref,A1000,mv_type,"Entrée",mv_date,"&lt;"&amp;$E$1)-SUMIFS(mv_qty,mv_ref,A1000,mv_type,"Sortie",mv_date,"&lt;"&amp;$E$1),6))</f>
        <v/>
      </c>
      <c r="E1000" s="39" t="str">
        <f>IF(A1000="","",SUMIFS(mv_qty,mv_ref,A1000,mv_type,"Entrée",mv_date,"&gt;="&amp;$E$1,mv_date,"&lt;="&amp;$G$1))</f>
        <v/>
      </c>
      <c r="F1000" s="39" t="str">
        <f>IF(A1000="","",SUMIFS(mv_qty,mv_ref,A1000,mv_type,"Sortie",mv_date,"&gt;="&amp;$E$1,mv_date,"&lt;="&amp;$G$1))</f>
        <v/>
      </c>
      <c r="G1000" s="39" t="str">
        <f>IF(A1000="","",ROUND(D1000+E1000-F1000,6))</f>
        <v/>
      </c>
      <c r="H1000" s="40" t="str">
        <f>IF(A1000="","",G1000*N('Articles'!G1000))</f>
        <v/>
      </c>
    </row>
    <row r="1001">
      <c r="A1001" s="39" t="str">
        <f>IF('Articles'!A1001="","",'Articles'!A1001)</f>
        <v/>
      </c>
      <c r="B1001" s="39" t="str">
        <f>IF(A1001="","",'Articles'!B1001&amp;"")</f>
        <v/>
      </c>
      <c r="C1001" s="39" t="str">
        <f>IF(A1001="","",'Articles'!D1001&amp;"")</f>
        <v/>
      </c>
      <c r="D1001" s="39" t="str">
        <f>IF(A1001="","",ROUND(N('Articles'!H1001)+SUMIFS(mv_qty,mv_ref,A1001,mv_type,"Entrée",mv_date,"&lt;"&amp;$E$1)-SUMIFS(mv_qty,mv_ref,A1001,mv_type,"Sortie",mv_date,"&lt;"&amp;$E$1),6))</f>
        <v/>
      </c>
      <c r="E1001" s="39" t="str">
        <f>IF(A1001="","",SUMIFS(mv_qty,mv_ref,A1001,mv_type,"Entrée",mv_date,"&gt;="&amp;$E$1,mv_date,"&lt;="&amp;$G$1))</f>
        <v/>
      </c>
      <c r="F1001" s="39" t="str">
        <f>IF(A1001="","",SUMIFS(mv_qty,mv_ref,A1001,mv_type,"Sortie",mv_date,"&gt;="&amp;$E$1,mv_date,"&lt;="&amp;$G$1))</f>
        <v/>
      </c>
      <c r="G1001" s="39" t="str">
        <f>IF(A1001="","",ROUND(D1001+E1001-F1001,6))</f>
        <v/>
      </c>
      <c r="H1001" s="40" t="str">
        <f>IF(A1001="","",G1001*N('Articles'!G1001))</f>
        <v/>
      </c>
    </row>
    <row r="1002">
      <c r="A1002" s="39" t="str">
        <f>IF('Articles'!A1002="","",'Articles'!A1002)</f>
        <v/>
      </c>
      <c r="B1002" s="39" t="str">
        <f>IF(A1002="","",'Articles'!B1002&amp;"")</f>
        <v/>
      </c>
      <c r="C1002" s="39" t="str">
        <f>IF(A1002="","",'Articles'!D1002&amp;"")</f>
        <v/>
      </c>
      <c r="D1002" s="39" t="str">
        <f>IF(A1002="","",ROUND(N('Articles'!H1002)+SUMIFS(mv_qty,mv_ref,A1002,mv_type,"Entrée",mv_date,"&lt;"&amp;$E$1)-SUMIFS(mv_qty,mv_ref,A1002,mv_type,"Sortie",mv_date,"&lt;"&amp;$E$1),6))</f>
        <v/>
      </c>
      <c r="E1002" s="39" t="str">
        <f>IF(A1002="","",SUMIFS(mv_qty,mv_ref,A1002,mv_type,"Entrée",mv_date,"&gt;="&amp;$E$1,mv_date,"&lt;="&amp;$G$1))</f>
        <v/>
      </c>
      <c r="F1002" s="39" t="str">
        <f>IF(A1002="","",SUMIFS(mv_qty,mv_ref,A1002,mv_type,"Sortie",mv_date,"&gt;="&amp;$E$1,mv_date,"&lt;="&amp;$G$1))</f>
        <v/>
      </c>
      <c r="G1002" s="39" t="str">
        <f>IF(A1002="","",ROUND(D1002+E1002-F1002,6))</f>
        <v/>
      </c>
      <c r="H1002" s="40" t="str">
        <f>IF(A1002="","",G1002*N('Articles'!G1002))</f>
        <v/>
      </c>
    </row>
    <row r="1003">
      <c r="A1003" s="39" t="str">
        <f>IF('Articles'!A1003="","",'Articles'!A1003)</f>
        <v/>
      </c>
      <c r="B1003" s="39" t="str">
        <f>IF(A1003="","",'Articles'!B1003&amp;"")</f>
        <v/>
      </c>
      <c r="C1003" s="39" t="str">
        <f>IF(A1003="","",'Articles'!D1003&amp;"")</f>
        <v/>
      </c>
      <c r="D1003" s="39" t="str">
        <f>IF(A1003="","",ROUND(N('Articles'!H1003)+SUMIFS(mv_qty,mv_ref,A1003,mv_type,"Entrée",mv_date,"&lt;"&amp;$E$1)-SUMIFS(mv_qty,mv_ref,A1003,mv_type,"Sortie",mv_date,"&lt;"&amp;$E$1),6))</f>
        <v/>
      </c>
      <c r="E1003" s="39" t="str">
        <f>IF(A1003="","",SUMIFS(mv_qty,mv_ref,A1003,mv_type,"Entrée",mv_date,"&gt;="&amp;$E$1,mv_date,"&lt;="&amp;$G$1))</f>
        <v/>
      </c>
      <c r="F1003" s="39" t="str">
        <f>IF(A1003="","",SUMIFS(mv_qty,mv_ref,A1003,mv_type,"Sortie",mv_date,"&gt;="&amp;$E$1,mv_date,"&lt;="&amp;$G$1))</f>
        <v/>
      </c>
      <c r="G1003" s="39" t="str">
        <f>IF(A1003="","",ROUND(D1003+E1003-F1003,6))</f>
        <v/>
      </c>
      <c r="H1003" s="40" t="str">
        <f>IF(A1003="","",G1003*N('Articles'!G1003))</f>
        <v/>
      </c>
    </row>
    <row r="1004">
      <c r="A1004" s="39" t="str">
        <f>IF('Articles'!A1004="","",'Articles'!A1004)</f>
        <v/>
      </c>
      <c r="B1004" s="39" t="str">
        <f>IF(A1004="","",'Articles'!B1004&amp;"")</f>
        <v/>
      </c>
      <c r="C1004" s="39" t="str">
        <f>IF(A1004="","",'Articles'!D1004&amp;"")</f>
        <v/>
      </c>
      <c r="D1004" s="39" t="str">
        <f>IF(A1004="","",ROUND(N('Articles'!H1004)+SUMIFS(mv_qty,mv_ref,A1004,mv_type,"Entrée",mv_date,"&lt;"&amp;$E$1)-SUMIFS(mv_qty,mv_ref,A1004,mv_type,"Sortie",mv_date,"&lt;"&amp;$E$1),6))</f>
        <v/>
      </c>
      <c r="E1004" s="39" t="str">
        <f>IF(A1004="","",SUMIFS(mv_qty,mv_ref,A1004,mv_type,"Entrée",mv_date,"&gt;="&amp;$E$1,mv_date,"&lt;="&amp;$G$1))</f>
        <v/>
      </c>
      <c r="F1004" s="39" t="str">
        <f>IF(A1004="","",SUMIFS(mv_qty,mv_ref,A1004,mv_type,"Sortie",mv_date,"&gt;="&amp;$E$1,mv_date,"&lt;="&amp;$G$1))</f>
        <v/>
      </c>
      <c r="G1004" s="39" t="str">
        <f>IF(A1004="","",ROUND(D1004+E1004-F1004,6))</f>
        <v/>
      </c>
      <c r="H1004" s="40" t="str">
        <f>IF(A1004="","",G1004*N('Articles'!G1004))</f>
        <v/>
      </c>
    </row>
  </sheetData>
  <autoFilter ref="A4:H1004"/>
  <mergeCells count="1">
    <mergeCell ref="A2:H2"/>
  </mergeCells>
  <conditionalFormatting sqref="G5:G1004">
    <cfRule type="expression" priority="1" dxfId="8">
      <formula>AND(ISNUMBER($G5),$G5&lt;0)</formula>
    </cfRule>
  </conditionalFormatting>
  <conditionalFormatting sqref="H3:H1004">
    <cfRule type="expression" priority="2" dxfId="0">
      <formula>p_currency="MAD"</formula>
    </cfRule>
    <cfRule type="expression" priority="3" dxfId="1">
      <formula>p_currency="EUR"</formula>
    </cfRule>
    <cfRule type="expression" priority="4" dxfId="2">
      <formula>p_currency="USD"</formula>
    </cfRule>
  </conditionalFormatting>
  <dataValidations count="2">
    <dataValidation sqref="E1" showDropDown="0" showInputMessage="1" showErrorMessage="1" allowBlank="0" errorTitle="Date invalide" error="Saisissez une date au format jj/mm/aaaa." promptTitle="Période" prompt="Date incluse dans la période, au format jj/mm/aaaa." type="date" operator="between">
      <formula1>DATE(2000,1,1)</formula1>
      <formula2>DATE(2100,12,31)</formula2>
    </dataValidation>
    <dataValidation sqref="G1" showDropDown="0" showInputMessage="1" showErrorMessage="1" allowBlank="0" errorTitle="Date invalide" error="Saisissez une date au format jj/mm/aaaa." promptTitle="Période" prompt="Date incluse dans la période, au format jj/mm/aaaa." type="date" operator="between">
      <formula1>DATE(2000,1,1)</formula1>
      <formula2>DATE(2100,12,31)</formula2>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FFB45309"/>
    <outlinePr summaryBelow="1" summaryRight="1"/>
    <pageSetUpPr fitToPage="1"/>
  </sheetPr>
  <dimension ref="A1:I504"/>
  <sheetViews>
    <sheetView showGridLines="1" tabSelected="0" zoomScale="10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8" customWidth="1" min="3" max="3"/>
    <col width="16" customWidth="1" min="4" max="4"/>
    <col width="12" customWidth="1" min="5" max="5"/>
    <col width="12" customWidth="1" min="6" max="6"/>
    <col width="10" customWidth="1" min="7" max="7"/>
    <col width="13" customWidth="1" min="8" max="8"/>
    <col width="30" customWidth="1" min="9" max="9"/>
  </cols>
  <sheetData>
    <row r="1" ht="26" customHeight="1">
      <c r="A1" s="32" t="inlineStr">
        <is>
          <t>Inventaire physique</t>
        </is>
      </c>
      <c r="F1" s="20" t="inlineStr">
        <is>
          <t>Date du comptage</t>
        </is>
      </c>
      <c r="G1" s="51" t="n">
        <v>46326</v>
      </c>
      <c r="H1" s="53" t="n"/>
    </row>
    <row r="2" ht="30" customHeight="1">
      <c r="A2" s="35" t="inlineStr">
        <is>
          <t>1. Saisissez la date du comptage. 2. Choisissez chaque article compté et la quantité trouvée. 3. Reportez chaque écart dans « Mouvements ».</t>
        </is>
      </c>
    </row>
    <row r="3">
      <c r="A3" s="47" t="str">
        <f>COUNTIF(A5:A504,"?*")&amp;" ligne(s), "&amp;COUNTIF(I5:I504,"Saisir*")&amp;" écart(s) à reporter"</f>
        <v>4 ligne(s), 2 écart(s) à reporter</v>
      </c>
      <c r="H3" s="28">
        <f>SUM(H5:H504)</f>
        <v>3.31</v>
      </c>
    </row>
    <row r="4" ht="32" customHeight="1">
      <c r="A4" s="36" t="inlineStr">
        <is>
          <t>Référence *</t>
        </is>
      </c>
      <c r="B4" s="36" t="inlineStr">
        <is>
          <t>Désignation</t>
        </is>
      </c>
      <c r="C4" s="36" t="inlineStr">
        <is>
          <t>Unité</t>
        </is>
      </c>
      <c r="D4" s="36" t="inlineStr">
        <is>
          <t>Emplacement</t>
        </is>
      </c>
      <c r="E4" s="36" t="inlineStr">
        <is>
          <t>Stock théorique</t>
        </is>
      </c>
      <c r="F4" s="36" t="inlineStr">
        <is>
          <t>Stock compté *</t>
        </is>
      </c>
      <c r="G4" s="36" t="inlineStr">
        <is>
          <t>Écart</t>
        </is>
      </c>
      <c r="H4" s="36" t="str">
        <f>"Valeur de l'écart ("&amp;p_currency&amp;")"</f>
        <v>Valeur de l'écart (EUR)</v>
      </c>
      <c r="I4" s="36" t="inlineStr">
        <is>
          <t>Action à faire</t>
        </is>
      </c>
    </row>
    <row r="5">
      <c r="A5" s="37" t="inlineStr">
        <is>
          <t>VIS-M6-20</t>
        </is>
      </c>
      <c r="B5" s="39" t="str">
        <f>IF(A5="","",IFERROR(INDEX(art_des,MATCH(A5,art_ref,0))&amp;"","Référence inconnue"))</f>
        <v>Vis inox M6 x 20</v>
      </c>
      <c r="C5" s="39" t="str">
        <f>IF(A5="","",IFERROR(INDEX(art_unit,MATCH(A5,art_ref,0))&amp;"",""))</f>
        <v>pièce</v>
      </c>
      <c r="D5" s="39" t="str">
        <f>IF(A5="","",IFERROR(INDEX(art_loc,MATCH(A5,art_ref,0))&amp;"",""))</f>
        <v>Rayon A1</v>
      </c>
      <c r="E5" s="39">
        <f>IF(A5="","",IFERROR(ROUND(N(INDEX(art_init,MATCH(A5,art_ref,0)))+SUMIFS(mv_qty,mv_ref,A5,mv_type,"Entrée",mv_date,"&lt;="&amp;$G$1)-SUMIFS(mv_qty,mv_ref,A5,mv_type,"Sortie",mv_date,"&lt;="&amp;$G$1),6),""))</f>
        <v>3611.0</v>
      </c>
      <c r="F5" s="37" t="n">
        <v>3599</v>
      </c>
      <c r="G5" s="39">
        <f>IF(OR(A5="",F5="",E5=""),"",ROUND(F5-E5,6))</f>
        <v>-12.0</v>
      </c>
      <c r="H5" s="40">
        <f>IF(G5="","",G5*IFERROR(N(INDEX(art_price,MATCH(A5,art_ref,0))),0))</f>
        <v>-1.44</v>
      </c>
      <c r="I5" s="39" t="str">
        <f>IF(A5="","",IF(E5="","Référence inconnue",IF(F5="","À compter",IF(G5&gt;0,"Saisir une entrée de "&amp;G5,IF(G5&lt;0,"Saisir une sortie de "&amp;-G5,"Conforme")))))</f>
        <v>Saisir une sortie de 12</v>
      </c>
    </row>
    <row r="6">
      <c r="A6" s="37" t="inlineStr">
        <is>
          <t>ROU-6204</t>
        </is>
      </c>
      <c r="B6" s="39" t="str">
        <f>IF(A6="","",IFERROR(INDEX(art_des,MATCH(A6,art_ref,0))&amp;"","Référence inconnue"))</f>
        <v>Roulement à billes 6204 2RS</v>
      </c>
      <c r="C6" s="39" t="str">
        <f>IF(A6="","",IFERROR(INDEX(art_unit,MATCH(A6,art_ref,0))&amp;"",""))</f>
        <v>pièce</v>
      </c>
      <c r="D6" s="39" t="str">
        <f>IF(A6="","",IFERROR(INDEX(art_loc,MATCH(A6,art_ref,0))&amp;"",""))</f>
        <v>Rayon B1</v>
      </c>
      <c r="E6" s="39">
        <f>IF(A6="","",IFERROR(ROUND(N(INDEX(art_init,MATCH(A6,art_ref,0)))+SUMIFS(mv_qty,mv_ref,A6,mv_type,"Entrée",mv_date,"&lt;="&amp;$G$1)-SUMIFS(mv_qty,mv_ref,A6,mv_type,"Sortie",mv_date,"&lt;="&amp;$G$1),6),""))</f>
        <v>109.0</v>
      </c>
      <c r="F6" s="37" t="n">
        <v>109</v>
      </c>
      <c r="G6" s="39">
        <f>IF(OR(A6="",F6="",E6=""),"",ROUND(F6-E6,6))</f>
        <v>0.0</v>
      </c>
      <c r="H6" s="40">
        <f>IF(G6="","",G6*IFERROR(N(INDEX(art_price,MATCH(A6,art_ref,0))),0))</f>
        <v>0.0</v>
      </c>
      <c r="I6" s="39" t="str">
        <f>IF(A6="","",IF(E6="","Référence inconnue",IF(F6="","À compter",IF(G6&gt;0,"Saisir une entrée de "&amp;G6,IF(G6&lt;0,"Saisir une sortie de "&amp;-G6,"Conforme")))))</f>
        <v>Conforme</v>
      </c>
    </row>
    <row r="7">
      <c r="A7" s="37" t="inlineStr">
        <is>
          <t>CAR-40-30</t>
        </is>
      </c>
      <c r="B7" s="39" t="str">
        <f>IF(A7="","",IFERROR(INDEX(art_des,MATCH(A7,art_ref,0))&amp;"","Référence inconnue"))</f>
        <v>Carton double cannelure 40 x 30 x 20</v>
      </c>
      <c r="C7" s="39" t="str">
        <f>IF(A7="","",IFERROR(INDEX(art_unit,MATCH(A7,art_ref,0))&amp;"",""))</f>
        <v>pièce</v>
      </c>
      <c r="D7" s="39" t="str">
        <f>IF(A7="","",IFERROR(INDEX(art_loc,MATCH(A7,art_ref,0))&amp;"",""))</f>
        <v>Quai expédition</v>
      </c>
      <c r="E7" s="39">
        <f>IF(A7="","",IFERROR(ROUND(N(INDEX(art_init,MATCH(A7,art_ref,0)))+SUMIFS(mv_qty,mv_ref,A7,mv_type,"Entrée",mv_date,"&lt;="&amp;$G$1)-SUMIFS(mv_qty,mv_ref,A7,mv_type,"Sortie",mv_date,"&lt;="&amp;$G$1),6),""))</f>
        <v>565.0</v>
      </c>
      <c r="F7" s="37" t="n">
        <v>570</v>
      </c>
      <c r="G7" s="39">
        <f>IF(OR(A7="",F7="",E7=""),"",ROUND(F7-E7,6))</f>
        <v>5.0</v>
      </c>
      <c r="H7" s="40">
        <f>IF(G7="","",G7*IFERROR(N(INDEX(art_price,MATCH(A7,art_ref,0))),0))</f>
        <v>4.75</v>
      </c>
      <c r="I7" s="39" t="str">
        <f>IF(A7="","",IF(E7="","Référence inconnue",IF(F7="","À compter",IF(G7&gt;0,"Saisir une entrée de "&amp;G7,IF(G7&lt;0,"Saisir une sortie de "&amp;-G7,"Conforme")))))</f>
        <v>Saisir une entrée de 5</v>
      </c>
    </row>
    <row r="8">
      <c r="A8" s="37" t="inlineStr">
        <is>
          <t>CAB-2.5</t>
        </is>
      </c>
      <c r="B8" s="39" t="str">
        <f>IF(A8="","",IFERROR(INDEX(art_des,MATCH(A8,art_ref,0))&amp;"","Référence inconnue"))</f>
        <v>Câble électrique 2,5 mm²</v>
      </c>
      <c r="C8" s="39" t="str">
        <f>IF(A8="","",IFERROR(INDEX(art_unit,MATCH(A8,art_ref,0))&amp;"",""))</f>
        <v>m</v>
      </c>
      <c r="D8" s="39" t="str">
        <f>IF(A8="","",IFERROR(INDEX(art_loc,MATCH(A8,art_ref,0))&amp;"",""))</f>
        <v>Rayon D1</v>
      </c>
      <c r="E8" s="39">
        <f>IF(A8="","",IFERROR(ROUND(N(INDEX(art_init,MATCH(A8,art_ref,0)))+SUMIFS(mv_qty,mv_ref,A8,mv_type,"Entrée",mv_date,"&lt;="&amp;$G$1)-SUMIFS(mv_qty,mv_ref,A8,mv_type,"Sortie",mv_date,"&lt;="&amp;$G$1),6),""))</f>
        <v>281.0</v>
      </c>
      <c r="F8" s="37" t="n"/>
      <c r="G8" s="39" t="str">
        <f>IF(OR(A8="",F8="",E8=""),"",ROUND(F8-E8,6))</f>
        <v/>
      </c>
      <c r="H8" s="40" t="str">
        <f>IF(G8="","",G8*IFERROR(N(INDEX(art_price,MATCH(A8,art_ref,0))),0))</f>
        <v/>
      </c>
      <c r="I8" s="39" t="str">
        <f>IF(A8="","",IF(E8="","Référence inconnue",IF(F8="","À compter",IF(G8&gt;0,"Saisir une entrée de "&amp;G8,IF(G8&lt;0,"Saisir une sortie de "&amp;-G8,"Conforme")))))</f>
        <v>À compter</v>
      </c>
    </row>
    <row r="9">
      <c r="A9" s="37" t="n"/>
      <c r="B9" s="39" t="str">
        <f>IF(A9="","",IFERROR(INDEX(art_des,MATCH(A9,art_ref,0))&amp;"","Référence inconnue"))</f>
        <v/>
      </c>
      <c r="C9" s="39" t="str">
        <f>IF(A9="","",IFERROR(INDEX(art_unit,MATCH(A9,art_ref,0))&amp;"",""))</f>
        <v/>
      </c>
      <c r="D9" s="39" t="str">
        <f>IF(A9="","",IFERROR(INDEX(art_loc,MATCH(A9,art_ref,0))&amp;"",""))</f>
        <v/>
      </c>
      <c r="E9" s="39" t="str">
        <f>IF(A9="","",IFERROR(ROUND(N(INDEX(art_init,MATCH(A9,art_ref,0)))+SUMIFS(mv_qty,mv_ref,A9,mv_type,"Entrée",mv_date,"&lt;="&amp;$G$1)-SUMIFS(mv_qty,mv_ref,A9,mv_type,"Sortie",mv_date,"&lt;="&amp;$G$1),6),""))</f>
        <v/>
      </c>
      <c r="F9" s="37" t="n"/>
      <c r="G9" s="39" t="str">
        <f>IF(OR(A9="",F9="",E9=""),"",ROUND(F9-E9,6))</f>
        <v/>
      </c>
      <c r="H9" s="40" t="str">
        <f>IF(G9="","",G9*IFERROR(N(INDEX(art_price,MATCH(A9,art_ref,0))),0))</f>
        <v/>
      </c>
      <c r="I9" s="39" t="str">
        <f>IF(A9="","",IF(E9="","Référence inconnue",IF(F9="","À compter",IF(G9&gt;0,"Saisir une entrée de "&amp;G9,IF(G9&lt;0,"Saisir une sortie de "&amp;-G9,"Conforme")))))</f>
        <v/>
      </c>
    </row>
    <row r="10">
      <c r="A10" s="37" t="n"/>
      <c r="B10" s="39" t="str">
        <f>IF(A10="","",IFERROR(INDEX(art_des,MATCH(A10,art_ref,0))&amp;"","Référence inconnue"))</f>
        <v/>
      </c>
      <c r="C10" s="39" t="str">
        <f>IF(A10="","",IFERROR(INDEX(art_unit,MATCH(A10,art_ref,0))&amp;"",""))</f>
        <v/>
      </c>
      <c r="D10" s="39" t="str">
        <f>IF(A10="","",IFERROR(INDEX(art_loc,MATCH(A10,art_ref,0))&amp;"",""))</f>
        <v/>
      </c>
      <c r="E10" s="39" t="str">
        <f>IF(A10="","",IFERROR(ROUND(N(INDEX(art_init,MATCH(A10,art_ref,0)))+SUMIFS(mv_qty,mv_ref,A10,mv_type,"Entrée",mv_date,"&lt;="&amp;$G$1)-SUMIFS(mv_qty,mv_ref,A10,mv_type,"Sortie",mv_date,"&lt;="&amp;$G$1),6),""))</f>
        <v/>
      </c>
      <c r="F10" s="37" t="n"/>
      <c r="G10" s="39" t="str">
        <f>IF(OR(A10="",F10="",E10=""),"",ROUND(F10-E10,6))</f>
        <v/>
      </c>
      <c r="H10" s="40" t="str">
        <f>IF(G10="","",G10*IFERROR(N(INDEX(art_price,MATCH(A10,art_ref,0))),0))</f>
        <v/>
      </c>
      <c r="I10" s="39" t="str">
        <f>IF(A10="","",IF(E10="","Référence inconnue",IF(F10="","À compter",IF(G10&gt;0,"Saisir une entrée de "&amp;G10,IF(G10&lt;0,"Saisir une sortie de "&amp;-G10,"Conforme")))))</f>
        <v/>
      </c>
    </row>
    <row r="11">
      <c r="A11" s="37" t="n"/>
      <c r="B11" s="39" t="str">
        <f>IF(A11="","",IFERROR(INDEX(art_des,MATCH(A11,art_ref,0))&amp;"","Référence inconnue"))</f>
        <v/>
      </c>
      <c r="C11" s="39" t="str">
        <f>IF(A11="","",IFERROR(INDEX(art_unit,MATCH(A11,art_ref,0))&amp;"",""))</f>
        <v/>
      </c>
      <c r="D11" s="39" t="str">
        <f>IF(A11="","",IFERROR(INDEX(art_loc,MATCH(A11,art_ref,0))&amp;"",""))</f>
        <v/>
      </c>
      <c r="E11" s="39" t="str">
        <f>IF(A11="","",IFERROR(ROUND(N(INDEX(art_init,MATCH(A11,art_ref,0)))+SUMIFS(mv_qty,mv_ref,A11,mv_type,"Entrée",mv_date,"&lt;="&amp;$G$1)-SUMIFS(mv_qty,mv_ref,A11,mv_type,"Sortie",mv_date,"&lt;="&amp;$G$1),6),""))</f>
        <v/>
      </c>
      <c r="F11" s="37" t="n"/>
      <c r="G11" s="39" t="str">
        <f>IF(OR(A11="",F11="",E11=""),"",ROUND(F11-E11,6))</f>
        <v/>
      </c>
      <c r="H11" s="40" t="str">
        <f>IF(G11="","",G11*IFERROR(N(INDEX(art_price,MATCH(A11,art_ref,0))),0))</f>
        <v/>
      </c>
      <c r="I11" s="39" t="str">
        <f>IF(A11="","",IF(E11="","Référence inconnue",IF(F11="","À compter",IF(G11&gt;0,"Saisir une entrée de "&amp;G11,IF(G11&lt;0,"Saisir une sortie de "&amp;-G11,"Conforme")))))</f>
        <v/>
      </c>
    </row>
    <row r="12">
      <c r="A12" s="37" t="n"/>
      <c r="B12" s="39" t="str">
        <f>IF(A12="","",IFERROR(INDEX(art_des,MATCH(A12,art_ref,0))&amp;"","Référence inconnue"))</f>
        <v/>
      </c>
      <c r="C12" s="39" t="str">
        <f>IF(A12="","",IFERROR(INDEX(art_unit,MATCH(A12,art_ref,0))&amp;"",""))</f>
        <v/>
      </c>
      <c r="D12" s="39" t="str">
        <f>IF(A12="","",IFERROR(INDEX(art_loc,MATCH(A12,art_ref,0))&amp;"",""))</f>
        <v/>
      </c>
      <c r="E12" s="39" t="str">
        <f>IF(A12="","",IFERROR(ROUND(N(INDEX(art_init,MATCH(A12,art_ref,0)))+SUMIFS(mv_qty,mv_ref,A12,mv_type,"Entrée",mv_date,"&lt;="&amp;$G$1)-SUMIFS(mv_qty,mv_ref,A12,mv_type,"Sortie",mv_date,"&lt;="&amp;$G$1),6),""))</f>
        <v/>
      </c>
      <c r="F12" s="37" t="n"/>
      <c r="G12" s="39" t="str">
        <f>IF(OR(A12="",F12="",E12=""),"",ROUND(F12-E12,6))</f>
        <v/>
      </c>
      <c r="H12" s="40" t="str">
        <f>IF(G12="","",G12*IFERROR(N(INDEX(art_price,MATCH(A12,art_ref,0))),0))</f>
        <v/>
      </c>
      <c r="I12" s="39" t="str">
        <f>IF(A12="","",IF(E12="","Référence inconnue",IF(F12="","À compter",IF(G12&gt;0,"Saisir une entrée de "&amp;G12,IF(G12&lt;0,"Saisir une sortie de "&amp;-G12,"Conforme")))))</f>
        <v/>
      </c>
    </row>
    <row r="13">
      <c r="A13" s="37" t="n"/>
      <c r="B13" s="39" t="str">
        <f>IF(A13="","",IFERROR(INDEX(art_des,MATCH(A13,art_ref,0))&amp;"","Référence inconnue"))</f>
        <v/>
      </c>
      <c r="C13" s="39" t="str">
        <f>IF(A13="","",IFERROR(INDEX(art_unit,MATCH(A13,art_ref,0))&amp;"",""))</f>
        <v/>
      </c>
      <c r="D13" s="39" t="str">
        <f>IF(A13="","",IFERROR(INDEX(art_loc,MATCH(A13,art_ref,0))&amp;"",""))</f>
        <v/>
      </c>
      <c r="E13" s="39" t="str">
        <f>IF(A13="","",IFERROR(ROUND(N(INDEX(art_init,MATCH(A13,art_ref,0)))+SUMIFS(mv_qty,mv_ref,A13,mv_type,"Entrée",mv_date,"&lt;="&amp;$G$1)-SUMIFS(mv_qty,mv_ref,A13,mv_type,"Sortie",mv_date,"&lt;="&amp;$G$1),6),""))</f>
        <v/>
      </c>
      <c r="F13" s="37" t="n"/>
      <c r="G13" s="39" t="str">
        <f>IF(OR(A13="",F13="",E13=""),"",ROUND(F13-E13,6))</f>
        <v/>
      </c>
      <c r="H13" s="40" t="str">
        <f>IF(G13="","",G13*IFERROR(N(INDEX(art_price,MATCH(A13,art_ref,0))),0))</f>
        <v/>
      </c>
      <c r="I13" s="39" t="str">
        <f>IF(A13="","",IF(E13="","Référence inconnue",IF(F13="","À compter",IF(G13&gt;0,"Saisir une entrée de "&amp;G13,IF(G13&lt;0,"Saisir une sortie de "&amp;-G13,"Conforme")))))</f>
        <v/>
      </c>
    </row>
    <row r="14">
      <c r="A14" s="37" t="n"/>
      <c r="B14" s="39" t="str">
        <f>IF(A14="","",IFERROR(INDEX(art_des,MATCH(A14,art_ref,0))&amp;"","Référence inconnue"))</f>
        <v/>
      </c>
      <c r="C14" s="39" t="str">
        <f>IF(A14="","",IFERROR(INDEX(art_unit,MATCH(A14,art_ref,0))&amp;"",""))</f>
        <v/>
      </c>
      <c r="D14" s="39" t="str">
        <f>IF(A14="","",IFERROR(INDEX(art_loc,MATCH(A14,art_ref,0))&amp;"",""))</f>
        <v/>
      </c>
      <c r="E14" s="39" t="str">
        <f>IF(A14="","",IFERROR(ROUND(N(INDEX(art_init,MATCH(A14,art_ref,0)))+SUMIFS(mv_qty,mv_ref,A14,mv_type,"Entrée",mv_date,"&lt;="&amp;$G$1)-SUMIFS(mv_qty,mv_ref,A14,mv_type,"Sortie",mv_date,"&lt;="&amp;$G$1),6),""))</f>
        <v/>
      </c>
      <c r="F14" s="37" t="n"/>
      <c r="G14" s="39" t="str">
        <f>IF(OR(A14="",F14="",E14=""),"",ROUND(F14-E14,6))</f>
        <v/>
      </c>
      <c r="H14" s="40" t="str">
        <f>IF(G14="","",G14*IFERROR(N(INDEX(art_price,MATCH(A14,art_ref,0))),0))</f>
        <v/>
      </c>
      <c r="I14" s="39" t="str">
        <f>IF(A14="","",IF(E14="","Référence inconnue",IF(F14="","À compter",IF(G14&gt;0,"Saisir une entrée de "&amp;G14,IF(G14&lt;0,"Saisir une sortie de "&amp;-G14,"Conforme")))))</f>
        <v/>
      </c>
    </row>
    <row r="15">
      <c r="A15" s="37" t="n"/>
      <c r="B15" s="39" t="str">
        <f>IF(A15="","",IFERROR(INDEX(art_des,MATCH(A15,art_ref,0))&amp;"","Référence inconnue"))</f>
        <v/>
      </c>
      <c r="C15" s="39" t="str">
        <f>IF(A15="","",IFERROR(INDEX(art_unit,MATCH(A15,art_ref,0))&amp;"",""))</f>
        <v/>
      </c>
      <c r="D15" s="39" t="str">
        <f>IF(A15="","",IFERROR(INDEX(art_loc,MATCH(A15,art_ref,0))&amp;"",""))</f>
        <v/>
      </c>
      <c r="E15" s="39" t="str">
        <f>IF(A15="","",IFERROR(ROUND(N(INDEX(art_init,MATCH(A15,art_ref,0)))+SUMIFS(mv_qty,mv_ref,A15,mv_type,"Entrée",mv_date,"&lt;="&amp;$G$1)-SUMIFS(mv_qty,mv_ref,A15,mv_type,"Sortie",mv_date,"&lt;="&amp;$G$1),6),""))</f>
        <v/>
      </c>
      <c r="F15" s="37" t="n"/>
      <c r="G15" s="39" t="str">
        <f>IF(OR(A15="",F15="",E15=""),"",ROUND(F15-E15,6))</f>
        <v/>
      </c>
      <c r="H15" s="40" t="str">
        <f>IF(G15="","",G15*IFERROR(N(INDEX(art_price,MATCH(A15,art_ref,0))),0))</f>
        <v/>
      </c>
      <c r="I15" s="39" t="str">
        <f>IF(A15="","",IF(E15="","Référence inconnue",IF(F15="","À compter",IF(G15&gt;0,"Saisir une entrée de "&amp;G15,IF(G15&lt;0,"Saisir une sortie de "&amp;-G15,"Conforme")))))</f>
        <v/>
      </c>
    </row>
    <row r="16">
      <c r="A16" s="37" t="n"/>
      <c r="B16" s="39" t="str">
        <f>IF(A16="","",IFERROR(INDEX(art_des,MATCH(A16,art_ref,0))&amp;"","Référence inconnue"))</f>
        <v/>
      </c>
      <c r="C16" s="39" t="str">
        <f>IF(A16="","",IFERROR(INDEX(art_unit,MATCH(A16,art_ref,0))&amp;"",""))</f>
        <v/>
      </c>
      <c r="D16" s="39" t="str">
        <f>IF(A16="","",IFERROR(INDEX(art_loc,MATCH(A16,art_ref,0))&amp;"",""))</f>
        <v/>
      </c>
      <c r="E16" s="39" t="str">
        <f>IF(A16="","",IFERROR(ROUND(N(INDEX(art_init,MATCH(A16,art_ref,0)))+SUMIFS(mv_qty,mv_ref,A16,mv_type,"Entrée",mv_date,"&lt;="&amp;$G$1)-SUMIFS(mv_qty,mv_ref,A16,mv_type,"Sortie",mv_date,"&lt;="&amp;$G$1),6),""))</f>
        <v/>
      </c>
      <c r="F16" s="37" t="n"/>
      <c r="G16" s="39" t="str">
        <f>IF(OR(A16="",F16="",E16=""),"",ROUND(F16-E16,6))</f>
        <v/>
      </c>
      <c r="H16" s="40" t="str">
        <f>IF(G16="","",G16*IFERROR(N(INDEX(art_price,MATCH(A16,art_ref,0))),0))</f>
        <v/>
      </c>
      <c r="I16" s="39" t="str">
        <f>IF(A16="","",IF(E16="","Référence inconnue",IF(F16="","À compter",IF(G16&gt;0,"Saisir une entrée de "&amp;G16,IF(G16&lt;0,"Saisir une sortie de "&amp;-G16,"Conforme")))))</f>
        <v/>
      </c>
    </row>
    <row r="17">
      <c r="A17" s="37" t="n"/>
      <c r="B17" s="39" t="str">
        <f>IF(A17="","",IFERROR(INDEX(art_des,MATCH(A17,art_ref,0))&amp;"","Référence inconnue"))</f>
        <v/>
      </c>
      <c r="C17" s="39" t="str">
        <f>IF(A17="","",IFERROR(INDEX(art_unit,MATCH(A17,art_ref,0))&amp;"",""))</f>
        <v/>
      </c>
      <c r="D17" s="39" t="str">
        <f>IF(A17="","",IFERROR(INDEX(art_loc,MATCH(A17,art_ref,0))&amp;"",""))</f>
        <v/>
      </c>
      <c r="E17" s="39" t="str">
        <f>IF(A17="","",IFERROR(ROUND(N(INDEX(art_init,MATCH(A17,art_ref,0)))+SUMIFS(mv_qty,mv_ref,A17,mv_type,"Entrée",mv_date,"&lt;="&amp;$G$1)-SUMIFS(mv_qty,mv_ref,A17,mv_type,"Sortie",mv_date,"&lt;="&amp;$G$1),6),""))</f>
        <v/>
      </c>
      <c r="F17" s="37" t="n"/>
      <c r="G17" s="39" t="str">
        <f>IF(OR(A17="",F17="",E17=""),"",ROUND(F17-E17,6))</f>
        <v/>
      </c>
      <c r="H17" s="40" t="str">
        <f>IF(G17="","",G17*IFERROR(N(INDEX(art_price,MATCH(A17,art_ref,0))),0))</f>
        <v/>
      </c>
      <c r="I17" s="39" t="str">
        <f>IF(A17="","",IF(E17="","Référence inconnue",IF(F17="","À compter",IF(G17&gt;0,"Saisir une entrée de "&amp;G17,IF(G17&lt;0,"Saisir une sortie de "&amp;-G17,"Conforme")))))</f>
        <v/>
      </c>
    </row>
    <row r="18">
      <c r="A18" s="37" t="n"/>
      <c r="B18" s="39" t="str">
        <f>IF(A18="","",IFERROR(INDEX(art_des,MATCH(A18,art_ref,0))&amp;"","Référence inconnue"))</f>
        <v/>
      </c>
      <c r="C18" s="39" t="str">
        <f>IF(A18="","",IFERROR(INDEX(art_unit,MATCH(A18,art_ref,0))&amp;"",""))</f>
        <v/>
      </c>
      <c r="D18" s="39" t="str">
        <f>IF(A18="","",IFERROR(INDEX(art_loc,MATCH(A18,art_ref,0))&amp;"",""))</f>
        <v/>
      </c>
      <c r="E18" s="39" t="str">
        <f>IF(A18="","",IFERROR(ROUND(N(INDEX(art_init,MATCH(A18,art_ref,0)))+SUMIFS(mv_qty,mv_ref,A18,mv_type,"Entrée",mv_date,"&lt;="&amp;$G$1)-SUMIFS(mv_qty,mv_ref,A18,mv_type,"Sortie",mv_date,"&lt;="&amp;$G$1),6),""))</f>
        <v/>
      </c>
      <c r="F18" s="37" t="n"/>
      <c r="G18" s="39" t="str">
        <f>IF(OR(A18="",F18="",E18=""),"",ROUND(F18-E18,6))</f>
        <v/>
      </c>
      <c r="H18" s="40" t="str">
        <f>IF(G18="","",G18*IFERROR(N(INDEX(art_price,MATCH(A18,art_ref,0))),0))</f>
        <v/>
      </c>
      <c r="I18" s="39" t="str">
        <f>IF(A18="","",IF(E18="","Référence inconnue",IF(F18="","À compter",IF(G18&gt;0,"Saisir une entrée de "&amp;G18,IF(G18&lt;0,"Saisir une sortie de "&amp;-G18,"Conforme")))))</f>
        <v/>
      </c>
    </row>
    <row r="19">
      <c r="A19" s="37" t="n"/>
      <c r="B19" s="39" t="str">
        <f>IF(A19="","",IFERROR(INDEX(art_des,MATCH(A19,art_ref,0))&amp;"","Référence inconnue"))</f>
        <v/>
      </c>
      <c r="C19" s="39" t="str">
        <f>IF(A19="","",IFERROR(INDEX(art_unit,MATCH(A19,art_ref,0))&amp;"",""))</f>
        <v/>
      </c>
      <c r="D19" s="39" t="str">
        <f>IF(A19="","",IFERROR(INDEX(art_loc,MATCH(A19,art_ref,0))&amp;"",""))</f>
        <v/>
      </c>
      <c r="E19" s="39" t="str">
        <f>IF(A19="","",IFERROR(ROUND(N(INDEX(art_init,MATCH(A19,art_ref,0)))+SUMIFS(mv_qty,mv_ref,A19,mv_type,"Entrée",mv_date,"&lt;="&amp;$G$1)-SUMIFS(mv_qty,mv_ref,A19,mv_type,"Sortie",mv_date,"&lt;="&amp;$G$1),6),""))</f>
        <v/>
      </c>
      <c r="F19" s="37" t="n"/>
      <c r="G19" s="39" t="str">
        <f>IF(OR(A19="",F19="",E19=""),"",ROUND(F19-E19,6))</f>
        <v/>
      </c>
      <c r="H19" s="40" t="str">
        <f>IF(G19="","",G19*IFERROR(N(INDEX(art_price,MATCH(A19,art_ref,0))),0))</f>
        <v/>
      </c>
      <c r="I19" s="39" t="str">
        <f>IF(A19="","",IF(E19="","Référence inconnue",IF(F19="","À compter",IF(G19&gt;0,"Saisir une entrée de "&amp;G19,IF(G19&lt;0,"Saisir une sortie de "&amp;-G19,"Conforme")))))</f>
        <v/>
      </c>
    </row>
    <row r="20">
      <c r="A20" s="37" t="n"/>
      <c r="B20" s="39" t="str">
        <f>IF(A20="","",IFERROR(INDEX(art_des,MATCH(A20,art_ref,0))&amp;"","Référence inconnue"))</f>
        <v/>
      </c>
      <c r="C20" s="39" t="str">
        <f>IF(A20="","",IFERROR(INDEX(art_unit,MATCH(A20,art_ref,0))&amp;"",""))</f>
        <v/>
      </c>
      <c r="D20" s="39" t="str">
        <f>IF(A20="","",IFERROR(INDEX(art_loc,MATCH(A20,art_ref,0))&amp;"",""))</f>
        <v/>
      </c>
      <c r="E20" s="39" t="str">
        <f>IF(A20="","",IFERROR(ROUND(N(INDEX(art_init,MATCH(A20,art_ref,0)))+SUMIFS(mv_qty,mv_ref,A20,mv_type,"Entrée",mv_date,"&lt;="&amp;$G$1)-SUMIFS(mv_qty,mv_ref,A20,mv_type,"Sortie",mv_date,"&lt;="&amp;$G$1),6),""))</f>
        <v/>
      </c>
      <c r="F20" s="37" t="n"/>
      <c r="G20" s="39" t="str">
        <f>IF(OR(A20="",F20="",E20=""),"",ROUND(F20-E20,6))</f>
        <v/>
      </c>
      <c r="H20" s="40" t="str">
        <f>IF(G20="","",G20*IFERROR(N(INDEX(art_price,MATCH(A20,art_ref,0))),0))</f>
        <v/>
      </c>
      <c r="I20" s="39" t="str">
        <f>IF(A20="","",IF(E20="","Référence inconnue",IF(F20="","À compter",IF(G20&gt;0,"Saisir une entrée de "&amp;G20,IF(G20&lt;0,"Saisir une sortie de "&amp;-G20,"Conforme")))))</f>
        <v/>
      </c>
    </row>
    <row r="21">
      <c r="A21" s="37" t="n"/>
      <c r="B21" s="39" t="str">
        <f>IF(A21="","",IFERROR(INDEX(art_des,MATCH(A21,art_ref,0))&amp;"","Référence inconnue"))</f>
        <v/>
      </c>
      <c r="C21" s="39" t="str">
        <f>IF(A21="","",IFERROR(INDEX(art_unit,MATCH(A21,art_ref,0))&amp;"",""))</f>
        <v/>
      </c>
      <c r="D21" s="39" t="str">
        <f>IF(A21="","",IFERROR(INDEX(art_loc,MATCH(A21,art_ref,0))&amp;"",""))</f>
        <v/>
      </c>
      <c r="E21" s="39" t="str">
        <f>IF(A21="","",IFERROR(ROUND(N(INDEX(art_init,MATCH(A21,art_ref,0)))+SUMIFS(mv_qty,mv_ref,A21,mv_type,"Entrée",mv_date,"&lt;="&amp;$G$1)-SUMIFS(mv_qty,mv_ref,A21,mv_type,"Sortie",mv_date,"&lt;="&amp;$G$1),6),""))</f>
        <v/>
      </c>
      <c r="F21" s="37" t="n"/>
      <c r="G21" s="39" t="str">
        <f>IF(OR(A21="",F21="",E21=""),"",ROUND(F21-E21,6))</f>
        <v/>
      </c>
      <c r="H21" s="40" t="str">
        <f>IF(G21="","",G21*IFERROR(N(INDEX(art_price,MATCH(A21,art_ref,0))),0))</f>
        <v/>
      </c>
      <c r="I21" s="39" t="str">
        <f>IF(A21="","",IF(E21="","Référence inconnue",IF(F21="","À compter",IF(G21&gt;0,"Saisir une entrée de "&amp;G21,IF(G21&lt;0,"Saisir une sortie de "&amp;-G21,"Conforme")))))</f>
        <v/>
      </c>
    </row>
    <row r="22">
      <c r="A22" s="37" t="n"/>
      <c r="B22" s="39" t="str">
        <f>IF(A22="","",IFERROR(INDEX(art_des,MATCH(A22,art_ref,0))&amp;"","Référence inconnue"))</f>
        <v/>
      </c>
      <c r="C22" s="39" t="str">
        <f>IF(A22="","",IFERROR(INDEX(art_unit,MATCH(A22,art_ref,0))&amp;"",""))</f>
        <v/>
      </c>
      <c r="D22" s="39" t="str">
        <f>IF(A22="","",IFERROR(INDEX(art_loc,MATCH(A22,art_ref,0))&amp;"",""))</f>
        <v/>
      </c>
      <c r="E22" s="39" t="str">
        <f>IF(A22="","",IFERROR(ROUND(N(INDEX(art_init,MATCH(A22,art_ref,0)))+SUMIFS(mv_qty,mv_ref,A22,mv_type,"Entrée",mv_date,"&lt;="&amp;$G$1)-SUMIFS(mv_qty,mv_ref,A22,mv_type,"Sortie",mv_date,"&lt;="&amp;$G$1),6),""))</f>
        <v/>
      </c>
      <c r="F22" s="37" t="n"/>
      <c r="G22" s="39" t="str">
        <f>IF(OR(A22="",F22="",E22=""),"",ROUND(F22-E22,6))</f>
        <v/>
      </c>
      <c r="H22" s="40" t="str">
        <f>IF(G22="","",G22*IFERROR(N(INDEX(art_price,MATCH(A22,art_ref,0))),0))</f>
        <v/>
      </c>
      <c r="I22" s="39" t="str">
        <f>IF(A22="","",IF(E22="","Référence inconnue",IF(F22="","À compter",IF(G22&gt;0,"Saisir une entrée de "&amp;G22,IF(G22&lt;0,"Saisir une sortie de "&amp;-G22,"Conforme")))))</f>
        <v/>
      </c>
    </row>
    <row r="23">
      <c r="A23" s="37" t="n"/>
      <c r="B23" s="39" t="str">
        <f>IF(A23="","",IFERROR(INDEX(art_des,MATCH(A23,art_ref,0))&amp;"","Référence inconnue"))</f>
        <v/>
      </c>
      <c r="C23" s="39" t="str">
        <f>IF(A23="","",IFERROR(INDEX(art_unit,MATCH(A23,art_ref,0))&amp;"",""))</f>
        <v/>
      </c>
      <c r="D23" s="39" t="str">
        <f>IF(A23="","",IFERROR(INDEX(art_loc,MATCH(A23,art_ref,0))&amp;"",""))</f>
        <v/>
      </c>
      <c r="E23" s="39" t="str">
        <f>IF(A23="","",IFERROR(ROUND(N(INDEX(art_init,MATCH(A23,art_ref,0)))+SUMIFS(mv_qty,mv_ref,A23,mv_type,"Entrée",mv_date,"&lt;="&amp;$G$1)-SUMIFS(mv_qty,mv_ref,A23,mv_type,"Sortie",mv_date,"&lt;="&amp;$G$1),6),""))</f>
        <v/>
      </c>
      <c r="F23" s="37" t="n"/>
      <c r="G23" s="39" t="str">
        <f>IF(OR(A23="",F23="",E23=""),"",ROUND(F23-E23,6))</f>
        <v/>
      </c>
      <c r="H23" s="40" t="str">
        <f>IF(G23="","",G23*IFERROR(N(INDEX(art_price,MATCH(A23,art_ref,0))),0))</f>
        <v/>
      </c>
      <c r="I23" s="39" t="str">
        <f>IF(A23="","",IF(E23="","Référence inconnue",IF(F23="","À compter",IF(G23&gt;0,"Saisir une entrée de "&amp;G23,IF(G23&lt;0,"Saisir une sortie de "&amp;-G23,"Conforme")))))</f>
        <v/>
      </c>
    </row>
    <row r="24">
      <c r="A24" s="37" t="n"/>
      <c r="B24" s="39" t="str">
        <f>IF(A24="","",IFERROR(INDEX(art_des,MATCH(A24,art_ref,0))&amp;"","Référence inconnue"))</f>
        <v/>
      </c>
      <c r="C24" s="39" t="str">
        <f>IF(A24="","",IFERROR(INDEX(art_unit,MATCH(A24,art_ref,0))&amp;"",""))</f>
        <v/>
      </c>
      <c r="D24" s="39" t="str">
        <f>IF(A24="","",IFERROR(INDEX(art_loc,MATCH(A24,art_ref,0))&amp;"",""))</f>
        <v/>
      </c>
      <c r="E24" s="39" t="str">
        <f>IF(A24="","",IFERROR(ROUND(N(INDEX(art_init,MATCH(A24,art_ref,0)))+SUMIFS(mv_qty,mv_ref,A24,mv_type,"Entrée",mv_date,"&lt;="&amp;$G$1)-SUMIFS(mv_qty,mv_ref,A24,mv_type,"Sortie",mv_date,"&lt;="&amp;$G$1),6),""))</f>
        <v/>
      </c>
      <c r="F24" s="37" t="n"/>
      <c r="G24" s="39" t="str">
        <f>IF(OR(A24="",F24="",E24=""),"",ROUND(F24-E24,6))</f>
        <v/>
      </c>
      <c r="H24" s="40" t="str">
        <f>IF(G24="","",G24*IFERROR(N(INDEX(art_price,MATCH(A24,art_ref,0))),0))</f>
        <v/>
      </c>
      <c r="I24" s="39" t="str">
        <f>IF(A24="","",IF(E24="","Référence inconnue",IF(F24="","À compter",IF(G24&gt;0,"Saisir une entrée de "&amp;G24,IF(G24&lt;0,"Saisir une sortie de "&amp;-G24,"Conforme")))))</f>
        <v/>
      </c>
    </row>
    <row r="25">
      <c r="A25" s="37" t="n"/>
      <c r="B25" s="39" t="str">
        <f>IF(A25="","",IFERROR(INDEX(art_des,MATCH(A25,art_ref,0))&amp;"","Référence inconnue"))</f>
        <v/>
      </c>
      <c r="C25" s="39" t="str">
        <f>IF(A25="","",IFERROR(INDEX(art_unit,MATCH(A25,art_ref,0))&amp;"",""))</f>
        <v/>
      </c>
      <c r="D25" s="39" t="str">
        <f>IF(A25="","",IFERROR(INDEX(art_loc,MATCH(A25,art_ref,0))&amp;"",""))</f>
        <v/>
      </c>
      <c r="E25" s="39" t="str">
        <f>IF(A25="","",IFERROR(ROUND(N(INDEX(art_init,MATCH(A25,art_ref,0)))+SUMIFS(mv_qty,mv_ref,A25,mv_type,"Entrée",mv_date,"&lt;="&amp;$G$1)-SUMIFS(mv_qty,mv_ref,A25,mv_type,"Sortie",mv_date,"&lt;="&amp;$G$1),6),""))</f>
        <v/>
      </c>
      <c r="F25" s="37" t="n"/>
      <c r="G25" s="39" t="str">
        <f>IF(OR(A25="",F25="",E25=""),"",ROUND(F25-E25,6))</f>
        <v/>
      </c>
      <c r="H25" s="40" t="str">
        <f>IF(G25="","",G25*IFERROR(N(INDEX(art_price,MATCH(A25,art_ref,0))),0))</f>
        <v/>
      </c>
      <c r="I25" s="39" t="str">
        <f>IF(A25="","",IF(E25="","Référence inconnue",IF(F25="","À compter",IF(G25&gt;0,"Saisir une entrée de "&amp;G25,IF(G25&lt;0,"Saisir une sortie de "&amp;-G25,"Conforme")))))</f>
        <v/>
      </c>
    </row>
    <row r="26">
      <c r="A26" s="37" t="n"/>
      <c r="B26" s="39" t="str">
        <f>IF(A26="","",IFERROR(INDEX(art_des,MATCH(A26,art_ref,0))&amp;"","Référence inconnue"))</f>
        <v/>
      </c>
      <c r="C26" s="39" t="str">
        <f>IF(A26="","",IFERROR(INDEX(art_unit,MATCH(A26,art_ref,0))&amp;"",""))</f>
        <v/>
      </c>
      <c r="D26" s="39" t="str">
        <f>IF(A26="","",IFERROR(INDEX(art_loc,MATCH(A26,art_ref,0))&amp;"",""))</f>
        <v/>
      </c>
      <c r="E26" s="39" t="str">
        <f>IF(A26="","",IFERROR(ROUND(N(INDEX(art_init,MATCH(A26,art_ref,0)))+SUMIFS(mv_qty,mv_ref,A26,mv_type,"Entrée",mv_date,"&lt;="&amp;$G$1)-SUMIFS(mv_qty,mv_ref,A26,mv_type,"Sortie",mv_date,"&lt;="&amp;$G$1),6),""))</f>
        <v/>
      </c>
      <c r="F26" s="37" t="n"/>
      <c r="G26" s="39" t="str">
        <f>IF(OR(A26="",F26="",E26=""),"",ROUND(F26-E26,6))</f>
        <v/>
      </c>
      <c r="H26" s="40" t="str">
        <f>IF(G26="","",G26*IFERROR(N(INDEX(art_price,MATCH(A26,art_ref,0))),0))</f>
        <v/>
      </c>
      <c r="I26" s="39" t="str">
        <f>IF(A26="","",IF(E26="","Référence inconnue",IF(F26="","À compter",IF(G26&gt;0,"Saisir une entrée de "&amp;G26,IF(G26&lt;0,"Saisir une sortie de "&amp;-G26,"Conforme")))))</f>
        <v/>
      </c>
    </row>
    <row r="27">
      <c r="A27" s="37" t="n"/>
      <c r="B27" s="39" t="str">
        <f>IF(A27="","",IFERROR(INDEX(art_des,MATCH(A27,art_ref,0))&amp;"","Référence inconnue"))</f>
        <v/>
      </c>
      <c r="C27" s="39" t="str">
        <f>IF(A27="","",IFERROR(INDEX(art_unit,MATCH(A27,art_ref,0))&amp;"",""))</f>
        <v/>
      </c>
      <c r="D27" s="39" t="str">
        <f>IF(A27="","",IFERROR(INDEX(art_loc,MATCH(A27,art_ref,0))&amp;"",""))</f>
        <v/>
      </c>
      <c r="E27" s="39" t="str">
        <f>IF(A27="","",IFERROR(ROUND(N(INDEX(art_init,MATCH(A27,art_ref,0)))+SUMIFS(mv_qty,mv_ref,A27,mv_type,"Entrée",mv_date,"&lt;="&amp;$G$1)-SUMIFS(mv_qty,mv_ref,A27,mv_type,"Sortie",mv_date,"&lt;="&amp;$G$1),6),""))</f>
        <v/>
      </c>
      <c r="F27" s="37" t="n"/>
      <c r="G27" s="39" t="str">
        <f>IF(OR(A27="",F27="",E27=""),"",ROUND(F27-E27,6))</f>
        <v/>
      </c>
      <c r="H27" s="40" t="str">
        <f>IF(G27="","",G27*IFERROR(N(INDEX(art_price,MATCH(A27,art_ref,0))),0))</f>
        <v/>
      </c>
      <c r="I27" s="39" t="str">
        <f>IF(A27="","",IF(E27="","Référence inconnue",IF(F27="","À compter",IF(G27&gt;0,"Saisir une entrée de "&amp;G27,IF(G27&lt;0,"Saisir une sortie de "&amp;-G27,"Conforme")))))</f>
        <v/>
      </c>
    </row>
    <row r="28">
      <c r="A28" s="37" t="n"/>
      <c r="B28" s="39" t="str">
        <f>IF(A28="","",IFERROR(INDEX(art_des,MATCH(A28,art_ref,0))&amp;"","Référence inconnue"))</f>
        <v/>
      </c>
      <c r="C28" s="39" t="str">
        <f>IF(A28="","",IFERROR(INDEX(art_unit,MATCH(A28,art_ref,0))&amp;"",""))</f>
        <v/>
      </c>
      <c r="D28" s="39" t="str">
        <f>IF(A28="","",IFERROR(INDEX(art_loc,MATCH(A28,art_ref,0))&amp;"",""))</f>
        <v/>
      </c>
      <c r="E28" s="39" t="str">
        <f>IF(A28="","",IFERROR(ROUND(N(INDEX(art_init,MATCH(A28,art_ref,0)))+SUMIFS(mv_qty,mv_ref,A28,mv_type,"Entrée",mv_date,"&lt;="&amp;$G$1)-SUMIFS(mv_qty,mv_ref,A28,mv_type,"Sortie",mv_date,"&lt;="&amp;$G$1),6),""))</f>
        <v/>
      </c>
      <c r="F28" s="37" t="n"/>
      <c r="G28" s="39" t="str">
        <f>IF(OR(A28="",F28="",E28=""),"",ROUND(F28-E28,6))</f>
        <v/>
      </c>
      <c r="H28" s="40" t="str">
        <f>IF(G28="","",G28*IFERROR(N(INDEX(art_price,MATCH(A28,art_ref,0))),0))</f>
        <v/>
      </c>
      <c r="I28" s="39" t="str">
        <f>IF(A28="","",IF(E28="","Référence inconnue",IF(F28="","À compter",IF(G28&gt;0,"Saisir une entrée de "&amp;G28,IF(G28&lt;0,"Saisir une sortie de "&amp;-G28,"Conforme")))))</f>
        <v/>
      </c>
    </row>
    <row r="29">
      <c r="A29" s="37" t="n"/>
      <c r="B29" s="39" t="str">
        <f>IF(A29="","",IFERROR(INDEX(art_des,MATCH(A29,art_ref,0))&amp;"","Référence inconnue"))</f>
        <v/>
      </c>
      <c r="C29" s="39" t="str">
        <f>IF(A29="","",IFERROR(INDEX(art_unit,MATCH(A29,art_ref,0))&amp;"",""))</f>
        <v/>
      </c>
      <c r="D29" s="39" t="str">
        <f>IF(A29="","",IFERROR(INDEX(art_loc,MATCH(A29,art_ref,0))&amp;"",""))</f>
        <v/>
      </c>
      <c r="E29" s="39" t="str">
        <f>IF(A29="","",IFERROR(ROUND(N(INDEX(art_init,MATCH(A29,art_ref,0)))+SUMIFS(mv_qty,mv_ref,A29,mv_type,"Entrée",mv_date,"&lt;="&amp;$G$1)-SUMIFS(mv_qty,mv_ref,A29,mv_type,"Sortie",mv_date,"&lt;="&amp;$G$1),6),""))</f>
        <v/>
      </c>
      <c r="F29" s="37" t="n"/>
      <c r="G29" s="39" t="str">
        <f>IF(OR(A29="",F29="",E29=""),"",ROUND(F29-E29,6))</f>
        <v/>
      </c>
      <c r="H29" s="40" t="str">
        <f>IF(G29="","",G29*IFERROR(N(INDEX(art_price,MATCH(A29,art_ref,0))),0))</f>
        <v/>
      </c>
      <c r="I29" s="39" t="str">
        <f>IF(A29="","",IF(E29="","Référence inconnue",IF(F29="","À compter",IF(G29&gt;0,"Saisir une entrée de "&amp;G29,IF(G29&lt;0,"Saisir une sortie de "&amp;-G29,"Conforme")))))</f>
        <v/>
      </c>
    </row>
    <row r="30">
      <c r="A30" s="37" t="n"/>
      <c r="B30" s="39" t="str">
        <f>IF(A30="","",IFERROR(INDEX(art_des,MATCH(A30,art_ref,0))&amp;"","Référence inconnue"))</f>
        <v/>
      </c>
      <c r="C30" s="39" t="str">
        <f>IF(A30="","",IFERROR(INDEX(art_unit,MATCH(A30,art_ref,0))&amp;"",""))</f>
        <v/>
      </c>
      <c r="D30" s="39" t="str">
        <f>IF(A30="","",IFERROR(INDEX(art_loc,MATCH(A30,art_ref,0))&amp;"",""))</f>
        <v/>
      </c>
      <c r="E30" s="39" t="str">
        <f>IF(A30="","",IFERROR(ROUND(N(INDEX(art_init,MATCH(A30,art_ref,0)))+SUMIFS(mv_qty,mv_ref,A30,mv_type,"Entrée",mv_date,"&lt;="&amp;$G$1)-SUMIFS(mv_qty,mv_ref,A30,mv_type,"Sortie",mv_date,"&lt;="&amp;$G$1),6),""))</f>
        <v/>
      </c>
      <c r="F30" s="37" t="n"/>
      <c r="G30" s="39" t="str">
        <f>IF(OR(A30="",F30="",E30=""),"",ROUND(F30-E30,6))</f>
        <v/>
      </c>
      <c r="H30" s="40" t="str">
        <f>IF(G30="","",G30*IFERROR(N(INDEX(art_price,MATCH(A30,art_ref,0))),0))</f>
        <v/>
      </c>
      <c r="I30" s="39" t="str">
        <f>IF(A30="","",IF(E30="","Référence inconnue",IF(F30="","À compter",IF(G30&gt;0,"Saisir une entrée de "&amp;G30,IF(G30&lt;0,"Saisir une sortie de "&amp;-G30,"Conforme")))))</f>
        <v/>
      </c>
    </row>
    <row r="31">
      <c r="A31" s="37" t="n"/>
      <c r="B31" s="39" t="str">
        <f>IF(A31="","",IFERROR(INDEX(art_des,MATCH(A31,art_ref,0))&amp;"","Référence inconnue"))</f>
        <v/>
      </c>
      <c r="C31" s="39" t="str">
        <f>IF(A31="","",IFERROR(INDEX(art_unit,MATCH(A31,art_ref,0))&amp;"",""))</f>
        <v/>
      </c>
      <c r="D31" s="39" t="str">
        <f>IF(A31="","",IFERROR(INDEX(art_loc,MATCH(A31,art_ref,0))&amp;"",""))</f>
        <v/>
      </c>
      <c r="E31" s="39" t="str">
        <f>IF(A31="","",IFERROR(ROUND(N(INDEX(art_init,MATCH(A31,art_ref,0)))+SUMIFS(mv_qty,mv_ref,A31,mv_type,"Entrée",mv_date,"&lt;="&amp;$G$1)-SUMIFS(mv_qty,mv_ref,A31,mv_type,"Sortie",mv_date,"&lt;="&amp;$G$1),6),""))</f>
        <v/>
      </c>
      <c r="F31" s="37" t="n"/>
      <c r="G31" s="39" t="str">
        <f>IF(OR(A31="",F31="",E31=""),"",ROUND(F31-E31,6))</f>
        <v/>
      </c>
      <c r="H31" s="40" t="str">
        <f>IF(G31="","",G31*IFERROR(N(INDEX(art_price,MATCH(A31,art_ref,0))),0))</f>
        <v/>
      </c>
      <c r="I31" s="39" t="str">
        <f>IF(A31="","",IF(E31="","Référence inconnue",IF(F31="","À compter",IF(G31&gt;0,"Saisir une entrée de "&amp;G31,IF(G31&lt;0,"Saisir une sortie de "&amp;-G31,"Conforme")))))</f>
        <v/>
      </c>
    </row>
    <row r="32">
      <c r="A32" s="37" t="n"/>
      <c r="B32" s="39" t="str">
        <f>IF(A32="","",IFERROR(INDEX(art_des,MATCH(A32,art_ref,0))&amp;"","Référence inconnue"))</f>
        <v/>
      </c>
      <c r="C32" s="39" t="str">
        <f>IF(A32="","",IFERROR(INDEX(art_unit,MATCH(A32,art_ref,0))&amp;"",""))</f>
        <v/>
      </c>
      <c r="D32" s="39" t="str">
        <f>IF(A32="","",IFERROR(INDEX(art_loc,MATCH(A32,art_ref,0))&amp;"",""))</f>
        <v/>
      </c>
      <c r="E32" s="39" t="str">
        <f>IF(A32="","",IFERROR(ROUND(N(INDEX(art_init,MATCH(A32,art_ref,0)))+SUMIFS(mv_qty,mv_ref,A32,mv_type,"Entrée",mv_date,"&lt;="&amp;$G$1)-SUMIFS(mv_qty,mv_ref,A32,mv_type,"Sortie",mv_date,"&lt;="&amp;$G$1),6),""))</f>
        <v/>
      </c>
      <c r="F32" s="37" t="n"/>
      <c r="G32" s="39" t="str">
        <f>IF(OR(A32="",F32="",E32=""),"",ROUND(F32-E32,6))</f>
        <v/>
      </c>
      <c r="H32" s="40" t="str">
        <f>IF(G32="","",G32*IFERROR(N(INDEX(art_price,MATCH(A32,art_ref,0))),0))</f>
        <v/>
      </c>
      <c r="I32" s="39" t="str">
        <f>IF(A32="","",IF(E32="","Référence inconnue",IF(F32="","À compter",IF(G32&gt;0,"Saisir une entrée de "&amp;G32,IF(G32&lt;0,"Saisir une sortie de "&amp;-G32,"Conforme")))))</f>
        <v/>
      </c>
    </row>
    <row r="33">
      <c r="A33" s="37" t="n"/>
      <c r="B33" s="39" t="str">
        <f>IF(A33="","",IFERROR(INDEX(art_des,MATCH(A33,art_ref,0))&amp;"","Référence inconnue"))</f>
        <v/>
      </c>
      <c r="C33" s="39" t="str">
        <f>IF(A33="","",IFERROR(INDEX(art_unit,MATCH(A33,art_ref,0))&amp;"",""))</f>
        <v/>
      </c>
      <c r="D33" s="39" t="str">
        <f>IF(A33="","",IFERROR(INDEX(art_loc,MATCH(A33,art_ref,0))&amp;"",""))</f>
        <v/>
      </c>
      <c r="E33" s="39" t="str">
        <f>IF(A33="","",IFERROR(ROUND(N(INDEX(art_init,MATCH(A33,art_ref,0)))+SUMIFS(mv_qty,mv_ref,A33,mv_type,"Entrée",mv_date,"&lt;="&amp;$G$1)-SUMIFS(mv_qty,mv_ref,A33,mv_type,"Sortie",mv_date,"&lt;="&amp;$G$1),6),""))</f>
        <v/>
      </c>
      <c r="F33" s="37" t="n"/>
      <c r="G33" s="39" t="str">
        <f>IF(OR(A33="",F33="",E33=""),"",ROUND(F33-E33,6))</f>
        <v/>
      </c>
      <c r="H33" s="40" t="str">
        <f>IF(G33="","",G33*IFERROR(N(INDEX(art_price,MATCH(A33,art_ref,0))),0))</f>
        <v/>
      </c>
      <c r="I33" s="39" t="str">
        <f>IF(A33="","",IF(E33="","Référence inconnue",IF(F33="","À compter",IF(G33&gt;0,"Saisir une entrée de "&amp;G33,IF(G33&lt;0,"Saisir une sortie de "&amp;-G33,"Conforme")))))</f>
        <v/>
      </c>
    </row>
    <row r="34">
      <c r="A34" s="37" t="n"/>
      <c r="B34" s="39" t="str">
        <f>IF(A34="","",IFERROR(INDEX(art_des,MATCH(A34,art_ref,0))&amp;"","Référence inconnue"))</f>
        <v/>
      </c>
      <c r="C34" s="39" t="str">
        <f>IF(A34="","",IFERROR(INDEX(art_unit,MATCH(A34,art_ref,0))&amp;"",""))</f>
        <v/>
      </c>
      <c r="D34" s="39" t="str">
        <f>IF(A34="","",IFERROR(INDEX(art_loc,MATCH(A34,art_ref,0))&amp;"",""))</f>
        <v/>
      </c>
      <c r="E34" s="39" t="str">
        <f>IF(A34="","",IFERROR(ROUND(N(INDEX(art_init,MATCH(A34,art_ref,0)))+SUMIFS(mv_qty,mv_ref,A34,mv_type,"Entrée",mv_date,"&lt;="&amp;$G$1)-SUMIFS(mv_qty,mv_ref,A34,mv_type,"Sortie",mv_date,"&lt;="&amp;$G$1),6),""))</f>
        <v/>
      </c>
      <c r="F34" s="37" t="n"/>
      <c r="G34" s="39" t="str">
        <f>IF(OR(A34="",F34="",E34=""),"",ROUND(F34-E34,6))</f>
        <v/>
      </c>
      <c r="H34" s="40" t="str">
        <f>IF(G34="","",G34*IFERROR(N(INDEX(art_price,MATCH(A34,art_ref,0))),0))</f>
        <v/>
      </c>
      <c r="I34" s="39" t="str">
        <f>IF(A34="","",IF(E34="","Référence inconnue",IF(F34="","À compter",IF(G34&gt;0,"Saisir une entrée de "&amp;G34,IF(G34&lt;0,"Saisir une sortie de "&amp;-G34,"Conforme")))))</f>
        <v/>
      </c>
    </row>
    <row r="35">
      <c r="A35" s="37" t="n"/>
      <c r="B35" s="39" t="str">
        <f>IF(A35="","",IFERROR(INDEX(art_des,MATCH(A35,art_ref,0))&amp;"","Référence inconnue"))</f>
        <v/>
      </c>
      <c r="C35" s="39" t="str">
        <f>IF(A35="","",IFERROR(INDEX(art_unit,MATCH(A35,art_ref,0))&amp;"",""))</f>
        <v/>
      </c>
      <c r="D35" s="39" t="str">
        <f>IF(A35="","",IFERROR(INDEX(art_loc,MATCH(A35,art_ref,0))&amp;"",""))</f>
        <v/>
      </c>
      <c r="E35" s="39" t="str">
        <f>IF(A35="","",IFERROR(ROUND(N(INDEX(art_init,MATCH(A35,art_ref,0)))+SUMIFS(mv_qty,mv_ref,A35,mv_type,"Entrée",mv_date,"&lt;="&amp;$G$1)-SUMIFS(mv_qty,mv_ref,A35,mv_type,"Sortie",mv_date,"&lt;="&amp;$G$1),6),""))</f>
        <v/>
      </c>
      <c r="F35" s="37" t="n"/>
      <c r="G35" s="39" t="str">
        <f>IF(OR(A35="",F35="",E35=""),"",ROUND(F35-E35,6))</f>
        <v/>
      </c>
      <c r="H35" s="40" t="str">
        <f>IF(G35="","",G35*IFERROR(N(INDEX(art_price,MATCH(A35,art_ref,0))),0))</f>
        <v/>
      </c>
      <c r="I35" s="39" t="str">
        <f>IF(A35="","",IF(E35="","Référence inconnue",IF(F35="","À compter",IF(G35&gt;0,"Saisir une entrée de "&amp;G35,IF(G35&lt;0,"Saisir une sortie de "&amp;-G35,"Conforme")))))</f>
        <v/>
      </c>
    </row>
    <row r="36">
      <c r="A36" s="37" t="n"/>
      <c r="B36" s="39" t="str">
        <f>IF(A36="","",IFERROR(INDEX(art_des,MATCH(A36,art_ref,0))&amp;"","Référence inconnue"))</f>
        <v/>
      </c>
      <c r="C36" s="39" t="str">
        <f>IF(A36="","",IFERROR(INDEX(art_unit,MATCH(A36,art_ref,0))&amp;"",""))</f>
        <v/>
      </c>
      <c r="D36" s="39" t="str">
        <f>IF(A36="","",IFERROR(INDEX(art_loc,MATCH(A36,art_ref,0))&amp;"",""))</f>
        <v/>
      </c>
      <c r="E36" s="39" t="str">
        <f>IF(A36="","",IFERROR(ROUND(N(INDEX(art_init,MATCH(A36,art_ref,0)))+SUMIFS(mv_qty,mv_ref,A36,mv_type,"Entrée",mv_date,"&lt;="&amp;$G$1)-SUMIFS(mv_qty,mv_ref,A36,mv_type,"Sortie",mv_date,"&lt;="&amp;$G$1),6),""))</f>
        <v/>
      </c>
      <c r="F36" s="37" t="n"/>
      <c r="G36" s="39" t="str">
        <f>IF(OR(A36="",F36="",E36=""),"",ROUND(F36-E36,6))</f>
        <v/>
      </c>
      <c r="H36" s="40" t="str">
        <f>IF(G36="","",G36*IFERROR(N(INDEX(art_price,MATCH(A36,art_ref,0))),0))</f>
        <v/>
      </c>
      <c r="I36" s="39" t="str">
        <f>IF(A36="","",IF(E36="","Référence inconnue",IF(F36="","À compter",IF(G36&gt;0,"Saisir une entrée de "&amp;G36,IF(G36&lt;0,"Saisir une sortie de "&amp;-G36,"Conforme")))))</f>
        <v/>
      </c>
    </row>
    <row r="37">
      <c r="A37" s="37" t="n"/>
      <c r="B37" s="39" t="str">
        <f>IF(A37="","",IFERROR(INDEX(art_des,MATCH(A37,art_ref,0))&amp;"","Référence inconnue"))</f>
        <v/>
      </c>
      <c r="C37" s="39" t="str">
        <f>IF(A37="","",IFERROR(INDEX(art_unit,MATCH(A37,art_ref,0))&amp;"",""))</f>
        <v/>
      </c>
      <c r="D37" s="39" t="str">
        <f>IF(A37="","",IFERROR(INDEX(art_loc,MATCH(A37,art_ref,0))&amp;"",""))</f>
        <v/>
      </c>
      <c r="E37" s="39" t="str">
        <f>IF(A37="","",IFERROR(ROUND(N(INDEX(art_init,MATCH(A37,art_ref,0)))+SUMIFS(mv_qty,mv_ref,A37,mv_type,"Entrée",mv_date,"&lt;="&amp;$G$1)-SUMIFS(mv_qty,mv_ref,A37,mv_type,"Sortie",mv_date,"&lt;="&amp;$G$1),6),""))</f>
        <v/>
      </c>
      <c r="F37" s="37" t="n"/>
      <c r="G37" s="39" t="str">
        <f>IF(OR(A37="",F37="",E37=""),"",ROUND(F37-E37,6))</f>
        <v/>
      </c>
      <c r="H37" s="40" t="str">
        <f>IF(G37="","",G37*IFERROR(N(INDEX(art_price,MATCH(A37,art_ref,0))),0))</f>
        <v/>
      </c>
      <c r="I37" s="39" t="str">
        <f>IF(A37="","",IF(E37="","Référence inconnue",IF(F37="","À compter",IF(G37&gt;0,"Saisir une entrée de "&amp;G37,IF(G37&lt;0,"Saisir une sortie de "&amp;-G37,"Conforme")))))</f>
        <v/>
      </c>
    </row>
    <row r="38">
      <c r="A38" s="37" t="n"/>
      <c r="B38" s="39" t="str">
        <f>IF(A38="","",IFERROR(INDEX(art_des,MATCH(A38,art_ref,0))&amp;"","Référence inconnue"))</f>
        <v/>
      </c>
      <c r="C38" s="39" t="str">
        <f>IF(A38="","",IFERROR(INDEX(art_unit,MATCH(A38,art_ref,0))&amp;"",""))</f>
        <v/>
      </c>
      <c r="D38" s="39" t="str">
        <f>IF(A38="","",IFERROR(INDEX(art_loc,MATCH(A38,art_ref,0))&amp;"",""))</f>
        <v/>
      </c>
      <c r="E38" s="39" t="str">
        <f>IF(A38="","",IFERROR(ROUND(N(INDEX(art_init,MATCH(A38,art_ref,0)))+SUMIFS(mv_qty,mv_ref,A38,mv_type,"Entrée",mv_date,"&lt;="&amp;$G$1)-SUMIFS(mv_qty,mv_ref,A38,mv_type,"Sortie",mv_date,"&lt;="&amp;$G$1),6),""))</f>
        <v/>
      </c>
      <c r="F38" s="37" t="n"/>
      <c r="G38" s="39" t="str">
        <f>IF(OR(A38="",F38="",E38=""),"",ROUND(F38-E38,6))</f>
        <v/>
      </c>
      <c r="H38" s="40" t="str">
        <f>IF(G38="","",G38*IFERROR(N(INDEX(art_price,MATCH(A38,art_ref,0))),0))</f>
        <v/>
      </c>
      <c r="I38" s="39" t="str">
        <f>IF(A38="","",IF(E38="","Référence inconnue",IF(F38="","À compter",IF(G38&gt;0,"Saisir une entrée de "&amp;G38,IF(G38&lt;0,"Saisir une sortie de "&amp;-G38,"Conforme")))))</f>
        <v/>
      </c>
    </row>
    <row r="39">
      <c r="A39" s="37" t="n"/>
      <c r="B39" s="39" t="str">
        <f>IF(A39="","",IFERROR(INDEX(art_des,MATCH(A39,art_ref,0))&amp;"","Référence inconnue"))</f>
        <v/>
      </c>
      <c r="C39" s="39" t="str">
        <f>IF(A39="","",IFERROR(INDEX(art_unit,MATCH(A39,art_ref,0))&amp;"",""))</f>
        <v/>
      </c>
      <c r="D39" s="39" t="str">
        <f>IF(A39="","",IFERROR(INDEX(art_loc,MATCH(A39,art_ref,0))&amp;"",""))</f>
        <v/>
      </c>
      <c r="E39" s="39" t="str">
        <f>IF(A39="","",IFERROR(ROUND(N(INDEX(art_init,MATCH(A39,art_ref,0)))+SUMIFS(mv_qty,mv_ref,A39,mv_type,"Entrée",mv_date,"&lt;="&amp;$G$1)-SUMIFS(mv_qty,mv_ref,A39,mv_type,"Sortie",mv_date,"&lt;="&amp;$G$1),6),""))</f>
        <v/>
      </c>
      <c r="F39" s="37" t="n"/>
      <c r="G39" s="39" t="str">
        <f>IF(OR(A39="",F39="",E39=""),"",ROUND(F39-E39,6))</f>
        <v/>
      </c>
      <c r="H39" s="40" t="str">
        <f>IF(G39="","",G39*IFERROR(N(INDEX(art_price,MATCH(A39,art_ref,0))),0))</f>
        <v/>
      </c>
      <c r="I39" s="39" t="str">
        <f>IF(A39="","",IF(E39="","Référence inconnue",IF(F39="","À compter",IF(G39&gt;0,"Saisir une entrée de "&amp;G39,IF(G39&lt;0,"Saisir une sortie de "&amp;-G39,"Conforme")))))</f>
        <v/>
      </c>
    </row>
    <row r="40">
      <c r="A40" s="37" t="n"/>
      <c r="B40" s="39" t="str">
        <f>IF(A40="","",IFERROR(INDEX(art_des,MATCH(A40,art_ref,0))&amp;"","Référence inconnue"))</f>
        <v/>
      </c>
      <c r="C40" s="39" t="str">
        <f>IF(A40="","",IFERROR(INDEX(art_unit,MATCH(A40,art_ref,0))&amp;"",""))</f>
        <v/>
      </c>
      <c r="D40" s="39" t="str">
        <f>IF(A40="","",IFERROR(INDEX(art_loc,MATCH(A40,art_ref,0))&amp;"",""))</f>
        <v/>
      </c>
      <c r="E40" s="39" t="str">
        <f>IF(A40="","",IFERROR(ROUND(N(INDEX(art_init,MATCH(A40,art_ref,0)))+SUMIFS(mv_qty,mv_ref,A40,mv_type,"Entrée",mv_date,"&lt;="&amp;$G$1)-SUMIFS(mv_qty,mv_ref,A40,mv_type,"Sortie",mv_date,"&lt;="&amp;$G$1),6),""))</f>
        <v/>
      </c>
      <c r="F40" s="37" t="n"/>
      <c r="G40" s="39" t="str">
        <f>IF(OR(A40="",F40="",E40=""),"",ROUND(F40-E40,6))</f>
        <v/>
      </c>
      <c r="H40" s="40" t="str">
        <f>IF(G40="","",G40*IFERROR(N(INDEX(art_price,MATCH(A40,art_ref,0))),0))</f>
        <v/>
      </c>
      <c r="I40" s="39" t="str">
        <f>IF(A40="","",IF(E40="","Référence inconnue",IF(F40="","À compter",IF(G40&gt;0,"Saisir une entrée de "&amp;G40,IF(G40&lt;0,"Saisir une sortie de "&amp;-G40,"Conforme")))))</f>
        <v/>
      </c>
    </row>
    <row r="41">
      <c r="A41" s="37" t="n"/>
      <c r="B41" s="39" t="str">
        <f>IF(A41="","",IFERROR(INDEX(art_des,MATCH(A41,art_ref,0))&amp;"","Référence inconnue"))</f>
        <v/>
      </c>
      <c r="C41" s="39" t="str">
        <f>IF(A41="","",IFERROR(INDEX(art_unit,MATCH(A41,art_ref,0))&amp;"",""))</f>
        <v/>
      </c>
      <c r="D41" s="39" t="str">
        <f>IF(A41="","",IFERROR(INDEX(art_loc,MATCH(A41,art_ref,0))&amp;"",""))</f>
        <v/>
      </c>
      <c r="E41" s="39" t="str">
        <f>IF(A41="","",IFERROR(ROUND(N(INDEX(art_init,MATCH(A41,art_ref,0)))+SUMIFS(mv_qty,mv_ref,A41,mv_type,"Entrée",mv_date,"&lt;="&amp;$G$1)-SUMIFS(mv_qty,mv_ref,A41,mv_type,"Sortie",mv_date,"&lt;="&amp;$G$1),6),""))</f>
        <v/>
      </c>
      <c r="F41" s="37" t="n"/>
      <c r="G41" s="39" t="str">
        <f>IF(OR(A41="",F41="",E41=""),"",ROUND(F41-E41,6))</f>
        <v/>
      </c>
      <c r="H41" s="40" t="str">
        <f>IF(G41="","",G41*IFERROR(N(INDEX(art_price,MATCH(A41,art_ref,0))),0))</f>
        <v/>
      </c>
      <c r="I41" s="39" t="str">
        <f>IF(A41="","",IF(E41="","Référence inconnue",IF(F41="","À compter",IF(G41&gt;0,"Saisir une entrée de "&amp;G41,IF(G41&lt;0,"Saisir une sortie de "&amp;-G41,"Conforme")))))</f>
        <v/>
      </c>
    </row>
    <row r="42">
      <c r="A42" s="37" t="n"/>
      <c r="B42" s="39" t="str">
        <f>IF(A42="","",IFERROR(INDEX(art_des,MATCH(A42,art_ref,0))&amp;"","Référence inconnue"))</f>
        <v/>
      </c>
      <c r="C42" s="39" t="str">
        <f>IF(A42="","",IFERROR(INDEX(art_unit,MATCH(A42,art_ref,0))&amp;"",""))</f>
        <v/>
      </c>
      <c r="D42" s="39" t="str">
        <f>IF(A42="","",IFERROR(INDEX(art_loc,MATCH(A42,art_ref,0))&amp;"",""))</f>
        <v/>
      </c>
      <c r="E42" s="39" t="str">
        <f>IF(A42="","",IFERROR(ROUND(N(INDEX(art_init,MATCH(A42,art_ref,0)))+SUMIFS(mv_qty,mv_ref,A42,mv_type,"Entrée",mv_date,"&lt;="&amp;$G$1)-SUMIFS(mv_qty,mv_ref,A42,mv_type,"Sortie",mv_date,"&lt;="&amp;$G$1),6),""))</f>
        <v/>
      </c>
      <c r="F42" s="37" t="n"/>
      <c r="G42" s="39" t="str">
        <f>IF(OR(A42="",F42="",E42=""),"",ROUND(F42-E42,6))</f>
        <v/>
      </c>
      <c r="H42" s="40" t="str">
        <f>IF(G42="","",G42*IFERROR(N(INDEX(art_price,MATCH(A42,art_ref,0))),0))</f>
        <v/>
      </c>
      <c r="I42" s="39" t="str">
        <f>IF(A42="","",IF(E42="","Référence inconnue",IF(F42="","À compter",IF(G42&gt;0,"Saisir une entrée de "&amp;G42,IF(G42&lt;0,"Saisir une sortie de "&amp;-G42,"Conforme")))))</f>
        <v/>
      </c>
    </row>
    <row r="43">
      <c r="A43" s="37" t="n"/>
      <c r="B43" s="39" t="str">
        <f>IF(A43="","",IFERROR(INDEX(art_des,MATCH(A43,art_ref,0))&amp;"","Référence inconnue"))</f>
        <v/>
      </c>
      <c r="C43" s="39" t="str">
        <f>IF(A43="","",IFERROR(INDEX(art_unit,MATCH(A43,art_ref,0))&amp;"",""))</f>
        <v/>
      </c>
      <c r="D43" s="39" t="str">
        <f>IF(A43="","",IFERROR(INDEX(art_loc,MATCH(A43,art_ref,0))&amp;"",""))</f>
        <v/>
      </c>
      <c r="E43" s="39" t="str">
        <f>IF(A43="","",IFERROR(ROUND(N(INDEX(art_init,MATCH(A43,art_ref,0)))+SUMIFS(mv_qty,mv_ref,A43,mv_type,"Entrée",mv_date,"&lt;="&amp;$G$1)-SUMIFS(mv_qty,mv_ref,A43,mv_type,"Sortie",mv_date,"&lt;="&amp;$G$1),6),""))</f>
        <v/>
      </c>
      <c r="F43" s="37" t="n"/>
      <c r="G43" s="39" t="str">
        <f>IF(OR(A43="",F43="",E43=""),"",ROUND(F43-E43,6))</f>
        <v/>
      </c>
      <c r="H43" s="40" t="str">
        <f>IF(G43="","",G43*IFERROR(N(INDEX(art_price,MATCH(A43,art_ref,0))),0))</f>
        <v/>
      </c>
      <c r="I43" s="39" t="str">
        <f>IF(A43="","",IF(E43="","Référence inconnue",IF(F43="","À compter",IF(G43&gt;0,"Saisir une entrée de "&amp;G43,IF(G43&lt;0,"Saisir une sortie de "&amp;-G43,"Conforme")))))</f>
        <v/>
      </c>
    </row>
    <row r="44">
      <c r="A44" s="37" t="n"/>
      <c r="B44" s="39" t="str">
        <f>IF(A44="","",IFERROR(INDEX(art_des,MATCH(A44,art_ref,0))&amp;"","Référence inconnue"))</f>
        <v/>
      </c>
      <c r="C44" s="39" t="str">
        <f>IF(A44="","",IFERROR(INDEX(art_unit,MATCH(A44,art_ref,0))&amp;"",""))</f>
        <v/>
      </c>
      <c r="D44" s="39" t="str">
        <f>IF(A44="","",IFERROR(INDEX(art_loc,MATCH(A44,art_ref,0))&amp;"",""))</f>
        <v/>
      </c>
      <c r="E44" s="39" t="str">
        <f>IF(A44="","",IFERROR(ROUND(N(INDEX(art_init,MATCH(A44,art_ref,0)))+SUMIFS(mv_qty,mv_ref,A44,mv_type,"Entrée",mv_date,"&lt;="&amp;$G$1)-SUMIFS(mv_qty,mv_ref,A44,mv_type,"Sortie",mv_date,"&lt;="&amp;$G$1),6),""))</f>
        <v/>
      </c>
      <c r="F44" s="37" t="n"/>
      <c r="G44" s="39" t="str">
        <f>IF(OR(A44="",F44="",E44=""),"",ROUND(F44-E44,6))</f>
        <v/>
      </c>
      <c r="H44" s="40" t="str">
        <f>IF(G44="","",G44*IFERROR(N(INDEX(art_price,MATCH(A44,art_ref,0))),0))</f>
        <v/>
      </c>
      <c r="I44" s="39" t="str">
        <f>IF(A44="","",IF(E44="","Référence inconnue",IF(F44="","À compter",IF(G44&gt;0,"Saisir une entrée de "&amp;G44,IF(G44&lt;0,"Saisir une sortie de "&amp;-G44,"Conforme")))))</f>
        <v/>
      </c>
    </row>
    <row r="45">
      <c r="A45" s="37" t="n"/>
      <c r="B45" s="39" t="str">
        <f>IF(A45="","",IFERROR(INDEX(art_des,MATCH(A45,art_ref,0))&amp;"","Référence inconnue"))</f>
        <v/>
      </c>
      <c r="C45" s="39" t="str">
        <f>IF(A45="","",IFERROR(INDEX(art_unit,MATCH(A45,art_ref,0))&amp;"",""))</f>
        <v/>
      </c>
      <c r="D45" s="39" t="str">
        <f>IF(A45="","",IFERROR(INDEX(art_loc,MATCH(A45,art_ref,0))&amp;"",""))</f>
        <v/>
      </c>
      <c r="E45" s="39" t="str">
        <f>IF(A45="","",IFERROR(ROUND(N(INDEX(art_init,MATCH(A45,art_ref,0)))+SUMIFS(mv_qty,mv_ref,A45,mv_type,"Entrée",mv_date,"&lt;="&amp;$G$1)-SUMIFS(mv_qty,mv_ref,A45,mv_type,"Sortie",mv_date,"&lt;="&amp;$G$1),6),""))</f>
        <v/>
      </c>
      <c r="F45" s="37" t="n"/>
      <c r="G45" s="39" t="str">
        <f>IF(OR(A45="",F45="",E45=""),"",ROUND(F45-E45,6))</f>
        <v/>
      </c>
      <c r="H45" s="40" t="str">
        <f>IF(G45="","",G45*IFERROR(N(INDEX(art_price,MATCH(A45,art_ref,0))),0))</f>
        <v/>
      </c>
      <c r="I45" s="39" t="str">
        <f>IF(A45="","",IF(E45="","Référence inconnue",IF(F45="","À compter",IF(G45&gt;0,"Saisir une entrée de "&amp;G45,IF(G45&lt;0,"Saisir une sortie de "&amp;-G45,"Conforme")))))</f>
        <v/>
      </c>
    </row>
    <row r="46">
      <c r="A46" s="37" t="n"/>
      <c r="B46" s="39" t="str">
        <f>IF(A46="","",IFERROR(INDEX(art_des,MATCH(A46,art_ref,0))&amp;"","Référence inconnue"))</f>
        <v/>
      </c>
      <c r="C46" s="39" t="str">
        <f>IF(A46="","",IFERROR(INDEX(art_unit,MATCH(A46,art_ref,0))&amp;"",""))</f>
        <v/>
      </c>
      <c r="D46" s="39" t="str">
        <f>IF(A46="","",IFERROR(INDEX(art_loc,MATCH(A46,art_ref,0))&amp;"",""))</f>
        <v/>
      </c>
      <c r="E46" s="39" t="str">
        <f>IF(A46="","",IFERROR(ROUND(N(INDEX(art_init,MATCH(A46,art_ref,0)))+SUMIFS(mv_qty,mv_ref,A46,mv_type,"Entrée",mv_date,"&lt;="&amp;$G$1)-SUMIFS(mv_qty,mv_ref,A46,mv_type,"Sortie",mv_date,"&lt;="&amp;$G$1),6),""))</f>
        <v/>
      </c>
      <c r="F46" s="37" t="n"/>
      <c r="G46" s="39" t="str">
        <f>IF(OR(A46="",F46="",E46=""),"",ROUND(F46-E46,6))</f>
        <v/>
      </c>
      <c r="H46" s="40" t="str">
        <f>IF(G46="","",G46*IFERROR(N(INDEX(art_price,MATCH(A46,art_ref,0))),0))</f>
        <v/>
      </c>
      <c r="I46" s="39" t="str">
        <f>IF(A46="","",IF(E46="","Référence inconnue",IF(F46="","À compter",IF(G46&gt;0,"Saisir une entrée de "&amp;G46,IF(G46&lt;0,"Saisir une sortie de "&amp;-G46,"Conforme")))))</f>
        <v/>
      </c>
    </row>
    <row r="47">
      <c r="A47" s="37" t="n"/>
      <c r="B47" s="39" t="str">
        <f>IF(A47="","",IFERROR(INDEX(art_des,MATCH(A47,art_ref,0))&amp;"","Référence inconnue"))</f>
        <v/>
      </c>
      <c r="C47" s="39" t="str">
        <f>IF(A47="","",IFERROR(INDEX(art_unit,MATCH(A47,art_ref,0))&amp;"",""))</f>
        <v/>
      </c>
      <c r="D47" s="39" t="str">
        <f>IF(A47="","",IFERROR(INDEX(art_loc,MATCH(A47,art_ref,0))&amp;"",""))</f>
        <v/>
      </c>
      <c r="E47" s="39" t="str">
        <f>IF(A47="","",IFERROR(ROUND(N(INDEX(art_init,MATCH(A47,art_ref,0)))+SUMIFS(mv_qty,mv_ref,A47,mv_type,"Entrée",mv_date,"&lt;="&amp;$G$1)-SUMIFS(mv_qty,mv_ref,A47,mv_type,"Sortie",mv_date,"&lt;="&amp;$G$1),6),""))</f>
        <v/>
      </c>
      <c r="F47" s="37" t="n"/>
      <c r="G47" s="39" t="str">
        <f>IF(OR(A47="",F47="",E47=""),"",ROUND(F47-E47,6))</f>
        <v/>
      </c>
      <c r="H47" s="40" t="str">
        <f>IF(G47="","",G47*IFERROR(N(INDEX(art_price,MATCH(A47,art_ref,0))),0))</f>
        <v/>
      </c>
      <c r="I47" s="39" t="str">
        <f>IF(A47="","",IF(E47="","Référence inconnue",IF(F47="","À compter",IF(G47&gt;0,"Saisir une entrée de "&amp;G47,IF(G47&lt;0,"Saisir une sortie de "&amp;-G47,"Conforme")))))</f>
        <v/>
      </c>
    </row>
    <row r="48">
      <c r="A48" s="37" t="n"/>
      <c r="B48" s="39" t="str">
        <f>IF(A48="","",IFERROR(INDEX(art_des,MATCH(A48,art_ref,0))&amp;"","Référence inconnue"))</f>
        <v/>
      </c>
      <c r="C48" s="39" t="str">
        <f>IF(A48="","",IFERROR(INDEX(art_unit,MATCH(A48,art_ref,0))&amp;"",""))</f>
        <v/>
      </c>
      <c r="D48" s="39" t="str">
        <f>IF(A48="","",IFERROR(INDEX(art_loc,MATCH(A48,art_ref,0))&amp;"",""))</f>
        <v/>
      </c>
      <c r="E48" s="39" t="str">
        <f>IF(A48="","",IFERROR(ROUND(N(INDEX(art_init,MATCH(A48,art_ref,0)))+SUMIFS(mv_qty,mv_ref,A48,mv_type,"Entrée",mv_date,"&lt;="&amp;$G$1)-SUMIFS(mv_qty,mv_ref,A48,mv_type,"Sortie",mv_date,"&lt;="&amp;$G$1),6),""))</f>
        <v/>
      </c>
      <c r="F48" s="37" t="n"/>
      <c r="G48" s="39" t="str">
        <f>IF(OR(A48="",F48="",E48=""),"",ROUND(F48-E48,6))</f>
        <v/>
      </c>
      <c r="H48" s="40" t="str">
        <f>IF(G48="","",G48*IFERROR(N(INDEX(art_price,MATCH(A48,art_ref,0))),0))</f>
        <v/>
      </c>
      <c r="I48" s="39" t="str">
        <f>IF(A48="","",IF(E48="","Référence inconnue",IF(F48="","À compter",IF(G48&gt;0,"Saisir une entrée de "&amp;G48,IF(G48&lt;0,"Saisir une sortie de "&amp;-G48,"Conforme")))))</f>
        <v/>
      </c>
    </row>
    <row r="49">
      <c r="A49" s="37" t="n"/>
      <c r="B49" s="39" t="str">
        <f>IF(A49="","",IFERROR(INDEX(art_des,MATCH(A49,art_ref,0))&amp;"","Référence inconnue"))</f>
        <v/>
      </c>
      <c r="C49" s="39" t="str">
        <f>IF(A49="","",IFERROR(INDEX(art_unit,MATCH(A49,art_ref,0))&amp;"",""))</f>
        <v/>
      </c>
      <c r="D49" s="39" t="str">
        <f>IF(A49="","",IFERROR(INDEX(art_loc,MATCH(A49,art_ref,0))&amp;"",""))</f>
        <v/>
      </c>
      <c r="E49" s="39" t="str">
        <f>IF(A49="","",IFERROR(ROUND(N(INDEX(art_init,MATCH(A49,art_ref,0)))+SUMIFS(mv_qty,mv_ref,A49,mv_type,"Entrée",mv_date,"&lt;="&amp;$G$1)-SUMIFS(mv_qty,mv_ref,A49,mv_type,"Sortie",mv_date,"&lt;="&amp;$G$1),6),""))</f>
        <v/>
      </c>
      <c r="F49" s="37" t="n"/>
      <c r="G49" s="39" t="str">
        <f>IF(OR(A49="",F49="",E49=""),"",ROUND(F49-E49,6))</f>
        <v/>
      </c>
      <c r="H49" s="40" t="str">
        <f>IF(G49="","",G49*IFERROR(N(INDEX(art_price,MATCH(A49,art_ref,0))),0))</f>
        <v/>
      </c>
      <c r="I49" s="39" t="str">
        <f>IF(A49="","",IF(E49="","Référence inconnue",IF(F49="","À compter",IF(G49&gt;0,"Saisir une entrée de "&amp;G49,IF(G49&lt;0,"Saisir une sortie de "&amp;-G49,"Conforme")))))</f>
        <v/>
      </c>
    </row>
    <row r="50">
      <c r="A50" s="37" t="n"/>
      <c r="B50" s="39" t="str">
        <f>IF(A50="","",IFERROR(INDEX(art_des,MATCH(A50,art_ref,0))&amp;"","Référence inconnue"))</f>
        <v/>
      </c>
      <c r="C50" s="39" t="str">
        <f>IF(A50="","",IFERROR(INDEX(art_unit,MATCH(A50,art_ref,0))&amp;"",""))</f>
        <v/>
      </c>
      <c r="D50" s="39" t="str">
        <f>IF(A50="","",IFERROR(INDEX(art_loc,MATCH(A50,art_ref,0))&amp;"",""))</f>
        <v/>
      </c>
      <c r="E50" s="39" t="str">
        <f>IF(A50="","",IFERROR(ROUND(N(INDEX(art_init,MATCH(A50,art_ref,0)))+SUMIFS(mv_qty,mv_ref,A50,mv_type,"Entrée",mv_date,"&lt;="&amp;$G$1)-SUMIFS(mv_qty,mv_ref,A50,mv_type,"Sortie",mv_date,"&lt;="&amp;$G$1),6),""))</f>
        <v/>
      </c>
      <c r="F50" s="37" t="n"/>
      <c r="G50" s="39" t="str">
        <f>IF(OR(A50="",F50="",E50=""),"",ROUND(F50-E50,6))</f>
        <v/>
      </c>
      <c r="H50" s="40" t="str">
        <f>IF(G50="","",G50*IFERROR(N(INDEX(art_price,MATCH(A50,art_ref,0))),0))</f>
        <v/>
      </c>
      <c r="I50" s="39" t="str">
        <f>IF(A50="","",IF(E50="","Référence inconnue",IF(F50="","À compter",IF(G50&gt;0,"Saisir une entrée de "&amp;G50,IF(G50&lt;0,"Saisir une sortie de "&amp;-G50,"Conforme")))))</f>
        <v/>
      </c>
    </row>
    <row r="51">
      <c r="A51" s="37" t="n"/>
      <c r="B51" s="39" t="str">
        <f>IF(A51="","",IFERROR(INDEX(art_des,MATCH(A51,art_ref,0))&amp;"","Référence inconnue"))</f>
        <v/>
      </c>
      <c r="C51" s="39" t="str">
        <f>IF(A51="","",IFERROR(INDEX(art_unit,MATCH(A51,art_ref,0))&amp;"",""))</f>
        <v/>
      </c>
      <c r="D51" s="39" t="str">
        <f>IF(A51="","",IFERROR(INDEX(art_loc,MATCH(A51,art_ref,0))&amp;"",""))</f>
        <v/>
      </c>
      <c r="E51" s="39" t="str">
        <f>IF(A51="","",IFERROR(ROUND(N(INDEX(art_init,MATCH(A51,art_ref,0)))+SUMIFS(mv_qty,mv_ref,A51,mv_type,"Entrée",mv_date,"&lt;="&amp;$G$1)-SUMIFS(mv_qty,mv_ref,A51,mv_type,"Sortie",mv_date,"&lt;="&amp;$G$1),6),""))</f>
        <v/>
      </c>
      <c r="F51" s="37" t="n"/>
      <c r="G51" s="39" t="str">
        <f>IF(OR(A51="",F51="",E51=""),"",ROUND(F51-E51,6))</f>
        <v/>
      </c>
      <c r="H51" s="40" t="str">
        <f>IF(G51="","",G51*IFERROR(N(INDEX(art_price,MATCH(A51,art_ref,0))),0))</f>
        <v/>
      </c>
      <c r="I51" s="39" t="str">
        <f>IF(A51="","",IF(E51="","Référence inconnue",IF(F51="","À compter",IF(G51&gt;0,"Saisir une entrée de "&amp;G51,IF(G51&lt;0,"Saisir une sortie de "&amp;-G51,"Conforme")))))</f>
        <v/>
      </c>
    </row>
    <row r="52">
      <c r="A52" s="37" t="n"/>
      <c r="B52" s="39" t="str">
        <f>IF(A52="","",IFERROR(INDEX(art_des,MATCH(A52,art_ref,0))&amp;"","Référence inconnue"))</f>
        <v/>
      </c>
      <c r="C52" s="39" t="str">
        <f>IF(A52="","",IFERROR(INDEX(art_unit,MATCH(A52,art_ref,0))&amp;"",""))</f>
        <v/>
      </c>
      <c r="D52" s="39" t="str">
        <f>IF(A52="","",IFERROR(INDEX(art_loc,MATCH(A52,art_ref,0))&amp;"",""))</f>
        <v/>
      </c>
      <c r="E52" s="39" t="str">
        <f>IF(A52="","",IFERROR(ROUND(N(INDEX(art_init,MATCH(A52,art_ref,0)))+SUMIFS(mv_qty,mv_ref,A52,mv_type,"Entrée",mv_date,"&lt;="&amp;$G$1)-SUMIFS(mv_qty,mv_ref,A52,mv_type,"Sortie",mv_date,"&lt;="&amp;$G$1),6),""))</f>
        <v/>
      </c>
      <c r="F52" s="37" t="n"/>
      <c r="G52" s="39" t="str">
        <f>IF(OR(A52="",F52="",E52=""),"",ROUND(F52-E52,6))</f>
        <v/>
      </c>
      <c r="H52" s="40" t="str">
        <f>IF(G52="","",G52*IFERROR(N(INDEX(art_price,MATCH(A52,art_ref,0))),0))</f>
        <v/>
      </c>
      <c r="I52" s="39" t="str">
        <f>IF(A52="","",IF(E52="","Référence inconnue",IF(F52="","À compter",IF(G52&gt;0,"Saisir une entrée de "&amp;G52,IF(G52&lt;0,"Saisir une sortie de "&amp;-G52,"Conforme")))))</f>
        <v/>
      </c>
    </row>
    <row r="53">
      <c r="A53" s="37" t="n"/>
      <c r="B53" s="39" t="str">
        <f>IF(A53="","",IFERROR(INDEX(art_des,MATCH(A53,art_ref,0))&amp;"","Référence inconnue"))</f>
        <v/>
      </c>
      <c r="C53" s="39" t="str">
        <f>IF(A53="","",IFERROR(INDEX(art_unit,MATCH(A53,art_ref,0))&amp;"",""))</f>
        <v/>
      </c>
      <c r="D53" s="39" t="str">
        <f>IF(A53="","",IFERROR(INDEX(art_loc,MATCH(A53,art_ref,0))&amp;"",""))</f>
        <v/>
      </c>
      <c r="E53" s="39" t="str">
        <f>IF(A53="","",IFERROR(ROUND(N(INDEX(art_init,MATCH(A53,art_ref,0)))+SUMIFS(mv_qty,mv_ref,A53,mv_type,"Entrée",mv_date,"&lt;="&amp;$G$1)-SUMIFS(mv_qty,mv_ref,A53,mv_type,"Sortie",mv_date,"&lt;="&amp;$G$1),6),""))</f>
        <v/>
      </c>
      <c r="F53" s="37" t="n"/>
      <c r="G53" s="39" t="str">
        <f>IF(OR(A53="",F53="",E53=""),"",ROUND(F53-E53,6))</f>
        <v/>
      </c>
      <c r="H53" s="40" t="str">
        <f>IF(G53="","",G53*IFERROR(N(INDEX(art_price,MATCH(A53,art_ref,0))),0))</f>
        <v/>
      </c>
      <c r="I53" s="39" t="str">
        <f>IF(A53="","",IF(E53="","Référence inconnue",IF(F53="","À compter",IF(G53&gt;0,"Saisir une entrée de "&amp;G53,IF(G53&lt;0,"Saisir une sortie de "&amp;-G53,"Conforme")))))</f>
        <v/>
      </c>
    </row>
    <row r="54">
      <c r="A54" s="37" t="n"/>
      <c r="B54" s="39" t="str">
        <f>IF(A54="","",IFERROR(INDEX(art_des,MATCH(A54,art_ref,0))&amp;"","Référence inconnue"))</f>
        <v/>
      </c>
      <c r="C54" s="39" t="str">
        <f>IF(A54="","",IFERROR(INDEX(art_unit,MATCH(A54,art_ref,0))&amp;"",""))</f>
        <v/>
      </c>
      <c r="D54" s="39" t="str">
        <f>IF(A54="","",IFERROR(INDEX(art_loc,MATCH(A54,art_ref,0))&amp;"",""))</f>
        <v/>
      </c>
      <c r="E54" s="39" t="str">
        <f>IF(A54="","",IFERROR(ROUND(N(INDEX(art_init,MATCH(A54,art_ref,0)))+SUMIFS(mv_qty,mv_ref,A54,mv_type,"Entrée",mv_date,"&lt;="&amp;$G$1)-SUMIFS(mv_qty,mv_ref,A54,mv_type,"Sortie",mv_date,"&lt;="&amp;$G$1),6),""))</f>
        <v/>
      </c>
      <c r="F54" s="37" t="n"/>
      <c r="G54" s="39" t="str">
        <f>IF(OR(A54="",F54="",E54=""),"",ROUND(F54-E54,6))</f>
        <v/>
      </c>
      <c r="H54" s="40" t="str">
        <f>IF(G54="","",G54*IFERROR(N(INDEX(art_price,MATCH(A54,art_ref,0))),0))</f>
        <v/>
      </c>
      <c r="I54" s="39" t="str">
        <f>IF(A54="","",IF(E54="","Référence inconnue",IF(F54="","À compter",IF(G54&gt;0,"Saisir une entrée de "&amp;G54,IF(G54&lt;0,"Saisir une sortie de "&amp;-G54,"Conforme")))))</f>
        <v/>
      </c>
    </row>
    <row r="55">
      <c r="A55" s="37" t="n"/>
      <c r="B55" s="39" t="str">
        <f>IF(A55="","",IFERROR(INDEX(art_des,MATCH(A55,art_ref,0))&amp;"","Référence inconnue"))</f>
        <v/>
      </c>
      <c r="C55" s="39" t="str">
        <f>IF(A55="","",IFERROR(INDEX(art_unit,MATCH(A55,art_ref,0))&amp;"",""))</f>
        <v/>
      </c>
      <c r="D55" s="39" t="str">
        <f>IF(A55="","",IFERROR(INDEX(art_loc,MATCH(A55,art_ref,0))&amp;"",""))</f>
        <v/>
      </c>
      <c r="E55" s="39" t="str">
        <f>IF(A55="","",IFERROR(ROUND(N(INDEX(art_init,MATCH(A55,art_ref,0)))+SUMIFS(mv_qty,mv_ref,A55,mv_type,"Entrée",mv_date,"&lt;="&amp;$G$1)-SUMIFS(mv_qty,mv_ref,A55,mv_type,"Sortie",mv_date,"&lt;="&amp;$G$1),6),""))</f>
        <v/>
      </c>
      <c r="F55" s="37" t="n"/>
      <c r="G55" s="39" t="str">
        <f>IF(OR(A55="",F55="",E55=""),"",ROUND(F55-E55,6))</f>
        <v/>
      </c>
      <c r="H55" s="40" t="str">
        <f>IF(G55="","",G55*IFERROR(N(INDEX(art_price,MATCH(A55,art_ref,0))),0))</f>
        <v/>
      </c>
      <c r="I55" s="39" t="str">
        <f>IF(A55="","",IF(E55="","Référence inconnue",IF(F55="","À compter",IF(G55&gt;0,"Saisir une entrée de "&amp;G55,IF(G55&lt;0,"Saisir une sortie de "&amp;-G55,"Conforme")))))</f>
        <v/>
      </c>
    </row>
    <row r="56">
      <c r="A56" s="37" t="n"/>
      <c r="B56" s="39" t="str">
        <f>IF(A56="","",IFERROR(INDEX(art_des,MATCH(A56,art_ref,0))&amp;"","Référence inconnue"))</f>
        <v/>
      </c>
      <c r="C56" s="39" t="str">
        <f>IF(A56="","",IFERROR(INDEX(art_unit,MATCH(A56,art_ref,0))&amp;"",""))</f>
        <v/>
      </c>
      <c r="D56" s="39" t="str">
        <f>IF(A56="","",IFERROR(INDEX(art_loc,MATCH(A56,art_ref,0))&amp;"",""))</f>
        <v/>
      </c>
      <c r="E56" s="39" t="str">
        <f>IF(A56="","",IFERROR(ROUND(N(INDEX(art_init,MATCH(A56,art_ref,0)))+SUMIFS(mv_qty,mv_ref,A56,mv_type,"Entrée",mv_date,"&lt;="&amp;$G$1)-SUMIFS(mv_qty,mv_ref,A56,mv_type,"Sortie",mv_date,"&lt;="&amp;$G$1),6),""))</f>
        <v/>
      </c>
      <c r="F56" s="37" t="n"/>
      <c r="G56" s="39" t="str">
        <f>IF(OR(A56="",F56="",E56=""),"",ROUND(F56-E56,6))</f>
        <v/>
      </c>
      <c r="H56" s="40" t="str">
        <f>IF(G56="","",G56*IFERROR(N(INDEX(art_price,MATCH(A56,art_ref,0))),0))</f>
        <v/>
      </c>
      <c r="I56" s="39" t="str">
        <f>IF(A56="","",IF(E56="","Référence inconnue",IF(F56="","À compter",IF(G56&gt;0,"Saisir une entrée de "&amp;G56,IF(G56&lt;0,"Saisir une sortie de "&amp;-G56,"Conforme")))))</f>
        <v/>
      </c>
    </row>
    <row r="57">
      <c r="A57" s="37" t="n"/>
      <c r="B57" s="39" t="str">
        <f>IF(A57="","",IFERROR(INDEX(art_des,MATCH(A57,art_ref,0))&amp;"","Référence inconnue"))</f>
        <v/>
      </c>
      <c r="C57" s="39" t="str">
        <f>IF(A57="","",IFERROR(INDEX(art_unit,MATCH(A57,art_ref,0))&amp;"",""))</f>
        <v/>
      </c>
      <c r="D57" s="39" t="str">
        <f>IF(A57="","",IFERROR(INDEX(art_loc,MATCH(A57,art_ref,0))&amp;"",""))</f>
        <v/>
      </c>
      <c r="E57" s="39" t="str">
        <f>IF(A57="","",IFERROR(ROUND(N(INDEX(art_init,MATCH(A57,art_ref,0)))+SUMIFS(mv_qty,mv_ref,A57,mv_type,"Entrée",mv_date,"&lt;="&amp;$G$1)-SUMIFS(mv_qty,mv_ref,A57,mv_type,"Sortie",mv_date,"&lt;="&amp;$G$1),6),""))</f>
        <v/>
      </c>
      <c r="F57" s="37" t="n"/>
      <c r="G57" s="39" t="str">
        <f>IF(OR(A57="",F57="",E57=""),"",ROUND(F57-E57,6))</f>
        <v/>
      </c>
      <c r="H57" s="40" t="str">
        <f>IF(G57="","",G57*IFERROR(N(INDEX(art_price,MATCH(A57,art_ref,0))),0))</f>
        <v/>
      </c>
      <c r="I57" s="39" t="str">
        <f>IF(A57="","",IF(E57="","Référence inconnue",IF(F57="","À compter",IF(G57&gt;0,"Saisir une entrée de "&amp;G57,IF(G57&lt;0,"Saisir une sortie de "&amp;-G57,"Conforme")))))</f>
        <v/>
      </c>
    </row>
    <row r="58">
      <c r="A58" s="37" t="n"/>
      <c r="B58" s="39" t="str">
        <f>IF(A58="","",IFERROR(INDEX(art_des,MATCH(A58,art_ref,0))&amp;"","Référence inconnue"))</f>
        <v/>
      </c>
      <c r="C58" s="39" t="str">
        <f>IF(A58="","",IFERROR(INDEX(art_unit,MATCH(A58,art_ref,0))&amp;"",""))</f>
        <v/>
      </c>
      <c r="D58" s="39" t="str">
        <f>IF(A58="","",IFERROR(INDEX(art_loc,MATCH(A58,art_ref,0))&amp;"",""))</f>
        <v/>
      </c>
      <c r="E58" s="39" t="str">
        <f>IF(A58="","",IFERROR(ROUND(N(INDEX(art_init,MATCH(A58,art_ref,0)))+SUMIFS(mv_qty,mv_ref,A58,mv_type,"Entrée",mv_date,"&lt;="&amp;$G$1)-SUMIFS(mv_qty,mv_ref,A58,mv_type,"Sortie",mv_date,"&lt;="&amp;$G$1),6),""))</f>
        <v/>
      </c>
      <c r="F58" s="37" t="n"/>
      <c r="G58" s="39" t="str">
        <f>IF(OR(A58="",F58="",E58=""),"",ROUND(F58-E58,6))</f>
        <v/>
      </c>
      <c r="H58" s="40" t="str">
        <f>IF(G58="","",G58*IFERROR(N(INDEX(art_price,MATCH(A58,art_ref,0))),0))</f>
        <v/>
      </c>
      <c r="I58" s="39" t="str">
        <f>IF(A58="","",IF(E58="","Référence inconnue",IF(F58="","À compter",IF(G58&gt;0,"Saisir une entrée de "&amp;G58,IF(G58&lt;0,"Saisir une sortie de "&amp;-G58,"Conforme")))))</f>
        <v/>
      </c>
    </row>
    <row r="59">
      <c r="A59" s="37" t="n"/>
      <c r="B59" s="39" t="str">
        <f>IF(A59="","",IFERROR(INDEX(art_des,MATCH(A59,art_ref,0))&amp;"","Référence inconnue"))</f>
        <v/>
      </c>
      <c r="C59" s="39" t="str">
        <f>IF(A59="","",IFERROR(INDEX(art_unit,MATCH(A59,art_ref,0))&amp;"",""))</f>
        <v/>
      </c>
      <c r="D59" s="39" t="str">
        <f>IF(A59="","",IFERROR(INDEX(art_loc,MATCH(A59,art_ref,0))&amp;"",""))</f>
        <v/>
      </c>
      <c r="E59" s="39" t="str">
        <f>IF(A59="","",IFERROR(ROUND(N(INDEX(art_init,MATCH(A59,art_ref,0)))+SUMIFS(mv_qty,mv_ref,A59,mv_type,"Entrée",mv_date,"&lt;="&amp;$G$1)-SUMIFS(mv_qty,mv_ref,A59,mv_type,"Sortie",mv_date,"&lt;="&amp;$G$1),6),""))</f>
        <v/>
      </c>
      <c r="F59" s="37" t="n"/>
      <c r="G59" s="39" t="str">
        <f>IF(OR(A59="",F59="",E59=""),"",ROUND(F59-E59,6))</f>
        <v/>
      </c>
      <c r="H59" s="40" t="str">
        <f>IF(G59="","",G59*IFERROR(N(INDEX(art_price,MATCH(A59,art_ref,0))),0))</f>
        <v/>
      </c>
      <c r="I59" s="39" t="str">
        <f>IF(A59="","",IF(E59="","Référence inconnue",IF(F59="","À compter",IF(G59&gt;0,"Saisir une entrée de "&amp;G59,IF(G59&lt;0,"Saisir une sortie de "&amp;-G59,"Conforme")))))</f>
        <v/>
      </c>
    </row>
    <row r="60">
      <c r="A60" s="37" t="n"/>
      <c r="B60" s="39" t="str">
        <f>IF(A60="","",IFERROR(INDEX(art_des,MATCH(A60,art_ref,0))&amp;"","Référence inconnue"))</f>
        <v/>
      </c>
      <c r="C60" s="39" t="str">
        <f>IF(A60="","",IFERROR(INDEX(art_unit,MATCH(A60,art_ref,0))&amp;"",""))</f>
        <v/>
      </c>
      <c r="D60" s="39" t="str">
        <f>IF(A60="","",IFERROR(INDEX(art_loc,MATCH(A60,art_ref,0))&amp;"",""))</f>
        <v/>
      </c>
      <c r="E60" s="39" t="str">
        <f>IF(A60="","",IFERROR(ROUND(N(INDEX(art_init,MATCH(A60,art_ref,0)))+SUMIFS(mv_qty,mv_ref,A60,mv_type,"Entrée",mv_date,"&lt;="&amp;$G$1)-SUMIFS(mv_qty,mv_ref,A60,mv_type,"Sortie",mv_date,"&lt;="&amp;$G$1),6),""))</f>
        <v/>
      </c>
      <c r="F60" s="37" t="n"/>
      <c r="G60" s="39" t="str">
        <f>IF(OR(A60="",F60="",E60=""),"",ROUND(F60-E60,6))</f>
        <v/>
      </c>
      <c r="H60" s="40" t="str">
        <f>IF(G60="","",G60*IFERROR(N(INDEX(art_price,MATCH(A60,art_ref,0))),0))</f>
        <v/>
      </c>
      <c r="I60" s="39" t="str">
        <f>IF(A60="","",IF(E60="","Référence inconnue",IF(F60="","À compter",IF(G60&gt;0,"Saisir une entrée de "&amp;G60,IF(G60&lt;0,"Saisir une sortie de "&amp;-G60,"Conforme")))))</f>
        <v/>
      </c>
    </row>
    <row r="61">
      <c r="A61" s="37" t="n"/>
      <c r="B61" s="39" t="str">
        <f>IF(A61="","",IFERROR(INDEX(art_des,MATCH(A61,art_ref,0))&amp;"","Référence inconnue"))</f>
        <v/>
      </c>
      <c r="C61" s="39" t="str">
        <f>IF(A61="","",IFERROR(INDEX(art_unit,MATCH(A61,art_ref,0))&amp;"",""))</f>
        <v/>
      </c>
      <c r="D61" s="39" t="str">
        <f>IF(A61="","",IFERROR(INDEX(art_loc,MATCH(A61,art_ref,0))&amp;"",""))</f>
        <v/>
      </c>
      <c r="E61" s="39" t="str">
        <f>IF(A61="","",IFERROR(ROUND(N(INDEX(art_init,MATCH(A61,art_ref,0)))+SUMIFS(mv_qty,mv_ref,A61,mv_type,"Entrée",mv_date,"&lt;="&amp;$G$1)-SUMIFS(mv_qty,mv_ref,A61,mv_type,"Sortie",mv_date,"&lt;="&amp;$G$1),6),""))</f>
        <v/>
      </c>
      <c r="F61" s="37" t="n"/>
      <c r="G61" s="39" t="str">
        <f>IF(OR(A61="",F61="",E61=""),"",ROUND(F61-E61,6))</f>
        <v/>
      </c>
      <c r="H61" s="40" t="str">
        <f>IF(G61="","",G61*IFERROR(N(INDEX(art_price,MATCH(A61,art_ref,0))),0))</f>
        <v/>
      </c>
      <c r="I61" s="39" t="str">
        <f>IF(A61="","",IF(E61="","Référence inconnue",IF(F61="","À compter",IF(G61&gt;0,"Saisir une entrée de "&amp;G61,IF(G61&lt;0,"Saisir une sortie de "&amp;-G61,"Conforme")))))</f>
        <v/>
      </c>
    </row>
    <row r="62">
      <c r="A62" s="37" t="n"/>
      <c r="B62" s="39" t="str">
        <f>IF(A62="","",IFERROR(INDEX(art_des,MATCH(A62,art_ref,0))&amp;"","Référence inconnue"))</f>
        <v/>
      </c>
      <c r="C62" s="39" t="str">
        <f>IF(A62="","",IFERROR(INDEX(art_unit,MATCH(A62,art_ref,0))&amp;"",""))</f>
        <v/>
      </c>
      <c r="D62" s="39" t="str">
        <f>IF(A62="","",IFERROR(INDEX(art_loc,MATCH(A62,art_ref,0))&amp;"",""))</f>
        <v/>
      </c>
      <c r="E62" s="39" t="str">
        <f>IF(A62="","",IFERROR(ROUND(N(INDEX(art_init,MATCH(A62,art_ref,0)))+SUMIFS(mv_qty,mv_ref,A62,mv_type,"Entrée",mv_date,"&lt;="&amp;$G$1)-SUMIFS(mv_qty,mv_ref,A62,mv_type,"Sortie",mv_date,"&lt;="&amp;$G$1),6),""))</f>
        <v/>
      </c>
      <c r="F62" s="37" t="n"/>
      <c r="G62" s="39" t="str">
        <f>IF(OR(A62="",F62="",E62=""),"",ROUND(F62-E62,6))</f>
        <v/>
      </c>
      <c r="H62" s="40" t="str">
        <f>IF(G62="","",G62*IFERROR(N(INDEX(art_price,MATCH(A62,art_ref,0))),0))</f>
        <v/>
      </c>
      <c r="I62" s="39" t="str">
        <f>IF(A62="","",IF(E62="","Référence inconnue",IF(F62="","À compter",IF(G62&gt;0,"Saisir une entrée de "&amp;G62,IF(G62&lt;0,"Saisir une sortie de "&amp;-G62,"Conforme")))))</f>
        <v/>
      </c>
    </row>
    <row r="63">
      <c r="A63" s="37" t="n"/>
      <c r="B63" s="39" t="str">
        <f>IF(A63="","",IFERROR(INDEX(art_des,MATCH(A63,art_ref,0))&amp;"","Référence inconnue"))</f>
        <v/>
      </c>
      <c r="C63" s="39" t="str">
        <f>IF(A63="","",IFERROR(INDEX(art_unit,MATCH(A63,art_ref,0))&amp;"",""))</f>
        <v/>
      </c>
      <c r="D63" s="39" t="str">
        <f>IF(A63="","",IFERROR(INDEX(art_loc,MATCH(A63,art_ref,0))&amp;"",""))</f>
        <v/>
      </c>
      <c r="E63" s="39" t="str">
        <f>IF(A63="","",IFERROR(ROUND(N(INDEX(art_init,MATCH(A63,art_ref,0)))+SUMIFS(mv_qty,mv_ref,A63,mv_type,"Entrée",mv_date,"&lt;="&amp;$G$1)-SUMIFS(mv_qty,mv_ref,A63,mv_type,"Sortie",mv_date,"&lt;="&amp;$G$1),6),""))</f>
        <v/>
      </c>
      <c r="F63" s="37" t="n"/>
      <c r="G63" s="39" t="str">
        <f>IF(OR(A63="",F63="",E63=""),"",ROUND(F63-E63,6))</f>
        <v/>
      </c>
      <c r="H63" s="40" t="str">
        <f>IF(G63="","",G63*IFERROR(N(INDEX(art_price,MATCH(A63,art_ref,0))),0))</f>
        <v/>
      </c>
      <c r="I63" s="39" t="str">
        <f>IF(A63="","",IF(E63="","Référence inconnue",IF(F63="","À compter",IF(G63&gt;0,"Saisir une entrée de "&amp;G63,IF(G63&lt;0,"Saisir une sortie de "&amp;-G63,"Conforme")))))</f>
        <v/>
      </c>
    </row>
    <row r="64">
      <c r="A64" s="37" t="n"/>
      <c r="B64" s="39" t="str">
        <f>IF(A64="","",IFERROR(INDEX(art_des,MATCH(A64,art_ref,0))&amp;"","Référence inconnue"))</f>
        <v/>
      </c>
      <c r="C64" s="39" t="str">
        <f>IF(A64="","",IFERROR(INDEX(art_unit,MATCH(A64,art_ref,0))&amp;"",""))</f>
        <v/>
      </c>
      <c r="D64" s="39" t="str">
        <f>IF(A64="","",IFERROR(INDEX(art_loc,MATCH(A64,art_ref,0))&amp;"",""))</f>
        <v/>
      </c>
      <c r="E64" s="39" t="str">
        <f>IF(A64="","",IFERROR(ROUND(N(INDEX(art_init,MATCH(A64,art_ref,0)))+SUMIFS(mv_qty,mv_ref,A64,mv_type,"Entrée",mv_date,"&lt;="&amp;$G$1)-SUMIFS(mv_qty,mv_ref,A64,mv_type,"Sortie",mv_date,"&lt;="&amp;$G$1),6),""))</f>
        <v/>
      </c>
      <c r="F64" s="37" t="n"/>
      <c r="G64" s="39" t="str">
        <f>IF(OR(A64="",F64="",E64=""),"",ROUND(F64-E64,6))</f>
        <v/>
      </c>
      <c r="H64" s="40" t="str">
        <f>IF(G64="","",G64*IFERROR(N(INDEX(art_price,MATCH(A64,art_ref,0))),0))</f>
        <v/>
      </c>
      <c r="I64" s="39" t="str">
        <f>IF(A64="","",IF(E64="","Référence inconnue",IF(F64="","À compter",IF(G64&gt;0,"Saisir une entrée de "&amp;G64,IF(G64&lt;0,"Saisir une sortie de "&amp;-G64,"Conforme")))))</f>
        <v/>
      </c>
    </row>
    <row r="65">
      <c r="A65" s="37" t="n"/>
      <c r="B65" s="39" t="str">
        <f>IF(A65="","",IFERROR(INDEX(art_des,MATCH(A65,art_ref,0))&amp;"","Référence inconnue"))</f>
        <v/>
      </c>
      <c r="C65" s="39" t="str">
        <f>IF(A65="","",IFERROR(INDEX(art_unit,MATCH(A65,art_ref,0))&amp;"",""))</f>
        <v/>
      </c>
      <c r="D65" s="39" t="str">
        <f>IF(A65="","",IFERROR(INDEX(art_loc,MATCH(A65,art_ref,0))&amp;"",""))</f>
        <v/>
      </c>
      <c r="E65" s="39" t="str">
        <f>IF(A65="","",IFERROR(ROUND(N(INDEX(art_init,MATCH(A65,art_ref,0)))+SUMIFS(mv_qty,mv_ref,A65,mv_type,"Entrée",mv_date,"&lt;="&amp;$G$1)-SUMIFS(mv_qty,mv_ref,A65,mv_type,"Sortie",mv_date,"&lt;="&amp;$G$1),6),""))</f>
        <v/>
      </c>
      <c r="F65" s="37" t="n"/>
      <c r="G65" s="39" t="str">
        <f>IF(OR(A65="",F65="",E65=""),"",ROUND(F65-E65,6))</f>
        <v/>
      </c>
      <c r="H65" s="40" t="str">
        <f>IF(G65="","",G65*IFERROR(N(INDEX(art_price,MATCH(A65,art_ref,0))),0))</f>
        <v/>
      </c>
      <c r="I65" s="39" t="str">
        <f>IF(A65="","",IF(E65="","Référence inconnue",IF(F65="","À compter",IF(G65&gt;0,"Saisir une entrée de "&amp;G65,IF(G65&lt;0,"Saisir une sortie de "&amp;-G65,"Conforme")))))</f>
        <v/>
      </c>
    </row>
    <row r="66">
      <c r="A66" s="37" t="n"/>
      <c r="B66" s="39" t="str">
        <f>IF(A66="","",IFERROR(INDEX(art_des,MATCH(A66,art_ref,0))&amp;"","Référence inconnue"))</f>
        <v/>
      </c>
      <c r="C66" s="39" t="str">
        <f>IF(A66="","",IFERROR(INDEX(art_unit,MATCH(A66,art_ref,0))&amp;"",""))</f>
        <v/>
      </c>
      <c r="D66" s="39" t="str">
        <f>IF(A66="","",IFERROR(INDEX(art_loc,MATCH(A66,art_ref,0))&amp;"",""))</f>
        <v/>
      </c>
      <c r="E66" s="39" t="str">
        <f>IF(A66="","",IFERROR(ROUND(N(INDEX(art_init,MATCH(A66,art_ref,0)))+SUMIFS(mv_qty,mv_ref,A66,mv_type,"Entrée",mv_date,"&lt;="&amp;$G$1)-SUMIFS(mv_qty,mv_ref,A66,mv_type,"Sortie",mv_date,"&lt;="&amp;$G$1),6),""))</f>
        <v/>
      </c>
      <c r="F66" s="37" t="n"/>
      <c r="G66" s="39" t="str">
        <f>IF(OR(A66="",F66="",E66=""),"",ROUND(F66-E66,6))</f>
        <v/>
      </c>
      <c r="H66" s="40" t="str">
        <f>IF(G66="","",G66*IFERROR(N(INDEX(art_price,MATCH(A66,art_ref,0))),0))</f>
        <v/>
      </c>
      <c r="I66" s="39" t="str">
        <f>IF(A66="","",IF(E66="","Référence inconnue",IF(F66="","À compter",IF(G66&gt;0,"Saisir une entrée de "&amp;G66,IF(G66&lt;0,"Saisir une sortie de "&amp;-G66,"Conforme")))))</f>
        <v/>
      </c>
    </row>
    <row r="67">
      <c r="A67" s="37" t="n"/>
      <c r="B67" s="39" t="str">
        <f>IF(A67="","",IFERROR(INDEX(art_des,MATCH(A67,art_ref,0))&amp;"","Référence inconnue"))</f>
        <v/>
      </c>
      <c r="C67" s="39" t="str">
        <f>IF(A67="","",IFERROR(INDEX(art_unit,MATCH(A67,art_ref,0))&amp;"",""))</f>
        <v/>
      </c>
      <c r="D67" s="39" t="str">
        <f>IF(A67="","",IFERROR(INDEX(art_loc,MATCH(A67,art_ref,0))&amp;"",""))</f>
        <v/>
      </c>
      <c r="E67" s="39" t="str">
        <f>IF(A67="","",IFERROR(ROUND(N(INDEX(art_init,MATCH(A67,art_ref,0)))+SUMIFS(mv_qty,mv_ref,A67,mv_type,"Entrée",mv_date,"&lt;="&amp;$G$1)-SUMIFS(mv_qty,mv_ref,A67,mv_type,"Sortie",mv_date,"&lt;="&amp;$G$1),6),""))</f>
        <v/>
      </c>
      <c r="F67" s="37" t="n"/>
      <c r="G67" s="39" t="str">
        <f>IF(OR(A67="",F67="",E67=""),"",ROUND(F67-E67,6))</f>
        <v/>
      </c>
      <c r="H67" s="40" t="str">
        <f>IF(G67="","",G67*IFERROR(N(INDEX(art_price,MATCH(A67,art_ref,0))),0))</f>
        <v/>
      </c>
      <c r="I67" s="39" t="str">
        <f>IF(A67="","",IF(E67="","Référence inconnue",IF(F67="","À compter",IF(G67&gt;0,"Saisir une entrée de "&amp;G67,IF(G67&lt;0,"Saisir une sortie de "&amp;-G67,"Conforme")))))</f>
        <v/>
      </c>
    </row>
    <row r="68">
      <c r="A68" s="37" t="n"/>
      <c r="B68" s="39" t="str">
        <f>IF(A68="","",IFERROR(INDEX(art_des,MATCH(A68,art_ref,0))&amp;"","Référence inconnue"))</f>
        <v/>
      </c>
      <c r="C68" s="39" t="str">
        <f>IF(A68="","",IFERROR(INDEX(art_unit,MATCH(A68,art_ref,0))&amp;"",""))</f>
        <v/>
      </c>
      <c r="D68" s="39" t="str">
        <f>IF(A68="","",IFERROR(INDEX(art_loc,MATCH(A68,art_ref,0))&amp;"",""))</f>
        <v/>
      </c>
      <c r="E68" s="39" t="str">
        <f>IF(A68="","",IFERROR(ROUND(N(INDEX(art_init,MATCH(A68,art_ref,0)))+SUMIFS(mv_qty,mv_ref,A68,mv_type,"Entrée",mv_date,"&lt;="&amp;$G$1)-SUMIFS(mv_qty,mv_ref,A68,mv_type,"Sortie",mv_date,"&lt;="&amp;$G$1),6),""))</f>
        <v/>
      </c>
      <c r="F68" s="37" t="n"/>
      <c r="G68" s="39" t="str">
        <f>IF(OR(A68="",F68="",E68=""),"",ROUND(F68-E68,6))</f>
        <v/>
      </c>
      <c r="H68" s="40" t="str">
        <f>IF(G68="","",G68*IFERROR(N(INDEX(art_price,MATCH(A68,art_ref,0))),0))</f>
        <v/>
      </c>
      <c r="I68" s="39" t="str">
        <f>IF(A68="","",IF(E68="","Référence inconnue",IF(F68="","À compter",IF(G68&gt;0,"Saisir une entrée de "&amp;G68,IF(G68&lt;0,"Saisir une sortie de "&amp;-G68,"Conforme")))))</f>
        <v/>
      </c>
    </row>
    <row r="69">
      <c r="A69" s="37" t="n"/>
      <c r="B69" s="39" t="str">
        <f>IF(A69="","",IFERROR(INDEX(art_des,MATCH(A69,art_ref,0))&amp;"","Référence inconnue"))</f>
        <v/>
      </c>
      <c r="C69" s="39" t="str">
        <f>IF(A69="","",IFERROR(INDEX(art_unit,MATCH(A69,art_ref,0))&amp;"",""))</f>
        <v/>
      </c>
      <c r="D69" s="39" t="str">
        <f>IF(A69="","",IFERROR(INDEX(art_loc,MATCH(A69,art_ref,0))&amp;"",""))</f>
        <v/>
      </c>
      <c r="E69" s="39" t="str">
        <f>IF(A69="","",IFERROR(ROUND(N(INDEX(art_init,MATCH(A69,art_ref,0)))+SUMIFS(mv_qty,mv_ref,A69,mv_type,"Entrée",mv_date,"&lt;="&amp;$G$1)-SUMIFS(mv_qty,mv_ref,A69,mv_type,"Sortie",mv_date,"&lt;="&amp;$G$1),6),""))</f>
        <v/>
      </c>
      <c r="F69" s="37" t="n"/>
      <c r="G69" s="39" t="str">
        <f>IF(OR(A69="",F69="",E69=""),"",ROUND(F69-E69,6))</f>
        <v/>
      </c>
      <c r="H69" s="40" t="str">
        <f>IF(G69="","",G69*IFERROR(N(INDEX(art_price,MATCH(A69,art_ref,0))),0))</f>
        <v/>
      </c>
      <c r="I69" s="39" t="str">
        <f>IF(A69="","",IF(E69="","Référence inconnue",IF(F69="","À compter",IF(G69&gt;0,"Saisir une entrée de "&amp;G69,IF(G69&lt;0,"Saisir une sortie de "&amp;-G69,"Conforme")))))</f>
        <v/>
      </c>
    </row>
    <row r="70">
      <c r="A70" s="37" t="n"/>
      <c r="B70" s="39" t="str">
        <f>IF(A70="","",IFERROR(INDEX(art_des,MATCH(A70,art_ref,0))&amp;"","Référence inconnue"))</f>
        <v/>
      </c>
      <c r="C70" s="39" t="str">
        <f>IF(A70="","",IFERROR(INDEX(art_unit,MATCH(A70,art_ref,0))&amp;"",""))</f>
        <v/>
      </c>
      <c r="D70" s="39" t="str">
        <f>IF(A70="","",IFERROR(INDEX(art_loc,MATCH(A70,art_ref,0))&amp;"",""))</f>
        <v/>
      </c>
      <c r="E70" s="39" t="str">
        <f>IF(A70="","",IFERROR(ROUND(N(INDEX(art_init,MATCH(A70,art_ref,0)))+SUMIFS(mv_qty,mv_ref,A70,mv_type,"Entrée",mv_date,"&lt;="&amp;$G$1)-SUMIFS(mv_qty,mv_ref,A70,mv_type,"Sortie",mv_date,"&lt;="&amp;$G$1),6),""))</f>
        <v/>
      </c>
      <c r="F70" s="37" t="n"/>
      <c r="G70" s="39" t="str">
        <f>IF(OR(A70="",F70="",E70=""),"",ROUND(F70-E70,6))</f>
        <v/>
      </c>
      <c r="H70" s="40" t="str">
        <f>IF(G70="","",G70*IFERROR(N(INDEX(art_price,MATCH(A70,art_ref,0))),0))</f>
        <v/>
      </c>
      <c r="I70" s="39" t="str">
        <f>IF(A70="","",IF(E70="","Référence inconnue",IF(F70="","À compter",IF(G70&gt;0,"Saisir une entrée de "&amp;G70,IF(G70&lt;0,"Saisir une sortie de "&amp;-G70,"Conforme")))))</f>
        <v/>
      </c>
    </row>
    <row r="71">
      <c r="A71" s="37" t="n"/>
      <c r="B71" s="39" t="str">
        <f>IF(A71="","",IFERROR(INDEX(art_des,MATCH(A71,art_ref,0))&amp;"","Référence inconnue"))</f>
        <v/>
      </c>
      <c r="C71" s="39" t="str">
        <f>IF(A71="","",IFERROR(INDEX(art_unit,MATCH(A71,art_ref,0))&amp;"",""))</f>
        <v/>
      </c>
      <c r="D71" s="39" t="str">
        <f>IF(A71="","",IFERROR(INDEX(art_loc,MATCH(A71,art_ref,0))&amp;"",""))</f>
        <v/>
      </c>
      <c r="E71" s="39" t="str">
        <f>IF(A71="","",IFERROR(ROUND(N(INDEX(art_init,MATCH(A71,art_ref,0)))+SUMIFS(mv_qty,mv_ref,A71,mv_type,"Entrée",mv_date,"&lt;="&amp;$G$1)-SUMIFS(mv_qty,mv_ref,A71,mv_type,"Sortie",mv_date,"&lt;="&amp;$G$1),6),""))</f>
        <v/>
      </c>
      <c r="F71" s="37" t="n"/>
      <c r="G71" s="39" t="str">
        <f>IF(OR(A71="",F71="",E71=""),"",ROUND(F71-E71,6))</f>
        <v/>
      </c>
      <c r="H71" s="40" t="str">
        <f>IF(G71="","",G71*IFERROR(N(INDEX(art_price,MATCH(A71,art_ref,0))),0))</f>
        <v/>
      </c>
      <c r="I71" s="39" t="str">
        <f>IF(A71="","",IF(E71="","Référence inconnue",IF(F71="","À compter",IF(G71&gt;0,"Saisir une entrée de "&amp;G71,IF(G71&lt;0,"Saisir une sortie de "&amp;-G71,"Conforme")))))</f>
        <v/>
      </c>
    </row>
    <row r="72">
      <c r="A72" s="37" t="n"/>
      <c r="B72" s="39" t="str">
        <f>IF(A72="","",IFERROR(INDEX(art_des,MATCH(A72,art_ref,0))&amp;"","Référence inconnue"))</f>
        <v/>
      </c>
      <c r="C72" s="39" t="str">
        <f>IF(A72="","",IFERROR(INDEX(art_unit,MATCH(A72,art_ref,0))&amp;"",""))</f>
        <v/>
      </c>
      <c r="D72" s="39" t="str">
        <f>IF(A72="","",IFERROR(INDEX(art_loc,MATCH(A72,art_ref,0))&amp;"",""))</f>
        <v/>
      </c>
      <c r="E72" s="39" t="str">
        <f>IF(A72="","",IFERROR(ROUND(N(INDEX(art_init,MATCH(A72,art_ref,0)))+SUMIFS(mv_qty,mv_ref,A72,mv_type,"Entrée",mv_date,"&lt;="&amp;$G$1)-SUMIFS(mv_qty,mv_ref,A72,mv_type,"Sortie",mv_date,"&lt;="&amp;$G$1),6),""))</f>
        <v/>
      </c>
      <c r="F72" s="37" t="n"/>
      <c r="G72" s="39" t="str">
        <f>IF(OR(A72="",F72="",E72=""),"",ROUND(F72-E72,6))</f>
        <v/>
      </c>
      <c r="H72" s="40" t="str">
        <f>IF(G72="","",G72*IFERROR(N(INDEX(art_price,MATCH(A72,art_ref,0))),0))</f>
        <v/>
      </c>
      <c r="I72" s="39" t="str">
        <f>IF(A72="","",IF(E72="","Référence inconnue",IF(F72="","À compter",IF(G72&gt;0,"Saisir une entrée de "&amp;G72,IF(G72&lt;0,"Saisir une sortie de "&amp;-G72,"Conforme")))))</f>
        <v/>
      </c>
    </row>
    <row r="73">
      <c r="A73" s="37" t="n"/>
      <c r="B73" s="39" t="str">
        <f>IF(A73="","",IFERROR(INDEX(art_des,MATCH(A73,art_ref,0))&amp;"","Référence inconnue"))</f>
        <v/>
      </c>
      <c r="C73" s="39" t="str">
        <f>IF(A73="","",IFERROR(INDEX(art_unit,MATCH(A73,art_ref,0))&amp;"",""))</f>
        <v/>
      </c>
      <c r="D73" s="39" t="str">
        <f>IF(A73="","",IFERROR(INDEX(art_loc,MATCH(A73,art_ref,0))&amp;"",""))</f>
        <v/>
      </c>
      <c r="E73" s="39" t="str">
        <f>IF(A73="","",IFERROR(ROUND(N(INDEX(art_init,MATCH(A73,art_ref,0)))+SUMIFS(mv_qty,mv_ref,A73,mv_type,"Entrée",mv_date,"&lt;="&amp;$G$1)-SUMIFS(mv_qty,mv_ref,A73,mv_type,"Sortie",mv_date,"&lt;="&amp;$G$1),6),""))</f>
        <v/>
      </c>
      <c r="F73" s="37" t="n"/>
      <c r="G73" s="39" t="str">
        <f>IF(OR(A73="",F73="",E73=""),"",ROUND(F73-E73,6))</f>
        <v/>
      </c>
      <c r="H73" s="40" t="str">
        <f>IF(G73="","",G73*IFERROR(N(INDEX(art_price,MATCH(A73,art_ref,0))),0))</f>
        <v/>
      </c>
      <c r="I73" s="39" t="str">
        <f>IF(A73="","",IF(E73="","Référence inconnue",IF(F73="","À compter",IF(G73&gt;0,"Saisir une entrée de "&amp;G73,IF(G73&lt;0,"Saisir une sortie de "&amp;-G73,"Conforme")))))</f>
        <v/>
      </c>
    </row>
    <row r="74">
      <c r="A74" s="37" t="n"/>
      <c r="B74" s="39" t="str">
        <f>IF(A74="","",IFERROR(INDEX(art_des,MATCH(A74,art_ref,0))&amp;"","Référence inconnue"))</f>
        <v/>
      </c>
      <c r="C74" s="39" t="str">
        <f>IF(A74="","",IFERROR(INDEX(art_unit,MATCH(A74,art_ref,0))&amp;"",""))</f>
        <v/>
      </c>
      <c r="D74" s="39" t="str">
        <f>IF(A74="","",IFERROR(INDEX(art_loc,MATCH(A74,art_ref,0))&amp;"",""))</f>
        <v/>
      </c>
      <c r="E74" s="39" t="str">
        <f>IF(A74="","",IFERROR(ROUND(N(INDEX(art_init,MATCH(A74,art_ref,0)))+SUMIFS(mv_qty,mv_ref,A74,mv_type,"Entrée",mv_date,"&lt;="&amp;$G$1)-SUMIFS(mv_qty,mv_ref,A74,mv_type,"Sortie",mv_date,"&lt;="&amp;$G$1),6),""))</f>
        <v/>
      </c>
      <c r="F74" s="37" t="n"/>
      <c r="G74" s="39" t="str">
        <f>IF(OR(A74="",F74="",E74=""),"",ROUND(F74-E74,6))</f>
        <v/>
      </c>
      <c r="H74" s="40" t="str">
        <f>IF(G74="","",G74*IFERROR(N(INDEX(art_price,MATCH(A74,art_ref,0))),0))</f>
        <v/>
      </c>
      <c r="I74" s="39" t="str">
        <f>IF(A74="","",IF(E74="","Référence inconnue",IF(F74="","À compter",IF(G74&gt;0,"Saisir une entrée de "&amp;G74,IF(G74&lt;0,"Saisir une sortie de "&amp;-G74,"Conforme")))))</f>
        <v/>
      </c>
    </row>
    <row r="75">
      <c r="A75" s="37" t="n"/>
      <c r="B75" s="39" t="str">
        <f>IF(A75="","",IFERROR(INDEX(art_des,MATCH(A75,art_ref,0))&amp;"","Référence inconnue"))</f>
        <v/>
      </c>
      <c r="C75" s="39" t="str">
        <f>IF(A75="","",IFERROR(INDEX(art_unit,MATCH(A75,art_ref,0))&amp;"",""))</f>
        <v/>
      </c>
      <c r="D75" s="39" t="str">
        <f>IF(A75="","",IFERROR(INDEX(art_loc,MATCH(A75,art_ref,0))&amp;"",""))</f>
        <v/>
      </c>
      <c r="E75" s="39" t="str">
        <f>IF(A75="","",IFERROR(ROUND(N(INDEX(art_init,MATCH(A75,art_ref,0)))+SUMIFS(mv_qty,mv_ref,A75,mv_type,"Entrée",mv_date,"&lt;="&amp;$G$1)-SUMIFS(mv_qty,mv_ref,A75,mv_type,"Sortie",mv_date,"&lt;="&amp;$G$1),6),""))</f>
        <v/>
      </c>
      <c r="F75" s="37" t="n"/>
      <c r="G75" s="39" t="str">
        <f>IF(OR(A75="",F75="",E75=""),"",ROUND(F75-E75,6))</f>
        <v/>
      </c>
      <c r="H75" s="40" t="str">
        <f>IF(G75="","",G75*IFERROR(N(INDEX(art_price,MATCH(A75,art_ref,0))),0))</f>
        <v/>
      </c>
      <c r="I75" s="39" t="str">
        <f>IF(A75="","",IF(E75="","Référence inconnue",IF(F75="","À compter",IF(G75&gt;0,"Saisir une entrée de "&amp;G75,IF(G75&lt;0,"Saisir une sortie de "&amp;-G75,"Conforme")))))</f>
        <v/>
      </c>
    </row>
    <row r="76">
      <c r="A76" s="37" t="n"/>
      <c r="B76" s="39" t="str">
        <f>IF(A76="","",IFERROR(INDEX(art_des,MATCH(A76,art_ref,0))&amp;"","Référence inconnue"))</f>
        <v/>
      </c>
      <c r="C76" s="39" t="str">
        <f>IF(A76="","",IFERROR(INDEX(art_unit,MATCH(A76,art_ref,0))&amp;"",""))</f>
        <v/>
      </c>
      <c r="D76" s="39" t="str">
        <f>IF(A76="","",IFERROR(INDEX(art_loc,MATCH(A76,art_ref,0))&amp;"",""))</f>
        <v/>
      </c>
      <c r="E76" s="39" t="str">
        <f>IF(A76="","",IFERROR(ROUND(N(INDEX(art_init,MATCH(A76,art_ref,0)))+SUMIFS(mv_qty,mv_ref,A76,mv_type,"Entrée",mv_date,"&lt;="&amp;$G$1)-SUMIFS(mv_qty,mv_ref,A76,mv_type,"Sortie",mv_date,"&lt;="&amp;$G$1),6),""))</f>
        <v/>
      </c>
      <c r="F76" s="37" t="n"/>
      <c r="G76" s="39" t="str">
        <f>IF(OR(A76="",F76="",E76=""),"",ROUND(F76-E76,6))</f>
        <v/>
      </c>
      <c r="H76" s="40" t="str">
        <f>IF(G76="","",G76*IFERROR(N(INDEX(art_price,MATCH(A76,art_ref,0))),0))</f>
        <v/>
      </c>
      <c r="I76" s="39" t="str">
        <f>IF(A76="","",IF(E76="","Référence inconnue",IF(F76="","À compter",IF(G76&gt;0,"Saisir une entrée de "&amp;G76,IF(G76&lt;0,"Saisir une sortie de "&amp;-G76,"Conforme")))))</f>
        <v/>
      </c>
    </row>
    <row r="77">
      <c r="A77" s="37" t="n"/>
      <c r="B77" s="39" t="str">
        <f>IF(A77="","",IFERROR(INDEX(art_des,MATCH(A77,art_ref,0))&amp;"","Référence inconnue"))</f>
        <v/>
      </c>
      <c r="C77" s="39" t="str">
        <f>IF(A77="","",IFERROR(INDEX(art_unit,MATCH(A77,art_ref,0))&amp;"",""))</f>
        <v/>
      </c>
      <c r="D77" s="39" t="str">
        <f>IF(A77="","",IFERROR(INDEX(art_loc,MATCH(A77,art_ref,0))&amp;"",""))</f>
        <v/>
      </c>
      <c r="E77" s="39" t="str">
        <f>IF(A77="","",IFERROR(ROUND(N(INDEX(art_init,MATCH(A77,art_ref,0)))+SUMIFS(mv_qty,mv_ref,A77,mv_type,"Entrée",mv_date,"&lt;="&amp;$G$1)-SUMIFS(mv_qty,mv_ref,A77,mv_type,"Sortie",mv_date,"&lt;="&amp;$G$1),6),""))</f>
        <v/>
      </c>
      <c r="F77" s="37" t="n"/>
      <c r="G77" s="39" t="str">
        <f>IF(OR(A77="",F77="",E77=""),"",ROUND(F77-E77,6))</f>
        <v/>
      </c>
      <c r="H77" s="40" t="str">
        <f>IF(G77="","",G77*IFERROR(N(INDEX(art_price,MATCH(A77,art_ref,0))),0))</f>
        <v/>
      </c>
      <c r="I77" s="39" t="str">
        <f>IF(A77="","",IF(E77="","Référence inconnue",IF(F77="","À compter",IF(G77&gt;0,"Saisir une entrée de "&amp;G77,IF(G77&lt;0,"Saisir une sortie de "&amp;-G77,"Conforme")))))</f>
        <v/>
      </c>
    </row>
    <row r="78">
      <c r="A78" s="37" t="n"/>
      <c r="B78" s="39" t="str">
        <f>IF(A78="","",IFERROR(INDEX(art_des,MATCH(A78,art_ref,0))&amp;"","Référence inconnue"))</f>
        <v/>
      </c>
      <c r="C78" s="39" t="str">
        <f>IF(A78="","",IFERROR(INDEX(art_unit,MATCH(A78,art_ref,0))&amp;"",""))</f>
        <v/>
      </c>
      <c r="D78" s="39" t="str">
        <f>IF(A78="","",IFERROR(INDEX(art_loc,MATCH(A78,art_ref,0))&amp;"",""))</f>
        <v/>
      </c>
      <c r="E78" s="39" t="str">
        <f>IF(A78="","",IFERROR(ROUND(N(INDEX(art_init,MATCH(A78,art_ref,0)))+SUMIFS(mv_qty,mv_ref,A78,mv_type,"Entrée",mv_date,"&lt;="&amp;$G$1)-SUMIFS(mv_qty,mv_ref,A78,mv_type,"Sortie",mv_date,"&lt;="&amp;$G$1),6),""))</f>
        <v/>
      </c>
      <c r="F78" s="37" t="n"/>
      <c r="G78" s="39" t="str">
        <f>IF(OR(A78="",F78="",E78=""),"",ROUND(F78-E78,6))</f>
        <v/>
      </c>
      <c r="H78" s="40" t="str">
        <f>IF(G78="","",G78*IFERROR(N(INDEX(art_price,MATCH(A78,art_ref,0))),0))</f>
        <v/>
      </c>
      <c r="I78" s="39" t="str">
        <f>IF(A78="","",IF(E78="","Référence inconnue",IF(F78="","À compter",IF(G78&gt;0,"Saisir une entrée de "&amp;G78,IF(G78&lt;0,"Saisir une sortie de "&amp;-G78,"Conforme")))))</f>
        <v/>
      </c>
    </row>
    <row r="79">
      <c r="A79" s="37" t="n"/>
      <c r="B79" s="39" t="str">
        <f>IF(A79="","",IFERROR(INDEX(art_des,MATCH(A79,art_ref,0))&amp;"","Référence inconnue"))</f>
        <v/>
      </c>
      <c r="C79" s="39" t="str">
        <f>IF(A79="","",IFERROR(INDEX(art_unit,MATCH(A79,art_ref,0))&amp;"",""))</f>
        <v/>
      </c>
      <c r="D79" s="39" t="str">
        <f>IF(A79="","",IFERROR(INDEX(art_loc,MATCH(A79,art_ref,0))&amp;"",""))</f>
        <v/>
      </c>
      <c r="E79" s="39" t="str">
        <f>IF(A79="","",IFERROR(ROUND(N(INDEX(art_init,MATCH(A79,art_ref,0)))+SUMIFS(mv_qty,mv_ref,A79,mv_type,"Entrée",mv_date,"&lt;="&amp;$G$1)-SUMIFS(mv_qty,mv_ref,A79,mv_type,"Sortie",mv_date,"&lt;="&amp;$G$1),6),""))</f>
        <v/>
      </c>
      <c r="F79" s="37" t="n"/>
      <c r="G79" s="39" t="str">
        <f>IF(OR(A79="",F79="",E79=""),"",ROUND(F79-E79,6))</f>
        <v/>
      </c>
      <c r="H79" s="40" t="str">
        <f>IF(G79="","",G79*IFERROR(N(INDEX(art_price,MATCH(A79,art_ref,0))),0))</f>
        <v/>
      </c>
      <c r="I79" s="39" t="str">
        <f>IF(A79="","",IF(E79="","Référence inconnue",IF(F79="","À compter",IF(G79&gt;0,"Saisir une entrée de "&amp;G79,IF(G79&lt;0,"Saisir une sortie de "&amp;-G79,"Conforme")))))</f>
        <v/>
      </c>
    </row>
    <row r="80">
      <c r="A80" s="37" t="n"/>
      <c r="B80" s="39" t="str">
        <f>IF(A80="","",IFERROR(INDEX(art_des,MATCH(A80,art_ref,0))&amp;"","Référence inconnue"))</f>
        <v/>
      </c>
      <c r="C80" s="39" t="str">
        <f>IF(A80="","",IFERROR(INDEX(art_unit,MATCH(A80,art_ref,0))&amp;"",""))</f>
        <v/>
      </c>
      <c r="D80" s="39" t="str">
        <f>IF(A80="","",IFERROR(INDEX(art_loc,MATCH(A80,art_ref,0))&amp;"",""))</f>
        <v/>
      </c>
      <c r="E80" s="39" t="str">
        <f>IF(A80="","",IFERROR(ROUND(N(INDEX(art_init,MATCH(A80,art_ref,0)))+SUMIFS(mv_qty,mv_ref,A80,mv_type,"Entrée",mv_date,"&lt;="&amp;$G$1)-SUMIFS(mv_qty,mv_ref,A80,mv_type,"Sortie",mv_date,"&lt;="&amp;$G$1),6),""))</f>
        <v/>
      </c>
      <c r="F80" s="37" t="n"/>
      <c r="G80" s="39" t="str">
        <f>IF(OR(A80="",F80="",E80=""),"",ROUND(F80-E80,6))</f>
        <v/>
      </c>
      <c r="H80" s="40" t="str">
        <f>IF(G80="","",G80*IFERROR(N(INDEX(art_price,MATCH(A80,art_ref,0))),0))</f>
        <v/>
      </c>
      <c r="I80" s="39" t="str">
        <f>IF(A80="","",IF(E80="","Référence inconnue",IF(F80="","À compter",IF(G80&gt;0,"Saisir une entrée de "&amp;G80,IF(G80&lt;0,"Saisir une sortie de "&amp;-G80,"Conforme")))))</f>
        <v/>
      </c>
    </row>
    <row r="81">
      <c r="A81" s="37" t="n"/>
      <c r="B81" s="39" t="str">
        <f>IF(A81="","",IFERROR(INDEX(art_des,MATCH(A81,art_ref,0))&amp;"","Référence inconnue"))</f>
        <v/>
      </c>
      <c r="C81" s="39" t="str">
        <f>IF(A81="","",IFERROR(INDEX(art_unit,MATCH(A81,art_ref,0))&amp;"",""))</f>
        <v/>
      </c>
      <c r="D81" s="39" t="str">
        <f>IF(A81="","",IFERROR(INDEX(art_loc,MATCH(A81,art_ref,0))&amp;"",""))</f>
        <v/>
      </c>
      <c r="E81" s="39" t="str">
        <f>IF(A81="","",IFERROR(ROUND(N(INDEX(art_init,MATCH(A81,art_ref,0)))+SUMIFS(mv_qty,mv_ref,A81,mv_type,"Entrée",mv_date,"&lt;="&amp;$G$1)-SUMIFS(mv_qty,mv_ref,A81,mv_type,"Sortie",mv_date,"&lt;="&amp;$G$1),6),""))</f>
        <v/>
      </c>
      <c r="F81" s="37" t="n"/>
      <c r="G81" s="39" t="str">
        <f>IF(OR(A81="",F81="",E81=""),"",ROUND(F81-E81,6))</f>
        <v/>
      </c>
      <c r="H81" s="40" t="str">
        <f>IF(G81="","",G81*IFERROR(N(INDEX(art_price,MATCH(A81,art_ref,0))),0))</f>
        <v/>
      </c>
      <c r="I81" s="39" t="str">
        <f>IF(A81="","",IF(E81="","Référence inconnue",IF(F81="","À compter",IF(G81&gt;0,"Saisir une entrée de "&amp;G81,IF(G81&lt;0,"Saisir une sortie de "&amp;-G81,"Conforme")))))</f>
        <v/>
      </c>
    </row>
    <row r="82">
      <c r="A82" s="37" t="n"/>
      <c r="B82" s="39" t="str">
        <f>IF(A82="","",IFERROR(INDEX(art_des,MATCH(A82,art_ref,0))&amp;"","Référence inconnue"))</f>
        <v/>
      </c>
      <c r="C82" s="39" t="str">
        <f>IF(A82="","",IFERROR(INDEX(art_unit,MATCH(A82,art_ref,0))&amp;"",""))</f>
        <v/>
      </c>
      <c r="D82" s="39" t="str">
        <f>IF(A82="","",IFERROR(INDEX(art_loc,MATCH(A82,art_ref,0))&amp;"",""))</f>
        <v/>
      </c>
      <c r="E82" s="39" t="str">
        <f>IF(A82="","",IFERROR(ROUND(N(INDEX(art_init,MATCH(A82,art_ref,0)))+SUMIFS(mv_qty,mv_ref,A82,mv_type,"Entrée",mv_date,"&lt;="&amp;$G$1)-SUMIFS(mv_qty,mv_ref,A82,mv_type,"Sortie",mv_date,"&lt;="&amp;$G$1),6),""))</f>
        <v/>
      </c>
      <c r="F82" s="37" t="n"/>
      <c r="G82" s="39" t="str">
        <f>IF(OR(A82="",F82="",E82=""),"",ROUND(F82-E82,6))</f>
        <v/>
      </c>
      <c r="H82" s="40" t="str">
        <f>IF(G82="","",G82*IFERROR(N(INDEX(art_price,MATCH(A82,art_ref,0))),0))</f>
        <v/>
      </c>
      <c r="I82" s="39" t="str">
        <f>IF(A82="","",IF(E82="","Référence inconnue",IF(F82="","À compter",IF(G82&gt;0,"Saisir une entrée de "&amp;G82,IF(G82&lt;0,"Saisir une sortie de "&amp;-G82,"Conforme")))))</f>
        <v/>
      </c>
    </row>
    <row r="83">
      <c r="A83" s="37" t="n"/>
      <c r="B83" s="39" t="str">
        <f>IF(A83="","",IFERROR(INDEX(art_des,MATCH(A83,art_ref,0))&amp;"","Référence inconnue"))</f>
        <v/>
      </c>
      <c r="C83" s="39" t="str">
        <f>IF(A83="","",IFERROR(INDEX(art_unit,MATCH(A83,art_ref,0))&amp;"",""))</f>
        <v/>
      </c>
      <c r="D83" s="39" t="str">
        <f>IF(A83="","",IFERROR(INDEX(art_loc,MATCH(A83,art_ref,0))&amp;"",""))</f>
        <v/>
      </c>
      <c r="E83" s="39" t="str">
        <f>IF(A83="","",IFERROR(ROUND(N(INDEX(art_init,MATCH(A83,art_ref,0)))+SUMIFS(mv_qty,mv_ref,A83,mv_type,"Entrée",mv_date,"&lt;="&amp;$G$1)-SUMIFS(mv_qty,mv_ref,A83,mv_type,"Sortie",mv_date,"&lt;="&amp;$G$1),6),""))</f>
        <v/>
      </c>
      <c r="F83" s="37" t="n"/>
      <c r="G83" s="39" t="str">
        <f>IF(OR(A83="",F83="",E83=""),"",ROUND(F83-E83,6))</f>
        <v/>
      </c>
      <c r="H83" s="40" t="str">
        <f>IF(G83="","",G83*IFERROR(N(INDEX(art_price,MATCH(A83,art_ref,0))),0))</f>
        <v/>
      </c>
      <c r="I83" s="39" t="str">
        <f>IF(A83="","",IF(E83="","Référence inconnue",IF(F83="","À compter",IF(G83&gt;0,"Saisir une entrée de "&amp;G83,IF(G83&lt;0,"Saisir une sortie de "&amp;-G83,"Conforme")))))</f>
        <v/>
      </c>
    </row>
    <row r="84">
      <c r="A84" s="37" t="n"/>
      <c r="B84" s="39" t="str">
        <f>IF(A84="","",IFERROR(INDEX(art_des,MATCH(A84,art_ref,0))&amp;"","Référence inconnue"))</f>
        <v/>
      </c>
      <c r="C84" s="39" t="str">
        <f>IF(A84="","",IFERROR(INDEX(art_unit,MATCH(A84,art_ref,0))&amp;"",""))</f>
        <v/>
      </c>
      <c r="D84" s="39" t="str">
        <f>IF(A84="","",IFERROR(INDEX(art_loc,MATCH(A84,art_ref,0))&amp;"",""))</f>
        <v/>
      </c>
      <c r="E84" s="39" t="str">
        <f>IF(A84="","",IFERROR(ROUND(N(INDEX(art_init,MATCH(A84,art_ref,0)))+SUMIFS(mv_qty,mv_ref,A84,mv_type,"Entrée",mv_date,"&lt;="&amp;$G$1)-SUMIFS(mv_qty,mv_ref,A84,mv_type,"Sortie",mv_date,"&lt;="&amp;$G$1),6),""))</f>
        <v/>
      </c>
      <c r="F84" s="37" t="n"/>
      <c r="G84" s="39" t="str">
        <f>IF(OR(A84="",F84="",E84=""),"",ROUND(F84-E84,6))</f>
        <v/>
      </c>
      <c r="H84" s="40" t="str">
        <f>IF(G84="","",G84*IFERROR(N(INDEX(art_price,MATCH(A84,art_ref,0))),0))</f>
        <v/>
      </c>
      <c r="I84" s="39" t="str">
        <f>IF(A84="","",IF(E84="","Référence inconnue",IF(F84="","À compter",IF(G84&gt;0,"Saisir une entrée de "&amp;G84,IF(G84&lt;0,"Saisir une sortie de "&amp;-G84,"Conforme")))))</f>
        <v/>
      </c>
    </row>
    <row r="85">
      <c r="A85" s="37" t="n"/>
      <c r="B85" s="39" t="str">
        <f>IF(A85="","",IFERROR(INDEX(art_des,MATCH(A85,art_ref,0))&amp;"","Référence inconnue"))</f>
        <v/>
      </c>
      <c r="C85" s="39" t="str">
        <f>IF(A85="","",IFERROR(INDEX(art_unit,MATCH(A85,art_ref,0))&amp;"",""))</f>
        <v/>
      </c>
      <c r="D85" s="39" t="str">
        <f>IF(A85="","",IFERROR(INDEX(art_loc,MATCH(A85,art_ref,0))&amp;"",""))</f>
        <v/>
      </c>
      <c r="E85" s="39" t="str">
        <f>IF(A85="","",IFERROR(ROUND(N(INDEX(art_init,MATCH(A85,art_ref,0)))+SUMIFS(mv_qty,mv_ref,A85,mv_type,"Entrée",mv_date,"&lt;="&amp;$G$1)-SUMIFS(mv_qty,mv_ref,A85,mv_type,"Sortie",mv_date,"&lt;="&amp;$G$1),6),""))</f>
        <v/>
      </c>
      <c r="F85" s="37" t="n"/>
      <c r="G85" s="39" t="str">
        <f>IF(OR(A85="",F85="",E85=""),"",ROUND(F85-E85,6))</f>
        <v/>
      </c>
      <c r="H85" s="40" t="str">
        <f>IF(G85="","",G85*IFERROR(N(INDEX(art_price,MATCH(A85,art_ref,0))),0))</f>
        <v/>
      </c>
      <c r="I85" s="39" t="str">
        <f>IF(A85="","",IF(E85="","Référence inconnue",IF(F85="","À compter",IF(G85&gt;0,"Saisir une entrée de "&amp;G85,IF(G85&lt;0,"Saisir une sortie de "&amp;-G85,"Conforme")))))</f>
        <v/>
      </c>
    </row>
    <row r="86">
      <c r="A86" s="37" t="n"/>
      <c r="B86" s="39" t="str">
        <f>IF(A86="","",IFERROR(INDEX(art_des,MATCH(A86,art_ref,0))&amp;"","Référence inconnue"))</f>
        <v/>
      </c>
      <c r="C86" s="39" t="str">
        <f>IF(A86="","",IFERROR(INDEX(art_unit,MATCH(A86,art_ref,0))&amp;"",""))</f>
        <v/>
      </c>
      <c r="D86" s="39" t="str">
        <f>IF(A86="","",IFERROR(INDEX(art_loc,MATCH(A86,art_ref,0))&amp;"",""))</f>
        <v/>
      </c>
      <c r="E86" s="39" t="str">
        <f>IF(A86="","",IFERROR(ROUND(N(INDEX(art_init,MATCH(A86,art_ref,0)))+SUMIFS(mv_qty,mv_ref,A86,mv_type,"Entrée",mv_date,"&lt;="&amp;$G$1)-SUMIFS(mv_qty,mv_ref,A86,mv_type,"Sortie",mv_date,"&lt;="&amp;$G$1),6),""))</f>
        <v/>
      </c>
      <c r="F86" s="37" t="n"/>
      <c r="G86" s="39" t="str">
        <f>IF(OR(A86="",F86="",E86=""),"",ROUND(F86-E86,6))</f>
        <v/>
      </c>
      <c r="H86" s="40" t="str">
        <f>IF(G86="","",G86*IFERROR(N(INDEX(art_price,MATCH(A86,art_ref,0))),0))</f>
        <v/>
      </c>
      <c r="I86" s="39" t="str">
        <f>IF(A86="","",IF(E86="","Référence inconnue",IF(F86="","À compter",IF(G86&gt;0,"Saisir une entrée de "&amp;G86,IF(G86&lt;0,"Saisir une sortie de "&amp;-G86,"Conforme")))))</f>
        <v/>
      </c>
    </row>
    <row r="87">
      <c r="A87" s="37" t="n"/>
      <c r="B87" s="39" t="str">
        <f>IF(A87="","",IFERROR(INDEX(art_des,MATCH(A87,art_ref,0))&amp;"","Référence inconnue"))</f>
        <v/>
      </c>
      <c r="C87" s="39" t="str">
        <f>IF(A87="","",IFERROR(INDEX(art_unit,MATCH(A87,art_ref,0))&amp;"",""))</f>
        <v/>
      </c>
      <c r="D87" s="39" t="str">
        <f>IF(A87="","",IFERROR(INDEX(art_loc,MATCH(A87,art_ref,0))&amp;"",""))</f>
        <v/>
      </c>
      <c r="E87" s="39" t="str">
        <f>IF(A87="","",IFERROR(ROUND(N(INDEX(art_init,MATCH(A87,art_ref,0)))+SUMIFS(mv_qty,mv_ref,A87,mv_type,"Entrée",mv_date,"&lt;="&amp;$G$1)-SUMIFS(mv_qty,mv_ref,A87,mv_type,"Sortie",mv_date,"&lt;="&amp;$G$1),6),""))</f>
        <v/>
      </c>
      <c r="F87" s="37" t="n"/>
      <c r="G87" s="39" t="str">
        <f>IF(OR(A87="",F87="",E87=""),"",ROUND(F87-E87,6))</f>
        <v/>
      </c>
      <c r="H87" s="40" t="str">
        <f>IF(G87="","",G87*IFERROR(N(INDEX(art_price,MATCH(A87,art_ref,0))),0))</f>
        <v/>
      </c>
      <c r="I87" s="39" t="str">
        <f>IF(A87="","",IF(E87="","Référence inconnue",IF(F87="","À compter",IF(G87&gt;0,"Saisir une entrée de "&amp;G87,IF(G87&lt;0,"Saisir une sortie de "&amp;-G87,"Conforme")))))</f>
        <v/>
      </c>
    </row>
    <row r="88">
      <c r="A88" s="37" t="n"/>
      <c r="B88" s="39" t="str">
        <f>IF(A88="","",IFERROR(INDEX(art_des,MATCH(A88,art_ref,0))&amp;"","Référence inconnue"))</f>
        <v/>
      </c>
      <c r="C88" s="39" t="str">
        <f>IF(A88="","",IFERROR(INDEX(art_unit,MATCH(A88,art_ref,0))&amp;"",""))</f>
        <v/>
      </c>
      <c r="D88" s="39" t="str">
        <f>IF(A88="","",IFERROR(INDEX(art_loc,MATCH(A88,art_ref,0))&amp;"",""))</f>
        <v/>
      </c>
      <c r="E88" s="39" t="str">
        <f>IF(A88="","",IFERROR(ROUND(N(INDEX(art_init,MATCH(A88,art_ref,0)))+SUMIFS(mv_qty,mv_ref,A88,mv_type,"Entrée",mv_date,"&lt;="&amp;$G$1)-SUMIFS(mv_qty,mv_ref,A88,mv_type,"Sortie",mv_date,"&lt;="&amp;$G$1),6),""))</f>
        <v/>
      </c>
      <c r="F88" s="37" t="n"/>
      <c r="G88" s="39" t="str">
        <f>IF(OR(A88="",F88="",E88=""),"",ROUND(F88-E88,6))</f>
        <v/>
      </c>
      <c r="H88" s="40" t="str">
        <f>IF(G88="","",G88*IFERROR(N(INDEX(art_price,MATCH(A88,art_ref,0))),0))</f>
        <v/>
      </c>
      <c r="I88" s="39" t="str">
        <f>IF(A88="","",IF(E88="","Référence inconnue",IF(F88="","À compter",IF(G88&gt;0,"Saisir une entrée de "&amp;G88,IF(G88&lt;0,"Saisir une sortie de "&amp;-G88,"Conforme")))))</f>
        <v/>
      </c>
    </row>
    <row r="89">
      <c r="A89" s="37" t="n"/>
      <c r="B89" s="39" t="str">
        <f>IF(A89="","",IFERROR(INDEX(art_des,MATCH(A89,art_ref,0))&amp;"","Référence inconnue"))</f>
        <v/>
      </c>
      <c r="C89" s="39" t="str">
        <f>IF(A89="","",IFERROR(INDEX(art_unit,MATCH(A89,art_ref,0))&amp;"",""))</f>
        <v/>
      </c>
      <c r="D89" s="39" t="str">
        <f>IF(A89="","",IFERROR(INDEX(art_loc,MATCH(A89,art_ref,0))&amp;"",""))</f>
        <v/>
      </c>
      <c r="E89" s="39" t="str">
        <f>IF(A89="","",IFERROR(ROUND(N(INDEX(art_init,MATCH(A89,art_ref,0)))+SUMIFS(mv_qty,mv_ref,A89,mv_type,"Entrée",mv_date,"&lt;="&amp;$G$1)-SUMIFS(mv_qty,mv_ref,A89,mv_type,"Sortie",mv_date,"&lt;="&amp;$G$1),6),""))</f>
        <v/>
      </c>
      <c r="F89" s="37" t="n"/>
      <c r="G89" s="39" t="str">
        <f>IF(OR(A89="",F89="",E89=""),"",ROUND(F89-E89,6))</f>
        <v/>
      </c>
      <c r="H89" s="40" t="str">
        <f>IF(G89="","",G89*IFERROR(N(INDEX(art_price,MATCH(A89,art_ref,0))),0))</f>
        <v/>
      </c>
      <c r="I89" s="39" t="str">
        <f>IF(A89="","",IF(E89="","Référence inconnue",IF(F89="","À compter",IF(G89&gt;0,"Saisir une entrée de "&amp;G89,IF(G89&lt;0,"Saisir une sortie de "&amp;-G89,"Conforme")))))</f>
        <v/>
      </c>
    </row>
    <row r="90">
      <c r="A90" s="37" t="n"/>
      <c r="B90" s="39" t="str">
        <f>IF(A90="","",IFERROR(INDEX(art_des,MATCH(A90,art_ref,0))&amp;"","Référence inconnue"))</f>
        <v/>
      </c>
      <c r="C90" s="39" t="str">
        <f>IF(A90="","",IFERROR(INDEX(art_unit,MATCH(A90,art_ref,0))&amp;"",""))</f>
        <v/>
      </c>
      <c r="D90" s="39" t="str">
        <f>IF(A90="","",IFERROR(INDEX(art_loc,MATCH(A90,art_ref,0))&amp;"",""))</f>
        <v/>
      </c>
      <c r="E90" s="39" t="str">
        <f>IF(A90="","",IFERROR(ROUND(N(INDEX(art_init,MATCH(A90,art_ref,0)))+SUMIFS(mv_qty,mv_ref,A90,mv_type,"Entrée",mv_date,"&lt;="&amp;$G$1)-SUMIFS(mv_qty,mv_ref,A90,mv_type,"Sortie",mv_date,"&lt;="&amp;$G$1),6),""))</f>
        <v/>
      </c>
      <c r="F90" s="37" t="n"/>
      <c r="G90" s="39" t="str">
        <f>IF(OR(A90="",F90="",E90=""),"",ROUND(F90-E90,6))</f>
        <v/>
      </c>
      <c r="H90" s="40" t="str">
        <f>IF(G90="","",G90*IFERROR(N(INDEX(art_price,MATCH(A90,art_ref,0))),0))</f>
        <v/>
      </c>
      <c r="I90" s="39" t="str">
        <f>IF(A90="","",IF(E90="","Référence inconnue",IF(F90="","À compter",IF(G90&gt;0,"Saisir une entrée de "&amp;G90,IF(G90&lt;0,"Saisir une sortie de "&amp;-G90,"Conforme")))))</f>
        <v/>
      </c>
    </row>
    <row r="91">
      <c r="A91" s="37" t="n"/>
      <c r="B91" s="39" t="str">
        <f>IF(A91="","",IFERROR(INDEX(art_des,MATCH(A91,art_ref,0))&amp;"","Référence inconnue"))</f>
        <v/>
      </c>
      <c r="C91" s="39" t="str">
        <f>IF(A91="","",IFERROR(INDEX(art_unit,MATCH(A91,art_ref,0))&amp;"",""))</f>
        <v/>
      </c>
      <c r="D91" s="39" t="str">
        <f>IF(A91="","",IFERROR(INDEX(art_loc,MATCH(A91,art_ref,0))&amp;"",""))</f>
        <v/>
      </c>
      <c r="E91" s="39" t="str">
        <f>IF(A91="","",IFERROR(ROUND(N(INDEX(art_init,MATCH(A91,art_ref,0)))+SUMIFS(mv_qty,mv_ref,A91,mv_type,"Entrée",mv_date,"&lt;="&amp;$G$1)-SUMIFS(mv_qty,mv_ref,A91,mv_type,"Sortie",mv_date,"&lt;="&amp;$G$1),6),""))</f>
        <v/>
      </c>
      <c r="F91" s="37" t="n"/>
      <c r="G91" s="39" t="str">
        <f>IF(OR(A91="",F91="",E91=""),"",ROUND(F91-E91,6))</f>
        <v/>
      </c>
      <c r="H91" s="40" t="str">
        <f>IF(G91="","",G91*IFERROR(N(INDEX(art_price,MATCH(A91,art_ref,0))),0))</f>
        <v/>
      </c>
      <c r="I91" s="39" t="str">
        <f>IF(A91="","",IF(E91="","Référence inconnue",IF(F91="","À compter",IF(G91&gt;0,"Saisir une entrée de "&amp;G91,IF(G91&lt;0,"Saisir une sortie de "&amp;-G91,"Conforme")))))</f>
        <v/>
      </c>
    </row>
    <row r="92">
      <c r="A92" s="37" t="n"/>
      <c r="B92" s="39" t="str">
        <f>IF(A92="","",IFERROR(INDEX(art_des,MATCH(A92,art_ref,0))&amp;"","Référence inconnue"))</f>
        <v/>
      </c>
      <c r="C92" s="39" t="str">
        <f>IF(A92="","",IFERROR(INDEX(art_unit,MATCH(A92,art_ref,0))&amp;"",""))</f>
        <v/>
      </c>
      <c r="D92" s="39" t="str">
        <f>IF(A92="","",IFERROR(INDEX(art_loc,MATCH(A92,art_ref,0))&amp;"",""))</f>
        <v/>
      </c>
      <c r="E92" s="39" t="str">
        <f>IF(A92="","",IFERROR(ROUND(N(INDEX(art_init,MATCH(A92,art_ref,0)))+SUMIFS(mv_qty,mv_ref,A92,mv_type,"Entrée",mv_date,"&lt;="&amp;$G$1)-SUMIFS(mv_qty,mv_ref,A92,mv_type,"Sortie",mv_date,"&lt;="&amp;$G$1),6),""))</f>
        <v/>
      </c>
      <c r="F92" s="37" t="n"/>
      <c r="G92" s="39" t="str">
        <f>IF(OR(A92="",F92="",E92=""),"",ROUND(F92-E92,6))</f>
        <v/>
      </c>
      <c r="H92" s="40" t="str">
        <f>IF(G92="","",G92*IFERROR(N(INDEX(art_price,MATCH(A92,art_ref,0))),0))</f>
        <v/>
      </c>
      <c r="I92" s="39" t="str">
        <f>IF(A92="","",IF(E92="","Référence inconnue",IF(F92="","À compter",IF(G92&gt;0,"Saisir une entrée de "&amp;G92,IF(G92&lt;0,"Saisir une sortie de "&amp;-G92,"Conforme")))))</f>
        <v/>
      </c>
    </row>
    <row r="93">
      <c r="A93" s="37" t="n"/>
      <c r="B93" s="39" t="str">
        <f>IF(A93="","",IFERROR(INDEX(art_des,MATCH(A93,art_ref,0))&amp;"","Référence inconnue"))</f>
        <v/>
      </c>
      <c r="C93" s="39" t="str">
        <f>IF(A93="","",IFERROR(INDEX(art_unit,MATCH(A93,art_ref,0))&amp;"",""))</f>
        <v/>
      </c>
      <c r="D93" s="39" t="str">
        <f>IF(A93="","",IFERROR(INDEX(art_loc,MATCH(A93,art_ref,0))&amp;"",""))</f>
        <v/>
      </c>
      <c r="E93" s="39" t="str">
        <f>IF(A93="","",IFERROR(ROUND(N(INDEX(art_init,MATCH(A93,art_ref,0)))+SUMIFS(mv_qty,mv_ref,A93,mv_type,"Entrée",mv_date,"&lt;="&amp;$G$1)-SUMIFS(mv_qty,mv_ref,A93,mv_type,"Sortie",mv_date,"&lt;="&amp;$G$1),6),""))</f>
        <v/>
      </c>
      <c r="F93" s="37" t="n"/>
      <c r="G93" s="39" t="str">
        <f>IF(OR(A93="",F93="",E93=""),"",ROUND(F93-E93,6))</f>
        <v/>
      </c>
      <c r="H93" s="40" t="str">
        <f>IF(G93="","",G93*IFERROR(N(INDEX(art_price,MATCH(A93,art_ref,0))),0))</f>
        <v/>
      </c>
      <c r="I93" s="39" t="str">
        <f>IF(A93="","",IF(E93="","Référence inconnue",IF(F93="","À compter",IF(G93&gt;0,"Saisir une entrée de "&amp;G93,IF(G93&lt;0,"Saisir une sortie de "&amp;-G93,"Conforme")))))</f>
        <v/>
      </c>
    </row>
    <row r="94">
      <c r="A94" s="37" t="n"/>
      <c r="B94" s="39" t="str">
        <f>IF(A94="","",IFERROR(INDEX(art_des,MATCH(A94,art_ref,0))&amp;"","Référence inconnue"))</f>
        <v/>
      </c>
      <c r="C94" s="39" t="str">
        <f>IF(A94="","",IFERROR(INDEX(art_unit,MATCH(A94,art_ref,0))&amp;"",""))</f>
        <v/>
      </c>
      <c r="D94" s="39" t="str">
        <f>IF(A94="","",IFERROR(INDEX(art_loc,MATCH(A94,art_ref,0))&amp;"",""))</f>
        <v/>
      </c>
      <c r="E94" s="39" t="str">
        <f>IF(A94="","",IFERROR(ROUND(N(INDEX(art_init,MATCH(A94,art_ref,0)))+SUMIFS(mv_qty,mv_ref,A94,mv_type,"Entrée",mv_date,"&lt;="&amp;$G$1)-SUMIFS(mv_qty,mv_ref,A94,mv_type,"Sortie",mv_date,"&lt;="&amp;$G$1),6),""))</f>
        <v/>
      </c>
      <c r="F94" s="37" t="n"/>
      <c r="G94" s="39" t="str">
        <f>IF(OR(A94="",F94="",E94=""),"",ROUND(F94-E94,6))</f>
        <v/>
      </c>
      <c r="H94" s="40" t="str">
        <f>IF(G94="","",G94*IFERROR(N(INDEX(art_price,MATCH(A94,art_ref,0))),0))</f>
        <v/>
      </c>
      <c r="I94" s="39" t="str">
        <f>IF(A94="","",IF(E94="","Référence inconnue",IF(F94="","À compter",IF(G94&gt;0,"Saisir une entrée de "&amp;G94,IF(G94&lt;0,"Saisir une sortie de "&amp;-G94,"Conforme")))))</f>
        <v/>
      </c>
    </row>
    <row r="95">
      <c r="A95" s="37" t="n"/>
      <c r="B95" s="39" t="str">
        <f>IF(A95="","",IFERROR(INDEX(art_des,MATCH(A95,art_ref,0))&amp;"","Référence inconnue"))</f>
        <v/>
      </c>
      <c r="C95" s="39" t="str">
        <f>IF(A95="","",IFERROR(INDEX(art_unit,MATCH(A95,art_ref,0))&amp;"",""))</f>
        <v/>
      </c>
      <c r="D95" s="39" t="str">
        <f>IF(A95="","",IFERROR(INDEX(art_loc,MATCH(A95,art_ref,0))&amp;"",""))</f>
        <v/>
      </c>
      <c r="E95" s="39" t="str">
        <f>IF(A95="","",IFERROR(ROUND(N(INDEX(art_init,MATCH(A95,art_ref,0)))+SUMIFS(mv_qty,mv_ref,A95,mv_type,"Entrée",mv_date,"&lt;="&amp;$G$1)-SUMIFS(mv_qty,mv_ref,A95,mv_type,"Sortie",mv_date,"&lt;="&amp;$G$1),6),""))</f>
        <v/>
      </c>
      <c r="F95" s="37" t="n"/>
      <c r="G95" s="39" t="str">
        <f>IF(OR(A95="",F95="",E95=""),"",ROUND(F95-E95,6))</f>
        <v/>
      </c>
      <c r="H95" s="40" t="str">
        <f>IF(G95="","",G95*IFERROR(N(INDEX(art_price,MATCH(A95,art_ref,0))),0))</f>
        <v/>
      </c>
      <c r="I95" s="39" t="str">
        <f>IF(A95="","",IF(E95="","Référence inconnue",IF(F95="","À compter",IF(G95&gt;0,"Saisir une entrée de "&amp;G95,IF(G95&lt;0,"Saisir une sortie de "&amp;-G95,"Conforme")))))</f>
        <v/>
      </c>
    </row>
    <row r="96">
      <c r="A96" s="37" t="n"/>
      <c r="B96" s="39" t="str">
        <f>IF(A96="","",IFERROR(INDEX(art_des,MATCH(A96,art_ref,0))&amp;"","Référence inconnue"))</f>
        <v/>
      </c>
      <c r="C96" s="39" t="str">
        <f>IF(A96="","",IFERROR(INDEX(art_unit,MATCH(A96,art_ref,0))&amp;"",""))</f>
        <v/>
      </c>
      <c r="D96" s="39" t="str">
        <f>IF(A96="","",IFERROR(INDEX(art_loc,MATCH(A96,art_ref,0))&amp;"",""))</f>
        <v/>
      </c>
      <c r="E96" s="39" t="str">
        <f>IF(A96="","",IFERROR(ROUND(N(INDEX(art_init,MATCH(A96,art_ref,0)))+SUMIFS(mv_qty,mv_ref,A96,mv_type,"Entrée",mv_date,"&lt;="&amp;$G$1)-SUMIFS(mv_qty,mv_ref,A96,mv_type,"Sortie",mv_date,"&lt;="&amp;$G$1),6),""))</f>
        <v/>
      </c>
      <c r="F96" s="37" t="n"/>
      <c r="G96" s="39" t="str">
        <f>IF(OR(A96="",F96="",E96=""),"",ROUND(F96-E96,6))</f>
        <v/>
      </c>
      <c r="H96" s="40" t="str">
        <f>IF(G96="","",G96*IFERROR(N(INDEX(art_price,MATCH(A96,art_ref,0))),0))</f>
        <v/>
      </c>
      <c r="I96" s="39" t="str">
        <f>IF(A96="","",IF(E96="","Référence inconnue",IF(F96="","À compter",IF(G96&gt;0,"Saisir une entrée de "&amp;G96,IF(G96&lt;0,"Saisir une sortie de "&amp;-G96,"Conforme")))))</f>
        <v/>
      </c>
    </row>
    <row r="97">
      <c r="A97" s="37" t="n"/>
      <c r="B97" s="39" t="str">
        <f>IF(A97="","",IFERROR(INDEX(art_des,MATCH(A97,art_ref,0))&amp;"","Référence inconnue"))</f>
        <v/>
      </c>
      <c r="C97" s="39" t="str">
        <f>IF(A97="","",IFERROR(INDEX(art_unit,MATCH(A97,art_ref,0))&amp;"",""))</f>
        <v/>
      </c>
      <c r="D97" s="39" t="str">
        <f>IF(A97="","",IFERROR(INDEX(art_loc,MATCH(A97,art_ref,0))&amp;"",""))</f>
        <v/>
      </c>
      <c r="E97" s="39" t="str">
        <f>IF(A97="","",IFERROR(ROUND(N(INDEX(art_init,MATCH(A97,art_ref,0)))+SUMIFS(mv_qty,mv_ref,A97,mv_type,"Entrée",mv_date,"&lt;="&amp;$G$1)-SUMIFS(mv_qty,mv_ref,A97,mv_type,"Sortie",mv_date,"&lt;="&amp;$G$1),6),""))</f>
        <v/>
      </c>
      <c r="F97" s="37" t="n"/>
      <c r="G97" s="39" t="str">
        <f>IF(OR(A97="",F97="",E97=""),"",ROUND(F97-E97,6))</f>
        <v/>
      </c>
      <c r="H97" s="40" t="str">
        <f>IF(G97="","",G97*IFERROR(N(INDEX(art_price,MATCH(A97,art_ref,0))),0))</f>
        <v/>
      </c>
      <c r="I97" s="39" t="str">
        <f>IF(A97="","",IF(E97="","Référence inconnue",IF(F97="","À compter",IF(G97&gt;0,"Saisir une entrée de "&amp;G97,IF(G97&lt;0,"Saisir une sortie de "&amp;-G97,"Conforme")))))</f>
        <v/>
      </c>
    </row>
    <row r="98">
      <c r="A98" s="37" t="n"/>
      <c r="B98" s="39" t="str">
        <f>IF(A98="","",IFERROR(INDEX(art_des,MATCH(A98,art_ref,0))&amp;"","Référence inconnue"))</f>
        <v/>
      </c>
      <c r="C98" s="39" t="str">
        <f>IF(A98="","",IFERROR(INDEX(art_unit,MATCH(A98,art_ref,0))&amp;"",""))</f>
        <v/>
      </c>
      <c r="D98" s="39" t="str">
        <f>IF(A98="","",IFERROR(INDEX(art_loc,MATCH(A98,art_ref,0))&amp;"",""))</f>
        <v/>
      </c>
      <c r="E98" s="39" t="str">
        <f>IF(A98="","",IFERROR(ROUND(N(INDEX(art_init,MATCH(A98,art_ref,0)))+SUMIFS(mv_qty,mv_ref,A98,mv_type,"Entrée",mv_date,"&lt;="&amp;$G$1)-SUMIFS(mv_qty,mv_ref,A98,mv_type,"Sortie",mv_date,"&lt;="&amp;$G$1),6),""))</f>
        <v/>
      </c>
      <c r="F98" s="37" t="n"/>
      <c r="G98" s="39" t="str">
        <f>IF(OR(A98="",F98="",E98=""),"",ROUND(F98-E98,6))</f>
        <v/>
      </c>
      <c r="H98" s="40" t="str">
        <f>IF(G98="","",G98*IFERROR(N(INDEX(art_price,MATCH(A98,art_ref,0))),0))</f>
        <v/>
      </c>
      <c r="I98" s="39" t="str">
        <f>IF(A98="","",IF(E98="","Référence inconnue",IF(F98="","À compter",IF(G98&gt;0,"Saisir une entrée de "&amp;G98,IF(G98&lt;0,"Saisir une sortie de "&amp;-G98,"Conforme")))))</f>
        <v/>
      </c>
    </row>
    <row r="99">
      <c r="A99" s="37" t="n"/>
      <c r="B99" s="39" t="str">
        <f>IF(A99="","",IFERROR(INDEX(art_des,MATCH(A99,art_ref,0))&amp;"","Référence inconnue"))</f>
        <v/>
      </c>
      <c r="C99" s="39" t="str">
        <f>IF(A99="","",IFERROR(INDEX(art_unit,MATCH(A99,art_ref,0))&amp;"",""))</f>
        <v/>
      </c>
      <c r="D99" s="39" t="str">
        <f>IF(A99="","",IFERROR(INDEX(art_loc,MATCH(A99,art_ref,0))&amp;"",""))</f>
        <v/>
      </c>
      <c r="E99" s="39" t="str">
        <f>IF(A99="","",IFERROR(ROUND(N(INDEX(art_init,MATCH(A99,art_ref,0)))+SUMIFS(mv_qty,mv_ref,A99,mv_type,"Entrée",mv_date,"&lt;="&amp;$G$1)-SUMIFS(mv_qty,mv_ref,A99,mv_type,"Sortie",mv_date,"&lt;="&amp;$G$1),6),""))</f>
        <v/>
      </c>
      <c r="F99" s="37" t="n"/>
      <c r="G99" s="39" t="str">
        <f>IF(OR(A99="",F99="",E99=""),"",ROUND(F99-E99,6))</f>
        <v/>
      </c>
      <c r="H99" s="40" t="str">
        <f>IF(G99="","",G99*IFERROR(N(INDEX(art_price,MATCH(A99,art_ref,0))),0))</f>
        <v/>
      </c>
      <c r="I99" s="39" t="str">
        <f>IF(A99="","",IF(E99="","Référence inconnue",IF(F99="","À compter",IF(G99&gt;0,"Saisir une entrée de "&amp;G99,IF(G99&lt;0,"Saisir une sortie de "&amp;-G99,"Conforme")))))</f>
        <v/>
      </c>
    </row>
    <row r="100">
      <c r="A100" s="37" t="n"/>
      <c r="B100" s="39" t="str">
        <f>IF(A100="","",IFERROR(INDEX(art_des,MATCH(A100,art_ref,0))&amp;"","Référence inconnue"))</f>
        <v/>
      </c>
      <c r="C100" s="39" t="str">
        <f>IF(A100="","",IFERROR(INDEX(art_unit,MATCH(A100,art_ref,0))&amp;"",""))</f>
        <v/>
      </c>
      <c r="D100" s="39" t="str">
        <f>IF(A100="","",IFERROR(INDEX(art_loc,MATCH(A100,art_ref,0))&amp;"",""))</f>
        <v/>
      </c>
      <c r="E100" s="39" t="str">
        <f>IF(A100="","",IFERROR(ROUND(N(INDEX(art_init,MATCH(A100,art_ref,0)))+SUMIFS(mv_qty,mv_ref,A100,mv_type,"Entrée",mv_date,"&lt;="&amp;$G$1)-SUMIFS(mv_qty,mv_ref,A100,mv_type,"Sortie",mv_date,"&lt;="&amp;$G$1),6),""))</f>
        <v/>
      </c>
      <c r="F100" s="37" t="n"/>
      <c r="G100" s="39" t="str">
        <f>IF(OR(A100="",F100="",E100=""),"",ROUND(F100-E100,6))</f>
        <v/>
      </c>
      <c r="H100" s="40" t="str">
        <f>IF(G100="","",G100*IFERROR(N(INDEX(art_price,MATCH(A100,art_ref,0))),0))</f>
        <v/>
      </c>
      <c r="I100" s="39" t="str">
        <f>IF(A100="","",IF(E100="","Référence inconnue",IF(F100="","À compter",IF(G100&gt;0,"Saisir une entrée de "&amp;G100,IF(G100&lt;0,"Saisir une sortie de "&amp;-G100,"Conforme")))))</f>
        <v/>
      </c>
    </row>
    <row r="101">
      <c r="A101" s="37" t="n"/>
      <c r="B101" s="39" t="str">
        <f>IF(A101="","",IFERROR(INDEX(art_des,MATCH(A101,art_ref,0))&amp;"","Référence inconnue"))</f>
        <v/>
      </c>
      <c r="C101" s="39" t="str">
        <f>IF(A101="","",IFERROR(INDEX(art_unit,MATCH(A101,art_ref,0))&amp;"",""))</f>
        <v/>
      </c>
      <c r="D101" s="39" t="str">
        <f>IF(A101="","",IFERROR(INDEX(art_loc,MATCH(A101,art_ref,0))&amp;"",""))</f>
        <v/>
      </c>
      <c r="E101" s="39" t="str">
        <f>IF(A101="","",IFERROR(ROUND(N(INDEX(art_init,MATCH(A101,art_ref,0)))+SUMIFS(mv_qty,mv_ref,A101,mv_type,"Entrée",mv_date,"&lt;="&amp;$G$1)-SUMIFS(mv_qty,mv_ref,A101,mv_type,"Sortie",mv_date,"&lt;="&amp;$G$1),6),""))</f>
        <v/>
      </c>
      <c r="F101" s="37" t="n"/>
      <c r="G101" s="39" t="str">
        <f>IF(OR(A101="",F101="",E101=""),"",ROUND(F101-E101,6))</f>
        <v/>
      </c>
      <c r="H101" s="40" t="str">
        <f>IF(G101="","",G101*IFERROR(N(INDEX(art_price,MATCH(A101,art_ref,0))),0))</f>
        <v/>
      </c>
      <c r="I101" s="39" t="str">
        <f>IF(A101="","",IF(E101="","Référence inconnue",IF(F101="","À compter",IF(G101&gt;0,"Saisir une entrée de "&amp;G101,IF(G101&lt;0,"Saisir une sortie de "&amp;-G101,"Conforme")))))</f>
        <v/>
      </c>
    </row>
    <row r="102">
      <c r="A102" s="37" t="n"/>
      <c r="B102" s="39" t="str">
        <f>IF(A102="","",IFERROR(INDEX(art_des,MATCH(A102,art_ref,0))&amp;"","Référence inconnue"))</f>
        <v/>
      </c>
      <c r="C102" s="39" t="str">
        <f>IF(A102="","",IFERROR(INDEX(art_unit,MATCH(A102,art_ref,0))&amp;"",""))</f>
        <v/>
      </c>
      <c r="D102" s="39" t="str">
        <f>IF(A102="","",IFERROR(INDEX(art_loc,MATCH(A102,art_ref,0))&amp;"",""))</f>
        <v/>
      </c>
      <c r="E102" s="39" t="str">
        <f>IF(A102="","",IFERROR(ROUND(N(INDEX(art_init,MATCH(A102,art_ref,0)))+SUMIFS(mv_qty,mv_ref,A102,mv_type,"Entrée",mv_date,"&lt;="&amp;$G$1)-SUMIFS(mv_qty,mv_ref,A102,mv_type,"Sortie",mv_date,"&lt;="&amp;$G$1),6),""))</f>
        <v/>
      </c>
      <c r="F102" s="37" t="n"/>
      <c r="G102" s="39" t="str">
        <f>IF(OR(A102="",F102="",E102=""),"",ROUND(F102-E102,6))</f>
        <v/>
      </c>
      <c r="H102" s="40" t="str">
        <f>IF(G102="","",G102*IFERROR(N(INDEX(art_price,MATCH(A102,art_ref,0))),0))</f>
        <v/>
      </c>
      <c r="I102" s="39" t="str">
        <f>IF(A102="","",IF(E102="","Référence inconnue",IF(F102="","À compter",IF(G102&gt;0,"Saisir une entrée de "&amp;G102,IF(G102&lt;0,"Saisir une sortie de "&amp;-G102,"Conforme")))))</f>
        <v/>
      </c>
    </row>
    <row r="103">
      <c r="A103" s="37" t="n"/>
      <c r="B103" s="39" t="str">
        <f>IF(A103="","",IFERROR(INDEX(art_des,MATCH(A103,art_ref,0))&amp;"","Référence inconnue"))</f>
        <v/>
      </c>
      <c r="C103" s="39" t="str">
        <f>IF(A103="","",IFERROR(INDEX(art_unit,MATCH(A103,art_ref,0))&amp;"",""))</f>
        <v/>
      </c>
      <c r="D103" s="39" t="str">
        <f>IF(A103="","",IFERROR(INDEX(art_loc,MATCH(A103,art_ref,0))&amp;"",""))</f>
        <v/>
      </c>
      <c r="E103" s="39" t="str">
        <f>IF(A103="","",IFERROR(ROUND(N(INDEX(art_init,MATCH(A103,art_ref,0)))+SUMIFS(mv_qty,mv_ref,A103,mv_type,"Entrée",mv_date,"&lt;="&amp;$G$1)-SUMIFS(mv_qty,mv_ref,A103,mv_type,"Sortie",mv_date,"&lt;="&amp;$G$1),6),""))</f>
        <v/>
      </c>
      <c r="F103" s="37" t="n"/>
      <c r="G103" s="39" t="str">
        <f>IF(OR(A103="",F103="",E103=""),"",ROUND(F103-E103,6))</f>
        <v/>
      </c>
      <c r="H103" s="40" t="str">
        <f>IF(G103="","",G103*IFERROR(N(INDEX(art_price,MATCH(A103,art_ref,0))),0))</f>
        <v/>
      </c>
      <c r="I103" s="39" t="str">
        <f>IF(A103="","",IF(E103="","Référence inconnue",IF(F103="","À compter",IF(G103&gt;0,"Saisir une entrée de "&amp;G103,IF(G103&lt;0,"Saisir une sortie de "&amp;-G103,"Conforme")))))</f>
        <v/>
      </c>
    </row>
    <row r="104">
      <c r="A104" s="37" t="n"/>
      <c r="B104" s="39" t="str">
        <f>IF(A104="","",IFERROR(INDEX(art_des,MATCH(A104,art_ref,0))&amp;"","Référence inconnue"))</f>
        <v/>
      </c>
      <c r="C104" s="39" t="str">
        <f>IF(A104="","",IFERROR(INDEX(art_unit,MATCH(A104,art_ref,0))&amp;"",""))</f>
        <v/>
      </c>
      <c r="D104" s="39" t="str">
        <f>IF(A104="","",IFERROR(INDEX(art_loc,MATCH(A104,art_ref,0))&amp;"",""))</f>
        <v/>
      </c>
      <c r="E104" s="39" t="str">
        <f>IF(A104="","",IFERROR(ROUND(N(INDEX(art_init,MATCH(A104,art_ref,0)))+SUMIFS(mv_qty,mv_ref,A104,mv_type,"Entrée",mv_date,"&lt;="&amp;$G$1)-SUMIFS(mv_qty,mv_ref,A104,mv_type,"Sortie",mv_date,"&lt;="&amp;$G$1),6),""))</f>
        <v/>
      </c>
      <c r="F104" s="37" t="n"/>
      <c r="G104" s="39" t="str">
        <f>IF(OR(A104="",F104="",E104=""),"",ROUND(F104-E104,6))</f>
        <v/>
      </c>
      <c r="H104" s="40" t="str">
        <f>IF(G104="","",G104*IFERROR(N(INDEX(art_price,MATCH(A104,art_ref,0))),0))</f>
        <v/>
      </c>
      <c r="I104" s="39" t="str">
        <f>IF(A104="","",IF(E104="","Référence inconnue",IF(F104="","À compter",IF(G104&gt;0,"Saisir une entrée de "&amp;G104,IF(G104&lt;0,"Saisir une sortie de "&amp;-G104,"Conforme")))))</f>
        <v/>
      </c>
    </row>
    <row r="105">
      <c r="A105" s="37" t="n"/>
      <c r="B105" s="39" t="str">
        <f>IF(A105="","",IFERROR(INDEX(art_des,MATCH(A105,art_ref,0))&amp;"","Référence inconnue"))</f>
        <v/>
      </c>
      <c r="C105" s="39" t="str">
        <f>IF(A105="","",IFERROR(INDEX(art_unit,MATCH(A105,art_ref,0))&amp;"",""))</f>
        <v/>
      </c>
      <c r="D105" s="39" t="str">
        <f>IF(A105="","",IFERROR(INDEX(art_loc,MATCH(A105,art_ref,0))&amp;"",""))</f>
        <v/>
      </c>
      <c r="E105" s="39" t="str">
        <f>IF(A105="","",IFERROR(ROUND(N(INDEX(art_init,MATCH(A105,art_ref,0)))+SUMIFS(mv_qty,mv_ref,A105,mv_type,"Entrée",mv_date,"&lt;="&amp;$G$1)-SUMIFS(mv_qty,mv_ref,A105,mv_type,"Sortie",mv_date,"&lt;="&amp;$G$1),6),""))</f>
        <v/>
      </c>
      <c r="F105" s="37" t="n"/>
      <c r="G105" s="39" t="str">
        <f>IF(OR(A105="",F105="",E105=""),"",ROUND(F105-E105,6))</f>
        <v/>
      </c>
      <c r="H105" s="40" t="str">
        <f>IF(G105="","",G105*IFERROR(N(INDEX(art_price,MATCH(A105,art_ref,0))),0))</f>
        <v/>
      </c>
      <c r="I105" s="39" t="str">
        <f>IF(A105="","",IF(E105="","Référence inconnue",IF(F105="","À compter",IF(G105&gt;0,"Saisir une entrée de "&amp;G105,IF(G105&lt;0,"Saisir une sortie de "&amp;-G105,"Conforme")))))</f>
        <v/>
      </c>
    </row>
    <row r="106">
      <c r="A106" s="37" t="n"/>
      <c r="B106" s="39" t="str">
        <f>IF(A106="","",IFERROR(INDEX(art_des,MATCH(A106,art_ref,0))&amp;"","Référence inconnue"))</f>
        <v/>
      </c>
      <c r="C106" s="39" t="str">
        <f>IF(A106="","",IFERROR(INDEX(art_unit,MATCH(A106,art_ref,0))&amp;"",""))</f>
        <v/>
      </c>
      <c r="D106" s="39" t="str">
        <f>IF(A106="","",IFERROR(INDEX(art_loc,MATCH(A106,art_ref,0))&amp;"",""))</f>
        <v/>
      </c>
      <c r="E106" s="39" t="str">
        <f>IF(A106="","",IFERROR(ROUND(N(INDEX(art_init,MATCH(A106,art_ref,0)))+SUMIFS(mv_qty,mv_ref,A106,mv_type,"Entrée",mv_date,"&lt;="&amp;$G$1)-SUMIFS(mv_qty,mv_ref,A106,mv_type,"Sortie",mv_date,"&lt;="&amp;$G$1),6),""))</f>
        <v/>
      </c>
      <c r="F106" s="37" t="n"/>
      <c r="G106" s="39" t="str">
        <f>IF(OR(A106="",F106="",E106=""),"",ROUND(F106-E106,6))</f>
        <v/>
      </c>
      <c r="H106" s="40" t="str">
        <f>IF(G106="","",G106*IFERROR(N(INDEX(art_price,MATCH(A106,art_ref,0))),0))</f>
        <v/>
      </c>
      <c r="I106" s="39" t="str">
        <f>IF(A106="","",IF(E106="","Référence inconnue",IF(F106="","À compter",IF(G106&gt;0,"Saisir une entrée de "&amp;G106,IF(G106&lt;0,"Saisir une sortie de "&amp;-G106,"Conforme")))))</f>
        <v/>
      </c>
    </row>
    <row r="107">
      <c r="A107" s="37" t="n"/>
      <c r="B107" s="39" t="str">
        <f>IF(A107="","",IFERROR(INDEX(art_des,MATCH(A107,art_ref,0))&amp;"","Référence inconnue"))</f>
        <v/>
      </c>
      <c r="C107" s="39" t="str">
        <f>IF(A107="","",IFERROR(INDEX(art_unit,MATCH(A107,art_ref,0))&amp;"",""))</f>
        <v/>
      </c>
      <c r="D107" s="39" t="str">
        <f>IF(A107="","",IFERROR(INDEX(art_loc,MATCH(A107,art_ref,0))&amp;"",""))</f>
        <v/>
      </c>
      <c r="E107" s="39" t="str">
        <f>IF(A107="","",IFERROR(ROUND(N(INDEX(art_init,MATCH(A107,art_ref,0)))+SUMIFS(mv_qty,mv_ref,A107,mv_type,"Entrée",mv_date,"&lt;="&amp;$G$1)-SUMIFS(mv_qty,mv_ref,A107,mv_type,"Sortie",mv_date,"&lt;="&amp;$G$1),6),""))</f>
        <v/>
      </c>
      <c r="F107" s="37" t="n"/>
      <c r="G107" s="39" t="str">
        <f>IF(OR(A107="",F107="",E107=""),"",ROUND(F107-E107,6))</f>
        <v/>
      </c>
      <c r="H107" s="40" t="str">
        <f>IF(G107="","",G107*IFERROR(N(INDEX(art_price,MATCH(A107,art_ref,0))),0))</f>
        <v/>
      </c>
      <c r="I107" s="39" t="str">
        <f>IF(A107="","",IF(E107="","Référence inconnue",IF(F107="","À compter",IF(G107&gt;0,"Saisir une entrée de "&amp;G107,IF(G107&lt;0,"Saisir une sortie de "&amp;-G107,"Conforme")))))</f>
        <v/>
      </c>
    </row>
    <row r="108">
      <c r="A108" s="37" t="n"/>
      <c r="B108" s="39" t="str">
        <f>IF(A108="","",IFERROR(INDEX(art_des,MATCH(A108,art_ref,0))&amp;"","Référence inconnue"))</f>
        <v/>
      </c>
      <c r="C108" s="39" t="str">
        <f>IF(A108="","",IFERROR(INDEX(art_unit,MATCH(A108,art_ref,0))&amp;"",""))</f>
        <v/>
      </c>
      <c r="D108" s="39" t="str">
        <f>IF(A108="","",IFERROR(INDEX(art_loc,MATCH(A108,art_ref,0))&amp;"",""))</f>
        <v/>
      </c>
      <c r="E108" s="39" t="str">
        <f>IF(A108="","",IFERROR(ROUND(N(INDEX(art_init,MATCH(A108,art_ref,0)))+SUMIFS(mv_qty,mv_ref,A108,mv_type,"Entrée",mv_date,"&lt;="&amp;$G$1)-SUMIFS(mv_qty,mv_ref,A108,mv_type,"Sortie",mv_date,"&lt;="&amp;$G$1),6),""))</f>
        <v/>
      </c>
      <c r="F108" s="37" t="n"/>
      <c r="G108" s="39" t="str">
        <f>IF(OR(A108="",F108="",E108=""),"",ROUND(F108-E108,6))</f>
        <v/>
      </c>
      <c r="H108" s="40" t="str">
        <f>IF(G108="","",G108*IFERROR(N(INDEX(art_price,MATCH(A108,art_ref,0))),0))</f>
        <v/>
      </c>
      <c r="I108" s="39" t="str">
        <f>IF(A108="","",IF(E108="","Référence inconnue",IF(F108="","À compter",IF(G108&gt;0,"Saisir une entrée de "&amp;G108,IF(G108&lt;0,"Saisir une sortie de "&amp;-G108,"Conforme")))))</f>
        <v/>
      </c>
    </row>
    <row r="109">
      <c r="A109" s="37" t="n"/>
      <c r="B109" s="39" t="str">
        <f>IF(A109="","",IFERROR(INDEX(art_des,MATCH(A109,art_ref,0))&amp;"","Référence inconnue"))</f>
        <v/>
      </c>
      <c r="C109" s="39" t="str">
        <f>IF(A109="","",IFERROR(INDEX(art_unit,MATCH(A109,art_ref,0))&amp;"",""))</f>
        <v/>
      </c>
      <c r="D109" s="39" t="str">
        <f>IF(A109="","",IFERROR(INDEX(art_loc,MATCH(A109,art_ref,0))&amp;"",""))</f>
        <v/>
      </c>
      <c r="E109" s="39" t="str">
        <f>IF(A109="","",IFERROR(ROUND(N(INDEX(art_init,MATCH(A109,art_ref,0)))+SUMIFS(mv_qty,mv_ref,A109,mv_type,"Entrée",mv_date,"&lt;="&amp;$G$1)-SUMIFS(mv_qty,mv_ref,A109,mv_type,"Sortie",mv_date,"&lt;="&amp;$G$1),6),""))</f>
        <v/>
      </c>
      <c r="F109" s="37" t="n"/>
      <c r="G109" s="39" t="str">
        <f>IF(OR(A109="",F109="",E109=""),"",ROUND(F109-E109,6))</f>
        <v/>
      </c>
      <c r="H109" s="40" t="str">
        <f>IF(G109="","",G109*IFERROR(N(INDEX(art_price,MATCH(A109,art_ref,0))),0))</f>
        <v/>
      </c>
      <c r="I109" s="39" t="str">
        <f>IF(A109="","",IF(E109="","Référence inconnue",IF(F109="","À compter",IF(G109&gt;0,"Saisir une entrée de "&amp;G109,IF(G109&lt;0,"Saisir une sortie de "&amp;-G109,"Conforme")))))</f>
        <v/>
      </c>
    </row>
    <row r="110">
      <c r="A110" s="37" t="n"/>
      <c r="B110" s="39" t="str">
        <f>IF(A110="","",IFERROR(INDEX(art_des,MATCH(A110,art_ref,0))&amp;"","Référence inconnue"))</f>
        <v/>
      </c>
      <c r="C110" s="39" t="str">
        <f>IF(A110="","",IFERROR(INDEX(art_unit,MATCH(A110,art_ref,0))&amp;"",""))</f>
        <v/>
      </c>
      <c r="D110" s="39" t="str">
        <f>IF(A110="","",IFERROR(INDEX(art_loc,MATCH(A110,art_ref,0))&amp;"",""))</f>
        <v/>
      </c>
      <c r="E110" s="39" t="str">
        <f>IF(A110="","",IFERROR(ROUND(N(INDEX(art_init,MATCH(A110,art_ref,0)))+SUMIFS(mv_qty,mv_ref,A110,mv_type,"Entrée",mv_date,"&lt;="&amp;$G$1)-SUMIFS(mv_qty,mv_ref,A110,mv_type,"Sortie",mv_date,"&lt;="&amp;$G$1),6),""))</f>
        <v/>
      </c>
      <c r="F110" s="37" t="n"/>
      <c r="G110" s="39" t="str">
        <f>IF(OR(A110="",F110="",E110=""),"",ROUND(F110-E110,6))</f>
        <v/>
      </c>
      <c r="H110" s="40" t="str">
        <f>IF(G110="","",G110*IFERROR(N(INDEX(art_price,MATCH(A110,art_ref,0))),0))</f>
        <v/>
      </c>
      <c r="I110" s="39" t="str">
        <f>IF(A110="","",IF(E110="","Référence inconnue",IF(F110="","À compter",IF(G110&gt;0,"Saisir une entrée de "&amp;G110,IF(G110&lt;0,"Saisir une sortie de "&amp;-G110,"Conforme")))))</f>
        <v/>
      </c>
    </row>
    <row r="111">
      <c r="A111" s="37" t="n"/>
      <c r="B111" s="39" t="str">
        <f>IF(A111="","",IFERROR(INDEX(art_des,MATCH(A111,art_ref,0))&amp;"","Référence inconnue"))</f>
        <v/>
      </c>
      <c r="C111" s="39" t="str">
        <f>IF(A111="","",IFERROR(INDEX(art_unit,MATCH(A111,art_ref,0))&amp;"",""))</f>
        <v/>
      </c>
      <c r="D111" s="39" t="str">
        <f>IF(A111="","",IFERROR(INDEX(art_loc,MATCH(A111,art_ref,0))&amp;"",""))</f>
        <v/>
      </c>
      <c r="E111" s="39" t="str">
        <f>IF(A111="","",IFERROR(ROUND(N(INDEX(art_init,MATCH(A111,art_ref,0)))+SUMIFS(mv_qty,mv_ref,A111,mv_type,"Entrée",mv_date,"&lt;="&amp;$G$1)-SUMIFS(mv_qty,mv_ref,A111,mv_type,"Sortie",mv_date,"&lt;="&amp;$G$1),6),""))</f>
        <v/>
      </c>
      <c r="F111" s="37" t="n"/>
      <c r="G111" s="39" t="str">
        <f>IF(OR(A111="",F111="",E111=""),"",ROUND(F111-E111,6))</f>
        <v/>
      </c>
      <c r="H111" s="40" t="str">
        <f>IF(G111="","",G111*IFERROR(N(INDEX(art_price,MATCH(A111,art_ref,0))),0))</f>
        <v/>
      </c>
      <c r="I111" s="39" t="str">
        <f>IF(A111="","",IF(E111="","Référence inconnue",IF(F111="","À compter",IF(G111&gt;0,"Saisir une entrée de "&amp;G111,IF(G111&lt;0,"Saisir une sortie de "&amp;-G111,"Conforme")))))</f>
        <v/>
      </c>
    </row>
    <row r="112">
      <c r="A112" s="37" t="n"/>
      <c r="B112" s="39" t="str">
        <f>IF(A112="","",IFERROR(INDEX(art_des,MATCH(A112,art_ref,0))&amp;"","Référence inconnue"))</f>
        <v/>
      </c>
      <c r="C112" s="39" t="str">
        <f>IF(A112="","",IFERROR(INDEX(art_unit,MATCH(A112,art_ref,0))&amp;"",""))</f>
        <v/>
      </c>
      <c r="D112" s="39" t="str">
        <f>IF(A112="","",IFERROR(INDEX(art_loc,MATCH(A112,art_ref,0))&amp;"",""))</f>
        <v/>
      </c>
      <c r="E112" s="39" t="str">
        <f>IF(A112="","",IFERROR(ROUND(N(INDEX(art_init,MATCH(A112,art_ref,0)))+SUMIFS(mv_qty,mv_ref,A112,mv_type,"Entrée",mv_date,"&lt;="&amp;$G$1)-SUMIFS(mv_qty,mv_ref,A112,mv_type,"Sortie",mv_date,"&lt;="&amp;$G$1),6),""))</f>
        <v/>
      </c>
      <c r="F112" s="37" t="n"/>
      <c r="G112" s="39" t="str">
        <f>IF(OR(A112="",F112="",E112=""),"",ROUND(F112-E112,6))</f>
        <v/>
      </c>
      <c r="H112" s="40" t="str">
        <f>IF(G112="","",G112*IFERROR(N(INDEX(art_price,MATCH(A112,art_ref,0))),0))</f>
        <v/>
      </c>
      <c r="I112" s="39" t="str">
        <f>IF(A112="","",IF(E112="","Référence inconnue",IF(F112="","À compter",IF(G112&gt;0,"Saisir une entrée de "&amp;G112,IF(G112&lt;0,"Saisir une sortie de "&amp;-G112,"Conforme")))))</f>
        <v/>
      </c>
    </row>
    <row r="113">
      <c r="A113" s="37" t="n"/>
      <c r="B113" s="39" t="str">
        <f>IF(A113="","",IFERROR(INDEX(art_des,MATCH(A113,art_ref,0))&amp;"","Référence inconnue"))</f>
        <v/>
      </c>
      <c r="C113" s="39" t="str">
        <f>IF(A113="","",IFERROR(INDEX(art_unit,MATCH(A113,art_ref,0))&amp;"",""))</f>
        <v/>
      </c>
      <c r="D113" s="39" t="str">
        <f>IF(A113="","",IFERROR(INDEX(art_loc,MATCH(A113,art_ref,0))&amp;"",""))</f>
        <v/>
      </c>
      <c r="E113" s="39" t="str">
        <f>IF(A113="","",IFERROR(ROUND(N(INDEX(art_init,MATCH(A113,art_ref,0)))+SUMIFS(mv_qty,mv_ref,A113,mv_type,"Entrée",mv_date,"&lt;="&amp;$G$1)-SUMIFS(mv_qty,mv_ref,A113,mv_type,"Sortie",mv_date,"&lt;="&amp;$G$1),6),""))</f>
        <v/>
      </c>
      <c r="F113" s="37" t="n"/>
      <c r="G113" s="39" t="str">
        <f>IF(OR(A113="",F113="",E113=""),"",ROUND(F113-E113,6))</f>
        <v/>
      </c>
      <c r="H113" s="40" t="str">
        <f>IF(G113="","",G113*IFERROR(N(INDEX(art_price,MATCH(A113,art_ref,0))),0))</f>
        <v/>
      </c>
      <c r="I113" s="39" t="str">
        <f>IF(A113="","",IF(E113="","Référence inconnue",IF(F113="","À compter",IF(G113&gt;0,"Saisir une entrée de "&amp;G113,IF(G113&lt;0,"Saisir une sortie de "&amp;-G113,"Conforme")))))</f>
        <v/>
      </c>
    </row>
    <row r="114">
      <c r="A114" s="37" t="n"/>
      <c r="B114" s="39" t="str">
        <f>IF(A114="","",IFERROR(INDEX(art_des,MATCH(A114,art_ref,0))&amp;"","Référence inconnue"))</f>
        <v/>
      </c>
      <c r="C114" s="39" t="str">
        <f>IF(A114="","",IFERROR(INDEX(art_unit,MATCH(A114,art_ref,0))&amp;"",""))</f>
        <v/>
      </c>
      <c r="D114" s="39" t="str">
        <f>IF(A114="","",IFERROR(INDEX(art_loc,MATCH(A114,art_ref,0))&amp;"",""))</f>
        <v/>
      </c>
      <c r="E114" s="39" t="str">
        <f>IF(A114="","",IFERROR(ROUND(N(INDEX(art_init,MATCH(A114,art_ref,0)))+SUMIFS(mv_qty,mv_ref,A114,mv_type,"Entrée",mv_date,"&lt;="&amp;$G$1)-SUMIFS(mv_qty,mv_ref,A114,mv_type,"Sortie",mv_date,"&lt;="&amp;$G$1),6),""))</f>
        <v/>
      </c>
      <c r="F114" s="37" t="n"/>
      <c r="G114" s="39" t="str">
        <f>IF(OR(A114="",F114="",E114=""),"",ROUND(F114-E114,6))</f>
        <v/>
      </c>
      <c r="H114" s="40" t="str">
        <f>IF(G114="","",G114*IFERROR(N(INDEX(art_price,MATCH(A114,art_ref,0))),0))</f>
        <v/>
      </c>
      <c r="I114" s="39" t="str">
        <f>IF(A114="","",IF(E114="","Référence inconnue",IF(F114="","À compter",IF(G114&gt;0,"Saisir une entrée de "&amp;G114,IF(G114&lt;0,"Saisir une sortie de "&amp;-G114,"Conforme")))))</f>
        <v/>
      </c>
    </row>
    <row r="115">
      <c r="A115" s="37" t="n"/>
      <c r="B115" s="39" t="str">
        <f>IF(A115="","",IFERROR(INDEX(art_des,MATCH(A115,art_ref,0))&amp;"","Référence inconnue"))</f>
        <v/>
      </c>
      <c r="C115" s="39" t="str">
        <f>IF(A115="","",IFERROR(INDEX(art_unit,MATCH(A115,art_ref,0))&amp;"",""))</f>
        <v/>
      </c>
      <c r="D115" s="39" t="str">
        <f>IF(A115="","",IFERROR(INDEX(art_loc,MATCH(A115,art_ref,0))&amp;"",""))</f>
        <v/>
      </c>
      <c r="E115" s="39" t="str">
        <f>IF(A115="","",IFERROR(ROUND(N(INDEX(art_init,MATCH(A115,art_ref,0)))+SUMIFS(mv_qty,mv_ref,A115,mv_type,"Entrée",mv_date,"&lt;="&amp;$G$1)-SUMIFS(mv_qty,mv_ref,A115,mv_type,"Sortie",mv_date,"&lt;="&amp;$G$1),6),""))</f>
        <v/>
      </c>
      <c r="F115" s="37" t="n"/>
      <c r="G115" s="39" t="str">
        <f>IF(OR(A115="",F115="",E115=""),"",ROUND(F115-E115,6))</f>
        <v/>
      </c>
      <c r="H115" s="40" t="str">
        <f>IF(G115="","",G115*IFERROR(N(INDEX(art_price,MATCH(A115,art_ref,0))),0))</f>
        <v/>
      </c>
      <c r="I115" s="39" t="str">
        <f>IF(A115="","",IF(E115="","Référence inconnue",IF(F115="","À compter",IF(G115&gt;0,"Saisir une entrée de "&amp;G115,IF(G115&lt;0,"Saisir une sortie de "&amp;-G115,"Conforme")))))</f>
        <v/>
      </c>
    </row>
    <row r="116">
      <c r="A116" s="37" t="n"/>
      <c r="B116" s="39" t="str">
        <f>IF(A116="","",IFERROR(INDEX(art_des,MATCH(A116,art_ref,0))&amp;"","Référence inconnue"))</f>
        <v/>
      </c>
      <c r="C116" s="39" t="str">
        <f>IF(A116="","",IFERROR(INDEX(art_unit,MATCH(A116,art_ref,0))&amp;"",""))</f>
        <v/>
      </c>
      <c r="D116" s="39" t="str">
        <f>IF(A116="","",IFERROR(INDEX(art_loc,MATCH(A116,art_ref,0))&amp;"",""))</f>
        <v/>
      </c>
      <c r="E116" s="39" t="str">
        <f>IF(A116="","",IFERROR(ROUND(N(INDEX(art_init,MATCH(A116,art_ref,0)))+SUMIFS(mv_qty,mv_ref,A116,mv_type,"Entrée",mv_date,"&lt;="&amp;$G$1)-SUMIFS(mv_qty,mv_ref,A116,mv_type,"Sortie",mv_date,"&lt;="&amp;$G$1),6),""))</f>
        <v/>
      </c>
      <c r="F116" s="37" t="n"/>
      <c r="G116" s="39" t="str">
        <f>IF(OR(A116="",F116="",E116=""),"",ROUND(F116-E116,6))</f>
        <v/>
      </c>
      <c r="H116" s="40" t="str">
        <f>IF(G116="","",G116*IFERROR(N(INDEX(art_price,MATCH(A116,art_ref,0))),0))</f>
        <v/>
      </c>
      <c r="I116" s="39" t="str">
        <f>IF(A116="","",IF(E116="","Référence inconnue",IF(F116="","À compter",IF(G116&gt;0,"Saisir une entrée de "&amp;G116,IF(G116&lt;0,"Saisir une sortie de "&amp;-G116,"Conforme")))))</f>
        <v/>
      </c>
    </row>
    <row r="117">
      <c r="A117" s="37" t="n"/>
      <c r="B117" s="39" t="str">
        <f>IF(A117="","",IFERROR(INDEX(art_des,MATCH(A117,art_ref,0))&amp;"","Référence inconnue"))</f>
        <v/>
      </c>
      <c r="C117" s="39" t="str">
        <f>IF(A117="","",IFERROR(INDEX(art_unit,MATCH(A117,art_ref,0))&amp;"",""))</f>
        <v/>
      </c>
      <c r="D117" s="39" t="str">
        <f>IF(A117="","",IFERROR(INDEX(art_loc,MATCH(A117,art_ref,0))&amp;"",""))</f>
        <v/>
      </c>
      <c r="E117" s="39" t="str">
        <f>IF(A117="","",IFERROR(ROUND(N(INDEX(art_init,MATCH(A117,art_ref,0)))+SUMIFS(mv_qty,mv_ref,A117,mv_type,"Entrée",mv_date,"&lt;="&amp;$G$1)-SUMIFS(mv_qty,mv_ref,A117,mv_type,"Sortie",mv_date,"&lt;="&amp;$G$1),6),""))</f>
        <v/>
      </c>
      <c r="F117" s="37" t="n"/>
      <c r="G117" s="39" t="str">
        <f>IF(OR(A117="",F117="",E117=""),"",ROUND(F117-E117,6))</f>
        <v/>
      </c>
      <c r="H117" s="40" t="str">
        <f>IF(G117="","",G117*IFERROR(N(INDEX(art_price,MATCH(A117,art_ref,0))),0))</f>
        <v/>
      </c>
      <c r="I117" s="39" t="str">
        <f>IF(A117="","",IF(E117="","Référence inconnue",IF(F117="","À compter",IF(G117&gt;0,"Saisir une entrée de "&amp;G117,IF(G117&lt;0,"Saisir une sortie de "&amp;-G117,"Conforme")))))</f>
        <v/>
      </c>
    </row>
    <row r="118">
      <c r="A118" s="37" t="n"/>
      <c r="B118" s="39" t="str">
        <f>IF(A118="","",IFERROR(INDEX(art_des,MATCH(A118,art_ref,0))&amp;"","Référence inconnue"))</f>
        <v/>
      </c>
      <c r="C118" s="39" t="str">
        <f>IF(A118="","",IFERROR(INDEX(art_unit,MATCH(A118,art_ref,0))&amp;"",""))</f>
        <v/>
      </c>
      <c r="D118" s="39" t="str">
        <f>IF(A118="","",IFERROR(INDEX(art_loc,MATCH(A118,art_ref,0))&amp;"",""))</f>
        <v/>
      </c>
      <c r="E118" s="39" t="str">
        <f>IF(A118="","",IFERROR(ROUND(N(INDEX(art_init,MATCH(A118,art_ref,0)))+SUMIFS(mv_qty,mv_ref,A118,mv_type,"Entrée",mv_date,"&lt;="&amp;$G$1)-SUMIFS(mv_qty,mv_ref,A118,mv_type,"Sortie",mv_date,"&lt;="&amp;$G$1),6),""))</f>
        <v/>
      </c>
      <c r="F118" s="37" t="n"/>
      <c r="G118" s="39" t="str">
        <f>IF(OR(A118="",F118="",E118=""),"",ROUND(F118-E118,6))</f>
        <v/>
      </c>
      <c r="H118" s="40" t="str">
        <f>IF(G118="","",G118*IFERROR(N(INDEX(art_price,MATCH(A118,art_ref,0))),0))</f>
        <v/>
      </c>
      <c r="I118" s="39" t="str">
        <f>IF(A118="","",IF(E118="","Référence inconnue",IF(F118="","À compter",IF(G118&gt;0,"Saisir une entrée de "&amp;G118,IF(G118&lt;0,"Saisir une sortie de "&amp;-G118,"Conforme")))))</f>
        <v/>
      </c>
    </row>
    <row r="119">
      <c r="A119" s="37" t="n"/>
      <c r="B119" s="39" t="str">
        <f>IF(A119="","",IFERROR(INDEX(art_des,MATCH(A119,art_ref,0))&amp;"","Référence inconnue"))</f>
        <v/>
      </c>
      <c r="C119" s="39" t="str">
        <f>IF(A119="","",IFERROR(INDEX(art_unit,MATCH(A119,art_ref,0))&amp;"",""))</f>
        <v/>
      </c>
      <c r="D119" s="39" t="str">
        <f>IF(A119="","",IFERROR(INDEX(art_loc,MATCH(A119,art_ref,0))&amp;"",""))</f>
        <v/>
      </c>
      <c r="E119" s="39" t="str">
        <f>IF(A119="","",IFERROR(ROUND(N(INDEX(art_init,MATCH(A119,art_ref,0)))+SUMIFS(mv_qty,mv_ref,A119,mv_type,"Entrée",mv_date,"&lt;="&amp;$G$1)-SUMIFS(mv_qty,mv_ref,A119,mv_type,"Sortie",mv_date,"&lt;="&amp;$G$1),6),""))</f>
        <v/>
      </c>
      <c r="F119" s="37" t="n"/>
      <c r="G119" s="39" t="str">
        <f>IF(OR(A119="",F119="",E119=""),"",ROUND(F119-E119,6))</f>
        <v/>
      </c>
      <c r="H119" s="40" t="str">
        <f>IF(G119="","",G119*IFERROR(N(INDEX(art_price,MATCH(A119,art_ref,0))),0))</f>
        <v/>
      </c>
      <c r="I119" s="39" t="str">
        <f>IF(A119="","",IF(E119="","Référence inconnue",IF(F119="","À compter",IF(G119&gt;0,"Saisir une entrée de "&amp;G119,IF(G119&lt;0,"Saisir une sortie de "&amp;-G119,"Conforme")))))</f>
        <v/>
      </c>
    </row>
    <row r="120">
      <c r="A120" s="37" t="n"/>
      <c r="B120" s="39" t="str">
        <f>IF(A120="","",IFERROR(INDEX(art_des,MATCH(A120,art_ref,0))&amp;"","Référence inconnue"))</f>
        <v/>
      </c>
      <c r="C120" s="39" t="str">
        <f>IF(A120="","",IFERROR(INDEX(art_unit,MATCH(A120,art_ref,0))&amp;"",""))</f>
        <v/>
      </c>
      <c r="D120" s="39" t="str">
        <f>IF(A120="","",IFERROR(INDEX(art_loc,MATCH(A120,art_ref,0))&amp;"",""))</f>
        <v/>
      </c>
      <c r="E120" s="39" t="str">
        <f>IF(A120="","",IFERROR(ROUND(N(INDEX(art_init,MATCH(A120,art_ref,0)))+SUMIFS(mv_qty,mv_ref,A120,mv_type,"Entrée",mv_date,"&lt;="&amp;$G$1)-SUMIFS(mv_qty,mv_ref,A120,mv_type,"Sortie",mv_date,"&lt;="&amp;$G$1),6),""))</f>
        <v/>
      </c>
      <c r="F120" s="37" t="n"/>
      <c r="G120" s="39" t="str">
        <f>IF(OR(A120="",F120="",E120=""),"",ROUND(F120-E120,6))</f>
        <v/>
      </c>
      <c r="H120" s="40" t="str">
        <f>IF(G120="","",G120*IFERROR(N(INDEX(art_price,MATCH(A120,art_ref,0))),0))</f>
        <v/>
      </c>
      <c r="I120" s="39" t="str">
        <f>IF(A120="","",IF(E120="","Référence inconnue",IF(F120="","À compter",IF(G120&gt;0,"Saisir une entrée de "&amp;G120,IF(G120&lt;0,"Saisir une sortie de "&amp;-G120,"Conforme")))))</f>
        <v/>
      </c>
    </row>
    <row r="121">
      <c r="A121" s="37" t="n"/>
      <c r="B121" s="39" t="str">
        <f>IF(A121="","",IFERROR(INDEX(art_des,MATCH(A121,art_ref,0))&amp;"","Référence inconnue"))</f>
        <v/>
      </c>
      <c r="C121" s="39" t="str">
        <f>IF(A121="","",IFERROR(INDEX(art_unit,MATCH(A121,art_ref,0))&amp;"",""))</f>
        <v/>
      </c>
      <c r="D121" s="39" t="str">
        <f>IF(A121="","",IFERROR(INDEX(art_loc,MATCH(A121,art_ref,0))&amp;"",""))</f>
        <v/>
      </c>
      <c r="E121" s="39" t="str">
        <f>IF(A121="","",IFERROR(ROUND(N(INDEX(art_init,MATCH(A121,art_ref,0)))+SUMIFS(mv_qty,mv_ref,A121,mv_type,"Entrée",mv_date,"&lt;="&amp;$G$1)-SUMIFS(mv_qty,mv_ref,A121,mv_type,"Sortie",mv_date,"&lt;="&amp;$G$1),6),""))</f>
        <v/>
      </c>
      <c r="F121" s="37" t="n"/>
      <c r="G121" s="39" t="str">
        <f>IF(OR(A121="",F121="",E121=""),"",ROUND(F121-E121,6))</f>
        <v/>
      </c>
      <c r="H121" s="40" t="str">
        <f>IF(G121="","",G121*IFERROR(N(INDEX(art_price,MATCH(A121,art_ref,0))),0))</f>
        <v/>
      </c>
      <c r="I121" s="39" t="str">
        <f>IF(A121="","",IF(E121="","Référence inconnue",IF(F121="","À compter",IF(G121&gt;0,"Saisir une entrée de "&amp;G121,IF(G121&lt;0,"Saisir une sortie de "&amp;-G121,"Conforme")))))</f>
        <v/>
      </c>
    </row>
    <row r="122">
      <c r="A122" s="37" t="n"/>
      <c r="B122" s="39" t="str">
        <f>IF(A122="","",IFERROR(INDEX(art_des,MATCH(A122,art_ref,0))&amp;"","Référence inconnue"))</f>
        <v/>
      </c>
      <c r="C122" s="39" t="str">
        <f>IF(A122="","",IFERROR(INDEX(art_unit,MATCH(A122,art_ref,0))&amp;"",""))</f>
        <v/>
      </c>
      <c r="D122" s="39" t="str">
        <f>IF(A122="","",IFERROR(INDEX(art_loc,MATCH(A122,art_ref,0))&amp;"",""))</f>
        <v/>
      </c>
      <c r="E122" s="39" t="str">
        <f>IF(A122="","",IFERROR(ROUND(N(INDEX(art_init,MATCH(A122,art_ref,0)))+SUMIFS(mv_qty,mv_ref,A122,mv_type,"Entrée",mv_date,"&lt;="&amp;$G$1)-SUMIFS(mv_qty,mv_ref,A122,mv_type,"Sortie",mv_date,"&lt;="&amp;$G$1),6),""))</f>
        <v/>
      </c>
      <c r="F122" s="37" t="n"/>
      <c r="G122" s="39" t="str">
        <f>IF(OR(A122="",F122="",E122=""),"",ROUND(F122-E122,6))</f>
        <v/>
      </c>
      <c r="H122" s="40" t="str">
        <f>IF(G122="","",G122*IFERROR(N(INDEX(art_price,MATCH(A122,art_ref,0))),0))</f>
        <v/>
      </c>
      <c r="I122" s="39" t="str">
        <f>IF(A122="","",IF(E122="","Référence inconnue",IF(F122="","À compter",IF(G122&gt;0,"Saisir une entrée de "&amp;G122,IF(G122&lt;0,"Saisir une sortie de "&amp;-G122,"Conforme")))))</f>
        <v/>
      </c>
    </row>
    <row r="123">
      <c r="A123" s="37" t="n"/>
      <c r="B123" s="39" t="str">
        <f>IF(A123="","",IFERROR(INDEX(art_des,MATCH(A123,art_ref,0))&amp;"","Référence inconnue"))</f>
        <v/>
      </c>
      <c r="C123" s="39" t="str">
        <f>IF(A123="","",IFERROR(INDEX(art_unit,MATCH(A123,art_ref,0))&amp;"",""))</f>
        <v/>
      </c>
      <c r="D123" s="39" t="str">
        <f>IF(A123="","",IFERROR(INDEX(art_loc,MATCH(A123,art_ref,0))&amp;"",""))</f>
        <v/>
      </c>
      <c r="E123" s="39" t="str">
        <f>IF(A123="","",IFERROR(ROUND(N(INDEX(art_init,MATCH(A123,art_ref,0)))+SUMIFS(mv_qty,mv_ref,A123,mv_type,"Entrée",mv_date,"&lt;="&amp;$G$1)-SUMIFS(mv_qty,mv_ref,A123,mv_type,"Sortie",mv_date,"&lt;="&amp;$G$1),6),""))</f>
        <v/>
      </c>
      <c r="F123" s="37" t="n"/>
      <c r="G123" s="39" t="str">
        <f>IF(OR(A123="",F123="",E123=""),"",ROUND(F123-E123,6))</f>
        <v/>
      </c>
      <c r="H123" s="40" t="str">
        <f>IF(G123="","",G123*IFERROR(N(INDEX(art_price,MATCH(A123,art_ref,0))),0))</f>
        <v/>
      </c>
      <c r="I123" s="39" t="str">
        <f>IF(A123="","",IF(E123="","Référence inconnue",IF(F123="","À compter",IF(G123&gt;0,"Saisir une entrée de "&amp;G123,IF(G123&lt;0,"Saisir une sortie de "&amp;-G123,"Conforme")))))</f>
        <v/>
      </c>
    </row>
    <row r="124">
      <c r="A124" s="37" t="n"/>
      <c r="B124" s="39" t="str">
        <f>IF(A124="","",IFERROR(INDEX(art_des,MATCH(A124,art_ref,0))&amp;"","Référence inconnue"))</f>
        <v/>
      </c>
      <c r="C124" s="39" t="str">
        <f>IF(A124="","",IFERROR(INDEX(art_unit,MATCH(A124,art_ref,0))&amp;"",""))</f>
        <v/>
      </c>
      <c r="D124" s="39" t="str">
        <f>IF(A124="","",IFERROR(INDEX(art_loc,MATCH(A124,art_ref,0))&amp;"",""))</f>
        <v/>
      </c>
      <c r="E124" s="39" t="str">
        <f>IF(A124="","",IFERROR(ROUND(N(INDEX(art_init,MATCH(A124,art_ref,0)))+SUMIFS(mv_qty,mv_ref,A124,mv_type,"Entrée",mv_date,"&lt;="&amp;$G$1)-SUMIFS(mv_qty,mv_ref,A124,mv_type,"Sortie",mv_date,"&lt;="&amp;$G$1),6),""))</f>
        <v/>
      </c>
      <c r="F124" s="37" t="n"/>
      <c r="G124" s="39" t="str">
        <f>IF(OR(A124="",F124="",E124=""),"",ROUND(F124-E124,6))</f>
        <v/>
      </c>
      <c r="H124" s="40" t="str">
        <f>IF(G124="","",G124*IFERROR(N(INDEX(art_price,MATCH(A124,art_ref,0))),0))</f>
        <v/>
      </c>
      <c r="I124" s="39" t="str">
        <f>IF(A124="","",IF(E124="","Référence inconnue",IF(F124="","À compter",IF(G124&gt;0,"Saisir une entrée de "&amp;G124,IF(G124&lt;0,"Saisir une sortie de "&amp;-G124,"Conforme")))))</f>
        <v/>
      </c>
    </row>
    <row r="125">
      <c r="A125" s="37" t="n"/>
      <c r="B125" s="39" t="str">
        <f>IF(A125="","",IFERROR(INDEX(art_des,MATCH(A125,art_ref,0))&amp;"","Référence inconnue"))</f>
        <v/>
      </c>
      <c r="C125" s="39" t="str">
        <f>IF(A125="","",IFERROR(INDEX(art_unit,MATCH(A125,art_ref,0))&amp;"",""))</f>
        <v/>
      </c>
      <c r="D125" s="39" t="str">
        <f>IF(A125="","",IFERROR(INDEX(art_loc,MATCH(A125,art_ref,0))&amp;"",""))</f>
        <v/>
      </c>
      <c r="E125" s="39" t="str">
        <f>IF(A125="","",IFERROR(ROUND(N(INDEX(art_init,MATCH(A125,art_ref,0)))+SUMIFS(mv_qty,mv_ref,A125,mv_type,"Entrée",mv_date,"&lt;="&amp;$G$1)-SUMIFS(mv_qty,mv_ref,A125,mv_type,"Sortie",mv_date,"&lt;="&amp;$G$1),6),""))</f>
        <v/>
      </c>
      <c r="F125" s="37" t="n"/>
      <c r="G125" s="39" t="str">
        <f>IF(OR(A125="",F125="",E125=""),"",ROUND(F125-E125,6))</f>
        <v/>
      </c>
      <c r="H125" s="40" t="str">
        <f>IF(G125="","",G125*IFERROR(N(INDEX(art_price,MATCH(A125,art_ref,0))),0))</f>
        <v/>
      </c>
      <c r="I125" s="39" t="str">
        <f>IF(A125="","",IF(E125="","Référence inconnue",IF(F125="","À compter",IF(G125&gt;0,"Saisir une entrée de "&amp;G125,IF(G125&lt;0,"Saisir une sortie de "&amp;-G125,"Conforme")))))</f>
        <v/>
      </c>
    </row>
    <row r="126">
      <c r="A126" s="37" t="n"/>
      <c r="B126" s="39" t="str">
        <f>IF(A126="","",IFERROR(INDEX(art_des,MATCH(A126,art_ref,0))&amp;"","Référence inconnue"))</f>
        <v/>
      </c>
      <c r="C126" s="39" t="str">
        <f>IF(A126="","",IFERROR(INDEX(art_unit,MATCH(A126,art_ref,0))&amp;"",""))</f>
        <v/>
      </c>
      <c r="D126" s="39" t="str">
        <f>IF(A126="","",IFERROR(INDEX(art_loc,MATCH(A126,art_ref,0))&amp;"",""))</f>
        <v/>
      </c>
      <c r="E126" s="39" t="str">
        <f>IF(A126="","",IFERROR(ROUND(N(INDEX(art_init,MATCH(A126,art_ref,0)))+SUMIFS(mv_qty,mv_ref,A126,mv_type,"Entrée",mv_date,"&lt;="&amp;$G$1)-SUMIFS(mv_qty,mv_ref,A126,mv_type,"Sortie",mv_date,"&lt;="&amp;$G$1),6),""))</f>
        <v/>
      </c>
      <c r="F126" s="37" t="n"/>
      <c r="G126" s="39" t="str">
        <f>IF(OR(A126="",F126="",E126=""),"",ROUND(F126-E126,6))</f>
        <v/>
      </c>
      <c r="H126" s="40" t="str">
        <f>IF(G126="","",G126*IFERROR(N(INDEX(art_price,MATCH(A126,art_ref,0))),0))</f>
        <v/>
      </c>
      <c r="I126" s="39" t="str">
        <f>IF(A126="","",IF(E126="","Référence inconnue",IF(F126="","À compter",IF(G126&gt;0,"Saisir une entrée de "&amp;G126,IF(G126&lt;0,"Saisir une sortie de "&amp;-G126,"Conforme")))))</f>
        <v/>
      </c>
    </row>
    <row r="127">
      <c r="A127" s="37" t="n"/>
      <c r="B127" s="39" t="str">
        <f>IF(A127="","",IFERROR(INDEX(art_des,MATCH(A127,art_ref,0))&amp;"","Référence inconnue"))</f>
        <v/>
      </c>
      <c r="C127" s="39" t="str">
        <f>IF(A127="","",IFERROR(INDEX(art_unit,MATCH(A127,art_ref,0))&amp;"",""))</f>
        <v/>
      </c>
      <c r="D127" s="39" t="str">
        <f>IF(A127="","",IFERROR(INDEX(art_loc,MATCH(A127,art_ref,0))&amp;"",""))</f>
        <v/>
      </c>
      <c r="E127" s="39" t="str">
        <f>IF(A127="","",IFERROR(ROUND(N(INDEX(art_init,MATCH(A127,art_ref,0)))+SUMIFS(mv_qty,mv_ref,A127,mv_type,"Entrée",mv_date,"&lt;="&amp;$G$1)-SUMIFS(mv_qty,mv_ref,A127,mv_type,"Sortie",mv_date,"&lt;="&amp;$G$1),6),""))</f>
        <v/>
      </c>
      <c r="F127" s="37" t="n"/>
      <c r="G127" s="39" t="str">
        <f>IF(OR(A127="",F127="",E127=""),"",ROUND(F127-E127,6))</f>
        <v/>
      </c>
      <c r="H127" s="40" t="str">
        <f>IF(G127="","",G127*IFERROR(N(INDEX(art_price,MATCH(A127,art_ref,0))),0))</f>
        <v/>
      </c>
      <c r="I127" s="39" t="str">
        <f>IF(A127="","",IF(E127="","Référence inconnue",IF(F127="","À compter",IF(G127&gt;0,"Saisir une entrée de "&amp;G127,IF(G127&lt;0,"Saisir une sortie de "&amp;-G127,"Conforme")))))</f>
        <v/>
      </c>
    </row>
    <row r="128">
      <c r="A128" s="37" t="n"/>
      <c r="B128" s="39" t="str">
        <f>IF(A128="","",IFERROR(INDEX(art_des,MATCH(A128,art_ref,0))&amp;"","Référence inconnue"))</f>
        <v/>
      </c>
      <c r="C128" s="39" t="str">
        <f>IF(A128="","",IFERROR(INDEX(art_unit,MATCH(A128,art_ref,0))&amp;"",""))</f>
        <v/>
      </c>
      <c r="D128" s="39" t="str">
        <f>IF(A128="","",IFERROR(INDEX(art_loc,MATCH(A128,art_ref,0))&amp;"",""))</f>
        <v/>
      </c>
      <c r="E128" s="39" t="str">
        <f>IF(A128="","",IFERROR(ROUND(N(INDEX(art_init,MATCH(A128,art_ref,0)))+SUMIFS(mv_qty,mv_ref,A128,mv_type,"Entrée",mv_date,"&lt;="&amp;$G$1)-SUMIFS(mv_qty,mv_ref,A128,mv_type,"Sortie",mv_date,"&lt;="&amp;$G$1),6),""))</f>
        <v/>
      </c>
      <c r="F128" s="37" t="n"/>
      <c r="G128" s="39" t="str">
        <f>IF(OR(A128="",F128="",E128=""),"",ROUND(F128-E128,6))</f>
        <v/>
      </c>
      <c r="H128" s="40" t="str">
        <f>IF(G128="","",G128*IFERROR(N(INDEX(art_price,MATCH(A128,art_ref,0))),0))</f>
        <v/>
      </c>
      <c r="I128" s="39" t="str">
        <f>IF(A128="","",IF(E128="","Référence inconnue",IF(F128="","À compter",IF(G128&gt;0,"Saisir une entrée de "&amp;G128,IF(G128&lt;0,"Saisir une sortie de "&amp;-G128,"Conforme")))))</f>
        <v/>
      </c>
    </row>
    <row r="129">
      <c r="A129" s="37" t="n"/>
      <c r="B129" s="39" t="str">
        <f>IF(A129="","",IFERROR(INDEX(art_des,MATCH(A129,art_ref,0))&amp;"","Référence inconnue"))</f>
        <v/>
      </c>
      <c r="C129" s="39" t="str">
        <f>IF(A129="","",IFERROR(INDEX(art_unit,MATCH(A129,art_ref,0))&amp;"",""))</f>
        <v/>
      </c>
      <c r="D129" s="39" t="str">
        <f>IF(A129="","",IFERROR(INDEX(art_loc,MATCH(A129,art_ref,0))&amp;"",""))</f>
        <v/>
      </c>
      <c r="E129" s="39" t="str">
        <f>IF(A129="","",IFERROR(ROUND(N(INDEX(art_init,MATCH(A129,art_ref,0)))+SUMIFS(mv_qty,mv_ref,A129,mv_type,"Entrée",mv_date,"&lt;="&amp;$G$1)-SUMIFS(mv_qty,mv_ref,A129,mv_type,"Sortie",mv_date,"&lt;="&amp;$G$1),6),""))</f>
        <v/>
      </c>
      <c r="F129" s="37" t="n"/>
      <c r="G129" s="39" t="str">
        <f>IF(OR(A129="",F129="",E129=""),"",ROUND(F129-E129,6))</f>
        <v/>
      </c>
      <c r="H129" s="40" t="str">
        <f>IF(G129="","",G129*IFERROR(N(INDEX(art_price,MATCH(A129,art_ref,0))),0))</f>
        <v/>
      </c>
      <c r="I129" s="39" t="str">
        <f>IF(A129="","",IF(E129="","Référence inconnue",IF(F129="","À compter",IF(G129&gt;0,"Saisir une entrée de "&amp;G129,IF(G129&lt;0,"Saisir une sortie de "&amp;-G129,"Conforme")))))</f>
        <v/>
      </c>
    </row>
    <row r="130">
      <c r="A130" s="37" t="n"/>
      <c r="B130" s="39" t="str">
        <f>IF(A130="","",IFERROR(INDEX(art_des,MATCH(A130,art_ref,0))&amp;"","Référence inconnue"))</f>
        <v/>
      </c>
      <c r="C130" s="39" t="str">
        <f>IF(A130="","",IFERROR(INDEX(art_unit,MATCH(A130,art_ref,0))&amp;"",""))</f>
        <v/>
      </c>
      <c r="D130" s="39" t="str">
        <f>IF(A130="","",IFERROR(INDEX(art_loc,MATCH(A130,art_ref,0))&amp;"",""))</f>
        <v/>
      </c>
      <c r="E130" s="39" t="str">
        <f>IF(A130="","",IFERROR(ROUND(N(INDEX(art_init,MATCH(A130,art_ref,0)))+SUMIFS(mv_qty,mv_ref,A130,mv_type,"Entrée",mv_date,"&lt;="&amp;$G$1)-SUMIFS(mv_qty,mv_ref,A130,mv_type,"Sortie",mv_date,"&lt;="&amp;$G$1),6),""))</f>
        <v/>
      </c>
      <c r="F130" s="37" t="n"/>
      <c r="G130" s="39" t="str">
        <f>IF(OR(A130="",F130="",E130=""),"",ROUND(F130-E130,6))</f>
        <v/>
      </c>
      <c r="H130" s="40" t="str">
        <f>IF(G130="","",G130*IFERROR(N(INDEX(art_price,MATCH(A130,art_ref,0))),0))</f>
        <v/>
      </c>
      <c r="I130" s="39" t="str">
        <f>IF(A130="","",IF(E130="","Référence inconnue",IF(F130="","À compter",IF(G130&gt;0,"Saisir une entrée de "&amp;G130,IF(G130&lt;0,"Saisir une sortie de "&amp;-G130,"Conforme")))))</f>
        <v/>
      </c>
    </row>
    <row r="131">
      <c r="A131" s="37" t="n"/>
      <c r="B131" s="39" t="str">
        <f>IF(A131="","",IFERROR(INDEX(art_des,MATCH(A131,art_ref,0))&amp;"","Référence inconnue"))</f>
        <v/>
      </c>
      <c r="C131" s="39" t="str">
        <f>IF(A131="","",IFERROR(INDEX(art_unit,MATCH(A131,art_ref,0))&amp;"",""))</f>
        <v/>
      </c>
      <c r="D131" s="39" t="str">
        <f>IF(A131="","",IFERROR(INDEX(art_loc,MATCH(A131,art_ref,0))&amp;"",""))</f>
        <v/>
      </c>
      <c r="E131" s="39" t="str">
        <f>IF(A131="","",IFERROR(ROUND(N(INDEX(art_init,MATCH(A131,art_ref,0)))+SUMIFS(mv_qty,mv_ref,A131,mv_type,"Entrée",mv_date,"&lt;="&amp;$G$1)-SUMIFS(mv_qty,mv_ref,A131,mv_type,"Sortie",mv_date,"&lt;="&amp;$G$1),6),""))</f>
        <v/>
      </c>
      <c r="F131" s="37" t="n"/>
      <c r="G131" s="39" t="str">
        <f>IF(OR(A131="",F131="",E131=""),"",ROUND(F131-E131,6))</f>
        <v/>
      </c>
      <c r="H131" s="40" t="str">
        <f>IF(G131="","",G131*IFERROR(N(INDEX(art_price,MATCH(A131,art_ref,0))),0))</f>
        <v/>
      </c>
      <c r="I131" s="39" t="str">
        <f>IF(A131="","",IF(E131="","Référence inconnue",IF(F131="","À compter",IF(G131&gt;0,"Saisir une entrée de "&amp;G131,IF(G131&lt;0,"Saisir une sortie de "&amp;-G131,"Conforme")))))</f>
        <v/>
      </c>
    </row>
    <row r="132">
      <c r="A132" s="37" t="n"/>
      <c r="B132" s="39" t="str">
        <f>IF(A132="","",IFERROR(INDEX(art_des,MATCH(A132,art_ref,0))&amp;"","Référence inconnue"))</f>
        <v/>
      </c>
      <c r="C132" s="39" t="str">
        <f>IF(A132="","",IFERROR(INDEX(art_unit,MATCH(A132,art_ref,0))&amp;"",""))</f>
        <v/>
      </c>
      <c r="D132" s="39" t="str">
        <f>IF(A132="","",IFERROR(INDEX(art_loc,MATCH(A132,art_ref,0))&amp;"",""))</f>
        <v/>
      </c>
      <c r="E132" s="39" t="str">
        <f>IF(A132="","",IFERROR(ROUND(N(INDEX(art_init,MATCH(A132,art_ref,0)))+SUMIFS(mv_qty,mv_ref,A132,mv_type,"Entrée",mv_date,"&lt;="&amp;$G$1)-SUMIFS(mv_qty,mv_ref,A132,mv_type,"Sortie",mv_date,"&lt;="&amp;$G$1),6),""))</f>
        <v/>
      </c>
      <c r="F132" s="37" t="n"/>
      <c r="G132" s="39" t="str">
        <f>IF(OR(A132="",F132="",E132=""),"",ROUND(F132-E132,6))</f>
        <v/>
      </c>
      <c r="H132" s="40" t="str">
        <f>IF(G132="","",G132*IFERROR(N(INDEX(art_price,MATCH(A132,art_ref,0))),0))</f>
        <v/>
      </c>
      <c r="I132" s="39" t="str">
        <f>IF(A132="","",IF(E132="","Référence inconnue",IF(F132="","À compter",IF(G132&gt;0,"Saisir une entrée de "&amp;G132,IF(G132&lt;0,"Saisir une sortie de "&amp;-G132,"Conforme")))))</f>
        <v/>
      </c>
    </row>
    <row r="133">
      <c r="A133" s="37" t="n"/>
      <c r="B133" s="39" t="str">
        <f>IF(A133="","",IFERROR(INDEX(art_des,MATCH(A133,art_ref,0))&amp;"","Référence inconnue"))</f>
        <v/>
      </c>
      <c r="C133" s="39" t="str">
        <f>IF(A133="","",IFERROR(INDEX(art_unit,MATCH(A133,art_ref,0))&amp;"",""))</f>
        <v/>
      </c>
      <c r="D133" s="39" t="str">
        <f>IF(A133="","",IFERROR(INDEX(art_loc,MATCH(A133,art_ref,0))&amp;"",""))</f>
        <v/>
      </c>
      <c r="E133" s="39" t="str">
        <f>IF(A133="","",IFERROR(ROUND(N(INDEX(art_init,MATCH(A133,art_ref,0)))+SUMIFS(mv_qty,mv_ref,A133,mv_type,"Entrée",mv_date,"&lt;="&amp;$G$1)-SUMIFS(mv_qty,mv_ref,A133,mv_type,"Sortie",mv_date,"&lt;="&amp;$G$1),6),""))</f>
        <v/>
      </c>
      <c r="F133" s="37" t="n"/>
      <c r="G133" s="39" t="str">
        <f>IF(OR(A133="",F133="",E133=""),"",ROUND(F133-E133,6))</f>
        <v/>
      </c>
      <c r="H133" s="40" t="str">
        <f>IF(G133="","",G133*IFERROR(N(INDEX(art_price,MATCH(A133,art_ref,0))),0))</f>
        <v/>
      </c>
      <c r="I133" s="39" t="str">
        <f>IF(A133="","",IF(E133="","Référence inconnue",IF(F133="","À compter",IF(G133&gt;0,"Saisir une entrée de "&amp;G133,IF(G133&lt;0,"Saisir une sortie de "&amp;-G133,"Conforme")))))</f>
        <v/>
      </c>
    </row>
    <row r="134">
      <c r="A134" s="37" t="n"/>
      <c r="B134" s="39" t="str">
        <f>IF(A134="","",IFERROR(INDEX(art_des,MATCH(A134,art_ref,0))&amp;"","Référence inconnue"))</f>
        <v/>
      </c>
      <c r="C134" s="39" t="str">
        <f>IF(A134="","",IFERROR(INDEX(art_unit,MATCH(A134,art_ref,0))&amp;"",""))</f>
        <v/>
      </c>
      <c r="D134" s="39" t="str">
        <f>IF(A134="","",IFERROR(INDEX(art_loc,MATCH(A134,art_ref,0))&amp;"",""))</f>
        <v/>
      </c>
      <c r="E134" s="39" t="str">
        <f>IF(A134="","",IFERROR(ROUND(N(INDEX(art_init,MATCH(A134,art_ref,0)))+SUMIFS(mv_qty,mv_ref,A134,mv_type,"Entrée",mv_date,"&lt;="&amp;$G$1)-SUMIFS(mv_qty,mv_ref,A134,mv_type,"Sortie",mv_date,"&lt;="&amp;$G$1),6),""))</f>
        <v/>
      </c>
      <c r="F134" s="37" t="n"/>
      <c r="G134" s="39" t="str">
        <f>IF(OR(A134="",F134="",E134=""),"",ROUND(F134-E134,6))</f>
        <v/>
      </c>
      <c r="H134" s="40" t="str">
        <f>IF(G134="","",G134*IFERROR(N(INDEX(art_price,MATCH(A134,art_ref,0))),0))</f>
        <v/>
      </c>
      <c r="I134" s="39" t="str">
        <f>IF(A134="","",IF(E134="","Référence inconnue",IF(F134="","À compter",IF(G134&gt;0,"Saisir une entrée de "&amp;G134,IF(G134&lt;0,"Saisir une sortie de "&amp;-G134,"Conforme")))))</f>
        <v/>
      </c>
    </row>
    <row r="135">
      <c r="A135" s="37" t="n"/>
      <c r="B135" s="39" t="str">
        <f>IF(A135="","",IFERROR(INDEX(art_des,MATCH(A135,art_ref,0))&amp;"","Référence inconnue"))</f>
        <v/>
      </c>
      <c r="C135" s="39" t="str">
        <f>IF(A135="","",IFERROR(INDEX(art_unit,MATCH(A135,art_ref,0))&amp;"",""))</f>
        <v/>
      </c>
      <c r="D135" s="39" t="str">
        <f>IF(A135="","",IFERROR(INDEX(art_loc,MATCH(A135,art_ref,0))&amp;"",""))</f>
        <v/>
      </c>
      <c r="E135" s="39" t="str">
        <f>IF(A135="","",IFERROR(ROUND(N(INDEX(art_init,MATCH(A135,art_ref,0)))+SUMIFS(mv_qty,mv_ref,A135,mv_type,"Entrée",mv_date,"&lt;="&amp;$G$1)-SUMIFS(mv_qty,mv_ref,A135,mv_type,"Sortie",mv_date,"&lt;="&amp;$G$1),6),""))</f>
        <v/>
      </c>
      <c r="F135" s="37" t="n"/>
      <c r="G135" s="39" t="str">
        <f>IF(OR(A135="",F135="",E135=""),"",ROUND(F135-E135,6))</f>
        <v/>
      </c>
      <c r="H135" s="40" t="str">
        <f>IF(G135="","",G135*IFERROR(N(INDEX(art_price,MATCH(A135,art_ref,0))),0))</f>
        <v/>
      </c>
      <c r="I135" s="39" t="str">
        <f>IF(A135="","",IF(E135="","Référence inconnue",IF(F135="","À compter",IF(G135&gt;0,"Saisir une entrée de "&amp;G135,IF(G135&lt;0,"Saisir une sortie de "&amp;-G135,"Conforme")))))</f>
        <v/>
      </c>
    </row>
    <row r="136">
      <c r="A136" s="37" t="n"/>
      <c r="B136" s="39" t="str">
        <f>IF(A136="","",IFERROR(INDEX(art_des,MATCH(A136,art_ref,0))&amp;"","Référence inconnue"))</f>
        <v/>
      </c>
      <c r="C136" s="39" t="str">
        <f>IF(A136="","",IFERROR(INDEX(art_unit,MATCH(A136,art_ref,0))&amp;"",""))</f>
        <v/>
      </c>
      <c r="D136" s="39" t="str">
        <f>IF(A136="","",IFERROR(INDEX(art_loc,MATCH(A136,art_ref,0))&amp;"",""))</f>
        <v/>
      </c>
      <c r="E136" s="39" t="str">
        <f>IF(A136="","",IFERROR(ROUND(N(INDEX(art_init,MATCH(A136,art_ref,0)))+SUMIFS(mv_qty,mv_ref,A136,mv_type,"Entrée",mv_date,"&lt;="&amp;$G$1)-SUMIFS(mv_qty,mv_ref,A136,mv_type,"Sortie",mv_date,"&lt;="&amp;$G$1),6),""))</f>
        <v/>
      </c>
      <c r="F136" s="37" t="n"/>
      <c r="G136" s="39" t="str">
        <f>IF(OR(A136="",F136="",E136=""),"",ROUND(F136-E136,6))</f>
        <v/>
      </c>
      <c r="H136" s="40" t="str">
        <f>IF(G136="","",G136*IFERROR(N(INDEX(art_price,MATCH(A136,art_ref,0))),0))</f>
        <v/>
      </c>
      <c r="I136" s="39" t="str">
        <f>IF(A136="","",IF(E136="","Référence inconnue",IF(F136="","À compter",IF(G136&gt;0,"Saisir une entrée de "&amp;G136,IF(G136&lt;0,"Saisir une sortie de "&amp;-G136,"Conforme")))))</f>
        <v/>
      </c>
    </row>
    <row r="137">
      <c r="A137" s="37" t="n"/>
      <c r="B137" s="39" t="str">
        <f>IF(A137="","",IFERROR(INDEX(art_des,MATCH(A137,art_ref,0))&amp;"","Référence inconnue"))</f>
        <v/>
      </c>
      <c r="C137" s="39" t="str">
        <f>IF(A137="","",IFERROR(INDEX(art_unit,MATCH(A137,art_ref,0))&amp;"",""))</f>
        <v/>
      </c>
      <c r="D137" s="39" t="str">
        <f>IF(A137="","",IFERROR(INDEX(art_loc,MATCH(A137,art_ref,0))&amp;"",""))</f>
        <v/>
      </c>
      <c r="E137" s="39" t="str">
        <f>IF(A137="","",IFERROR(ROUND(N(INDEX(art_init,MATCH(A137,art_ref,0)))+SUMIFS(mv_qty,mv_ref,A137,mv_type,"Entrée",mv_date,"&lt;="&amp;$G$1)-SUMIFS(mv_qty,mv_ref,A137,mv_type,"Sortie",mv_date,"&lt;="&amp;$G$1),6),""))</f>
        <v/>
      </c>
      <c r="F137" s="37" t="n"/>
      <c r="G137" s="39" t="str">
        <f>IF(OR(A137="",F137="",E137=""),"",ROUND(F137-E137,6))</f>
        <v/>
      </c>
      <c r="H137" s="40" t="str">
        <f>IF(G137="","",G137*IFERROR(N(INDEX(art_price,MATCH(A137,art_ref,0))),0))</f>
        <v/>
      </c>
      <c r="I137" s="39" t="str">
        <f>IF(A137="","",IF(E137="","Référence inconnue",IF(F137="","À compter",IF(G137&gt;0,"Saisir une entrée de "&amp;G137,IF(G137&lt;0,"Saisir une sortie de "&amp;-G137,"Conforme")))))</f>
        <v/>
      </c>
    </row>
    <row r="138">
      <c r="A138" s="37" t="n"/>
      <c r="B138" s="39" t="str">
        <f>IF(A138="","",IFERROR(INDEX(art_des,MATCH(A138,art_ref,0))&amp;"","Référence inconnue"))</f>
        <v/>
      </c>
      <c r="C138" s="39" t="str">
        <f>IF(A138="","",IFERROR(INDEX(art_unit,MATCH(A138,art_ref,0))&amp;"",""))</f>
        <v/>
      </c>
      <c r="D138" s="39" t="str">
        <f>IF(A138="","",IFERROR(INDEX(art_loc,MATCH(A138,art_ref,0))&amp;"",""))</f>
        <v/>
      </c>
      <c r="E138" s="39" t="str">
        <f>IF(A138="","",IFERROR(ROUND(N(INDEX(art_init,MATCH(A138,art_ref,0)))+SUMIFS(mv_qty,mv_ref,A138,mv_type,"Entrée",mv_date,"&lt;="&amp;$G$1)-SUMIFS(mv_qty,mv_ref,A138,mv_type,"Sortie",mv_date,"&lt;="&amp;$G$1),6),""))</f>
        <v/>
      </c>
      <c r="F138" s="37" t="n"/>
      <c r="G138" s="39" t="str">
        <f>IF(OR(A138="",F138="",E138=""),"",ROUND(F138-E138,6))</f>
        <v/>
      </c>
      <c r="H138" s="40" t="str">
        <f>IF(G138="","",G138*IFERROR(N(INDEX(art_price,MATCH(A138,art_ref,0))),0))</f>
        <v/>
      </c>
      <c r="I138" s="39" t="str">
        <f>IF(A138="","",IF(E138="","Référence inconnue",IF(F138="","À compter",IF(G138&gt;0,"Saisir une entrée de "&amp;G138,IF(G138&lt;0,"Saisir une sortie de "&amp;-G138,"Conforme")))))</f>
        <v/>
      </c>
    </row>
    <row r="139">
      <c r="A139" s="37" t="n"/>
      <c r="B139" s="39" t="str">
        <f>IF(A139="","",IFERROR(INDEX(art_des,MATCH(A139,art_ref,0))&amp;"","Référence inconnue"))</f>
        <v/>
      </c>
      <c r="C139" s="39" t="str">
        <f>IF(A139="","",IFERROR(INDEX(art_unit,MATCH(A139,art_ref,0))&amp;"",""))</f>
        <v/>
      </c>
      <c r="D139" s="39" t="str">
        <f>IF(A139="","",IFERROR(INDEX(art_loc,MATCH(A139,art_ref,0))&amp;"",""))</f>
        <v/>
      </c>
      <c r="E139" s="39" t="str">
        <f>IF(A139="","",IFERROR(ROUND(N(INDEX(art_init,MATCH(A139,art_ref,0)))+SUMIFS(mv_qty,mv_ref,A139,mv_type,"Entrée",mv_date,"&lt;="&amp;$G$1)-SUMIFS(mv_qty,mv_ref,A139,mv_type,"Sortie",mv_date,"&lt;="&amp;$G$1),6),""))</f>
        <v/>
      </c>
      <c r="F139" s="37" t="n"/>
      <c r="G139" s="39" t="str">
        <f>IF(OR(A139="",F139="",E139=""),"",ROUND(F139-E139,6))</f>
        <v/>
      </c>
      <c r="H139" s="40" t="str">
        <f>IF(G139="","",G139*IFERROR(N(INDEX(art_price,MATCH(A139,art_ref,0))),0))</f>
        <v/>
      </c>
      <c r="I139" s="39" t="str">
        <f>IF(A139="","",IF(E139="","Référence inconnue",IF(F139="","À compter",IF(G139&gt;0,"Saisir une entrée de "&amp;G139,IF(G139&lt;0,"Saisir une sortie de "&amp;-G139,"Conforme")))))</f>
        <v/>
      </c>
    </row>
    <row r="140">
      <c r="A140" s="37" t="n"/>
      <c r="B140" s="39" t="str">
        <f>IF(A140="","",IFERROR(INDEX(art_des,MATCH(A140,art_ref,0))&amp;"","Référence inconnue"))</f>
        <v/>
      </c>
      <c r="C140" s="39" t="str">
        <f>IF(A140="","",IFERROR(INDEX(art_unit,MATCH(A140,art_ref,0))&amp;"",""))</f>
        <v/>
      </c>
      <c r="D140" s="39" t="str">
        <f>IF(A140="","",IFERROR(INDEX(art_loc,MATCH(A140,art_ref,0))&amp;"",""))</f>
        <v/>
      </c>
      <c r="E140" s="39" t="str">
        <f>IF(A140="","",IFERROR(ROUND(N(INDEX(art_init,MATCH(A140,art_ref,0)))+SUMIFS(mv_qty,mv_ref,A140,mv_type,"Entrée",mv_date,"&lt;="&amp;$G$1)-SUMIFS(mv_qty,mv_ref,A140,mv_type,"Sortie",mv_date,"&lt;="&amp;$G$1),6),""))</f>
        <v/>
      </c>
      <c r="F140" s="37" t="n"/>
      <c r="G140" s="39" t="str">
        <f>IF(OR(A140="",F140="",E140=""),"",ROUND(F140-E140,6))</f>
        <v/>
      </c>
      <c r="H140" s="40" t="str">
        <f>IF(G140="","",G140*IFERROR(N(INDEX(art_price,MATCH(A140,art_ref,0))),0))</f>
        <v/>
      </c>
      <c r="I140" s="39" t="str">
        <f>IF(A140="","",IF(E140="","Référence inconnue",IF(F140="","À compter",IF(G140&gt;0,"Saisir une entrée de "&amp;G140,IF(G140&lt;0,"Saisir une sortie de "&amp;-G140,"Conforme")))))</f>
        <v/>
      </c>
    </row>
    <row r="141">
      <c r="A141" s="37" t="n"/>
      <c r="B141" s="39" t="str">
        <f>IF(A141="","",IFERROR(INDEX(art_des,MATCH(A141,art_ref,0))&amp;"","Référence inconnue"))</f>
        <v/>
      </c>
      <c r="C141" s="39" t="str">
        <f>IF(A141="","",IFERROR(INDEX(art_unit,MATCH(A141,art_ref,0))&amp;"",""))</f>
        <v/>
      </c>
      <c r="D141" s="39" t="str">
        <f>IF(A141="","",IFERROR(INDEX(art_loc,MATCH(A141,art_ref,0))&amp;"",""))</f>
        <v/>
      </c>
      <c r="E141" s="39" t="str">
        <f>IF(A141="","",IFERROR(ROUND(N(INDEX(art_init,MATCH(A141,art_ref,0)))+SUMIFS(mv_qty,mv_ref,A141,mv_type,"Entrée",mv_date,"&lt;="&amp;$G$1)-SUMIFS(mv_qty,mv_ref,A141,mv_type,"Sortie",mv_date,"&lt;="&amp;$G$1),6),""))</f>
        <v/>
      </c>
      <c r="F141" s="37" t="n"/>
      <c r="G141" s="39" t="str">
        <f>IF(OR(A141="",F141="",E141=""),"",ROUND(F141-E141,6))</f>
        <v/>
      </c>
      <c r="H141" s="40" t="str">
        <f>IF(G141="","",G141*IFERROR(N(INDEX(art_price,MATCH(A141,art_ref,0))),0))</f>
        <v/>
      </c>
      <c r="I141" s="39" t="str">
        <f>IF(A141="","",IF(E141="","Référence inconnue",IF(F141="","À compter",IF(G141&gt;0,"Saisir une entrée de "&amp;G141,IF(G141&lt;0,"Saisir une sortie de "&amp;-G141,"Conforme")))))</f>
        <v/>
      </c>
    </row>
    <row r="142">
      <c r="A142" s="37" t="n"/>
      <c r="B142" s="39" t="str">
        <f>IF(A142="","",IFERROR(INDEX(art_des,MATCH(A142,art_ref,0))&amp;"","Référence inconnue"))</f>
        <v/>
      </c>
      <c r="C142" s="39" t="str">
        <f>IF(A142="","",IFERROR(INDEX(art_unit,MATCH(A142,art_ref,0))&amp;"",""))</f>
        <v/>
      </c>
      <c r="D142" s="39" t="str">
        <f>IF(A142="","",IFERROR(INDEX(art_loc,MATCH(A142,art_ref,0))&amp;"",""))</f>
        <v/>
      </c>
      <c r="E142" s="39" t="str">
        <f>IF(A142="","",IFERROR(ROUND(N(INDEX(art_init,MATCH(A142,art_ref,0)))+SUMIFS(mv_qty,mv_ref,A142,mv_type,"Entrée",mv_date,"&lt;="&amp;$G$1)-SUMIFS(mv_qty,mv_ref,A142,mv_type,"Sortie",mv_date,"&lt;="&amp;$G$1),6),""))</f>
        <v/>
      </c>
      <c r="F142" s="37" t="n"/>
      <c r="G142" s="39" t="str">
        <f>IF(OR(A142="",F142="",E142=""),"",ROUND(F142-E142,6))</f>
        <v/>
      </c>
      <c r="H142" s="40" t="str">
        <f>IF(G142="","",G142*IFERROR(N(INDEX(art_price,MATCH(A142,art_ref,0))),0))</f>
        <v/>
      </c>
      <c r="I142" s="39" t="str">
        <f>IF(A142="","",IF(E142="","Référence inconnue",IF(F142="","À compter",IF(G142&gt;0,"Saisir une entrée de "&amp;G142,IF(G142&lt;0,"Saisir une sortie de "&amp;-G142,"Conforme")))))</f>
        <v/>
      </c>
    </row>
    <row r="143">
      <c r="A143" s="37" t="n"/>
      <c r="B143" s="39" t="str">
        <f>IF(A143="","",IFERROR(INDEX(art_des,MATCH(A143,art_ref,0))&amp;"","Référence inconnue"))</f>
        <v/>
      </c>
      <c r="C143" s="39" t="str">
        <f>IF(A143="","",IFERROR(INDEX(art_unit,MATCH(A143,art_ref,0))&amp;"",""))</f>
        <v/>
      </c>
      <c r="D143" s="39" t="str">
        <f>IF(A143="","",IFERROR(INDEX(art_loc,MATCH(A143,art_ref,0))&amp;"",""))</f>
        <v/>
      </c>
      <c r="E143" s="39" t="str">
        <f>IF(A143="","",IFERROR(ROUND(N(INDEX(art_init,MATCH(A143,art_ref,0)))+SUMIFS(mv_qty,mv_ref,A143,mv_type,"Entrée",mv_date,"&lt;="&amp;$G$1)-SUMIFS(mv_qty,mv_ref,A143,mv_type,"Sortie",mv_date,"&lt;="&amp;$G$1),6),""))</f>
        <v/>
      </c>
      <c r="F143" s="37" t="n"/>
      <c r="G143" s="39" t="str">
        <f>IF(OR(A143="",F143="",E143=""),"",ROUND(F143-E143,6))</f>
        <v/>
      </c>
      <c r="H143" s="40" t="str">
        <f>IF(G143="","",G143*IFERROR(N(INDEX(art_price,MATCH(A143,art_ref,0))),0))</f>
        <v/>
      </c>
      <c r="I143" s="39" t="str">
        <f>IF(A143="","",IF(E143="","Référence inconnue",IF(F143="","À compter",IF(G143&gt;0,"Saisir une entrée de "&amp;G143,IF(G143&lt;0,"Saisir une sortie de "&amp;-G143,"Conforme")))))</f>
        <v/>
      </c>
    </row>
    <row r="144">
      <c r="A144" s="37" t="n"/>
      <c r="B144" s="39" t="str">
        <f>IF(A144="","",IFERROR(INDEX(art_des,MATCH(A144,art_ref,0))&amp;"","Référence inconnue"))</f>
        <v/>
      </c>
      <c r="C144" s="39" t="str">
        <f>IF(A144="","",IFERROR(INDEX(art_unit,MATCH(A144,art_ref,0))&amp;"",""))</f>
        <v/>
      </c>
      <c r="D144" s="39" t="str">
        <f>IF(A144="","",IFERROR(INDEX(art_loc,MATCH(A144,art_ref,0))&amp;"",""))</f>
        <v/>
      </c>
      <c r="E144" s="39" t="str">
        <f>IF(A144="","",IFERROR(ROUND(N(INDEX(art_init,MATCH(A144,art_ref,0)))+SUMIFS(mv_qty,mv_ref,A144,mv_type,"Entrée",mv_date,"&lt;="&amp;$G$1)-SUMIFS(mv_qty,mv_ref,A144,mv_type,"Sortie",mv_date,"&lt;="&amp;$G$1),6),""))</f>
        <v/>
      </c>
      <c r="F144" s="37" t="n"/>
      <c r="G144" s="39" t="str">
        <f>IF(OR(A144="",F144="",E144=""),"",ROUND(F144-E144,6))</f>
        <v/>
      </c>
      <c r="H144" s="40" t="str">
        <f>IF(G144="","",G144*IFERROR(N(INDEX(art_price,MATCH(A144,art_ref,0))),0))</f>
        <v/>
      </c>
      <c r="I144" s="39" t="str">
        <f>IF(A144="","",IF(E144="","Référence inconnue",IF(F144="","À compter",IF(G144&gt;0,"Saisir une entrée de "&amp;G144,IF(G144&lt;0,"Saisir une sortie de "&amp;-G144,"Conforme")))))</f>
        <v/>
      </c>
    </row>
    <row r="145">
      <c r="A145" s="37" t="n"/>
      <c r="B145" s="39" t="str">
        <f>IF(A145="","",IFERROR(INDEX(art_des,MATCH(A145,art_ref,0))&amp;"","Référence inconnue"))</f>
        <v/>
      </c>
      <c r="C145" s="39" t="str">
        <f>IF(A145="","",IFERROR(INDEX(art_unit,MATCH(A145,art_ref,0))&amp;"",""))</f>
        <v/>
      </c>
      <c r="D145" s="39" t="str">
        <f>IF(A145="","",IFERROR(INDEX(art_loc,MATCH(A145,art_ref,0))&amp;"",""))</f>
        <v/>
      </c>
      <c r="E145" s="39" t="str">
        <f>IF(A145="","",IFERROR(ROUND(N(INDEX(art_init,MATCH(A145,art_ref,0)))+SUMIFS(mv_qty,mv_ref,A145,mv_type,"Entrée",mv_date,"&lt;="&amp;$G$1)-SUMIFS(mv_qty,mv_ref,A145,mv_type,"Sortie",mv_date,"&lt;="&amp;$G$1),6),""))</f>
        <v/>
      </c>
      <c r="F145" s="37" t="n"/>
      <c r="G145" s="39" t="str">
        <f>IF(OR(A145="",F145="",E145=""),"",ROUND(F145-E145,6))</f>
        <v/>
      </c>
      <c r="H145" s="40" t="str">
        <f>IF(G145="","",G145*IFERROR(N(INDEX(art_price,MATCH(A145,art_ref,0))),0))</f>
        <v/>
      </c>
      <c r="I145" s="39" t="str">
        <f>IF(A145="","",IF(E145="","Référence inconnue",IF(F145="","À compter",IF(G145&gt;0,"Saisir une entrée de "&amp;G145,IF(G145&lt;0,"Saisir une sortie de "&amp;-G145,"Conforme")))))</f>
        <v/>
      </c>
    </row>
    <row r="146">
      <c r="A146" s="37" t="n"/>
      <c r="B146" s="39" t="str">
        <f>IF(A146="","",IFERROR(INDEX(art_des,MATCH(A146,art_ref,0))&amp;"","Référence inconnue"))</f>
        <v/>
      </c>
      <c r="C146" s="39" t="str">
        <f>IF(A146="","",IFERROR(INDEX(art_unit,MATCH(A146,art_ref,0))&amp;"",""))</f>
        <v/>
      </c>
      <c r="D146" s="39" t="str">
        <f>IF(A146="","",IFERROR(INDEX(art_loc,MATCH(A146,art_ref,0))&amp;"",""))</f>
        <v/>
      </c>
      <c r="E146" s="39" t="str">
        <f>IF(A146="","",IFERROR(ROUND(N(INDEX(art_init,MATCH(A146,art_ref,0)))+SUMIFS(mv_qty,mv_ref,A146,mv_type,"Entrée",mv_date,"&lt;="&amp;$G$1)-SUMIFS(mv_qty,mv_ref,A146,mv_type,"Sortie",mv_date,"&lt;="&amp;$G$1),6),""))</f>
        <v/>
      </c>
      <c r="F146" s="37" t="n"/>
      <c r="G146" s="39" t="str">
        <f>IF(OR(A146="",F146="",E146=""),"",ROUND(F146-E146,6))</f>
        <v/>
      </c>
      <c r="H146" s="40" t="str">
        <f>IF(G146="","",G146*IFERROR(N(INDEX(art_price,MATCH(A146,art_ref,0))),0))</f>
        <v/>
      </c>
      <c r="I146" s="39" t="str">
        <f>IF(A146="","",IF(E146="","Référence inconnue",IF(F146="","À compter",IF(G146&gt;0,"Saisir une entrée de "&amp;G146,IF(G146&lt;0,"Saisir une sortie de "&amp;-G146,"Conforme")))))</f>
        <v/>
      </c>
    </row>
    <row r="147">
      <c r="A147" s="37" t="n"/>
      <c r="B147" s="39" t="str">
        <f>IF(A147="","",IFERROR(INDEX(art_des,MATCH(A147,art_ref,0))&amp;"","Référence inconnue"))</f>
        <v/>
      </c>
      <c r="C147" s="39" t="str">
        <f>IF(A147="","",IFERROR(INDEX(art_unit,MATCH(A147,art_ref,0))&amp;"",""))</f>
        <v/>
      </c>
      <c r="D147" s="39" t="str">
        <f>IF(A147="","",IFERROR(INDEX(art_loc,MATCH(A147,art_ref,0))&amp;"",""))</f>
        <v/>
      </c>
      <c r="E147" s="39" t="str">
        <f>IF(A147="","",IFERROR(ROUND(N(INDEX(art_init,MATCH(A147,art_ref,0)))+SUMIFS(mv_qty,mv_ref,A147,mv_type,"Entrée",mv_date,"&lt;="&amp;$G$1)-SUMIFS(mv_qty,mv_ref,A147,mv_type,"Sortie",mv_date,"&lt;="&amp;$G$1),6),""))</f>
        <v/>
      </c>
      <c r="F147" s="37" t="n"/>
      <c r="G147" s="39" t="str">
        <f>IF(OR(A147="",F147="",E147=""),"",ROUND(F147-E147,6))</f>
        <v/>
      </c>
      <c r="H147" s="40" t="str">
        <f>IF(G147="","",G147*IFERROR(N(INDEX(art_price,MATCH(A147,art_ref,0))),0))</f>
        <v/>
      </c>
      <c r="I147" s="39" t="str">
        <f>IF(A147="","",IF(E147="","Référence inconnue",IF(F147="","À compter",IF(G147&gt;0,"Saisir une entrée de "&amp;G147,IF(G147&lt;0,"Saisir une sortie de "&amp;-G147,"Conforme")))))</f>
        <v/>
      </c>
    </row>
    <row r="148">
      <c r="A148" s="37" t="n"/>
      <c r="B148" s="39" t="str">
        <f>IF(A148="","",IFERROR(INDEX(art_des,MATCH(A148,art_ref,0))&amp;"","Référence inconnue"))</f>
        <v/>
      </c>
      <c r="C148" s="39" t="str">
        <f>IF(A148="","",IFERROR(INDEX(art_unit,MATCH(A148,art_ref,0))&amp;"",""))</f>
        <v/>
      </c>
      <c r="D148" s="39" t="str">
        <f>IF(A148="","",IFERROR(INDEX(art_loc,MATCH(A148,art_ref,0))&amp;"",""))</f>
        <v/>
      </c>
      <c r="E148" s="39" t="str">
        <f>IF(A148="","",IFERROR(ROUND(N(INDEX(art_init,MATCH(A148,art_ref,0)))+SUMIFS(mv_qty,mv_ref,A148,mv_type,"Entrée",mv_date,"&lt;="&amp;$G$1)-SUMIFS(mv_qty,mv_ref,A148,mv_type,"Sortie",mv_date,"&lt;="&amp;$G$1),6),""))</f>
        <v/>
      </c>
      <c r="F148" s="37" t="n"/>
      <c r="G148" s="39" t="str">
        <f>IF(OR(A148="",F148="",E148=""),"",ROUND(F148-E148,6))</f>
        <v/>
      </c>
      <c r="H148" s="40" t="str">
        <f>IF(G148="","",G148*IFERROR(N(INDEX(art_price,MATCH(A148,art_ref,0))),0))</f>
        <v/>
      </c>
      <c r="I148" s="39" t="str">
        <f>IF(A148="","",IF(E148="","Référence inconnue",IF(F148="","À compter",IF(G148&gt;0,"Saisir une entrée de "&amp;G148,IF(G148&lt;0,"Saisir une sortie de "&amp;-G148,"Conforme")))))</f>
        <v/>
      </c>
    </row>
    <row r="149">
      <c r="A149" s="37" t="n"/>
      <c r="B149" s="39" t="str">
        <f>IF(A149="","",IFERROR(INDEX(art_des,MATCH(A149,art_ref,0))&amp;"","Référence inconnue"))</f>
        <v/>
      </c>
      <c r="C149" s="39" t="str">
        <f>IF(A149="","",IFERROR(INDEX(art_unit,MATCH(A149,art_ref,0))&amp;"",""))</f>
        <v/>
      </c>
      <c r="D149" s="39" t="str">
        <f>IF(A149="","",IFERROR(INDEX(art_loc,MATCH(A149,art_ref,0))&amp;"",""))</f>
        <v/>
      </c>
      <c r="E149" s="39" t="str">
        <f>IF(A149="","",IFERROR(ROUND(N(INDEX(art_init,MATCH(A149,art_ref,0)))+SUMIFS(mv_qty,mv_ref,A149,mv_type,"Entrée",mv_date,"&lt;="&amp;$G$1)-SUMIFS(mv_qty,mv_ref,A149,mv_type,"Sortie",mv_date,"&lt;="&amp;$G$1),6),""))</f>
        <v/>
      </c>
      <c r="F149" s="37" t="n"/>
      <c r="G149" s="39" t="str">
        <f>IF(OR(A149="",F149="",E149=""),"",ROUND(F149-E149,6))</f>
        <v/>
      </c>
      <c r="H149" s="40" t="str">
        <f>IF(G149="","",G149*IFERROR(N(INDEX(art_price,MATCH(A149,art_ref,0))),0))</f>
        <v/>
      </c>
      <c r="I149" s="39" t="str">
        <f>IF(A149="","",IF(E149="","Référence inconnue",IF(F149="","À compter",IF(G149&gt;0,"Saisir une entrée de "&amp;G149,IF(G149&lt;0,"Saisir une sortie de "&amp;-G149,"Conforme")))))</f>
        <v/>
      </c>
    </row>
    <row r="150">
      <c r="A150" s="37" t="n"/>
      <c r="B150" s="39" t="str">
        <f>IF(A150="","",IFERROR(INDEX(art_des,MATCH(A150,art_ref,0))&amp;"","Référence inconnue"))</f>
        <v/>
      </c>
      <c r="C150" s="39" t="str">
        <f>IF(A150="","",IFERROR(INDEX(art_unit,MATCH(A150,art_ref,0))&amp;"",""))</f>
        <v/>
      </c>
      <c r="D150" s="39" t="str">
        <f>IF(A150="","",IFERROR(INDEX(art_loc,MATCH(A150,art_ref,0))&amp;"",""))</f>
        <v/>
      </c>
      <c r="E150" s="39" t="str">
        <f>IF(A150="","",IFERROR(ROUND(N(INDEX(art_init,MATCH(A150,art_ref,0)))+SUMIFS(mv_qty,mv_ref,A150,mv_type,"Entrée",mv_date,"&lt;="&amp;$G$1)-SUMIFS(mv_qty,mv_ref,A150,mv_type,"Sortie",mv_date,"&lt;="&amp;$G$1),6),""))</f>
        <v/>
      </c>
      <c r="F150" s="37" t="n"/>
      <c r="G150" s="39" t="str">
        <f>IF(OR(A150="",F150="",E150=""),"",ROUND(F150-E150,6))</f>
        <v/>
      </c>
      <c r="H150" s="40" t="str">
        <f>IF(G150="","",G150*IFERROR(N(INDEX(art_price,MATCH(A150,art_ref,0))),0))</f>
        <v/>
      </c>
      <c r="I150" s="39" t="str">
        <f>IF(A150="","",IF(E150="","Référence inconnue",IF(F150="","À compter",IF(G150&gt;0,"Saisir une entrée de "&amp;G150,IF(G150&lt;0,"Saisir une sortie de "&amp;-G150,"Conforme")))))</f>
        <v/>
      </c>
    </row>
    <row r="151">
      <c r="A151" s="37" t="n"/>
      <c r="B151" s="39" t="str">
        <f>IF(A151="","",IFERROR(INDEX(art_des,MATCH(A151,art_ref,0))&amp;"","Référence inconnue"))</f>
        <v/>
      </c>
      <c r="C151" s="39" t="str">
        <f>IF(A151="","",IFERROR(INDEX(art_unit,MATCH(A151,art_ref,0))&amp;"",""))</f>
        <v/>
      </c>
      <c r="D151" s="39" t="str">
        <f>IF(A151="","",IFERROR(INDEX(art_loc,MATCH(A151,art_ref,0))&amp;"",""))</f>
        <v/>
      </c>
      <c r="E151" s="39" t="str">
        <f>IF(A151="","",IFERROR(ROUND(N(INDEX(art_init,MATCH(A151,art_ref,0)))+SUMIFS(mv_qty,mv_ref,A151,mv_type,"Entrée",mv_date,"&lt;="&amp;$G$1)-SUMIFS(mv_qty,mv_ref,A151,mv_type,"Sortie",mv_date,"&lt;="&amp;$G$1),6),""))</f>
        <v/>
      </c>
      <c r="F151" s="37" t="n"/>
      <c r="G151" s="39" t="str">
        <f>IF(OR(A151="",F151="",E151=""),"",ROUND(F151-E151,6))</f>
        <v/>
      </c>
      <c r="H151" s="40" t="str">
        <f>IF(G151="","",G151*IFERROR(N(INDEX(art_price,MATCH(A151,art_ref,0))),0))</f>
        <v/>
      </c>
      <c r="I151" s="39" t="str">
        <f>IF(A151="","",IF(E151="","Référence inconnue",IF(F151="","À compter",IF(G151&gt;0,"Saisir une entrée de "&amp;G151,IF(G151&lt;0,"Saisir une sortie de "&amp;-G151,"Conforme")))))</f>
        <v/>
      </c>
    </row>
    <row r="152">
      <c r="A152" s="37" t="n"/>
      <c r="B152" s="39" t="str">
        <f>IF(A152="","",IFERROR(INDEX(art_des,MATCH(A152,art_ref,0))&amp;"","Référence inconnue"))</f>
        <v/>
      </c>
      <c r="C152" s="39" t="str">
        <f>IF(A152="","",IFERROR(INDEX(art_unit,MATCH(A152,art_ref,0))&amp;"",""))</f>
        <v/>
      </c>
      <c r="D152" s="39" t="str">
        <f>IF(A152="","",IFERROR(INDEX(art_loc,MATCH(A152,art_ref,0))&amp;"",""))</f>
        <v/>
      </c>
      <c r="E152" s="39" t="str">
        <f>IF(A152="","",IFERROR(ROUND(N(INDEX(art_init,MATCH(A152,art_ref,0)))+SUMIFS(mv_qty,mv_ref,A152,mv_type,"Entrée",mv_date,"&lt;="&amp;$G$1)-SUMIFS(mv_qty,mv_ref,A152,mv_type,"Sortie",mv_date,"&lt;="&amp;$G$1),6),""))</f>
        <v/>
      </c>
      <c r="F152" s="37" t="n"/>
      <c r="G152" s="39" t="str">
        <f>IF(OR(A152="",F152="",E152=""),"",ROUND(F152-E152,6))</f>
        <v/>
      </c>
      <c r="H152" s="40" t="str">
        <f>IF(G152="","",G152*IFERROR(N(INDEX(art_price,MATCH(A152,art_ref,0))),0))</f>
        <v/>
      </c>
      <c r="I152" s="39" t="str">
        <f>IF(A152="","",IF(E152="","Référence inconnue",IF(F152="","À compter",IF(G152&gt;0,"Saisir une entrée de "&amp;G152,IF(G152&lt;0,"Saisir une sortie de "&amp;-G152,"Conforme")))))</f>
        <v/>
      </c>
    </row>
    <row r="153">
      <c r="A153" s="37" t="n"/>
      <c r="B153" s="39" t="str">
        <f>IF(A153="","",IFERROR(INDEX(art_des,MATCH(A153,art_ref,0))&amp;"","Référence inconnue"))</f>
        <v/>
      </c>
      <c r="C153" s="39" t="str">
        <f>IF(A153="","",IFERROR(INDEX(art_unit,MATCH(A153,art_ref,0))&amp;"",""))</f>
        <v/>
      </c>
      <c r="D153" s="39" t="str">
        <f>IF(A153="","",IFERROR(INDEX(art_loc,MATCH(A153,art_ref,0))&amp;"",""))</f>
        <v/>
      </c>
      <c r="E153" s="39" t="str">
        <f>IF(A153="","",IFERROR(ROUND(N(INDEX(art_init,MATCH(A153,art_ref,0)))+SUMIFS(mv_qty,mv_ref,A153,mv_type,"Entrée",mv_date,"&lt;="&amp;$G$1)-SUMIFS(mv_qty,mv_ref,A153,mv_type,"Sortie",mv_date,"&lt;="&amp;$G$1),6),""))</f>
        <v/>
      </c>
      <c r="F153" s="37" t="n"/>
      <c r="G153" s="39" t="str">
        <f>IF(OR(A153="",F153="",E153=""),"",ROUND(F153-E153,6))</f>
        <v/>
      </c>
      <c r="H153" s="40" t="str">
        <f>IF(G153="","",G153*IFERROR(N(INDEX(art_price,MATCH(A153,art_ref,0))),0))</f>
        <v/>
      </c>
      <c r="I153" s="39" t="str">
        <f>IF(A153="","",IF(E153="","Référence inconnue",IF(F153="","À compter",IF(G153&gt;0,"Saisir une entrée de "&amp;G153,IF(G153&lt;0,"Saisir une sortie de "&amp;-G153,"Conforme")))))</f>
        <v/>
      </c>
    </row>
    <row r="154">
      <c r="A154" s="37" t="n"/>
      <c r="B154" s="39" t="str">
        <f>IF(A154="","",IFERROR(INDEX(art_des,MATCH(A154,art_ref,0))&amp;"","Référence inconnue"))</f>
        <v/>
      </c>
      <c r="C154" s="39" t="str">
        <f>IF(A154="","",IFERROR(INDEX(art_unit,MATCH(A154,art_ref,0))&amp;"",""))</f>
        <v/>
      </c>
      <c r="D154" s="39" t="str">
        <f>IF(A154="","",IFERROR(INDEX(art_loc,MATCH(A154,art_ref,0))&amp;"",""))</f>
        <v/>
      </c>
      <c r="E154" s="39" t="str">
        <f>IF(A154="","",IFERROR(ROUND(N(INDEX(art_init,MATCH(A154,art_ref,0)))+SUMIFS(mv_qty,mv_ref,A154,mv_type,"Entrée",mv_date,"&lt;="&amp;$G$1)-SUMIFS(mv_qty,mv_ref,A154,mv_type,"Sortie",mv_date,"&lt;="&amp;$G$1),6),""))</f>
        <v/>
      </c>
      <c r="F154" s="37" t="n"/>
      <c r="G154" s="39" t="str">
        <f>IF(OR(A154="",F154="",E154=""),"",ROUND(F154-E154,6))</f>
        <v/>
      </c>
      <c r="H154" s="40" t="str">
        <f>IF(G154="","",G154*IFERROR(N(INDEX(art_price,MATCH(A154,art_ref,0))),0))</f>
        <v/>
      </c>
      <c r="I154" s="39" t="str">
        <f>IF(A154="","",IF(E154="","Référence inconnue",IF(F154="","À compter",IF(G154&gt;0,"Saisir une entrée de "&amp;G154,IF(G154&lt;0,"Saisir une sortie de "&amp;-G154,"Conforme")))))</f>
        <v/>
      </c>
    </row>
    <row r="155">
      <c r="A155" s="37" t="n"/>
      <c r="B155" s="39" t="str">
        <f>IF(A155="","",IFERROR(INDEX(art_des,MATCH(A155,art_ref,0))&amp;"","Référence inconnue"))</f>
        <v/>
      </c>
      <c r="C155" s="39" t="str">
        <f>IF(A155="","",IFERROR(INDEX(art_unit,MATCH(A155,art_ref,0))&amp;"",""))</f>
        <v/>
      </c>
      <c r="D155" s="39" t="str">
        <f>IF(A155="","",IFERROR(INDEX(art_loc,MATCH(A155,art_ref,0))&amp;"",""))</f>
        <v/>
      </c>
      <c r="E155" s="39" t="str">
        <f>IF(A155="","",IFERROR(ROUND(N(INDEX(art_init,MATCH(A155,art_ref,0)))+SUMIFS(mv_qty,mv_ref,A155,mv_type,"Entrée",mv_date,"&lt;="&amp;$G$1)-SUMIFS(mv_qty,mv_ref,A155,mv_type,"Sortie",mv_date,"&lt;="&amp;$G$1),6),""))</f>
        <v/>
      </c>
      <c r="F155" s="37" t="n"/>
      <c r="G155" s="39" t="str">
        <f>IF(OR(A155="",F155="",E155=""),"",ROUND(F155-E155,6))</f>
        <v/>
      </c>
      <c r="H155" s="40" t="str">
        <f>IF(G155="","",G155*IFERROR(N(INDEX(art_price,MATCH(A155,art_ref,0))),0))</f>
        <v/>
      </c>
      <c r="I155" s="39" t="str">
        <f>IF(A155="","",IF(E155="","Référence inconnue",IF(F155="","À compter",IF(G155&gt;0,"Saisir une entrée de "&amp;G155,IF(G155&lt;0,"Saisir une sortie de "&amp;-G155,"Conforme")))))</f>
        <v/>
      </c>
    </row>
    <row r="156">
      <c r="A156" s="37" t="n"/>
      <c r="B156" s="39" t="str">
        <f>IF(A156="","",IFERROR(INDEX(art_des,MATCH(A156,art_ref,0))&amp;"","Référence inconnue"))</f>
        <v/>
      </c>
      <c r="C156" s="39" t="str">
        <f>IF(A156="","",IFERROR(INDEX(art_unit,MATCH(A156,art_ref,0))&amp;"",""))</f>
        <v/>
      </c>
      <c r="D156" s="39" t="str">
        <f>IF(A156="","",IFERROR(INDEX(art_loc,MATCH(A156,art_ref,0))&amp;"",""))</f>
        <v/>
      </c>
      <c r="E156" s="39" t="str">
        <f>IF(A156="","",IFERROR(ROUND(N(INDEX(art_init,MATCH(A156,art_ref,0)))+SUMIFS(mv_qty,mv_ref,A156,mv_type,"Entrée",mv_date,"&lt;="&amp;$G$1)-SUMIFS(mv_qty,mv_ref,A156,mv_type,"Sortie",mv_date,"&lt;="&amp;$G$1),6),""))</f>
        <v/>
      </c>
      <c r="F156" s="37" t="n"/>
      <c r="G156" s="39" t="str">
        <f>IF(OR(A156="",F156="",E156=""),"",ROUND(F156-E156,6))</f>
        <v/>
      </c>
      <c r="H156" s="40" t="str">
        <f>IF(G156="","",G156*IFERROR(N(INDEX(art_price,MATCH(A156,art_ref,0))),0))</f>
        <v/>
      </c>
      <c r="I156" s="39" t="str">
        <f>IF(A156="","",IF(E156="","Référence inconnue",IF(F156="","À compter",IF(G156&gt;0,"Saisir une entrée de "&amp;G156,IF(G156&lt;0,"Saisir une sortie de "&amp;-G156,"Conforme")))))</f>
        <v/>
      </c>
    </row>
    <row r="157">
      <c r="A157" s="37" t="n"/>
      <c r="B157" s="39" t="str">
        <f>IF(A157="","",IFERROR(INDEX(art_des,MATCH(A157,art_ref,0))&amp;"","Référence inconnue"))</f>
        <v/>
      </c>
      <c r="C157" s="39" t="str">
        <f>IF(A157="","",IFERROR(INDEX(art_unit,MATCH(A157,art_ref,0))&amp;"",""))</f>
        <v/>
      </c>
      <c r="D157" s="39" t="str">
        <f>IF(A157="","",IFERROR(INDEX(art_loc,MATCH(A157,art_ref,0))&amp;"",""))</f>
        <v/>
      </c>
      <c r="E157" s="39" t="str">
        <f>IF(A157="","",IFERROR(ROUND(N(INDEX(art_init,MATCH(A157,art_ref,0)))+SUMIFS(mv_qty,mv_ref,A157,mv_type,"Entrée",mv_date,"&lt;="&amp;$G$1)-SUMIFS(mv_qty,mv_ref,A157,mv_type,"Sortie",mv_date,"&lt;="&amp;$G$1),6),""))</f>
        <v/>
      </c>
      <c r="F157" s="37" t="n"/>
      <c r="G157" s="39" t="str">
        <f>IF(OR(A157="",F157="",E157=""),"",ROUND(F157-E157,6))</f>
        <v/>
      </c>
      <c r="H157" s="40" t="str">
        <f>IF(G157="","",G157*IFERROR(N(INDEX(art_price,MATCH(A157,art_ref,0))),0))</f>
        <v/>
      </c>
      <c r="I157" s="39" t="str">
        <f>IF(A157="","",IF(E157="","Référence inconnue",IF(F157="","À compter",IF(G157&gt;0,"Saisir une entrée de "&amp;G157,IF(G157&lt;0,"Saisir une sortie de "&amp;-G157,"Conforme")))))</f>
        <v/>
      </c>
    </row>
    <row r="158">
      <c r="A158" s="37" t="n"/>
      <c r="B158" s="39" t="str">
        <f>IF(A158="","",IFERROR(INDEX(art_des,MATCH(A158,art_ref,0))&amp;"","Référence inconnue"))</f>
        <v/>
      </c>
      <c r="C158" s="39" t="str">
        <f>IF(A158="","",IFERROR(INDEX(art_unit,MATCH(A158,art_ref,0))&amp;"",""))</f>
        <v/>
      </c>
      <c r="D158" s="39" t="str">
        <f>IF(A158="","",IFERROR(INDEX(art_loc,MATCH(A158,art_ref,0))&amp;"",""))</f>
        <v/>
      </c>
      <c r="E158" s="39" t="str">
        <f>IF(A158="","",IFERROR(ROUND(N(INDEX(art_init,MATCH(A158,art_ref,0)))+SUMIFS(mv_qty,mv_ref,A158,mv_type,"Entrée",mv_date,"&lt;="&amp;$G$1)-SUMIFS(mv_qty,mv_ref,A158,mv_type,"Sortie",mv_date,"&lt;="&amp;$G$1),6),""))</f>
        <v/>
      </c>
      <c r="F158" s="37" t="n"/>
      <c r="G158" s="39" t="str">
        <f>IF(OR(A158="",F158="",E158=""),"",ROUND(F158-E158,6))</f>
        <v/>
      </c>
      <c r="H158" s="40" t="str">
        <f>IF(G158="","",G158*IFERROR(N(INDEX(art_price,MATCH(A158,art_ref,0))),0))</f>
        <v/>
      </c>
      <c r="I158" s="39" t="str">
        <f>IF(A158="","",IF(E158="","Référence inconnue",IF(F158="","À compter",IF(G158&gt;0,"Saisir une entrée de "&amp;G158,IF(G158&lt;0,"Saisir une sortie de "&amp;-G158,"Conforme")))))</f>
        <v/>
      </c>
    </row>
    <row r="159">
      <c r="A159" s="37" t="n"/>
      <c r="B159" s="39" t="str">
        <f>IF(A159="","",IFERROR(INDEX(art_des,MATCH(A159,art_ref,0))&amp;"","Référence inconnue"))</f>
        <v/>
      </c>
      <c r="C159" s="39" t="str">
        <f>IF(A159="","",IFERROR(INDEX(art_unit,MATCH(A159,art_ref,0))&amp;"",""))</f>
        <v/>
      </c>
      <c r="D159" s="39" t="str">
        <f>IF(A159="","",IFERROR(INDEX(art_loc,MATCH(A159,art_ref,0))&amp;"",""))</f>
        <v/>
      </c>
      <c r="E159" s="39" t="str">
        <f>IF(A159="","",IFERROR(ROUND(N(INDEX(art_init,MATCH(A159,art_ref,0)))+SUMIFS(mv_qty,mv_ref,A159,mv_type,"Entrée",mv_date,"&lt;="&amp;$G$1)-SUMIFS(mv_qty,mv_ref,A159,mv_type,"Sortie",mv_date,"&lt;="&amp;$G$1),6),""))</f>
        <v/>
      </c>
      <c r="F159" s="37" t="n"/>
      <c r="G159" s="39" t="str">
        <f>IF(OR(A159="",F159="",E159=""),"",ROUND(F159-E159,6))</f>
        <v/>
      </c>
      <c r="H159" s="40" t="str">
        <f>IF(G159="","",G159*IFERROR(N(INDEX(art_price,MATCH(A159,art_ref,0))),0))</f>
        <v/>
      </c>
      <c r="I159" s="39" t="str">
        <f>IF(A159="","",IF(E159="","Référence inconnue",IF(F159="","À compter",IF(G159&gt;0,"Saisir une entrée de "&amp;G159,IF(G159&lt;0,"Saisir une sortie de "&amp;-G159,"Conforme")))))</f>
        <v/>
      </c>
    </row>
    <row r="160">
      <c r="A160" s="37" t="n"/>
      <c r="B160" s="39" t="str">
        <f>IF(A160="","",IFERROR(INDEX(art_des,MATCH(A160,art_ref,0))&amp;"","Référence inconnue"))</f>
        <v/>
      </c>
      <c r="C160" s="39" t="str">
        <f>IF(A160="","",IFERROR(INDEX(art_unit,MATCH(A160,art_ref,0))&amp;"",""))</f>
        <v/>
      </c>
      <c r="D160" s="39" t="str">
        <f>IF(A160="","",IFERROR(INDEX(art_loc,MATCH(A160,art_ref,0))&amp;"",""))</f>
        <v/>
      </c>
      <c r="E160" s="39" t="str">
        <f>IF(A160="","",IFERROR(ROUND(N(INDEX(art_init,MATCH(A160,art_ref,0)))+SUMIFS(mv_qty,mv_ref,A160,mv_type,"Entrée",mv_date,"&lt;="&amp;$G$1)-SUMIFS(mv_qty,mv_ref,A160,mv_type,"Sortie",mv_date,"&lt;="&amp;$G$1),6),""))</f>
        <v/>
      </c>
      <c r="F160" s="37" t="n"/>
      <c r="G160" s="39" t="str">
        <f>IF(OR(A160="",F160="",E160=""),"",ROUND(F160-E160,6))</f>
        <v/>
      </c>
      <c r="H160" s="40" t="str">
        <f>IF(G160="","",G160*IFERROR(N(INDEX(art_price,MATCH(A160,art_ref,0))),0))</f>
        <v/>
      </c>
      <c r="I160" s="39" t="str">
        <f>IF(A160="","",IF(E160="","Référence inconnue",IF(F160="","À compter",IF(G160&gt;0,"Saisir une entrée de "&amp;G160,IF(G160&lt;0,"Saisir une sortie de "&amp;-G160,"Conforme")))))</f>
        <v/>
      </c>
    </row>
    <row r="161">
      <c r="A161" s="37" t="n"/>
      <c r="B161" s="39" t="str">
        <f>IF(A161="","",IFERROR(INDEX(art_des,MATCH(A161,art_ref,0))&amp;"","Référence inconnue"))</f>
        <v/>
      </c>
      <c r="C161" s="39" t="str">
        <f>IF(A161="","",IFERROR(INDEX(art_unit,MATCH(A161,art_ref,0))&amp;"",""))</f>
        <v/>
      </c>
      <c r="D161" s="39" t="str">
        <f>IF(A161="","",IFERROR(INDEX(art_loc,MATCH(A161,art_ref,0))&amp;"",""))</f>
        <v/>
      </c>
      <c r="E161" s="39" t="str">
        <f>IF(A161="","",IFERROR(ROUND(N(INDEX(art_init,MATCH(A161,art_ref,0)))+SUMIFS(mv_qty,mv_ref,A161,mv_type,"Entrée",mv_date,"&lt;="&amp;$G$1)-SUMIFS(mv_qty,mv_ref,A161,mv_type,"Sortie",mv_date,"&lt;="&amp;$G$1),6),""))</f>
        <v/>
      </c>
      <c r="F161" s="37" t="n"/>
      <c r="G161" s="39" t="str">
        <f>IF(OR(A161="",F161="",E161=""),"",ROUND(F161-E161,6))</f>
        <v/>
      </c>
      <c r="H161" s="40" t="str">
        <f>IF(G161="","",G161*IFERROR(N(INDEX(art_price,MATCH(A161,art_ref,0))),0))</f>
        <v/>
      </c>
      <c r="I161" s="39" t="str">
        <f>IF(A161="","",IF(E161="","Référence inconnue",IF(F161="","À compter",IF(G161&gt;0,"Saisir une entrée de "&amp;G161,IF(G161&lt;0,"Saisir une sortie de "&amp;-G161,"Conforme")))))</f>
        <v/>
      </c>
    </row>
    <row r="162">
      <c r="A162" s="37" t="n"/>
      <c r="B162" s="39" t="str">
        <f>IF(A162="","",IFERROR(INDEX(art_des,MATCH(A162,art_ref,0))&amp;"","Référence inconnue"))</f>
        <v/>
      </c>
      <c r="C162" s="39" t="str">
        <f>IF(A162="","",IFERROR(INDEX(art_unit,MATCH(A162,art_ref,0))&amp;"",""))</f>
        <v/>
      </c>
      <c r="D162" s="39" t="str">
        <f>IF(A162="","",IFERROR(INDEX(art_loc,MATCH(A162,art_ref,0))&amp;"",""))</f>
        <v/>
      </c>
      <c r="E162" s="39" t="str">
        <f>IF(A162="","",IFERROR(ROUND(N(INDEX(art_init,MATCH(A162,art_ref,0)))+SUMIFS(mv_qty,mv_ref,A162,mv_type,"Entrée",mv_date,"&lt;="&amp;$G$1)-SUMIFS(mv_qty,mv_ref,A162,mv_type,"Sortie",mv_date,"&lt;="&amp;$G$1),6),""))</f>
        <v/>
      </c>
      <c r="F162" s="37" t="n"/>
      <c r="G162" s="39" t="str">
        <f>IF(OR(A162="",F162="",E162=""),"",ROUND(F162-E162,6))</f>
        <v/>
      </c>
      <c r="H162" s="40" t="str">
        <f>IF(G162="","",G162*IFERROR(N(INDEX(art_price,MATCH(A162,art_ref,0))),0))</f>
        <v/>
      </c>
      <c r="I162" s="39" t="str">
        <f>IF(A162="","",IF(E162="","Référence inconnue",IF(F162="","À compter",IF(G162&gt;0,"Saisir une entrée de "&amp;G162,IF(G162&lt;0,"Saisir une sortie de "&amp;-G162,"Conforme")))))</f>
        <v/>
      </c>
    </row>
    <row r="163">
      <c r="A163" s="37" t="n"/>
      <c r="B163" s="39" t="str">
        <f>IF(A163="","",IFERROR(INDEX(art_des,MATCH(A163,art_ref,0))&amp;"","Référence inconnue"))</f>
        <v/>
      </c>
      <c r="C163" s="39" t="str">
        <f>IF(A163="","",IFERROR(INDEX(art_unit,MATCH(A163,art_ref,0))&amp;"",""))</f>
        <v/>
      </c>
      <c r="D163" s="39" t="str">
        <f>IF(A163="","",IFERROR(INDEX(art_loc,MATCH(A163,art_ref,0))&amp;"",""))</f>
        <v/>
      </c>
      <c r="E163" s="39" t="str">
        <f>IF(A163="","",IFERROR(ROUND(N(INDEX(art_init,MATCH(A163,art_ref,0)))+SUMIFS(mv_qty,mv_ref,A163,mv_type,"Entrée",mv_date,"&lt;="&amp;$G$1)-SUMIFS(mv_qty,mv_ref,A163,mv_type,"Sortie",mv_date,"&lt;="&amp;$G$1),6),""))</f>
        <v/>
      </c>
      <c r="F163" s="37" t="n"/>
      <c r="G163" s="39" t="str">
        <f>IF(OR(A163="",F163="",E163=""),"",ROUND(F163-E163,6))</f>
        <v/>
      </c>
      <c r="H163" s="40" t="str">
        <f>IF(G163="","",G163*IFERROR(N(INDEX(art_price,MATCH(A163,art_ref,0))),0))</f>
        <v/>
      </c>
      <c r="I163" s="39" t="str">
        <f>IF(A163="","",IF(E163="","Référence inconnue",IF(F163="","À compter",IF(G163&gt;0,"Saisir une entrée de "&amp;G163,IF(G163&lt;0,"Saisir une sortie de "&amp;-G163,"Conforme")))))</f>
        <v/>
      </c>
    </row>
    <row r="164">
      <c r="A164" s="37" t="n"/>
      <c r="B164" s="39" t="str">
        <f>IF(A164="","",IFERROR(INDEX(art_des,MATCH(A164,art_ref,0))&amp;"","Référence inconnue"))</f>
        <v/>
      </c>
      <c r="C164" s="39" t="str">
        <f>IF(A164="","",IFERROR(INDEX(art_unit,MATCH(A164,art_ref,0))&amp;"",""))</f>
        <v/>
      </c>
      <c r="D164" s="39" t="str">
        <f>IF(A164="","",IFERROR(INDEX(art_loc,MATCH(A164,art_ref,0))&amp;"",""))</f>
        <v/>
      </c>
      <c r="E164" s="39" t="str">
        <f>IF(A164="","",IFERROR(ROUND(N(INDEX(art_init,MATCH(A164,art_ref,0)))+SUMIFS(mv_qty,mv_ref,A164,mv_type,"Entrée",mv_date,"&lt;="&amp;$G$1)-SUMIFS(mv_qty,mv_ref,A164,mv_type,"Sortie",mv_date,"&lt;="&amp;$G$1),6),""))</f>
        <v/>
      </c>
      <c r="F164" s="37" t="n"/>
      <c r="G164" s="39" t="str">
        <f>IF(OR(A164="",F164="",E164=""),"",ROUND(F164-E164,6))</f>
        <v/>
      </c>
      <c r="H164" s="40" t="str">
        <f>IF(G164="","",G164*IFERROR(N(INDEX(art_price,MATCH(A164,art_ref,0))),0))</f>
        <v/>
      </c>
      <c r="I164" s="39" t="str">
        <f>IF(A164="","",IF(E164="","Référence inconnue",IF(F164="","À compter",IF(G164&gt;0,"Saisir une entrée de "&amp;G164,IF(G164&lt;0,"Saisir une sortie de "&amp;-G164,"Conforme")))))</f>
        <v/>
      </c>
    </row>
    <row r="165">
      <c r="A165" s="37" t="n"/>
      <c r="B165" s="39" t="str">
        <f>IF(A165="","",IFERROR(INDEX(art_des,MATCH(A165,art_ref,0))&amp;"","Référence inconnue"))</f>
        <v/>
      </c>
      <c r="C165" s="39" t="str">
        <f>IF(A165="","",IFERROR(INDEX(art_unit,MATCH(A165,art_ref,0))&amp;"",""))</f>
        <v/>
      </c>
      <c r="D165" s="39" t="str">
        <f>IF(A165="","",IFERROR(INDEX(art_loc,MATCH(A165,art_ref,0))&amp;"",""))</f>
        <v/>
      </c>
      <c r="E165" s="39" t="str">
        <f>IF(A165="","",IFERROR(ROUND(N(INDEX(art_init,MATCH(A165,art_ref,0)))+SUMIFS(mv_qty,mv_ref,A165,mv_type,"Entrée",mv_date,"&lt;="&amp;$G$1)-SUMIFS(mv_qty,mv_ref,A165,mv_type,"Sortie",mv_date,"&lt;="&amp;$G$1),6),""))</f>
        <v/>
      </c>
      <c r="F165" s="37" t="n"/>
      <c r="G165" s="39" t="str">
        <f>IF(OR(A165="",F165="",E165=""),"",ROUND(F165-E165,6))</f>
        <v/>
      </c>
      <c r="H165" s="40" t="str">
        <f>IF(G165="","",G165*IFERROR(N(INDEX(art_price,MATCH(A165,art_ref,0))),0))</f>
        <v/>
      </c>
      <c r="I165" s="39" t="str">
        <f>IF(A165="","",IF(E165="","Référence inconnue",IF(F165="","À compter",IF(G165&gt;0,"Saisir une entrée de "&amp;G165,IF(G165&lt;0,"Saisir une sortie de "&amp;-G165,"Conforme")))))</f>
        <v/>
      </c>
    </row>
    <row r="166">
      <c r="A166" s="37" t="n"/>
      <c r="B166" s="39" t="str">
        <f>IF(A166="","",IFERROR(INDEX(art_des,MATCH(A166,art_ref,0))&amp;"","Référence inconnue"))</f>
        <v/>
      </c>
      <c r="C166" s="39" t="str">
        <f>IF(A166="","",IFERROR(INDEX(art_unit,MATCH(A166,art_ref,0))&amp;"",""))</f>
        <v/>
      </c>
      <c r="D166" s="39" t="str">
        <f>IF(A166="","",IFERROR(INDEX(art_loc,MATCH(A166,art_ref,0))&amp;"",""))</f>
        <v/>
      </c>
      <c r="E166" s="39" t="str">
        <f>IF(A166="","",IFERROR(ROUND(N(INDEX(art_init,MATCH(A166,art_ref,0)))+SUMIFS(mv_qty,mv_ref,A166,mv_type,"Entrée",mv_date,"&lt;="&amp;$G$1)-SUMIFS(mv_qty,mv_ref,A166,mv_type,"Sortie",mv_date,"&lt;="&amp;$G$1),6),""))</f>
        <v/>
      </c>
      <c r="F166" s="37" t="n"/>
      <c r="G166" s="39" t="str">
        <f>IF(OR(A166="",F166="",E166=""),"",ROUND(F166-E166,6))</f>
        <v/>
      </c>
      <c r="H166" s="40" t="str">
        <f>IF(G166="","",G166*IFERROR(N(INDEX(art_price,MATCH(A166,art_ref,0))),0))</f>
        <v/>
      </c>
      <c r="I166" s="39" t="str">
        <f>IF(A166="","",IF(E166="","Référence inconnue",IF(F166="","À compter",IF(G166&gt;0,"Saisir une entrée de "&amp;G166,IF(G166&lt;0,"Saisir une sortie de "&amp;-G166,"Conforme")))))</f>
        <v/>
      </c>
    </row>
    <row r="167">
      <c r="A167" s="37" t="n"/>
      <c r="B167" s="39" t="str">
        <f>IF(A167="","",IFERROR(INDEX(art_des,MATCH(A167,art_ref,0))&amp;"","Référence inconnue"))</f>
        <v/>
      </c>
      <c r="C167" s="39" t="str">
        <f>IF(A167="","",IFERROR(INDEX(art_unit,MATCH(A167,art_ref,0))&amp;"",""))</f>
        <v/>
      </c>
      <c r="D167" s="39" t="str">
        <f>IF(A167="","",IFERROR(INDEX(art_loc,MATCH(A167,art_ref,0))&amp;"",""))</f>
        <v/>
      </c>
      <c r="E167" s="39" t="str">
        <f>IF(A167="","",IFERROR(ROUND(N(INDEX(art_init,MATCH(A167,art_ref,0)))+SUMIFS(mv_qty,mv_ref,A167,mv_type,"Entrée",mv_date,"&lt;="&amp;$G$1)-SUMIFS(mv_qty,mv_ref,A167,mv_type,"Sortie",mv_date,"&lt;="&amp;$G$1),6),""))</f>
        <v/>
      </c>
      <c r="F167" s="37" t="n"/>
      <c r="G167" s="39" t="str">
        <f>IF(OR(A167="",F167="",E167=""),"",ROUND(F167-E167,6))</f>
        <v/>
      </c>
      <c r="H167" s="40" t="str">
        <f>IF(G167="","",G167*IFERROR(N(INDEX(art_price,MATCH(A167,art_ref,0))),0))</f>
        <v/>
      </c>
      <c r="I167" s="39" t="str">
        <f>IF(A167="","",IF(E167="","Référence inconnue",IF(F167="","À compter",IF(G167&gt;0,"Saisir une entrée de "&amp;G167,IF(G167&lt;0,"Saisir une sortie de "&amp;-G167,"Conforme")))))</f>
        <v/>
      </c>
    </row>
    <row r="168">
      <c r="A168" s="37" t="n"/>
      <c r="B168" s="39" t="str">
        <f>IF(A168="","",IFERROR(INDEX(art_des,MATCH(A168,art_ref,0))&amp;"","Référence inconnue"))</f>
        <v/>
      </c>
      <c r="C168" s="39" t="str">
        <f>IF(A168="","",IFERROR(INDEX(art_unit,MATCH(A168,art_ref,0))&amp;"",""))</f>
        <v/>
      </c>
      <c r="D168" s="39" t="str">
        <f>IF(A168="","",IFERROR(INDEX(art_loc,MATCH(A168,art_ref,0))&amp;"",""))</f>
        <v/>
      </c>
      <c r="E168" s="39" t="str">
        <f>IF(A168="","",IFERROR(ROUND(N(INDEX(art_init,MATCH(A168,art_ref,0)))+SUMIFS(mv_qty,mv_ref,A168,mv_type,"Entrée",mv_date,"&lt;="&amp;$G$1)-SUMIFS(mv_qty,mv_ref,A168,mv_type,"Sortie",mv_date,"&lt;="&amp;$G$1),6),""))</f>
        <v/>
      </c>
      <c r="F168" s="37" t="n"/>
      <c r="G168" s="39" t="str">
        <f>IF(OR(A168="",F168="",E168=""),"",ROUND(F168-E168,6))</f>
        <v/>
      </c>
      <c r="H168" s="40" t="str">
        <f>IF(G168="","",G168*IFERROR(N(INDEX(art_price,MATCH(A168,art_ref,0))),0))</f>
        <v/>
      </c>
      <c r="I168" s="39" t="str">
        <f>IF(A168="","",IF(E168="","Référence inconnue",IF(F168="","À compter",IF(G168&gt;0,"Saisir une entrée de "&amp;G168,IF(G168&lt;0,"Saisir une sortie de "&amp;-G168,"Conforme")))))</f>
        <v/>
      </c>
    </row>
    <row r="169">
      <c r="A169" s="37" t="n"/>
      <c r="B169" s="39" t="str">
        <f>IF(A169="","",IFERROR(INDEX(art_des,MATCH(A169,art_ref,0))&amp;"","Référence inconnue"))</f>
        <v/>
      </c>
      <c r="C169" s="39" t="str">
        <f>IF(A169="","",IFERROR(INDEX(art_unit,MATCH(A169,art_ref,0))&amp;"",""))</f>
        <v/>
      </c>
      <c r="D169" s="39" t="str">
        <f>IF(A169="","",IFERROR(INDEX(art_loc,MATCH(A169,art_ref,0))&amp;"",""))</f>
        <v/>
      </c>
      <c r="E169" s="39" t="str">
        <f>IF(A169="","",IFERROR(ROUND(N(INDEX(art_init,MATCH(A169,art_ref,0)))+SUMIFS(mv_qty,mv_ref,A169,mv_type,"Entrée",mv_date,"&lt;="&amp;$G$1)-SUMIFS(mv_qty,mv_ref,A169,mv_type,"Sortie",mv_date,"&lt;="&amp;$G$1),6),""))</f>
        <v/>
      </c>
      <c r="F169" s="37" t="n"/>
      <c r="G169" s="39" t="str">
        <f>IF(OR(A169="",F169="",E169=""),"",ROUND(F169-E169,6))</f>
        <v/>
      </c>
      <c r="H169" s="40" t="str">
        <f>IF(G169="","",G169*IFERROR(N(INDEX(art_price,MATCH(A169,art_ref,0))),0))</f>
        <v/>
      </c>
      <c r="I169" s="39" t="str">
        <f>IF(A169="","",IF(E169="","Référence inconnue",IF(F169="","À compter",IF(G169&gt;0,"Saisir une entrée de "&amp;G169,IF(G169&lt;0,"Saisir une sortie de "&amp;-G169,"Conforme")))))</f>
        <v/>
      </c>
    </row>
    <row r="170">
      <c r="A170" s="37" t="n"/>
      <c r="B170" s="39" t="str">
        <f>IF(A170="","",IFERROR(INDEX(art_des,MATCH(A170,art_ref,0))&amp;"","Référence inconnue"))</f>
        <v/>
      </c>
      <c r="C170" s="39" t="str">
        <f>IF(A170="","",IFERROR(INDEX(art_unit,MATCH(A170,art_ref,0))&amp;"",""))</f>
        <v/>
      </c>
      <c r="D170" s="39" t="str">
        <f>IF(A170="","",IFERROR(INDEX(art_loc,MATCH(A170,art_ref,0))&amp;"",""))</f>
        <v/>
      </c>
      <c r="E170" s="39" t="str">
        <f>IF(A170="","",IFERROR(ROUND(N(INDEX(art_init,MATCH(A170,art_ref,0)))+SUMIFS(mv_qty,mv_ref,A170,mv_type,"Entrée",mv_date,"&lt;="&amp;$G$1)-SUMIFS(mv_qty,mv_ref,A170,mv_type,"Sortie",mv_date,"&lt;="&amp;$G$1),6),""))</f>
        <v/>
      </c>
      <c r="F170" s="37" t="n"/>
      <c r="G170" s="39" t="str">
        <f>IF(OR(A170="",F170="",E170=""),"",ROUND(F170-E170,6))</f>
        <v/>
      </c>
      <c r="H170" s="40" t="str">
        <f>IF(G170="","",G170*IFERROR(N(INDEX(art_price,MATCH(A170,art_ref,0))),0))</f>
        <v/>
      </c>
      <c r="I170" s="39" t="str">
        <f>IF(A170="","",IF(E170="","Référence inconnue",IF(F170="","À compter",IF(G170&gt;0,"Saisir une entrée de "&amp;G170,IF(G170&lt;0,"Saisir une sortie de "&amp;-G170,"Conforme")))))</f>
        <v/>
      </c>
    </row>
    <row r="171">
      <c r="A171" s="37" t="n"/>
      <c r="B171" s="39" t="str">
        <f>IF(A171="","",IFERROR(INDEX(art_des,MATCH(A171,art_ref,0))&amp;"","Référence inconnue"))</f>
        <v/>
      </c>
      <c r="C171" s="39" t="str">
        <f>IF(A171="","",IFERROR(INDEX(art_unit,MATCH(A171,art_ref,0))&amp;"",""))</f>
        <v/>
      </c>
      <c r="D171" s="39" t="str">
        <f>IF(A171="","",IFERROR(INDEX(art_loc,MATCH(A171,art_ref,0))&amp;"",""))</f>
        <v/>
      </c>
      <c r="E171" s="39" t="str">
        <f>IF(A171="","",IFERROR(ROUND(N(INDEX(art_init,MATCH(A171,art_ref,0)))+SUMIFS(mv_qty,mv_ref,A171,mv_type,"Entrée",mv_date,"&lt;="&amp;$G$1)-SUMIFS(mv_qty,mv_ref,A171,mv_type,"Sortie",mv_date,"&lt;="&amp;$G$1),6),""))</f>
        <v/>
      </c>
      <c r="F171" s="37" t="n"/>
      <c r="G171" s="39" t="str">
        <f>IF(OR(A171="",F171="",E171=""),"",ROUND(F171-E171,6))</f>
        <v/>
      </c>
      <c r="H171" s="40" t="str">
        <f>IF(G171="","",G171*IFERROR(N(INDEX(art_price,MATCH(A171,art_ref,0))),0))</f>
        <v/>
      </c>
      <c r="I171" s="39" t="str">
        <f>IF(A171="","",IF(E171="","Référence inconnue",IF(F171="","À compter",IF(G171&gt;0,"Saisir une entrée de "&amp;G171,IF(G171&lt;0,"Saisir une sortie de "&amp;-G171,"Conforme")))))</f>
        <v/>
      </c>
    </row>
    <row r="172">
      <c r="A172" s="37" t="n"/>
      <c r="B172" s="39" t="str">
        <f>IF(A172="","",IFERROR(INDEX(art_des,MATCH(A172,art_ref,0))&amp;"","Référence inconnue"))</f>
        <v/>
      </c>
      <c r="C172" s="39" t="str">
        <f>IF(A172="","",IFERROR(INDEX(art_unit,MATCH(A172,art_ref,0))&amp;"",""))</f>
        <v/>
      </c>
      <c r="D172" s="39" t="str">
        <f>IF(A172="","",IFERROR(INDEX(art_loc,MATCH(A172,art_ref,0))&amp;"",""))</f>
        <v/>
      </c>
      <c r="E172" s="39" t="str">
        <f>IF(A172="","",IFERROR(ROUND(N(INDEX(art_init,MATCH(A172,art_ref,0)))+SUMIFS(mv_qty,mv_ref,A172,mv_type,"Entrée",mv_date,"&lt;="&amp;$G$1)-SUMIFS(mv_qty,mv_ref,A172,mv_type,"Sortie",mv_date,"&lt;="&amp;$G$1),6),""))</f>
        <v/>
      </c>
      <c r="F172" s="37" t="n"/>
      <c r="G172" s="39" t="str">
        <f>IF(OR(A172="",F172="",E172=""),"",ROUND(F172-E172,6))</f>
        <v/>
      </c>
      <c r="H172" s="40" t="str">
        <f>IF(G172="","",G172*IFERROR(N(INDEX(art_price,MATCH(A172,art_ref,0))),0))</f>
        <v/>
      </c>
      <c r="I172" s="39" t="str">
        <f>IF(A172="","",IF(E172="","Référence inconnue",IF(F172="","À compter",IF(G172&gt;0,"Saisir une entrée de "&amp;G172,IF(G172&lt;0,"Saisir une sortie de "&amp;-G172,"Conforme")))))</f>
        <v/>
      </c>
    </row>
    <row r="173">
      <c r="A173" s="37" t="n"/>
      <c r="B173" s="39" t="str">
        <f>IF(A173="","",IFERROR(INDEX(art_des,MATCH(A173,art_ref,0))&amp;"","Référence inconnue"))</f>
        <v/>
      </c>
      <c r="C173" s="39" t="str">
        <f>IF(A173="","",IFERROR(INDEX(art_unit,MATCH(A173,art_ref,0))&amp;"",""))</f>
        <v/>
      </c>
      <c r="D173" s="39" t="str">
        <f>IF(A173="","",IFERROR(INDEX(art_loc,MATCH(A173,art_ref,0))&amp;"",""))</f>
        <v/>
      </c>
      <c r="E173" s="39" t="str">
        <f>IF(A173="","",IFERROR(ROUND(N(INDEX(art_init,MATCH(A173,art_ref,0)))+SUMIFS(mv_qty,mv_ref,A173,mv_type,"Entrée",mv_date,"&lt;="&amp;$G$1)-SUMIFS(mv_qty,mv_ref,A173,mv_type,"Sortie",mv_date,"&lt;="&amp;$G$1),6),""))</f>
        <v/>
      </c>
      <c r="F173" s="37" t="n"/>
      <c r="G173" s="39" t="str">
        <f>IF(OR(A173="",F173="",E173=""),"",ROUND(F173-E173,6))</f>
        <v/>
      </c>
      <c r="H173" s="40" t="str">
        <f>IF(G173="","",G173*IFERROR(N(INDEX(art_price,MATCH(A173,art_ref,0))),0))</f>
        <v/>
      </c>
      <c r="I173" s="39" t="str">
        <f>IF(A173="","",IF(E173="","Référence inconnue",IF(F173="","À compter",IF(G173&gt;0,"Saisir une entrée de "&amp;G173,IF(G173&lt;0,"Saisir une sortie de "&amp;-G173,"Conforme")))))</f>
        <v/>
      </c>
    </row>
    <row r="174">
      <c r="A174" s="37" t="n"/>
      <c r="B174" s="39" t="str">
        <f>IF(A174="","",IFERROR(INDEX(art_des,MATCH(A174,art_ref,0))&amp;"","Référence inconnue"))</f>
        <v/>
      </c>
      <c r="C174" s="39" t="str">
        <f>IF(A174="","",IFERROR(INDEX(art_unit,MATCH(A174,art_ref,0))&amp;"",""))</f>
        <v/>
      </c>
      <c r="D174" s="39" t="str">
        <f>IF(A174="","",IFERROR(INDEX(art_loc,MATCH(A174,art_ref,0))&amp;"",""))</f>
        <v/>
      </c>
      <c r="E174" s="39" t="str">
        <f>IF(A174="","",IFERROR(ROUND(N(INDEX(art_init,MATCH(A174,art_ref,0)))+SUMIFS(mv_qty,mv_ref,A174,mv_type,"Entrée",mv_date,"&lt;="&amp;$G$1)-SUMIFS(mv_qty,mv_ref,A174,mv_type,"Sortie",mv_date,"&lt;="&amp;$G$1),6),""))</f>
        <v/>
      </c>
      <c r="F174" s="37" t="n"/>
      <c r="G174" s="39" t="str">
        <f>IF(OR(A174="",F174="",E174=""),"",ROUND(F174-E174,6))</f>
        <v/>
      </c>
      <c r="H174" s="40" t="str">
        <f>IF(G174="","",G174*IFERROR(N(INDEX(art_price,MATCH(A174,art_ref,0))),0))</f>
        <v/>
      </c>
      <c r="I174" s="39" t="str">
        <f>IF(A174="","",IF(E174="","Référence inconnue",IF(F174="","À compter",IF(G174&gt;0,"Saisir une entrée de "&amp;G174,IF(G174&lt;0,"Saisir une sortie de "&amp;-G174,"Conforme")))))</f>
        <v/>
      </c>
    </row>
    <row r="175">
      <c r="A175" s="37" t="n"/>
      <c r="B175" s="39" t="str">
        <f>IF(A175="","",IFERROR(INDEX(art_des,MATCH(A175,art_ref,0))&amp;"","Référence inconnue"))</f>
        <v/>
      </c>
      <c r="C175" s="39" t="str">
        <f>IF(A175="","",IFERROR(INDEX(art_unit,MATCH(A175,art_ref,0))&amp;"",""))</f>
        <v/>
      </c>
      <c r="D175" s="39" t="str">
        <f>IF(A175="","",IFERROR(INDEX(art_loc,MATCH(A175,art_ref,0))&amp;"",""))</f>
        <v/>
      </c>
      <c r="E175" s="39" t="str">
        <f>IF(A175="","",IFERROR(ROUND(N(INDEX(art_init,MATCH(A175,art_ref,0)))+SUMIFS(mv_qty,mv_ref,A175,mv_type,"Entrée",mv_date,"&lt;="&amp;$G$1)-SUMIFS(mv_qty,mv_ref,A175,mv_type,"Sortie",mv_date,"&lt;="&amp;$G$1),6),""))</f>
        <v/>
      </c>
      <c r="F175" s="37" t="n"/>
      <c r="G175" s="39" t="str">
        <f>IF(OR(A175="",F175="",E175=""),"",ROUND(F175-E175,6))</f>
        <v/>
      </c>
      <c r="H175" s="40" t="str">
        <f>IF(G175="","",G175*IFERROR(N(INDEX(art_price,MATCH(A175,art_ref,0))),0))</f>
        <v/>
      </c>
      <c r="I175" s="39" t="str">
        <f>IF(A175="","",IF(E175="","Référence inconnue",IF(F175="","À compter",IF(G175&gt;0,"Saisir une entrée de "&amp;G175,IF(G175&lt;0,"Saisir une sortie de "&amp;-G175,"Conforme")))))</f>
        <v/>
      </c>
    </row>
    <row r="176">
      <c r="A176" s="37" t="n"/>
      <c r="B176" s="39" t="str">
        <f>IF(A176="","",IFERROR(INDEX(art_des,MATCH(A176,art_ref,0))&amp;"","Référence inconnue"))</f>
        <v/>
      </c>
      <c r="C176" s="39" t="str">
        <f>IF(A176="","",IFERROR(INDEX(art_unit,MATCH(A176,art_ref,0))&amp;"",""))</f>
        <v/>
      </c>
      <c r="D176" s="39" t="str">
        <f>IF(A176="","",IFERROR(INDEX(art_loc,MATCH(A176,art_ref,0))&amp;"",""))</f>
        <v/>
      </c>
      <c r="E176" s="39" t="str">
        <f>IF(A176="","",IFERROR(ROUND(N(INDEX(art_init,MATCH(A176,art_ref,0)))+SUMIFS(mv_qty,mv_ref,A176,mv_type,"Entrée",mv_date,"&lt;="&amp;$G$1)-SUMIFS(mv_qty,mv_ref,A176,mv_type,"Sortie",mv_date,"&lt;="&amp;$G$1),6),""))</f>
        <v/>
      </c>
      <c r="F176" s="37" t="n"/>
      <c r="G176" s="39" t="str">
        <f>IF(OR(A176="",F176="",E176=""),"",ROUND(F176-E176,6))</f>
        <v/>
      </c>
      <c r="H176" s="40" t="str">
        <f>IF(G176="","",G176*IFERROR(N(INDEX(art_price,MATCH(A176,art_ref,0))),0))</f>
        <v/>
      </c>
      <c r="I176" s="39" t="str">
        <f>IF(A176="","",IF(E176="","Référence inconnue",IF(F176="","À compter",IF(G176&gt;0,"Saisir une entrée de "&amp;G176,IF(G176&lt;0,"Saisir une sortie de "&amp;-G176,"Conforme")))))</f>
        <v/>
      </c>
    </row>
    <row r="177">
      <c r="A177" s="37" t="n"/>
      <c r="B177" s="39" t="str">
        <f>IF(A177="","",IFERROR(INDEX(art_des,MATCH(A177,art_ref,0))&amp;"","Référence inconnue"))</f>
        <v/>
      </c>
      <c r="C177" s="39" t="str">
        <f>IF(A177="","",IFERROR(INDEX(art_unit,MATCH(A177,art_ref,0))&amp;"",""))</f>
        <v/>
      </c>
      <c r="D177" s="39" t="str">
        <f>IF(A177="","",IFERROR(INDEX(art_loc,MATCH(A177,art_ref,0))&amp;"",""))</f>
        <v/>
      </c>
      <c r="E177" s="39" t="str">
        <f>IF(A177="","",IFERROR(ROUND(N(INDEX(art_init,MATCH(A177,art_ref,0)))+SUMIFS(mv_qty,mv_ref,A177,mv_type,"Entrée",mv_date,"&lt;="&amp;$G$1)-SUMIFS(mv_qty,mv_ref,A177,mv_type,"Sortie",mv_date,"&lt;="&amp;$G$1),6),""))</f>
        <v/>
      </c>
      <c r="F177" s="37" t="n"/>
      <c r="G177" s="39" t="str">
        <f>IF(OR(A177="",F177="",E177=""),"",ROUND(F177-E177,6))</f>
        <v/>
      </c>
      <c r="H177" s="40" t="str">
        <f>IF(G177="","",G177*IFERROR(N(INDEX(art_price,MATCH(A177,art_ref,0))),0))</f>
        <v/>
      </c>
      <c r="I177" s="39" t="str">
        <f>IF(A177="","",IF(E177="","Référence inconnue",IF(F177="","À compter",IF(G177&gt;0,"Saisir une entrée de "&amp;G177,IF(G177&lt;0,"Saisir une sortie de "&amp;-G177,"Conforme")))))</f>
        <v/>
      </c>
    </row>
    <row r="178">
      <c r="A178" s="37" t="n"/>
      <c r="B178" s="39" t="str">
        <f>IF(A178="","",IFERROR(INDEX(art_des,MATCH(A178,art_ref,0))&amp;"","Référence inconnue"))</f>
        <v/>
      </c>
      <c r="C178" s="39" t="str">
        <f>IF(A178="","",IFERROR(INDEX(art_unit,MATCH(A178,art_ref,0))&amp;"",""))</f>
        <v/>
      </c>
      <c r="D178" s="39" t="str">
        <f>IF(A178="","",IFERROR(INDEX(art_loc,MATCH(A178,art_ref,0))&amp;"",""))</f>
        <v/>
      </c>
      <c r="E178" s="39" t="str">
        <f>IF(A178="","",IFERROR(ROUND(N(INDEX(art_init,MATCH(A178,art_ref,0)))+SUMIFS(mv_qty,mv_ref,A178,mv_type,"Entrée",mv_date,"&lt;="&amp;$G$1)-SUMIFS(mv_qty,mv_ref,A178,mv_type,"Sortie",mv_date,"&lt;="&amp;$G$1),6),""))</f>
        <v/>
      </c>
      <c r="F178" s="37" t="n"/>
      <c r="G178" s="39" t="str">
        <f>IF(OR(A178="",F178="",E178=""),"",ROUND(F178-E178,6))</f>
        <v/>
      </c>
      <c r="H178" s="40" t="str">
        <f>IF(G178="","",G178*IFERROR(N(INDEX(art_price,MATCH(A178,art_ref,0))),0))</f>
        <v/>
      </c>
      <c r="I178" s="39" t="str">
        <f>IF(A178="","",IF(E178="","Référence inconnue",IF(F178="","À compter",IF(G178&gt;0,"Saisir une entrée de "&amp;G178,IF(G178&lt;0,"Saisir une sortie de "&amp;-G178,"Conforme")))))</f>
        <v/>
      </c>
    </row>
    <row r="179">
      <c r="A179" s="37" t="n"/>
      <c r="B179" s="39" t="str">
        <f>IF(A179="","",IFERROR(INDEX(art_des,MATCH(A179,art_ref,0))&amp;"","Référence inconnue"))</f>
        <v/>
      </c>
      <c r="C179" s="39" t="str">
        <f>IF(A179="","",IFERROR(INDEX(art_unit,MATCH(A179,art_ref,0))&amp;"",""))</f>
        <v/>
      </c>
      <c r="D179" s="39" t="str">
        <f>IF(A179="","",IFERROR(INDEX(art_loc,MATCH(A179,art_ref,0))&amp;"",""))</f>
        <v/>
      </c>
      <c r="E179" s="39" t="str">
        <f>IF(A179="","",IFERROR(ROUND(N(INDEX(art_init,MATCH(A179,art_ref,0)))+SUMIFS(mv_qty,mv_ref,A179,mv_type,"Entrée",mv_date,"&lt;="&amp;$G$1)-SUMIFS(mv_qty,mv_ref,A179,mv_type,"Sortie",mv_date,"&lt;="&amp;$G$1),6),""))</f>
        <v/>
      </c>
      <c r="F179" s="37" t="n"/>
      <c r="G179" s="39" t="str">
        <f>IF(OR(A179="",F179="",E179=""),"",ROUND(F179-E179,6))</f>
        <v/>
      </c>
      <c r="H179" s="40" t="str">
        <f>IF(G179="","",G179*IFERROR(N(INDEX(art_price,MATCH(A179,art_ref,0))),0))</f>
        <v/>
      </c>
      <c r="I179" s="39" t="str">
        <f>IF(A179="","",IF(E179="","Référence inconnue",IF(F179="","À compter",IF(G179&gt;0,"Saisir une entrée de "&amp;G179,IF(G179&lt;0,"Saisir une sortie de "&amp;-G179,"Conforme")))))</f>
        <v/>
      </c>
    </row>
    <row r="180">
      <c r="A180" s="37" t="n"/>
      <c r="B180" s="39" t="str">
        <f>IF(A180="","",IFERROR(INDEX(art_des,MATCH(A180,art_ref,0))&amp;"","Référence inconnue"))</f>
        <v/>
      </c>
      <c r="C180" s="39" t="str">
        <f>IF(A180="","",IFERROR(INDEX(art_unit,MATCH(A180,art_ref,0))&amp;"",""))</f>
        <v/>
      </c>
      <c r="D180" s="39" t="str">
        <f>IF(A180="","",IFERROR(INDEX(art_loc,MATCH(A180,art_ref,0))&amp;"",""))</f>
        <v/>
      </c>
      <c r="E180" s="39" t="str">
        <f>IF(A180="","",IFERROR(ROUND(N(INDEX(art_init,MATCH(A180,art_ref,0)))+SUMIFS(mv_qty,mv_ref,A180,mv_type,"Entrée",mv_date,"&lt;="&amp;$G$1)-SUMIFS(mv_qty,mv_ref,A180,mv_type,"Sortie",mv_date,"&lt;="&amp;$G$1),6),""))</f>
        <v/>
      </c>
      <c r="F180" s="37" t="n"/>
      <c r="G180" s="39" t="str">
        <f>IF(OR(A180="",F180="",E180=""),"",ROUND(F180-E180,6))</f>
        <v/>
      </c>
      <c r="H180" s="40" t="str">
        <f>IF(G180="","",G180*IFERROR(N(INDEX(art_price,MATCH(A180,art_ref,0))),0))</f>
        <v/>
      </c>
      <c r="I180" s="39" t="str">
        <f>IF(A180="","",IF(E180="","Référence inconnue",IF(F180="","À compter",IF(G180&gt;0,"Saisir une entrée de "&amp;G180,IF(G180&lt;0,"Saisir une sortie de "&amp;-G180,"Conforme")))))</f>
        <v/>
      </c>
    </row>
    <row r="181">
      <c r="A181" s="37" t="n"/>
      <c r="B181" s="39" t="str">
        <f>IF(A181="","",IFERROR(INDEX(art_des,MATCH(A181,art_ref,0))&amp;"","Référence inconnue"))</f>
        <v/>
      </c>
      <c r="C181" s="39" t="str">
        <f>IF(A181="","",IFERROR(INDEX(art_unit,MATCH(A181,art_ref,0))&amp;"",""))</f>
        <v/>
      </c>
      <c r="D181" s="39" t="str">
        <f>IF(A181="","",IFERROR(INDEX(art_loc,MATCH(A181,art_ref,0))&amp;"",""))</f>
        <v/>
      </c>
      <c r="E181" s="39" t="str">
        <f>IF(A181="","",IFERROR(ROUND(N(INDEX(art_init,MATCH(A181,art_ref,0)))+SUMIFS(mv_qty,mv_ref,A181,mv_type,"Entrée",mv_date,"&lt;="&amp;$G$1)-SUMIFS(mv_qty,mv_ref,A181,mv_type,"Sortie",mv_date,"&lt;="&amp;$G$1),6),""))</f>
        <v/>
      </c>
      <c r="F181" s="37" t="n"/>
      <c r="G181" s="39" t="str">
        <f>IF(OR(A181="",F181="",E181=""),"",ROUND(F181-E181,6))</f>
        <v/>
      </c>
      <c r="H181" s="40" t="str">
        <f>IF(G181="","",G181*IFERROR(N(INDEX(art_price,MATCH(A181,art_ref,0))),0))</f>
        <v/>
      </c>
      <c r="I181" s="39" t="str">
        <f>IF(A181="","",IF(E181="","Référence inconnue",IF(F181="","À compter",IF(G181&gt;0,"Saisir une entrée de "&amp;G181,IF(G181&lt;0,"Saisir une sortie de "&amp;-G181,"Conforme")))))</f>
        <v/>
      </c>
    </row>
    <row r="182">
      <c r="A182" s="37" t="n"/>
      <c r="B182" s="39" t="str">
        <f>IF(A182="","",IFERROR(INDEX(art_des,MATCH(A182,art_ref,0))&amp;"","Référence inconnue"))</f>
        <v/>
      </c>
      <c r="C182" s="39" t="str">
        <f>IF(A182="","",IFERROR(INDEX(art_unit,MATCH(A182,art_ref,0))&amp;"",""))</f>
        <v/>
      </c>
      <c r="D182" s="39" t="str">
        <f>IF(A182="","",IFERROR(INDEX(art_loc,MATCH(A182,art_ref,0))&amp;"",""))</f>
        <v/>
      </c>
      <c r="E182" s="39" t="str">
        <f>IF(A182="","",IFERROR(ROUND(N(INDEX(art_init,MATCH(A182,art_ref,0)))+SUMIFS(mv_qty,mv_ref,A182,mv_type,"Entrée",mv_date,"&lt;="&amp;$G$1)-SUMIFS(mv_qty,mv_ref,A182,mv_type,"Sortie",mv_date,"&lt;="&amp;$G$1),6),""))</f>
        <v/>
      </c>
      <c r="F182" s="37" t="n"/>
      <c r="G182" s="39" t="str">
        <f>IF(OR(A182="",F182="",E182=""),"",ROUND(F182-E182,6))</f>
        <v/>
      </c>
      <c r="H182" s="40" t="str">
        <f>IF(G182="","",G182*IFERROR(N(INDEX(art_price,MATCH(A182,art_ref,0))),0))</f>
        <v/>
      </c>
      <c r="I182" s="39" t="str">
        <f>IF(A182="","",IF(E182="","Référence inconnue",IF(F182="","À compter",IF(G182&gt;0,"Saisir une entrée de "&amp;G182,IF(G182&lt;0,"Saisir une sortie de "&amp;-G182,"Conforme")))))</f>
        <v/>
      </c>
    </row>
    <row r="183">
      <c r="A183" s="37" t="n"/>
      <c r="B183" s="39" t="str">
        <f>IF(A183="","",IFERROR(INDEX(art_des,MATCH(A183,art_ref,0))&amp;"","Référence inconnue"))</f>
        <v/>
      </c>
      <c r="C183" s="39" t="str">
        <f>IF(A183="","",IFERROR(INDEX(art_unit,MATCH(A183,art_ref,0))&amp;"",""))</f>
        <v/>
      </c>
      <c r="D183" s="39" t="str">
        <f>IF(A183="","",IFERROR(INDEX(art_loc,MATCH(A183,art_ref,0))&amp;"",""))</f>
        <v/>
      </c>
      <c r="E183" s="39" t="str">
        <f>IF(A183="","",IFERROR(ROUND(N(INDEX(art_init,MATCH(A183,art_ref,0)))+SUMIFS(mv_qty,mv_ref,A183,mv_type,"Entrée",mv_date,"&lt;="&amp;$G$1)-SUMIFS(mv_qty,mv_ref,A183,mv_type,"Sortie",mv_date,"&lt;="&amp;$G$1),6),""))</f>
        <v/>
      </c>
      <c r="F183" s="37" t="n"/>
      <c r="G183" s="39" t="str">
        <f>IF(OR(A183="",F183="",E183=""),"",ROUND(F183-E183,6))</f>
        <v/>
      </c>
      <c r="H183" s="40" t="str">
        <f>IF(G183="","",G183*IFERROR(N(INDEX(art_price,MATCH(A183,art_ref,0))),0))</f>
        <v/>
      </c>
      <c r="I183" s="39" t="str">
        <f>IF(A183="","",IF(E183="","Référence inconnue",IF(F183="","À compter",IF(G183&gt;0,"Saisir une entrée de "&amp;G183,IF(G183&lt;0,"Saisir une sortie de "&amp;-G183,"Conforme")))))</f>
        <v/>
      </c>
    </row>
    <row r="184">
      <c r="A184" s="37" t="n"/>
      <c r="B184" s="39" t="str">
        <f>IF(A184="","",IFERROR(INDEX(art_des,MATCH(A184,art_ref,0))&amp;"","Référence inconnue"))</f>
        <v/>
      </c>
      <c r="C184" s="39" t="str">
        <f>IF(A184="","",IFERROR(INDEX(art_unit,MATCH(A184,art_ref,0))&amp;"",""))</f>
        <v/>
      </c>
      <c r="D184" s="39" t="str">
        <f>IF(A184="","",IFERROR(INDEX(art_loc,MATCH(A184,art_ref,0))&amp;"",""))</f>
        <v/>
      </c>
      <c r="E184" s="39" t="str">
        <f>IF(A184="","",IFERROR(ROUND(N(INDEX(art_init,MATCH(A184,art_ref,0)))+SUMIFS(mv_qty,mv_ref,A184,mv_type,"Entrée",mv_date,"&lt;="&amp;$G$1)-SUMIFS(mv_qty,mv_ref,A184,mv_type,"Sortie",mv_date,"&lt;="&amp;$G$1),6),""))</f>
        <v/>
      </c>
      <c r="F184" s="37" t="n"/>
      <c r="G184" s="39" t="str">
        <f>IF(OR(A184="",F184="",E184=""),"",ROUND(F184-E184,6))</f>
        <v/>
      </c>
      <c r="H184" s="40" t="str">
        <f>IF(G184="","",G184*IFERROR(N(INDEX(art_price,MATCH(A184,art_ref,0))),0))</f>
        <v/>
      </c>
      <c r="I184" s="39" t="str">
        <f>IF(A184="","",IF(E184="","Référence inconnue",IF(F184="","À compter",IF(G184&gt;0,"Saisir une entrée de "&amp;G184,IF(G184&lt;0,"Saisir une sortie de "&amp;-G184,"Conforme")))))</f>
        <v/>
      </c>
    </row>
    <row r="185">
      <c r="A185" s="37" t="n"/>
      <c r="B185" s="39" t="str">
        <f>IF(A185="","",IFERROR(INDEX(art_des,MATCH(A185,art_ref,0))&amp;"","Référence inconnue"))</f>
        <v/>
      </c>
      <c r="C185" s="39" t="str">
        <f>IF(A185="","",IFERROR(INDEX(art_unit,MATCH(A185,art_ref,0))&amp;"",""))</f>
        <v/>
      </c>
      <c r="D185" s="39" t="str">
        <f>IF(A185="","",IFERROR(INDEX(art_loc,MATCH(A185,art_ref,0))&amp;"",""))</f>
        <v/>
      </c>
      <c r="E185" s="39" t="str">
        <f>IF(A185="","",IFERROR(ROUND(N(INDEX(art_init,MATCH(A185,art_ref,0)))+SUMIFS(mv_qty,mv_ref,A185,mv_type,"Entrée",mv_date,"&lt;="&amp;$G$1)-SUMIFS(mv_qty,mv_ref,A185,mv_type,"Sortie",mv_date,"&lt;="&amp;$G$1),6),""))</f>
        <v/>
      </c>
      <c r="F185" s="37" t="n"/>
      <c r="G185" s="39" t="str">
        <f>IF(OR(A185="",F185="",E185=""),"",ROUND(F185-E185,6))</f>
        <v/>
      </c>
      <c r="H185" s="40" t="str">
        <f>IF(G185="","",G185*IFERROR(N(INDEX(art_price,MATCH(A185,art_ref,0))),0))</f>
        <v/>
      </c>
      <c r="I185" s="39" t="str">
        <f>IF(A185="","",IF(E185="","Référence inconnue",IF(F185="","À compter",IF(G185&gt;0,"Saisir une entrée de "&amp;G185,IF(G185&lt;0,"Saisir une sortie de "&amp;-G185,"Conforme")))))</f>
        <v/>
      </c>
    </row>
    <row r="186">
      <c r="A186" s="37" t="n"/>
      <c r="B186" s="39" t="str">
        <f>IF(A186="","",IFERROR(INDEX(art_des,MATCH(A186,art_ref,0))&amp;"","Référence inconnue"))</f>
        <v/>
      </c>
      <c r="C186" s="39" t="str">
        <f>IF(A186="","",IFERROR(INDEX(art_unit,MATCH(A186,art_ref,0))&amp;"",""))</f>
        <v/>
      </c>
      <c r="D186" s="39" t="str">
        <f>IF(A186="","",IFERROR(INDEX(art_loc,MATCH(A186,art_ref,0))&amp;"",""))</f>
        <v/>
      </c>
      <c r="E186" s="39" t="str">
        <f>IF(A186="","",IFERROR(ROUND(N(INDEX(art_init,MATCH(A186,art_ref,0)))+SUMIFS(mv_qty,mv_ref,A186,mv_type,"Entrée",mv_date,"&lt;="&amp;$G$1)-SUMIFS(mv_qty,mv_ref,A186,mv_type,"Sortie",mv_date,"&lt;="&amp;$G$1),6),""))</f>
        <v/>
      </c>
      <c r="F186" s="37" t="n"/>
      <c r="G186" s="39" t="str">
        <f>IF(OR(A186="",F186="",E186=""),"",ROUND(F186-E186,6))</f>
        <v/>
      </c>
      <c r="H186" s="40" t="str">
        <f>IF(G186="","",G186*IFERROR(N(INDEX(art_price,MATCH(A186,art_ref,0))),0))</f>
        <v/>
      </c>
      <c r="I186" s="39" t="str">
        <f>IF(A186="","",IF(E186="","Référence inconnue",IF(F186="","À compter",IF(G186&gt;0,"Saisir une entrée de "&amp;G186,IF(G186&lt;0,"Saisir une sortie de "&amp;-G186,"Conforme")))))</f>
        <v/>
      </c>
    </row>
    <row r="187">
      <c r="A187" s="37" t="n"/>
      <c r="B187" s="39" t="str">
        <f>IF(A187="","",IFERROR(INDEX(art_des,MATCH(A187,art_ref,0))&amp;"","Référence inconnue"))</f>
        <v/>
      </c>
      <c r="C187" s="39" t="str">
        <f>IF(A187="","",IFERROR(INDEX(art_unit,MATCH(A187,art_ref,0))&amp;"",""))</f>
        <v/>
      </c>
      <c r="D187" s="39" t="str">
        <f>IF(A187="","",IFERROR(INDEX(art_loc,MATCH(A187,art_ref,0))&amp;"",""))</f>
        <v/>
      </c>
      <c r="E187" s="39" t="str">
        <f>IF(A187="","",IFERROR(ROUND(N(INDEX(art_init,MATCH(A187,art_ref,0)))+SUMIFS(mv_qty,mv_ref,A187,mv_type,"Entrée",mv_date,"&lt;="&amp;$G$1)-SUMIFS(mv_qty,mv_ref,A187,mv_type,"Sortie",mv_date,"&lt;="&amp;$G$1),6),""))</f>
        <v/>
      </c>
      <c r="F187" s="37" t="n"/>
      <c r="G187" s="39" t="str">
        <f>IF(OR(A187="",F187="",E187=""),"",ROUND(F187-E187,6))</f>
        <v/>
      </c>
      <c r="H187" s="40" t="str">
        <f>IF(G187="","",G187*IFERROR(N(INDEX(art_price,MATCH(A187,art_ref,0))),0))</f>
        <v/>
      </c>
      <c r="I187" s="39" t="str">
        <f>IF(A187="","",IF(E187="","Référence inconnue",IF(F187="","À compter",IF(G187&gt;0,"Saisir une entrée de "&amp;G187,IF(G187&lt;0,"Saisir une sortie de "&amp;-G187,"Conforme")))))</f>
        <v/>
      </c>
    </row>
    <row r="188">
      <c r="A188" s="37" t="n"/>
      <c r="B188" s="39" t="str">
        <f>IF(A188="","",IFERROR(INDEX(art_des,MATCH(A188,art_ref,0))&amp;"","Référence inconnue"))</f>
        <v/>
      </c>
      <c r="C188" s="39" t="str">
        <f>IF(A188="","",IFERROR(INDEX(art_unit,MATCH(A188,art_ref,0))&amp;"",""))</f>
        <v/>
      </c>
      <c r="D188" s="39" t="str">
        <f>IF(A188="","",IFERROR(INDEX(art_loc,MATCH(A188,art_ref,0))&amp;"",""))</f>
        <v/>
      </c>
      <c r="E188" s="39" t="str">
        <f>IF(A188="","",IFERROR(ROUND(N(INDEX(art_init,MATCH(A188,art_ref,0)))+SUMIFS(mv_qty,mv_ref,A188,mv_type,"Entrée",mv_date,"&lt;="&amp;$G$1)-SUMIFS(mv_qty,mv_ref,A188,mv_type,"Sortie",mv_date,"&lt;="&amp;$G$1),6),""))</f>
        <v/>
      </c>
      <c r="F188" s="37" t="n"/>
      <c r="G188" s="39" t="str">
        <f>IF(OR(A188="",F188="",E188=""),"",ROUND(F188-E188,6))</f>
        <v/>
      </c>
      <c r="H188" s="40" t="str">
        <f>IF(G188="","",G188*IFERROR(N(INDEX(art_price,MATCH(A188,art_ref,0))),0))</f>
        <v/>
      </c>
      <c r="I188" s="39" t="str">
        <f>IF(A188="","",IF(E188="","Référence inconnue",IF(F188="","À compter",IF(G188&gt;0,"Saisir une entrée de "&amp;G188,IF(G188&lt;0,"Saisir une sortie de "&amp;-G188,"Conforme")))))</f>
        <v/>
      </c>
    </row>
    <row r="189">
      <c r="A189" s="37" t="n"/>
      <c r="B189" s="39" t="str">
        <f>IF(A189="","",IFERROR(INDEX(art_des,MATCH(A189,art_ref,0))&amp;"","Référence inconnue"))</f>
        <v/>
      </c>
      <c r="C189" s="39" t="str">
        <f>IF(A189="","",IFERROR(INDEX(art_unit,MATCH(A189,art_ref,0))&amp;"",""))</f>
        <v/>
      </c>
      <c r="D189" s="39" t="str">
        <f>IF(A189="","",IFERROR(INDEX(art_loc,MATCH(A189,art_ref,0))&amp;"",""))</f>
        <v/>
      </c>
      <c r="E189" s="39" t="str">
        <f>IF(A189="","",IFERROR(ROUND(N(INDEX(art_init,MATCH(A189,art_ref,0)))+SUMIFS(mv_qty,mv_ref,A189,mv_type,"Entrée",mv_date,"&lt;="&amp;$G$1)-SUMIFS(mv_qty,mv_ref,A189,mv_type,"Sortie",mv_date,"&lt;="&amp;$G$1),6),""))</f>
        <v/>
      </c>
      <c r="F189" s="37" t="n"/>
      <c r="G189" s="39" t="str">
        <f>IF(OR(A189="",F189="",E189=""),"",ROUND(F189-E189,6))</f>
        <v/>
      </c>
      <c r="H189" s="40" t="str">
        <f>IF(G189="","",G189*IFERROR(N(INDEX(art_price,MATCH(A189,art_ref,0))),0))</f>
        <v/>
      </c>
      <c r="I189" s="39" t="str">
        <f>IF(A189="","",IF(E189="","Référence inconnue",IF(F189="","À compter",IF(G189&gt;0,"Saisir une entrée de "&amp;G189,IF(G189&lt;0,"Saisir une sortie de "&amp;-G189,"Conforme")))))</f>
        <v/>
      </c>
    </row>
    <row r="190">
      <c r="A190" s="37" t="n"/>
      <c r="B190" s="39" t="str">
        <f>IF(A190="","",IFERROR(INDEX(art_des,MATCH(A190,art_ref,0))&amp;"","Référence inconnue"))</f>
        <v/>
      </c>
      <c r="C190" s="39" t="str">
        <f>IF(A190="","",IFERROR(INDEX(art_unit,MATCH(A190,art_ref,0))&amp;"",""))</f>
        <v/>
      </c>
      <c r="D190" s="39" t="str">
        <f>IF(A190="","",IFERROR(INDEX(art_loc,MATCH(A190,art_ref,0))&amp;"",""))</f>
        <v/>
      </c>
      <c r="E190" s="39" t="str">
        <f>IF(A190="","",IFERROR(ROUND(N(INDEX(art_init,MATCH(A190,art_ref,0)))+SUMIFS(mv_qty,mv_ref,A190,mv_type,"Entrée",mv_date,"&lt;="&amp;$G$1)-SUMIFS(mv_qty,mv_ref,A190,mv_type,"Sortie",mv_date,"&lt;="&amp;$G$1),6),""))</f>
        <v/>
      </c>
      <c r="F190" s="37" t="n"/>
      <c r="G190" s="39" t="str">
        <f>IF(OR(A190="",F190="",E190=""),"",ROUND(F190-E190,6))</f>
        <v/>
      </c>
      <c r="H190" s="40" t="str">
        <f>IF(G190="","",G190*IFERROR(N(INDEX(art_price,MATCH(A190,art_ref,0))),0))</f>
        <v/>
      </c>
      <c r="I190" s="39" t="str">
        <f>IF(A190="","",IF(E190="","Référence inconnue",IF(F190="","À compter",IF(G190&gt;0,"Saisir une entrée de "&amp;G190,IF(G190&lt;0,"Saisir une sortie de "&amp;-G190,"Conforme")))))</f>
        <v/>
      </c>
    </row>
    <row r="191">
      <c r="A191" s="37" t="n"/>
      <c r="B191" s="39" t="str">
        <f>IF(A191="","",IFERROR(INDEX(art_des,MATCH(A191,art_ref,0))&amp;"","Référence inconnue"))</f>
        <v/>
      </c>
      <c r="C191" s="39" t="str">
        <f>IF(A191="","",IFERROR(INDEX(art_unit,MATCH(A191,art_ref,0))&amp;"",""))</f>
        <v/>
      </c>
      <c r="D191" s="39" t="str">
        <f>IF(A191="","",IFERROR(INDEX(art_loc,MATCH(A191,art_ref,0))&amp;"",""))</f>
        <v/>
      </c>
      <c r="E191" s="39" t="str">
        <f>IF(A191="","",IFERROR(ROUND(N(INDEX(art_init,MATCH(A191,art_ref,0)))+SUMIFS(mv_qty,mv_ref,A191,mv_type,"Entrée",mv_date,"&lt;="&amp;$G$1)-SUMIFS(mv_qty,mv_ref,A191,mv_type,"Sortie",mv_date,"&lt;="&amp;$G$1),6),""))</f>
        <v/>
      </c>
      <c r="F191" s="37" t="n"/>
      <c r="G191" s="39" t="str">
        <f>IF(OR(A191="",F191="",E191=""),"",ROUND(F191-E191,6))</f>
        <v/>
      </c>
      <c r="H191" s="40" t="str">
        <f>IF(G191="","",G191*IFERROR(N(INDEX(art_price,MATCH(A191,art_ref,0))),0))</f>
        <v/>
      </c>
      <c r="I191" s="39" t="str">
        <f>IF(A191="","",IF(E191="","Référence inconnue",IF(F191="","À compter",IF(G191&gt;0,"Saisir une entrée de "&amp;G191,IF(G191&lt;0,"Saisir une sortie de "&amp;-G191,"Conforme")))))</f>
        <v/>
      </c>
    </row>
    <row r="192">
      <c r="A192" s="37" t="n"/>
      <c r="B192" s="39" t="str">
        <f>IF(A192="","",IFERROR(INDEX(art_des,MATCH(A192,art_ref,0))&amp;"","Référence inconnue"))</f>
        <v/>
      </c>
      <c r="C192" s="39" t="str">
        <f>IF(A192="","",IFERROR(INDEX(art_unit,MATCH(A192,art_ref,0))&amp;"",""))</f>
        <v/>
      </c>
      <c r="D192" s="39" t="str">
        <f>IF(A192="","",IFERROR(INDEX(art_loc,MATCH(A192,art_ref,0))&amp;"",""))</f>
        <v/>
      </c>
      <c r="E192" s="39" t="str">
        <f>IF(A192="","",IFERROR(ROUND(N(INDEX(art_init,MATCH(A192,art_ref,0)))+SUMIFS(mv_qty,mv_ref,A192,mv_type,"Entrée",mv_date,"&lt;="&amp;$G$1)-SUMIFS(mv_qty,mv_ref,A192,mv_type,"Sortie",mv_date,"&lt;="&amp;$G$1),6),""))</f>
        <v/>
      </c>
      <c r="F192" s="37" t="n"/>
      <c r="G192" s="39" t="str">
        <f>IF(OR(A192="",F192="",E192=""),"",ROUND(F192-E192,6))</f>
        <v/>
      </c>
      <c r="H192" s="40" t="str">
        <f>IF(G192="","",G192*IFERROR(N(INDEX(art_price,MATCH(A192,art_ref,0))),0))</f>
        <v/>
      </c>
      <c r="I192" s="39" t="str">
        <f>IF(A192="","",IF(E192="","Référence inconnue",IF(F192="","À compter",IF(G192&gt;0,"Saisir une entrée de "&amp;G192,IF(G192&lt;0,"Saisir une sortie de "&amp;-G192,"Conforme")))))</f>
        <v/>
      </c>
    </row>
    <row r="193">
      <c r="A193" s="37" t="n"/>
      <c r="B193" s="39" t="str">
        <f>IF(A193="","",IFERROR(INDEX(art_des,MATCH(A193,art_ref,0))&amp;"","Référence inconnue"))</f>
        <v/>
      </c>
      <c r="C193" s="39" t="str">
        <f>IF(A193="","",IFERROR(INDEX(art_unit,MATCH(A193,art_ref,0))&amp;"",""))</f>
        <v/>
      </c>
      <c r="D193" s="39" t="str">
        <f>IF(A193="","",IFERROR(INDEX(art_loc,MATCH(A193,art_ref,0))&amp;"",""))</f>
        <v/>
      </c>
      <c r="E193" s="39" t="str">
        <f>IF(A193="","",IFERROR(ROUND(N(INDEX(art_init,MATCH(A193,art_ref,0)))+SUMIFS(mv_qty,mv_ref,A193,mv_type,"Entrée",mv_date,"&lt;="&amp;$G$1)-SUMIFS(mv_qty,mv_ref,A193,mv_type,"Sortie",mv_date,"&lt;="&amp;$G$1),6),""))</f>
        <v/>
      </c>
      <c r="F193" s="37" t="n"/>
      <c r="G193" s="39" t="str">
        <f>IF(OR(A193="",F193="",E193=""),"",ROUND(F193-E193,6))</f>
        <v/>
      </c>
      <c r="H193" s="40" t="str">
        <f>IF(G193="","",G193*IFERROR(N(INDEX(art_price,MATCH(A193,art_ref,0))),0))</f>
        <v/>
      </c>
      <c r="I193" s="39" t="str">
        <f>IF(A193="","",IF(E193="","Référence inconnue",IF(F193="","À compter",IF(G193&gt;0,"Saisir une entrée de "&amp;G193,IF(G193&lt;0,"Saisir une sortie de "&amp;-G193,"Conforme")))))</f>
        <v/>
      </c>
    </row>
    <row r="194">
      <c r="A194" s="37" t="n"/>
      <c r="B194" s="39" t="str">
        <f>IF(A194="","",IFERROR(INDEX(art_des,MATCH(A194,art_ref,0))&amp;"","Référence inconnue"))</f>
        <v/>
      </c>
      <c r="C194" s="39" t="str">
        <f>IF(A194="","",IFERROR(INDEX(art_unit,MATCH(A194,art_ref,0))&amp;"",""))</f>
        <v/>
      </c>
      <c r="D194" s="39" t="str">
        <f>IF(A194="","",IFERROR(INDEX(art_loc,MATCH(A194,art_ref,0))&amp;"",""))</f>
        <v/>
      </c>
      <c r="E194" s="39" t="str">
        <f>IF(A194="","",IFERROR(ROUND(N(INDEX(art_init,MATCH(A194,art_ref,0)))+SUMIFS(mv_qty,mv_ref,A194,mv_type,"Entrée",mv_date,"&lt;="&amp;$G$1)-SUMIFS(mv_qty,mv_ref,A194,mv_type,"Sortie",mv_date,"&lt;="&amp;$G$1),6),""))</f>
        <v/>
      </c>
      <c r="F194" s="37" t="n"/>
      <c r="G194" s="39" t="str">
        <f>IF(OR(A194="",F194="",E194=""),"",ROUND(F194-E194,6))</f>
        <v/>
      </c>
      <c r="H194" s="40" t="str">
        <f>IF(G194="","",G194*IFERROR(N(INDEX(art_price,MATCH(A194,art_ref,0))),0))</f>
        <v/>
      </c>
      <c r="I194" s="39" t="str">
        <f>IF(A194="","",IF(E194="","Référence inconnue",IF(F194="","À compter",IF(G194&gt;0,"Saisir une entrée de "&amp;G194,IF(G194&lt;0,"Saisir une sortie de "&amp;-G194,"Conforme")))))</f>
        <v/>
      </c>
    </row>
    <row r="195">
      <c r="A195" s="37" t="n"/>
      <c r="B195" s="39" t="str">
        <f>IF(A195="","",IFERROR(INDEX(art_des,MATCH(A195,art_ref,0))&amp;"","Référence inconnue"))</f>
        <v/>
      </c>
      <c r="C195" s="39" t="str">
        <f>IF(A195="","",IFERROR(INDEX(art_unit,MATCH(A195,art_ref,0))&amp;"",""))</f>
        <v/>
      </c>
      <c r="D195" s="39" t="str">
        <f>IF(A195="","",IFERROR(INDEX(art_loc,MATCH(A195,art_ref,0))&amp;"",""))</f>
        <v/>
      </c>
      <c r="E195" s="39" t="str">
        <f>IF(A195="","",IFERROR(ROUND(N(INDEX(art_init,MATCH(A195,art_ref,0)))+SUMIFS(mv_qty,mv_ref,A195,mv_type,"Entrée",mv_date,"&lt;="&amp;$G$1)-SUMIFS(mv_qty,mv_ref,A195,mv_type,"Sortie",mv_date,"&lt;="&amp;$G$1),6),""))</f>
        <v/>
      </c>
      <c r="F195" s="37" t="n"/>
      <c r="G195" s="39" t="str">
        <f>IF(OR(A195="",F195="",E195=""),"",ROUND(F195-E195,6))</f>
        <v/>
      </c>
      <c r="H195" s="40" t="str">
        <f>IF(G195="","",G195*IFERROR(N(INDEX(art_price,MATCH(A195,art_ref,0))),0))</f>
        <v/>
      </c>
      <c r="I195" s="39" t="str">
        <f>IF(A195="","",IF(E195="","Référence inconnue",IF(F195="","À compter",IF(G195&gt;0,"Saisir une entrée de "&amp;G195,IF(G195&lt;0,"Saisir une sortie de "&amp;-G195,"Conforme")))))</f>
        <v/>
      </c>
    </row>
    <row r="196">
      <c r="A196" s="37" t="n"/>
      <c r="B196" s="39" t="str">
        <f>IF(A196="","",IFERROR(INDEX(art_des,MATCH(A196,art_ref,0))&amp;"","Référence inconnue"))</f>
        <v/>
      </c>
      <c r="C196" s="39" t="str">
        <f>IF(A196="","",IFERROR(INDEX(art_unit,MATCH(A196,art_ref,0))&amp;"",""))</f>
        <v/>
      </c>
      <c r="D196" s="39" t="str">
        <f>IF(A196="","",IFERROR(INDEX(art_loc,MATCH(A196,art_ref,0))&amp;"",""))</f>
        <v/>
      </c>
      <c r="E196" s="39" t="str">
        <f>IF(A196="","",IFERROR(ROUND(N(INDEX(art_init,MATCH(A196,art_ref,0)))+SUMIFS(mv_qty,mv_ref,A196,mv_type,"Entrée",mv_date,"&lt;="&amp;$G$1)-SUMIFS(mv_qty,mv_ref,A196,mv_type,"Sortie",mv_date,"&lt;="&amp;$G$1),6),""))</f>
        <v/>
      </c>
      <c r="F196" s="37" t="n"/>
      <c r="G196" s="39" t="str">
        <f>IF(OR(A196="",F196="",E196=""),"",ROUND(F196-E196,6))</f>
        <v/>
      </c>
      <c r="H196" s="40" t="str">
        <f>IF(G196="","",G196*IFERROR(N(INDEX(art_price,MATCH(A196,art_ref,0))),0))</f>
        <v/>
      </c>
      <c r="I196" s="39" t="str">
        <f>IF(A196="","",IF(E196="","Référence inconnue",IF(F196="","À compter",IF(G196&gt;0,"Saisir une entrée de "&amp;G196,IF(G196&lt;0,"Saisir une sortie de "&amp;-G196,"Conforme")))))</f>
        <v/>
      </c>
    </row>
    <row r="197">
      <c r="A197" s="37" t="n"/>
      <c r="B197" s="39" t="str">
        <f>IF(A197="","",IFERROR(INDEX(art_des,MATCH(A197,art_ref,0))&amp;"","Référence inconnue"))</f>
        <v/>
      </c>
      <c r="C197" s="39" t="str">
        <f>IF(A197="","",IFERROR(INDEX(art_unit,MATCH(A197,art_ref,0))&amp;"",""))</f>
        <v/>
      </c>
      <c r="D197" s="39" t="str">
        <f>IF(A197="","",IFERROR(INDEX(art_loc,MATCH(A197,art_ref,0))&amp;"",""))</f>
        <v/>
      </c>
      <c r="E197" s="39" t="str">
        <f>IF(A197="","",IFERROR(ROUND(N(INDEX(art_init,MATCH(A197,art_ref,0)))+SUMIFS(mv_qty,mv_ref,A197,mv_type,"Entrée",mv_date,"&lt;="&amp;$G$1)-SUMIFS(mv_qty,mv_ref,A197,mv_type,"Sortie",mv_date,"&lt;="&amp;$G$1),6),""))</f>
        <v/>
      </c>
      <c r="F197" s="37" t="n"/>
      <c r="G197" s="39" t="str">
        <f>IF(OR(A197="",F197="",E197=""),"",ROUND(F197-E197,6))</f>
        <v/>
      </c>
      <c r="H197" s="40" t="str">
        <f>IF(G197="","",G197*IFERROR(N(INDEX(art_price,MATCH(A197,art_ref,0))),0))</f>
        <v/>
      </c>
      <c r="I197" s="39" t="str">
        <f>IF(A197="","",IF(E197="","Référence inconnue",IF(F197="","À compter",IF(G197&gt;0,"Saisir une entrée de "&amp;G197,IF(G197&lt;0,"Saisir une sortie de "&amp;-G197,"Conforme")))))</f>
        <v/>
      </c>
    </row>
    <row r="198">
      <c r="A198" s="37" t="n"/>
      <c r="B198" s="39" t="str">
        <f>IF(A198="","",IFERROR(INDEX(art_des,MATCH(A198,art_ref,0))&amp;"","Référence inconnue"))</f>
        <v/>
      </c>
      <c r="C198" s="39" t="str">
        <f>IF(A198="","",IFERROR(INDEX(art_unit,MATCH(A198,art_ref,0))&amp;"",""))</f>
        <v/>
      </c>
      <c r="D198" s="39" t="str">
        <f>IF(A198="","",IFERROR(INDEX(art_loc,MATCH(A198,art_ref,0))&amp;"",""))</f>
        <v/>
      </c>
      <c r="E198" s="39" t="str">
        <f>IF(A198="","",IFERROR(ROUND(N(INDEX(art_init,MATCH(A198,art_ref,0)))+SUMIFS(mv_qty,mv_ref,A198,mv_type,"Entrée",mv_date,"&lt;="&amp;$G$1)-SUMIFS(mv_qty,mv_ref,A198,mv_type,"Sortie",mv_date,"&lt;="&amp;$G$1),6),""))</f>
        <v/>
      </c>
      <c r="F198" s="37" t="n"/>
      <c r="G198" s="39" t="str">
        <f>IF(OR(A198="",F198="",E198=""),"",ROUND(F198-E198,6))</f>
        <v/>
      </c>
      <c r="H198" s="40" t="str">
        <f>IF(G198="","",G198*IFERROR(N(INDEX(art_price,MATCH(A198,art_ref,0))),0))</f>
        <v/>
      </c>
      <c r="I198" s="39" t="str">
        <f>IF(A198="","",IF(E198="","Référence inconnue",IF(F198="","À compter",IF(G198&gt;0,"Saisir une entrée de "&amp;G198,IF(G198&lt;0,"Saisir une sortie de "&amp;-G198,"Conforme")))))</f>
        <v/>
      </c>
    </row>
    <row r="199">
      <c r="A199" s="37" t="n"/>
      <c r="B199" s="39" t="str">
        <f>IF(A199="","",IFERROR(INDEX(art_des,MATCH(A199,art_ref,0))&amp;"","Référence inconnue"))</f>
        <v/>
      </c>
      <c r="C199" s="39" t="str">
        <f>IF(A199="","",IFERROR(INDEX(art_unit,MATCH(A199,art_ref,0))&amp;"",""))</f>
        <v/>
      </c>
      <c r="D199" s="39" t="str">
        <f>IF(A199="","",IFERROR(INDEX(art_loc,MATCH(A199,art_ref,0))&amp;"",""))</f>
        <v/>
      </c>
      <c r="E199" s="39" t="str">
        <f>IF(A199="","",IFERROR(ROUND(N(INDEX(art_init,MATCH(A199,art_ref,0)))+SUMIFS(mv_qty,mv_ref,A199,mv_type,"Entrée",mv_date,"&lt;="&amp;$G$1)-SUMIFS(mv_qty,mv_ref,A199,mv_type,"Sortie",mv_date,"&lt;="&amp;$G$1),6),""))</f>
        <v/>
      </c>
      <c r="F199" s="37" t="n"/>
      <c r="G199" s="39" t="str">
        <f>IF(OR(A199="",F199="",E199=""),"",ROUND(F199-E199,6))</f>
        <v/>
      </c>
      <c r="H199" s="40" t="str">
        <f>IF(G199="","",G199*IFERROR(N(INDEX(art_price,MATCH(A199,art_ref,0))),0))</f>
        <v/>
      </c>
      <c r="I199" s="39" t="str">
        <f>IF(A199="","",IF(E199="","Référence inconnue",IF(F199="","À compter",IF(G199&gt;0,"Saisir une entrée de "&amp;G199,IF(G199&lt;0,"Saisir une sortie de "&amp;-G199,"Conforme")))))</f>
        <v/>
      </c>
    </row>
    <row r="200">
      <c r="A200" s="37" t="n"/>
      <c r="B200" s="39" t="str">
        <f>IF(A200="","",IFERROR(INDEX(art_des,MATCH(A200,art_ref,0))&amp;"","Référence inconnue"))</f>
        <v/>
      </c>
      <c r="C200" s="39" t="str">
        <f>IF(A200="","",IFERROR(INDEX(art_unit,MATCH(A200,art_ref,0))&amp;"",""))</f>
        <v/>
      </c>
      <c r="D200" s="39" t="str">
        <f>IF(A200="","",IFERROR(INDEX(art_loc,MATCH(A200,art_ref,0))&amp;"",""))</f>
        <v/>
      </c>
      <c r="E200" s="39" t="str">
        <f>IF(A200="","",IFERROR(ROUND(N(INDEX(art_init,MATCH(A200,art_ref,0)))+SUMIFS(mv_qty,mv_ref,A200,mv_type,"Entrée",mv_date,"&lt;="&amp;$G$1)-SUMIFS(mv_qty,mv_ref,A200,mv_type,"Sortie",mv_date,"&lt;="&amp;$G$1),6),""))</f>
        <v/>
      </c>
      <c r="F200" s="37" t="n"/>
      <c r="G200" s="39" t="str">
        <f>IF(OR(A200="",F200="",E200=""),"",ROUND(F200-E200,6))</f>
        <v/>
      </c>
      <c r="H200" s="40" t="str">
        <f>IF(G200="","",G200*IFERROR(N(INDEX(art_price,MATCH(A200,art_ref,0))),0))</f>
        <v/>
      </c>
      <c r="I200" s="39" t="str">
        <f>IF(A200="","",IF(E200="","Référence inconnue",IF(F200="","À compter",IF(G200&gt;0,"Saisir une entrée de "&amp;G200,IF(G200&lt;0,"Saisir une sortie de "&amp;-G200,"Conforme")))))</f>
        <v/>
      </c>
    </row>
    <row r="201">
      <c r="A201" s="37" t="n"/>
      <c r="B201" s="39" t="str">
        <f>IF(A201="","",IFERROR(INDEX(art_des,MATCH(A201,art_ref,0))&amp;"","Référence inconnue"))</f>
        <v/>
      </c>
      <c r="C201" s="39" t="str">
        <f>IF(A201="","",IFERROR(INDEX(art_unit,MATCH(A201,art_ref,0))&amp;"",""))</f>
        <v/>
      </c>
      <c r="D201" s="39" t="str">
        <f>IF(A201="","",IFERROR(INDEX(art_loc,MATCH(A201,art_ref,0))&amp;"",""))</f>
        <v/>
      </c>
      <c r="E201" s="39" t="str">
        <f>IF(A201="","",IFERROR(ROUND(N(INDEX(art_init,MATCH(A201,art_ref,0)))+SUMIFS(mv_qty,mv_ref,A201,mv_type,"Entrée",mv_date,"&lt;="&amp;$G$1)-SUMIFS(mv_qty,mv_ref,A201,mv_type,"Sortie",mv_date,"&lt;="&amp;$G$1),6),""))</f>
        <v/>
      </c>
      <c r="F201" s="37" t="n"/>
      <c r="G201" s="39" t="str">
        <f>IF(OR(A201="",F201="",E201=""),"",ROUND(F201-E201,6))</f>
        <v/>
      </c>
      <c r="H201" s="40" t="str">
        <f>IF(G201="","",G201*IFERROR(N(INDEX(art_price,MATCH(A201,art_ref,0))),0))</f>
        <v/>
      </c>
      <c r="I201" s="39" t="str">
        <f>IF(A201="","",IF(E201="","Référence inconnue",IF(F201="","À compter",IF(G201&gt;0,"Saisir une entrée de "&amp;G201,IF(G201&lt;0,"Saisir une sortie de "&amp;-G201,"Conforme")))))</f>
        <v/>
      </c>
    </row>
    <row r="202">
      <c r="A202" s="37" t="n"/>
      <c r="B202" s="39" t="str">
        <f>IF(A202="","",IFERROR(INDEX(art_des,MATCH(A202,art_ref,0))&amp;"","Référence inconnue"))</f>
        <v/>
      </c>
      <c r="C202" s="39" t="str">
        <f>IF(A202="","",IFERROR(INDEX(art_unit,MATCH(A202,art_ref,0))&amp;"",""))</f>
        <v/>
      </c>
      <c r="D202" s="39" t="str">
        <f>IF(A202="","",IFERROR(INDEX(art_loc,MATCH(A202,art_ref,0))&amp;"",""))</f>
        <v/>
      </c>
      <c r="E202" s="39" t="str">
        <f>IF(A202="","",IFERROR(ROUND(N(INDEX(art_init,MATCH(A202,art_ref,0)))+SUMIFS(mv_qty,mv_ref,A202,mv_type,"Entrée",mv_date,"&lt;="&amp;$G$1)-SUMIFS(mv_qty,mv_ref,A202,mv_type,"Sortie",mv_date,"&lt;="&amp;$G$1),6),""))</f>
        <v/>
      </c>
      <c r="F202" s="37" t="n"/>
      <c r="G202" s="39" t="str">
        <f>IF(OR(A202="",F202="",E202=""),"",ROUND(F202-E202,6))</f>
        <v/>
      </c>
      <c r="H202" s="40" t="str">
        <f>IF(G202="","",G202*IFERROR(N(INDEX(art_price,MATCH(A202,art_ref,0))),0))</f>
        <v/>
      </c>
      <c r="I202" s="39" t="str">
        <f>IF(A202="","",IF(E202="","Référence inconnue",IF(F202="","À compter",IF(G202&gt;0,"Saisir une entrée de "&amp;G202,IF(G202&lt;0,"Saisir une sortie de "&amp;-G202,"Conforme")))))</f>
        <v/>
      </c>
    </row>
    <row r="203">
      <c r="A203" s="37" t="n"/>
      <c r="B203" s="39" t="str">
        <f>IF(A203="","",IFERROR(INDEX(art_des,MATCH(A203,art_ref,0))&amp;"","Référence inconnue"))</f>
        <v/>
      </c>
      <c r="C203" s="39" t="str">
        <f>IF(A203="","",IFERROR(INDEX(art_unit,MATCH(A203,art_ref,0))&amp;"",""))</f>
        <v/>
      </c>
      <c r="D203" s="39" t="str">
        <f>IF(A203="","",IFERROR(INDEX(art_loc,MATCH(A203,art_ref,0))&amp;"",""))</f>
        <v/>
      </c>
      <c r="E203" s="39" t="str">
        <f>IF(A203="","",IFERROR(ROUND(N(INDEX(art_init,MATCH(A203,art_ref,0)))+SUMIFS(mv_qty,mv_ref,A203,mv_type,"Entrée",mv_date,"&lt;="&amp;$G$1)-SUMIFS(mv_qty,mv_ref,A203,mv_type,"Sortie",mv_date,"&lt;="&amp;$G$1),6),""))</f>
        <v/>
      </c>
      <c r="F203" s="37" t="n"/>
      <c r="G203" s="39" t="str">
        <f>IF(OR(A203="",F203="",E203=""),"",ROUND(F203-E203,6))</f>
        <v/>
      </c>
      <c r="H203" s="40" t="str">
        <f>IF(G203="","",G203*IFERROR(N(INDEX(art_price,MATCH(A203,art_ref,0))),0))</f>
        <v/>
      </c>
      <c r="I203" s="39" t="str">
        <f>IF(A203="","",IF(E203="","Référence inconnue",IF(F203="","À compter",IF(G203&gt;0,"Saisir une entrée de "&amp;G203,IF(G203&lt;0,"Saisir une sortie de "&amp;-G203,"Conforme")))))</f>
        <v/>
      </c>
    </row>
    <row r="204">
      <c r="A204" s="37" t="n"/>
      <c r="B204" s="39" t="str">
        <f>IF(A204="","",IFERROR(INDEX(art_des,MATCH(A204,art_ref,0))&amp;"","Référence inconnue"))</f>
        <v/>
      </c>
      <c r="C204" s="39" t="str">
        <f>IF(A204="","",IFERROR(INDEX(art_unit,MATCH(A204,art_ref,0))&amp;"",""))</f>
        <v/>
      </c>
      <c r="D204" s="39" t="str">
        <f>IF(A204="","",IFERROR(INDEX(art_loc,MATCH(A204,art_ref,0))&amp;"",""))</f>
        <v/>
      </c>
      <c r="E204" s="39" t="str">
        <f>IF(A204="","",IFERROR(ROUND(N(INDEX(art_init,MATCH(A204,art_ref,0)))+SUMIFS(mv_qty,mv_ref,A204,mv_type,"Entrée",mv_date,"&lt;="&amp;$G$1)-SUMIFS(mv_qty,mv_ref,A204,mv_type,"Sortie",mv_date,"&lt;="&amp;$G$1),6),""))</f>
        <v/>
      </c>
      <c r="F204" s="37" t="n"/>
      <c r="G204" s="39" t="str">
        <f>IF(OR(A204="",F204="",E204=""),"",ROUND(F204-E204,6))</f>
        <v/>
      </c>
      <c r="H204" s="40" t="str">
        <f>IF(G204="","",G204*IFERROR(N(INDEX(art_price,MATCH(A204,art_ref,0))),0))</f>
        <v/>
      </c>
      <c r="I204" s="39" t="str">
        <f>IF(A204="","",IF(E204="","Référence inconnue",IF(F204="","À compter",IF(G204&gt;0,"Saisir une entrée de "&amp;G204,IF(G204&lt;0,"Saisir une sortie de "&amp;-G204,"Conforme")))))</f>
        <v/>
      </c>
    </row>
    <row r="205">
      <c r="A205" s="37" t="n"/>
      <c r="B205" s="39" t="str">
        <f>IF(A205="","",IFERROR(INDEX(art_des,MATCH(A205,art_ref,0))&amp;"","Référence inconnue"))</f>
        <v/>
      </c>
      <c r="C205" s="39" t="str">
        <f>IF(A205="","",IFERROR(INDEX(art_unit,MATCH(A205,art_ref,0))&amp;"",""))</f>
        <v/>
      </c>
      <c r="D205" s="39" t="str">
        <f>IF(A205="","",IFERROR(INDEX(art_loc,MATCH(A205,art_ref,0))&amp;"",""))</f>
        <v/>
      </c>
      <c r="E205" s="39" t="str">
        <f>IF(A205="","",IFERROR(ROUND(N(INDEX(art_init,MATCH(A205,art_ref,0)))+SUMIFS(mv_qty,mv_ref,A205,mv_type,"Entrée",mv_date,"&lt;="&amp;$G$1)-SUMIFS(mv_qty,mv_ref,A205,mv_type,"Sortie",mv_date,"&lt;="&amp;$G$1),6),""))</f>
        <v/>
      </c>
      <c r="F205" s="37" t="n"/>
      <c r="G205" s="39" t="str">
        <f>IF(OR(A205="",F205="",E205=""),"",ROUND(F205-E205,6))</f>
        <v/>
      </c>
      <c r="H205" s="40" t="str">
        <f>IF(G205="","",G205*IFERROR(N(INDEX(art_price,MATCH(A205,art_ref,0))),0))</f>
        <v/>
      </c>
      <c r="I205" s="39" t="str">
        <f>IF(A205="","",IF(E205="","Référence inconnue",IF(F205="","À compter",IF(G205&gt;0,"Saisir une entrée de "&amp;G205,IF(G205&lt;0,"Saisir une sortie de "&amp;-G205,"Conforme")))))</f>
        <v/>
      </c>
    </row>
    <row r="206">
      <c r="A206" s="37" t="n"/>
      <c r="B206" s="39" t="str">
        <f>IF(A206="","",IFERROR(INDEX(art_des,MATCH(A206,art_ref,0))&amp;"","Référence inconnue"))</f>
        <v/>
      </c>
      <c r="C206" s="39" t="str">
        <f>IF(A206="","",IFERROR(INDEX(art_unit,MATCH(A206,art_ref,0))&amp;"",""))</f>
        <v/>
      </c>
      <c r="D206" s="39" t="str">
        <f>IF(A206="","",IFERROR(INDEX(art_loc,MATCH(A206,art_ref,0))&amp;"",""))</f>
        <v/>
      </c>
      <c r="E206" s="39" t="str">
        <f>IF(A206="","",IFERROR(ROUND(N(INDEX(art_init,MATCH(A206,art_ref,0)))+SUMIFS(mv_qty,mv_ref,A206,mv_type,"Entrée",mv_date,"&lt;="&amp;$G$1)-SUMIFS(mv_qty,mv_ref,A206,mv_type,"Sortie",mv_date,"&lt;="&amp;$G$1),6),""))</f>
        <v/>
      </c>
      <c r="F206" s="37" t="n"/>
      <c r="G206" s="39" t="str">
        <f>IF(OR(A206="",F206="",E206=""),"",ROUND(F206-E206,6))</f>
        <v/>
      </c>
      <c r="H206" s="40" t="str">
        <f>IF(G206="","",G206*IFERROR(N(INDEX(art_price,MATCH(A206,art_ref,0))),0))</f>
        <v/>
      </c>
      <c r="I206" s="39" t="str">
        <f>IF(A206="","",IF(E206="","Référence inconnue",IF(F206="","À compter",IF(G206&gt;0,"Saisir une entrée de "&amp;G206,IF(G206&lt;0,"Saisir une sortie de "&amp;-G206,"Conforme")))))</f>
        <v/>
      </c>
    </row>
    <row r="207">
      <c r="A207" s="37" t="n"/>
      <c r="B207" s="39" t="str">
        <f>IF(A207="","",IFERROR(INDEX(art_des,MATCH(A207,art_ref,0))&amp;"","Référence inconnue"))</f>
        <v/>
      </c>
      <c r="C207" s="39" t="str">
        <f>IF(A207="","",IFERROR(INDEX(art_unit,MATCH(A207,art_ref,0))&amp;"",""))</f>
        <v/>
      </c>
      <c r="D207" s="39" t="str">
        <f>IF(A207="","",IFERROR(INDEX(art_loc,MATCH(A207,art_ref,0))&amp;"",""))</f>
        <v/>
      </c>
      <c r="E207" s="39" t="str">
        <f>IF(A207="","",IFERROR(ROUND(N(INDEX(art_init,MATCH(A207,art_ref,0)))+SUMIFS(mv_qty,mv_ref,A207,mv_type,"Entrée",mv_date,"&lt;="&amp;$G$1)-SUMIFS(mv_qty,mv_ref,A207,mv_type,"Sortie",mv_date,"&lt;="&amp;$G$1),6),""))</f>
        <v/>
      </c>
      <c r="F207" s="37" t="n"/>
      <c r="G207" s="39" t="str">
        <f>IF(OR(A207="",F207="",E207=""),"",ROUND(F207-E207,6))</f>
        <v/>
      </c>
      <c r="H207" s="40" t="str">
        <f>IF(G207="","",G207*IFERROR(N(INDEX(art_price,MATCH(A207,art_ref,0))),0))</f>
        <v/>
      </c>
      <c r="I207" s="39" t="str">
        <f>IF(A207="","",IF(E207="","Référence inconnue",IF(F207="","À compter",IF(G207&gt;0,"Saisir une entrée de "&amp;G207,IF(G207&lt;0,"Saisir une sortie de "&amp;-G207,"Conforme")))))</f>
        <v/>
      </c>
    </row>
    <row r="208">
      <c r="A208" s="37" t="n"/>
      <c r="B208" s="39" t="str">
        <f>IF(A208="","",IFERROR(INDEX(art_des,MATCH(A208,art_ref,0))&amp;"","Référence inconnue"))</f>
        <v/>
      </c>
      <c r="C208" s="39" t="str">
        <f>IF(A208="","",IFERROR(INDEX(art_unit,MATCH(A208,art_ref,0))&amp;"",""))</f>
        <v/>
      </c>
      <c r="D208" s="39" t="str">
        <f>IF(A208="","",IFERROR(INDEX(art_loc,MATCH(A208,art_ref,0))&amp;"",""))</f>
        <v/>
      </c>
      <c r="E208" s="39" t="str">
        <f>IF(A208="","",IFERROR(ROUND(N(INDEX(art_init,MATCH(A208,art_ref,0)))+SUMIFS(mv_qty,mv_ref,A208,mv_type,"Entrée",mv_date,"&lt;="&amp;$G$1)-SUMIFS(mv_qty,mv_ref,A208,mv_type,"Sortie",mv_date,"&lt;="&amp;$G$1),6),""))</f>
        <v/>
      </c>
      <c r="F208" s="37" t="n"/>
      <c r="G208" s="39" t="str">
        <f>IF(OR(A208="",F208="",E208=""),"",ROUND(F208-E208,6))</f>
        <v/>
      </c>
      <c r="H208" s="40" t="str">
        <f>IF(G208="","",G208*IFERROR(N(INDEX(art_price,MATCH(A208,art_ref,0))),0))</f>
        <v/>
      </c>
      <c r="I208" s="39" t="str">
        <f>IF(A208="","",IF(E208="","Référence inconnue",IF(F208="","À compter",IF(G208&gt;0,"Saisir une entrée de "&amp;G208,IF(G208&lt;0,"Saisir une sortie de "&amp;-G208,"Conforme")))))</f>
        <v/>
      </c>
    </row>
    <row r="209">
      <c r="A209" s="37" t="n"/>
      <c r="B209" s="39" t="str">
        <f>IF(A209="","",IFERROR(INDEX(art_des,MATCH(A209,art_ref,0))&amp;"","Référence inconnue"))</f>
        <v/>
      </c>
      <c r="C209" s="39" t="str">
        <f>IF(A209="","",IFERROR(INDEX(art_unit,MATCH(A209,art_ref,0))&amp;"",""))</f>
        <v/>
      </c>
      <c r="D209" s="39" t="str">
        <f>IF(A209="","",IFERROR(INDEX(art_loc,MATCH(A209,art_ref,0))&amp;"",""))</f>
        <v/>
      </c>
      <c r="E209" s="39" t="str">
        <f>IF(A209="","",IFERROR(ROUND(N(INDEX(art_init,MATCH(A209,art_ref,0)))+SUMIFS(mv_qty,mv_ref,A209,mv_type,"Entrée",mv_date,"&lt;="&amp;$G$1)-SUMIFS(mv_qty,mv_ref,A209,mv_type,"Sortie",mv_date,"&lt;="&amp;$G$1),6),""))</f>
        <v/>
      </c>
      <c r="F209" s="37" t="n"/>
      <c r="G209" s="39" t="str">
        <f>IF(OR(A209="",F209="",E209=""),"",ROUND(F209-E209,6))</f>
        <v/>
      </c>
      <c r="H209" s="40" t="str">
        <f>IF(G209="","",G209*IFERROR(N(INDEX(art_price,MATCH(A209,art_ref,0))),0))</f>
        <v/>
      </c>
      <c r="I209" s="39" t="str">
        <f>IF(A209="","",IF(E209="","Référence inconnue",IF(F209="","À compter",IF(G209&gt;0,"Saisir une entrée de "&amp;G209,IF(G209&lt;0,"Saisir une sortie de "&amp;-G209,"Conforme")))))</f>
        <v/>
      </c>
    </row>
    <row r="210">
      <c r="A210" s="37" t="n"/>
      <c r="B210" s="39" t="str">
        <f>IF(A210="","",IFERROR(INDEX(art_des,MATCH(A210,art_ref,0))&amp;"","Référence inconnue"))</f>
        <v/>
      </c>
      <c r="C210" s="39" t="str">
        <f>IF(A210="","",IFERROR(INDEX(art_unit,MATCH(A210,art_ref,0))&amp;"",""))</f>
        <v/>
      </c>
      <c r="D210" s="39" t="str">
        <f>IF(A210="","",IFERROR(INDEX(art_loc,MATCH(A210,art_ref,0))&amp;"",""))</f>
        <v/>
      </c>
      <c r="E210" s="39" t="str">
        <f>IF(A210="","",IFERROR(ROUND(N(INDEX(art_init,MATCH(A210,art_ref,0)))+SUMIFS(mv_qty,mv_ref,A210,mv_type,"Entrée",mv_date,"&lt;="&amp;$G$1)-SUMIFS(mv_qty,mv_ref,A210,mv_type,"Sortie",mv_date,"&lt;="&amp;$G$1),6),""))</f>
        <v/>
      </c>
      <c r="F210" s="37" t="n"/>
      <c r="G210" s="39" t="str">
        <f>IF(OR(A210="",F210="",E210=""),"",ROUND(F210-E210,6))</f>
        <v/>
      </c>
      <c r="H210" s="40" t="str">
        <f>IF(G210="","",G210*IFERROR(N(INDEX(art_price,MATCH(A210,art_ref,0))),0))</f>
        <v/>
      </c>
      <c r="I210" s="39" t="str">
        <f>IF(A210="","",IF(E210="","Référence inconnue",IF(F210="","À compter",IF(G210&gt;0,"Saisir une entrée de "&amp;G210,IF(G210&lt;0,"Saisir une sortie de "&amp;-G210,"Conforme")))))</f>
        <v/>
      </c>
    </row>
    <row r="211">
      <c r="A211" s="37" t="n"/>
      <c r="B211" s="39" t="str">
        <f>IF(A211="","",IFERROR(INDEX(art_des,MATCH(A211,art_ref,0))&amp;"","Référence inconnue"))</f>
        <v/>
      </c>
      <c r="C211" s="39" t="str">
        <f>IF(A211="","",IFERROR(INDEX(art_unit,MATCH(A211,art_ref,0))&amp;"",""))</f>
        <v/>
      </c>
      <c r="D211" s="39" t="str">
        <f>IF(A211="","",IFERROR(INDEX(art_loc,MATCH(A211,art_ref,0))&amp;"",""))</f>
        <v/>
      </c>
      <c r="E211" s="39" t="str">
        <f>IF(A211="","",IFERROR(ROUND(N(INDEX(art_init,MATCH(A211,art_ref,0)))+SUMIFS(mv_qty,mv_ref,A211,mv_type,"Entrée",mv_date,"&lt;="&amp;$G$1)-SUMIFS(mv_qty,mv_ref,A211,mv_type,"Sortie",mv_date,"&lt;="&amp;$G$1),6),""))</f>
        <v/>
      </c>
      <c r="F211" s="37" t="n"/>
      <c r="G211" s="39" t="str">
        <f>IF(OR(A211="",F211="",E211=""),"",ROUND(F211-E211,6))</f>
        <v/>
      </c>
      <c r="H211" s="40" t="str">
        <f>IF(G211="","",G211*IFERROR(N(INDEX(art_price,MATCH(A211,art_ref,0))),0))</f>
        <v/>
      </c>
      <c r="I211" s="39" t="str">
        <f>IF(A211="","",IF(E211="","Référence inconnue",IF(F211="","À compter",IF(G211&gt;0,"Saisir une entrée de "&amp;G211,IF(G211&lt;0,"Saisir une sortie de "&amp;-G211,"Conforme")))))</f>
        <v/>
      </c>
    </row>
    <row r="212">
      <c r="A212" s="37" t="n"/>
      <c r="B212" s="39" t="str">
        <f>IF(A212="","",IFERROR(INDEX(art_des,MATCH(A212,art_ref,0))&amp;"","Référence inconnue"))</f>
        <v/>
      </c>
      <c r="C212" s="39" t="str">
        <f>IF(A212="","",IFERROR(INDEX(art_unit,MATCH(A212,art_ref,0))&amp;"",""))</f>
        <v/>
      </c>
      <c r="D212" s="39" t="str">
        <f>IF(A212="","",IFERROR(INDEX(art_loc,MATCH(A212,art_ref,0))&amp;"",""))</f>
        <v/>
      </c>
      <c r="E212" s="39" t="str">
        <f>IF(A212="","",IFERROR(ROUND(N(INDEX(art_init,MATCH(A212,art_ref,0)))+SUMIFS(mv_qty,mv_ref,A212,mv_type,"Entrée",mv_date,"&lt;="&amp;$G$1)-SUMIFS(mv_qty,mv_ref,A212,mv_type,"Sortie",mv_date,"&lt;="&amp;$G$1),6),""))</f>
        <v/>
      </c>
      <c r="F212" s="37" t="n"/>
      <c r="G212" s="39" t="str">
        <f>IF(OR(A212="",F212="",E212=""),"",ROUND(F212-E212,6))</f>
        <v/>
      </c>
      <c r="H212" s="40" t="str">
        <f>IF(G212="","",G212*IFERROR(N(INDEX(art_price,MATCH(A212,art_ref,0))),0))</f>
        <v/>
      </c>
      <c r="I212" s="39" t="str">
        <f>IF(A212="","",IF(E212="","Référence inconnue",IF(F212="","À compter",IF(G212&gt;0,"Saisir une entrée de "&amp;G212,IF(G212&lt;0,"Saisir une sortie de "&amp;-G212,"Conforme")))))</f>
        <v/>
      </c>
    </row>
    <row r="213">
      <c r="A213" s="37" t="n"/>
      <c r="B213" s="39" t="str">
        <f>IF(A213="","",IFERROR(INDEX(art_des,MATCH(A213,art_ref,0))&amp;"","Référence inconnue"))</f>
        <v/>
      </c>
      <c r="C213" s="39" t="str">
        <f>IF(A213="","",IFERROR(INDEX(art_unit,MATCH(A213,art_ref,0))&amp;"",""))</f>
        <v/>
      </c>
      <c r="D213" s="39" t="str">
        <f>IF(A213="","",IFERROR(INDEX(art_loc,MATCH(A213,art_ref,0))&amp;"",""))</f>
        <v/>
      </c>
      <c r="E213" s="39" t="str">
        <f>IF(A213="","",IFERROR(ROUND(N(INDEX(art_init,MATCH(A213,art_ref,0)))+SUMIFS(mv_qty,mv_ref,A213,mv_type,"Entrée",mv_date,"&lt;="&amp;$G$1)-SUMIFS(mv_qty,mv_ref,A213,mv_type,"Sortie",mv_date,"&lt;="&amp;$G$1),6),""))</f>
        <v/>
      </c>
      <c r="F213" s="37" t="n"/>
      <c r="G213" s="39" t="str">
        <f>IF(OR(A213="",F213="",E213=""),"",ROUND(F213-E213,6))</f>
        <v/>
      </c>
      <c r="H213" s="40" t="str">
        <f>IF(G213="","",G213*IFERROR(N(INDEX(art_price,MATCH(A213,art_ref,0))),0))</f>
        <v/>
      </c>
      <c r="I213" s="39" t="str">
        <f>IF(A213="","",IF(E213="","Référence inconnue",IF(F213="","À compter",IF(G213&gt;0,"Saisir une entrée de "&amp;G213,IF(G213&lt;0,"Saisir une sortie de "&amp;-G213,"Conforme")))))</f>
        <v/>
      </c>
    </row>
    <row r="214">
      <c r="A214" s="37" t="n"/>
      <c r="B214" s="39" t="str">
        <f>IF(A214="","",IFERROR(INDEX(art_des,MATCH(A214,art_ref,0))&amp;"","Référence inconnue"))</f>
        <v/>
      </c>
      <c r="C214" s="39" t="str">
        <f>IF(A214="","",IFERROR(INDEX(art_unit,MATCH(A214,art_ref,0))&amp;"",""))</f>
        <v/>
      </c>
      <c r="D214" s="39" t="str">
        <f>IF(A214="","",IFERROR(INDEX(art_loc,MATCH(A214,art_ref,0))&amp;"",""))</f>
        <v/>
      </c>
      <c r="E214" s="39" t="str">
        <f>IF(A214="","",IFERROR(ROUND(N(INDEX(art_init,MATCH(A214,art_ref,0)))+SUMIFS(mv_qty,mv_ref,A214,mv_type,"Entrée",mv_date,"&lt;="&amp;$G$1)-SUMIFS(mv_qty,mv_ref,A214,mv_type,"Sortie",mv_date,"&lt;="&amp;$G$1),6),""))</f>
        <v/>
      </c>
      <c r="F214" s="37" t="n"/>
      <c r="G214" s="39" t="str">
        <f>IF(OR(A214="",F214="",E214=""),"",ROUND(F214-E214,6))</f>
        <v/>
      </c>
      <c r="H214" s="40" t="str">
        <f>IF(G214="","",G214*IFERROR(N(INDEX(art_price,MATCH(A214,art_ref,0))),0))</f>
        <v/>
      </c>
      <c r="I214" s="39" t="str">
        <f>IF(A214="","",IF(E214="","Référence inconnue",IF(F214="","À compter",IF(G214&gt;0,"Saisir une entrée de "&amp;G214,IF(G214&lt;0,"Saisir une sortie de "&amp;-G214,"Conforme")))))</f>
        <v/>
      </c>
    </row>
    <row r="215">
      <c r="A215" s="37" t="n"/>
      <c r="B215" s="39" t="str">
        <f>IF(A215="","",IFERROR(INDEX(art_des,MATCH(A215,art_ref,0))&amp;"","Référence inconnue"))</f>
        <v/>
      </c>
      <c r="C215" s="39" t="str">
        <f>IF(A215="","",IFERROR(INDEX(art_unit,MATCH(A215,art_ref,0))&amp;"",""))</f>
        <v/>
      </c>
      <c r="D215" s="39" t="str">
        <f>IF(A215="","",IFERROR(INDEX(art_loc,MATCH(A215,art_ref,0))&amp;"",""))</f>
        <v/>
      </c>
      <c r="E215" s="39" t="str">
        <f>IF(A215="","",IFERROR(ROUND(N(INDEX(art_init,MATCH(A215,art_ref,0)))+SUMIFS(mv_qty,mv_ref,A215,mv_type,"Entrée",mv_date,"&lt;="&amp;$G$1)-SUMIFS(mv_qty,mv_ref,A215,mv_type,"Sortie",mv_date,"&lt;="&amp;$G$1),6),""))</f>
        <v/>
      </c>
      <c r="F215" s="37" t="n"/>
      <c r="G215" s="39" t="str">
        <f>IF(OR(A215="",F215="",E215=""),"",ROUND(F215-E215,6))</f>
        <v/>
      </c>
      <c r="H215" s="40" t="str">
        <f>IF(G215="","",G215*IFERROR(N(INDEX(art_price,MATCH(A215,art_ref,0))),0))</f>
        <v/>
      </c>
      <c r="I215" s="39" t="str">
        <f>IF(A215="","",IF(E215="","Référence inconnue",IF(F215="","À compter",IF(G215&gt;0,"Saisir une entrée de "&amp;G215,IF(G215&lt;0,"Saisir une sortie de "&amp;-G215,"Conforme")))))</f>
        <v/>
      </c>
    </row>
    <row r="216">
      <c r="A216" s="37" t="n"/>
      <c r="B216" s="39" t="str">
        <f>IF(A216="","",IFERROR(INDEX(art_des,MATCH(A216,art_ref,0))&amp;"","Référence inconnue"))</f>
        <v/>
      </c>
      <c r="C216" s="39" t="str">
        <f>IF(A216="","",IFERROR(INDEX(art_unit,MATCH(A216,art_ref,0))&amp;"",""))</f>
        <v/>
      </c>
      <c r="D216" s="39" t="str">
        <f>IF(A216="","",IFERROR(INDEX(art_loc,MATCH(A216,art_ref,0))&amp;"",""))</f>
        <v/>
      </c>
      <c r="E216" s="39" t="str">
        <f>IF(A216="","",IFERROR(ROUND(N(INDEX(art_init,MATCH(A216,art_ref,0)))+SUMIFS(mv_qty,mv_ref,A216,mv_type,"Entrée",mv_date,"&lt;="&amp;$G$1)-SUMIFS(mv_qty,mv_ref,A216,mv_type,"Sortie",mv_date,"&lt;="&amp;$G$1),6),""))</f>
        <v/>
      </c>
      <c r="F216" s="37" t="n"/>
      <c r="G216" s="39" t="str">
        <f>IF(OR(A216="",F216="",E216=""),"",ROUND(F216-E216,6))</f>
        <v/>
      </c>
      <c r="H216" s="40" t="str">
        <f>IF(G216="","",G216*IFERROR(N(INDEX(art_price,MATCH(A216,art_ref,0))),0))</f>
        <v/>
      </c>
      <c r="I216" s="39" t="str">
        <f>IF(A216="","",IF(E216="","Référence inconnue",IF(F216="","À compter",IF(G216&gt;0,"Saisir une entrée de "&amp;G216,IF(G216&lt;0,"Saisir une sortie de "&amp;-G216,"Conforme")))))</f>
        <v/>
      </c>
    </row>
    <row r="217">
      <c r="A217" s="37" t="n"/>
      <c r="B217" s="39" t="str">
        <f>IF(A217="","",IFERROR(INDEX(art_des,MATCH(A217,art_ref,0))&amp;"","Référence inconnue"))</f>
        <v/>
      </c>
      <c r="C217" s="39" t="str">
        <f>IF(A217="","",IFERROR(INDEX(art_unit,MATCH(A217,art_ref,0))&amp;"",""))</f>
        <v/>
      </c>
      <c r="D217" s="39" t="str">
        <f>IF(A217="","",IFERROR(INDEX(art_loc,MATCH(A217,art_ref,0))&amp;"",""))</f>
        <v/>
      </c>
      <c r="E217" s="39" t="str">
        <f>IF(A217="","",IFERROR(ROUND(N(INDEX(art_init,MATCH(A217,art_ref,0)))+SUMIFS(mv_qty,mv_ref,A217,mv_type,"Entrée",mv_date,"&lt;="&amp;$G$1)-SUMIFS(mv_qty,mv_ref,A217,mv_type,"Sortie",mv_date,"&lt;="&amp;$G$1),6),""))</f>
        <v/>
      </c>
      <c r="F217" s="37" t="n"/>
      <c r="G217" s="39" t="str">
        <f>IF(OR(A217="",F217="",E217=""),"",ROUND(F217-E217,6))</f>
        <v/>
      </c>
      <c r="H217" s="40" t="str">
        <f>IF(G217="","",G217*IFERROR(N(INDEX(art_price,MATCH(A217,art_ref,0))),0))</f>
        <v/>
      </c>
      <c r="I217" s="39" t="str">
        <f>IF(A217="","",IF(E217="","Référence inconnue",IF(F217="","À compter",IF(G217&gt;0,"Saisir une entrée de "&amp;G217,IF(G217&lt;0,"Saisir une sortie de "&amp;-G217,"Conforme")))))</f>
        <v/>
      </c>
    </row>
    <row r="218">
      <c r="A218" s="37" t="n"/>
      <c r="B218" s="39" t="str">
        <f>IF(A218="","",IFERROR(INDEX(art_des,MATCH(A218,art_ref,0))&amp;"","Référence inconnue"))</f>
        <v/>
      </c>
      <c r="C218" s="39" t="str">
        <f>IF(A218="","",IFERROR(INDEX(art_unit,MATCH(A218,art_ref,0))&amp;"",""))</f>
        <v/>
      </c>
      <c r="D218" s="39" t="str">
        <f>IF(A218="","",IFERROR(INDEX(art_loc,MATCH(A218,art_ref,0))&amp;"",""))</f>
        <v/>
      </c>
      <c r="E218" s="39" t="str">
        <f>IF(A218="","",IFERROR(ROUND(N(INDEX(art_init,MATCH(A218,art_ref,0)))+SUMIFS(mv_qty,mv_ref,A218,mv_type,"Entrée",mv_date,"&lt;="&amp;$G$1)-SUMIFS(mv_qty,mv_ref,A218,mv_type,"Sortie",mv_date,"&lt;="&amp;$G$1),6),""))</f>
        <v/>
      </c>
      <c r="F218" s="37" t="n"/>
      <c r="G218" s="39" t="str">
        <f>IF(OR(A218="",F218="",E218=""),"",ROUND(F218-E218,6))</f>
        <v/>
      </c>
      <c r="H218" s="40" t="str">
        <f>IF(G218="","",G218*IFERROR(N(INDEX(art_price,MATCH(A218,art_ref,0))),0))</f>
        <v/>
      </c>
      <c r="I218" s="39" t="str">
        <f>IF(A218="","",IF(E218="","Référence inconnue",IF(F218="","À compter",IF(G218&gt;0,"Saisir une entrée de "&amp;G218,IF(G218&lt;0,"Saisir une sortie de "&amp;-G218,"Conforme")))))</f>
        <v/>
      </c>
    </row>
    <row r="219">
      <c r="A219" s="37" t="n"/>
      <c r="B219" s="39" t="str">
        <f>IF(A219="","",IFERROR(INDEX(art_des,MATCH(A219,art_ref,0))&amp;"","Référence inconnue"))</f>
        <v/>
      </c>
      <c r="C219" s="39" t="str">
        <f>IF(A219="","",IFERROR(INDEX(art_unit,MATCH(A219,art_ref,0))&amp;"",""))</f>
        <v/>
      </c>
      <c r="D219" s="39" t="str">
        <f>IF(A219="","",IFERROR(INDEX(art_loc,MATCH(A219,art_ref,0))&amp;"",""))</f>
        <v/>
      </c>
      <c r="E219" s="39" t="str">
        <f>IF(A219="","",IFERROR(ROUND(N(INDEX(art_init,MATCH(A219,art_ref,0)))+SUMIFS(mv_qty,mv_ref,A219,mv_type,"Entrée",mv_date,"&lt;="&amp;$G$1)-SUMIFS(mv_qty,mv_ref,A219,mv_type,"Sortie",mv_date,"&lt;="&amp;$G$1),6),""))</f>
        <v/>
      </c>
      <c r="F219" s="37" t="n"/>
      <c r="G219" s="39" t="str">
        <f>IF(OR(A219="",F219="",E219=""),"",ROUND(F219-E219,6))</f>
        <v/>
      </c>
      <c r="H219" s="40" t="str">
        <f>IF(G219="","",G219*IFERROR(N(INDEX(art_price,MATCH(A219,art_ref,0))),0))</f>
        <v/>
      </c>
      <c r="I219" s="39" t="str">
        <f>IF(A219="","",IF(E219="","Référence inconnue",IF(F219="","À compter",IF(G219&gt;0,"Saisir une entrée de "&amp;G219,IF(G219&lt;0,"Saisir une sortie de "&amp;-G219,"Conforme")))))</f>
        <v/>
      </c>
    </row>
    <row r="220">
      <c r="A220" s="37" t="n"/>
      <c r="B220" s="39" t="str">
        <f>IF(A220="","",IFERROR(INDEX(art_des,MATCH(A220,art_ref,0))&amp;"","Référence inconnue"))</f>
        <v/>
      </c>
      <c r="C220" s="39" t="str">
        <f>IF(A220="","",IFERROR(INDEX(art_unit,MATCH(A220,art_ref,0))&amp;"",""))</f>
        <v/>
      </c>
      <c r="D220" s="39" t="str">
        <f>IF(A220="","",IFERROR(INDEX(art_loc,MATCH(A220,art_ref,0))&amp;"",""))</f>
        <v/>
      </c>
      <c r="E220" s="39" t="str">
        <f>IF(A220="","",IFERROR(ROUND(N(INDEX(art_init,MATCH(A220,art_ref,0)))+SUMIFS(mv_qty,mv_ref,A220,mv_type,"Entrée",mv_date,"&lt;="&amp;$G$1)-SUMIFS(mv_qty,mv_ref,A220,mv_type,"Sortie",mv_date,"&lt;="&amp;$G$1),6),""))</f>
        <v/>
      </c>
      <c r="F220" s="37" t="n"/>
      <c r="G220" s="39" t="str">
        <f>IF(OR(A220="",F220="",E220=""),"",ROUND(F220-E220,6))</f>
        <v/>
      </c>
      <c r="H220" s="40" t="str">
        <f>IF(G220="","",G220*IFERROR(N(INDEX(art_price,MATCH(A220,art_ref,0))),0))</f>
        <v/>
      </c>
      <c r="I220" s="39" t="str">
        <f>IF(A220="","",IF(E220="","Référence inconnue",IF(F220="","À compter",IF(G220&gt;0,"Saisir une entrée de "&amp;G220,IF(G220&lt;0,"Saisir une sortie de "&amp;-G220,"Conforme")))))</f>
        <v/>
      </c>
    </row>
    <row r="221">
      <c r="A221" s="37" t="n"/>
      <c r="B221" s="39" t="str">
        <f>IF(A221="","",IFERROR(INDEX(art_des,MATCH(A221,art_ref,0))&amp;"","Référence inconnue"))</f>
        <v/>
      </c>
      <c r="C221" s="39" t="str">
        <f>IF(A221="","",IFERROR(INDEX(art_unit,MATCH(A221,art_ref,0))&amp;"",""))</f>
        <v/>
      </c>
      <c r="D221" s="39" t="str">
        <f>IF(A221="","",IFERROR(INDEX(art_loc,MATCH(A221,art_ref,0))&amp;"",""))</f>
        <v/>
      </c>
      <c r="E221" s="39" t="str">
        <f>IF(A221="","",IFERROR(ROUND(N(INDEX(art_init,MATCH(A221,art_ref,0)))+SUMIFS(mv_qty,mv_ref,A221,mv_type,"Entrée",mv_date,"&lt;="&amp;$G$1)-SUMIFS(mv_qty,mv_ref,A221,mv_type,"Sortie",mv_date,"&lt;="&amp;$G$1),6),""))</f>
        <v/>
      </c>
      <c r="F221" s="37" t="n"/>
      <c r="G221" s="39" t="str">
        <f>IF(OR(A221="",F221="",E221=""),"",ROUND(F221-E221,6))</f>
        <v/>
      </c>
      <c r="H221" s="40" t="str">
        <f>IF(G221="","",G221*IFERROR(N(INDEX(art_price,MATCH(A221,art_ref,0))),0))</f>
        <v/>
      </c>
      <c r="I221" s="39" t="str">
        <f>IF(A221="","",IF(E221="","Référence inconnue",IF(F221="","À compter",IF(G221&gt;0,"Saisir une entrée de "&amp;G221,IF(G221&lt;0,"Saisir une sortie de "&amp;-G221,"Conforme")))))</f>
        <v/>
      </c>
    </row>
    <row r="222">
      <c r="A222" s="37" t="n"/>
      <c r="B222" s="39" t="str">
        <f>IF(A222="","",IFERROR(INDEX(art_des,MATCH(A222,art_ref,0))&amp;"","Référence inconnue"))</f>
        <v/>
      </c>
      <c r="C222" s="39" t="str">
        <f>IF(A222="","",IFERROR(INDEX(art_unit,MATCH(A222,art_ref,0))&amp;"",""))</f>
        <v/>
      </c>
      <c r="D222" s="39" t="str">
        <f>IF(A222="","",IFERROR(INDEX(art_loc,MATCH(A222,art_ref,0))&amp;"",""))</f>
        <v/>
      </c>
      <c r="E222" s="39" t="str">
        <f>IF(A222="","",IFERROR(ROUND(N(INDEX(art_init,MATCH(A222,art_ref,0)))+SUMIFS(mv_qty,mv_ref,A222,mv_type,"Entrée",mv_date,"&lt;="&amp;$G$1)-SUMIFS(mv_qty,mv_ref,A222,mv_type,"Sortie",mv_date,"&lt;="&amp;$G$1),6),""))</f>
        <v/>
      </c>
      <c r="F222" s="37" t="n"/>
      <c r="G222" s="39" t="str">
        <f>IF(OR(A222="",F222="",E222=""),"",ROUND(F222-E222,6))</f>
        <v/>
      </c>
      <c r="H222" s="40" t="str">
        <f>IF(G222="","",G222*IFERROR(N(INDEX(art_price,MATCH(A222,art_ref,0))),0))</f>
        <v/>
      </c>
      <c r="I222" s="39" t="str">
        <f>IF(A222="","",IF(E222="","Référence inconnue",IF(F222="","À compter",IF(G222&gt;0,"Saisir une entrée de "&amp;G222,IF(G222&lt;0,"Saisir une sortie de "&amp;-G222,"Conforme")))))</f>
        <v/>
      </c>
    </row>
    <row r="223">
      <c r="A223" s="37" t="n"/>
      <c r="B223" s="39" t="str">
        <f>IF(A223="","",IFERROR(INDEX(art_des,MATCH(A223,art_ref,0))&amp;"","Référence inconnue"))</f>
        <v/>
      </c>
      <c r="C223" s="39" t="str">
        <f>IF(A223="","",IFERROR(INDEX(art_unit,MATCH(A223,art_ref,0))&amp;"",""))</f>
        <v/>
      </c>
      <c r="D223" s="39" t="str">
        <f>IF(A223="","",IFERROR(INDEX(art_loc,MATCH(A223,art_ref,0))&amp;"",""))</f>
        <v/>
      </c>
      <c r="E223" s="39" t="str">
        <f>IF(A223="","",IFERROR(ROUND(N(INDEX(art_init,MATCH(A223,art_ref,0)))+SUMIFS(mv_qty,mv_ref,A223,mv_type,"Entrée",mv_date,"&lt;="&amp;$G$1)-SUMIFS(mv_qty,mv_ref,A223,mv_type,"Sortie",mv_date,"&lt;="&amp;$G$1),6),""))</f>
        <v/>
      </c>
      <c r="F223" s="37" t="n"/>
      <c r="G223" s="39" t="str">
        <f>IF(OR(A223="",F223="",E223=""),"",ROUND(F223-E223,6))</f>
        <v/>
      </c>
      <c r="H223" s="40" t="str">
        <f>IF(G223="","",G223*IFERROR(N(INDEX(art_price,MATCH(A223,art_ref,0))),0))</f>
        <v/>
      </c>
      <c r="I223" s="39" t="str">
        <f>IF(A223="","",IF(E223="","Référence inconnue",IF(F223="","À compter",IF(G223&gt;0,"Saisir une entrée de "&amp;G223,IF(G223&lt;0,"Saisir une sortie de "&amp;-G223,"Conforme")))))</f>
        <v/>
      </c>
    </row>
    <row r="224">
      <c r="A224" s="37" t="n"/>
      <c r="B224" s="39" t="str">
        <f>IF(A224="","",IFERROR(INDEX(art_des,MATCH(A224,art_ref,0))&amp;"","Référence inconnue"))</f>
        <v/>
      </c>
      <c r="C224" s="39" t="str">
        <f>IF(A224="","",IFERROR(INDEX(art_unit,MATCH(A224,art_ref,0))&amp;"",""))</f>
        <v/>
      </c>
      <c r="D224" s="39" t="str">
        <f>IF(A224="","",IFERROR(INDEX(art_loc,MATCH(A224,art_ref,0))&amp;"",""))</f>
        <v/>
      </c>
      <c r="E224" s="39" t="str">
        <f>IF(A224="","",IFERROR(ROUND(N(INDEX(art_init,MATCH(A224,art_ref,0)))+SUMIFS(mv_qty,mv_ref,A224,mv_type,"Entrée",mv_date,"&lt;="&amp;$G$1)-SUMIFS(mv_qty,mv_ref,A224,mv_type,"Sortie",mv_date,"&lt;="&amp;$G$1),6),""))</f>
        <v/>
      </c>
      <c r="F224" s="37" t="n"/>
      <c r="G224" s="39" t="str">
        <f>IF(OR(A224="",F224="",E224=""),"",ROUND(F224-E224,6))</f>
        <v/>
      </c>
      <c r="H224" s="40" t="str">
        <f>IF(G224="","",G224*IFERROR(N(INDEX(art_price,MATCH(A224,art_ref,0))),0))</f>
        <v/>
      </c>
      <c r="I224" s="39" t="str">
        <f>IF(A224="","",IF(E224="","Référence inconnue",IF(F224="","À compter",IF(G224&gt;0,"Saisir une entrée de "&amp;G224,IF(G224&lt;0,"Saisir une sortie de "&amp;-G224,"Conforme")))))</f>
        <v/>
      </c>
    </row>
    <row r="225">
      <c r="A225" s="37" t="n"/>
      <c r="B225" s="39" t="str">
        <f>IF(A225="","",IFERROR(INDEX(art_des,MATCH(A225,art_ref,0))&amp;"","Référence inconnue"))</f>
        <v/>
      </c>
      <c r="C225" s="39" t="str">
        <f>IF(A225="","",IFERROR(INDEX(art_unit,MATCH(A225,art_ref,0))&amp;"",""))</f>
        <v/>
      </c>
      <c r="D225" s="39" t="str">
        <f>IF(A225="","",IFERROR(INDEX(art_loc,MATCH(A225,art_ref,0))&amp;"",""))</f>
        <v/>
      </c>
      <c r="E225" s="39" t="str">
        <f>IF(A225="","",IFERROR(ROUND(N(INDEX(art_init,MATCH(A225,art_ref,0)))+SUMIFS(mv_qty,mv_ref,A225,mv_type,"Entrée",mv_date,"&lt;="&amp;$G$1)-SUMIFS(mv_qty,mv_ref,A225,mv_type,"Sortie",mv_date,"&lt;="&amp;$G$1),6),""))</f>
        <v/>
      </c>
      <c r="F225" s="37" t="n"/>
      <c r="G225" s="39" t="str">
        <f>IF(OR(A225="",F225="",E225=""),"",ROUND(F225-E225,6))</f>
        <v/>
      </c>
      <c r="H225" s="40" t="str">
        <f>IF(G225="","",G225*IFERROR(N(INDEX(art_price,MATCH(A225,art_ref,0))),0))</f>
        <v/>
      </c>
      <c r="I225" s="39" t="str">
        <f>IF(A225="","",IF(E225="","Référence inconnue",IF(F225="","À compter",IF(G225&gt;0,"Saisir une entrée de "&amp;G225,IF(G225&lt;0,"Saisir une sortie de "&amp;-G225,"Conforme")))))</f>
        <v/>
      </c>
    </row>
    <row r="226">
      <c r="A226" s="37" t="n"/>
      <c r="B226" s="39" t="str">
        <f>IF(A226="","",IFERROR(INDEX(art_des,MATCH(A226,art_ref,0))&amp;"","Référence inconnue"))</f>
        <v/>
      </c>
      <c r="C226" s="39" t="str">
        <f>IF(A226="","",IFERROR(INDEX(art_unit,MATCH(A226,art_ref,0))&amp;"",""))</f>
        <v/>
      </c>
      <c r="D226" s="39" t="str">
        <f>IF(A226="","",IFERROR(INDEX(art_loc,MATCH(A226,art_ref,0))&amp;"",""))</f>
        <v/>
      </c>
      <c r="E226" s="39" t="str">
        <f>IF(A226="","",IFERROR(ROUND(N(INDEX(art_init,MATCH(A226,art_ref,0)))+SUMIFS(mv_qty,mv_ref,A226,mv_type,"Entrée",mv_date,"&lt;="&amp;$G$1)-SUMIFS(mv_qty,mv_ref,A226,mv_type,"Sortie",mv_date,"&lt;="&amp;$G$1),6),""))</f>
        <v/>
      </c>
      <c r="F226" s="37" t="n"/>
      <c r="G226" s="39" t="str">
        <f>IF(OR(A226="",F226="",E226=""),"",ROUND(F226-E226,6))</f>
        <v/>
      </c>
      <c r="H226" s="40" t="str">
        <f>IF(G226="","",G226*IFERROR(N(INDEX(art_price,MATCH(A226,art_ref,0))),0))</f>
        <v/>
      </c>
      <c r="I226" s="39" t="str">
        <f>IF(A226="","",IF(E226="","Référence inconnue",IF(F226="","À compter",IF(G226&gt;0,"Saisir une entrée de "&amp;G226,IF(G226&lt;0,"Saisir une sortie de "&amp;-G226,"Conforme")))))</f>
        <v/>
      </c>
    </row>
    <row r="227">
      <c r="A227" s="37" t="n"/>
      <c r="B227" s="39" t="str">
        <f>IF(A227="","",IFERROR(INDEX(art_des,MATCH(A227,art_ref,0))&amp;"","Référence inconnue"))</f>
        <v/>
      </c>
      <c r="C227" s="39" t="str">
        <f>IF(A227="","",IFERROR(INDEX(art_unit,MATCH(A227,art_ref,0))&amp;"",""))</f>
        <v/>
      </c>
      <c r="D227" s="39" t="str">
        <f>IF(A227="","",IFERROR(INDEX(art_loc,MATCH(A227,art_ref,0))&amp;"",""))</f>
        <v/>
      </c>
      <c r="E227" s="39" t="str">
        <f>IF(A227="","",IFERROR(ROUND(N(INDEX(art_init,MATCH(A227,art_ref,0)))+SUMIFS(mv_qty,mv_ref,A227,mv_type,"Entrée",mv_date,"&lt;="&amp;$G$1)-SUMIFS(mv_qty,mv_ref,A227,mv_type,"Sortie",mv_date,"&lt;="&amp;$G$1),6),""))</f>
        <v/>
      </c>
      <c r="F227" s="37" t="n"/>
      <c r="G227" s="39" t="str">
        <f>IF(OR(A227="",F227="",E227=""),"",ROUND(F227-E227,6))</f>
        <v/>
      </c>
      <c r="H227" s="40" t="str">
        <f>IF(G227="","",G227*IFERROR(N(INDEX(art_price,MATCH(A227,art_ref,0))),0))</f>
        <v/>
      </c>
      <c r="I227" s="39" t="str">
        <f>IF(A227="","",IF(E227="","Référence inconnue",IF(F227="","À compter",IF(G227&gt;0,"Saisir une entrée de "&amp;G227,IF(G227&lt;0,"Saisir une sortie de "&amp;-G227,"Conforme")))))</f>
        <v/>
      </c>
    </row>
    <row r="228">
      <c r="A228" s="37" t="n"/>
      <c r="B228" s="39" t="str">
        <f>IF(A228="","",IFERROR(INDEX(art_des,MATCH(A228,art_ref,0))&amp;"","Référence inconnue"))</f>
        <v/>
      </c>
      <c r="C228" s="39" t="str">
        <f>IF(A228="","",IFERROR(INDEX(art_unit,MATCH(A228,art_ref,0))&amp;"",""))</f>
        <v/>
      </c>
      <c r="D228" s="39" t="str">
        <f>IF(A228="","",IFERROR(INDEX(art_loc,MATCH(A228,art_ref,0))&amp;"",""))</f>
        <v/>
      </c>
      <c r="E228" s="39" t="str">
        <f>IF(A228="","",IFERROR(ROUND(N(INDEX(art_init,MATCH(A228,art_ref,0)))+SUMIFS(mv_qty,mv_ref,A228,mv_type,"Entrée",mv_date,"&lt;="&amp;$G$1)-SUMIFS(mv_qty,mv_ref,A228,mv_type,"Sortie",mv_date,"&lt;="&amp;$G$1),6),""))</f>
        <v/>
      </c>
      <c r="F228" s="37" t="n"/>
      <c r="G228" s="39" t="str">
        <f>IF(OR(A228="",F228="",E228=""),"",ROUND(F228-E228,6))</f>
        <v/>
      </c>
      <c r="H228" s="40" t="str">
        <f>IF(G228="","",G228*IFERROR(N(INDEX(art_price,MATCH(A228,art_ref,0))),0))</f>
        <v/>
      </c>
      <c r="I228" s="39" t="str">
        <f>IF(A228="","",IF(E228="","Référence inconnue",IF(F228="","À compter",IF(G228&gt;0,"Saisir une entrée de "&amp;G228,IF(G228&lt;0,"Saisir une sortie de "&amp;-G228,"Conforme")))))</f>
        <v/>
      </c>
    </row>
    <row r="229">
      <c r="A229" s="37" t="n"/>
      <c r="B229" s="39" t="str">
        <f>IF(A229="","",IFERROR(INDEX(art_des,MATCH(A229,art_ref,0))&amp;"","Référence inconnue"))</f>
        <v/>
      </c>
      <c r="C229" s="39" t="str">
        <f>IF(A229="","",IFERROR(INDEX(art_unit,MATCH(A229,art_ref,0))&amp;"",""))</f>
        <v/>
      </c>
      <c r="D229" s="39" t="str">
        <f>IF(A229="","",IFERROR(INDEX(art_loc,MATCH(A229,art_ref,0))&amp;"",""))</f>
        <v/>
      </c>
      <c r="E229" s="39" t="str">
        <f>IF(A229="","",IFERROR(ROUND(N(INDEX(art_init,MATCH(A229,art_ref,0)))+SUMIFS(mv_qty,mv_ref,A229,mv_type,"Entrée",mv_date,"&lt;="&amp;$G$1)-SUMIFS(mv_qty,mv_ref,A229,mv_type,"Sortie",mv_date,"&lt;="&amp;$G$1),6),""))</f>
        <v/>
      </c>
      <c r="F229" s="37" t="n"/>
      <c r="G229" s="39" t="str">
        <f>IF(OR(A229="",F229="",E229=""),"",ROUND(F229-E229,6))</f>
        <v/>
      </c>
      <c r="H229" s="40" t="str">
        <f>IF(G229="","",G229*IFERROR(N(INDEX(art_price,MATCH(A229,art_ref,0))),0))</f>
        <v/>
      </c>
      <c r="I229" s="39" t="str">
        <f>IF(A229="","",IF(E229="","Référence inconnue",IF(F229="","À compter",IF(G229&gt;0,"Saisir une entrée de "&amp;G229,IF(G229&lt;0,"Saisir une sortie de "&amp;-G229,"Conforme")))))</f>
        <v/>
      </c>
    </row>
    <row r="230">
      <c r="A230" s="37" t="n"/>
      <c r="B230" s="39" t="str">
        <f>IF(A230="","",IFERROR(INDEX(art_des,MATCH(A230,art_ref,0))&amp;"","Référence inconnue"))</f>
        <v/>
      </c>
      <c r="C230" s="39" t="str">
        <f>IF(A230="","",IFERROR(INDEX(art_unit,MATCH(A230,art_ref,0))&amp;"",""))</f>
        <v/>
      </c>
      <c r="D230" s="39" t="str">
        <f>IF(A230="","",IFERROR(INDEX(art_loc,MATCH(A230,art_ref,0))&amp;"",""))</f>
        <v/>
      </c>
      <c r="E230" s="39" t="str">
        <f>IF(A230="","",IFERROR(ROUND(N(INDEX(art_init,MATCH(A230,art_ref,0)))+SUMIFS(mv_qty,mv_ref,A230,mv_type,"Entrée",mv_date,"&lt;="&amp;$G$1)-SUMIFS(mv_qty,mv_ref,A230,mv_type,"Sortie",mv_date,"&lt;="&amp;$G$1),6),""))</f>
        <v/>
      </c>
      <c r="F230" s="37" t="n"/>
      <c r="G230" s="39" t="str">
        <f>IF(OR(A230="",F230="",E230=""),"",ROUND(F230-E230,6))</f>
        <v/>
      </c>
      <c r="H230" s="40" t="str">
        <f>IF(G230="","",G230*IFERROR(N(INDEX(art_price,MATCH(A230,art_ref,0))),0))</f>
        <v/>
      </c>
      <c r="I230" s="39" t="str">
        <f>IF(A230="","",IF(E230="","Référence inconnue",IF(F230="","À compter",IF(G230&gt;0,"Saisir une entrée de "&amp;G230,IF(G230&lt;0,"Saisir une sortie de "&amp;-G230,"Conforme")))))</f>
        <v/>
      </c>
    </row>
    <row r="231">
      <c r="A231" s="37" t="n"/>
      <c r="B231" s="39" t="str">
        <f>IF(A231="","",IFERROR(INDEX(art_des,MATCH(A231,art_ref,0))&amp;"","Référence inconnue"))</f>
        <v/>
      </c>
      <c r="C231" s="39" t="str">
        <f>IF(A231="","",IFERROR(INDEX(art_unit,MATCH(A231,art_ref,0))&amp;"",""))</f>
        <v/>
      </c>
      <c r="D231" s="39" t="str">
        <f>IF(A231="","",IFERROR(INDEX(art_loc,MATCH(A231,art_ref,0))&amp;"",""))</f>
        <v/>
      </c>
      <c r="E231" s="39" t="str">
        <f>IF(A231="","",IFERROR(ROUND(N(INDEX(art_init,MATCH(A231,art_ref,0)))+SUMIFS(mv_qty,mv_ref,A231,mv_type,"Entrée",mv_date,"&lt;="&amp;$G$1)-SUMIFS(mv_qty,mv_ref,A231,mv_type,"Sortie",mv_date,"&lt;="&amp;$G$1),6),""))</f>
        <v/>
      </c>
      <c r="F231" s="37" t="n"/>
      <c r="G231" s="39" t="str">
        <f>IF(OR(A231="",F231="",E231=""),"",ROUND(F231-E231,6))</f>
        <v/>
      </c>
      <c r="H231" s="40" t="str">
        <f>IF(G231="","",G231*IFERROR(N(INDEX(art_price,MATCH(A231,art_ref,0))),0))</f>
        <v/>
      </c>
      <c r="I231" s="39" t="str">
        <f>IF(A231="","",IF(E231="","Référence inconnue",IF(F231="","À compter",IF(G231&gt;0,"Saisir une entrée de "&amp;G231,IF(G231&lt;0,"Saisir une sortie de "&amp;-G231,"Conforme")))))</f>
        <v/>
      </c>
    </row>
    <row r="232">
      <c r="A232" s="37" t="n"/>
      <c r="B232" s="39" t="str">
        <f>IF(A232="","",IFERROR(INDEX(art_des,MATCH(A232,art_ref,0))&amp;"","Référence inconnue"))</f>
        <v/>
      </c>
      <c r="C232" s="39" t="str">
        <f>IF(A232="","",IFERROR(INDEX(art_unit,MATCH(A232,art_ref,0))&amp;"",""))</f>
        <v/>
      </c>
      <c r="D232" s="39" t="str">
        <f>IF(A232="","",IFERROR(INDEX(art_loc,MATCH(A232,art_ref,0))&amp;"",""))</f>
        <v/>
      </c>
      <c r="E232" s="39" t="str">
        <f>IF(A232="","",IFERROR(ROUND(N(INDEX(art_init,MATCH(A232,art_ref,0)))+SUMIFS(mv_qty,mv_ref,A232,mv_type,"Entrée",mv_date,"&lt;="&amp;$G$1)-SUMIFS(mv_qty,mv_ref,A232,mv_type,"Sortie",mv_date,"&lt;="&amp;$G$1),6),""))</f>
        <v/>
      </c>
      <c r="F232" s="37" t="n"/>
      <c r="G232" s="39" t="str">
        <f>IF(OR(A232="",F232="",E232=""),"",ROUND(F232-E232,6))</f>
        <v/>
      </c>
      <c r="H232" s="40" t="str">
        <f>IF(G232="","",G232*IFERROR(N(INDEX(art_price,MATCH(A232,art_ref,0))),0))</f>
        <v/>
      </c>
      <c r="I232" s="39" t="str">
        <f>IF(A232="","",IF(E232="","Référence inconnue",IF(F232="","À compter",IF(G232&gt;0,"Saisir une entrée de "&amp;G232,IF(G232&lt;0,"Saisir une sortie de "&amp;-G232,"Conforme")))))</f>
        <v/>
      </c>
    </row>
    <row r="233">
      <c r="A233" s="37" t="n"/>
      <c r="B233" s="39" t="str">
        <f>IF(A233="","",IFERROR(INDEX(art_des,MATCH(A233,art_ref,0))&amp;"","Référence inconnue"))</f>
        <v/>
      </c>
      <c r="C233" s="39" t="str">
        <f>IF(A233="","",IFERROR(INDEX(art_unit,MATCH(A233,art_ref,0))&amp;"",""))</f>
        <v/>
      </c>
      <c r="D233" s="39" t="str">
        <f>IF(A233="","",IFERROR(INDEX(art_loc,MATCH(A233,art_ref,0))&amp;"",""))</f>
        <v/>
      </c>
      <c r="E233" s="39" t="str">
        <f>IF(A233="","",IFERROR(ROUND(N(INDEX(art_init,MATCH(A233,art_ref,0)))+SUMIFS(mv_qty,mv_ref,A233,mv_type,"Entrée",mv_date,"&lt;="&amp;$G$1)-SUMIFS(mv_qty,mv_ref,A233,mv_type,"Sortie",mv_date,"&lt;="&amp;$G$1),6),""))</f>
        <v/>
      </c>
      <c r="F233" s="37" t="n"/>
      <c r="G233" s="39" t="str">
        <f>IF(OR(A233="",F233="",E233=""),"",ROUND(F233-E233,6))</f>
        <v/>
      </c>
      <c r="H233" s="40" t="str">
        <f>IF(G233="","",G233*IFERROR(N(INDEX(art_price,MATCH(A233,art_ref,0))),0))</f>
        <v/>
      </c>
      <c r="I233" s="39" t="str">
        <f>IF(A233="","",IF(E233="","Référence inconnue",IF(F233="","À compter",IF(G233&gt;0,"Saisir une entrée de "&amp;G233,IF(G233&lt;0,"Saisir une sortie de "&amp;-G233,"Conforme")))))</f>
        <v/>
      </c>
    </row>
    <row r="234">
      <c r="A234" s="37" t="n"/>
      <c r="B234" s="39" t="str">
        <f>IF(A234="","",IFERROR(INDEX(art_des,MATCH(A234,art_ref,0))&amp;"","Référence inconnue"))</f>
        <v/>
      </c>
      <c r="C234" s="39" t="str">
        <f>IF(A234="","",IFERROR(INDEX(art_unit,MATCH(A234,art_ref,0))&amp;"",""))</f>
        <v/>
      </c>
      <c r="D234" s="39" t="str">
        <f>IF(A234="","",IFERROR(INDEX(art_loc,MATCH(A234,art_ref,0))&amp;"",""))</f>
        <v/>
      </c>
      <c r="E234" s="39" t="str">
        <f>IF(A234="","",IFERROR(ROUND(N(INDEX(art_init,MATCH(A234,art_ref,0)))+SUMIFS(mv_qty,mv_ref,A234,mv_type,"Entrée",mv_date,"&lt;="&amp;$G$1)-SUMIFS(mv_qty,mv_ref,A234,mv_type,"Sortie",mv_date,"&lt;="&amp;$G$1),6),""))</f>
        <v/>
      </c>
      <c r="F234" s="37" t="n"/>
      <c r="G234" s="39" t="str">
        <f>IF(OR(A234="",F234="",E234=""),"",ROUND(F234-E234,6))</f>
        <v/>
      </c>
      <c r="H234" s="40" t="str">
        <f>IF(G234="","",G234*IFERROR(N(INDEX(art_price,MATCH(A234,art_ref,0))),0))</f>
        <v/>
      </c>
      <c r="I234" s="39" t="str">
        <f>IF(A234="","",IF(E234="","Référence inconnue",IF(F234="","À compter",IF(G234&gt;0,"Saisir une entrée de "&amp;G234,IF(G234&lt;0,"Saisir une sortie de "&amp;-G234,"Conforme")))))</f>
        <v/>
      </c>
    </row>
    <row r="235">
      <c r="A235" s="37" t="n"/>
      <c r="B235" s="39" t="str">
        <f>IF(A235="","",IFERROR(INDEX(art_des,MATCH(A235,art_ref,0))&amp;"","Référence inconnue"))</f>
        <v/>
      </c>
      <c r="C235" s="39" t="str">
        <f>IF(A235="","",IFERROR(INDEX(art_unit,MATCH(A235,art_ref,0))&amp;"",""))</f>
        <v/>
      </c>
      <c r="D235" s="39" t="str">
        <f>IF(A235="","",IFERROR(INDEX(art_loc,MATCH(A235,art_ref,0))&amp;"",""))</f>
        <v/>
      </c>
      <c r="E235" s="39" t="str">
        <f>IF(A235="","",IFERROR(ROUND(N(INDEX(art_init,MATCH(A235,art_ref,0)))+SUMIFS(mv_qty,mv_ref,A235,mv_type,"Entrée",mv_date,"&lt;="&amp;$G$1)-SUMIFS(mv_qty,mv_ref,A235,mv_type,"Sortie",mv_date,"&lt;="&amp;$G$1),6),""))</f>
        <v/>
      </c>
      <c r="F235" s="37" t="n"/>
      <c r="G235" s="39" t="str">
        <f>IF(OR(A235="",F235="",E235=""),"",ROUND(F235-E235,6))</f>
        <v/>
      </c>
      <c r="H235" s="40" t="str">
        <f>IF(G235="","",G235*IFERROR(N(INDEX(art_price,MATCH(A235,art_ref,0))),0))</f>
        <v/>
      </c>
      <c r="I235" s="39" t="str">
        <f>IF(A235="","",IF(E235="","Référence inconnue",IF(F235="","À compter",IF(G235&gt;0,"Saisir une entrée de "&amp;G235,IF(G235&lt;0,"Saisir une sortie de "&amp;-G235,"Conforme")))))</f>
        <v/>
      </c>
    </row>
    <row r="236">
      <c r="A236" s="37" t="n"/>
      <c r="B236" s="39" t="str">
        <f>IF(A236="","",IFERROR(INDEX(art_des,MATCH(A236,art_ref,0))&amp;"","Référence inconnue"))</f>
        <v/>
      </c>
      <c r="C236" s="39" t="str">
        <f>IF(A236="","",IFERROR(INDEX(art_unit,MATCH(A236,art_ref,0))&amp;"",""))</f>
        <v/>
      </c>
      <c r="D236" s="39" t="str">
        <f>IF(A236="","",IFERROR(INDEX(art_loc,MATCH(A236,art_ref,0))&amp;"",""))</f>
        <v/>
      </c>
      <c r="E236" s="39" t="str">
        <f>IF(A236="","",IFERROR(ROUND(N(INDEX(art_init,MATCH(A236,art_ref,0)))+SUMIFS(mv_qty,mv_ref,A236,mv_type,"Entrée",mv_date,"&lt;="&amp;$G$1)-SUMIFS(mv_qty,mv_ref,A236,mv_type,"Sortie",mv_date,"&lt;="&amp;$G$1),6),""))</f>
        <v/>
      </c>
      <c r="F236" s="37" t="n"/>
      <c r="G236" s="39" t="str">
        <f>IF(OR(A236="",F236="",E236=""),"",ROUND(F236-E236,6))</f>
        <v/>
      </c>
      <c r="H236" s="40" t="str">
        <f>IF(G236="","",G236*IFERROR(N(INDEX(art_price,MATCH(A236,art_ref,0))),0))</f>
        <v/>
      </c>
      <c r="I236" s="39" t="str">
        <f>IF(A236="","",IF(E236="","Référence inconnue",IF(F236="","À compter",IF(G236&gt;0,"Saisir une entrée de "&amp;G236,IF(G236&lt;0,"Saisir une sortie de "&amp;-G236,"Conforme")))))</f>
        <v/>
      </c>
    </row>
    <row r="237">
      <c r="A237" s="37" t="n"/>
      <c r="B237" s="39" t="str">
        <f>IF(A237="","",IFERROR(INDEX(art_des,MATCH(A237,art_ref,0))&amp;"","Référence inconnue"))</f>
        <v/>
      </c>
      <c r="C237" s="39" t="str">
        <f>IF(A237="","",IFERROR(INDEX(art_unit,MATCH(A237,art_ref,0))&amp;"",""))</f>
        <v/>
      </c>
      <c r="D237" s="39" t="str">
        <f>IF(A237="","",IFERROR(INDEX(art_loc,MATCH(A237,art_ref,0))&amp;"",""))</f>
        <v/>
      </c>
      <c r="E237" s="39" t="str">
        <f>IF(A237="","",IFERROR(ROUND(N(INDEX(art_init,MATCH(A237,art_ref,0)))+SUMIFS(mv_qty,mv_ref,A237,mv_type,"Entrée",mv_date,"&lt;="&amp;$G$1)-SUMIFS(mv_qty,mv_ref,A237,mv_type,"Sortie",mv_date,"&lt;="&amp;$G$1),6),""))</f>
        <v/>
      </c>
      <c r="F237" s="37" t="n"/>
      <c r="G237" s="39" t="str">
        <f>IF(OR(A237="",F237="",E237=""),"",ROUND(F237-E237,6))</f>
        <v/>
      </c>
      <c r="H237" s="40" t="str">
        <f>IF(G237="","",G237*IFERROR(N(INDEX(art_price,MATCH(A237,art_ref,0))),0))</f>
        <v/>
      </c>
      <c r="I237" s="39" t="str">
        <f>IF(A237="","",IF(E237="","Référence inconnue",IF(F237="","À compter",IF(G237&gt;0,"Saisir une entrée de "&amp;G237,IF(G237&lt;0,"Saisir une sortie de "&amp;-G237,"Conforme")))))</f>
        <v/>
      </c>
    </row>
    <row r="238">
      <c r="A238" s="37" t="n"/>
      <c r="B238" s="39" t="str">
        <f>IF(A238="","",IFERROR(INDEX(art_des,MATCH(A238,art_ref,0))&amp;"","Référence inconnue"))</f>
        <v/>
      </c>
      <c r="C238" s="39" t="str">
        <f>IF(A238="","",IFERROR(INDEX(art_unit,MATCH(A238,art_ref,0))&amp;"",""))</f>
        <v/>
      </c>
      <c r="D238" s="39" t="str">
        <f>IF(A238="","",IFERROR(INDEX(art_loc,MATCH(A238,art_ref,0))&amp;"",""))</f>
        <v/>
      </c>
      <c r="E238" s="39" t="str">
        <f>IF(A238="","",IFERROR(ROUND(N(INDEX(art_init,MATCH(A238,art_ref,0)))+SUMIFS(mv_qty,mv_ref,A238,mv_type,"Entrée",mv_date,"&lt;="&amp;$G$1)-SUMIFS(mv_qty,mv_ref,A238,mv_type,"Sortie",mv_date,"&lt;="&amp;$G$1),6),""))</f>
        <v/>
      </c>
      <c r="F238" s="37" t="n"/>
      <c r="G238" s="39" t="str">
        <f>IF(OR(A238="",F238="",E238=""),"",ROUND(F238-E238,6))</f>
        <v/>
      </c>
      <c r="H238" s="40" t="str">
        <f>IF(G238="","",G238*IFERROR(N(INDEX(art_price,MATCH(A238,art_ref,0))),0))</f>
        <v/>
      </c>
      <c r="I238" s="39" t="str">
        <f>IF(A238="","",IF(E238="","Référence inconnue",IF(F238="","À compter",IF(G238&gt;0,"Saisir une entrée de "&amp;G238,IF(G238&lt;0,"Saisir une sortie de "&amp;-G238,"Conforme")))))</f>
        <v/>
      </c>
    </row>
    <row r="239">
      <c r="A239" s="37" t="n"/>
      <c r="B239" s="39" t="str">
        <f>IF(A239="","",IFERROR(INDEX(art_des,MATCH(A239,art_ref,0))&amp;"","Référence inconnue"))</f>
        <v/>
      </c>
      <c r="C239" s="39" t="str">
        <f>IF(A239="","",IFERROR(INDEX(art_unit,MATCH(A239,art_ref,0))&amp;"",""))</f>
        <v/>
      </c>
      <c r="D239" s="39" t="str">
        <f>IF(A239="","",IFERROR(INDEX(art_loc,MATCH(A239,art_ref,0))&amp;"",""))</f>
        <v/>
      </c>
      <c r="E239" s="39" t="str">
        <f>IF(A239="","",IFERROR(ROUND(N(INDEX(art_init,MATCH(A239,art_ref,0)))+SUMIFS(mv_qty,mv_ref,A239,mv_type,"Entrée",mv_date,"&lt;="&amp;$G$1)-SUMIFS(mv_qty,mv_ref,A239,mv_type,"Sortie",mv_date,"&lt;="&amp;$G$1),6),""))</f>
        <v/>
      </c>
      <c r="F239" s="37" t="n"/>
      <c r="G239" s="39" t="str">
        <f>IF(OR(A239="",F239="",E239=""),"",ROUND(F239-E239,6))</f>
        <v/>
      </c>
      <c r="H239" s="40" t="str">
        <f>IF(G239="","",G239*IFERROR(N(INDEX(art_price,MATCH(A239,art_ref,0))),0))</f>
        <v/>
      </c>
      <c r="I239" s="39" t="str">
        <f>IF(A239="","",IF(E239="","Référence inconnue",IF(F239="","À compter",IF(G239&gt;0,"Saisir une entrée de "&amp;G239,IF(G239&lt;0,"Saisir une sortie de "&amp;-G239,"Conforme")))))</f>
        <v/>
      </c>
    </row>
    <row r="240">
      <c r="A240" s="37" t="n"/>
      <c r="B240" s="39" t="str">
        <f>IF(A240="","",IFERROR(INDEX(art_des,MATCH(A240,art_ref,0))&amp;"","Référence inconnue"))</f>
        <v/>
      </c>
      <c r="C240" s="39" t="str">
        <f>IF(A240="","",IFERROR(INDEX(art_unit,MATCH(A240,art_ref,0))&amp;"",""))</f>
        <v/>
      </c>
      <c r="D240" s="39" t="str">
        <f>IF(A240="","",IFERROR(INDEX(art_loc,MATCH(A240,art_ref,0))&amp;"",""))</f>
        <v/>
      </c>
      <c r="E240" s="39" t="str">
        <f>IF(A240="","",IFERROR(ROUND(N(INDEX(art_init,MATCH(A240,art_ref,0)))+SUMIFS(mv_qty,mv_ref,A240,mv_type,"Entrée",mv_date,"&lt;="&amp;$G$1)-SUMIFS(mv_qty,mv_ref,A240,mv_type,"Sortie",mv_date,"&lt;="&amp;$G$1),6),""))</f>
        <v/>
      </c>
      <c r="F240" s="37" t="n"/>
      <c r="G240" s="39" t="str">
        <f>IF(OR(A240="",F240="",E240=""),"",ROUND(F240-E240,6))</f>
        <v/>
      </c>
      <c r="H240" s="40" t="str">
        <f>IF(G240="","",G240*IFERROR(N(INDEX(art_price,MATCH(A240,art_ref,0))),0))</f>
        <v/>
      </c>
      <c r="I240" s="39" t="str">
        <f>IF(A240="","",IF(E240="","Référence inconnue",IF(F240="","À compter",IF(G240&gt;0,"Saisir une entrée de "&amp;G240,IF(G240&lt;0,"Saisir une sortie de "&amp;-G240,"Conforme")))))</f>
        <v/>
      </c>
    </row>
    <row r="241">
      <c r="A241" s="37" t="n"/>
      <c r="B241" s="39" t="str">
        <f>IF(A241="","",IFERROR(INDEX(art_des,MATCH(A241,art_ref,0))&amp;"","Référence inconnue"))</f>
        <v/>
      </c>
      <c r="C241" s="39" t="str">
        <f>IF(A241="","",IFERROR(INDEX(art_unit,MATCH(A241,art_ref,0))&amp;"",""))</f>
        <v/>
      </c>
      <c r="D241" s="39" t="str">
        <f>IF(A241="","",IFERROR(INDEX(art_loc,MATCH(A241,art_ref,0))&amp;"",""))</f>
        <v/>
      </c>
      <c r="E241" s="39" t="str">
        <f>IF(A241="","",IFERROR(ROUND(N(INDEX(art_init,MATCH(A241,art_ref,0)))+SUMIFS(mv_qty,mv_ref,A241,mv_type,"Entrée",mv_date,"&lt;="&amp;$G$1)-SUMIFS(mv_qty,mv_ref,A241,mv_type,"Sortie",mv_date,"&lt;="&amp;$G$1),6),""))</f>
        <v/>
      </c>
      <c r="F241" s="37" t="n"/>
      <c r="G241" s="39" t="str">
        <f>IF(OR(A241="",F241="",E241=""),"",ROUND(F241-E241,6))</f>
        <v/>
      </c>
      <c r="H241" s="40" t="str">
        <f>IF(G241="","",G241*IFERROR(N(INDEX(art_price,MATCH(A241,art_ref,0))),0))</f>
        <v/>
      </c>
      <c r="I241" s="39" t="str">
        <f>IF(A241="","",IF(E241="","Référence inconnue",IF(F241="","À compter",IF(G241&gt;0,"Saisir une entrée de "&amp;G241,IF(G241&lt;0,"Saisir une sortie de "&amp;-G241,"Conforme")))))</f>
        <v/>
      </c>
    </row>
    <row r="242">
      <c r="A242" s="37" t="n"/>
      <c r="B242" s="39" t="str">
        <f>IF(A242="","",IFERROR(INDEX(art_des,MATCH(A242,art_ref,0))&amp;"","Référence inconnue"))</f>
        <v/>
      </c>
      <c r="C242" s="39" t="str">
        <f>IF(A242="","",IFERROR(INDEX(art_unit,MATCH(A242,art_ref,0))&amp;"",""))</f>
        <v/>
      </c>
      <c r="D242" s="39" t="str">
        <f>IF(A242="","",IFERROR(INDEX(art_loc,MATCH(A242,art_ref,0))&amp;"",""))</f>
        <v/>
      </c>
      <c r="E242" s="39" t="str">
        <f>IF(A242="","",IFERROR(ROUND(N(INDEX(art_init,MATCH(A242,art_ref,0)))+SUMIFS(mv_qty,mv_ref,A242,mv_type,"Entrée",mv_date,"&lt;="&amp;$G$1)-SUMIFS(mv_qty,mv_ref,A242,mv_type,"Sortie",mv_date,"&lt;="&amp;$G$1),6),""))</f>
        <v/>
      </c>
      <c r="F242" s="37" t="n"/>
      <c r="G242" s="39" t="str">
        <f>IF(OR(A242="",F242="",E242=""),"",ROUND(F242-E242,6))</f>
        <v/>
      </c>
      <c r="H242" s="40" t="str">
        <f>IF(G242="","",G242*IFERROR(N(INDEX(art_price,MATCH(A242,art_ref,0))),0))</f>
        <v/>
      </c>
      <c r="I242" s="39" t="str">
        <f>IF(A242="","",IF(E242="","Référence inconnue",IF(F242="","À compter",IF(G242&gt;0,"Saisir une entrée de "&amp;G242,IF(G242&lt;0,"Saisir une sortie de "&amp;-G242,"Conforme")))))</f>
        <v/>
      </c>
    </row>
    <row r="243">
      <c r="A243" s="37" t="n"/>
      <c r="B243" s="39" t="str">
        <f>IF(A243="","",IFERROR(INDEX(art_des,MATCH(A243,art_ref,0))&amp;"","Référence inconnue"))</f>
        <v/>
      </c>
      <c r="C243" s="39" t="str">
        <f>IF(A243="","",IFERROR(INDEX(art_unit,MATCH(A243,art_ref,0))&amp;"",""))</f>
        <v/>
      </c>
      <c r="D243" s="39" t="str">
        <f>IF(A243="","",IFERROR(INDEX(art_loc,MATCH(A243,art_ref,0))&amp;"",""))</f>
        <v/>
      </c>
      <c r="E243" s="39" t="str">
        <f>IF(A243="","",IFERROR(ROUND(N(INDEX(art_init,MATCH(A243,art_ref,0)))+SUMIFS(mv_qty,mv_ref,A243,mv_type,"Entrée",mv_date,"&lt;="&amp;$G$1)-SUMIFS(mv_qty,mv_ref,A243,mv_type,"Sortie",mv_date,"&lt;="&amp;$G$1),6),""))</f>
        <v/>
      </c>
      <c r="F243" s="37" t="n"/>
      <c r="G243" s="39" t="str">
        <f>IF(OR(A243="",F243="",E243=""),"",ROUND(F243-E243,6))</f>
        <v/>
      </c>
      <c r="H243" s="40" t="str">
        <f>IF(G243="","",G243*IFERROR(N(INDEX(art_price,MATCH(A243,art_ref,0))),0))</f>
        <v/>
      </c>
      <c r="I243" s="39" t="str">
        <f>IF(A243="","",IF(E243="","Référence inconnue",IF(F243="","À compter",IF(G243&gt;0,"Saisir une entrée de "&amp;G243,IF(G243&lt;0,"Saisir une sortie de "&amp;-G243,"Conforme")))))</f>
        <v/>
      </c>
    </row>
    <row r="244">
      <c r="A244" s="37" t="n"/>
      <c r="B244" s="39" t="str">
        <f>IF(A244="","",IFERROR(INDEX(art_des,MATCH(A244,art_ref,0))&amp;"","Référence inconnue"))</f>
        <v/>
      </c>
      <c r="C244" s="39" t="str">
        <f>IF(A244="","",IFERROR(INDEX(art_unit,MATCH(A244,art_ref,0))&amp;"",""))</f>
        <v/>
      </c>
      <c r="D244" s="39" t="str">
        <f>IF(A244="","",IFERROR(INDEX(art_loc,MATCH(A244,art_ref,0))&amp;"",""))</f>
        <v/>
      </c>
      <c r="E244" s="39" t="str">
        <f>IF(A244="","",IFERROR(ROUND(N(INDEX(art_init,MATCH(A244,art_ref,0)))+SUMIFS(mv_qty,mv_ref,A244,mv_type,"Entrée",mv_date,"&lt;="&amp;$G$1)-SUMIFS(mv_qty,mv_ref,A244,mv_type,"Sortie",mv_date,"&lt;="&amp;$G$1),6),""))</f>
        <v/>
      </c>
      <c r="F244" s="37" t="n"/>
      <c r="G244" s="39" t="str">
        <f>IF(OR(A244="",F244="",E244=""),"",ROUND(F244-E244,6))</f>
        <v/>
      </c>
      <c r="H244" s="40" t="str">
        <f>IF(G244="","",G244*IFERROR(N(INDEX(art_price,MATCH(A244,art_ref,0))),0))</f>
        <v/>
      </c>
      <c r="I244" s="39" t="str">
        <f>IF(A244="","",IF(E244="","Référence inconnue",IF(F244="","À compter",IF(G244&gt;0,"Saisir une entrée de "&amp;G244,IF(G244&lt;0,"Saisir une sortie de "&amp;-G244,"Conforme")))))</f>
        <v/>
      </c>
    </row>
    <row r="245">
      <c r="A245" s="37" t="n"/>
      <c r="B245" s="39" t="str">
        <f>IF(A245="","",IFERROR(INDEX(art_des,MATCH(A245,art_ref,0))&amp;"","Référence inconnue"))</f>
        <v/>
      </c>
      <c r="C245" s="39" t="str">
        <f>IF(A245="","",IFERROR(INDEX(art_unit,MATCH(A245,art_ref,0))&amp;"",""))</f>
        <v/>
      </c>
      <c r="D245" s="39" t="str">
        <f>IF(A245="","",IFERROR(INDEX(art_loc,MATCH(A245,art_ref,0))&amp;"",""))</f>
        <v/>
      </c>
      <c r="E245" s="39" t="str">
        <f>IF(A245="","",IFERROR(ROUND(N(INDEX(art_init,MATCH(A245,art_ref,0)))+SUMIFS(mv_qty,mv_ref,A245,mv_type,"Entrée",mv_date,"&lt;="&amp;$G$1)-SUMIFS(mv_qty,mv_ref,A245,mv_type,"Sortie",mv_date,"&lt;="&amp;$G$1),6),""))</f>
        <v/>
      </c>
      <c r="F245" s="37" t="n"/>
      <c r="G245" s="39" t="str">
        <f>IF(OR(A245="",F245="",E245=""),"",ROUND(F245-E245,6))</f>
        <v/>
      </c>
      <c r="H245" s="40" t="str">
        <f>IF(G245="","",G245*IFERROR(N(INDEX(art_price,MATCH(A245,art_ref,0))),0))</f>
        <v/>
      </c>
      <c r="I245" s="39" t="str">
        <f>IF(A245="","",IF(E245="","Référence inconnue",IF(F245="","À compter",IF(G245&gt;0,"Saisir une entrée de "&amp;G245,IF(G245&lt;0,"Saisir une sortie de "&amp;-G245,"Conforme")))))</f>
        <v/>
      </c>
    </row>
    <row r="246">
      <c r="A246" s="37" t="n"/>
      <c r="B246" s="39" t="str">
        <f>IF(A246="","",IFERROR(INDEX(art_des,MATCH(A246,art_ref,0))&amp;"","Référence inconnue"))</f>
        <v/>
      </c>
      <c r="C246" s="39" t="str">
        <f>IF(A246="","",IFERROR(INDEX(art_unit,MATCH(A246,art_ref,0))&amp;"",""))</f>
        <v/>
      </c>
      <c r="D246" s="39" t="str">
        <f>IF(A246="","",IFERROR(INDEX(art_loc,MATCH(A246,art_ref,0))&amp;"",""))</f>
        <v/>
      </c>
      <c r="E246" s="39" t="str">
        <f>IF(A246="","",IFERROR(ROUND(N(INDEX(art_init,MATCH(A246,art_ref,0)))+SUMIFS(mv_qty,mv_ref,A246,mv_type,"Entrée",mv_date,"&lt;="&amp;$G$1)-SUMIFS(mv_qty,mv_ref,A246,mv_type,"Sortie",mv_date,"&lt;="&amp;$G$1),6),""))</f>
        <v/>
      </c>
      <c r="F246" s="37" t="n"/>
      <c r="G246" s="39" t="str">
        <f>IF(OR(A246="",F246="",E246=""),"",ROUND(F246-E246,6))</f>
        <v/>
      </c>
      <c r="H246" s="40" t="str">
        <f>IF(G246="","",G246*IFERROR(N(INDEX(art_price,MATCH(A246,art_ref,0))),0))</f>
        <v/>
      </c>
      <c r="I246" s="39" t="str">
        <f>IF(A246="","",IF(E246="","Référence inconnue",IF(F246="","À compter",IF(G246&gt;0,"Saisir une entrée de "&amp;G246,IF(G246&lt;0,"Saisir une sortie de "&amp;-G246,"Conforme")))))</f>
        <v/>
      </c>
    </row>
    <row r="247">
      <c r="A247" s="37" t="n"/>
      <c r="B247" s="39" t="str">
        <f>IF(A247="","",IFERROR(INDEX(art_des,MATCH(A247,art_ref,0))&amp;"","Référence inconnue"))</f>
        <v/>
      </c>
      <c r="C247" s="39" t="str">
        <f>IF(A247="","",IFERROR(INDEX(art_unit,MATCH(A247,art_ref,0))&amp;"",""))</f>
        <v/>
      </c>
      <c r="D247" s="39" t="str">
        <f>IF(A247="","",IFERROR(INDEX(art_loc,MATCH(A247,art_ref,0))&amp;"",""))</f>
        <v/>
      </c>
      <c r="E247" s="39" t="str">
        <f>IF(A247="","",IFERROR(ROUND(N(INDEX(art_init,MATCH(A247,art_ref,0)))+SUMIFS(mv_qty,mv_ref,A247,mv_type,"Entrée",mv_date,"&lt;="&amp;$G$1)-SUMIFS(mv_qty,mv_ref,A247,mv_type,"Sortie",mv_date,"&lt;="&amp;$G$1),6),""))</f>
        <v/>
      </c>
      <c r="F247" s="37" t="n"/>
      <c r="G247" s="39" t="str">
        <f>IF(OR(A247="",F247="",E247=""),"",ROUND(F247-E247,6))</f>
        <v/>
      </c>
      <c r="H247" s="40" t="str">
        <f>IF(G247="","",G247*IFERROR(N(INDEX(art_price,MATCH(A247,art_ref,0))),0))</f>
        <v/>
      </c>
      <c r="I247" s="39" t="str">
        <f>IF(A247="","",IF(E247="","Référence inconnue",IF(F247="","À compter",IF(G247&gt;0,"Saisir une entrée de "&amp;G247,IF(G247&lt;0,"Saisir une sortie de "&amp;-G247,"Conforme")))))</f>
        <v/>
      </c>
    </row>
    <row r="248">
      <c r="A248" s="37" t="n"/>
      <c r="B248" s="39" t="str">
        <f>IF(A248="","",IFERROR(INDEX(art_des,MATCH(A248,art_ref,0))&amp;"","Référence inconnue"))</f>
        <v/>
      </c>
      <c r="C248" s="39" t="str">
        <f>IF(A248="","",IFERROR(INDEX(art_unit,MATCH(A248,art_ref,0))&amp;"",""))</f>
        <v/>
      </c>
      <c r="D248" s="39" t="str">
        <f>IF(A248="","",IFERROR(INDEX(art_loc,MATCH(A248,art_ref,0))&amp;"",""))</f>
        <v/>
      </c>
      <c r="E248" s="39" t="str">
        <f>IF(A248="","",IFERROR(ROUND(N(INDEX(art_init,MATCH(A248,art_ref,0)))+SUMIFS(mv_qty,mv_ref,A248,mv_type,"Entrée",mv_date,"&lt;="&amp;$G$1)-SUMIFS(mv_qty,mv_ref,A248,mv_type,"Sortie",mv_date,"&lt;="&amp;$G$1),6),""))</f>
        <v/>
      </c>
      <c r="F248" s="37" t="n"/>
      <c r="G248" s="39" t="str">
        <f>IF(OR(A248="",F248="",E248=""),"",ROUND(F248-E248,6))</f>
        <v/>
      </c>
      <c r="H248" s="40" t="str">
        <f>IF(G248="","",G248*IFERROR(N(INDEX(art_price,MATCH(A248,art_ref,0))),0))</f>
        <v/>
      </c>
      <c r="I248" s="39" t="str">
        <f>IF(A248="","",IF(E248="","Référence inconnue",IF(F248="","À compter",IF(G248&gt;0,"Saisir une entrée de "&amp;G248,IF(G248&lt;0,"Saisir une sortie de "&amp;-G248,"Conforme")))))</f>
        <v/>
      </c>
    </row>
    <row r="249">
      <c r="A249" s="37" t="n"/>
      <c r="B249" s="39" t="str">
        <f>IF(A249="","",IFERROR(INDEX(art_des,MATCH(A249,art_ref,0))&amp;"","Référence inconnue"))</f>
        <v/>
      </c>
      <c r="C249" s="39" t="str">
        <f>IF(A249="","",IFERROR(INDEX(art_unit,MATCH(A249,art_ref,0))&amp;"",""))</f>
        <v/>
      </c>
      <c r="D249" s="39" t="str">
        <f>IF(A249="","",IFERROR(INDEX(art_loc,MATCH(A249,art_ref,0))&amp;"",""))</f>
        <v/>
      </c>
      <c r="E249" s="39" t="str">
        <f>IF(A249="","",IFERROR(ROUND(N(INDEX(art_init,MATCH(A249,art_ref,0)))+SUMIFS(mv_qty,mv_ref,A249,mv_type,"Entrée",mv_date,"&lt;="&amp;$G$1)-SUMIFS(mv_qty,mv_ref,A249,mv_type,"Sortie",mv_date,"&lt;="&amp;$G$1),6),""))</f>
        <v/>
      </c>
      <c r="F249" s="37" t="n"/>
      <c r="G249" s="39" t="str">
        <f>IF(OR(A249="",F249="",E249=""),"",ROUND(F249-E249,6))</f>
        <v/>
      </c>
      <c r="H249" s="40" t="str">
        <f>IF(G249="","",G249*IFERROR(N(INDEX(art_price,MATCH(A249,art_ref,0))),0))</f>
        <v/>
      </c>
      <c r="I249" s="39" t="str">
        <f>IF(A249="","",IF(E249="","Référence inconnue",IF(F249="","À compter",IF(G249&gt;0,"Saisir une entrée de "&amp;G249,IF(G249&lt;0,"Saisir une sortie de "&amp;-G249,"Conforme")))))</f>
        <v/>
      </c>
    </row>
    <row r="250">
      <c r="A250" s="37" t="n"/>
      <c r="B250" s="39" t="str">
        <f>IF(A250="","",IFERROR(INDEX(art_des,MATCH(A250,art_ref,0))&amp;"","Référence inconnue"))</f>
        <v/>
      </c>
      <c r="C250" s="39" t="str">
        <f>IF(A250="","",IFERROR(INDEX(art_unit,MATCH(A250,art_ref,0))&amp;"",""))</f>
        <v/>
      </c>
      <c r="D250" s="39" t="str">
        <f>IF(A250="","",IFERROR(INDEX(art_loc,MATCH(A250,art_ref,0))&amp;"",""))</f>
        <v/>
      </c>
      <c r="E250" s="39" t="str">
        <f>IF(A250="","",IFERROR(ROUND(N(INDEX(art_init,MATCH(A250,art_ref,0)))+SUMIFS(mv_qty,mv_ref,A250,mv_type,"Entrée",mv_date,"&lt;="&amp;$G$1)-SUMIFS(mv_qty,mv_ref,A250,mv_type,"Sortie",mv_date,"&lt;="&amp;$G$1),6),""))</f>
        <v/>
      </c>
      <c r="F250" s="37" t="n"/>
      <c r="G250" s="39" t="str">
        <f>IF(OR(A250="",F250="",E250=""),"",ROUND(F250-E250,6))</f>
        <v/>
      </c>
      <c r="H250" s="40" t="str">
        <f>IF(G250="","",G250*IFERROR(N(INDEX(art_price,MATCH(A250,art_ref,0))),0))</f>
        <v/>
      </c>
      <c r="I250" s="39" t="str">
        <f>IF(A250="","",IF(E250="","Référence inconnue",IF(F250="","À compter",IF(G250&gt;0,"Saisir une entrée de "&amp;G250,IF(G250&lt;0,"Saisir une sortie de "&amp;-G250,"Conforme")))))</f>
        <v/>
      </c>
    </row>
    <row r="251">
      <c r="A251" s="37" t="n"/>
      <c r="B251" s="39" t="str">
        <f>IF(A251="","",IFERROR(INDEX(art_des,MATCH(A251,art_ref,0))&amp;"","Référence inconnue"))</f>
        <v/>
      </c>
      <c r="C251" s="39" t="str">
        <f>IF(A251="","",IFERROR(INDEX(art_unit,MATCH(A251,art_ref,0))&amp;"",""))</f>
        <v/>
      </c>
      <c r="D251" s="39" t="str">
        <f>IF(A251="","",IFERROR(INDEX(art_loc,MATCH(A251,art_ref,0))&amp;"",""))</f>
        <v/>
      </c>
      <c r="E251" s="39" t="str">
        <f>IF(A251="","",IFERROR(ROUND(N(INDEX(art_init,MATCH(A251,art_ref,0)))+SUMIFS(mv_qty,mv_ref,A251,mv_type,"Entrée",mv_date,"&lt;="&amp;$G$1)-SUMIFS(mv_qty,mv_ref,A251,mv_type,"Sortie",mv_date,"&lt;="&amp;$G$1),6),""))</f>
        <v/>
      </c>
      <c r="F251" s="37" t="n"/>
      <c r="G251" s="39" t="str">
        <f>IF(OR(A251="",F251="",E251=""),"",ROUND(F251-E251,6))</f>
        <v/>
      </c>
      <c r="H251" s="40" t="str">
        <f>IF(G251="","",G251*IFERROR(N(INDEX(art_price,MATCH(A251,art_ref,0))),0))</f>
        <v/>
      </c>
      <c r="I251" s="39" t="str">
        <f>IF(A251="","",IF(E251="","Référence inconnue",IF(F251="","À compter",IF(G251&gt;0,"Saisir une entrée de "&amp;G251,IF(G251&lt;0,"Saisir une sortie de "&amp;-G251,"Conforme")))))</f>
        <v/>
      </c>
    </row>
    <row r="252">
      <c r="A252" s="37" t="n"/>
      <c r="B252" s="39" t="str">
        <f>IF(A252="","",IFERROR(INDEX(art_des,MATCH(A252,art_ref,0))&amp;"","Référence inconnue"))</f>
        <v/>
      </c>
      <c r="C252" s="39" t="str">
        <f>IF(A252="","",IFERROR(INDEX(art_unit,MATCH(A252,art_ref,0))&amp;"",""))</f>
        <v/>
      </c>
      <c r="D252" s="39" t="str">
        <f>IF(A252="","",IFERROR(INDEX(art_loc,MATCH(A252,art_ref,0))&amp;"",""))</f>
        <v/>
      </c>
      <c r="E252" s="39" t="str">
        <f>IF(A252="","",IFERROR(ROUND(N(INDEX(art_init,MATCH(A252,art_ref,0)))+SUMIFS(mv_qty,mv_ref,A252,mv_type,"Entrée",mv_date,"&lt;="&amp;$G$1)-SUMIFS(mv_qty,mv_ref,A252,mv_type,"Sortie",mv_date,"&lt;="&amp;$G$1),6),""))</f>
        <v/>
      </c>
      <c r="F252" s="37" t="n"/>
      <c r="G252" s="39" t="str">
        <f>IF(OR(A252="",F252="",E252=""),"",ROUND(F252-E252,6))</f>
        <v/>
      </c>
      <c r="H252" s="40" t="str">
        <f>IF(G252="","",G252*IFERROR(N(INDEX(art_price,MATCH(A252,art_ref,0))),0))</f>
        <v/>
      </c>
      <c r="I252" s="39" t="str">
        <f>IF(A252="","",IF(E252="","Référence inconnue",IF(F252="","À compter",IF(G252&gt;0,"Saisir une entrée de "&amp;G252,IF(G252&lt;0,"Saisir une sortie de "&amp;-G252,"Conforme")))))</f>
        <v/>
      </c>
    </row>
    <row r="253">
      <c r="A253" s="37" t="n"/>
      <c r="B253" s="39" t="str">
        <f>IF(A253="","",IFERROR(INDEX(art_des,MATCH(A253,art_ref,0))&amp;"","Référence inconnue"))</f>
        <v/>
      </c>
      <c r="C253" s="39" t="str">
        <f>IF(A253="","",IFERROR(INDEX(art_unit,MATCH(A253,art_ref,0))&amp;"",""))</f>
        <v/>
      </c>
      <c r="D253" s="39" t="str">
        <f>IF(A253="","",IFERROR(INDEX(art_loc,MATCH(A253,art_ref,0))&amp;"",""))</f>
        <v/>
      </c>
      <c r="E253" s="39" t="str">
        <f>IF(A253="","",IFERROR(ROUND(N(INDEX(art_init,MATCH(A253,art_ref,0)))+SUMIFS(mv_qty,mv_ref,A253,mv_type,"Entrée",mv_date,"&lt;="&amp;$G$1)-SUMIFS(mv_qty,mv_ref,A253,mv_type,"Sortie",mv_date,"&lt;="&amp;$G$1),6),""))</f>
        <v/>
      </c>
      <c r="F253" s="37" t="n"/>
      <c r="G253" s="39" t="str">
        <f>IF(OR(A253="",F253="",E253=""),"",ROUND(F253-E253,6))</f>
        <v/>
      </c>
      <c r="H253" s="40" t="str">
        <f>IF(G253="","",G253*IFERROR(N(INDEX(art_price,MATCH(A253,art_ref,0))),0))</f>
        <v/>
      </c>
      <c r="I253" s="39" t="str">
        <f>IF(A253="","",IF(E253="","Référence inconnue",IF(F253="","À compter",IF(G253&gt;0,"Saisir une entrée de "&amp;G253,IF(G253&lt;0,"Saisir une sortie de "&amp;-G253,"Conforme")))))</f>
        <v/>
      </c>
    </row>
    <row r="254">
      <c r="A254" s="37" t="n"/>
      <c r="B254" s="39" t="str">
        <f>IF(A254="","",IFERROR(INDEX(art_des,MATCH(A254,art_ref,0))&amp;"","Référence inconnue"))</f>
        <v/>
      </c>
      <c r="C254" s="39" t="str">
        <f>IF(A254="","",IFERROR(INDEX(art_unit,MATCH(A254,art_ref,0))&amp;"",""))</f>
        <v/>
      </c>
      <c r="D254" s="39" t="str">
        <f>IF(A254="","",IFERROR(INDEX(art_loc,MATCH(A254,art_ref,0))&amp;"",""))</f>
        <v/>
      </c>
      <c r="E254" s="39" t="str">
        <f>IF(A254="","",IFERROR(ROUND(N(INDEX(art_init,MATCH(A254,art_ref,0)))+SUMIFS(mv_qty,mv_ref,A254,mv_type,"Entrée",mv_date,"&lt;="&amp;$G$1)-SUMIFS(mv_qty,mv_ref,A254,mv_type,"Sortie",mv_date,"&lt;="&amp;$G$1),6),""))</f>
        <v/>
      </c>
      <c r="F254" s="37" t="n"/>
      <c r="G254" s="39" t="str">
        <f>IF(OR(A254="",F254="",E254=""),"",ROUND(F254-E254,6))</f>
        <v/>
      </c>
      <c r="H254" s="40" t="str">
        <f>IF(G254="","",G254*IFERROR(N(INDEX(art_price,MATCH(A254,art_ref,0))),0))</f>
        <v/>
      </c>
      <c r="I254" s="39" t="str">
        <f>IF(A254="","",IF(E254="","Référence inconnue",IF(F254="","À compter",IF(G254&gt;0,"Saisir une entrée de "&amp;G254,IF(G254&lt;0,"Saisir une sortie de "&amp;-G254,"Conforme")))))</f>
        <v/>
      </c>
    </row>
    <row r="255">
      <c r="A255" s="37" t="n"/>
      <c r="B255" s="39" t="str">
        <f>IF(A255="","",IFERROR(INDEX(art_des,MATCH(A255,art_ref,0))&amp;"","Référence inconnue"))</f>
        <v/>
      </c>
      <c r="C255" s="39" t="str">
        <f>IF(A255="","",IFERROR(INDEX(art_unit,MATCH(A255,art_ref,0))&amp;"",""))</f>
        <v/>
      </c>
      <c r="D255" s="39" t="str">
        <f>IF(A255="","",IFERROR(INDEX(art_loc,MATCH(A255,art_ref,0))&amp;"",""))</f>
        <v/>
      </c>
      <c r="E255" s="39" t="str">
        <f>IF(A255="","",IFERROR(ROUND(N(INDEX(art_init,MATCH(A255,art_ref,0)))+SUMIFS(mv_qty,mv_ref,A255,mv_type,"Entrée",mv_date,"&lt;="&amp;$G$1)-SUMIFS(mv_qty,mv_ref,A255,mv_type,"Sortie",mv_date,"&lt;="&amp;$G$1),6),""))</f>
        <v/>
      </c>
      <c r="F255" s="37" t="n"/>
      <c r="G255" s="39" t="str">
        <f>IF(OR(A255="",F255="",E255=""),"",ROUND(F255-E255,6))</f>
        <v/>
      </c>
      <c r="H255" s="40" t="str">
        <f>IF(G255="","",G255*IFERROR(N(INDEX(art_price,MATCH(A255,art_ref,0))),0))</f>
        <v/>
      </c>
      <c r="I255" s="39" t="str">
        <f>IF(A255="","",IF(E255="","Référence inconnue",IF(F255="","À compter",IF(G255&gt;0,"Saisir une entrée de "&amp;G255,IF(G255&lt;0,"Saisir une sortie de "&amp;-G255,"Conforme")))))</f>
        <v/>
      </c>
    </row>
    <row r="256">
      <c r="A256" s="37" t="n"/>
      <c r="B256" s="39" t="str">
        <f>IF(A256="","",IFERROR(INDEX(art_des,MATCH(A256,art_ref,0))&amp;"","Référence inconnue"))</f>
        <v/>
      </c>
      <c r="C256" s="39" t="str">
        <f>IF(A256="","",IFERROR(INDEX(art_unit,MATCH(A256,art_ref,0))&amp;"",""))</f>
        <v/>
      </c>
      <c r="D256" s="39" t="str">
        <f>IF(A256="","",IFERROR(INDEX(art_loc,MATCH(A256,art_ref,0))&amp;"",""))</f>
        <v/>
      </c>
      <c r="E256" s="39" t="str">
        <f>IF(A256="","",IFERROR(ROUND(N(INDEX(art_init,MATCH(A256,art_ref,0)))+SUMIFS(mv_qty,mv_ref,A256,mv_type,"Entrée",mv_date,"&lt;="&amp;$G$1)-SUMIFS(mv_qty,mv_ref,A256,mv_type,"Sortie",mv_date,"&lt;="&amp;$G$1),6),""))</f>
        <v/>
      </c>
      <c r="F256" s="37" t="n"/>
      <c r="G256" s="39" t="str">
        <f>IF(OR(A256="",F256="",E256=""),"",ROUND(F256-E256,6))</f>
        <v/>
      </c>
      <c r="H256" s="40" t="str">
        <f>IF(G256="","",G256*IFERROR(N(INDEX(art_price,MATCH(A256,art_ref,0))),0))</f>
        <v/>
      </c>
      <c r="I256" s="39" t="str">
        <f>IF(A256="","",IF(E256="","Référence inconnue",IF(F256="","À compter",IF(G256&gt;0,"Saisir une entrée de "&amp;G256,IF(G256&lt;0,"Saisir une sortie de "&amp;-G256,"Conforme")))))</f>
        <v/>
      </c>
    </row>
    <row r="257">
      <c r="A257" s="37" t="n"/>
      <c r="B257" s="39" t="str">
        <f>IF(A257="","",IFERROR(INDEX(art_des,MATCH(A257,art_ref,0))&amp;"","Référence inconnue"))</f>
        <v/>
      </c>
      <c r="C257" s="39" t="str">
        <f>IF(A257="","",IFERROR(INDEX(art_unit,MATCH(A257,art_ref,0))&amp;"",""))</f>
        <v/>
      </c>
      <c r="D257" s="39" t="str">
        <f>IF(A257="","",IFERROR(INDEX(art_loc,MATCH(A257,art_ref,0))&amp;"",""))</f>
        <v/>
      </c>
      <c r="E257" s="39" t="str">
        <f>IF(A257="","",IFERROR(ROUND(N(INDEX(art_init,MATCH(A257,art_ref,0)))+SUMIFS(mv_qty,mv_ref,A257,mv_type,"Entrée",mv_date,"&lt;="&amp;$G$1)-SUMIFS(mv_qty,mv_ref,A257,mv_type,"Sortie",mv_date,"&lt;="&amp;$G$1),6),""))</f>
        <v/>
      </c>
      <c r="F257" s="37" t="n"/>
      <c r="G257" s="39" t="str">
        <f>IF(OR(A257="",F257="",E257=""),"",ROUND(F257-E257,6))</f>
        <v/>
      </c>
      <c r="H257" s="40" t="str">
        <f>IF(G257="","",G257*IFERROR(N(INDEX(art_price,MATCH(A257,art_ref,0))),0))</f>
        <v/>
      </c>
      <c r="I257" s="39" t="str">
        <f>IF(A257="","",IF(E257="","Référence inconnue",IF(F257="","À compter",IF(G257&gt;0,"Saisir une entrée de "&amp;G257,IF(G257&lt;0,"Saisir une sortie de "&amp;-G257,"Conforme")))))</f>
        <v/>
      </c>
    </row>
    <row r="258">
      <c r="A258" s="37" t="n"/>
      <c r="B258" s="39" t="str">
        <f>IF(A258="","",IFERROR(INDEX(art_des,MATCH(A258,art_ref,0))&amp;"","Référence inconnue"))</f>
        <v/>
      </c>
      <c r="C258" s="39" t="str">
        <f>IF(A258="","",IFERROR(INDEX(art_unit,MATCH(A258,art_ref,0))&amp;"",""))</f>
        <v/>
      </c>
      <c r="D258" s="39" t="str">
        <f>IF(A258="","",IFERROR(INDEX(art_loc,MATCH(A258,art_ref,0))&amp;"",""))</f>
        <v/>
      </c>
      <c r="E258" s="39" t="str">
        <f>IF(A258="","",IFERROR(ROUND(N(INDEX(art_init,MATCH(A258,art_ref,0)))+SUMIFS(mv_qty,mv_ref,A258,mv_type,"Entrée",mv_date,"&lt;="&amp;$G$1)-SUMIFS(mv_qty,mv_ref,A258,mv_type,"Sortie",mv_date,"&lt;="&amp;$G$1),6),""))</f>
        <v/>
      </c>
      <c r="F258" s="37" t="n"/>
      <c r="G258" s="39" t="str">
        <f>IF(OR(A258="",F258="",E258=""),"",ROUND(F258-E258,6))</f>
        <v/>
      </c>
      <c r="H258" s="40" t="str">
        <f>IF(G258="","",G258*IFERROR(N(INDEX(art_price,MATCH(A258,art_ref,0))),0))</f>
        <v/>
      </c>
      <c r="I258" s="39" t="str">
        <f>IF(A258="","",IF(E258="","Référence inconnue",IF(F258="","À compter",IF(G258&gt;0,"Saisir une entrée de "&amp;G258,IF(G258&lt;0,"Saisir une sortie de "&amp;-G258,"Conforme")))))</f>
        <v/>
      </c>
    </row>
    <row r="259">
      <c r="A259" s="37" t="n"/>
      <c r="B259" s="39" t="str">
        <f>IF(A259="","",IFERROR(INDEX(art_des,MATCH(A259,art_ref,0))&amp;"","Référence inconnue"))</f>
        <v/>
      </c>
      <c r="C259" s="39" t="str">
        <f>IF(A259="","",IFERROR(INDEX(art_unit,MATCH(A259,art_ref,0))&amp;"",""))</f>
        <v/>
      </c>
      <c r="D259" s="39" t="str">
        <f>IF(A259="","",IFERROR(INDEX(art_loc,MATCH(A259,art_ref,0))&amp;"",""))</f>
        <v/>
      </c>
      <c r="E259" s="39" t="str">
        <f>IF(A259="","",IFERROR(ROUND(N(INDEX(art_init,MATCH(A259,art_ref,0)))+SUMIFS(mv_qty,mv_ref,A259,mv_type,"Entrée",mv_date,"&lt;="&amp;$G$1)-SUMIFS(mv_qty,mv_ref,A259,mv_type,"Sortie",mv_date,"&lt;="&amp;$G$1),6),""))</f>
        <v/>
      </c>
      <c r="F259" s="37" t="n"/>
      <c r="G259" s="39" t="str">
        <f>IF(OR(A259="",F259="",E259=""),"",ROUND(F259-E259,6))</f>
        <v/>
      </c>
      <c r="H259" s="40" t="str">
        <f>IF(G259="","",G259*IFERROR(N(INDEX(art_price,MATCH(A259,art_ref,0))),0))</f>
        <v/>
      </c>
      <c r="I259" s="39" t="str">
        <f>IF(A259="","",IF(E259="","Référence inconnue",IF(F259="","À compter",IF(G259&gt;0,"Saisir une entrée de "&amp;G259,IF(G259&lt;0,"Saisir une sortie de "&amp;-G259,"Conforme")))))</f>
        <v/>
      </c>
    </row>
    <row r="260">
      <c r="A260" s="37" t="n"/>
      <c r="B260" s="39" t="str">
        <f>IF(A260="","",IFERROR(INDEX(art_des,MATCH(A260,art_ref,0))&amp;"","Référence inconnue"))</f>
        <v/>
      </c>
      <c r="C260" s="39" t="str">
        <f>IF(A260="","",IFERROR(INDEX(art_unit,MATCH(A260,art_ref,0))&amp;"",""))</f>
        <v/>
      </c>
      <c r="D260" s="39" t="str">
        <f>IF(A260="","",IFERROR(INDEX(art_loc,MATCH(A260,art_ref,0))&amp;"",""))</f>
        <v/>
      </c>
      <c r="E260" s="39" t="str">
        <f>IF(A260="","",IFERROR(ROUND(N(INDEX(art_init,MATCH(A260,art_ref,0)))+SUMIFS(mv_qty,mv_ref,A260,mv_type,"Entrée",mv_date,"&lt;="&amp;$G$1)-SUMIFS(mv_qty,mv_ref,A260,mv_type,"Sortie",mv_date,"&lt;="&amp;$G$1),6),""))</f>
        <v/>
      </c>
      <c r="F260" s="37" t="n"/>
      <c r="G260" s="39" t="str">
        <f>IF(OR(A260="",F260="",E260=""),"",ROUND(F260-E260,6))</f>
        <v/>
      </c>
      <c r="H260" s="40" t="str">
        <f>IF(G260="","",G260*IFERROR(N(INDEX(art_price,MATCH(A260,art_ref,0))),0))</f>
        <v/>
      </c>
      <c r="I260" s="39" t="str">
        <f>IF(A260="","",IF(E260="","Référence inconnue",IF(F260="","À compter",IF(G260&gt;0,"Saisir une entrée de "&amp;G260,IF(G260&lt;0,"Saisir une sortie de "&amp;-G260,"Conforme")))))</f>
        <v/>
      </c>
    </row>
    <row r="261">
      <c r="A261" s="37" t="n"/>
      <c r="B261" s="39" t="str">
        <f>IF(A261="","",IFERROR(INDEX(art_des,MATCH(A261,art_ref,0))&amp;"","Référence inconnue"))</f>
        <v/>
      </c>
      <c r="C261" s="39" t="str">
        <f>IF(A261="","",IFERROR(INDEX(art_unit,MATCH(A261,art_ref,0))&amp;"",""))</f>
        <v/>
      </c>
      <c r="D261" s="39" t="str">
        <f>IF(A261="","",IFERROR(INDEX(art_loc,MATCH(A261,art_ref,0))&amp;"",""))</f>
        <v/>
      </c>
      <c r="E261" s="39" t="str">
        <f>IF(A261="","",IFERROR(ROUND(N(INDEX(art_init,MATCH(A261,art_ref,0)))+SUMIFS(mv_qty,mv_ref,A261,mv_type,"Entrée",mv_date,"&lt;="&amp;$G$1)-SUMIFS(mv_qty,mv_ref,A261,mv_type,"Sortie",mv_date,"&lt;="&amp;$G$1),6),""))</f>
        <v/>
      </c>
      <c r="F261" s="37" t="n"/>
      <c r="G261" s="39" t="str">
        <f>IF(OR(A261="",F261="",E261=""),"",ROUND(F261-E261,6))</f>
        <v/>
      </c>
      <c r="H261" s="40" t="str">
        <f>IF(G261="","",G261*IFERROR(N(INDEX(art_price,MATCH(A261,art_ref,0))),0))</f>
        <v/>
      </c>
      <c r="I261" s="39" t="str">
        <f>IF(A261="","",IF(E261="","Référence inconnue",IF(F261="","À compter",IF(G261&gt;0,"Saisir une entrée de "&amp;G261,IF(G261&lt;0,"Saisir une sortie de "&amp;-G261,"Conforme")))))</f>
        <v/>
      </c>
    </row>
    <row r="262">
      <c r="A262" s="37" t="n"/>
      <c r="B262" s="39" t="str">
        <f>IF(A262="","",IFERROR(INDEX(art_des,MATCH(A262,art_ref,0))&amp;"","Référence inconnue"))</f>
        <v/>
      </c>
      <c r="C262" s="39" t="str">
        <f>IF(A262="","",IFERROR(INDEX(art_unit,MATCH(A262,art_ref,0))&amp;"",""))</f>
        <v/>
      </c>
      <c r="D262" s="39" t="str">
        <f>IF(A262="","",IFERROR(INDEX(art_loc,MATCH(A262,art_ref,0))&amp;"",""))</f>
        <v/>
      </c>
      <c r="E262" s="39" t="str">
        <f>IF(A262="","",IFERROR(ROUND(N(INDEX(art_init,MATCH(A262,art_ref,0)))+SUMIFS(mv_qty,mv_ref,A262,mv_type,"Entrée",mv_date,"&lt;="&amp;$G$1)-SUMIFS(mv_qty,mv_ref,A262,mv_type,"Sortie",mv_date,"&lt;="&amp;$G$1),6),""))</f>
        <v/>
      </c>
      <c r="F262" s="37" t="n"/>
      <c r="G262" s="39" t="str">
        <f>IF(OR(A262="",F262="",E262=""),"",ROUND(F262-E262,6))</f>
        <v/>
      </c>
      <c r="H262" s="40" t="str">
        <f>IF(G262="","",G262*IFERROR(N(INDEX(art_price,MATCH(A262,art_ref,0))),0))</f>
        <v/>
      </c>
      <c r="I262" s="39" t="str">
        <f>IF(A262="","",IF(E262="","Référence inconnue",IF(F262="","À compter",IF(G262&gt;0,"Saisir une entrée de "&amp;G262,IF(G262&lt;0,"Saisir une sortie de "&amp;-G262,"Conforme")))))</f>
        <v/>
      </c>
    </row>
    <row r="263">
      <c r="A263" s="37" t="n"/>
      <c r="B263" s="39" t="str">
        <f>IF(A263="","",IFERROR(INDEX(art_des,MATCH(A263,art_ref,0))&amp;"","Référence inconnue"))</f>
        <v/>
      </c>
      <c r="C263" s="39" t="str">
        <f>IF(A263="","",IFERROR(INDEX(art_unit,MATCH(A263,art_ref,0))&amp;"",""))</f>
        <v/>
      </c>
      <c r="D263" s="39" t="str">
        <f>IF(A263="","",IFERROR(INDEX(art_loc,MATCH(A263,art_ref,0))&amp;"",""))</f>
        <v/>
      </c>
      <c r="E263" s="39" t="str">
        <f>IF(A263="","",IFERROR(ROUND(N(INDEX(art_init,MATCH(A263,art_ref,0)))+SUMIFS(mv_qty,mv_ref,A263,mv_type,"Entrée",mv_date,"&lt;="&amp;$G$1)-SUMIFS(mv_qty,mv_ref,A263,mv_type,"Sortie",mv_date,"&lt;="&amp;$G$1),6),""))</f>
        <v/>
      </c>
      <c r="F263" s="37" t="n"/>
      <c r="G263" s="39" t="str">
        <f>IF(OR(A263="",F263="",E263=""),"",ROUND(F263-E263,6))</f>
        <v/>
      </c>
      <c r="H263" s="40" t="str">
        <f>IF(G263="","",G263*IFERROR(N(INDEX(art_price,MATCH(A263,art_ref,0))),0))</f>
        <v/>
      </c>
      <c r="I263" s="39" t="str">
        <f>IF(A263="","",IF(E263="","Référence inconnue",IF(F263="","À compter",IF(G263&gt;0,"Saisir une entrée de "&amp;G263,IF(G263&lt;0,"Saisir une sortie de "&amp;-G263,"Conforme")))))</f>
        <v/>
      </c>
    </row>
    <row r="264">
      <c r="A264" s="37" t="n"/>
      <c r="B264" s="39" t="str">
        <f>IF(A264="","",IFERROR(INDEX(art_des,MATCH(A264,art_ref,0))&amp;"","Référence inconnue"))</f>
        <v/>
      </c>
      <c r="C264" s="39" t="str">
        <f>IF(A264="","",IFERROR(INDEX(art_unit,MATCH(A264,art_ref,0))&amp;"",""))</f>
        <v/>
      </c>
      <c r="D264" s="39" t="str">
        <f>IF(A264="","",IFERROR(INDEX(art_loc,MATCH(A264,art_ref,0))&amp;"",""))</f>
        <v/>
      </c>
      <c r="E264" s="39" t="str">
        <f>IF(A264="","",IFERROR(ROUND(N(INDEX(art_init,MATCH(A264,art_ref,0)))+SUMIFS(mv_qty,mv_ref,A264,mv_type,"Entrée",mv_date,"&lt;="&amp;$G$1)-SUMIFS(mv_qty,mv_ref,A264,mv_type,"Sortie",mv_date,"&lt;="&amp;$G$1),6),""))</f>
        <v/>
      </c>
      <c r="F264" s="37" t="n"/>
      <c r="G264" s="39" t="str">
        <f>IF(OR(A264="",F264="",E264=""),"",ROUND(F264-E264,6))</f>
        <v/>
      </c>
      <c r="H264" s="40" t="str">
        <f>IF(G264="","",G264*IFERROR(N(INDEX(art_price,MATCH(A264,art_ref,0))),0))</f>
        <v/>
      </c>
      <c r="I264" s="39" t="str">
        <f>IF(A264="","",IF(E264="","Référence inconnue",IF(F264="","À compter",IF(G264&gt;0,"Saisir une entrée de "&amp;G264,IF(G264&lt;0,"Saisir une sortie de "&amp;-G264,"Conforme")))))</f>
        <v/>
      </c>
    </row>
    <row r="265">
      <c r="A265" s="37" t="n"/>
      <c r="B265" s="39" t="str">
        <f>IF(A265="","",IFERROR(INDEX(art_des,MATCH(A265,art_ref,0))&amp;"","Référence inconnue"))</f>
        <v/>
      </c>
      <c r="C265" s="39" t="str">
        <f>IF(A265="","",IFERROR(INDEX(art_unit,MATCH(A265,art_ref,0))&amp;"",""))</f>
        <v/>
      </c>
      <c r="D265" s="39" t="str">
        <f>IF(A265="","",IFERROR(INDEX(art_loc,MATCH(A265,art_ref,0))&amp;"",""))</f>
        <v/>
      </c>
      <c r="E265" s="39" t="str">
        <f>IF(A265="","",IFERROR(ROUND(N(INDEX(art_init,MATCH(A265,art_ref,0)))+SUMIFS(mv_qty,mv_ref,A265,mv_type,"Entrée",mv_date,"&lt;="&amp;$G$1)-SUMIFS(mv_qty,mv_ref,A265,mv_type,"Sortie",mv_date,"&lt;="&amp;$G$1),6),""))</f>
        <v/>
      </c>
      <c r="F265" s="37" t="n"/>
      <c r="G265" s="39" t="str">
        <f>IF(OR(A265="",F265="",E265=""),"",ROUND(F265-E265,6))</f>
        <v/>
      </c>
      <c r="H265" s="40" t="str">
        <f>IF(G265="","",G265*IFERROR(N(INDEX(art_price,MATCH(A265,art_ref,0))),0))</f>
        <v/>
      </c>
      <c r="I265" s="39" t="str">
        <f>IF(A265="","",IF(E265="","Référence inconnue",IF(F265="","À compter",IF(G265&gt;0,"Saisir une entrée de "&amp;G265,IF(G265&lt;0,"Saisir une sortie de "&amp;-G265,"Conforme")))))</f>
        <v/>
      </c>
    </row>
    <row r="266">
      <c r="A266" s="37" t="n"/>
      <c r="B266" s="39" t="str">
        <f>IF(A266="","",IFERROR(INDEX(art_des,MATCH(A266,art_ref,0))&amp;"","Référence inconnue"))</f>
        <v/>
      </c>
      <c r="C266" s="39" t="str">
        <f>IF(A266="","",IFERROR(INDEX(art_unit,MATCH(A266,art_ref,0))&amp;"",""))</f>
        <v/>
      </c>
      <c r="D266" s="39" t="str">
        <f>IF(A266="","",IFERROR(INDEX(art_loc,MATCH(A266,art_ref,0))&amp;"",""))</f>
        <v/>
      </c>
      <c r="E266" s="39" t="str">
        <f>IF(A266="","",IFERROR(ROUND(N(INDEX(art_init,MATCH(A266,art_ref,0)))+SUMIFS(mv_qty,mv_ref,A266,mv_type,"Entrée",mv_date,"&lt;="&amp;$G$1)-SUMIFS(mv_qty,mv_ref,A266,mv_type,"Sortie",mv_date,"&lt;="&amp;$G$1),6),""))</f>
        <v/>
      </c>
      <c r="F266" s="37" t="n"/>
      <c r="G266" s="39" t="str">
        <f>IF(OR(A266="",F266="",E266=""),"",ROUND(F266-E266,6))</f>
        <v/>
      </c>
      <c r="H266" s="40" t="str">
        <f>IF(G266="","",G266*IFERROR(N(INDEX(art_price,MATCH(A266,art_ref,0))),0))</f>
        <v/>
      </c>
      <c r="I266" s="39" t="str">
        <f>IF(A266="","",IF(E266="","Référence inconnue",IF(F266="","À compter",IF(G266&gt;0,"Saisir une entrée de "&amp;G266,IF(G266&lt;0,"Saisir une sortie de "&amp;-G266,"Conforme")))))</f>
        <v/>
      </c>
    </row>
    <row r="267">
      <c r="A267" s="37" t="n"/>
      <c r="B267" s="39" t="str">
        <f>IF(A267="","",IFERROR(INDEX(art_des,MATCH(A267,art_ref,0))&amp;"","Référence inconnue"))</f>
        <v/>
      </c>
      <c r="C267" s="39" t="str">
        <f>IF(A267="","",IFERROR(INDEX(art_unit,MATCH(A267,art_ref,0))&amp;"",""))</f>
        <v/>
      </c>
      <c r="D267" s="39" t="str">
        <f>IF(A267="","",IFERROR(INDEX(art_loc,MATCH(A267,art_ref,0))&amp;"",""))</f>
        <v/>
      </c>
      <c r="E267" s="39" t="str">
        <f>IF(A267="","",IFERROR(ROUND(N(INDEX(art_init,MATCH(A267,art_ref,0)))+SUMIFS(mv_qty,mv_ref,A267,mv_type,"Entrée",mv_date,"&lt;="&amp;$G$1)-SUMIFS(mv_qty,mv_ref,A267,mv_type,"Sortie",mv_date,"&lt;="&amp;$G$1),6),""))</f>
        <v/>
      </c>
      <c r="F267" s="37" t="n"/>
      <c r="G267" s="39" t="str">
        <f>IF(OR(A267="",F267="",E267=""),"",ROUND(F267-E267,6))</f>
        <v/>
      </c>
      <c r="H267" s="40" t="str">
        <f>IF(G267="","",G267*IFERROR(N(INDEX(art_price,MATCH(A267,art_ref,0))),0))</f>
        <v/>
      </c>
      <c r="I267" s="39" t="str">
        <f>IF(A267="","",IF(E267="","Référence inconnue",IF(F267="","À compter",IF(G267&gt;0,"Saisir une entrée de "&amp;G267,IF(G267&lt;0,"Saisir une sortie de "&amp;-G267,"Conforme")))))</f>
        <v/>
      </c>
    </row>
    <row r="268">
      <c r="A268" s="37" t="n"/>
      <c r="B268" s="39" t="str">
        <f>IF(A268="","",IFERROR(INDEX(art_des,MATCH(A268,art_ref,0))&amp;"","Référence inconnue"))</f>
        <v/>
      </c>
      <c r="C268" s="39" t="str">
        <f>IF(A268="","",IFERROR(INDEX(art_unit,MATCH(A268,art_ref,0))&amp;"",""))</f>
        <v/>
      </c>
      <c r="D268" s="39" t="str">
        <f>IF(A268="","",IFERROR(INDEX(art_loc,MATCH(A268,art_ref,0))&amp;"",""))</f>
        <v/>
      </c>
      <c r="E268" s="39" t="str">
        <f>IF(A268="","",IFERROR(ROUND(N(INDEX(art_init,MATCH(A268,art_ref,0)))+SUMIFS(mv_qty,mv_ref,A268,mv_type,"Entrée",mv_date,"&lt;="&amp;$G$1)-SUMIFS(mv_qty,mv_ref,A268,mv_type,"Sortie",mv_date,"&lt;="&amp;$G$1),6),""))</f>
        <v/>
      </c>
      <c r="F268" s="37" t="n"/>
      <c r="G268" s="39" t="str">
        <f>IF(OR(A268="",F268="",E268=""),"",ROUND(F268-E268,6))</f>
        <v/>
      </c>
      <c r="H268" s="40" t="str">
        <f>IF(G268="","",G268*IFERROR(N(INDEX(art_price,MATCH(A268,art_ref,0))),0))</f>
        <v/>
      </c>
      <c r="I268" s="39" t="str">
        <f>IF(A268="","",IF(E268="","Référence inconnue",IF(F268="","À compter",IF(G268&gt;0,"Saisir une entrée de "&amp;G268,IF(G268&lt;0,"Saisir une sortie de "&amp;-G268,"Conforme")))))</f>
        <v/>
      </c>
    </row>
    <row r="269">
      <c r="A269" s="37" t="n"/>
      <c r="B269" s="39" t="str">
        <f>IF(A269="","",IFERROR(INDEX(art_des,MATCH(A269,art_ref,0))&amp;"","Référence inconnue"))</f>
        <v/>
      </c>
      <c r="C269" s="39" t="str">
        <f>IF(A269="","",IFERROR(INDEX(art_unit,MATCH(A269,art_ref,0))&amp;"",""))</f>
        <v/>
      </c>
      <c r="D269" s="39" t="str">
        <f>IF(A269="","",IFERROR(INDEX(art_loc,MATCH(A269,art_ref,0))&amp;"",""))</f>
        <v/>
      </c>
      <c r="E269" s="39" t="str">
        <f>IF(A269="","",IFERROR(ROUND(N(INDEX(art_init,MATCH(A269,art_ref,0)))+SUMIFS(mv_qty,mv_ref,A269,mv_type,"Entrée",mv_date,"&lt;="&amp;$G$1)-SUMIFS(mv_qty,mv_ref,A269,mv_type,"Sortie",mv_date,"&lt;="&amp;$G$1),6),""))</f>
        <v/>
      </c>
      <c r="F269" s="37" t="n"/>
      <c r="G269" s="39" t="str">
        <f>IF(OR(A269="",F269="",E269=""),"",ROUND(F269-E269,6))</f>
        <v/>
      </c>
      <c r="H269" s="40" t="str">
        <f>IF(G269="","",G269*IFERROR(N(INDEX(art_price,MATCH(A269,art_ref,0))),0))</f>
        <v/>
      </c>
      <c r="I269" s="39" t="str">
        <f>IF(A269="","",IF(E269="","Référence inconnue",IF(F269="","À compter",IF(G269&gt;0,"Saisir une entrée de "&amp;G269,IF(G269&lt;0,"Saisir une sortie de "&amp;-G269,"Conforme")))))</f>
        <v/>
      </c>
    </row>
    <row r="270">
      <c r="A270" s="37" t="n"/>
      <c r="B270" s="39" t="str">
        <f>IF(A270="","",IFERROR(INDEX(art_des,MATCH(A270,art_ref,0))&amp;"","Référence inconnue"))</f>
        <v/>
      </c>
      <c r="C270" s="39" t="str">
        <f>IF(A270="","",IFERROR(INDEX(art_unit,MATCH(A270,art_ref,0))&amp;"",""))</f>
        <v/>
      </c>
      <c r="D270" s="39" t="str">
        <f>IF(A270="","",IFERROR(INDEX(art_loc,MATCH(A270,art_ref,0))&amp;"",""))</f>
        <v/>
      </c>
      <c r="E270" s="39" t="str">
        <f>IF(A270="","",IFERROR(ROUND(N(INDEX(art_init,MATCH(A270,art_ref,0)))+SUMIFS(mv_qty,mv_ref,A270,mv_type,"Entrée",mv_date,"&lt;="&amp;$G$1)-SUMIFS(mv_qty,mv_ref,A270,mv_type,"Sortie",mv_date,"&lt;="&amp;$G$1),6),""))</f>
        <v/>
      </c>
      <c r="F270" s="37" t="n"/>
      <c r="G270" s="39" t="str">
        <f>IF(OR(A270="",F270="",E270=""),"",ROUND(F270-E270,6))</f>
        <v/>
      </c>
      <c r="H270" s="40" t="str">
        <f>IF(G270="","",G270*IFERROR(N(INDEX(art_price,MATCH(A270,art_ref,0))),0))</f>
        <v/>
      </c>
      <c r="I270" s="39" t="str">
        <f>IF(A270="","",IF(E270="","Référence inconnue",IF(F270="","À compter",IF(G270&gt;0,"Saisir une entrée de "&amp;G270,IF(G270&lt;0,"Saisir une sortie de "&amp;-G270,"Conforme")))))</f>
        <v/>
      </c>
    </row>
    <row r="271">
      <c r="A271" s="37" t="n"/>
      <c r="B271" s="39" t="str">
        <f>IF(A271="","",IFERROR(INDEX(art_des,MATCH(A271,art_ref,0))&amp;"","Référence inconnue"))</f>
        <v/>
      </c>
      <c r="C271" s="39" t="str">
        <f>IF(A271="","",IFERROR(INDEX(art_unit,MATCH(A271,art_ref,0))&amp;"",""))</f>
        <v/>
      </c>
      <c r="D271" s="39" t="str">
        <f>IF(A271="","",IFERROR(INDEX(art_loc,MATCH(A271,art_ref,0))&amp;"",""))</f>
        <v/>
      </c>
      <c r="E271" s="39" t="str">
        <f>IF(A271="","",IFERROR(ROUND(N(INDEX(art_init,MATCH(A271,art_ref,0)))+SUMIFS(mv_qty,mv_ref,A271,mv_type,"Entrée",mv_date,"&lt;="&amp;$G$1)-SUMIFS(mv_qty,mv_ref,A271,mv_type,"Sortie",mv_date,"&lt;="&amp;$G$1),6),""))</f>
        <v/>
      </c>
      <c r="F271" s="37" t="n"/>
      <c r="G271" s="39" t="str">
        <f>IF(OR(A271="",F271="",E271=""),"",ROUND(F271-E271,6))</f>
        <v/>
      </c>
      <c r="H271" s="40" t="str">
        <f>IF(G271="","",G271*IFERROR(N(INDEX(art_price,MATCH(A271,art_ref,0))),0))</f>
        <v/>
      </c>
      <c r="I271" s="39" t="str">
        <f>IF(A271="","",IF(E271="","Référence inconnue",IF(F271="","À compter",IF(G271&gt;0,"Saisir une entrée de "&amp;G271,IF(G271&lt;0,"Saisir une sortie de "&amp;-G271,"Conforme")))))</f>
        <v/>
      </c>
    </row>
    <row r="272">
      <c r="A272" s="37" t="n"/>
      <c r="B272" s="39" t="str">
        <f>IF(A272="","",IFERROR(INDEX(art_des,MATCH(A272,art_ref,0))&amp;"","Référence inconnue"))</f>
        <v/>
      </c>
      <c r="C272" s="39" t="str">
        <f>IF(A272="","",IFERROR(INDEX(art_unit,MATCH(A272,art_ref,0))&amp;"",""))</f>
        <v/>
      </c>
      <c r="D272" s="39" t="str">
        <f>IF(A272="","",IFERROR(INDEX(art_loc,MATCH(A272,art_ref,0))&amp;"",""))</f>
        <v/>
      </c>
      <c r="E272" s="39" t="str">
        <f>IF(A272="","",IFERROR(ROUND(N(INDEX(art_init,MATCH(A272,art_ref,0)))+SUMIFS(mv_qty,mv_ref,A272,mv_type,"Entrée",mv_date,"&lt;="&amp;$G$1)-SUMIFS(mv_qty,mv_ref,A272,mv_type,"Sortie",mv_date,"&lt;="&amp;$G$1),6),""))</f>
        <v/>
      </c>
      <c r="F272" s="37" t="n"/>
      <c r="G272" s="39" t="str">
        <f>IF(OR(A272="",F272="",E272=""),"",ROUND(F272-E272,6))</f>
        <v/>
      </c>
      <c r="H272" s="40" t="str">
        <f>IF(G272="","",G272*IFERROR(N(INDEX(art_price,MATCH(A272,art_ref,0))),0))</f>
        <v/>
      </c>
      <c r="I272" s="39" t="str">
        <f>IF(A272="","",IF(E272="","Référence inconnue",IF(F272="","À compter",IF(G272&gt;0,"Saisir une entrée de "&amp;G272,IF(G272&lt;0,"Saisir une sortie de "&amp;-G272,"Conforme")))))</f>
        <v/>
      </c>
    </row>
    <row r="273">
      <c r="A273" s="37" t="n"/>
      <c r="B273" s="39" t="str">
        <f>IF(A273="","",IFERROR(INDEX(art_des,MATCH(A273,art_ref,0))&amp;"","Référence inconnue"))</f>
        <v/>
      </c>
      <c r="C273" s="39" t="str">
        <f>IF(A273="","",IFERROR(INDEX(art_unit,MATCH(A273,art_ref,0))&amp;"",""))</f>
        <v/>
      </c>
      <c r="D273" s="39" t="str">
        <f>IF(A273="","",IFERROR(INDEX(art_loc,MATCH(A273,art_ref,0))&amp;"",""))</f>
        <v/>
      </c>
      <c r="E273" s="39" t="str">
        <f>IF(A273="","",IFERROR(ROUND(N(INDEX(art_init,MATCH(A273,art_ref,0)))+SUMIFS(mv_qty,mv_ref,A273,mv_type,"Entrée",mv_date,"&lt;="&amp;$G$1)-SUMIFS(mv_qty,mv_ref,A273,mv_type,"Sortie",mv_date,"&lt;="&amp;$G$1),6),""))</f>
        <v/>
      </c>
      <c r="F273" s="37" t="n"/>
      <c r="G273" s="39" t="str">
        <f>IF(OR(A273="",F273="",E273=""),"",ROUND(F273-E273,6))</f>
        <v/>
      </c>
      <c r="H273" s="40" t="str">
        <f>IF(G273="","",G273*IFERROR(N(INDEX(art_price,MATCH(A273,art_ref,0))),0))</f>
        <v/>
      </c>
      <c r="I273" s="39" t="str">
        <f>IF(A273="","",IF(E273="","Référence inconnue",IF(F273="","À compter",IF(G273&gt;0,"Saisir une entrée de "&amp;G273,IF(G273&lt;0,"Saisir une sortie de "&amp;-G273,"Conforme")))))</f>
        <v/>
      </c>
    </row>
    <row r="274">
      <c r="A274" s="37" t="n"/>
      <c r="B274" s="39" t="str">
        <f>IF(A274="","",IFERROR(INDEX(art_des,MATCH(A274,art_ref,0))&amp;"","Référence inconnue"))</f>
        <v/>
      </c>
      <c r="C274" s="39" t="str">
        <f>IF(A274="","",IFERROR(INDEX(art_unit,MATCH(A274,art_ref,0))&amp;"",""))</f>
        <v/>
      </c>
      <c r="D274" s="39" t="str">
        <f>IF(A274="","",IFERROR(INDEX(art_loc,MATCH(A274,art_ref,0))&amp;"",""))</f>
        <v/>
      </c>
      <c r="E274" s="39" t="str">
        <f>IF(A274="","",IFERROR(ROUND(N(INDEX(art_init,MATCH(A274,art_ref,0)))+SUMIFS(mv_qty,mv_ref,A274,mv_type,"Entrée",mv_date,"&lt;="&amp;$G$1)-SUMIFS(mv_qty,mv_ref,A274,mv_type,"Sortie",mv_date,"&lt;="&amp;$G$1),6),""))</f>
        <v/>
      </c>
      <c r="F274" s="37" t="n"/>
      <c r="G274" s="39" t="str">
        <f>IF(OR(A274="",F274="",E274=""),"",ROUND(F274-E274,6))</f>
        <v/>
      </c>
      <c r="H274" s="40" t="str">
        <f>IF(G274="","",G274*IFERROR(N(INDEX(art_price,MATCH(A274,art_ref,0))),0))</f>
        <v/>
      </c>
      <c r="I274" s="39" t="str">
        <f>IF(A274="","",IF(E274="","Référence inconnue",IF(F274="","À compter",IF(G274&gt;0,"Saisir une entrée de "&amp;G274,IF(G274&lt;0,"Saisir une sortie de "&amp;-G274,"Conforme")))))</f>
        <v/>
      </c>
    </row>
    <row r="275">
      <c r="A275" s="37" t="n"/>
      <c r="B275" s="39" t="str">
        <f>IF(A275="","",IFERROR(INDEX(art_des,MATCH(A275,art_ref,0))&amp;"","Référence inconnue"))</f>
        <v/>
      </c>
      <c r="C275" s="39" t="str">
        <f>IF(A275="","",IFERROR(INDEX(art_unit,MATCH(A275,art_ref,0))&amp;"",""))</f>
        <v/>
      </c>
      <c r="D275" s="39" t="str">
        <f>IF(A275="","",IFERROR(INDEX(art_loc,MATCH(A275,art_ref,0))&amp;"",""))</f>
        <v/>
      </c>
      <c r="E275" s="39" t="str">
        <f>IF(A275="","",IFERROR(ROUND(N(INDEX(art_init,MATCH(A275,art_ref,0)))+SUMIFS(mv_qty,mv_ref,A275,mv_type,"Entrée",mv_date,"&lt;="&amp;$G$1)-SUMIFS(mv_qty,mv_ref,A275,mv_type,"Sortie",mv_date,"&lt;="&amp;$G$1),6),""))</f>
        <v/>
      </c>
      <c r="F275" s="37" t="n"/>
      <c r="G275" s="39" t="str">
        <f>IF(OR(A275="",F275="",E275=""),"",ROUND(F275-E275,6))</f>
        <v/>
      </c>
      <c r="H275" s="40" t="str">
        <f>IF(G275="","",G275*IFERROR(N(INDEX(art_price,MATCH(A275,art_ref,0))),0))</f>
        <v/>
      </c>
      <c r="I275" s="39" t="str">
        <f>IF(A275="","",IF(E275="","Référence inconnue",IF(F275="","À compter",IF(G275&gt;0,"Saisir une entrée de "&amp;G275,IF(G275&lt;0,"Saisir une sortie de "&amp;-G275,"Conforme")))))</f>
        <v/>
      </c>
    </row>
    <row r="276">
      <c r="A276" s="37" t="n"/>
      <c r="B276" s="39" t="str">
        <f>IF(A276="","",IFERROR(INDEX(art_des,MATCH(A276,art_ref,0))&amp;"","Référence inconnue"))</f>
        <v/>
      </c>
      <c r="C276" s="39" t="str">
        <f>IF(A276="","",IFERROR(INDEX(art_unit,MATCH(A276,art_ref,0))&amp;"",""))</f>
        <v/>
      </c>
      <c r="D276" s="39" t="str">
        <f>IF(A276="","",IFERROR(INDEX(art_loc,MATCH(A276,art_ref,0))&amp;"",""))</f>
        <v/>
      </c>
      <c r="E276" s="39" t="str">
        <f>IF(A276="","",IFERROR(ROUND(N(INDEX(art_init,MATCH(A276,art_ref,0)))+SUMIFS(mv_qty,mv_ref,A276,mv_type,"Entrée",mv_date,"&lt;="&amp;$G$1)-SUMIFS(mv_qty,mv_ref,A276,mv_type,"Sortie",mv_date,"&lt;="&amp;$G$1),6),""))</f>
        <v/>
      </c>
      <c r="F276" s="37" t="n"/>
      <c r="G276" s="39" t="str">
        <f>IF(OR(A276="",F276="",E276=""),"",ROUND(F276-E276,6))</f>
        <v/>
      </c>
      <c r="H276" s="40" t="str">
        <f>IF(G276="","",G276*IFERROR(N(INDEX(art_price,MATCH(A276,art_ref,0))),0))</f>
        <v/>
      </c>
      <c r="I276" s="39" t="str">
        <f>IF(A276="","",IF(E276="","Référence inconnue",IF(F276="","À compter",IF(G276&gt;0,"Saisir une entrée de "&amp;G276,IF(G276&lt;0,"Saisir une sortie de "&amp;-G276,"Conforme")))))</f>
        <v/>
      </c>
    </row>
    <row r="277">
      <c r="A277" s="37" t="n"/>
      <c r="B277" s="39" t="str">
        <f>IF(A277="","",IFERROR(INDEX(art_des,MATCH(A277,art_ref,0))&amp;"","Référence inconnue"))</f>
        <v/>
      </c>
      <c r="C277" s="39" t="str">
        <f>IF(A277="","",IFERROR(INDEX(art_unit,MATCH(A277,art_ref,0))&amp;"",""))</f>
        <v/>
      </c>
      <c r="D277" s="39" t="str">
        <f>IF(A277="","",IFERROR(INDEX(art_loc,MATCH(A277,art_ref,0))&amp;"",""))</f>
        <v/>
      </c>
      <c r="E277" s="39" t="str">
        <f>IF(A277="","",IFERROR(ROUND(N(INDEX(art_init,MATCH(A277,art_ref,0)))+SUMIFS(mv_qty,mv_ref,A277,mv_type,"Entrée",mv_date,"&lt;="&amp;$G$1)-SUMIFS(mv_qty,mv_ref,A277,mv_type,"Sortie",mv_date,"&lt;="&amp;$G$1),6),""))</f>
        <v/>
      </c>
      <c r="F277" s="37" t="n"/>
      <c r="G277" s="39" t="str">
        <f>IF(OR(A277="",F277="",E277=""),"",ROUND(F277-E277,6))</f>
        <v/>
      </c>
      <c r="H277" s="40" t="str">
        <f>IF(G277="","",G277*IFERROR(N(INDEX(art_price,MATCH(A277,art_ref,0))),0))</f>
        <v/>
      </c>
      <c r="I277" s="39" t="str">
        <f>IF(A277="","",IF(E277="","Référence inconnue",IF(F277="","À compter",IF(G277&gt;0,"Saisir une entrée de "&amp;G277,IF(G277&lt;0,"Saisir une sortie de "&amp;-G277,"Conforme")))))</f>
        <v/>
      </c>
    </row>
    <row r="278">
      <c r="A278" s="37" t="n"/>
      <c r="B278" s="39" t="str">
        <f>IF(A278="","",IFERROR(INDEX(art_des,MATCH(A278,art_ref,0))&amp;"","Référence inconnue"))</f>
        <v/>
      </c>
      <c r="C278" s="39" t="str">
        <f>IF(A278="","",IFERROR(INDEX(art_unit,MATCH(A278,art_ref,0))&amp;"",""))</f>
        <v/>
      </c>
      <c r="D278" s="39" t="str">
        <f>IF(A278="","",IFERROR(INDEX(art_loc,MATCH(A278,art_ref,0))&amp;"",""))</f>
        <v/>
      </c>
      <c r="E278" s="39" t="str">
        <f>IF(A278="","",IFERROR(ROUND(N(INDEX(art_init,MATCH(A278,art_ref,0)))+SUMIFS(mv_qty,mv_ref,A278,mv_type,"Entrée",mv_date,"&lt;="&amp;$G$1)-SUMIFS(mv_qty,mv_ref,A278,mv_type,"Sortie",mv_date,"&lt;="&amp;$G$1),6),""))</f>
        <v/>
      </c>
      <c r="F278" s="37" t="n"/>
      <c r="G278" s="39" t="str">
        <f>IF(OR(A278="",F278="",E278=""),"",ROUND(F278-E278,6))</f>
        <v/>
      </c>
      <c r="H278" s="40" t="str">
        <f>IF(G278="","",G278*IFERROR(N(INDEX(art_price,MATCH(A278,art_ref,0))),0))</f>
        <v/>
      </c>
      <c r="I278" s="39" t="str">
        <f>IF(A278="","",IF(E278="","Référence inconnue",IF(F278="","À compter",IF(G278&gt;0,"Saisir une entrée de "&amp;G278,IF(G278&lt;0,"Saisir une sortie de "&amp;-G278,"Conforme")))))</f>
        <v/>
      </c>
    </row>
    <row r="279">
      <c r="A279" s="37" t="n"/>
      <c r="B279" s="39" t="str">
        <f>IF(A279="","",IFERROR(INDEX(art_des,MATCH(A279,art_ref,0))&amp;"","Référence inconnue"))</f>
        <v/>
      </c>
      <c r="C279" s="39" t="str">
        <f>IF(A279="","",IFERROR(INDEX(art_unit,MATCH(A279,art_ref,0))&amp;"",""))</f>
        <v/>
      </c>
      <c r="D279" s="39" t="str">
        <f>IF(A279="","",IFERROR(INDEX(art_loc,MATCH(A279,art_ref,0))&amp;"",""))</f>
        <v/>
      </c>
      <c r="E279" s="39" t="str">
        <f>IF(A279="","",IFERROR(ROUND(N(INDEX(art_init,MATCH(A279,art_ref,0)))+SUMIFS(mv_qty,mv_ref,A279,mv_type,"Entrée",mv_date,"&lt;="&amp;$G$1)-SUMIFS(mv_qty,mv_ref,A279,mv_type,"Sortie",mv_date,"&lt;="&amp;$G$1),6),""))</f>
        <v/>
      </c>
      <c r="F279" s="37" t="n"/>
      <c r="G279" s="39" t="str">
        <f>IF(OR(A279="",F279="",E279=""),"",ROUND(F279-E279,6))</f>
        <v/>
      </c>
      <c r="H279" s="40" t="str">
        <f>IF(G279="","",G279*IFERROR(N(INDEX(art_price,MATCH(A279,art_ref,0))),0))</f>
        <v/>
      </c>
      <c r="I279" s="39" t="str">
        <f>IF(A279="","",IF(E279="","Référence inconnue",IF(F279="","À compter",IF(G279&gt;0,"Saisir une entrée de "&amp;G279,IF(G279&lt;0,"Saisir une sortie de "&amp;-G279,"Conforme")))))</f>
        <v/>
      </c>
    </row>
    <row r="280">
      <c r="A280" s="37" t="n"/>
      <c r="B280" s="39" t="str">
        <f>IF(A280="","",IFERROR(INDEX(art_des,MATCH(A280,art_ref,0))&amp;"","Référence inconnue"))</f>
        <v/>
      </c>
      <c r="C280" s="39" t="str">
        <f>IF(A280="","",IFERROR(INDEX(art_unit,MATCH(A280,art_ref,0))&amp;"",""))</f>
        <v/>
      </c>
      <c r="D280" s="39" t="str">
        <f>IF(A280="","",IFERROR(INDEX(art_loc,MATCH(A280,art_ref,0))&amp;"",""))</f>
        <v/>
      </c>
      <c r="E280" s="39" t="str">
        <f>IF(A280="","",IFERROR(ROUND(N(INDEX(art_init,MATCH(A280,art_ref,0)))+SUMIFS(mv_qty,mv_ref,A280,mv_type,"Entrée",mv_date,"&lt;="&amp;$G$1)-SUMIFS(mv_qty,mv_ref,A280,mv_type,"Sortie",mv_date,"&lt;="&amp;$G$1),6),""))</f>
        <v/>
      </c>
      <c r="F280" s="37" t="n"/>
      <c r="G280" s="39" t="str">
        <f>IF(OR(A280="",F280="",E280=""),"",ROUND(F280-E280,6))</f>
        <v/>
      </c>
      <c r="H280" s="40" t="str">
        <f>IF(G280="","",G280*IFERROR(N(INDEX(art_price,MATCH(A280,art_ref,0))),0))</f>
        <v/>
      </c>
      <c r="I280" s="39" t="str">
        <f>IF(A280="","",IF(E280="","Référence inconnue",IF(F280="","À compter",IF(G280&gt;0,"Saisir une entrée de "&amp;G280,IF(G280&lt;0,"Saisir une sortie de "&amp;-G280,"Conforme")))))</f>
        <v/>
      </c>
    </row>
    <row r="281">
      <c r="A281" s="37" t="n"/>
      <c r="B281" s="39" t="str">
        <f>IF(A281="","",IFERROR(INDEX(art_des,MATCH(A281,art_ref,0))&amp;"","Référence inconnue"))</f>
        <v/>
      </c>
      <c r="C281" s="39" t="str">
        <f>IF(A281="","",IFERROR(INDEX(art_unit,MATCH(A281,art_ref,0))&amp;"",""))</f>
        <v/>
      </c>
      <c r="D281" s="39" t="str">
        <f>IF(A281="","",IFERROR(INDEX(art_loc,MATCH(A281,art_ref,0))&amp;"",""))</f>
        <v/>
      </c>
      <c r="E281" s="39" t="str">
        <f>IF(A281="","",IFERROR(ROUND(N(INDEX(art_init,MATCH(A281,art_ref,0)))+SUMIFS(mv_qty,mv_ref,A281,mv_type,"Entrée",mv_date,"&lt;="&amp;$G$1)-SUMIFS(mv_qty,mv_ref,A281,mv_type,"Sortie",mv_date,"&lt;="&amp;$G$1),6),""))</f>
        <v/>
      </c>
      <c r="F281" s="37" t="n"/>
      <c r="G281" s="39" t="str">
        <f>IF(OR(A281="",F281="",E281=""),"",ROUND(F281-E281,6))</f>
        <v/>
      </c>
      <c r="H281" s="40" t="str">
        <f>IF(G281="","",G281*IFERROR(N(INDEX(art_price,MATCH(A281,art_ref,0))),0))</f>
        <v/>
      </c>
      <c r="I281" s="39" t="str">
        <f>IF(A281="","",IF(E281="","Référence inconnue",IF(F281="","À compter",IF(G281&gt;0,"Saisir une entrée de "&amp;G281,IF(G281&lt;0,"Saisir une sortie de "&amp;-G281,"Conforme")))))</f>
        <v/>
      </c>
    </row>
    <row r="282">
      <c r="A282" s="37" t="n"/>
      <c r="B282" s="39" t="str">
        <f>IF(A282="","",IFERROR(INDEX(art_des,MATCH(A282,art_ref,0))&amp;"","Référence inconnue"))</f>
        <v/>
      </c>
      <c r="C282" s="39" t="str">
        <f>IF(A282="","",IFERROR(INDEX(art_unit,MATCH(A282,art_ref,0))&amp;"",""))</f>
        <v/>
      </c>
      <c r="D282" s="39" t="str">
        <f>IF(A282="","",IFERROR(INDEX(art_loc,MATCH(A282,art_ref,0))&amp;"",""))</f>
        <v/>
      </c>
      <c r="E282" s="39" t="str">
        <f>IF(A282="","",IFERROR(ROUND(N(INDEX(art_init,MATCH(A282,art_ref,0)))+SUMIFS(mv_qty,mv_ref,A282,mv_type,"Entrée",mv_date,"&lt;="&amp;$G$1)-SUMIFS(mv_qty,mv_ref,A282,mv_type,"Sortie",mv_date,"&lt;="&amp;$G$1),6),""))</f>
        <v/>
      </c>
      <c r="F282" s="37" t="n"/>
      <c r="G282" s="39" t="str">
        <f>IF(OR(A282="",F282="",E282=""),"",ROUND(F282-E282,6))</f>
        <v/>
      </c>
      <c r="H282" s="40" t="str">
        <f>IF(G282="","",G282*IFERROR(N(INDEX(art_price,MATCH(A282,art_ref,0))),0))</f>
        <v/>
      </c>
      <c r="I282" s="39" t="str">
        <f>IF(A282="","",IF(E282="","Référence inconnue",IF(F282="","À compter",IF(G282&gt;0,"Saisir une entrée de "&amp;G282,IF(G282&lt;0,"Saisir une sortie de "&amp;-G282,"Conforme")))))</f>
        <v/>
      </c>
    </row>
    <row r="283">
      <c r="A283" s="37" t="n"/>
      <c r="B283" s="39" t="str">
        <f>IF(A283="","",IFERROR(INDEX(art_des,MATCH(A283,art_ref,0))&amp;"","Référence inconnue"))</f>
        <v/>
      </c>
      <c r="C283" s="39" t="str">
        <f>IF(A283="","",IFERROR(INDEX(art_unit,MATCH(A283,art_ref,0))&amp;"",""))</f>
        <v/>
      </c>
      <c r="D283" s="39" t="str">
        <f>IF(A283="","",IFERROR(INDEX(art_loc,MATCH(A283,art_ref,0))&amp;"",""))</f>
        <v/>
      </c>
      <c r="E283" s="39" t="str">
        <f>IF(A283="","",IFERROR(ROUND(N(INDEX(art_init,MATCH(A283,art_ref,0)))+SUMIFS(mv_qty,mv_ref,A283,mv_type,"Entrée",mv_date,"&lt;="&amp;$G$1)-SUMIFS(mv_qty,mv_ref,A283,mv_type,"Sortie",mv_date,"&lt;="&amp;$G$1),6),""))</f>
        <v/>
      </c>
      <c r="F283" s="37" t="n"/>
      <c r="G283" s="39" t="str">
        <f>IF(OR(A283="",F283="",E283=""),"",ROUND(F283-E283,6))</f>
        <v/>
      </c>
      <c r="H283" s="40" t="str">
        <f>IF(G283="","",G283*IFERROR(N(INDEX(art_price,MATCH(A283,art_ref,0))),0))</f>
        <v/>
      </c>
      <c r="I283" s="39" t="str">
        <f>IF(A283="","",IF(E283="","Référence inconnue",IF(F283="","À compter",IF(G283&gt;0,"Saisir une entrée de "&amp;G283,IF(G283&lt;0,"Saisir une sortie de "&amp;-G283,"Conforme")))))</f>
        <v/>
      </c>
    </row>
    <row r="284">
      <c r="A284" s="37" t="n"/>
      <c r="B284" s="39" t="str">
        <f>IF(A284="","",IFERROR(INDEX(art_des,MATCH(A284,art_ref,0))&amp;"","Référence inconnue"))</f>
        <v/>
      </c>
      <c r="C284" s="39" t="str">
        <f>IF(A284="","",IFERROR(INDEX(art_unit,MATCH(A284,art_ref,0))&amp;"",""))</f>
        <v/>
      </c>
      <c r="D284" s="39" t="str">
        <f>IF(A284="","",IFERROR(INDEX(art_loc,MATCH(A284,art_ref,0))&amp;"",""))</f>
        <v/>
      </c>
      <c r="E284" s="39" t="str">
        <f>IF(A284="","",IFERROR(ROUND(N(INDEX(art_init,MATCH(A284,art_ref,0)))+SUMIFS(mv_qty,mv_ref,A284,mv_type,"Entrée",mv_date,"&lt;="&amp;$G$1)-SUMIFS(mv_qty,mv_ref,A284,mv_type,"Sortie",mv_date,"&lt;="&amp;$G$1),6),""))</f>
        <v/>
      </c>
      <c r="F284" s="37" t="n"/>
      <c r="G284" s="39" t="str">
        <f>IF(OR(A284="",F284="",E284=""),"",ROUND(F284-E284,6))</f>
        <v/>
      </c>
      <c r="H284" s="40" t="str">
        <f>IF(G284="","",G284*IFERROR(N(INDEX(art_price,MATCH(A284,art_ref,0))),0))</f>
        <v/>
      </c>
      <c r="I284" s="39" t="str">
        <f>IF(A284="","",IF(E284="","Référence inconnue",IF(F284="","À compter",IF(G284&gt;0,"Saisir une entrée de "&amp;G284,IF(G284&lt;0,"Saisir une sortie de "&amp;-G284,"Conforme")))))</f>
        <v/>
      </c>
    </row>
    <row r="285">
      <c r="A285" s="37" t="n"/>
      <c r="B285" s="39" t="str">
        <f>IF(A285="","",IFERROR(INDEX(art_des,MATCH(A285,art_ref,0))&amp;"","Référence inconnue"))</f>
        <v/>
      </c>
      <c r="C285" s="39" t="str">
        <f>IF(A285="","",IFERROR(INDEX(art_unit,MATCH(A285,art_ref,0))&amp;"",""))</f>
        <v/>
      </c>
      <c r="D285" s="39" t="str">
        <f>IF(A285="","",IFERROR(INDEX(art_loc,MATCH(A285,art_ref,0))&amp;"",""))</f>
        <v/>
      </c>
      <c r="E285" s="39" t="str">
        <f>IF(A285="","",IFERROR(ROUND(N(INDEX(art_init,MATCH(A285,art_ref,0)))+SUMIFS(mv_qty,mv_ref,A285,mv_type,"Entrée",mv_date,"&lt;="&amp;$G$1)-SUMIFS(mv_qty,mv_ref,A285,mv_type,"Sortie",mv_date,"&lt;="&amp;$G$1),6),""))</f>
        <v/>
      </c>
      <c r="F285" s="37" t="n"/>
      <c r="G285" s="39" t="str">
        <f>IF(OR(A285="",F285="",E285=""),"",ROUND(F285-E285,6))</f>
        <v/>
      </c>
      <c r="H285" s="40" t="str">
        <f>IF(G285="","",G285*IFERROR(N(INDEX(art_price,MATCH(A285,art_ref,0))),0))</f>
        <v/>
      </c>
      <c r="I285" s="39" t="str">
        <f>IF(A285="","",IF(E285="","Référence inconnue",IF(F285="","À compter",IF(G285&gt;0,"Saisir une entrée de "&amp;G285,IF(G285&lt;0,"Saisir une sortie de "&amp;-G285,"Conforme")))))</f>
        <v/>
      </c>
    </row>
    <row r="286">
      <c r="A286" s="37" t="n"/>
      <c r="B286" s="39" t="str">
        <f>IF(A286="","",IFERROR(INDEX(art_des,MATCH(A286,art_ref,0))&amp;"","Référence inconnue"))</f>
        <v/>
      </c>
      <c r="C286" s="39" t="str">
        <f>IF(A286="","",IFERROR(INDEX(art_unit,MATCH(A286,art_ref,0))&amp;"",""))</f>
        <v/>
      </c>
      <c r="D286" s="39" t="str">
        <f>IF(A286="","",IFERROR(INDEX(art_loc,MATCH(A286,art_ref,0))&amp;"",""))</f>
        <v/>
      </c>
      <c r="E286" s="39" t="str">
        <f>IF(A286="","",IFERROR(ROUND(N(INDEX(art_init,MATCH(A286,art_ref,0)))+SUMIFS(mv_qty,mv_ref,A286,mv_type,"Entrée",mv_date,"&lt;="&amp;$G$1)-SUMIFS(mv_qty,mv_ref,A286,mv_type,"Sortie",mv_date,"&lt;="&amp;$G$1),6),""))</f>
        <v/>
      </c>
      <c r="F286" s="37" t="n"/>
      <c r="G286" s="39" t="str">
        <f>IF(OR(A286="",F286="",E286=""),"",ROUND(F286-E286,6))</f>
        <v/>
      </c>
      <c r="H286" s="40" t="str">
        <f>IF(G286="","",G286*IFERROR(N(INDEX(art_price,MATCH(A286,art_ref,0))),0))</f>
        <v/>
      </c>
      <c r="I286" s="39" t="str">
        <f>IF(A286="","",IF(E286="","Référence inconnue",IF(F286="","À compter",IF(G286&gt;0,"Saisir une entrée de "&amp;G286,IF(G286&lt;0,"Saisir une sortie de "&amp;-G286,"Conforme")))))</f>
        <v/>
      </c>
    </row>
    <row r="287">
      <c r="A287" s="37" t="n"/>
      <c r="B287" s="39" t="str">
        <f>IF(A287="","",IFERROR(INDEX(art_des,MATCH(A287,art_ref,0))&amp;"","Référence inconnue"))</f>
        <v/>
      </c>
      <c r="C287" s="39" t="str">
        <f>IF(A287="","",IFERROR(INDEX(art_unit,MATCH(A287,art_ref,0))&amp;"",""))</f>
        <v/>
      </c>
      <c r="D287" s="39" t="str">
        <f>IF(A287="","",IFERROR(INDEX(art_loc,MATCH(A287,art_ref,0))&amp;"",""))</f>
        <v/>
      </c>
      <c r="E287" s="39" t="str">
        <f>IF(A287="","",IFERROR(ROUND(N(INDEX(art_init,MATCH(A287,art_ref,0)))+SUMIFS(mv_qty,mv_ref,A287,mv_type,"Entrée",mv_date,"&lt;="&amp;$G$1)-SUMIFS(mv_qty,mv_ref,A287,mv_type,"Sortie",mv_date,"&lt;="&amp;$G$1),6),""))</f>
        <v/>
      </c>
      <c r="F287" s="37" t="n"/>
      <c r="G287" s="39" t="str">
        <f>IF(OR(A287="",F287="",E287=""),"",ROUND(F287-E287,6))</f>
        <v/>
      </c>
      <c r="H287" s="40" t="str">
        <f>IF(G287="","",G287*IFERROR(N(INDEX(art_price,MATCH(A287,art_ref,0))),0))</f>
        <v/>
      </c>
      <c r="I287" s="39" t="str">
        <f>IF(A287="","",IF(E287="","Référence inconnue",IF(F287="","À compter",IF(G287&gt;0,"Saisir une entrée de "&amp;G287,IF(G287&lt;0,"Saisir une sortie de "&amp;-G287,"Conforme")))))</f>
        <v/>
      </c>
    </row>
    <row r="288">
      <c r="A288" s="37" t="n"/>
      <c r="B288" s="39" t="str">
        <f>IF(A288="","",IFERROR(INDEX(art_des,MATCH(A288,art_ref,0))&amp;"","Référence inconnue"))</f>
        <v/>
      </c>
      <c r="C288" s="39" t="str">
        <f>IF(A288="","",IFERROR(INDEX(art_unit,MATCH(A288,art_ref,0))&amp;"",""))</f>
        <v/>
      </c>
      <c r="D288" s="39" t="str">
        <f>IF(A288="","",IFERROR(INDEX(art_loc,MATCH(A288,art_ref,0))&amp;"",""))</f>
        <v/>
      </c>
      <c r="E288" s="39" t="str">
        <f>IF(A288="","",IFERROR(ROUND(N(INDEX(art_init,MATCH(A288,art_ref,0)))+SUMIFS(mv_qty,mv_ref,A288,mv_type,"Entrée",mv_date,"&lt;="&amp;$G$1)-SUMIFS(mv_qty,mv_ref,A288,mv_type,"Sortie",mv_date,"&lt;="&amp;$G$1),6),""))</f>
        <v/>
      </c>
      <c r="F288" s="37" t="n"/>
      <c r="G288" s="39" t="str">
        <f>IF(OR(A288="",F288="",E288=""),"",ROUND(F288-E288,6))</f>
        <v/>
      </c>
      <c r="H288" s="40" t="str">
        <f>IF(G288="","",G288*IFERROR(N(INDEX(art_price,MATCH(A288,art_ref,0))),0))</f>
        <v/>
      </c>
      <c r="I288" s="39" t="str">
        <f>IF(A288="","",IF(E288="","Référence inconnue",IF(F288="","À compter",IF(G288&gt;0,"Saisir une entrée de "&amp;G288,IF(G288&lt;0,"Saisir une sortie de "&amp;-G288,"Conforme")))))</f>
        <v/>
      </c>
    </row>
    <row r="289">
      <c r="A289" s="37" t="n"/>
      <c r="B289" s="39" t="str">
        <f>IF(A289="","",IFERROR(INDEX(art_des,MATCH(A289,art_ref,0))&amp;"","Référence inconnue"))</f>
        <v/>
      </c>
      <c r="C289" s="39" t="str">
        <f>IF(A289="","",IFERROR(INDEX(art_unit,MATCH(A289,art_ref,0))&amp;"",""))</f>
        <v/>
      </c>
      <c r="D289" s="39" t="str">
        <f>IF(A289="","",IFERROR(INDEX(art_loc,MATCH(A289,art_ref,0))&amp;"",""))</f>
        <v/>
      </c>
      <c r="E289" s="39" t="str">
        <f>IF(A289="","",IFERROR(ROUND(N(INDEX(art_init,MATCH(A289,art_ref,0)))+SUMIFS(mv_qty,mv_ref,A289,mv_type,"Entrée",mv_date,"&lt;="&amp;$G$1)-SUMIFS(mv_qty,mv_ref,A289,mv_type,"Sortie",mv_date,"&lt;="&amp;$G$1),6),""))</f>
        <v/>
      </c>
      <c r="F289" s="37" t="n"/>
      <c r="G289" s="39" t="str">
        <f>IF(OR(A289="",F289="",E289=""),"",ROUND(F289-E289,6))</f>
        <v/>
      </c>
      <c r="H289" s="40" t="str">
        <f>IF(G289="","",G289*IFERROR(N(INDEX(art_price,MATCH(A289,art_ref,0))),0))</f>
        <v/>
      </c>
      <c r="I289" s="39" t="str">
        <f>IF(A289="","",IF(E289="","Référence inconnue",IF(F289="","À compter",IF(G289&gt;0,"Saisir une entrée de "&amp;G289,IF(G289&lt;0,"Saisir une sortie de "&amp;-G289,"Conforme")))))</f>
        <v/>
      </c>
    </row>
    <row r="290">
      <c r="A290" s="37" t="n"/>
      <c r="B290" s="39" t="str">
        <f>IF(A290="","",IFERROR(INDEX(art_des,MATCH(A290,art_ref,0))&amp;"","Référence inconnue"))</f>
        <v/>
      </c>
      <c r="C290" s="39" t="str">
        <f>IF(A290="","",IFERROR(INDEX(art_unit,MATCH(A290,art_ref,0))&amp;"",""))</f>
        <v/>
      </c>
      <c r="D290" s="39" t="str">
        <f>IF(A290="","",IFERROR(INDEX(art_loc,MATCH(A290,art_ref,0))&amp;"",""))</f>
        <v/>
      </c>
      <c r="E290" s="39" t="str">
        <f>IF(A290="","",IFERROR(ROUND(N(INDEX(art_init,MATCH(A290,art_ref,0)))+SUMIFS(mv_qty,mv_ref,A290,mv_type,"Entrée",mv_date,"&lt;="&amp;$G$1)-SUMIFS(mv_qty,mv_ref,A290,mv_type,"Sortie",mv_date,"&lt;="&amp;$G$1),6),""))</f>
        <v/>
      </c>
      <c r="F290" s="37" t="n"/>
      <c r="G290" s="39" t="str">
        <f>IF(OR(A290="",F290="",E290=""),"",ROUND(F290-E290,6))</f>
        <v/>
      </c>
      <c r="H290" s="40" t="str">
        <f>IF(G290="","",G290*IFERROR(N(INDEX(art_price,MATCH(A290,art_ref,0))),0))</f>
        <v/>
      </c>
      <c r="I290" s="39" t="str">
        <f>IF(A290="","",IF(E290="","Référence inconnue",IF(F290="","À compter",IF(G290&gt;0,"Saisir une entrée de "&amp;G290,IF(G290&lt;0,"Saisir une sortie de "&amp;-G290,"Conforme")))))</f>
        <v/>
      </c>
    </row>
    <row r="291">
      <c r="A291" s="37" t="n"/>
      <c r="B291" s="39" t="str">
        <f>IF(A291="","",IFERROR(INDEX(art_des,MATCH(A291,art_ref,0))&amp;"","Référence inconnue"))</f>
        <v/>
      </c>
      <c r="C291" s="39" t="str">
        <f>IF(A291="","",IFERROR(INDEX(art_unit,MATCH(A291,art_ref,0))&amp;"",""))</f>
        <v/>
      </c>
      <c r="D291" s="39" t="str">
        <f>IF(A291="","",IFERROR(INDEX(art_loc,MATCH(A291,art_ref,0))&amp;"",""))</f>
        <v/>
      </c>
      <c r="E291" s="39" t="str">
        <f>IF(A291="","",IFERROR(ROUND(N(INDEX(art_init,MATCH(A291,art_ref,0)))+SUMIFS(mv_qty,mv_ref,A291,mv_type,"Entrée",mv_date,"&lt;="&amp;$G$1)-SUMIFS(mv_qty,mv_ref,A291,mv_type,"Sortie",mv_date,"&lt;="&amp;$G$1),6),""))</f>
        <v/>
      </c>
      <c r="F291" s="37" t="n"/>
      <c r="G291" s="39" t="str">
        <f>IF(OR(A291="",F291="",E291=""),"",ROUND(F291-E291,6))</f>
        <v/>
      </c>
      <c r="H291" s="40" t="str">
        <f>IF(G291="","",G291*IFERROR(N(INDEX(art_price,MATCH(A291,art_ref,0))),0))</f>
        <v/>
      </c>
      <c r="I291" s="39" t="str">
        <f>IF(A291="","",IF(E291="","Référence inconnue",IF(F291="","À compter",IF(G291&gt;0,"Saisir une entrée de "&amp;G291,IF(G291&lt;0,"Saisir une sortie de "&amp;-G291,"Conforme")))))</f>
        <v/>
      </c>
    </row>
    <row r="292">
      <c r="A292" s="37" t="n"/>
      <c r="B292" s="39" t="str">
        <f>IF(A292="","",IFERROR(INDEX(art_des,MATCH(A292,art_ref,0))&amp;"","Référence inconnue"))</f>
        <v/>
      </c>
      <c r="C292" s="39" t="str">
        <f>IF(A292="","",IFERROR(INDEX(art_unit,MATCH(A292,art_ref,0))&amp;"",""))</f>
        <v/>
      </c>
      <c r="D292" s="39" t="str">
        <f>IF(A292="","",IFERROR(INDEX(art_loc,MATCH(A292,art_ref,0))&amp;"",""))</f>
        <v/>
      </c>
      <c r="E292" s="39" t="str">
        <f>IF(A292="","",IFERROR(ROUND(N(INDEX(art_init,MATCH(A292,art_ref,0)))+SUMIFS(mv_qty,mv_ref,A292,mv_type,"Entrée",mv_date,"&lt;="&amp;$G$1)-SUMIFS(mv_qty,mv_ref,A292,mv_type,"Sortie",mv_date,"&lt;="&amp;$G$1),6),""))</f>
        <v/>
      </c>
      <c r="F292" s="37" t="n"/>
      <c r="G292" s="39" t="str">
        <f>IF(OR(A292="",F292="",E292=""),"",ROUND(F292-E292,6))</f>
        <v/>
      </c>
      <c r="H292" s="40" t="str">
        <f>IF(G292="","",G292*IFERROR(N(INDEX(art_price,MATCH(A292,art_ref,0))),0))</f>
        <v/>
      </c>
      <c r="I292" s="39" t="str">
        <f>IF(A292="","",IF(E292="","Référence inconnue",IF(F292="","À compter",IF(G292&gt;0,"Saisir une entrée de "&amp;G292,IF(G292&lt;0,"Saisir une sortie de "&amp;-G292,"Conforme")))))</f>
        <v/>
      </c>
    </row>
    <row r="293">
      <c r="A293" s="37" t="n"/>
      <c r="B293" s="39" t="str">
        <f>IF(A293="","",IFERROR(INDEX(art_des,MATCH(A293,art_ref,0))&amp;"","Référence inconnue"))</f>
        <v/>
      </c>
      <c r="C293" s="39" t="str">
        <f>IF(A293="","",IFERROR(INDEX(art_unit,MATCH(A293,art_ref,0))&amp;"",""))</f>
        <v/>
      </c>
      <c r="D293" s="39" t="str">
        <f>IF(A293="","",IFERROR(INDEX(art_loc,MATCH(A293,art_ref,0))&amp;"",""))</f>
        <v/>
      </c>
      <c r="E293" s="39" t="str">
        <f>IF(A293="","",IFERROR(ROUND(N(INDEX(art_init,MATCH(A293,art_ref,0)))+SUMIFS(mv_qty,mv_ref,A293,mv_type,"Entrée",mv_date,"&lt;="&amp;$G$1)-SUMIFS(mv_qty,mv_ref,A293,mv_type,"Sortie",mv_date,"&lt;="&amp;$G$1),6),""))</f>
        <v/>
      </c>
      <c r="F293" s="37" t="n"/>
      <c r="G293" s="39" t="str">
        <f>IF(OR(A293="",F293="",E293=""),"",ROUND(F293-E293,6))</f>
        <v/>
      </c>
      <c r="H293" s="40" t="str">
        <f>IF(G293="","",G293*IFERROR(N(INDEX(art_price,MATCH(A293,art_ref,0))),0))</f>
        <v/>
      </c>
      <c r="I293" s="39" t="str">
        <f>IF(A293="","",IF(E293="","Référence inconnue",IF(F293="","À compter",IF(G293&gt;0,"Saisir une entrée de "&amp;G293,IF(G293&lt;0,"Saisir une sortie de "&amp;-G293,"Conforme")))))</f>
        <v/>
      </c>
    </row>
    <row r="294">
      <c r="A294" s="37" t="n"/>
      <c r="B294" s="39" t="str">
        <f>IF(A294="","",IFERROR(INDEX(art_des,MATCH(A294,art_ref,0))&amp;"","Référence inconnue"))</f>
        <v/>
      </c>
      <c r="C294" s="39" t="str">
        <f>IF(A294="","",IFERROR(INDEX(art_unit,MATCH(A294,art_ref,0))&amp;"",""))</f>
        <v/>
      </c>
      <c r="D294" s="39" t="str">
        <f>IF(A294="","",IFERROR(INDEX(art_loc,MATCH(A294,art_ref,0))&amp;"",""))</f>
        <v/>
      </c>
      <c r="E294" s="39" t="str">
        <f>IF(A294="","",IFERROR(ROUND(N(INDEX(art_init,MATCH(A294,art_ref,0)))+SUMIFS(mv_qty,mv_ref,A294,mv_type,"Entrée",mv_date,"&lt;="&amp;$G$1)-SUMIFS(mv_qty,mv_ref,A294,mv_type,"Sortie",mv_date,"&lt;="&amp;$G$1),6),""))</f>
        <v/>
      </c>
      <c r="F294" s="37" t="n"/>
      <c r="G294" s="39" t="str">
        <f>IF(OR(A294="",F294="",E294=""),"",ROUND(F294-E294,6))</f>
        <v/>
      </c>
      <c r="H294" s="40" t="str">
        <f>IF(G294="","",G294*IFERROR(N(INDEX(art_price,MATCH(A294,art_ref,0))),0))</f>
        <v/>
      </c>
      <c r="I294" s="39" t="str">
        <f>IF(A294="","",IF(E294="","Référence inconnue",IF(F294="","À compter",IF(G294&gt;0,"Saisir une entrée de "&amp;G294,IF(G294&lt;0,"Saisir une sortie de "&amp;-G294,"Conforme")))))</f>
        <v/>
      </c>
    </row>
    <row r="295">
      <c r="A295" s="37" t="n"/>
      <c r="B295" s="39" t="str">
        <f>IF(A295="","",IFERROR(INDEX(art_des,MATCH(A295,art_ref,0))&amp;"","Référence inconnue"))</f>
        <v/>
      </c>
      <c r="C295" s="39" t="str">
        <f>IF(A295="","",IFERROR(INDEX(art_unit,MATCH(A295,art_ref,0))&amp;"",""))</f>
        <v/>
      </c>
      <c r="D295" s="39" t="str">
        <f>IF(A295="","",IFERROR(INDEX(art_loc,MATCH(A295,art_ref,0))&amp;"",""))</f>
        <v/>
      </c>
      <c r="E295" s="39" t="str">
        <f>IF(A295="","",IFERROR(ROUND(N(INDEX(art_init,MATCH(A295,art_ref,0)))+SUMIFS(mv_qty,mv_ref,A295,mv_type,"Entrée",mv_date,"&lt;="&amp;$G$1)-SUMIFS(mv_qty,mv_ref,A295,mv_type,"Sortie",mv_date,"&lt;="&amp;$G$1),6),""))</f>
        <v/>
      </c>
      <c r="F295" s="37" t="n"/>
      <c r="G295" s="39" t="str">
        <f>IF(OR(A295="",F295="",E295=""),"",ROUND(F295-E295,6))</f>
        <v/>
      </c>
      <c r="H295" s="40" t="str">
        <f>IF(G295="","",G295*IFERROR(N(INDEX(art_price,MATCH(A295,art_ref,0))),0))</f>
        <v/>
      </c>
      <c r="I295" s="39" t="str">
        <f>IF(A295="","",IF(E295="","Référence inconnue",IF(F295="","À compter",IF(G295&gt;0,"Saisir une entrée de "&amp;G295,IF(G295&lt;0,"Saisir une sortie de "&amp;-G295,"Conforme")))))</f>
        <v/>
      </c>
    </row>
    <row r="296">
      <c r="A296" s="37" t="n"/>
      <c r="B296" s="39" t="str">
        <f>IF(A296="","",IFERROR(INDEX(art_des,MATCH(A296,art_ref,0))&amp;"","Référence inconnue"))</f>
        <v/>
      </c>
      <c r="C296" s="39" t="str">
        <f>IF(A296="","",IFERROR(INDEX(art_unit,MATCH(A296,art_ref,0))&amp;"",""))</f>
        <v/>
      </c>
      <c r="D296" s="39" t="str">
        <f>IF(A296="","",IFERROR(INDEX(art_loc,MATCH(A296,art_ref,0))&amp;"",""))</f>
        <v/>
      </c>
      <c r="E296" s="39" t="str">
        <f>IF(A296="","",IFERROR(ROUND(N(INDEX(art_init,MATCH(A296,art_ref,0)))+SUMIFS(mv_qty,mv_ref,A296,mv_type,"Entrée",mv_date,"&lt;="&amp;$G$1)-SUMIFS(mv_qty,mv_ref,A296,mv_type,"Sortie",mv_date,"&lt;="&amp;$G$1),6),""))</f>
        <v/>
      </c>
      <c r="F296" s="37" t="n"/>
      <c r="G296" s="39" t="str">
        <f>IF(OR(A296="",F296="",E296=""),"",ROUND(F296-E296,6))</f>
        <v/>
      </c>
      <c r="H296" s="40" t="str">
        <f>IF(G296="","",G296*IFERROR(N(INDEX(art_price,MATCH(A296,art_ref,0))),0))</f>
        <v/>
      </c>
      <c r="I296" s="39" t="str">
        <f>IF(A296="","",IF(E296="","Référence inconnue",IF(F296="","À compter",IF(G296&gt;0,"Saisir une entrée de "&amp;G296,IF(G296&lt;0,"Saisir une sortie de "&amp;-G296,"Conforme")))))</f>
        <v/>
      </c>
    </row>
    <row r="297">
      <c r="A297" s="37" t="n"/>
      <c r="B297" s="39" t="str">
        <f>IF(A297="","",IFERROR(INDEX(art_des,MATCH(A297,art_ref,0))&amp;"","Référence inconnue"))</f>
        <v/>
      </c>
      <c r="C297" s="39" t="str">
        <f>IF(A297="","",IFERROR(INDEX(art_unit,MATCH(A297,art_ref,0))&amp;"",""))</f>
        <v/>
      </c>
      <c r="D297" s="39" t="str">
        <f>IF(A297="","",IFERROR(INDEX(art_loc,MATCH(A297,art_ref,0))&amp;"",""))</f>
        <v/>
      </c>
      <c r="E297" s="39" t="str">
        <f>IF(A297="","",IFERROR(ROUND(N(INDEX(art_init,MATCH(A297,art_ref,0)))+SUMIFS(mv_qty,mv_ref,A297,mv_type,"Entrée",mv_date,"&lt;="&amp;$G$1)-SUMIFS(mv_qty,mv_ref,A297,mv_type,"Sortie",mv_date,"&lt;="&amp;$G$1),6),""))</f>
        <v/>
      </c>
      <c r="F297" s="37" t="n"/>
      <c r="G297" s="39" t="str">
        <f>IF(OR(A297="",F297="",E297=""),"",ROUND(F297-E297,6))</f>
        <v/>
      </c>
      <c r="H297" s="40" t="str">
        <f>IF(G297="","",G297*IFERROR(N(INDEX(art_price,MATCH(A297,art_ref,0))),0))</f>
        <v/>
      </c>
      <c r="I297" s="39" t="str">
        <f>IF(A297="","",IF(E297="","Référence inconnue",IF(F297="","À compter",IF(G297&gt;0,"Saisir une entrée de "&amp;G297,IF(G297&lt;0,"Saisir une sortie de "&amp;-G297,"Conforme")))))</f>
        <v/>
      </c>
    </row>
    <row r="298">
      <c r="A298" s="37" t="n"/>
      <c r="B298" s="39" t="str">
        <f>IF(A298="","",IFERROR(INDEX(art_des,MATCH(A298,art_ref,0))&amp;"","Référence inconnue"))</f>
        <v/>
      </c>
      <c r="C298" s="39" t="str">
        <f>IF(A298="","",IFERROR(INDEX(art_unit,MATCH(A298,art_ref,0))&amp;"",""))</f>
        <v/>
      </c>
      <c r="D298" s="39" t="str">
        <f>IF(A298="","",IFERROR(INDEX(art_loc,MATCH(A298,art_ref,0))&amp;"",""))</f>
        <v/>
      </c>
      <c r="E298" s="39" t="str">
        <f>IF(A298="","",IFERROR(ROUND(N(INDEX(art_init,MATCH(A298,art_ref,0)))+SUMIFS(mv_qty,mv_ref,A298,mv_type,"Entrée",mv_date,"&lt;="&amp;$G$1)-SUMIFS(mv_qty,mv_ref,A298,mv_type,"Sortie",mv_date,"&lt;="&amp;$G$1),6),""))</f>
        <v/>
      </c>
      <c r="F298" s="37" t="n"/>
      <c r="G298" s="39" t="str">
        <f>IF(OR(A298="",F298="",E298=""),"",ROUND(F298-E298,6))</f>
        <v/>
      </c>
      <c r="H298" s="40" t="str">
        <f>IF(G298="","",G298*IFERROR(N(INDEX(art_price,MATCH(A298,art_ref,0))),0))</f>
        <v/>
      </c>
      <c r="I298" s="39" t="str">
        <f>IF(A298="","",IF(E298="","Référence inconnue",IF(F298="","À compter",IF(G298&gt;0,"Saisir une entrée de "&amp;G298,IF(G298&lt;0,"Saisir une sortie de "&amp;-G298,"Conforme")))))</f>
        <v/>
      </c>
    </row>
    <row r="299">
      <c r="A299" s="37" t="n"/>
      <c r="B299" s="39" t="str">
        <f>IF(A299="","",IFERROR(INDEX(art_des,MATCH(A299,art_ref,0))&amp;"","Référence inconnue"))</f>
        <v/>
      </c>
      <c r="C299" s="39" t="str">
        <f>IF(A299="","",IFERROR(INDEX(art_unit,MATCH(A299,art_ref,0))&amp;"",""))</f>
        <v/>
      </c>
      <c r="D299" s="39" t="str">
        <f>IF(A299="","",IFERROR(INDEX(art_loc,MATCH(A299,art_ref,0))&amp;"",""))</f>
        <v/>
      </c>
      <c r="E299" s="39" t="str">
        <f>IF(A299="","",IFERROR(ROUND(N(INDEX(art_init,MATCH(A299,art_ref,0)))+SUMIFS(mv_qty,mv_ref,A299,mv_type,"Entrée",mv_date,"&lt;="&amp;$G$1)-SUMIFS(mv_qty,mv_ref,A299,mv_type,"Sortie",mv_date,"&lt;="&amp;$G$1),6),""))</f>
        <v/>
      </c>
      <c r="F299" s="37" t="n"/>
      <c r="G299" s="39" t="str">
        <f>IF(OR(A299="",F299="",E299=""),"",ROUND(F299-E299,6))</f>
        <v/>
      </c>
      <c r="H299" s="40" t="str">
        <f>IF(G299="","",G299*IFERROR(N(INDEX(art_price,MATCH(A299,art_ref,0))),0))</f>
        <v/>
      </c>
      <c r="I299" s="39" t="str">
        <f>IF(A299="","",IF(E299="","Référence inconnue",IF(F299="","À compter",IF(G299&gt;0,"Saisir une entrée de "&amp;G299,IF(G299&lt;0,"Saisir une sortie de "&amp;-G299,"Conforme")))))</f>
        <v/>
      </c>
    </row>
    <row r="300">
      <c r="A300" s="37" t="n"/>
      <c r="B300" s="39" t="str">
        <f>IF(A300="","",IFERROR(INDEX(art_des,MATCH(A300,art_ref,0))&amp;"","Référence inconnue"))</f>
        <v/>
      </c>
      <c r="C300" s="39" t="str">
        <f>IF(A300="","",IFERROR(INDEX(art_unit,MATCH(A300,art_ref,0))&amp;"",""))</f>
        <v/>
      </c>
      <c r="D300" s="39" t="str">
        <f>IF(A300="","",IFERROR(INDEX(art_loc,MATCH(A300,art_ref,0))&amp;"",""))</f>
        <v/>
      </c>
      <c r="E300" s="39" t="str">
        <f>IF(A300="","",IFERROR(ROUND(N(INDEX(art_init,MATCH(A300,art_ref,0)))+SUMIFS(mv_qty,mv_ref,A300,mv_type,"Entrée",mv_date,"&lt;="&amp;$G$1)-SUMIFS(mv_qty,mv_ref,A300,mv_type,"Sortie",mv_date,"&lt;="&amp;$G$1),6),""))</f>
        <v/>
      </c>
      <c r="F300" s="37" t="n"/>
      <c r="G300" s="39" t="str">
        <f>IF(OR(A300="",F300="",E300=""),"",ROUND(F300-E300,6))</f>
        <v/>
      </c>
      <c r="H300" s="40" t="str">
        <f>IF(G300="","",G300*IFERROR(N(INDEX(art_price,MATCH(A300,art_ref,0))),0))</f>
        <v/>
      </c>
      <c r="I300" s="39" t="str">
        <f>IF(A300="","",IF(E300="","Référence inconnue",IF(F300="","À compter",IF(G300&gt;0,"Saisir une entrée de "&amp;G300,IF(G300&lt;0,"Saisir une sortie de "&amp;-G300,"Conforme")))))</f>
        <v/>
      </c>
    </row>
    <row r="301">
      <c r="A301" s="37" t="n"/>
      <c r="B301" s="39" t="str">
        <f>IF(A301="","",IFERROR(INDEX(art_des,MATCH(A301,art_ref,0))&amp;"","Référence inconnue"))</f>
        <v/>
      </c>
      <c r="C301" s="39" t="str">
        <f>IF(A301="","",IFERROR(INDEX(art_unit,MATCH(A301,art_ref,0))&amp;"",""))</f>
        <v/>
      </c>
      <c r="D301" s="39" t="str">
        <f>IF(A301="","",IFERROR(INDEX(art_loc,MATCH(A301,art_ref,0))&amp;"",""))</f>
        <v/>
      </c>
      <c r="E301" s="39" t="str">
        <f>IF(A301="","",IFERROR(ROUND(N(INDEX(art_init,MATCH(A301,art_ref,0)))+SUMIFS(mv_qty,mv_ref,A301,mv_type,"Entrée",mv_date,"&lt;="&amp;$G$1)-SUMIFS(mv_qty,mv_ref,A301,mv_type,"Sortie",mv_date,"&lt;="&amp;$G$1),6),""))</f>
        <v/>
      </c>
      <c r="F301" s="37" t="n"/>
      <c r="G301" s="39" t="str">
        <f>IF(OR(A301="",F301="",E301=""),"",ROUND(F301-E301,6))</f>
        <v/>
      </c>
      <c r="H301" s="40" t="str">
        <f>IF(G301="","",G301*IFERROR(N(INDEX(art_price,MATCH(A301,art_ref,0))),0))</f>
        <v/>
      </c>
      <c r="I301" s="39" t="str">
        <f>IF(A301="","",IF(E301="","Référence inconnue",IF(F301="","À compter",IF(G301&gt;0,"Saisir une entrée de "&amp;G301,IF(G301&lt;0,"Saisir une sortie de "&amp;-G301,"Conforme")))))</f>
        <v/>
      </c>
    </row>
    <row r="302">
      <c r="A302" s="37" t="n"/>
      <c r="B302" s="39" t="str">
        <f>IF(A302="","",IFERROR(INDEX(art_des,MATCH(A302,art_ref,0))&amp;"","Référence inconnue"))</f>
        <v/>
      </c>
      <c r="C302" s="39" t="str">
        <f>IF(A302="","",IFERROR(INDEX(art_unit,MATCH(A302,art_ref,0))&amp;"",""))</f>
        <v/>
      </c>
      <c r="D302" s="39" t="str">
        <f>IF(A302="","",IFERROR(INDEX(art_loc,MATCH(A302,art_ref,0))&amp;"",""))</f>
        <v/>
      </c>
      <c r="E302" s="39" t="str">
        <f>IF(A302="","",IFERROR(ROUND(N(INDEX(art_init,MATCH(A302,art_ref,0)))+SUMIFS(mv_qty,mv_ref,A302,mv_type,"Entrée",mv_date,"&lt;="&amp;$G$1)-SUMIFS(mv_qty,mv_ref,A302,mv_type,"Sortie",mv_date,"&lt;="&amp;$G$1),6),""))</f>
        <v/>
      </c>
      <c r="F302" s="37" t="n"/>
      <c r="G302" s="39" t="str">
        <f>IF(OR(A302="",F302="",E302=""),"",ROUND(F302-E302,6))</f>
        <v/>
      </c>
      <c r="H302" s="40" t="str">
        <f>IF(G302="","",G302*IFERROR(N(INDEX(art_price,MATCH(A302,art_ref,0))),0))</f>
        <v/>
      </c>
      <c r="I302" s="39" t="str">
        <f>IF(A302="","",IF(E302="","Référence inconnue",IF(F302="","À compter",IF(G302&gt;0,"Saisir une entrée de "&amp;G302,IF(G302&lt;0,"Saisir une sortie de "&amp;-G302,"Conforme")))))</f>
        <v/>
      </c>
    </row>
    <row r="303">
      <c r="A303" s="37" t="n"/>
      <c r="B303" s="39" t="str">
        <f>IF(A303="","",IFERROR(INDEX(art_des,MATCH(A303,art_ref,0))&amp;"","Référence inconnue"))</f>
        <v/>
      </c>
      <c r="C303" s="39" t="str">
        <f>IF(A303="","",IFERROR(INDEX(art_unit,MATCH(A303,art_ref,0))&amp;"",""))</f>
        <v/>
      </c>
      <c r="D303" s="39" t="str">
        <f>IF(A303="","",IFERROR(INDEX(art_loc,MATCH(A303,art_ref,0))&amp;"",""))</f>
        <v/>
      </c>
      <c r="E303" s="39" t="str">
        <f>IF(A303="","",IFERROR(ROUND(N(INDEX(art_init,MATCH(A303,art_ref,0)))+SUMIFS(mv_qty,mv_ref,A303,mv_type,"Entrée",mv_date,"&lt;="&amp;$G$1)-SUMIFS(mv_qty,mv_ref,A303,mv_type,"Sortie",mv_date,"&lt;="&amp;$G$1),6),""))</f>
        <v/>
      </c>
      <c r="F303" s="37" t="n"/>
      <c r="G303" s="39" t="str">
        <f>IF(OR(A303="",F303="",E303=""),"",ROUND(F303-E303,6))</f>
        <v/>
      </c>
      <c r="H303" s="40" t="str">
        <f>IF(G303="","",G303*IFERROR(N(INDEX(art_price,MATCH(A303,art_ref,0))),0))</f>
        <v/>
      </c>
      <c r="I303" s="39" t="str">
        <f>IF(A303="","",IF(E303="","Référence inconnue",IF(F303="","À compter",IF(G303&gt;0,"Saisir une entrée de "&amp;G303,IF(G303&lt;0,"Saisir une sortie de "&amp;-G303,"Conforme")))))</f>
        <v/>
      </c>
    </row>
    <row r="304">
      <c r="A304" s="37" t="n"/>
      <c r="B304" s="39" t="str">
        <f>IF(A304="","",IFERROR(INDEX(art_des,MATCH(A304,art_ref,0))&amp;"","Référence inconnue"))</f>
        <v/>
      </c>
      <c r="C304" s="39" t="str">
        <f>IF(A304="","",IFERROR(INDEX(art_unit,MATCH(A304,art_ref,0))&amp;"",""))</f>
        <v/>
      </c>
      <c r="D304" s="39" t="str">
        <f>IF(A304="","",IFERROR(INDEX(art_loc,MATCH(A304,art_ref,0))&amp;"",""))</f>
        <v/>
      </c>
      <c r="E304" s="39" t="str">
        <f>IF(A304="","",IFERROR(ROUND(N(INDEX(art_init,MATCH(A304,art_ref,0)))+SUMIFS(mv_qty,mv_ref,A304,mv_type,"Entrée",mv_date,"&lt;="&amp;$G$1)-SUMIFS(mv_qty,mv_ref,A304,mv_type,"Sortie",mv_date,"&lt;="&amp;$G$1),6),""))</f>
        <v/>
      </c>
      <c r="F304" s="37" t="n"/>
      <c r="G304" s="39" t="str">
        <f>IF(OR(A304="",F304="",E304=""),"",ROUND(F304-E304,6))</f>
        <v/>
      </c>
      <c r="H304" s="40" t="str">
        <f>IF(G304="","",G304*IFERROR(N(INDEX(art_price,MATCH(A304,art_ref,0))),0))</f>
        <v/>
      </c>
      <c r="I304" s="39" t="str">
        <f>IF(A304="","",IF(E304="","Référence inconnue",IF(F304="","À compter",IF(G304&gt;0,"Saisir une entrée de "&amp;G304,IF(G304&lt;0,"Saisir une sortie de "&amp;-G304,"Conforme")))))</f>
        <v/>
      </c>
    </row>
    <row r="305">
      <c r="A305" s="37" t="n"/>
      <c r="B305" s="39" t="str">
        <f>IF(A305="","",IFERROR(INDEX(art_des,MATCH(A305,art_ref,0))&amp;"","Référence inconnue"))</f>
        <v/>
      </c>
      <c r="C305" s="39" t="str">
        <f>IF(A305="","",IFERROR(INDEX(art_unit,MATCH(A305,art_ref,0))&amp;"",""))</f>
        <v/>
      </c>
      <c r="D305" s="39" t="str">
        <f>IF(A305="","",IFERROR(INDEX(art_loc,MATCH(A305,art_ref,0))&amp;"",""))</f>
        <v/>
      </c>
      <c r="E305" s="39" t="str">
        <f>IF(A305="","",IFERROR(ROUND(N(INDEX(art_init,MATCH(A305,art_ref,0)))+SUMIFS(mv_qty,mv_ref,A305,mv_type,"Entrée",mv_date,"&lt;="&amp;$G$1)-SUMIFS(mv_qty,mv_ref,A305,mv_type,"Sortie",mv_date,"&lt;="&amp;$G$1),6),""))</f>
        <v/>
      </c>
      <c r="F305" s="37" t="n"/>
      <c r="G305" s="39" t="str">
        <f>IF(OR(A305="",F305="",E305=""),"",ROUND(F305-E305,6))</f>
        <v/>
      </c>
      <c r="H305" s="40" t="str">
        <f>IF(G305="","",G305*IFERROR(N(INDEX(art_price,MATCH(A305,art_ref,0))),0))</f>
        <v/>
      </c>
      <c r="I305" s="39" t="str">
        <f>IF(A305="","",IF(E305="","Référence inconnue",IF(F305="","À compter",IF(G305&gt;0,"Saisir une entrée de "&amp;G305,IF(G305&lt;0,"Saisir une sortie de "&amp;-G305,"Conforme")))))</f>
        <v/>
      </c>
    </row>
    <row r="306">
      <c r="A306" s="37" t="n"/>
      <c r="B306" s="39" t="str">
        <f>IF(A306="","",IFERROR(INDEX(art_des,MATCH(A306,art_ref,0))&amp;"","Référence inconnue"))</f>
        <v/>
      </c>
      <c r="C306" s="39" t="str">
        <f>IF(A306="","",IFERROR(INDEX(art_unit,MATCH(A306,art_ref,0))&amp;"",""))</f>
        <v/>
      </c>
      <c r="D306" s="39" t="str">
        <f>IF(A306="","",IFERROR(INDEX(art_loc,MATCH(A306,art_ref,0))&amp;"",""))</f>
        <v/>
      </c>
      <c r="E306" s="39" t="str">
        <f>IF(A306="","",IFERROR(ROUND(N(INDEX(art_init,MATCH(A306,art_ref,0)))+SUMIFS(mv_qty,mv_ref,A306,mv_type,"Entrée",mv_date,"&lt;="&amp;$G$1)-SUMIFS(mv_qty,mv_ref,A306,mv_type,"Sortie",mv_date,"&lt;="&amp;$G$1),6),""))</f>
        <v/>
      </c>
      <c r="F306" s="37" t="n"/>
      <c r="G306" s="39" t="str">
        <f>IF(OR(A306="",F306="",E306=""),"",ROUND(F306-E306,6))</f>
        <v/>
      </c>
      <c r="H306" s="40" t="str">
        <f>IF(G306="","",G306*IFERROR(N(INDEX(art_price,MATCH(A306,art_ref,0))),0))</f>
        <v/>
      </c>
      <c r="I306" s="39" t="str">
        <f>IF(A306="","",IF(E306="","Référence inconnue",IF(F306="","À compter",IF(G306&gt;0,"Saisir une entrée de "&amp;G306,IF(G306&lt;0,"Saisir une sortie de "&amp;-G306,"Conforme")))))</f>
        <v/>
      </c>
    </row>
    <row r="307">
      <c r="A307" s="37" t="n"/>
      <c r="B307" s="39" t="str">
        <f>IF(A307="","",IFERROR(INDEX(art_des,MATCH(A307,art_ref,0))&amp;"","Référence inconnue"))</f>
        <v/>
      </c>
      <c r="C307" s="39" t="str">
        <f>IF(A307="","",IFERROR(INDEX(art_unit,MATCH(A307,art_ref,0))&amp;"",""))</f>
        <v/>
      </c>
      <c r="D307" s="39" t="str">
        <f>IF(A307="","",IFERROR(INDEX(art_loc,MATCH(A307,art_ref,0))&amp;"",""))</f>
        <v/>
      </c>
      <c r="E307" s="39" t="str">
        <f>IF(A307="","",IFERROR(ROUND(N(INDEX(art_init,MATCH(A307,art_ref,0)))+SUMIFS(mv_qty,mv_ref,A307,mv_type,"Entrée",mv_date,"&lt;="&amp;$G$1)-SUMIFS(mv_qty,mv_ref,A307,mv_type,"Sortie",mv_date,"&lt;="&amp;$G$1),6),""))</f>
        <v/>
      </c>
      <c r="F307" s="37" t="n"/>
      <c r="G307" s="39" t="str">
        <f>IF(OR(A307="",F307="",E307=""),"",ROUND(F307-E307,6))</f>
        <v/>
      </c>
      <c r="H307" s="40" t="str">
        <f>IF(G307="","",G307*IFERROR(N(INDEX(art_price,MATCH(A307,art_ref,0))),0))</f>
        <v/>
      </c>
      <c r="I307" s="39" t="str">
        <f>IF(A307="","",IF(E307="","Référence inconnue",IF(F307="","À compter",IF(G307&gt;0,"Saisir une entrée de "&amp;G307,IF(G307&lt;0,"Saisir une sortie de "&amp;-G307,"Conforme")))))</f>
        <v/>
      </c>
    </row>
    <row r="308">
      <c r="A308" s="37" t="n"/>
      <c r="B308" s="39" t="str">
        <f>IF(A308="","",IFERROR(INDEX(art_des,MATCH(A308,art_ref,0))&amp;"","Référence inconnue"))</f>
        <v/>
      </c>
      <c r="C308" s="39" t="str">
        <f>IF(A308="","",IFERROR(INDEX(art_unit,MATCH(A308,art_ref,0))&amp;"",""))</f>
        <v/>
      </c>
      <c r="D308" s="39" t="str">
        <f>IF(A308="","",IFERROR(INDEX(art_loc,MATCH(A308,art_ref,0))&amp;"",""))</f>
        <v/>
      </c>
      <c r="E308" s="39" t="str">
        <f>IF(A308="","",IFERROR(ROUND(N(INDEX(art_init,MATCH(A308,art_ref,0)))+SUMIFS(mv_qty,mv_ref,A308,mv_type,"Entrée",mv_date,"&lt;="&amp;$G$1)-SUMIFS(mv_qty,mv_ref,A308,mv_type,"Sortie",mv_date,"&lt;="&amp;$G$1),6),""))</f>
        <v/>
      </c>
      <c r="F308" s="37" t="n"/>
      <c r="G308" s="39" t="str">
        <f>IF(OR(A308="",F308="",E308=""),"",ROUND(F308-E308,6))</f>
        <v/>
      </c>
      <c r="H308" s="40" t="str">
        <f>IF(G308="","",G308*IFERROR(N(INDEX(art_price,MATCH(A308,art_ref,0))),0))</f>
        <v/>
      </c>
      <c r="I308" s="39" t="str">
        <f>IF(A308="","",IF(E308="","Référence inconnue",IF(F308="","À compter",IF(G308&gt;0,"Saisir une entrée de "&amp;G308,IF(G308&lt;0,"Saisir une sortie de "&amp;-G308,"Conforme")))))</f>
        <v/>
      </c>
    </row>
    <row r="309">
      <c r="A309" s="37" t="n"/>
      <c r="B309" s="39" t="str">
        <f>IF(A309="","",IFERROR(INDEX(art_des,MATCH(A309,art_ref,0))&amp;"","Référence inconnue"))</f>
        <v/>
      </c>
      <c r="C309" s="39" t="str">
        <f>IF(A309="","",IFERROR(INDEX(art_unit,MATCH(A309,art_ref,0))&amp;"",""))</f>
        <v/>
      </c>
      <c r="D309" s="39" t="str">
        <f>IF(A309="","",IFERROR(INDEX(art_loc,MATCH(A309,art_ref,0))&amp;"",""))</f>
        <v/>
      </c>
      <c r="E309" s="39" t="str">
        <f>IF(A309="","",IFERROR(ROUND(N(INDEX(art_init,MATCH(A309,art_ref,0)))+SUMIFS(mv_qty,mv_ref,A309,mv_type,"Entrée",mv_date,"&lt;="&amp;$G$1)-SUMIFS(mv_qty,mv_ref,A309,mv_type,"Sortie",mv_date,"&lt;="&amp;$G$1),6),""))</f>
        <v/>
      </c>
      <c r="F309" s="37" t="n"/>
      <c r="G309" s="39" t="str">
        <f>IF(OR(A309="",F309="",E309=""),"",ROUND(F309-E309,6))</f>
        <v/>
      </c>
      <c r="H309" s="40" t="str">
        <f>IF(G309="","",G309*IFERROR(N(INDEX(art_price,MATCH(A309,art_ref,0))),0))</f>
        <v/>
      </c>
      <c r="I309" s="39" t="str">
        <f>IF(A309="","",IF(E309="","Référence inconnue",IF(F309="","À compter",IF(G309&gt;0,"Saisir une entrée de "&amp;G309,IF(G309&lt;0,"Saisir une sortie de "&amp;-G309,"Conforme")))))</f>
        <v/>
      </c>
    </row>
    <row r="310">
      <c r="A310" s="37" t="n"/>
      <c r="B310" s="39" t="str">
        <f>IF(A310="","",IFERROR(INDEX(art_des,MATCH(A310,art_ref,0))&amp;"","Référence inconnue"))</f>
        <v/>
      </c>
      <c r="C310" s="39" t="str">
        <f>IF(A310="","",IFERROR(INDEX(art_unit,MATCH(A310,art_ref,0))&amp;"",""))</f>
        <v/>
      </c>
      <c r="D310" s="39" t="str">
        <f>IF(A310="","",IFERROR(INDEX(art_loc,MATCH(A310,art_ref,0))&amp;"",""))</f>
        <v/>
      </c>
      <c r="E310" s="39" t="str">
        <f>IF(A310="","",IFERROR(ROUND(N(INDEX(art_init,MATCH(A310,art_ref,0)))+SUMIFS(mv_qty,mv_ref,A310,mv_type,"Entrée",mv_date,"&lt;="&amp;$G$1)-SUMIFS(mv_qty,mv_ref,A310,mv_type,"Sortie",mv_date,"&lt;="&amp;$G$1),6),""))</f>
        <v/>
      </c>
      <c r="F310" s="37" t="n"/>
      <c r="G310" s="39" t="str">
        <f>IF(OR(A310="",F310="",E310=""),"",ROUND(F310-E310,6))</f>
        <v/>
      </c>
      <c r="H310" s="40" t="str">
        <f>IF(G310="","",G310*IFERROR(N(INDEX(art_price,MATCH(A310,art_ref,0))),0))</f>
        <v/>
      </c>
      <c r="I310" s="39" t="str">
        <f>IF(A310="","",IF(E310="","Référence inconnue",IF(F310="","À compter",IF(G310&gt;0,"Saisir une entrée de "&amp;G310,IF(G310&lt;0,"Saisir une sortie de "&amp;-G310,"Conforme")))))</f>
        <v/>
      </c>
    </row>
    <row r="311">
      <c r="A311" s="37" t="n"/>
      <c r="B311" s="39" t="str">
        <f>IF(A311="","",IFERROR(INDEX(art_des,MATCH(A311,art_ref,0))&amp;"","Référence inconnue"))</f>
        <v/>
      </c>
      <c r="C311" s="39" t="str">
        <f>IF(A311="","",IFERROR(INDEX(art_unit,MATCH(A311,art_ref,0))&amp;"",""))</f>
        <v/>
      </c>
      <c r="D311" s="39" t="str">
        <f>IF(A311="","",IFERROR(INDEX(art_loc,MATCH(A311,art_ref,0))&amp;"",""))</f>
        <v/>
      </c>
      <c r="E311" s="39" t="str">
        <f>IF(A311="","",IFERROR(ROUND(N(INDEX(art_init,MATCH(A311,art_ref,0)))+SUMIFS(mv_qty,mv_ref,A311,mv_type,"Entrée",mv_date,"&lt;="&amp;$G$1)-SUMIFS(mv_qty,mv_ref,A311,mv_type,"Sortie",mv_date,"&lt;="&amp;$G$1),6),""))</f>
        <v/>
      </c>
      <c r="F311" s="37" t="n"/>
      <c r="G311" s="39" t="str">
        <f>IF(OR(A311="",F311="",E311=""),"",ROUND(F311-E311,6))</f>
        <v/>
      </c>
      <c r="H311" s="40" t="str">
        <f>IF(G311="","",G311*IFERROR(N(INDEX(art_price,MATCH(A311,art_ref,0))),0))</f>
        <v/>
      </c>
      <c r="I311" s="39" t="str">
        <f>IF(A311="","",IF(E311="","Référence inconnue",IF(F311="","À compter",IF(G311&gt;0,"Saisir une entrée de "&amp;G311,IF(G311&lt;0,"Saisir une sortie de "&amp;-G311,"Conforme")))))</f>
        <v/>
      </c>
    </row>
    <row r="312">
      <c r="A312" s="37" t="n"/>
      <c r="B312" s="39" t="str">
        <f>IF(A312="","",IFERROR(INDEX(art_des,MATCH(A312,art_ref,0))&amp;"","Référence inconnue"))</f>
        <v/>
      </c>
      <c r="C312" s="39" t="str">
        <f>IF(A312="","",IFERROR(INDEX(art_unit,MATCH(A312,art_ref,0))&amp;"",""))</f>
        <v/>
      </c>
      <c r="D312" s="39" t="str">
        <f>IF(A312="","",IFERROR(INDEX(art_loc,MATCH(A312,art_ref,0))&amp;"",""))</f>
        <v/>
      </c>
      <c r="E312" s="39" t="str">
        <f>IF(A312="","",IFERROR(ROUND(N(INDEX(art_init,MATCH(A312,art_ref,0)))+SUMIFS(mv_qty,mv_ref,A312,mv_type,"Entrée",mv_date,"&lt;="&amp;$G$1)-SUMIFS(mv_qty,mv_ref,A312,mv_type,"Sortie",mv_date,"&lt;="&amp;$G$1),6),""))</f>
        <v/>
      </c>
      <c r="F312" s="37" t="n"/>
      <c r="G312" s="39" t="str">
        <f>IF(OR(A312="",F312="",E312=""),"",ROUND(F312-E312,6))</f>
        <v/>
      </c>
      <c r="H312" s="40" t="str">
        <f>IF(G312="","",G312*IFERROR(N(INDEX(art_price,MATCH(A312,art_ref,0))),0))</f>
        <v/>
      </c>
      <c r="I312" s="39" t="str">
        <f>IF(A312="","",IF(E312="","Référence inconnue",IF(F312="","À compter",IF(G312&gt;0,"Saisir une entrée de "&amp;G312,IF(G312&lt;0,"Saisir une sortie de "&amp;-G312,"Conforme")))))</f>
        <v/>
      </c>
    </row>
    <row r="313">
      <c r="A313" s="37" t="n"/>
      <c r="B313" s="39" t="str">
        <f>IF(A313="","",IFERROR(INDEX(art_des,MATCH(A313,art_ref,0))&amp;"","Référence inconnue"))</f>
        <v/>
      </c>
      <c r="C313" s="39" t="str">
        <f>IF(A313="","",IFERROR(INDEX(art_unit,MATCH(A313,art_ref,0))&amp;"",""))</f>
        <v/>
      </c>
      <c r="D313" s="39" t="str">
        <f>IF(A313="","",IFERROR(INDEX(art_loc,MATCH(A313,art_ref,0))&amp;"",""))</f>
        <v/>
      </c>
      <c r="E313" s="39" t="str">
        <f>IF(A313="","",IFERROR(ROUND(N(INDEX(art_init,MATCH(A313,art_ref,0)))+SUMIFS(mv_qty,mv_ref,A313,mv_type,"Entrée",mv_date,"&lt;="&amp;$G$1)-SUMIFS(mv_qty,mv_ref,A313,mv_type,"Sortie",mv_date,"&lt;="&amp;$G$1),6),""))</f>
        <v/>
      </c>
      <c r="F313" s="37" t="n"/>
      <c r="G313" s="39" t="str">
        <f>IF(OR(A313="",F313="",E313=""),"",ROUND(F313-E313,6))</f>
        <v/>
      </c>
      <c r="H313" s="40" t="str">
        <f>IF(G313="","",G313*IFERROR(N(INDEX(art_price,MATCH(A313,art_ref,0))),0))</f>
        <v/>
      </c>
      <c r="I313" s="39" t="str">
        <f>IF(A313="","",IF(E313="","Référence inconnue",IF(F313="","À compter",IF(G313&gt;0,"Saisir une entrée de "&amp;G313,IF(G313&lt;0,"Saisir une sortie de "&amp;-G313,"Conforme")))))</f>
        <v/>
      </c>
    </row>
    <row r="314">
      <c r="A314" s="37" t="n"/>
      <c r="B314" s="39" t="str">
        <f>IF(A314="","",IFERROR(INDEX(art_des,MATCH(A314,art_ref,0))&amp;"","Référence inconnue"))</f>
        <v/>
      </c>
      <c r="C314" s="39" t="str">
        <f>IF(A314="","",IFERROR(INDEX(art_unit,MATCH(A314,art_ref,0))&amp;"",""))</f>
        <v/>
      </c>
      <c r="D314" s="39" t="str">
        <f>IF(A314="","",IFERROR(INDEX(art_loc,MATCH(A314,art_ref,0))&amp;"",""))</f>
        <v/>
      </c>
      <c r="E314" s="39" t="str">
        <f>IF(A314="","",IFERROR(ROUND(N(INDEX(art_init,MATCH(A314,art_ref,0)))+SUMIFS(mv_qty,mv_ref,A314,mv_type,"Entrée",mv_date,"&lt;="&amp;$G$1)-SUMIFS(mv_qty,mv_ref,A314,mv_type,"Sortie",mv_date,"&lt;="&amp;$G$1),6),""))</f>
        <v/>
      </c>
      <c r="F314" s="37" t="n"/>
      <c r="G314" s="39" t="str">
        <f>IF(OR(A314="",F314="",E314=""),"",ROUND(F314-E314,6))</f>
        <v/>
      </c>
      <c r="H314" s="40" t="str">
        <f>IF(G314="","",G314*IFERROR(N(INDEX(art_price,MATCH(A314,art_ref,0))),0))</f>
        <v/>
      </c>
      <c r="I314" s="39" t="str">
        <f>IF(A314="","",IF(E314="","Référence inconnue",IF(F314="","À compter",IF(G314&gt;0,"Saisir une entrée de "&amp;G314,IF(G314&lt;0,"Saisir une sortie de "&amp;-G314,"Conforme")))))</f>
        <v/>
      </c>
    </row>
    <row r="315">
      <c r="A315" s="37" t="n"/>
      <c r="B315" s="39" t="str">
        <f>IF(A315="","",IFERROR(INDEX(art_des,MATCH(A315,art_ref,0))&amp;"","Référence inconnue"))</f>
        <v/>
      </c>
      <c r="C315" s="39" t="str">
        <f>IF(A315="","",IFERROR(INDEX(art_unit,MATCH(A315,art_ref,0))&amp;"",""))</f>
        <v/>
      </c>
      <c r="D315" s="39" t="str">
        <f>IF(A315="","",IFERROR(INDEX(art_loc,MATCH(A315,art_ref,0))&amp;"",""))</f>
        <v/>
      </c>
      <c r="E315" s="39" t="str">
        <f>IF(A315="","",IFERROR(ROUND(N(INDEX(art_init,MATCH(A315,art_ref,0)))+SUMIFS(mv_qty,mv_ref,A315,mv_type,"Entrée",mv_date,"&lt;="&amp;$G$1)-SUMIFS(mv_qty,mv_ref,A315,mv_type,"Sortie",mv_date,"&lt;="&amp;$G$1),6),""))</f>
        <v/>
      </c>
      <c r="F315" s="37" t="n"/>
      <c r="G315" s="39" t="str">
        <f>IF(OR(A315="",F315="",E315=""),"",ROUND(F315-E315,6))</f>
        <v/>
      </c>
      <c r="H315" s="40" t="str">
        <f>IF(G315="","",G315*IFERROR(N(INDEX(art_price,MATCH(A315,art_ref,0))),0))</f>
        <v/>
      </c>
      <c r="I315" s="39" t="str">
        <f>IF(A315="","",IF(E315="","Référence inconnue",IF(F315="","À compter",IF(G315&gt;0,"Saisir une entrée de "&amp;G315,IF(G315&lt;0,"Saisir une sortie de "&amp;-G315,"Conforme")))))</f>
        <v/>
      </c>
    </row>
    <row r="316">
      <c r="A316" s="37" t="n"/>
      <c r="B316" s="39" t="str">
        <f>IF(A316="","",IFERROR(INDEX(art_des,MATCH(A316,art_ref,0))&amp;"","Référence inconnue"))</f>
        <v/>
      </c>
      <c r="C316" s="39" t="str">
        <f>IF(A316="","",IFERROR(INDEX(art_unit,MATCH(A316,art_ref,0))&amp;"",""))</f>
        <v/>
      </c>
      <c r="D316" s="39" t="str">
        <f>IF(A316="","",IFERROR(INDEX(art_loc,MATCH(A316,art_ref,0))&amp;"",""))</f>
        <v/>
      </c>
      <c r="E316" s="39" t="str">
        <f>IF(A316="","",IFERROR(ROUND(N(INDEX(art_init,MATCH(A316,art_ref,0)))+SUMIFS(mv_qty,mv_ref,A316,mv_type,"Entrée",mv_date,"&lt;="&amp;$G$1)-SUMIFS(mv_qty,mv_ref,A316,mv_type,"Sortie",mv_date,"&lt;="&amp;$G$1),6),""))</f>
        <v/>
      </c>
      <c r="F316" s="37" t="n"/>
      <c r="G316" s="39" t="str">
        <f>IF(OR(A316="",F316="",E316=""),"",ROUND(F316-E316,6))</f>
        <v/>
      </c>
      <c r="H316" s="40" t="str">
        <f>IF(G316="","",G316*IFERROR(N(INDEX(art_price,MATCH(A316,art_ref,0))),0))</f>
        <v/>
      </c>
      <c r="I316" s="39" t="str">
        <f>IF(A316="","",IF(E316="","Référence inconnue",IF(F316="","À compter",IF(G316&gt;0,"Saisir une entrée de "&amp;G316,IF(G316&lt;0,"Saisir une sortie de "&amp;-G316,"Conforme")))))</f>
        <v/>
      </c>
    </row>
    <row r="317">
      <c r="A317" s="37" t="n"/>
      <c r="B317" s="39" t="str">
        <f>IF(A317="","",IFERROR(INDEX(art_des,MATCH(A317,art_ref,0))&amp;"","Référence inconnue"))</f>
        <v/>
      </c>
      <c r="C317" s="39" t="str">
        <f>IF(A317="","",IFERROR(INDEX(art_unit,MATCH(A317,art_ref,0))&amp;"",""))</f>
        <v/>
      </c>
      <c r="D317" s="39" t="str">
        <f>IF(A317="","",IFERROR(INDEX(art_loc,MATCH(A317,art_ref,0))&amp;"",""))</f>
        <v/>
      </c>
      <c r="E317" s="39" t="str">
        <f>IF(A317="","",IFERROR(ROUND(N(INDEX(art_init,MATCH(A317,art_ref,0)))+SUMIFS(mv_qty,mv_ref,A317,mv_type,"Entrée",mv_date,"&lt;="&amp;$G$1)-SUMIFS(mv_qty,mv_ref,A317,mv_type,"Sortie",mv_date,"&lt;="&amp;$G$1),6),""))</f>
        <v/>
      </c>
      <c r="F317" s="37" t="n"/>
      <c r="G317" s="39" t="str">
        <f>IF(OR(A317="",F317="",E317=""),"",ROUND(F317-E317,6))</f>
        <v/>
      </c>
      <c r="H317" s="40" t="str">
        <f>IF(G317="","",G317*IFERROR(N(INDEX(art_price,MATCH(A317,art_ref,0))),0))</f>
        <v/>
      </c>
      <c r="I317" s="39" t="str">
        <f>IF(A317="","",IF(E317="","Référence inconnue",IF(F317="","À compter",IF(G317&gt;0,"Saisir une entrée de "&amp;G317,IF(G317&lt;0,"Saisir une sortie de "&amp;-G317,"Conforme")))))</f>
        <v/>
      </c>
    </row>
    <row r="318">
      <c r="A318" s="37" t="n"/>
      <c r="B318" s="39" t="str">
        <f>IF(A318="","",IFERROR(INDEX(art_des,MATCH(A318,art_ref,0))&amp;"","Référence inconnue"))</f>
        <v/>
      </c>
      <c r="C318" s="39" t="str">
        <f>IF(A318="","",IFERROR(INDEX(art_unit,MATCH(A318,art_ref,0))&amp;"",""))</f>
        <v/>
      </c>
      <c r="D318" s="39" t="str">
        <f>IF(A318="","",IFERROR(INDEX(art_loc,MATCH(A318,art_ref,0))&amp;"",""))</f>
        <v/>
      </c>
      <c r="E318" s="39" t="str">
        <f>IF(A318="","",IFERROR(ROUND(N(INDEX(art_init,MATCH(A318,art_ref,0)))+SUMIFS(mv_qty,mv_ref,A318,mv_type,"Entrée",mv_date,"&lt;="&amp;$G$1)-SUMIFS(mv_qty,mv_ref,A318,mv_type,"Sortie",mv_date,"&lt;="&amp;$G$1),6),""))</f>
        <v/>
      </c>
      <c r="F318" s="37" t="n"/>
      <c r="G318" s="39" t="str">
        <f>IF(OR(A318="",F318="",E318=""),"",ROUND(F318-E318,6))</f>
        <v/>
      </c>
      <c r="H318" s="40" t="str">
        <f>IF(G318="","",G318*IFERROR(N(INDEX(art_price,MATCH(A318,art_ref,0))),0))</f>
        <v/>
      </c>
      <c r="I318" s="39" t="str">
        <f>IF(A318="","",IF(E318="","Référence inconnue",IF(F318="","À compter",IF(G318&gt;0,"Saisir une entrée de "&amp;G318,IF(G318&lt;0,"Saisir une sortie de "&amp;-G318,"Conforme")))))</f>
        <v/>
      </c>
    </row>
    <row r="319">
      <c r="A319" s="37" t="n"/>
      <c r="B319" s="39" t="str">
        <f>IF(A319="","",IFERROR(INDEX(art_des,MATCH(A319,art_ref,0))&amp;"","Référence inconnue"))</f>
        <v/>
      </c>
      <c r="C319" s="39" t="str">
        <f>IF(A319="","",IFERROR(INDEX(art_unit,MATCH(A319,art_ref,0))&amp;"",""))</f>
        <v/>
      </c>
      <c r="D319" s="39" t="str">
        <f>IF(A319="","",IFERROR(INDEX(art_loc,MATCH(A319,art_ref,0))&amp;"",""))</f>
        <v/>
      </c>
      <c r="E319" s="39" t="str">
        <f>IF(A319="","",IFERROR(ROUND(N(INDEX(art_init,MATCH(A319,art_ref,0)))+SUMIFS(mv_qty,mv_ref,A319,mv_type,"Entrée",mv_date,"&lt;="&amp;$G$1)-SUMIFS(mv_qty,mv_ref,A319,mv_type,"Sortie",mv_date,"&lt;="&amp;$G$1),6),""))</f>
        <v/>
      </c>
      <c r="F319" s="37" t="n"/>
      <c r="G319" s="39" t="str">
        <f>IF(OR(A319="",F319="",E319=""),"",ROUND(F319-E319,6))</f>
        <v/>
      </c>
      <c r="H319" s="40" t="str">
        <f>IF(G319="","",G319*IFERROR(N(INDEX(art_price,MATCH(A319,art_ref,0))),0))</f>
        <v/>
      </c>
      <c r="I319" s="39" t="str">
        <f>IF(A319="","",IF(E319="","Référence inconnue",IF(F319="","À compter",IF(G319&gt;0,"Saisir une entrée de "&amp;G319,IF(G319&lt;0,"Saisir une sortie de "&amp;-G319,"Conforme")))))</f>
        <v/>
      </c>
    </row>
    <row r="320">
      <c r="A320" s="37" t="n"/>
      <c r="B320" s="39" t="str">
        <f>IF(A320="","",IFERROR(INDEX(art_des,MATCH(A320,art_ref,0))&amp;"","Référence inconnue"))</f>
        <v/>
      </c>
      <c r="C320" s="39" t="str">
        <f>IF(A320="","",IFERROR(INDEX(art_unit,MATCH(A320,art_ref,0))&amp;"",""))</f>
        <v/>
      </c>
      <c r="D320" s="39" t="str">
        <f>IF(A320="","",IFERROR(INDEX(art_loc,MATCH(A320,art_ref,0))&amp;"",""))</f>
        <v/>
      </c>
      <c r="E320" s="39" t="str">
        <f>IF(A320="","",IFERROR(ROUND(N(INDEX(art_init,MATCH(A320,art_ref,0)))+SUMIFS(mv_qty,mv_ref,A320,mv_type,"Entrée",mv_date,"&lt;="&amp;$G$1)-SUMIFS(mv_qty,mv_ref,A320,mv_type,"Sortie",mv_date,"&lt;="&amp;$G$1),6),""))</f>
        <v/>
      </c>
      <c r="F320" s="37" t="n"/>
      <c r="G320" s="39" t="str">
        <f>IF(OR(A320="",F320="",E320=""),"",ROUND(F320-E320,6))</f>
        <v/>
      </c>
      <c r="H320" s="40" t="str">
        <f>IF(G320="","",G320*IFERROR(N(INDEX(art_price,MATCH(A320,art_ref,0))),0))</f>
        <v/>
      </c>
      <c r="I320" s="39" t="str">
        <f>IF(A320="","",IF(E320="","Référence inconnue",IF(F320="","À compter",IF(G320&gt;0,"Saisir une entrée de "&amp;G320,IF(G320&lt;0,"Saisir une sortie de "&amp;-G320,"Conforme")))))</f>
        <v/>
      </c>
    </row>
    <row r="321">
      <c r="A321" s="37" t="n"/>
      <c r="B321" s="39" t="str">
        <f>IF(A321="","",IFERROR(INDEX(art_des,MATCH(A321,art_ref,0))&amp;"","Référence inconnue"))</f>
        <v/>
      </c>
      <c r="C321" s="39" t="str">
        <f>IF(A321="","",IFERROR(INDEX(art_unit,MATCH(A321,art_ref,0))&amp;"",""))</f>
        <v/>
      </c>
      <c r="D321" s="39" t="str">
        <f>IF(A321="","",IFERROR(INDEX(art_loc,MATCH(A321,art_ref,0))&amp;"",""))</f>
        <v/>
      </c>
      <c r="E321" s="39" t="str">
        <f>IF(A321="","",IFERROR(ROUND(N(INDEX(art_init,MATCH(A321,art_ref,0)))+SUMIFS(mv_qty,mv_ref,A321,mv_type,"Entrée",mv_date,"&lt;="&amp;$G$1)-SUMIFS(mv_qty,mv_ref,A321,mv_type,"Sortie",mv_date,"&lt;="&amp;$G$1),6),""))</f>
        <v/>
      </c>
      <c r="F321" s="37" t="n"/>
      <c r="G321" s="39" t="str">
        <f>IF(OR(A321="",F321="",E321=""),"",ROUND(F321-E321,6))</f>
        <v/>
      </c>
      <c r="H321" s="40" t="str">
        <f>IF(G321="","",G321*IFERROR(N(INDEX(art_price,MATCH(A321,art_ref,0))),0))</f>
        <v/>
      </c>
      <c r="I321" s="39" t="str">
        <f>IF(A321="","",IF(E321="","Référence inconnue",IF(F321="","À compter",IF(G321&gt;0,"Saisir une entrée de "&amp;G321,IF(G321&lt;0,"Saisir une sortie de "&amp;-G321,"Conforme")))))</f>
        <v/>
      </c>
    </row>
    <row r="322">
      <c r="A322" s="37" t="n"/>
      <c r="B322" s="39" t="str">
        <f>IF(A322="","",IFERROR(INDEX(art_des,MATCH(A322,art_ref,0))&amp;"","Référence inconnue"))</f>
        <v/>
      </c>
      <c r="C322" s="39" t="str">
        <f>IF(A322="","",IFERROR(INDEX(art_unit,MATCH(A322,art_ref,0))&amp;"",""))</f>
        <v/>
      </c>
      <c r="D322" s="39" t="str">
        <f>IF(A322="","",IFERROR(INDEX(art_loc,MATCH(A322,art_ref,0))&amp;"",""))</f>
        <v/>
      </c>
      <c r="E322" s="39" t="str">
        <f>IF(A322="","",IFERROR(ROUND(N(INDEX(art_init,MATCH(A322,art_ref,0)))+SUMIFS(mv_qty,mv_ref,A322,mv_type,"Entrée",mv_date,"&lt;="&amp;$G$1)-SUMIFS(mv_qty,mv_ref,A322,mv_type,"Sortie",mv_date,"&lt;="&amp;$G$1),6),""))</f>
        <v/>
      </c>
      <c r="F322" s="37" t="n"/>
      <c r="G322" s="39" t="str">
        <f>IF(OR(A322="",F322="",E322=""),"",ROUND(F322-E322,6))</f>
        <v/>
      </c>
      <c r="H322" s="40" t="str">
        <f>IF(G322="","",G322*IFERROR(N(INDEX(art_price,MATCH(A322,art_ref,0))),0))</f>
        <v/>
      </c>
      <c r="I322" s="39" t="str">
        <f>IF(A322="","",IF(E322="","Référence inconnue",IF(F322="","À compter",IF(G322&gt;0,"Saisir une entrée de "&amp;G322,IF(G322&lt;0,"Saisir une sortie de "&amp;-G322,"Conforme")))))</f>
        <v/>
      </c>
    </row>
    <row r="323">
      <c r="A323" s="37" t="n"/>
      <c r="B323" s="39" t="str">
        <f>IF(A323="","",IFERROR(INDEX(art_des,MATCH(A323,art_ref,0))&amp;"","Référence inconnue"))</f>
        <v/>
      </c>
      <c r="C323" s="39" t="str">
        <f>IF(A323="","",IFERROR(INDEX(art_unit,MATCH(A323,art_ref,0))&amp;"",""))</f>
        <v/>
      </c>
      <c r="D323" s="39" t="str">
        <f>IF(A323="","",IFERROR(INDEX(art_loc,MATCH(A323,art_ref,0))&amp;"",""))</f>
        <v/>
      </c>
      <c r="E323" s="39" t="str">
        <f>IF(A323="","",IFERROR(ROUND(N(INDEX(art_init,MATCH(A323,art_ref,0)))+SUMIFS(mv_qty,mv_ref,A323,mv_type,"Entrée",mv_date,"&lt;="&amp;$G$1)-SUMIFS(mv_qty,mv_ref,A323,mv_type,"Sortie",mv_date,"&lt;="&amp;$G$1),6),""))</f>
        <v/>
      </c>
      <c r="F323" s="37" t="n"/>
      <c r="G323" s="39" t="str">
        <f>IF(OR(A323="",F323="",E323=""),"",ROUND(F323-E323,6))</f>
        <v/>
      </c>
      <c r="H323" s="40" t="str">
        <f>IF(G323="","",G323*IFERROR(N(INDEX(art_price,MATCH(A323,art_ref,0))),0))</f>
        <v/>
      </c>
      <c r="I323" s="39" t="str">
        <f>IF(A323="","",IF(E323="","Référence inconnue",IF(F323="","À compter",IF(G323&gt;0,"Saisir une entrée de "&amp;G323,IF(G323&lt;0,"Saisir une sortie de "&amp;-G323,"Conforme")))))</f>
        <v/>
      </c>
    </row>
    <row r="324">
      <c r="A324" s="37" t="n"/>
      <c r="B324" s="39" t="str">
        <f>IF(A324="","",IFERROR(INDEX(art_des,MATCH(A324,art_ref,0))&amp;"","Référence inconnue"))</f>
        <v/>
      </c>
      <c r="C324" s="39" t="str">
        <f>IF(A324="","",IFERROR(INDEX(art_unit,MATCH(A324,art_ref,0))&amp;"",""))</f>
        <v/>
      </c>
      <c r="D324" s="39" t="str">
        <f>IF(A324="","",IFERROR(INDEX(art_loc,MATCH(A324,art_ref,0))&amp;"",""))</f>
        <v/>
      </c>
      <c r="E324" s="39" t="str">
        <f>IF(A324="","",IFERROR(ROUND(N(INDEX(art_init,MATCH(A324,art_ref,0)))+SUMIFS(mv_qty,mv_ref,A324,mv_type,"Entrée",mv_date,"&lt;="&amp;$G$1)-SUMIFS(mv_qty,mv_ref,A324,mv_type,"Sortie",mv_date,"&lt;="&amp;$G$1),6),""))</f>
        <v/>
      </c>
      <c r="F324" s="37" t="n"/>
      <c r="G324" s="39" t="str">
        <f>IF(OR(A324="",F324="",E324=""),"",ROUND(F324-E324,6))</f>
        <v/>
      </c>
      <c r="H324" s="40" t="str">
        <f>IF(G324="","",G324*IFERROR(N(INDEX(art_price,MATCH(A324,art_ref,0))),0))</f>
        <v/>
      </c>
      <c r="I324" s="39" t="str">
        <f>IF(A324="","",IF(E324="","Référence inconnue",IF(F324="","À compter",IF(G324&gt;0,"Saisir une entrée de "&amp;G324,IF(G324&lt;0,"Saisir une sortie de "&amp;-G324,"Conforme")))))</f>
        <v/>
      </c>
    </row>
    <row r="325">
      <c r="A325" s="37" t="n"/>
      <c r="B325" s="39" t="str">
        <f>IF(A325="","",IFERROR(INDEX(art_des,MATCH(A325,art_ref,0))&amp;"","Référence inconnue"))</f>
        <v/>
      </c>
      <c r="C325" s="39" t="str">
        <f>IF(A325="","",IFERROR(INDEX(art_unit,MATCH(A325,art_ref,0))&amp;"",""))</f>
        <v/>
      </c>
      <c r="D325" s="39" t="str">
        <f>IF(A325="","",IFERROR(INDEX(art_loc,MATCH(A325,art_ref,0))&amp;"",""))</f>
        <v/>
      </c>
      <c r="E325" s="39" t="str">
        <f>IF(A325="","",IFERROR(ROUND(N(INDEX(art_init,MATCH(A325,art_ref,0)))+SUMIFS(mv_qty,mv_ref,A325,mv_type,"Entrée",mv_date,"&lt;="&amp;$G$1)-SUMIFS(mv_qty,mv_ref,A325,mv_type,"Sortie",mv_date,"&lt;="&amp;$G$1),6),""))</f>
        <v/>
      </c>
      <c r="F325" s="37" t="n"/>
      <c r="G325" s="39" t="str">
        <f>IF(OR(A325="",F325="",E325=""),"",ROUND(F325-E325,6))</f>
        <v/>
      </c>
      <c r="H325" s="40" t="str">
        <f>IF(G325="","",G325*IFERROR(N(INDEX(art_price,MATCH(A325,art_ref,0))),0))</f>
        <v/>
      </c>
      <c r="I325" s="39" t="str">
        <f>IF(A325="","",IF(E325="","Référence inconnue",IF(F325="","À compter",IF(G325&gt;0,"Saisir une entrée de "&amp;G325,IF(G325&lt;0,"Saisir une sortie de "&amp;-G325,"Conforme")))))</f>
        <v/>
      </c>
    </row>
    <row r="326">
      <c r="A326" s="37" t="n"/>
      <c r="B326" s="39" t="str">
        <f>IF(A326="","",IFERROR(INDEX(art_des,MATCH(A326,art_ref,0))&amp;"","Référence inconnue"))</f>
        <v/>
      </c>
      <c r="C326" s="39" t="str">
        <f>IF(A326="","",IFERROR(INDEX(art_unit,MATCH(A326,art_ref,0))&amp;"",""))</f>
        <v/>
      </c>
      <c r="D326" s="39" t="str">
        <f>IF(A326="","",IFERROR(INDEX(art_loc,MATCH(A326,art_ref,0))&amp;"",""))</f>
        <v/>
      </c>
      <c r="E326" s="39" t="str">
        <f>IF(A326="","",IFERROR(ROUND(N(INDEX(art_init,MATCH(A326,art_ref,0)))+SUMIFS(mv_qty,mv_ref,A326,mv_type,"Entrée",mv_date,"&lt;="&amp;$G$1)-SUMIFS(mv_qty,mv_ref,A326,mv_type,"Sortie",mv_date,"&lt;="&amp;$G$1),6),""))</f>
        <v/>
      </c>
      <c r="F326" s="37" t="n"/>
      <c r="G326" s="39" t="str">
        <f>IF(OR(A326="",F326="",E326=""),"",ROUND(F326-E326,6))</f>
        <v/>
      </c>
      <c r="H326" s="40" t="str">
        <f>IF(G326="","",G326*IFERROR(N(INDEX(art_price,MATCH(A326,art_ref,0))),0))</f>
        <v/>
      </c>
      <c r="I326" s="39" t="str">
        <f>IF(A326="","",IF(E326="","Référence inconnue",IF(F326="","À compter",IF(G326&gt;0,"Saisir une entrée de "&amp;G326,IF(G326&lt;0,"Saisir une sortie de "&amp;-G326,"Conforme")))))</f>
        <v/>
      </c>
    </row>
    <row r="327">
      <c r="A327" s="37" t="n"/>
      <c r="B327" s="39" t="str">
        <f>IF(A327="","",IFERROR(INDEX(art_des,MATCH(A327,art_ref,0))&amp;"","Référence inconnue"))</f>
        <v/>
      </c>
      <c r="C327" s="39" t="str">
        <f>IF(A327="","",IFERROR(INDEX(art_unit,MATCH(A327,art_ref,0))&amp;"",""))</f>
        <v/>
      </c>
      <c r="D327" s="39" t="str">
        <f>IF(A327="","",IFERROR(INDEX(art_loc,MATCH(A327,art_ref,0))&amp;"",""))</f>
        <v/>
      </c>
      <c r="E327" s="39" t="str">
        <f>IF(A327="","",IFERROR(ROUND(N(INDEX(art_init,MATCH(A327,art_ref,0)))+SUMIFS(mv_qty,mv_ref,A327,mv_type,"Entrée",mv_date,"&lt;="&amp;$G$1)-SUMIFS(mv_qty,mv_ref,A327,mv_type,"Sortie",mv_date,"&lt;="&amp;$G$1),6),""))</f>
        <v/>
      </c>
      <c r="F327" s="37" t="n"/>
      <c r="G327" s="39" t="str">
        <f>IF(OR(A327="",F327="",E327=""),"",ROUND(F327-E327,6))</f>
        <v/>
      </c>
      <c r="H327" s="40" t="str">
        <f>IF(G327="","",G327*IFERROR(N(INDEX(art_price,MATCH(A327,art_ref,0))),0))</f>
        <v/>
      </c>
      <c r="I327" s="39" t="str">
        <f>IF(A327="","",IF(E327="","Référence inconnue",IF(F327="","À compter",IF(G327&gt;0,"Saisir une entrée de "&amp;G327,IF(G327&lt;0,"Saisir une sortie de "&amp;-G327,"Conforme")))))</f>
        <v/>
      </c>
    </row>
    <row r="328">
      <c r="A328" s="37" t="n"/>
      <c r="B328" s="39" t="str">
        <f>IF(A328="","",IFERROR(INDEX(art_des,MATCH(A328,art_ref,0))&amp;"","Référence inconnue"))</f>
        <v/>
      </c>
      <c r="C328" s="39" t="str">
        <f>IF(A328="","",IFERROR(INDEX(art_unit,MATCH(A328,art_ref,0))&amp;"",""))</f>
        <v/>
      </c>
      <c r="D328" s="39" t="str">
        <f>IF(A328="","",IFERROR(INDEX(art_loc,MATCH(A328,art_ref,0))&amp;"",""))</f>
        <v/>
      </c>
      <c r="E328" s="39" t="str">
        <f>IF(A328="","",IFERROR(ROUND(N(INDEX(art_init,MATCH(A328,art_ref,0)))+SUMIFS(mv_qty,mv_ref,A328,mv_type,"Entrée",mv_date,"&lt;="&amp;$G$1)-SUMIFS(mv_qty,mv_ref,A328,mv_type,"Sortie",mv_date,"&lt;="&amp;$G$1),6),""))</f>
        <v/>
      </c>
      <c r="F328" s="37" t="n"/>
      <c r="G328" s="39" t="str">
        <f>IF(OR(A328="",F328="",E328=""),"",ROUND(F328-E328,6))</f>
        <v/>
      </c>
      <c r="H328" s="40" t="str">
        <f>IF(G328="","",G328*IFERROR(N(INDEX(art_price,MATCH(A328,art_ref,0))),0))</f>
        <v/>
      </c>
      <c r="I328" s="39" t="str">
        <f>IF(A328="","",IF(E328="","Référence inconnue",IF(F328="","À compter",IF(G328&gt;0,"Saisir une entrée de "&amp;G328,IF(G328&lt;0,"Saisir une sortie de "&amp;-G328,"Conforme")))))</f>
        <v/>
      </c>
    </row>
    <row r="329">
      <c r="A329" s="37" t="n"/>
      <c r="B329" s="39" t="str">
        <f>IF(A329="","",IFERROR(INDEX(art_des,MATCH(A329,art_ref,0))&amp;"","Référence inconnue"))</f>
        <v/>
      </c>
      <c r="C329" s="39" t="str">
        <f>IF(A329="","",IFERROR(INDEX(art_unit,MATCH(A329,art_ref,0))&amp;"",""))</f>
        <v/>
      </c>
      <c r="D329" s="39" t="str">
        <f>IF(A329="","",IFERROR(INDEX(art_loc,MATCH(A329,art_ref,0))&amp;"",""))</f>
        <v/>
      </c>
      <c r="E329" s="39" t="str">
        <f>IF(A329="","",IFERROR(ROUND(N(INDEX(art_init,MATCH(A329,art_ref,0)))+SUMIFS(mv_qty,mv_ref,A329,mv_type,"Entrée",mv_date,"&lt;="&amp;$G$1)-SUMIFS(mv_qty,mv_ref,A329,mv_type,"Sortie",mv_date,"&lt;="&amp;$G$1),6),""))</f>
        <v/>
      </c>
      <c r="F329" s="37" t="n"/>
      <c r="G329" s="39" t="str">
        <f>IF(OR(A329="",F329="",E329=""),"",ROUND(F329-E329,6))</f>
        <v/>
      </c>
      <c r="H329" s="40" t="str">
        <f>IF(G329="","",G329*IFERROR(N(INDEX(art_price,MATCH(A329,art_ref,0))),0))</f>
        <v/>
      </c>
      <c r="I329" s="39" t="str">
        <f>IF(A329="","",IF(E329="","Référence inconnue",IF(F329="","À compter",IF(G329&gt;0,"Saisir une entrée de "&amp;G329,IF(G329&lt;0,"Saisir une sortie de "&amp;-G329,"Conforme")))))</f>
        <v/>
      </c>
    </row>
    <row r="330">
      <c r="A330" s="37" t="n"/>
      <c r="B330" s="39" t="str">
        <f>IF(A330="","",IFERROR(INDEX(art_des,MATCH(A330,art_ref,0))&amp;"","Référence inconnue"))</f>
        <v/>
      </c>
      <c r="C330" s="39" t="str">
        <f>IF(A330="","",IFERROR(INDEX(art_unit,MATCH(A330,art_ref,0))&amp;"",""))</f>
        <v/>
      </c>
      <c r="D330" s="39" t="str">
        <f>IF(A330="","",IFERROR(INDEX(art_loc,MATCH(A330,art_ref,0))&amp;"",""))</f>
        <v/>
      </c>
      <c r="E330" s="39" t="str">
        <f>IF(A330="","",IFERROR(ROUND(N(INDEX(art_init,MATCH(A330,art_ref,0)))+SUMIFS(mv_qty,mv_ref,A330,mv_type,"Entrée",mv_date,"&lt;="&amp;$G$1)-SUMIFS(mv_qty,mv_ref,A330,mv_type,"Sortie",mv_date,"&lt;="&amp;$G$1),6),""))</f>
        <v/>
      </c>
      <c r="F330" s="37" t="n"/>
      <c r="G330" s="39" t="str">
        <f>IF(OR(A330="",F330="",E330=""),"",ROUND(F330-E330,6))</f>
        <v/>
      </c>
      <c r="H330" s="40" t="str">
        <f>IF(G330="","",G330*IFERROR(N(INDEX(art_price,MATCH(A330,art_ref,0))),0))</f>
        <v/>
      </c>
      <c r="I330" s="39" t="str">
        <f>IF(A330="","",IF(E330="","Référence inconnue",IF(F330="","À compter",IF(G330&gt;0,"Saisir une entrée de "&amp;G330,IF(G330&lt;0,"Saisir une sortie de "&amp;-G330,"Conforme")))))</f>
        <v/>
      </c>
    </row>
    <row r="331">
      <c r="A331" s="37" t="n"/>
      <c r="B331" s="39" t="str">
        <f>IF(A331="","",IFERROR(INDEX(art_des,MATCH(A331,art_ref,0))&amp;"","Référence inconnue"))</f>
        <v/>
      </c>
      <c r="C331" s="39" t="str">
        <f>IF(A331="","",IFERROR(INDEX(art_unit,MATCH(A331,art_ref,0))&amp;"",""))</f>
        <v/>
      </c>
      <c r="D331" s="39" t="str">
        <f>IF(A331="","",IFERROR(INDEX(art_loc,MATCH(A331,art_ref,0))&amp;"",""))</f>
        <v/>
      </c>
      <c r="E331" s="39" t="str">
        <f>IF(A331="","",IFERROR(ROUND(N(INDEX(art_init,MATCH(A331,art_ref,0)))+SUMIFS(mv_qty,mv_ref,A331,mv_type,"Entrée",mv_date,"&lt;="&amp;$G$1)-SUMIFS(mv_qty,mv_ref,A331,mv_type,"Sortie",mv_date,"&lt;="&amp;$G$1),6),""))</f>
        <v/>
      </c>
      <c r="F331" s="37" t="n"/>
      <c r="G331" s="39" t="str">
        <f>IF(OR(A331="",F331="",E331=""),"",ROUND(F331-E331,6))</f>
        <v/>
      </c>
      <c r="H331" s="40" t="str">
        <f>IF(G331="","",G331*IFERROR(N(INDEX(art_price,MATCH(A331,art_ref,0))),0))</f>
        <v/>
      </c>
      <c r="I331" s="39" t="str">
        <f>IF(A331="","",IF(E331="","Référence inconnue",IF(F331="","À compter",IF(G331&gt;0,"Saisir une entrée de "&amp;G331,IF(G331&lt;0,"Saisir une sortie de "&amp;-G331,"Conforme")))))</f>
        <v/>
      </c>
    </row>
    <row r="332">
      <c r="A332" s="37" t="n"/>
      <c r="B332" s="39" t="str">
        <f>IF(A332="","",IFERROR(INDEX(art_des,MATCH(A332,art_ref,0))&amp;"","Référence inconnue"))</f>
        <v/>
      </c>
      <c r="C332" s="39" t="str">
        <f>IF(A332="","",IFERROR(INDEX(art_unit,MATCH(A332,art_ref,0))&amp;"",""))</f>
        <v/>
      </c>
      <c r="D332" s="39" t="str">
        <f>IF(A332="","",IFERROR(INDEX(art_loc,MATCH(A332,art_ref,0))&amp;"",""))</f>
        <v/>
      </c>
      <c r="E332" s="39" t="str">
        <f>IF(A332="","",IFERROR(ROUND(N(INDEX(art_init,MATCH(A332,art_ref,0)))+SUMIFS(mv_qty,mv_ref,A332,mv_type,"Entrée",mv_date,"&lt;="&amp;$G$1)-SUMIFS(mv_qty,mv_ref,A332,mv_type,"Sortie",mv_date,"&lt;="&amp;$G$1),6),""))</f>
        <v/>
      </c>
      <c r="F332" s="37" t="n"/>
      <c r="G332" s="39" t="str">
        <f>IF(OR(A332="",F332="",E332=""),"",ROUND(F332-E332,6))</f>
        <v/>
      </c>
      <c r="H332" s="40" t="str">
        <f>IF(G332="","",G332*IFERROR(N(INDEX(art_price,MATCH(A332,art_ref,0))),0))</f>
        <v/>
      </c>
      <c r="I332" s="39" t="str">
        <f>IF(A332="","",IF(E332="","Référence inconnue",IF(F332="","À compter",IF(G332&gt;0,"Saisir une entrée de "&amp;G332,IF(G332&lt;0,"Saisir une sortie de "&amp;-G332,"Conforme")))))</f>
        <v/>
      </c>
    </row>
    <row r="333">
      <c r="A333" s="37" t="n"/>
      <c r="B333" s="39" t="str">
        <f>IF(A333="","",IFERROR(INDEX(art_des,MATCH(A333,art_ref,0))&amp;"","Référence inconnue"))</f>
        <v/>
      </c>
      <c r="C333" s="39" t="str">
        <f>IF(A333="","",IFERROR(INDEX(art_unit,MATCH(A333,art_ref,0))&amp;"",""))</f>
        <v/>
      </c>
      <c r="D333" s="39" t="str">
        <f>IF(A333="","",IFERROR(INDEX(art_loc,MATCH(A333,art_ref,0))&amp;"",""))</f>
        <v/>
      </c>
      <c r="E333" s="39" t="str">
        <f>IF(A333="","",IFERROR(ROUND(N(INDEX(art_init,MATCH(A333,art_ref,0)))+SUMIFS(mv_qty,mv_ref,A333,mv_type,"Entrée",mv_date,"&lt;="&amp;$G$1)-SUMIFS(mv_qty,mv_ref,A333,mv_type,"Sortie",mv_date,"&lt;="&amp;$G$1),6),""))</f>
        <v/>
      </c>
      <c r="F333" s="37" t="n"/>
      <c r="G333" s="39" t="str">
        <f>IF(OR(A333="",F333="",E333=""),"",ROUND(F333-E333,6))</f>
        <v/>
      </c>
      <c r="H333" s="40" t="str">
        <f>IF(G333="","",G333*IFERROR(N(INDEX(art_price,MATCH(A333,art_ref,0))),0))</f>
        <v/>
      </c>
      <c r="I333" s="39" t="str">
        <f>IF(A333="","",IF(E333="","Référence inconnue",IF(F333="","À compter",IF(G333&gt;0,"Saisir une entrée de "&amp;G333,IF(G333&lt;0,"Saisir une sortie de "&amp;-G333,"Conforme")))))</f>
        <v/>
      </c>
    </row>
    <row r="334">
      <c r="A334" s="37" t="n"/>
      <c r="B334" s="39" t="str">
        <f>IF(A334="","",IFERROR(INDEX(art_des,MATCH(A334,art_ref,0))&amp;"","Référence inconnue"))</f>
        <v/>
      </c>
      <c r="C334" s="39" t="str">
        <f>IF(A334="","",IFERROR(INDEX(art_unit,MATCH(A334,art_ref,0))&amp;"",""))</f>
        <v/>
      </c>
      <c r="D334" s="39" t="str">
        <f>IF(A334="","",IFERROR(INDEX(art_loc,MATCH(A334,art_ref,0))&amp;"",""))</f>
        <v/>
      </c>
      <c r="E334" s="39" t="str">
        <f>IF(A334="","",IFERROR(ROUND(N(INDEX(art_init,MATCH(A334,art_ref,0)))+SUMIFS(mv_qty,mv_ref,A334,mv_type,"Entrée",mv_date,"&lt;="&amp;$G$1)-SUMIFS(mv_qty,mv_ref,A334,mv_type,"Sortie",mv_date,"&lt;="&amp;$G$1),6),""))</f>
        <v/>
      </c>
      <c r="F334" s="37" t="n"/>
      <c r="G334" s="39" t="str">
        <f>IF(OR(A334="",F334="",E334=""),"",ROUND(F334-E334,6))</f>
        <v/>
      </c>
      <c r="H334" s="40" t="str">
        <f>IF(G334="","",G334*IFERROR(N(INDEX(art_price,MATCH(A334,art_ref,0))),0))</f>
        <v/>
      </c>
      <c r="I334" s="39" t="str">
        <f>IF(A334="","",IF(E334="","Référence inconnue",IF(F334="","À compter",IF(G334&gt;0,"Saisir une entrée de "&amp;G334,IF(G334&lt;0,"Saisir une sortie de "&amp;-G334,"Conforme")))))</f>
        <v/>
      </c>
    </row>
    <row r="335">
      <c r="A335" s="37" t="n"/>
      <c r="B335" s="39" t="str">
        <f>IF(A335="","",IFERROR(INDEX(art_des,MATCH(A335,art_ref,0))&amp;"","Référence inconnue"))</f>
        <v/>
      </c>
      <c r="C335" s="39" t="str">
        <f>IF(A335="","",IFERROR(INDEX(art_unit,MATCH(A335,art_ref,0))&amp;"",""))</f>
        <v/>
      </c>
      <c r="D335" s="39" t="str">
        <f>IF(A335="","",IFERROR(INDEX(art_loc,MATCH(A335,art_ref,0))&amp;"",""))</f>
        <v/>
      </c>
      <c r="E335" s="39" t="str">
        <f>IF(A335="","",IFERROR(ROUND(N(INDEX(art_init,MATCH(A335,art_ref,0)))+SUMIFS(mv_qty,mv_ref,A335,mv_type,"Entrée",mv_date,"&lt;="&amp;$G$1)-SUMIFS(mv_qty,mv_ref,A335,mv_type,"Sortie",mv_date,"&lt;="&amp;$G$1),6),""))</f>
        <v/>
      </c>
      <c r="F335" s="37" t="n"/>
      <c r="G335" s="39" t="str">
        <f>IF(OR(A335="",F335="",E335=""),"",ROUND(F335-E335,6))</f>
        <v/>
      </c>
      <c r="H335" s="40" t="str">
        <f>IF(G335="","",G335*IFERROR(N(INDEX(art_price,MATCH(A335,art_ref,0))),0))</f>
        <v/>
      </c>
      <c r="I335" s="39" t="str">
        <f>IF(A335="","",IF(E335="","Référence inconnue",IF(F335="","À compter",IF(G335&gt;0,"Saisir une entrée de "&amp;G335,IF(G335&lt;0,"Saisir une sortie de "&amp;-G335,"Conforme")))))</f>
        <v/>
      </c>
    </row>
    <row r="336">
      <c r="A336" s="37" t="n"/>
      <c r="B336" s="39" t="str">
        <f>IF(A336="","",IFERROR(INDEX(art_des,MATCH(A336,art_ref,0))&amp;"","Référence inconnue"))</f>
        <v/>
      </c>
      <c r="C336" s="39" t="str">
        <f>IF(A336="","",IFERROR(INDEX(art_unit,MATCH(A336,art_ref,0))&amp;"",""))</f>
        <v/>
      </c>
      <c r="D336" s="39" t="str">
        <f>IF(A336="","",IFERROR(INDEX(art_loc,MATCH(A336,art_ref,0))&amp;"",""))</f>
        <v/>
      </c>
      <c r="E336" s="39" t="str">
        <f>IF(A336="","",IFERROR(ROUND(N(INDEX(art_init,MATCH(A336,art_ref,0)))+SUMIFS(mv_qty,mv_ref,A336,mv_type,"Entrée",mv_date,"&lt;="&amp;$G$1)-SUMIFS(mv_qty,mv_ref,A336,mv_type,"Sortie",mv_date,"&lt;="&amp;$G$1),6),""))</f>
        <v/>
      </c>
      <c r="F336" s="37" t="n"/>
      <c r="G336" s="39" t="str">
        <f>IF(OR(A336="",F336="",E336=""),"",ROUND(F336-E336,6))</f>
        <v/>
      </c>
      <c r="H336" s="40" t="str">
        <f>IF(G336="","",G336*IFERROR(N(INDEX(art_price,MATCH(A336,art_ref,0))),0))</f>
        <v/>
      </c>
      <c r="I336" s="39" t="str">
        <f>IF(A336="","",IF(E336="","Référence inconnue",IF(F336="","À compter",IF(G336&gt;0,"Saisir une entrée de "&amp;G336,IF(G336&lt;0,"Saisir une sortie de "&amp;-G336,"Conforme")))))</f>
        <v/>
      </c>
    </row>
    <row r="337">
      <c r="A337" s="37" t="n"/>
      <c r="B337" s="39" t="str">
        <f>IF(A337="","",IFERROR(INDEX(art_des,MATCH(A337,art_ref,0))&amp;"","Référence inconnue"))</f>
        <v/>
      </c>
      <c r="C337" s="39" t="str">
        <f>IF(A337="","",IFERROR(INDEX(art_unit,MATCH(A337,art_ref,0))&amp;"",""))</f>
        <v/>
      </c>
      <c r="D337" s="39" t="str">
        <f>IF(A337="","",IFERROR(INDEX(art_loc,MATCH(A337,art_ref,0))&amp;"",""))</f>
        <v/>
      </c>
      <c r="E337" s="39" t="str">
        <f>IF(A337="","",IFERROR(ROUND(N(INDEX(art_init,MATCH(A337,art_ref,0)))+SUMIFS(mv_qty,mv_ref,A337,mv_type,"Entrée",mv_date,"&lt;="&amp;$G$1)-SUMIFS(mv_qty,mv_ref,A337,mv_type,"Sortie",mv_date,"&lt;="&amp;$G$1),6),""))</f>
        <v/>
      </c>
      <c r="F337" s="37" t="n"/>
      <c r="G337" s="39" t="str">
        <f>IF(OR(A337="",F337="",E337=""),"",ROUND(F337-E337,6))</f>
        <v/>
      </c>
      <c r="H337" s="40" t="str">
        <f>IF(G337="","",G337*IFERROR(N(INDEX(art_price,MATCH(A337,art_ref,0))),0))</f>
        <v/>
      </c>
      <c r="I337" s="39" t="str">
        <f>IF(A337="","",IF(E337="","Référence inconnue",IF(F337="","À compter",IF(G337&gt;0,"Saisir une entrée de "&amp;G337,IF(G337&lt;0,"Saisir une sortie de "&amp;-G337,"Conforme")))))</f>
        <v/>
      </c>
    </row>
    <row r="338">
      <c r="A338" s="37" t="n"/>
      <c r="B338" s="39" t="str">
        <f>IF(A338="","",IFERROR(INDEX(art_des,MATCH(A338,art_ref,0))&amp;"","Référence inconnue"))</f>
        <v/>
      </c>
      <c r="C338" s="39" t="str">
        <f>IF(A338="","",IFERROR(INDEX(art_unit,MATCH(A338,art_ref,0))&amp;"",""))</f>
        <v/>
      </c>
      <c r="D338" s="39" t="str">
        <f>IF(A338="","",IFERROR(INDEX(art_loc,MATCH(A338,art_ref,0))&amp;"",""))</f>
        <v/>
      </c>
      <c r="E338" s="39" t="str">
        <f>IF(A338="","",IFERROR(ROUND(N(INDEX(art_init,MATCH(A338,art_ref,0)))+SUMIFS(mv_qty,mv_ref,A338,mv_type,"Entrée",mv_date,"&lt;="&amp;$G$1)-SUMIFS(mv_qty,mv_ref,A338,mv_type,"Sortie",mv_date,"&lt;="&amp;$G$1),6),""))</f>
        <v/>
      </c>
      <c r="F338" s="37" t="n"/>
      <c r="G338" s="39" t="str">
        <f>IF(OR(A338="",F338="",E338=""),"",ROUND(F338-E338,6))</f>
        <v/>
      </c>
      <c r="H338" s="40" t="str">
        <f>IF(G338="","",G338*IFERROR(N(INDEX(art_price,MATCH(A338,art_ref,0))),0))</f>
        <v/>
      </c>
      <c r="I338" s="39" t="str">
        <f>IF(A338="","",IF(E338="","Référence inconnue",IF(F338="","À compter",IF(G338&gt;0,"Saisir une entrée de "&amp;G338,IF(G338&lt;0,"Saisir une sortie de "&amp;-G338,"Conforme")))))</f>
        <v/>
      </c>
    </row>
    <row r="339">
      <c r="A339" s="37" t="n"/>
      <c r="B339" s="39" t="str">
        <f>IF(A339="","",IFERROR(INDEX(art_des,MATCH(A339,art_ref,0))&amp;"","Référence inconnue"))</f>
        <v/>
      </c>
      <c r="C339" s="39" t="str">
        <f>IF(A339="","",IFERROR(INDEX(art_unit,MATCH(A339,art_ref,0))&amp;"",""))</f>
        <v/>
      </c>
      <c r="D339" s="39" t="str">
        <f>IF(A339="","",IFERROR(INDEX(art_loc,MATCH(A339,art_ref,0))&amp;"",""))</f>
        <v/>
      </c>
      <c r="E339" s="39" t="str">
        <f>IF(A339="","",IFERROR(ROUND(N(INDEX(art_init,MATCH(A339,art_ref,0)))+SUMIFS(mv_qty,mv_ref,A339,mv_type,"Entrée",mv_date,"&lt;="&amp;$G$1)-SUMIFS(mv_qty,mv_ref,A339,mv_type,"Sortie",mv_date,"&lt;="&amp;$G$1),6),""))</f>
        <v/>
      </c>
      <c r="F339" s="37" t="n"/>
      <c r="G339" s="39" t="str">
        <f>IF(OR(A339="",F339="",E339=""),"",ROUND(F339-E339,6))</f>
        <v/>
      </c>
      <c r="H339" s="40" t="str">
        <f>IF(G339="","",G339*IFERROR(N(INDEX(art_price,MATCH(A339,art_ref,0))),0))</f>
        <v/>
      </c>
      <c r="I339" s="39" t="str">
        <f>IF(A339="","",IF(E339="","Référence inconnue",IF(F339="","À compter",IF(G339&gt;0,"Saisir une entrée de "&amp;G339,IF(G339&lt;0,"Saisir une sortie de "&amp;-G339,"Conforme")))))</f>
        <v/>
      </c>
    </row>
    <row r="340">
      <c r="A340" s="37" t="n"/>
      <c r="B340" s="39" t="str">
        <f>IF(A340="","",IFERROR(INDEX(art_des,MATCH(A340,art_ref,0))&amp;"","Référence inconnue"))</f>
        <v/>
      </c>
      <c r="C340" s="39" t="str">
        <f>IF(A340="","",IFERROR(INDEX(art_unit,MATCH(A340,art_ref,0))&amp;"",""))</f>
        <v/>
      </c>
      <c r="D340" s="39" t="str">
        <f>IF(A340="","",IFERROR(INDEX(art_loc,MATCH(A340,art_ref,0))&amp;"",""))</f>
        <v/>
      </c>
      <c r="E340" s="39" t="str">
        <f>IF(A340="","",IFERROR(ROUND(N(INDEX(art_init,MATCH(A340,art_ref,0)))+SUMIFS(mv_qty,mv_ref,A340,mv_type,"Entrée",mv_date,"&lt;="&amp;$G$1)-SUMIFS(mv_qty,mv_ref,A340,mv_type,"Sortie",mv_date,"&lt;="&amp;$G$1),6),""))</f>
        <v/>
      </c>
      <c r="F340" s="37" t="n"/>
      <c r="G340" s="39" t="str">
        <f>IF(OR(A340="",F340="",E340=""),"",ROUND(F340-E340,6))</f>
        <v/>
      </c>
      <c r="H340" s="40" t="str">
        <f>IF(G340="","",G340*IFERROR(N(INDEX(art_price,MATCH(A340,art_ref,0))),0))</f>
        <v/>
      </c>
      <c r="I340" s="39" t="str">
        <f>IF(A340="","",IF(E340="","Référence inconnue",IF(F340="","À compter",IF(G340&gt;0,"Saisir une entrée de "&amp;G340,IF(G340&lt;0,"Saisir une sortie de "&amp;-G340,"Conforme")))))</f>
        <v/>
      </c>
    </row>
    <row r="341">
      <c r="A341" s="37" t="n"/>
      <c r="B341" s="39" t="str">
        <f>IF(A341="","",IFERROR(INDEX(art_des,MATCH(A341,art_ref,0))&amp;"","Référence inconnue"))</f>
        <v/>
      </c>
      <c r="C341" s="39" t="str">
        <f>IF(A341="","",IFERROR(INDEX(art_unit,MATCH(A341,art_ref,0))&amp;"",""))</f>
        <v/>
      </c>
      <c r="D341" s="39" t="str">
        <f>IF(A341="","",IFERROR(INDEX(art_loc,MATCH(A341,art_ref,0))&amp;"",""))</f>
        <v/>
      </c>
      <c r="E341" s="39" t="str">
        <f>IF(A341="","",IFERROR(ROUND(N(INDEX(art_init,MATCH(A341,art_ref,0)))+SUMIFS(mv_qty,mv_ref,A341,mv_type,"Entrée",mv_date,"&lt;="&amp;$G$1)-SUMIFS(mv_qty,mv_ref,A341,mv_type,"Sortie",mv_date,"&lt;="&amp;$G$1),6),""))</f>
        <v/>
      </c>
      <c r="F341" s="37" t="n"/>
      <c r="G341" s="39" t="str">
        <f>IF(OR(A341="",F341="",E341=""),"",ROUND(F341-E341,6))</f>
        <v/>
      </c>
      <c r="H341" s="40" t="str">
        <f>IF(G341="","",G341*IFERROR(N(INDEX(art_price,MATCH(A341,art_ref,0))),0))</f>
        <v/>
      </c>
      <c r="I341" s="39" t="str">
        <f>IF(A341="","",IF(E341="","Référence inconnue",IF(F341="","À compter",IF(G341&gt;0,"Saisir une entrée de "&amp;G341,IF(G341&lt;0,"Saisir une sortie de "&amp;-G341,"Conforme")))))</f>
        <v/>
      </c>
    </row>
    <row r="342">
      <c r="A342" s="37" t="n"/>
      <c r="B342" s="39" t="str">
        <f>IF(A342="","",IFERROR(INDEX(art_des,MATCH(A342,art_ref,0))&amp;"","Référence inconnue"))</f>
        <v/>
      </c>
      <c r="C342" s="39" t="str">
        <f>IF(A342="","",IFERROR(INDEX(art_unit,MATCH(A342,art_ref,0))&amp;"",""))</f>
        <v/>
      </c>
      <c r="D342" s="39" t="str">
        <f>IF(A342="","",IFERROR(INDEX(art_loc,MATCH(A342,art_ref,0))&amp;"",""))</f>
        <v/>
      </c>
      <c r="E342" s="39" t="str">
        <f>IF(A342="","",IFERROR(ROUND(N(INDEX(art_init,MATCH(A342,art_ref,0)))+SUMIFS(mv_qty,mv_ref,A342,mv_type,"Entrée",mv_date,"&lt;="&amp;$G$1)-SUMIFS(mv_qty,mv_ref,A342,mv_type,"Sortie",mv_date,"&lt;="&amp;$G$1),6),""))</f>
        <v/>
      </c>
      <c r="F342" s="37" t="n"/>
      <c r="G342" s="39" t="str">
        <f>IF(OR(A342="",F342="",E342=""),"",ROUND(F342-E342,6))</f>
        <v/>
      </c>
      <c r="H342" s="40" t="str">
        <f>IF(G342="","",G342*IFERROR(N(INDEX(art_price,MATCH(A342,art_ref,0))),0))</f>
        <v/>
      </c>
      <c r="I342" s="39" t="str">
        <f>IF(A342="","",IF(E342="","Référence inconnue",IF(F342="","À compter",IF(G342&gt;0,"Saisir une entrée de "&amp;G342,IF(G342&lt;0,"Saisir une sortie de "&amp;-G342,"Conforme")))))</f>
        <v/>
      </c>
    </row>
    <row r="343">
      <c r="A343" s="37" t="n"/>
      <c r="B343" s="39" t="str">
        <f>IF(A343="","",IFERROR(INDEX(art_des,MATCH(A343,art_ref,0))&amp;"","Référence inconnue"))</f>
        <v/>
      </c>
      <c r="C343" s="39" t="str">
        <f>IF(A343="","",IFERROR(INDEX(art_unit,MATCH(A343,art_ref,0))&amp;"",""))</f>
        <v/>
      </c>
      <c r="D343" s="39" t="str">
        <f>IF(A343="","",IFERROR(INDEX(art_loc,MATCH(A343,art_ref,0))&amp;"",""))</f>
        <v/>
      </c>
      <c r="E343" s="39" t="str">
        <f>IF(A343="","",IFERROR(ROUND(N(INDEX(art_init,MATCH(A343,art_ref,0)))+SUMIFS(mv_qty,mv_ref,A343,mv_type,"Entrée",mv_date,"&lt;="&amp;$G$1)-SUMIFS(mv_qty,mv_ref,A343,mv_type,"Sortie",mv_date,"&lt;="&amp;$G$1),6),""))</f>
        <v/>
      </c>
      <c r="F343" s="37" t="n"/>
      <c r="G343" s="39" t="str">
        <f>IF(OR(A343="",F343="",E343=""),"",ROUND(F343-E343,6))</f>
        <v/>
      </c>
      <c r="H343" s="40" t="str">
        <f>IF(G343="","",G343*IFERROR(N(INDEX(art_price,MATCH(A343,art_ref,0))),0))</f>
        <v/>
      </c>
      <c r="I343" s="39" t="str">
        <f>IF(A343="","",IF(E343="","Référence inconnue",IF(F343="","À compter",IF(G343&gt;0,"Saisir une entrée de "&amp;G343,IF(G343&lt;0,"Saisir une sortie de "&amp;-G343,"Conforme")))))</f>
        <v/>
      </c>
    </row>
    <row r="344">
      <c r="A344" s="37" t="n"/>
      <c r="B344" s="39" t="str">
        <f>IF(A344="","",IFERROR(INDEX(art_des,MATCH(A344,art_ref,0))&amp;"","Référence inconnue"))</f>
        <v/>
      </c>
      <c r="C344" s="39" t="str">
        <f>IF(A344="","",IFERROR(INDEX(art_unit,MATCH(A344,art_ref,0))&amp;"",""))</f>
        <v/>
      </c>
      <c r="D344" s="39" t="str">
        <f>IF(A344="","",IFERROR(INDEX(art_loc,MATCH(A344,art_ref,0))&amp;"",""))</f>
        <v/>
      </c>
      <c r="E344" s="39" t="str">
        <f>IF(A344="","",IFERROR(ROUND(N(INDEX(art_init,MATCH(A344,art_ref,0)))+SUMIFS(mv_qty,mv_ref,A344,mv_type,"Entrée",mv_date,"&lt;="&amp;$G$1)-SUMIFS(mv_qty,mv_ref,A344,mv_type,"Sortie",mv_date,"&lt;="&amp;$G$1),6),""))</f>
        <v/>
      </c>
      <c r="F344" s="37" t="n"/>
      <c r="G344" s="39" t="str">
        <f>IF(OR(A344="",F344="",E344=""),"",ROUND(F344-E344,6))</f>
        <v/>
      </c>
      <c r="H344" s="40" t="str">
        <f>IF(G344="","",G344*IFERROR(N(INDEX(art_price,MATCH(A344,art_ref,0))),0))</f>
        <v/>
      </c>
      <c r="I344" s="39" t="str">
        <f>IF(A344="","",IF(E344="","Référence inconnue",IF(F344="","À compter",IF(G344&gt;0,"Saisir une entrée de "&amp;G344,IF(G344&lt;0,"Saisir une sortie de "&amp;-G344,"Conforme")))))</f>
        <v/>
      </c>
    </row>
    <row r="345">
      <c r="A345" s="37" t="n"/>
      <c r="B345" s="39" t="str">
        <f>IF(A345="","",IFERROR(INDEX(art_des,MATCH(A345,art_ref,0))&amp;"","Référence inconnue"))</f>
        <v/>
      </c>
      <c r="C345" s="39" t="str">
        <f>IF(A345="","",IFERROR(INDEX(art_unit,MATCH(A345,art_ref,0))&amp;"",""))</f>
        <v/>
      </c>
      <c r="D345" s="39" t="str">
        <f>IF(A345="","",IFERROR(INDEX(art_loc,MATCH(A345,art_ref,0))&amp;"",""))</f>
        <v/>
      </c>
      <c r="E345" s="39" t="str">
        <f>IF(A345="","",IFERROR(ROUND(N(INDEX(art_init,MATCH(A345,art_ref,0)))+SUMIFS(mv_qty,mv_ref,A345,mv_type,"Entrée",mv_date,"&lt;="&amp;$G$1)-SUMIFS(mv_qty,mv_ref,A345,mv_type,"Sortie",mv_date,"&lt;="&amp;$G$1),6),""))</f>
        <v/>
      </c>
      <c r="F345" s="37" t="n"/>
      <c r="G345" s="39" t="str">
        <f>IF(OR(A345="",F345="",E345=""),"",ROUND(F345-E345,6))</f>
        <v/>
      </c>
      <c r="H345" s="40" t="str">
        <f>IF(G345="","",G345*IFERROR(N(INDEX(art_price,MATCH(A345,art_ref,0))),0))</f>
        <v/>
      </c>
      <c r="I345" s="39" t="str">
        <f>IF(A345="","",IF(E345="","Référence inconnue",IF(F345="","À compter",IF(G345&gt;0,"Saisir une entrée de "&amp;G345,IF(G345&lt;0,"Saisir une sortie de "&amp;-G345,"Conforme")))))</f>
        <v/>
      </c>
    </row>
    <row r="346">
      <c r="A346" s="37" t="n"/>
      <c r="B346" s="39" t="str">
        <f>IF(A346="","",IFERROR(INDEX(art_des,MATCH(A346,art_ref,0))&amp;"","Référence inconnue"))</f>
        <v/>
      </c>
      <c r="C346" s="39" t="str">
        <f>IF(A346="","",IFERROR(INDEX(art_unit,MATCH(A346,art_ref,0))&amp;"",""))</f>
        <v/>
      </c>
      <c r="D346" s="39" t="str">
        <f>IF(A346="","",IFERROR(INDEX(art_loc,MATCH(A346,art_ref,0))&amp;"",""))</f>
        <v/>
      </c>
      <c r="E346" s="39" t="str">
        <f>IF(A346="","",IFERROR(ROUND(N(INDEX(art_init,MATCH(A346,art_ref,0)))+SUMIFS(mv_qty,mv_ref,A346,mv_type,"Entrée",mv_date,"&lt;="&amp;$G$1)-SUMIFS(mv_qty,mv_ref,A346,mv_type,"Sortie",mv_date,"&lt;="&amp;$G$1),6),""))</f>
        <v/>
      </c>
      <c r="F346" s="37" t="n"/>
      <c r="G346" s="39" t="str">
        <f>IF(OR(A346="",F346="",E346=""),"",ROUND(F346-E346,6))</f>
        <v/>
      </c>
      <c r="H346" s="40" t="str">
        <f>IF(G346="","",G346*IFERROR(N(INDEX(art_price,MATCH(A346,art_ref,0))),0))</f>
        <v/>
      </c>
      <c r="I346" s="39" t="str">
        <f>IF(A346="","",IF(E346="","Référence inconnue",IF(F346="","À compter",IF(G346&gt;0,"Saisir une entrée de "&amp;G346,IF(G346&lt;0,"Saisir une sortie de "&amp;-G346,"Conforme")))))</f>
        <v/>
      </c>
    </row>
    <row r="347">
      <c r="A347" s="37" t="n"/>
      <c r="B347" s="39" t="str">
        <f>IF(A347="","",IFERROR(INDEX(art_des,MATCH(A347,art_ref,0))&amp;"","Référence inconnue"))</f>
        <v/>
      </c>
      <c r="C347" s="39" t="str">
        <f>IF(A347="","",IFERROR(INDEX(art_unit,MATCH(A347,art_ref,0))&amp;"",""))</f>
        <v/>
      </c>
      <c r="D347" s="39" t="str">
        <f>IF(A347="","",IFERROR(INDEX(art_loc,MATCH(A347,art_ref,0))&amp;"",""))</f>
        <v/>
      </c>
      <c r="E347" s="39" t="str">
        <f>IF(A347="","",IFERROR(ROUND(N(INDEX(art_init,MATCH(A347,art_ref,0)))+SUMIFS(mv_qty,mv_ref,A347,mv_type,"Entrée",mv_date,"&lt;="&amp;$G$1)-SUMIFS(mv_qty,mv_ref,A347,mv_type,"Sortie",mv_date,"&lt;="&amp;$G$1),6),""))</f>
        <v/>
      </c>
      <c r="F347" s="37" t="n"/>
      <c r="G347" s="39" t="str">
        <f>IF(OR(A347="",F347="",E347=""),"",ROUND(F347-E347,6))</f>
        <v/>
      </c>
      <c r="H347" s="40" t="str">
        <f>IF(G347="","",G347*IFERROR(N(INDEX(art_price,MATCH(A347,art_ref,0))),0))</f>
        <v/>
      </c>
      <c r="I347" s="39" t="str">
        <f>IF(A347="","",IF(E347="","Référence inconnue",IF(F347="","À compter",IF(G347&gt;0,"Saisir une entrée de "&amp;G347,IF(G347&lt;0,"Saisir une sortie de "&amp;-G347,"Conforme")))))</f>
        <v/>
      </c>
    </row>
    <row r="348">
      <c r="A348" s="37" t="n"/>
      <c r="B348" s="39" t="str">
        <f>IF(A348="","",IFERROR(INDEX(art_des,MATCH(A348,art_ref,0))&amp;"","Référence inconnue"))</f>
        <v/>
      </c>
      <c r="C348" s="39" t="str">
        <f>IF(A348="","",IFERROR(INDEX(art_unit,MATCH(A348,art_ref,0))&amp;"",""))</f>
        <v/>
      </c>
      <c r="D348" s="39" t="str">
        <f>IF(A348="","",IFERROR(INDEX(art_loc,MATCH(A348,art_ref,0))&amp;"",""))</f>
        <v/>
      </c>
      <c r="E348" s="39" t="str">
        <f>IF(A348="","",IFERROR(ROUND(N(INDEX(art_init,MATCH(A348,art_ref,0)))+SUMIFS(mv_qty,mv_ref,A348,mv_type,"Entrée",mv_date,"&lt;="&amp;$G$1)-SUMIFS(mv_qty,mv_ref,A348,mv_type,"Sortie",mv_date,"&lt;="&amp;$G$1),6),""))</f>
        <v/>
      </c>
      <c r="F348" s="37" t="n"/>
      <c r="G348" s="39" t="str">
        <f>IF(OR(A348="",F348="",E348=""),"",ROUND(F348-E348,6))</f>
        <v/>
      </c>
      <c r="H348" s="40" t="str">
        <f>IF(G348="","",G348*IFERROR(N(INDEX(art_price,MATCH(A348,art_ref,0))),0))</f>
        <v/>
      </c>
      <c r="I348" s="39" t="str">
        <f>IF(A348="","",IF(E348="","Référence inconnue",IF(F348="","À compter",IF(G348&gt;0,"Saisir une entrée de "&amp;G348,IF(G348&lt;0,"Saisir une sortie de "&amp;-G348,"Conforme")))))</f>
        <v/>
      </c>
    </row>
    <row r="349">
      <c r="A349" s="37" t="n"/>
      <c r="B349" s="39" t="str">
        <f>IF(A349="","",IFERROR(INDEX(art_des,MATCH(A349,art_ref,0))&amp;"","Référence inconnue"))</f>
        <v/>
      </c>
      <c r="C349" s="39" t="str">
        <f>IF(A349="","",IFERROR(INDEX(art_unit,MATCH(A349,art_ref,0))&amp;"",""))</f>
        <v/>
      </c>
      <c r="D349" s="39" t="str">
        <f>IF(A349="","",IFERROR(INDEX(art_loc,MATCH(A349,art_ref,0))&amp;"",""))</f>
        <v/>
      </c>
      <c r="E349" s="39" t="str">
        <f>IF(A349="","",IFERROR(ROUND(N(INDEX(art_init,MATCH(A349,art_ref,0)))+SUMIFS(mv_qty,mv_ref,A349,mv_type,"Entrée",mv_date,"&lt;="&amp;$G$1)-SUMIFS(mv_qty,mv_ref,A349,mv_type,"Sortie",mv_date,"&lt;="&amp;$G$1),6),""))</f>
        <v/>
      </c>
      <c r="F349" s="37" t="n"/>
      <c r="G349" s="39" t="str">
        <f>IF(OR(A349="",F349="",E349=""),"",ROUND(F349-E349,6))</f>
        <v/>
      </c>
      <c r="H349" s="40" t="str">
        <f>IF(G349="","",G349*IFERROR(N(INDEX(art_price,MATCH(A349,art_ref,0))),0))</f>
        <v/>
      </c>
      <c r="I349" s="39" t="str">
        <f>IF(A349="","",IF(E349="","Référence inconnue",IF(F349="","À compter",IF(G349&gt;0,"Saisir une entrée de "&amp;G349,IF(G349&lt;0,"Saisir une sortie de "&amp;-G349,"Conforme")))))</f>
        <v/>
      </c>
    </row>
    <row r="350">
      <c r="A350" s="37" t="n"/>
      <c r="B350" s="39" t="str">
        <f>IF(A350="","",IFERROR(INDEX(art_des,MATCH(A350,art_ref,0))&amp;"","Référence inconnue"))</f>
        <v/>
      </c>
      <c r="C350" s="39" t="str">
        <f>IF(A350="","",IFERROR(INDEX(art_unit,MATCH(A350,art_ref,0))&amp;"",""))</f>
        <v/>
      </c>
      <c r="D350" s="39" t="str">
        <f>IF(A350="","",IFERROR(INDEX(art_loc,MATCH(A350,art_ref,0))&amp;"",""))</f>
        <v/>
      </c>
      <c r="E350" s="39" t="str">
        <f>IF(A350="","",IFERROR(ROUND(N(INDEX(art_init,MATCH(A350,art_ref,0)))+SUMIFS(mv_qty,mv_ref,A350,mv_type,"Entrée",mv_date,"&lt;="&amp;$G$1)-SUMIFS(mv_qty,mv_ref,A350,mv_type,"Sortie",mv_date,"&lt;="&amp;$G$1),6),""))</f>
        <v/>
      </c>
      <c r="F350" s="37" t="n"/>
      <c r="G350" s="39" t="str">
        <f>IF(OR(A350="",F350="",E350=""),"",ROUND(F350-E350,6))</f>
        <v/>
      </c>
      <c r="H350" s="40" t="str">
        <f>IF(G350="","",G350*IFERROR(N(INDEX(art_price,MATCH(A350,art_ref,0))),0))</f>
        <v/>
      </c>
      <c r="I350" s="39" t="str">
        <f>IF(A350="","",IF(E350="","Référence inconnue",IF(F350="","À compter",IF(G350&gt;0,"Saisir une entrée de "&amp;G350,IF(G350&lt;0,"Saisir une sortie de "&amp;-G350,"Conforme")))))</f>
        <v/>
      </c>
    </row>
    <row r="351">
      <c r="A351" s="37" t="n"/>
      <c r="B351" s="39" t="str">
        <f>IF(A351="","",IFERROR(INDEX(art_des,MATCH(A351,art_ref,0))&amp;"","Référence inconnue"))</f>
        <v/>
      </c>
      <c r="C351" s="39" t="str">
        <f>IF(A351="","",IFERROR(INDEX(art_unit,MATCH(A351,art_ref,0))&amp;"",""))</f>
        <v/>
      </c>
      <c r="D351" s="39" t="str">
        <f>IF(A351="","",IFERROR(INDEX(art_loc,MATCH(A351,art_ref,0))&amp;"",""))</f>
        <v/>
      </c>
      <c r="E351" s="39" t="str">
        <f>IF(A351="","",IFERROR(ROUND(N(INDEX(art_init,MATCH(A351,art_ref,0)))+SUMIFS(mv_qty,mv_ref,A351,mv_type,"Entrée",mv_date,"&lt;="&amp;$G$1)-SUMIFS(mv_qty,mv_ref,A351,mv_type,"Sortie",mv_date,"&lt;="&amp;$G$1),6),""))</f>
        <v/>
      </c>
      <c r="F351" s="37" t="n"/>
      <c r="G351" s="39" t="str">
        <f>IF(OR(A351="",F351="",E351=""),"",ROUND(F351-E351,6))</f>
        <v/>
      </c>
      <c r="H351" s="40" t="str">
        <f>IF(G351="","",G351*IFERROR(N(INDEX(art_price,MATCH(A351,art_ref,0))),0))</f>
        <v/>
      </c>
      <c r="I351" s="39" t="str">
        <f>IF(A351="","",IF(E351="","Référence inconnue",IF(F351="","À compter",IF(G351&gt;0,"Saisir une entrée de "&amp;G351,IF(G351&lt;0,"Saisir une sortie de "&amp;-G351,"Conforme")))))</f>
        <v/>
      </c>
    </row>
    <row r="352">
      <c r="A352" s="37" t="n"/>
      <c r="B352" s="39" t="str">
        <f>IF(A352="","",IFERROR(INDEX(art_des,MATCH(A352,art_ref,0))&amp;"","Référence inconnue"))</f>
        <v/>
      </c>
      <c r="C352" s="39" t="str">
        <f>IF(A352="","",IFERROR(INDEX(art_unit,MATCH(A352,art_ref,0))&amp;"",""))</f>
        <v/>
      </c>
      <c r="D352" s="39" t="str">
        <f>IF(A352="","",IFERROR(INDEX(art_loc,MATCH(A352,art_ref,0))&amp;"",""))</f>
        <v/>
      </c>
      <c r="E352" s="39" t="str">
        <f>IF(A352="","",IFERROR(ROUND(N(INDEX(art_init,MATCH(A352,art_ref,0)))+SUMIFS(mv_qty,mv_ref,A352,mv_type,"Entrée",mv_date,"&lt;="&amp;$G$1)-SUMIFS(mv_qty,mv_ref,A352,mv_type,"Sortie",mv_date,"&lt;="&amp;$G$1),6),""))</f>
        <v/>
      </c>
      <c r="F352" s="37" t="n"/>
      <c r="G352" s="39" t="str">
        <f>IF(OR(A352="",F352="",E352=""),"",ROUND(F352-E352,6))</f>
        <v/>
      </c>
      <c r="H352" s="40" t="str">
        <f>IF(G352="","",G352*IFERROR(N(INDEX(art_price,MATCH(A352,art_ref,0))),0))</f>
        <v/>
      </c>
      <c r="I352" s="39" t="str">
        <f>IF(A352="","",IF(E352="","Référence inconnue",IF(F352="","À compter",IF(G352&gt;0,"Saisir une entrée de "&amp;G352,IF(G352&lt;0,"Saisir une sortie de "&amp;-G352,"Conforme")))))</f>
        <v/>
      </c>
    </row>
    <row r="353">
      <c r="A353" s="37" t="n"/>
      <c r="B353" s="39" t="str">
        <f>IF(A353="","",IFERROR(INDEX(art_des,MATCH(A353,art_ref,0))&amp;"","Référence inconnue"))</f>
        <v/>
      </c>
      <c r="C353" s="39" t="str">
        <f>IF(A353="","",IFERROR(INDEX(art_unit,MATCH(A353,art_ref,0))&amp;"",""))</f>
        <v/>
      </c>
      <c r="D353" s="39" t="str">
        <f>IF(A353="","",IFERROR(INDEX(art_loc,MATCH(A353,art_ref,0))&amp;"",""))</f>
        <v/>
      </c>
      <c r="E353" s="39" t="str">
        <f>IF(A353="","",IFERROR(ROUND(N(INDEX(art_init,MATCH(A353,art_ref,0)))+SUMIFS(mv_qty,mv_ref,A353,mv_type,"Entrée",mv_date,"&lt;="&amp;$G$1)-SUMIFS(mv_qty,mv_ref,A353,mv_type,"Sortie",mv_date,"&lt;="&amp;$G$1),6),""))</f>
        <v/>
      </c>
      <c r="F353" s="37" t="n"/>
      <c r="G353" s="39" t="str">
        <f>IF(OR(A353="",F353="",E353=""),"",ROUND(F353-E353,6))</f>
        <v/>
      </c>
      <c r="H353" s="40" t="str">
        <f>IF(G353="","",G353*IFERROR(N(INDEX(art_price,MATCH(A353,art_ref,0))),0))</f>
        <v/>
      </c>
      <c r="I353" s="39" t="str">
        <f>IF(A353="","",IF(E353="","Référence inconnue",IF(F353="","À compter",IF(G353&gt;0,"Saisir une entrée de "&amp;G353,IF(G353&lt;0,"Saisir une sortie de "&amp;-G353,"Conforme")))))</f>
        <v/>
      </c>
    </row>
    <row r="354">
      <c r="A354" s="37" t="n"/>
      <c r="B354" s="39" t="str">
        <f>IF(A354="","",IFERROR(INDEX(art_des,MATCH(A354,art_ref,0))&amp;"","Référence inconnue"))</f>
        <v/>
      </c>
      <c r="C354" s="39" t="str">
        <f>IF(A354="","",IFERROR(INDEX(art_unit,MATCH(A354,art_ref,0))&amp;"",""))</f>
        <v/>
      </c>
      <c r="D354" s="39" t="str">
        <f>IF(A354="","",IFERROR(INDEX(art_loc,MATCH(A354,art_ref,0))&amp;"",""))</f>
        <v/>
      </c>
      <c r="E354" s="39" t="str">
        <f>IF(A354="","",IFERROR(ROUND(N(INDEX(art_init,MATCH(A354,art_ref,0)))+SUMIFS(mv_qty,mv_ref,A354,mv_type,"Entrée",mv_date,"&lt;="&amp;$G$1)-SUMIFS(mv_qty,mv_ref,A354,mv_type,"Sortie",mv_date,"&lt;="&amp;$G$1),6),""))</f>
        <v/>
      </c>
      <c r="F354" s="37" t="n"/>
      <c r="G354" s="39" t="str">
        <f>IF(OR(A354="",F354="",E354=""),"",ROUND(F354-E354,6))</f>
        <v/>
      </c>
      <c r="H354" s="40" t="str">
        <f>IF(G354="","",G354*IFERROR(N(INDEX(art_price,MATCH(A354,art_ref,0))),0))</f>
        <v/>
      </c>
      <c r="I354" s="39" t="str">
        <f>IF(A354="","",IF(E354="","Référence inconnue",IF(F354="","À compter",IF(G354&gt;0,"Saisir une entrée de "&amp;G354,IF(G354&lt;0,"Saisir une sortie de "&amp;-G354,"Conforme")))))</f>
        <v/>
      </c>
    </row>
    <row r="355">
      <c r="A355" s="37" t="n"/>
      <c r="B355" s="39" t="str">
        <f>IF(A355="","",IFERROR(INDEX(art_des,MATCH(A355,art_ref,0))&amp;"","Référence inconnue"))</f>
        <v/>
      </c>
      <c r="C355" s="39" t="str">
        <f>IF(A355="","",IFERROR(INDEX(art_unit,MATCH(A355,art_ref,0))&amp;"",""))</f>
        <v/>
      </c>
      <c r="D355" s="39" t="str">
        <f>IF(A355="","",IFERROR(INDEX(art_loc,MATCH(A355,art_ref,0))&amp;"",""))</f>
        <v/>
      </c>
      <c r="E355" s="39" t="str">
        <f>IF(A355="","",IFERROR(ROUND(N(INDEX(art_init,MATCH(A355,art_ref,0)))+SUMIFS(mv_qty,mv_ref,A355,mv_type,"Entrée",mv_date,"&lt;="&amp;$G$1)-SUMIFS(mv_qty,mv_ref,A355,mv_type,"Sortie",mv_date,"&lt;="&amp;$G$1),6),""))</f>
        <v/>
      </c>
      <c r="F355" s="37" t="n"/>
      <c r="G355" s="39" t="str">
        <f>IF(OR(A355="",F355="",E355=""),"",ROUND(F355-E355,6))</f>
        <v/>
      </c>
      <c r="H355" s="40" t="str">
        <f>IF(G355="","",G355*IFERROR(N(INDEX(art_price,MATCH(A355,art_ref,0))),0))</f>
        <v/>
      </c>
      <c r="I355" s="39" t="str">
        <f>IF(A355="","",IF(E355="","Référence inconnue",IF(F355="","À compter",IF(G355&gt;0,"Saisir une entrée de "&amp;G355,IF(G355&lt;0,"Saisir une sortie de "&amp;-G355,"Conforme")))))</f>
        <v/>
      </c>
    </row>
    <row r="356">
      <c r="A356" s="37" t="n"/>
      <c r="B356" s="39" t="str">
        <f>IF(A356="","",IFERROR(INDEX(art_des,MATCH(A356,art_ref,0))&amp;"","Référence inconnue"))</f>
        <v/>
      </c>
      <c r="C356" s="39" t="str">
        <f>IF(A356="","",IFERROR(INDEX(art_unit,MATCH(A356,art_ref,0))&amp;"",""))</f>
        <v/>
      </c>
      <c r="D356" s="39" t="str">
        <f>IF(A356="","",IFERROR(INDEX(art_loc,MATCH(A356,art_ref,0))&amp;"",""))</f>
        <v/>
      </c>
      <c r="E356" s="39" t="str">
        <f>IF(A356="","",IFERROR(ROUND(N(INDEX(art_init,MATCH(A356,art_ref,0)))+SUMIFS(mv_qty,mv_ref,A356,mv_type,"Entrée",mv_date,"&lt;="&amp;$G$1)-SUMIFS(mv_qty,mv_ref,A356,mv_type,"Sortie",mv_date,"&lt;="&amp;$G$1),6),""))</f>
        <v/>
      </c>
      <c r="F356" s="37" t="n"/>
      <c r="G356" s="39" t="str">
        <f>IF(OR(A356="",F356="",E356=""),"",ROUND(F356-E356,6))</f>
        <v/>
      </c>
      <c r="H356" s="40" t="str">
        <f>IF(G356="","",G356*IFERROR(N(INDEX(art_price,MATCH(A356,art_ref,0))),0))</f>
        <v/>
      </c>
      <c r="I356" s="39" t="str">
        <f>IF(A356="","",IF(E356="","Référence inconnue",IF(F356="","À compter",IF(G356&gt;0,"Saisir une entrée de "&amp;G356,IF(G356&lt;0,"Saisir une sortie de "&amp;-G356,"Conforme")))))</f>
        <v/>
      </c>
    </row>
    <row r="357">
      <c r="A357" s="37" t="n"/>
      <c r="B357" s="39" t="str">
        <f>IF(A357="","",IFERROR(INDEX(art_des,MATCH(A357,art_ref,0))&amp;"","Référence inconnue"))</f>
        <v/>
      </c>
      <c r="C357" s="39" t="str">
        <f>IF(A357="","",IFERROR(INDEX(art_unit,MATCH(A357,art_ref,0))&amp;"",""))</f>
        <v/>
      </c>
      <c r="D357" s="39" t="str">
        <f>IF(A357="","",IFERROR(INDEX(art_loc,MATCH(A357,art_ref,0))&amp;"",""))</f>
        <v/>
      </c>
      <c r="E357" s="39" t="str">
        <f>IF(A357="","",IFERROR(ROUND(N(INDEX(art_init,MATCH(A357,art_ref,0)))+SUMIFS(mv_qty,mv_ref,A357,mv_type,"Entrée",mv_date,"&lt;="&amp;$G$1)-SUMIFS(mv_qty,mv_ref,A357,mv_type,"Sortie",mv_date,"&lt;="&amp;$G$1),6),""))</f>
        <v/>
      </c>
      <c r="F357" s="37" t="n"/>
      <c r="G357" s="39" t="str">
        <f>IF(OR(A357="",F357="",E357=""),"",ROUND(F357-E357,6))</f>
        <v/>
      </c>
      <c r="H357" s="40" t="str">
        <f>IF(G357="","",G357*IFERROR(N(INDEX(art_price,MATCH(A357,art_ref,0))),0))</f>
        <v/>
      </c>
      <c r="I357" s="39" t="str">
        <f>IF(A357="","",IF(E357="","Référence inconnue",IF(F357="","À compter",IF(G357&gt;0,"Saisir une entrée de "&amp;G357,IF(G357&lt;0,"Saisir une sortie de "&amp;-G357,"Conforme")))))</f>
        <v/>
      </c>
    </row>
    <row r="358">
      <c r="A358" s="37" t="n"/>
      <c r="B358" s="39" t="str">
        <f>IF(A358="","",IFERROR(INDEX(art_des,MATCH(A358,art_ref,0))&amp;"","Référence inconnue"))</f>
        <v/>
      </c>
      <c r="C358" s="39" t="str">
        <f>IF(A358="","",IFERROR(INDEX(art_unit,MATCH(A358,art_ref,0))&amp;"",""))</f>
        <v/>
      </c>
      <c r="D358" s="39" t="str">
        <f>IF(A358="","",IFERROR(INDEX(art_loc,MATCH(A358,art_ref,0))&amp;"",""))</f>
        <v/>
      </c>
      <c r="E358" s="39" t="str">
        <f>IF(A358="","",IFERROR(ROUND(N(INDEX(art_init,MATCH(A358,art_ref,0)))+SUMIFS(mv_qty,mv_ref,A358,mv_type,"Entrée",mv_date,"&lt;="&amp;$G$1)-SUMIFS(mv_qty,mv_ref,A358,mv_type,"Sortie",mv_date,"&lt;="&amp;$G$1),6),""))</f>
        <v/>
      </c>
      <c r="F358" s="37" t="n"/>
      <c r="G358" s="39" t="str">
        <f>IF(OR(A358="",F358="",E358=""),"",ROUND(F358-E358,6))</f>
        <v/>
      </c>
      <c r="H358" s="40" t="str">
        <f>IF(G358="","",G358*IFERROR(N(INDEX(art_price,MATCH(A358,art_ref,0))),0))</f>
        <v/>
      </c>
      <c r="I358" s="39" t="str">
        <f>IF(A358="","",IF(E358="","Référence inconnue",IF(F358="","À compter",IF(G358&gt;0,"Saisir une entrée de "&amp;G358,IF(G358&lt;0,"Saisir une sortie de "&amp;-G358,"Conforme")))))</f>
        <v/>
      </c>
    </row>
    <row r="359">
      <c r="A359" s="37" t="n"/>
      <c r="B359" s="39" t="str">
        <f>IF(A359="","",IFERROR(INDEX(art_des,MATCH(A359,art_ref,0))&amp;"","Référence inconnue"))</f>
        <v/>
      </c>
      <c r="C359" s="39" t="str">
        <f>IF(A359="","",IFERROR(INDEX(art_unit,MATCH(A359,art_ref,0))&amp;"",""))</f>
        <v/>
      </c>
      <c r="D359" s="39" t="str">
        <f>IF(A359="","",IFERROR(INDEX(art_loc,MATCH(A359,art_ref,0))&amp;"",""))</f>
        <v/>
      </c>
      <c r="E359" s="39" t="str">
        <f>IF(A359="","",IFERROR(ROUND(N(INDEX(art_init,MATCH(A359,art_ref,0)))+SUMIFS(mv_qty,mv_ref,A359,mv_type,"Entrée",mv_date,"&lt;="&amp;$G$1)-SUMIFS(mv_qty,mv_ref,A359,mv_type,"Sortie",mv_date,"&lt;="&amp;$G$1),6),""))</f>
        <v/>
      </c>
      <c r="F359" s="37" t="n"/>
      <c r="G359" s="39" t="str">
        <f>IF(OR(A359="",F359="",E359=""),"",ROUND(F359-E359,6))</f>
        <v/>
      </c>
      <c r="H359" s="40" t="str">
        <f>IF(G359="","",G359*IFERROR(N(INDEX(art_price,MATCH(A359,art_ref,0))),0))</f>
        <v/>
      </c>
      <c r="I359" s="39" t="str">
        <f>IF(A359="","",IF(E359="","Référence inconnue",IF(F359="","À compter",IF(G359&gt;0,"Saisir une entrée de "&amp;G359,IF(G359&lt;0,"Saisir une sortie de "&amp;-G359,"Conforme")))))</f>
        <v/>
      </c>
    </row>
    <row r="360">
      <c r="A360" s="37" t="n"/>
      <c r="B360" s="39" t="str">
        <f>IF(A360="","",IFERROR(INDEX(art_des,MATCH(A360,art_ref,0))&amp;"","Référence inconnue"))</f>
        <v/>
      </c>
      <c r="C360" s="39" t="str">
        <f>IF(A360="","",IFERROR(INDEX(art_unit,MATCH(A360,art_ref,0))&amp;"",""))</f>
        <v/>
      </c>
      <c r="D360" s="39" t="str">
        <f>IF(A360="","",IFERROR(INDEX(art_loc,MATCH(A360,art_ref,0))&amp;"",""))</f>
        <v/>
      </c>
      <c r="E360" s="39" t="str">
        <f>IF(A360="","",IFERROR(ROUND(N(INDEX(art_init,MATCH(A360,art_ref,0)))+SUMIFS(mv_qty,mv_ref,A360,mv_type,"Entrée",mv_date,"&lt;="&amp;$G$1)-SUMIFS(mv_qty,mv_ref,A360,mv_type,"Sortie",mv_date,"&lt;="&amp;$G$1),6),""))</f>
        <v/>
      </c>
      <c r="F360" s="37" t="n"/>
      <c r="G360" s="39" t="str">
        <f>IF(OR(A360="",F360="",E360=""),"",ROUND(F360-E360,6))</f>
        <v/>
      </c>
      <c r="H360" s="40" t="str">
        <f>IF(G360="","",G360*IFERROR(N(INDEX(art_price,MATCH(A360,art_ref,0))),0))</f>
        <v/>
      </c>
      <c r="I360" s="39" t="str">
        <f>IF(A360="","",IF(E360="","Référence inconnue",IF(F360="","À compter",IF(G360&gt;0,"Saisir une entrée de "&amp;G360,IF(G360&lt;0,"Saisir une sortie de "&amp;-G360,"Conforme")))))</f>
        <v/>
      </c>
    </row>
    <row r="361">
      <c r="A361" s="37" t="n"/>
      <c r="B361" s="39" t="str">
        <f>IF(A361="","",IFERROR(INDEX(art_des,MATCH(A361,art_ref,0))&amp;"","Référence inconnue"))</f>
        <v/>
      </c>
      <c r="C361" s="39" t="str">
        <f>IF(A361="","",IFERROR(INDEX(art_unit,MATCH(A361,art_ref,0))&amp;"",""))</f>
        <v/>
      </c>
      <c r="D361" s="39" t="str">
        <f>IF(A361="","",IFERROR(INDEX(art_loc,MATCH(A361,art_ref,0))&amp;"",""))</f>
        <v/>
      </c>
      <c r="E361" s="39" t="str">
        <f>IF(A361="","",IFERROR(ROUND(N(INDEX(art_init,MATCH(A361,art_ref,0)))+SUMIFS(mv_qty,mv_ref,A361,mv_type,"Entrée",mv_date,"&lt;="&amp;$G$1)-SUMIFS(mv_qty,mv_ref,A361,mv_type,"Sortie",mv_date,"&lt;="&amp;$G$1),6),""))</f>
        <v/>
      </c>
      <c r="F361" s="37" t="n"/>
      <c r="G361" s="39" t="str">
        <f>IF(OR(A361="",F361="",E361=""),"",ROUND(F361-E361,6))</f>
        <v/>
      </c>
      <c r="H361" s="40" t="str">
        <f>IF(G361="","",G361*IFERROR(N(INDEX(art_price,MATCH(A361,art_ref,0))),0))</f>
        <v/>
      </c>
      <c r="I361" s="39" t="str">
        <f>IF(A361="","",IF(E361="","Référence inconnue",IF(F361="","À compter",IF(G361&gt;0,"Saisir une entrée de "&amp;G361,IF(G361&lt;0,"Saisir une sortie de "&amp;-G361,"Conforme")))))</f>
        <v/>
      </c>
    </row>
    <row r="362">
      <c r="A362" s="37" t="n"/>
      <c r="B362" s="39" t="str">
        <f>IF(A362="","",IFERROR(INDEX(art_des,MATCH(A362,art_ref,0))&amp;"","Référence inconnue"))</f>
        <v/>
      </c>
      <c r="C362" s="39" t="str">
        <f>IF(A362="","",IFERROR(INDEX(art_unit,MATCH(A362,art_ref,0))&amp;"",""))</f>
        <v/>
      </c>
      <c r="D362" s="39" t="str">
        <f>IF(A362="","",IFERROR(INDEX(art_loc,MATCH(A362,art_ref,0))&amp;"",""))</f>
        <v/>
      </c>
      <c r="E362" s="39" t="str">
        <f>IF(A362="","",IFERROR(ROUND(N(INDEX(art_init,MATCH(A362,art_ref,0)))+SUMIFS(mv_qty,mv_ref,A362,mv_type,"Entrée",mv_date,"&lt;="&amp;$G$1)-SUMIFS(mv_qty,mv_ref,A362,mv_type,"Sortie",mv_date,"&lt;="&amp;$G$1),6),""))</f>
        <v/>
      </c>
      <c r="F362" s="37" t="n"/>
      <c r="G362" s="39" t="str">
        <f>IF(OR(A362="",F362="",E362=""),"",ROUND(F362-E362,6))</f>
        <v/>
      </c>
      <c r="H362" s="40" t="str">
        <f>IF(G362="","",G362*IFERROR(N(INDEX(art_price,MATCH(A362,art_ref,0))),0))</f>
        <v/>
      </c>
      <c r="I362" s="39" t="str">
        <f>IF(A362="","",IF(E362="","Référence inconnue",IF(F362="","À compter",IF(G362&gt;0,"Saisir une entrée de "&amp;G362,IF(G362&lt;0,"Saisir une sortie de "&amp;-G362,"Conforme")))))</f>
        <v/>
      </c>
    </row>
    <row r="363">
      <c r="A363" s="37" t="n"/>
      <c r="B363" s="39" t="str">
        <f>IF(A363="","",IFERROR(INDEX(art_des,MATCH(A363,art_ref,0))&amp;"","Référence inconnue"))</f>
        <v/>
      </c>
      <c r="C363" s="39" t="str">
        <f>IF(A363="","",IFERROR(INDEX(art_unit,MATCH(A363,art_ref,0))&amp;"",""))</f>
        <v/>
      </c>
      <c r="D363" s="39" t="str">
        <f>IF(A363="","",IFERROR(INDEX(art_loc,MATCH(A363,art_ref,0))&amp;"",""))</f>
        <v/>
      </c>
      <c r="E363" s="39" t="str">
        <f>IF(A363="","",IFERROR(ROUND(N(INDEX(art_init,MATCH(A363,art_ref,0)))+SUMIFS(mv_qty,mv_ref,A363,mv_type,"Entrée",mv_date,"&lt;="&amp;$G$1)-SUMIFS(mv_qty,mv_ref,A363,mv_type,"Sortie",mv_date,"&lt;="&amp;$G$1),6),""))</f>
        <v/>
      </c>
      <c r="F363" s="37" t="n"/>
      <c r="G363" s="39" t="str">
        <f>IF(OR(A363="",F363="",E363=""),"",ROUND(F363-E363,6))</f>
        <v/>
      </c>
      <c r="H363" s="40" t="str">
        <f>IF(G363="","",G363*IFERROR(N(INDEX(art_price,MATCH(A363,art_ref,0))),0))</f>
        <v/>
      </c>
      <c r="I363" s="39" t="str">
        <f>IF(A363="","",IF(E363="","Référence inconnue",IF(F363="","À compter",IF(G363&gt;0,"Saisir une entrée de "&amp;G363,IF(G363&lt;0,"Saisir une sortie de "&amp;-G363,"Conforme")))))</f>
        <v/>
      </c>
    </row>
    <row r="364">
      <c r="A364" s="37" t="n"/>
      <c r="B364" s="39" t="str">
        <f>IF(A364="","",IFERROR(INDEX(art_des,MATCH(A364,art_ref,0))&amp;"","Référence inconnue"))</f>
        <v/>
      </c>
      <c r="C364" s="39" t="str">
        <f>IF(A364="","",IFERROR(INDEX(art_unit,MATCH(A364,art_ref,0))&amp;"",""))</f>
        <v/>
      </c>
      <c r="D364" s="39" t="str">
        <f>IF(A364="","",IFERROR(INDEX(art_loc,MATCH(A364,art_ref,0))&amp;"",""))</f>
        <v/>
      </c>
      <c r="E364" s="39" t="str">
        <f>IF(A364="","",IFERROR(ROUND(N(INDEX(art_init,MATCH(A364,art_ref,0)))+SUMIFS(mv_qty,mv_ref,A364,mv_type,"Entrée",mv_date,"&lt;="&amp;$G$1)-SUMIFS(mv_qty,mv_ref,A364,mv_type,"Sortie",mv_date,"&lt;="&amp;$G$1),6),""))</f>
        <v/>
      </c>
      <c r="F364" s="37" t="n"/>
      <c r="G364" s="39" t="str">
        <f>IF(OR(A364="",F364="",E364=""),"",ROUND(F364-E364,6))</f>
        <v/>
      </c>
      <c r="H364" s="40" t="str">
        <f>IF(G364="","",G364*IFERROR(N(INDEX(art_price,MATCH(A364,art_ref,0))),0))</f>
        <v/>
      </c>
      <c r="I364" s="39" t="str">
        <f>IF(A364="","",IF(E364="","Référence inconnue",IF(F364="","À compter",IF(G364&gt;0,"Saisir une entrée de "&amp;G364,IF(G364&lt;0,"Saisir une sortie de "&amp;-G364,"Conforme")))))</f>
        <v/>
      </c>
    </row>
    <row r="365">
      <c r="A365" s="37" t="n"/>
      <c r="B365" s="39" t="str">
        <f>IF(A365="","",IFERROR(INDEX(art_des,MATCH(A365,art_ref,0))&amp;"","Référence inconnue"))</f>
        <v/>
      </c>
      <c r="C365" s="39" t="str">
        <f>IF(A365="","",IFERROR(INDEX(art_unit,MATCH(A365,art_ref,0))&amp;"",""))</f>
        <v/>
      </c>
      <c r="D365" s="39" t="str">
        <f>IF(A365="","",IFERROR(INDEX(art_loc,MATCH(A365,art_ref,0))&amp;"",""))</f>
        <v/>
      </c>
      <c r="E365" s="39" t="str">
        <f>IF(A365="","",IFERROR(ROUND(N(INDEX(art_init,MATCH(A365,art_ref,0)))+SUMIFS(mv_qty,mv_ref,A365,mv_type,"Entrée",mv_date,"&lt;="&amp;$G$1)-SUMIFS(mv_qty,mv_ref,A365,mv_type,"Sortie",mv_date,"&lt;="&amp;$G$1),6),""))</f>
        <v/>
      </c>
      <c r="F365" s="37" t="n"/>
      <c r="G365" s="39" t="str">
        <f>IF(OR(A365="",F365="",E365=""),"",ROUND(F365-E365,6))</f>
        <v/>
      </c>
      <c r="H365" s="40" t="str">
        <f>IF(G365="","",G365*IFERROR(N(INDEX(art_price,MATCH(A365,art_ref,0))),0))</f>
        <v/>
      </c>
      <c r="I365" s="39" t="str">
        <f>IF(A365="","",IF(E365="","Référence inconnue",IF(F365="","À compter",IF(G365&gt;0,"Saisir une entrée de "&amp;G365,IF(G365&lt;0,"Saisir une sortie de "&amp;-G365,"Conforme")))))</f>
        <v/>
      </c>
    </row>
    <row r="366">
      <c r="A366" s="37" t="n"/>
      <c r="B366" s="39" t="str">
        <f>IF(A366="","",IFERROR(INDEX(art_des,MATCH(A366,art_ref,0))&amp;"","Référence inconnue"))</f>
        <v/>
      </c>
      <c r="C366" s="39" t="str">
        <f>IF(A366="","",IFERROR(INDEX(art_unit,MATCH(A366,art_ref,0))&amp;"",""))</f>
        <v/>
      </c>
      <c r="D366" s="39" t="str">
        <f>IF(A366="","",IFERROR(INDEX(art_loc,MATCH(A366,art_ref,0))&amp;"",""))</f>
        <v/>
      </c>
      <c r="E366" s="39" t="str">
        <f>IF(A366="","",IFERROR(ROUND(N(INDEX(art_init,MATCH(A366,art_ref,0)))+SUMIFS(mv_qty,mv_ref,A366,mv_type,"Entrée",mv_date,"&lt;="&amp;$G$1)-SUMIFS(mv_qty,mv_ref,A366,mv_type,"Sortie",mv_date,"&lt;="&amp;$G$1),6),""))</f>
        <v/>
      </c>
      <c r="F366" s="37" t="n"/>
      <c r="G366" s="39" t="str">
        <f>IF(OR(A366="",F366="",E366=""),"",ROUND(F366-E366,6))</f>
        <v/>
      </c>
      <c r="H366" s="40" t="str">
        <f>IF(G366="","",G366*IFERROR(N(INDEX(art_price,MATCH(A366,art_ref,0))),0))</f>
        <v/>
      </c>
      <c r="I366" s="39" t="str">
        <f>IF(A366="","",IF(E366="","Référence inconnue",IF(F366="","À compter",IF(G366&gt;0,"Saisir une entrée de "&amp;G366,IF(G366&lt;0,"Saisir une sortie de "&amp;-G366,"Conforme")))))</f>
        <v/>
      </c>
    </row>
    <row r="367">
      <c r="A367" s="37" t="n"/>
      <c r="B367" s="39" t="str">
        <f>IF(A367="","",IFERROR(INDEX(art_des,MATCH(A367,art_ref,0))&amp;"","Référence inconnue"))</f>
        <v/>
      </c>
      <c r="C367" s="39" t="str">
        <f>IF(A367="","",IFERROR(INDEX(art_unit,MATCH(A367,art_ref,0))&amp;"",""))</f>
        <v/>
      </c>
      <c r="D367" s="39" t="str">
        <f>IF(A367="","",IFERROR(INDEX(art_loc,MATCH(A367,art_ref,0))&amp;"",""))</f>
        <v/>
      </c>
      <c r="E367" s="39" t="str">
        <f>IF(A367="","",IFERROR(ROUND(N(INDEX(art_init,MATCH(A367,art_ref,0)))+SUMIFS(mv_qty,mv_ref,A367,mv_type,"Entrée",mv_date,"&lt;="&amp;$G$1)-SUMIFS(mv_qty,mv_ref,A367,mv_type,"Sortie",mv_date,"&lt;="&amp;$G$1),6),""))</f>
        <v/>
      </c>
      <c r="F367" s="37" t="n"/>
      <c r="G367" s="39" t="str">
        <f>IF(OR(A367="",F367="",E367=""),"",ROUND(F367-E367,6))</f>
        <v/>
      </c>
      <c r="H367" s="40" t="str">
        <f>IF(G367="","",G367*IFERROR(N(INDEX(art_price,MATCH(A367,art_ref,0))),0))</f>
        <v/>
      </c>
      <c r="I367" s="39" t="str">
        <f>IF(A367="","",IF(E367="","Référence inconnue",IF(F367="","À compter",IF(G367&gt;0,"Saisir une entrée de "&amp;G367,IF(G367&lt;0,"Saisir une sortie de "&amp;-G367,"Conforme")))))</f>
        <v/>
      </c>
    </row>
    <row r="368">
      <c r="A368" s="37" t="n"/>
      <c r="B368" s="39" t="str">
        <f>IF(A368="","",IFERROR(INDEX(art_des,MATCH(A368,art_ref,0))&amp;"","Référence inconnue"))</f>
        <v/>
      </c>
      <c r="C368" s="39" t="str">
        <f>IF(A368="","",IFERROR(INDEX(art_unit,MATCH(A368,art_ref,0))&amp;"",""))</f>
        <v/>
      </c>
      <c r="D368" s="39" t="str">
        <f>IF(A368="","",IFERROR(INDEX(art_loc,MATCH(A368,art_ref,0))&amp;"",""))</f>
        <v/>
      </c>
      <c r="E368" s="39" t="str">
        <f>IF(A368="","",IFERROR(ROUND(N(INDEX(art_init,MATCH(A368,art_ref,0)))+SUMIFS(mv_qty,mv_ref,A368,mv_type,"Entrée",mv_date,"&lt;="&amp;$G$1)-SUMIFS(mv_qty,mv_ref,A368,mv_type,"Sortie",mv_date,"&lt;="&amp;$G$1),6),""))</f>
        <v/>
      </c>
      <c r="F368" s="37" t="n"/>
      <c r="G368" s="39" t="str">
        <f>IF(OR(A368="",F368="",E368=""),"",ROUND(F368-E368,6))</f>
        <v/>
      </c>
      <c r="H368" s="40" t="str">
        <f>IF(G368="","",G368*IFERROR(N(INDEX(art_price,MATCH(A368,art_ref,0))),0))</f>
        <v/>
      </c>
      <c r="I368" s="39" t="str">
        <f>IF(A368="","",IF(E368="","Référence inconnue",IF(F368="","À compter",IF(G368&gt;0,"Saisir une entrée de "&amp;G368,IF(G368&lt;0,"Saisir une sortie de "&amp;-G368,"Conforme")))))</f>
        <v/>
      </c>
    </row>
    <row r="369">
      <c r="A369" s="37" t="n"/>
      <c r="B369" s="39" t="str">
        <f>IF(A369="","",IFERROR(INDEX(art_des,MATCH(A369,art_ref,0))&amp;"","Référence inconnue"))</f>
        <v/>
      </c>
      <c r="C369" s="39" t="str">
        <f>IF(A369="","",IFERROR(INDEX(art_unit,MATCH(A369,art_ref,0))&amp;"",""))</f>
        <v/>
      </c>
      <c r="D369" s="39" t="str">
        <f>IF(A369="","",IFERROR(INDEX(art_loc,MATCH(A369,art_ref,0))&amp;"",""))</f>
        <v/>
      </c>
      <c r="E369" s="39" t="str">
        <f>IF(A369="","",IFERROR(ROUND(N(INDEX(art_init,MATCH(A369,art_ref,0)))+SUMIFS(mv_qty,mv_ref,A369,mv_type,"Entrée",mv_date,"&lt;="&amp;$G$1)-SUMIFS(mv_qty,mv_ref,A369,mv_type,"Sortie",mv_date,"&lt;="&amp;$G$1),6),""))</f>
        <v/>
      </c>
      <c r="F369" s="37" t="n"/>
      <c r="G369" s="39" t="str">
        <f>IF(OR(A369="",F369="",E369=""),"",ROUND(F369-E369,6))</f>
        <v/>
      </c>
      <c r="H369" s="40" t="str">
        <f>IF(G369="","",G369*IFERROR(N(INDEX(art_price,MATCH(A369,art_ref,0))),0))</f>
        <v/>
      </c>
      <c r="I369" s="39" t="str">
        <f>IF(A369="","",IF(E369="","Référence inconnue",IF(F369="","À compter",IF(G369&gt;0,"Saisir une entrée de "&amp;G369,IF(G369&lt;0,"Saisir une sortie de "&amp;-G369,"Conforme")))))</f>
        <v/>
      </c>
    </row>
    <row r="370">
      <c r="A370" s="37" t="n"/>
      <c r="B370" s="39" t="str">
        <f>IF(A370="","",IFERROR(INDEX(art_des,MATCH(A370,art_ref,0))&amp;"","Référence inconnue"))</f>
        <v/>
      </c>
      <c r="C370" s="39" t="str">
        <f>IF(A370="","",IFERROR(INDEX(art_unit,MATCH(A370,art_ref,0))&amp;"",""))</f>
        <v/>
      </c>
      <c r="D370" s="39" t="str">
        <f>IF(A370="","",IFERROR(INDEX(art_loc,MATCH(A370,art_ref,0))&amp;"",""))</f>
        <v/>
      </c>
      <c r="E370" s="39" t="str">
        <f>IF(A370="","",IFERROR(ROUND(N(INDEX(art_init,MATCH(A370,art_ref,0)))+SUMIFS(mv_qty,mv_ref,A370,mv_type,"Entrée",mv_date,"&lt;="&amp;$G$1)-SUMIFS(mv_qty,mv_ref,A370,mv_type,"Sortie",mv_date,"&lt;="&amp;$G$1),6),""))</f>
        <v/>
      </c>
      <c r="F370" s="37" t="n"/>
      <c r="G370" s="39" t="str">
        <f>IF(OR(A370="",F370="",E370=""),"",ROUND(F370-E370,6))</f>
        <v/>
      </c>
      <c r="H370" s="40" t="str">
        <f>IF(G370="","",G370*IFERROR(N(INDEX(art_price,MATCH(A370,art_ref,0))),0))</f>
        <v/>
      </c>
      <c r="I370" s="39" t="str">
        <f>IF(A370="","",IF(E370="","Référence inconnue",IF(F370="","À compter",IF(G370&gt;0,"Saisir une entrée de "&amp;G370,IF(G370&lt;0,"Saisir une sortie de "&amp;-G370,"Conforme")))))</f>
        <v/>
      </c>
    </row>
    <row r="371">
      <c r="A371" s="37" t="n"/>
      <c r="B371" s="39" t="str">
        <f>IF(A371="","",IFERROR(INDEX(art_des,MATCH(A371,art_ref,0))&amp;"","Référence inconnue"))</f>
        <v/>
      </c>
      <c r="C371" s="39" t="str">
        <f>IF(A371="","",IFERROR(INDEX(art_unit,MATCH(A371,art_ref,0))&amp;"",""))</f>
        <v/>
      </c>
      <c r="D371" s="39" t="str">
        <f>IF(A371="","",IFERROR(INDEX(art_loc,MATCH(A371,art_ref,0))&amp;"",""))</f>
        <v/>
      </c>
      <c r="E371" s="39" t="str">
        <f>IF(A371="","",IFERROR(ROUND(N(INDEX(art_init,MATCH(A371,art_ref,0)))+SUMIFS(mv_qty,mv_ref,A371,mv_type,"Entrée",mv_date,"&lt;="&amp;$G$1)-SUMIFS(mv_qty,mv_ref,A371,mv_type,"Sortie",mv_date,"&lt;="&amp;$G$1),6),""))</f>
        <v/>
      </c>
      <c r="F371" s="37" t="n"/>
      <c r="G371" s="39" t="str">
        <f>IF(OR(A371="",F371="",E371=""),"",ROUND(F371-E371,6))</f>
        <v/>
      </c>
      <c r="H371" s="40" t="str">
        <f>IF(G371="","",G371*IFERROR(N(INDEX(art_price,MATCH(A371,art_ref,0))),0))</f>
        <v/>
      </c>
      <c r="I371" s="39" t="str">
        <f>IF(A371="","",IF(E371="","Référence inconnue",IF(F371="","À compter",IF(G371&gt;0,"Saisir une entrée de "&amp;G371,IF(G371&lt;0,"Saisir une sortie de "&amp;-G371,"Conforme")))))</f>
        <v/>
      </c>
    </row>
    <row r="372">
      <c r="A372" s="37" t="n"/>
      <c r="B372" s="39" t="str">
        <f>IF(A372="","",IFERROR(INDEX(art_des,MATCH(A372,art_ref,0))&amp;"","Référence inconnue"))</f>
        <v/>
      </c>
      <c r="C372" s="39" t="str">
        <f>IF(A372="","",IFERROR(INDEX(art_unit,MATCH(A372,art_ref,0))&amp;"",""))</f>
        <v/>
      </c>
      <c r="D372" s="39" t="str">
        <f>IF(A372="","",IFERROR(INDEX(art_loc,MATCH(A372,art_ref,0))&amp;"",""))</f>
        <v/>
      </c>
      <c r="E372" s="39" t="str">
        <f>IF(A372="","",IFERROR(ROUND(N(INDEX(art_init,MATCH(A372,art_ref,0)))+SUMIFS(mv_qty,mv_ref,A372,mv_type,"Entrée",mv_date,"&lt;="&amp;$G$1)-SUMIFS(mv_qty,mv_ref,A372,mv_type,"Sortie",mv_date,"&lt;="&amp;$G$1),6),""))</f>
        <v/>
      </c>
      <c r="F372" s="37" t="n"/>
      <c r="G372" s="39" t="str">
        <f>IF(OR(A372="",F372="",E372=""),"",ROUND(F372-E372,6))</f>
        <v/>
      </c>
      <c r="H372" s="40" t="str">
        <f>IF(G372="","",G372*IFERROR(N(INDEX(art_price,MATCH(A372,art_ref,0))),0))</f>
        <v/>
      </c>
      <c r="I372" s="39" t="str">
        <f>IF(A372="","",IF(E372="","Référence inconnue",IF(F372="","À compter",IF(G372&gt;0,"Saisir une entrée de "&amp;G372,IF(G372&lt;0,"Saisir une sortie de "&amp;-G372,"Conforme")))))</f>
        <v/>
      </c>
    </row>
    <row r="373">
      <c r="A373" s="37" t="n"/>
      <c r="B373" s="39" t="str">
        <f>IF(A373="","",IFERROR(INDEX(art_des,MATCH(A373,art_ref,0))&amp;"","Référence inconnue"))</f>
        <v/>
      </c>
      <c r="C373" s="39" t="str">
        <f>IF(A373="","",IFERROR(INDEX(art_unit,MATCH(A373,art_ref,0))&amp;"",""))</f>
        <v/>
      </c>
      <c r="D373" s="39" t="str">
        <f>IF(A373="","",IFERROR(INDEX(art_loc,MATCH(A373,art_ref,0))&amp;"",""))</f>
        <v/>
      </c>
      <c r="E373" s="39" t="str">
        <f>IF(A373="","",IFERROR(ROUND(N(INDEX(art_init,MATCH(A373,art_ref,0)))+SUMIFS(mv_qty,mv_ref,A373,mv_type,"Entrée",mv_date,"&lt;="&amp;$G$1)-SUMIFS(mv_qty,mv_ref,A373,mv_type,"Sortie",mv_date,"&lt;="&amp;$G$1),6),""))</f>
        <v/>
      </c>
      <c r="F373" s="37" t="n"/>
      <c r="G373" s="39" t="str">
        <f>IF(OR(A373="",F373="",E373=""),"",ROUND(F373-E373,6))</f>
        <v/>
      </c>
      <c r="H373" s="40" t="str">
        <f>IF(G373="","",G373*IFERROR(N(INDEX(art_price,MATCH(A373,art_ref,0))),0))</f>
        <v/>
      </c>
      <c r="I373" s="39" t="str">
        <f>IF(A373="","",IF(E373="","Référence inconnue",IF(F373="","À compter",IF(G373&gt;0,"Saisir une entrée de "&amp;G373,IF(G373&lt;0,"Saisir une sortie de "&amp;-G373,"Conforme")))))</f>
        <v/>
      </c>
    </row>
    <row r="374">
      <c r="A374" s="37" t="n"/>
      <c r="B374" s="39" t="str">
        <f>IF(A374="","",IFERROR(INDEX(art_des,MATCH(A374,art_ref,0))&amp;"","Référence inconnue"))</f>
        <v/>
      </c>
      <c r="C374" s="39" t="str">
        <f>IF(A374="","",IFERROR(INDEX(art_unit,MATCH(A374,art_ref,0))&amp;"",""))</f>
        <v/>
      </c>
      <c r="D374" s="39" t="str">
        <f>IF(A374="","",IFERROR(INDEX(art_loc,MATCH(A374,art_ref,0))&amp;"",""))</f>
        <v/>
      </c>
      <c r="E374" s="39" t="str">
        <f>IF(A374="","",IFERROR(ROUND(N(INDEX(art_init,MATCH(A374,art_ref,0)))+SUMIFS(mv_qty,mv_ref,A374,mv_type,"Entrée",mv_date,"&lt;="&amp;$G$1)-SUMIFS(mv_qty,mv_ref,A374,mv_type,"Sortie",mv_date,"&lt;="&amp;$G$1),6),""))</f>
        <v/>
      </c>
      <c r="F374" s="37" t="n"/>
      <c r="G374" s="39" t="str">
        <f>IF(OR(A374="",F374="",E374=""),"",ROUND(F374-E374,6))</f>
        <v/>
      </c>
      <c r="H374" s="40" t="str">
        <f>IF(G374="","",G374*IFERROR(N(INDEX(art_price,MATCH(A374,art_ref,0))),0))</f>
        <v/>
      </c>
      <c r="I374" s="39" t="str">
        <f>IF(A374="","",IF(E374="","Référence inconnue",IF(F374="","À compter",IF(G374&gt;0,"Saisir une entrée de "&amp;G374,IF(G374&lt;0,"Saisir une sortie de "&amp;-G374,"Conforme")))))</f>
        <v/>
      </c>
    </row>
    <row r="375">
      <c r="A375" s="37" t="n"/>
      <c r="B375" s="39" t="str">
        <f>IF(A375="","",IFERROR(INDEX(art_des,MATCH(A375,art_ref,0))&amp;"","Référence inconnue"))</f>
        <v/>
      </c>
      <c r="C375" s="39" t="str">
        <f>IF(A375="","",IFERROR(INDEX(art_unit,MATCH(A375,art_ref,0))&amp;"",""))</f>
        <v/>
      </c>
      <c r="D375" s="39" t="str">
        <f>IF(A375="","",IFERROR(INDEX(art_loc,MATCH(A375,art_ref,0))&amp;"",""))</f>
        <v/>
      </c>
      <c r="E375" s="39" t="str">
        <f>IF(A375="","",IFERROR(ROUND(N(INDEX(art_init,MATCH(A375,art_ref,0)))+SUMIFS(mv_qty,mv_ref,A375,mv_type,"Entrée",mv_date,"&lt;="&amp;$G$1)-SUMIFS(mv_qty,mv_ref,A375,mv_type,"Sortie",mv_date,"&lt;="&amp;$G$1),6),""))</f>
        <v/>
      </c>
      <c r="F375" s="37" t="n"/>
      <c r="G375" s="39" t="str">
        <f>IF(OR(A375="",F375="",E375=""),"",ROUND(F375-E375,6))</f>
        <v/>
      </c>
      <c r="H375" s="40" t="str">
        <f>IF(G375="","",G375*IFERROR(N(INDEX(art_price,MATCH(A375,art_ref,0))),0))</f>
        <v/>
      </c>
      <c r="I375" s="39" t="str">
        <f>IF(A375="","",IF(E375="","Référence inconnue",IF(F375="","À compter",IF(G375&gt;0,"Saisir une entrée de "&amp;G375,IF(G375&lt;0,"Saisir une sortie de "&amp;-G375,"Conforme")))))</f>
        <v/>
      </c>
    </row>
    <row r="376">
      <c r="A376" s="37" t="n"/>
      <c r="B376" s="39" t="str">
        <f>IF(A376="","",IFERROR(INDEX(art_des,MATCH(A376,art_ref,0))&amp;"","Référence inconnue"))</f>
        <v/>
      </c>
      <c r="C376" s="39" t="str">
        <f>IF(A376="","",IFERROR(INDEX(art_unit,MATCH(A376,art_ref,0))&amp;"",""))</f>
        <v/>
      </c>
      <c r="D376" s="39" t="str">
        <f>IF(A376="","",IFERROR(INDEX(art_loc,MATCH(A376,art_ref,0))&amp;"",""))</f>
        <v/>
      </c>
      <c r="E376" s="39" t="str">
        <f>IF(A376="","",IFERROR(ROUND(N(INDEX(art_init,MATCH(A376,art_ref,0)))+SUMIFS(mv_qty,mv_ref,A376,mv_type,"Entrée",mv_date,"&lt;="&amp;$G$1)-SUMIFS(mv_qty,mv_ref,A376,mv_type,"Sortie",mv_date,"&lt;="&amp;$G$1),6),""))</f>
        <v/>
      </c>
      <c r="F376" s="37" t="n"/>
      <c r="G376" s="39" t="str">
        <f>IF(OR(A376="",F376="",E376=""),"",ROUND(F376-E376,6))</f>
        <v/>
      </c>
      <c r="H376" s="40" t="str">
        <f>IF(G376="","",G376*IFERROR(N(INDEX(art_price,MATCH(A376,art_ref,0))),0))</f>
        <v/>
      </c>
      <c r="I376" s="39" t="str">
        <f>IF(A376="","",IF(E376="","Référence inconnue",IF(F376="","À compter",IF(G376&gt;0,"Saisir une entrée de "&amp;G376,IF(G376&lt;0,"Saisir une sortie de "&amp;-G376,"Conforme")))))</f>
        <v/>
      </c>
    </row>
    <row r="377">
      <c r="A377" s="37" t="n"/>
      <c r="B377" s="39" t="str">
        <f>IF(A377="","",IFERROR(INDEX(art_des,MATCH(A377,art_ref,0))&amp;"","Référence inconnue"))</f>
        <v/>
      </c>
      <c r="C377" s="39" t="str">
        <f>IF(A377="","",IFERROR(INDEX(art_unit,MATCH(A377,art_ref,0))&amp;"",""))</f>
        <v/>
      </c>
      <c r="D377" s="39" t="str">
        <f>IF(A377="","",IFERROR(INDEX(art_loc,MATCH(A377,art_ref,0))&amp;"",""))</f>
        <v/>
      </c>
      <c r="E377" s="39" t="str">
        <f>IF(A377="","",IFERROR(ROUND(N(INDEX(art_init,MATCH(A377,art_ref,0)))+SUMIFS(mv_qty,mv_ref,A377,mv_type,"Entrée",mv_date,"&lt;="&amp;$G$1)-SUMIFS(mv_qty,mv_ref,A377,mv_type,"Sortie",mv_date,"&lt;="&amp;$G$1),6),""))</f>
        <v/>
      </c>
      <c r="F377" s="37" t="n"/>
      <c r="G377" s="39" t="str">
        <f>IF(OR(A377="",F377="",E377=""),"",ROUND(F377-E377,6))</f>
        <v/>
      </c>
      <c r="H377" s="40" t="str">
        <f>IF(G377="","",G377*IFERROR(N(INDEX(art_price,MATCH(A377,art_ref,0))),0))</f>
        <v/>
      </c>
      <c r="I377" s="39" t="str">
        <f>IF(A377="","",IF(E377="","Référence inconnue",IF(F377="","À compter",IF(G377&gt;0,"Saisir une entrée de "&amp;G377,IF(G377&lt;0,"Saisir une sortie de "&amp;-G377,"Conforme")))))</f>
        <v/>
      </c>
    </row>
    <row r="378">
      <c r="A378" s="37" t="n"/>
      <c r="B378" s="39" t="str">
        <f>IF(A378="","",IFERROR(INDEX(art_des,MATCH(A378,art_ref,0))&amp;"","Référence inconnue"))</f>
        <v/>
      </c>
      <c r="C378" s="39" t="str">
        <f>IF(A378="","",IFERROR(INDEX(art_unit,MATCH(A378,art_ref,0))&amp;"",""))</f>
        <v/>
      </c>
      <c r="D378" s="39" t="str">
        <f>IF(A378="","",IFERROR(INDEX(art_loc,MATCH(A378,art_ref,0))&amp;"",""))</f>
        <v/>
      </c>
      <c r="E378" s="39" t="str">
        <f>IF(A378="","",IFERROR(ROUND(N(INDEX(art_init,MATCH(A378,art_ref,0)))+SUMIFS(mv_qty,mv_ref,A378,mv_type,"Entrée",mv_date,"&lt;="&amp;$G$1)-SUMIFS(mv_qty,mv_ref,A378,mv_type,"Sortie",mv_date,"&lt;="&amp;$G$1),6),""))</f>
        <v/>
      </c>
      <c r="F378" s="37" t="n"/>
      <c r="G378" s="39" t="str">
        <f>IF(OR(A378="",F378="",E378=""),"",ROUND(F378-E378,6))</f>
        <v/>
      </c>
      <c r="H378" s="40" t="str">
        <f>IF(G378="","",G378*IFERROR(N(INDEX(art_price,MATCH(A378,art_ref,0))),0))</f>
        <v/>
      </c>
      <c r="I378" s="39" t="str">
        <f>IF(A378="","",IF(E378="","Référence inconnue",IF(F378="","À compter",IF(G378&gt;0,"Saisir une entrée de "&amp;G378,IF(G378&lt;0,"Saisir une sortie de "&amp;-G378,"Conforme")))))</f>
        <v/>
      </c>
    </row>
    <row r="379">
      <c r="A379" s="37" t="n"/>
      <c r="B379" s="39" t="str">
        <f>IF(A379="","",IFERROR(INDEX(art_des,MATCH(A379,art_ref,0))&amp;"","Référence inconnue"))</f>
        <v/>
      </c>
      <c r="C379" s="39" t="str">
        <f>IF(A379="","",IFERROR(INDEX(art_unit,MATCH(A379,art_ref,0))&amp;"",""))</f>
        <v/>
      </c>
      <c r="D379" s="39" t="str">
        <f>IF(A379="","",IFERROR(INDEX(art_loc,MATCH(A379,art_ref,0))&amp;"",""))</f>
        <v/>
      </c>
      <c r="E379" s="39" t="str">
        <f>IF(A379="","",IFERROR(ROUND(N(INDEX(art_init,MATCH(A379,art_ref,0)))+SUMIFS(mv_qty,mv_ref,A379,mv_type,"Entrée",mv_date,"&lt;="&amp;$G$1)-SUMIFS(mv_qty,mv_ref,A379,mv_type,"Sortie",mv_date,"&lt;="&amp;$G$1),6),""))</f>
        <v/>
      </c>
      <c r="F379" s="37" t="n"/>
      <c r="G379" s="39" t="str">
        <f>IF(OR(A379="",F379="",E379=""),"",ROUND(F379-E379,6))</f>
        <v/>
      </c>
      <c r="H379" s="40" t="str">
        <f>IF(G379="","",G379*IFERROR(N(INDEX(art_price,MATCH(A379,art_ref,0))),0))</f>
        <v/>
      </c>
      <c r="I379" s="39" t="str">
        <f>IF(A379="","",IF(E379="","Référence inconnue",IF(F379="","À compter",IF(G379&gt;0,"Saisir une entrée de "&amp;G379,IF(G379&lt;0,"Saisir une sortie de "&amp;-G379,"Conforme")))))</f>
        <v/>
      </c>
    </row>
    <row r="380">
      <c r="A380" s="37" t="n"/>
      <c r="B380" s="39" t="str">
        <f>IF(A380="","",IFERROR(INDEX(art_des,MATCH(A380,art_ref,0))&amp;"","Référence inconnue"))</f>
        <v/>
      </c>
      <c r="C380" s="39" t="str">
        <f>IF(A380="","",IFERROR(INDEX(art_unit,MATCH(A380,art_ref,0))&amp;"",""))</f>
        <v/>
      </c>
      <c r="D380" s="39" t="str">
        <f>IF(A380="","",IFERROR(INDEX(art_loc,MATCH(A380,art_ref,0))&amp;"",""))</f>
        <v/>
      </c>
      <c r="E380" s="39" t="str">
        <f>IF(A380="","",IFERROR(ROUND(N(INDEX(art_init,MATCH(A380,art_ref,0)))+SUMIFS(mv_qty,mv_ref,A380,mv_type,"Entrée",mv_date,"&lt;="&amp;$G$1)-SUMIFS(mv_qty,mv_ref,A380,mv_type,"Sortie",mv_date,"&lt;="&amp;$G$1),6),""))</f>
        <v/>
      </c>
      <c r="F380" s="37" t="n"/>
      <c r="G380" s="39" t="str">
        <f>IF(OR(A380="",F380="",E380=""),"",ROUND(F380-E380,6))</f>
        <v/>
      </c>
      <c r="H380" s="40" t="str">
        <f>IF(G380="","",G380*IFERROR(N(INDEX(art_price,MATCH(A380,art_ref,0))),0))</f>
        <v/>
      </c>
      <c r="I380" s="39" t="str">
        <f>IF(A380="","",IF(E380="","Référence inconnue",IF(F380="","À compter",IF(G380&gt;0,"Saisir une entrée de "&amp;G380,IF(G380&lt;0,"Saisir une sortie de "&amp;-G380,"Conforme")))))</f>
        <v/>
      </c>
    </row>
    <row r="381">
      <c r="A381" s="37" t="n"/>
      <c r="B381" s="39" t="str">
        <f>IF(A381="","",IFERROR(INDEX(art_des,MATCH(A381,art_ref,0))&amp;"","Référence inconnue"))</f>
        <v/>
      </c>
      <c r="C381" s="39" t="str">
        <f>IF(A381="","",IFERROR(INDEX(art_unit,MATCH(A381,art_ref,0))&amp;"",""))</f>
        <v/>
      </c>
      <c r="D381" s="39" t="str">
        <f>IF(A381="","",IFERROR(INDEX(art_loc,MATCH(A381,art_ref,0))&amp;"",""))</f>
        <v/>
      </c>
      <c r="E381" s="39" t="str">
        <f>IF(A381="","",IFERROR(ROUND(N(INDEX(art_init,MATCH(A381,art_ref,0)))+SUMIFS(mv_qty,mv_ref,A381,mv_type,"Entrée",mv_date,"&lt;="&amp;$G$1)-SUMIFS(mv_qty,mv_ref,A381,mv_type,"Sortie",mv_date,"&lt;="&amp;$G$1),6),""))</f>
        <v/>
      </c>
      <c r="F381" s="37" t="n"/>
      <c r="G381" s="39" t="str">
        <f>IF(OR(A381="",F381="",E381=""),"",ROUND(F381-E381,6))</f>
        <v/>
      </c>
      <c r="H381" s="40" t="str">
        <f>IF(G381="","",G381*IFERROR(N(INDEX(art_price,MATCH(A381,art_ref,0))),0))</f>
        <v/>
      </c>
      <c r="I381" s="39" t="str">
        <f>IF(A381="","",IF(E381="","Référence inconnue",IF(F381="","À compter",IF(G381&gt;0,"Saisir une entrée de "&amp;G381,IF(G381&lt;0,"Saisir une sortie de "&amp;-G381,"Conforme")))))</f>
        <v/>
      </c>
    </row>
    <row r="382">
      <c r="A382" s="37" t="n"/>
      <c r="B382" s="39" t="str">
        <f>IF(A382="","",IFERROR(INDEX(art_des,MATCH(A382,art_ref,0))&amp;"","Référence inconnue"))</f>
        <v/>
      </c>
      <c r="C382" s="39" t="str">
        <f>IF(A382="","",IFERROR(INDEX(art_unit,MATCH(A382,art_ref,0))&amp;"",""))</f>
        <v/>
      </c>
      <c r="D382" s="39" t="str">
        <f>IF(A382="","",IFERROR(INDEX(art_loc,MATCH(A382,art_ref,0))&amp;"",""))</f>
        <v/>
      </c>
      <c r="E382" s="39" t="str">
        <f>IF(A382="","",IFERROR(ROUND(N(INDEX(art_init,MATCH(A382,art_ref,0)))+SUMIFS(mv_qty,mv_ref,A382,mv_type,"Entrée",mv_date,"&lt;="&amp;$G$1)-SUMIFS(mv_qty,mv_ref,A382,mv_type,"Sortie",mv_date,"&lt;="&amp;$G$1),6),""))</f>
        <v/>
      </c>
      <c r="F382" s="37" t="n"/>
      <c r="G382" s="39" t="str">
        <f>IF(OR(A382="",F382="",E382=""),"",ROUND(F382-E382,6))</f>
        <v/>
      </c>
      <c r="H382" s="40" t="str">
        <f>IF(G382="","",G382*IFERROR(N(INDEX(art_price,MATCH(A382,art_ref,0))),0))</f>
        <v/>
      </c>
      <c r="I382" s="39" t="str">
        <f>IF(A382="","",IF(E382="","Référence inconnue",IF(F382="","À compter",IF(G382&gt;0,"Saisir une entrée de "&amp;G382,IF(G382&lt;0,"Saisir une sortie de "&amp;-G382,"Conforme")))))</f>
        <v/>
      </c>
    </row>
    <row r="383">
      <c r="A383" s="37" t="n"/>
      <c r="B383" s="39" t="str">
        <f>IF(A383="","",IFERROR(INDEX(art_des,MATCH(A383,art_ref,0))&amp;"","Référence inconnue"))</f>
        <v/>
      </c>
      <c r="C383" s="39" t="str">
        <f>IF(A383="","",IFERROR(INDEX(art_unit,MATCH(A383,art_ref,0))&amp;"",""))</f>
        <v/>
      </c>
      <c r="D383" s="39" t="str">
        <f>IF(A383="","",IFERROR(INDEX(art_loc,MATCH(A383,art_ref,0))&amp;"",""))</f>
        <v/>
      </c>
      <c r="E383" s="39" t="str">
        <f>IF(A383="","",IFERROR(ROUND(N(INDEX(art_init,MATCH(A383,art_ref,0)))+SUMIFS(mv_qty,mv_ref,A383,mv_type,"Entrée",mv_date,"&lt;="&amp;$G$1)-SUMIFS(mv_qty,mv_ref,A383,mv_type,"Sortie",mv_date,"&lt;="&amp;$G$1),6),""))</f>
        <v/>
      </c>
      <c r="F383" s="37" t="n"/>
      <c r="G383" s="39" t="str">
        <f>IF(OR(A383="",F383="",E383=""),"",ROUND(F383-E383,6))</f>
        <v/>
      </c>
      <c r="H383" s="40" t="str">
        <f>IF(G383="","",G383*IFERROR(N(INDEX(art_price,MATCH(A383,art_ref,0))),0))</f>
        <v/>
      </c>
      <c r="I383" s="39" t="str">
        <f>IF(A383="","",IF(E383="","Référence inconnue",IF(F383="","À compter",IF(G383&gt;0,"Saisir une entrée de "&amp;G383,IF(G383&lt;0,"Saisir une sortie de "&amp;-G383,"Conforme")))))</f>
        <v/>
      </c>
    </row>
    <row r="384">
      <c r="A384" s="37" t="n"/>
      <c r="B384" s="39" t="str">
        <f>IF(A384="","",IFERROR(INDEX(art_des,MATCH(A384,art_ref,0))&amp;"","Référence inconnue"))</f>
        <v/>
      </c>
      <c r="C384" s="39" t="str">
        <f>IF(A384="","",IFERROR(INDEX(art_unit,MATCH(A384,art_ref,0))&amp;"",""))</f>
        <v/>
      </c>
      <c r="D384" s="39" t="str">
        <f>IF(A384="","",IFERROR(INDEX(art_loc,MATCH(A384,art_ref,0))&amp;"",""))</f>
        <v/>
      </c>
      <c r="E384" s="39" t="str">
        <f>IF(A384="","",IFERROR(ROUND(N(INDEX(art_init,MATCH(A384,art_ref,0)))+SUMIFS(mv_qty,mv_ref,A384,mv_type,"Entrée",mv_date,"&lt;="&amp;$G$1)-SUMIFS(mv_qty,mv_ref,A384,mv_type,"Sortie",mv_date,"&lt;="&amp;$G$1),6),""))</f>
        <v/>
      </c>
      <c r="F384" s="37" t="n"/>
      <c r="G384" s="39" t="str">
        <f>IF(OR(A384="",F384="",E384=""),"",ROUND(F384-E384,6))</f>
        <v/>
      </c>
      <c r="H384" s="40" t="str">
        <f>IF(G384="","",G384*IFERROR(N(INDEX(art_price,MATCH(A384,art_ref,0))),0))</f>
        <v/>
      </c>
      <c r="I384" s="39" t="str">
        <f>IF(A384="","",IF(E384="","Référence inconnue",IF(F384="","À compter",IF(G384&gt;0,"Saisir une entrée de "&amp;G384,IF(G384&lt;0,"Saisir une sortie de "&amp;-G384,"Conforme")))))</f>
        <v/>
      </c>
    </row>
    <row r="385">
      <c r="A385" s="37" t="n"/>
      <c r="B385" s="39" t="str">
        <f>IF(A385="","",IFERROR(INDEX(art_des,MATCH(A385,art_ref,0))&amp;"","Référence inconnue"))</f>
        <v/>
      </c>
      <c r="C385" s="39" t="str">
        <f>IF(A385="","",IFERROR(INDEX(art_unit,MATCH(A385,art_ref,0))&amp;"",""))</f>
        <v/>
      </c>
      <c r="D385" s="39" t="str">
        <f>IF(A385="","",IFERROR(INDEX(art_loc,MATCH(A385,art_ref,0))&amp;"",""))</f>
        <v/>
      </c>
      <c r="E385" s="39" t="str">
        <f>IF(A385="","",IFERROR(ROUND(N(INDEX(art_init,MATCH(A385,art_ref,0)))+SUMIFS(mv_qty,mv_ref,A385,mv_type,"Entrée",mv_date,"&lt;="&amp;$G$1)-SUMIFS(mv_qty,mv_ref,A385,mv_type,"Sortie",mv_date,"&lt;="&amp;$G$1),6),""))</f>
        <v/>
      </c>
      <c r="F385" s="37" t="n"/>
      <c r="G385" s="39" t="str">
        <f>IF(OR(A385="",F385="",E385=""),"",ROUND(F385-E385,6))</f>
        <v/>
      </c>
      <c r="H385" s="40" t="str">
        <f>IF(G385="","",G385*IFERROR(N(INDEX(art_price,MATCH(A385,art_ref,0))),0))</f>
        <v/>
      </c>
      <c r="I385" s="39" t="str">
        <f>IF(A385="","",IF(E385="","Référence inconnue",IF(F385="","À compter",IF(G385&gt;0,"Saisir une entrée de "&amp;G385,IF(G385&lt;0,"Saisir une sortie de "&amp;-G385,"Conforme")))))</f>
        <v/>
      </c>
    </row>
    <row r="386">
      <c r="A386" s="37" t="n"/>
      <c r="B386" s="39" t="str">
        <f>IF(A386="","",IFERROR(INDEX(art_des,MATCH(A386,art_ref,0))&amp;"","Référence inconnue"))</f>
        <v/>
      </c>
      <c r="C386" s="39" t="str">
        <f>IF(A386="","",IFERROR(INDEX(art_unit,MATCH(A386,art_ref,0))&amp;"",""))</f>
        <v/>
      </c>
      <c r="D386" s="39" t="str">
        <f>IF(A386="","",IFERROR(INDEX(art_loc,MATCH(A386,art_ref,0))&amp;"",""))</f>
        <v/>
      </c>
      <c r="E386" s="39" t="str">
        <f>IF(A386="","",IFERROR(ROUND(N(INDEX(art_init,MATCH(A386,art_ref,0)))+SUMIFS(mv_qty,mv_ref,A386,mv_type,"Entrée",mv_date,"&lt;="&amp;$G$1)-SUMIFS(mv_qty,mv_ref,A386,mv_type,"Sortie",mv_date,"&lt;="&amp;$G$1),6),""))</f>
        <v/>
      </c>
      <c r="F386" s="37" t="n"/>
      <c r="G386" s="39" t="str">
        <f>IF(OR(A386="",F386="",E386=""),"",ROUND(F386-E386,6))</f>
        <v/>
      </c>
      <c r="H386" s="40" t="str">
        <f>IF(G386="","",G386*IFERROR(N(INDEX(art_price,MATCH(A386,art_ref,0))),0))</f>
        <v/>
      </c>
      <c r="I386" s="39" t="str">
        <f>IF(A386="","",IF(E386="","Référence inconnue",IF(F386="","À compter",IF(G386&gt;0,"Saisir une entrée de "&amp;G386,IF(G386&lt;0,"Saisir une sortie de "&amp;-G386,"Conforme")))))</f>
        <v/>
      </c>
    </row>
    <row r="387">
      <c r="A387" s="37" t="n"/>
      <c r="B387" s="39" t="str">
        <f>IF(A387="","",IFERROR(INDEX(art_des,MATCH(A387,art_ref,0))&amp;"","Référence inconnue"))</f>
        <v/>
      </c>
      <c r="C387" s="39" t="str">
        <f>IF(A387="","",IFERROR(INDEX(art_unit,MATCH(A387,art_ref,0))&amp;"",""))</f>
        <v/>
      </c>
      <c r="D387" s="39" t="str">
        <f>IF(A387="","",IFERROR(INDEX(art_loc,MATCH(A387,art_ref,0))&amp;"",""))</f>
        <v/>
      </c>
      <c r="E387" s="39" t="str">
        <f>IF(A387="","",IFERROR(ROUND(N(INDEX(art_init,MATCH(A387,art_ref,0)))+SUMIFS(mv_qty,mv_ref,A387,mv_type,"Entrée",mv_date,"&lt;="&amp;$G$1)-SUMIFS(mv_qty,mv_ref,A387,mv_type,"Sortie",mv_date,"&lt;="&amp;$G$1),6),""))</f>
        <v/>
      </c>
      <c r="F387" s="37" t="n"/>
      <c r="G387" s="39" t="str">
        <f>IF(OR(A387="",F387="",E387=""),"",ROUND(F387-E387,6))</f>
        <v/>
      </c>
      <c r="H387" s="40" t="str">
        <f>IF(G387="","",G387*IFERROR(N(INDEX(art_price,MATCH(A387,art_ref,0))),0))</f>
        <v/>
      </c>
      <c r="I387" s="39" t="str">
        <f>IF(A387="","",IF(E387="","Référence inconnue",IF(F387="","À compter",IF(G387&gt;0,"Saisir une entrée de "&amp;G387,IF(G387&lt;0,"Saisir une sortie de "&amp;-G387,"Conforme")))))</f>
        <v/>
      </c>
    </row>
    <row r="388">
      <c r="A388" s="37" t="n"/>
      <c r="B388" s="39" t="str">
        <f>IF(A388="","",IFERROR(INDEX(art_des,MATCH(A388,art_ref,0))&amp;"","Référence inconnue"))</f>
        <v/>
      </c>
      <c r="C388" s="39" t="str">
        <f>IF(A388="","",IFERROR(INDEX(art_unit,MATCH(A388,art_ref,0))&amp;"",""))</f>
        <v/>
      </c>
      <c r="D388" s="39" t="str">
        <f>IF(A388="","",IFERROR(INDEX(art_loc,MATCH(A388,art_ref,0))&amp;"",""))</f>
        <v/>
      </c>
      <c r="E388" s="39" t="str">
        <f>IF(A388="","",IFERROR(ROUND(N(INDEX(art_init,MATCH(A388,art_ref,0)))+SUMIFS(mv_qty,mv_ref,A388,mv_type,"Entrée",mv_date,"&lt;="&amp;$G$1)-SUMIFS(mv_qty,mv_ref,A388,mv_type,"Sortie",mv_date,"&lt;="&amp;$G$1),6),""))</f>
        <v/>
      </c>
      <c r="F388" s="37" t="n"/>
      <c r="G388" s="39" t="str">
        <f>IF(OR(A388="",F388="",E388=""),"",ROUND(F388-E388,6))</f>
        <v/>
      </c>
      <c r="H388" s="40" t="str">
        <f>IF(G388="","",G388*IFERROR(N(INDEX(art_price,MATCH(A388,art_ref,0))),0))</f>
        <v/>
      </c>
      <c r="I388" s="39" t="str">
        <f>IF(A388="","",IF(E388="","Référence inconnue",IF(F388="","À compter",IF(G388&gt;0,"Saisir une entrée de "&amp;G388,IF(G388&lt;0,"Saisir une sortie de "&amp;-G388,"Conforme")))))</f>
        <v/>
      </c>
    </row>
    <row r="389">
      <c r="A389" s="37" t="n"/>
      <c r="B389" s="39" t="str">
        <f>IF(A389="","",IFERROR(INDEX(art_des,MATCH(A389,art_ref,0))&amp;"","Référence inconnue"))</f>
        <v/>
      </c>
      <c r="C389" s="39" t="str">
        <f>IF(A389="","",IFERROR(INDEX(art_unit,MATCH(A389,art_ref,0))&amp;"",""))</f>
        <v/>
      </c>
      <c r="D389" s="39" t="str">
        <f>IF(A389="","",IFERROR(INDEX(art_loc,MATCH(A389,art_ref,0))&amp;"",""))</f>
        <v/>
      </c>
      <c r="E389" s="39" t="str">
        <f>IF(A389="","",IFERROR(ROUND(N(INDEX(art_init,MATCH(A389,art_ref,0)))+SUMIFS(mv_qty,mv_ref,A389,mv_type,"Entrée",mv_date,"&lt;="&amp;$G$1)-SUMIFS(mv_qty,mv_ref,A389,mv_type,"Sortie",mv_date,"&lt;="&amp;$G$1),6),""))</f>
        <v/>
      </c>
      <c r="F389" s="37" t="n"/>
      <c r="G389" s="39" t="str">
        <f>IF(OR(A389="",F389="",E389=""),"",ROUND(F389-E389,6))</f>
        <v/>
      </c>
      <c r="H389" s="40" t="str">
        <f>IF(G389="","",G389*IFERROR(N(INDEX(art_price,MATCH(A389,art_ref,0))),0))</f>
        <v/>
      </c>
      <c r="I389" s="39" t="str">
        <f>IF(A389="","",IF(E389="","Référence inconnue",IF(F389="","À compter",IF(G389&gt;0,"Saisir une entrée de "&amp;G389,IF(G389&lt;0,"Saisir une sortie de "&amp;-G389,"Conforme")))))</f>
        <v/>
      </c>
    </row>
    <row r="390">
      <c r="A390" s="37" t="n"/>
      <c r="B390" s="39" t="str">
        <f>IF(A390="","",IFERROR(INDEX(art_des,MATCH(A390,art_ref,0))&amp;"","Référence inconnue"))</f>
        <v/>
      </c>
      <c r="C390" s="39" t="str">
        <f>IF(A390="","",IFERROR(INDEX(art_unit,MATCH(A390,art_ref,0))&amp;"",""))</f>
        <v/>
      </c>
      <c r="D390" s="39" t="str">
        <f>IF(A390="","",IFERROR(INDEX(art_loc,MATCH(A390,art_ref,0))&amp;"",""))</f>
        <v/>
      </c>
      <c r="E390" s="39" t="str">
        <f>IF(A390="","",IFERROR(ROUND(N(INDEX(art_init,MATCH(A390,art_ref,0)))+SUMIFS(mv_qty,mv_ref,A390,mv_type,"Entrée",mv_date,"&lt;="&amp;$G$1)-SUMIFS(mv_qty,mv_ref,A390,mv_type,"Sortie",mv_date,"&lt;="&amp;$G$1),6),""))</f>
        <v/>
      </c>
      <c r="F390" s="37" t="n"/>
      <c r="G390" s="39" t="str">
        <f>IF(OR(A390="",F390="",E390=""),"",ROUND(F390-E390,6))</f>
        <v/>
      </c>
      <c r="H390" s="40" t="str">
        <f>IF(G390="","",G390*IFERROR(N(INDEX(art_price,MATCH(A390,art_ref,0))),0))</f>
        <v/>
      </c>
      <c r="I390" s="39" t="str">
        <f>IF(A390="","",IF(E390="","Référence inconnue",IF(F390="","À compter",IF(G390&gt;0,"Saisir une entrée de "&amp;G390,IF(G390&lt;0,"Saisir une sortie de "&amp;-G390,"Conforme")))))</f>
        <v/>
      </c>
    </row>
    <row r="391">
      <c r="A391" s="37" t="n"/>
      <c r="B391" s="39" t="str">
        <f>IF(A391="","",IFERROR(INDEX(art_des,MATCH(A391,art_ref,0))&amp;"","Référence inconnue"))</f>
        <v/>
      </c>
      <c r="C391" s="39" t="str">
        <f>IF(A391="","",IFERROR(INDEX(art_unit,MATCH(A391,art_ref,0))&amp;"",""))</f>
        <v/>
      </c>
      <c r="D391" s="39" t="str">
        <f>IF(A391="","",IFERROR(INDEX(art_loc,MATCH(A391,art_ref,0))&amp;"",""))</f>
        <v/>
      </c>
      <c r="E391" s="39" t="str">
        <f>IF(A391="","",IFERROR(ROUND(N(INDEX(art_init,MATCH(A391,art_ref,0)))+SUMIFS(mv_qty,mv_ref,A391,mv_type,"Entrée",mv_date,"&lt;="&amp;$G$1)-SUMIFS(mv_qty,mv_ref,A391,mv_type,"Sortie",mv_date,"&lt;="&amp;$G$1),6),""))</f>
        <v/>
      </c>
      <c r="F391" s="37" t="n"/>
      <c r="G391" s="39" t="str">
        <f>IF(OR(A391="",F391="",E391=""),"",ROUND(F391-E391,6))</f>
        <v/>
      </c>
      <c r="H391" s="40" t="str">
        <f>IF(G391="","",G391*IFERROR(N(INDEX(art_price,MATCH(A391,art_ref,0))),0))</f>
        <v/>
      </c>
      <c r="I391" s="39" t="str">
        <f>IF(A391="","",IF(E391="","Référence inconnue",IF(F391="","À compter",IF(G391&gt;0,"Saisir une entrée de "&amp;G391,IF(G391&lt;0,"Saisir une sortie de "&amp;-G391,"Conforme")))))</f>
        <v/>
      </c>
    </row>
    <row r="392">
      <c r="A392" s="37" t="n"/>
      <c r="B392" s="39" t="str">
        <f>IF(A392="","",IFERROR(INDEX(art_des,MATCH(A392,art_ref,0))&amp;"","Référence inconnue"))</f>
        <v/>
      </c>
      <c r="C392" s="39" t="str">
        <f>IF(A392="","",IFERROR(INDEX(art_unit,MATCH(A392,art_ref,0))&amp;"",""))</f>
        <v/>
      </c>
      <c r="D392" s="39" t="str">
        <f>IF(A392="","",IFERROR(INDEX(art_loc,MATCH(A392,art_ref,0))&amp;"",""))</f>
        <v/>
      </c>
      <c r="E392" s="39" t="str">
        <f>IF(A392="","",IFERROR(ROUND(N(INDEX(art_init,MATCH(A392,art_ref,0)))+SUMIFS(mv_qty,mv_ref,A392,mv_type,"Entrée",mv_date,"&lt;="&amp;$G$1)-SUMIFS(mv_qty,mv_ref,A392,mv_type,"Sortie",mv_date,"&lt;="&amp;$G$1),6),""))</f>
        <v/>
      </c>
      <c r="F392" s="37" t="n"/>
      <c r="G392" s="39" t="str">
        <f>IF(OR(A392="",F392="",E392=""),"",ROUND(F392-E392,6))</f>
        <v/>
      </c>
      <c r="H392" s="40" t="str">
        <f>IF(G392="","",G392*IFERROR(N(INDEX(art_price,MATCH(A392,art_ref,0))),0))</f>
        <v/>
      </c>
      <c r="I392" s="39" t="str">
        <f>IF(A392="","",IF(E392="","Référence inconnue",IF(F392="","À compter",IF(G392&gt;0,"Saisir une entrée de "&amp;G392,IF(G392&lt;0,"Saisir une sortie de "&amp;-G392,"Conforme")))))</f>
        <v/>
      </c>
    </row>
    <row r="393">
      <c r="A393" s="37" t="n"/>
      <c r="B393" s="39" t="str">
        <f>IF(A393="","",IFERROR(INDEX(art_des,MATCH(A393,art_ref,0))&amp;"","Référence inconnue"))</f>
        <v/>
      </c>
      <c r="C393" s="39" t="str">
        <f>IF(A393="","",IFERROR(INDEX(art_unit,MATCH(A393,art_ref,0))&amp;"",""))</f>
        <v/>
      </c>
      <c r="D393" s="39" t="str">
        <f>IF(A393="","",IFERROR(INDEX(art_loc,MATCH(A393,art_ref,0))&amp;"",""))</f>
        <v/>
      </c>
      <c r="E393" s="39" t="str">
        <f>IF(A393="","",IFERROR(ROUND(N(INDEX(art_init,MATCH(A393,art_ref,0)))+SUMIFS(mv_qty,mv_ref,A393,mv_type,"Entrée",mv_date,"&lt;="&amp;$G$1)-SUMIFS(mv_qty,mv_ref,A393,mv_type,"Sortie",mv_date,"&lt;="&amp;$G$1),6),""))</f>
        <v/>
      </c>
      <c r="F393" s="37" t="n"/>
      <c r="G393" s="39" t="str">
        <f>IF(OR(A393="",F393="",E393=""),"",ROUND(F393-E393,6))</f>
        <v/>
      </c>
      <c r="H393" s="40" t="str">
        <f>IF(G393="","",G393*IFERROR(N(INDEX(art_price,MATCH(A393,art_ref,0))),0))</f>
        <v/>
      </c>
      <c r="I393" s="39" t="str">
        <f>IF(A393="","",IF(E393="","Référence inconnue",IF(F393="","À compter",IF(G393&gt;0,"Saisir une entrée de "&amp;G393,IF(G393&lt;0,"Saisir une sortie de "&amp;-G393,"Conforme")))))</f>
        <v/>
      </c>
    </row>
    <row r="394">
      <c r="A394" s="37" t="n"/>
      <c r="B394" s="39" t="str">
        <f>IF(A394="","",IFERROR(INDEX(art_des,MATCH(A394,art_ref,0))&amp;"","Référence inconnue"))</f>
        <v/>
      </c>
      <c r="C394" s="39" t="str">
        <f>IF(A394="","",IFERROR(INDEX(art_unit,MATCH(A394,art_ref,0))&amp;"",""))</f>
        <v/>
      </c>
      <c r="D394" s="39" t="str">
        <f>IF(A394="","",IFERROR(INDEX(art_loc,MATCH(A394,art_ref,0))&amp;"",""))</f>
        <v/>
      </c>
      <c r="E394" s="39" t="str">
        <f>IF(A394="","",IFERROR(ROUND(N(INDEX(art_init,MATCH(A394,art_ref,0)))+SUMIFS(mv_qty,mv_ref,A394,mv_type,"Entrée",mv_date,"&lt;="&amp;$G$1)-SUMIFS(mv_qty,mv_ref,A394,mv_type,"Sortie",mv_date,"&lt;="&amp;$G$1),6),""))</f>
        <v/>
      </c>
      <c r="F394" s="37" t="n"/>
      <c r="G394" s="39" t="str">
        <f>IF(OR(A394="",F394="",E394=""),"",ROUND(F394-E394,6))</f>
        <v/>
      </c>
      <c r="H394" s="40" t="str">
        <f>IF(G394="","",G394*IFERROR(N(INDEX(art_price,MATCH(A394,art_ref,0))),0))</f>
        <v/>
      </c>
      <c r="I394" s="39" t="str">
        <f>IF(A394="","",IF(E394="","Référence inconnue",IF(F394="","À compter",IF(G394&gt;0,"Saisir une entrée de "&amp;G394,IF(G394&lt;0,"Saisir une sortie de "&amp;-G394,"Conforme")))))</f>
        <v/>
      </c>
    </row>
    <row r="395">
      <c r="A395" s="37" t="n"/>
      <c r="B395" s="39" t="str">
        <f>IF(A395="","",IFERROR(INDEX(art_des,MATCH(A395,art_ref,0))&amp;"","Référence inconnue"))</f>
        <v/>
      </c>
      <c r="C395" s="39" t="str">
        <f>IF(A395="","",IFERROR(INDEX(art_unit,MATCH(A395,art_ref,0))&amp;"",""))</f>
        <v/>
      </c>
      <c r="D395" s="39" t="str">
        <f>IF(A395="","",IFERROR(INDEX(art_loc,MATCH(A395,art_ref,0))&amp;"",""))</f>
        <v/>
      </c>
      <c r="E395" s="39" t="str">
        <f>IF(A395="","",IFERROR(ROUND(N(INDEX(art_init,MATCH(A395,art_ref,0)))+SUMIFS(mv_qty,mv_ref,A395,mv_type,"Entrée",mv_date,"&lt;="&amp;$G$1)-SUMIFS(mv_qty,mv_ref,A395,mv_type,"Sortie",mv_date,"&lt;="&amp;$G$1),6),""))</f>
        <v/>
      </c>
      <c r="F395" s="37" t="n"/>
      <c r="G395" s="39" t="str">
        <f>IF(OR(A395="",F395="",E395=""),"",ROUND(F395-E395,6))</f>
        <v/>
      </c>
      <c r="H395" s="40" t="str">
        <f>IF(G395="","",G395*IFERROR(N(INDEX(art_price,MATCH(A395,art_ref,0))),0))</f>
        <v/>
      </c>
      <c r="I395" s="39" t="str">
        <f>IF(A395="","",IF(E395="","Référence inconnue",IF(F395="","À compter",IF(G395&gt;0,"Saisir une entrée de "&amp;G395,IF(G395&lt;0,"Saisir une sortie de "&amp;-G395,"Conforme")))))</f>
        <v/>
      </c>
    </row>
    <row r="396">
      <c r="A396" s="37" t="n"/>
      <c r="B396" s="39" t="str">
        <f>IF(A396="","",IFERROR(INDEX(art_des,MATCH(A396,art_ref,0))&amp;"","Référence inconnue"))</f>
        <v/>
      </c>
      <c r="C396" s="39" t="str">
        <f>IF(A396="","",IFERROR(INDEX(art_unit,MATCH(A396,art_ref,0))&amp;"",""))</f>
        <v/>
      </c>
      <c r="D396" s="39" t="str">
        <f>IF(A396="","",IFERROR(INDEX(art_loc,MATCH(A396,art_ref,0))&amp;"",""))</f>
        <v/>
      </c>
      <c r="E396" s="39" t="str">
        <f>IF(A396="","",IFERROR(ROUND(N(INDEX(art_init,MATCH(A396,art_ref,0)))+SUMIFS(mv_qty,mv_ref,A396,mv_type,"Entrée",mv_date,"&lt;="&amp;$G$1)-SUMIFS(mv_qty,mv_ref,A396,mv_type,"Sortie",mv_date,"&lt;="&amp;$G$1),6),""))</f>
        <v/>
      </c>
      <c r="F396" s="37" t="n"/>
      <c r="G396" s="39" t="str">
        <f>IF(OR(A396="",F396="",E396=""),"",ROUND(F396-E396,6))</f>
        <v/>
      </c>
      <c r="H396" s="40" t="str">
        <f>IF(G396="","",G396*IFERROR(N(INDEX(art_price,MATCH(A396,art_ref,0))),0))</f>
        <v/>
      </c>
      <c r="I396" s="39" t="str">
        <f>IF(A396="","",IF(E396="","Référence inconnue",IF(F396="","À compter",IF(G396&gt;0,"Saisir une entrée de "&amp;G396,IF(G396&lt;0,"Saisir une sortie de "&amp;-G396,"Conforme")))))</f>
        <v/>
      </c>
    </row>
    <row r="397">
      <c r="A397" s="37" t="n"/>
      <c r="B397" s="39" t="str">
        <f>IF(A397="","",IFERROR(INDEX(art_des,MATCH(A397,art_ref,0))&amp;"","Référence inconnue"))</f>
        <v/>
      </c>
      <c r="C397" s="39" t="str">
        <f>IF(A397="","",IFERROR(INDEX(art_unit,MATCH(A397,art_ref,0))&amp;"",""))</f>
        <v/>
      </c>
      <c r="D397" s="39" t="str">
        <f>IF(A397="","",IFERROR(INDEX(art_loc,MATCH(A397,art_ref,0))&amp;"",""))</f>
        <v/>
      </c>
      <c r="E397" s="39" t="str">
        <f>IF(A397="","",IFERROR(ROUND(N(INDEX(art_init,MATCH(A397,art_ref,0)))+SUMIFS(mv_qty,mv_ref,A397,mv_type,"Entrée",mv_date,"&lt;="&amp;$G$1)-SUMIFS(mv_qty,mv_ref,A397,mv_type,"Sortie",mv_date,"&lt;="&amp;$G$1),6),""))</f>
        <v/>
      </c>
      <c r="F397" s="37" t="n"/>
      <c r="G397" s="39" t="str">
        <f>IF(OR(A397="",F397="",E397=""),"",ROUND(F397-E397,6))</f>
        <v/>
      </c>
      <c r="H397" s="40" t="str">
        <f>IF(G397="","",G397*IFERROR(N(INDEX(art_price,MATCH(A397,art_ref,0))),0))</f>
        <v/>
      </c>
      <c r="I397" s="39" t="str">
        <f>IF(A397="","",IF(E397="","Référence inconnue",IF(F397="","À compter",IF(G397&gt;0,"Saisir une entrée de "&amp;G397,IF(G397&lt;0,"Saisir une sortie de "&amp;-G397,"Conforme")))))</f>
        <v/>
      </c>
    </row>
    <row r="398">
      <c r="A398" s="37" t="n"/>
      <c r="B398" s="39" t="str">
        <f>IF(A398="","",IFERROR(INDEX(art_des,MATCH(A398,art_ref,0))&amp;"","Référence inconnue"))</f>
        <v/>
      </c>
      <c r="C398" s="39" t="str">
        <f>IF(A398="","",IFERROR(INDEX(art_unit,MATCH(A398,art_ref,0))&amp;"",""))</f>
        <v/>
      </c>
      <c r="D398" s="39" t="str">
        <f>IF(A398="","",IFERROR(INDEX(art_loc,MATCH(A398,art_ref,0))&amp;"",""))</f>
        <v/>
      </c>
      <c r="E398" s="39" t="str">
        <f>IF(A398="","",IFERROR(ROUND(N(INDEX(art_init,MATCH(A398,art_ref,0)))+SUMIFS(mv_qty,mv_ref,A398,mv_type,"Entrée",mv_date,"&lt;="&amp;$G$1)-SUMIFS(mv_qty,mv_ref,A398,mv_type,"Sortie",mv_date,"&lt;="&amp;$G$1),6),""))</f>
        <v/>
      </c>
      <c r="F398" s="37" t="n"/>
      <c r="G398" s="39" t="str">
        <f>IF(OR(A398="",F398="",E398=""),"",ROUND(F398-E398,6))</f>
        <v/>
      </c>
      <c r="H398" s="40" t="str">
        <f>IF(G398="","",G398*IFERROR(N(INDEX(art_price,MATCH(A398,art_ref,0))),0))</f>
        <v/>
      </c>
      <c r="I398" s="39" t="str">
        <f>IF(A398="","",IF(E398="","Référence inconnue",IF(F398="","À compter",IF(G398&gt;0,"Saisir une entrée de "&amp;G398,IF(G398&lt;0,"Saisir une sortie de "&amp;-G398,"Conforme")))))</f>
        <v/>
      </c>
    </row>
    <row r="399">
      <c r="A399" s="37" t="n"/>
      <c r="B399" s="39" t="str">
        <f>IF(A399="","",IFERROR(INDEX(art_des,MATCH(A399,art_ref,0))&amp;"","Référence inconnue"))</f>
        <v/>
      </c>
      <c r="C399" s="39" t="str">
        <f>IF(A399="","",IFERROR(INDEX(art_unit,MATCH(A399,art_ref,0))&amp;"",""))</f>
        <v/>
      </c>
      <c r="D399" s="39" t="str">
        <f>IF(A399="","",IFERROR(INDEX(art_loc,MATCH(A399,art_ref,0))&amp;"",""))</f>
        <v/>
      </c>
      <c r="E399" s="39" t="str">
        <f>IF(A399="","",IFERROR(ROUND(N(INDEX(art_init,MATCH(A399,art_ref,0)))+SUMIFS(mv_qty,mv_ref,A399,mv_type,"Entrée",mv_date,"&lt;="&amp;$G$1)-SUMIFS(mv_qty,mv_ref,A399,mv_type,"Sortie",mv_date,"&lt;="&amp;$G$1),6),""))</f>
        <v/>
      </c>
      <c r="F399" s="37" t="n"/>
      <c r="G399" s="39" t="str">
        <f>IF(OR(A399="",F399="",E399=""),"",ROUND(F399-E399,6))</f>
        <v/>
      </c>
      <c r="H399" s="40" t="str">
        <f>IF(G399="","",G399*IFERROR(N(INDEX(art_price,MATCH(A399,art_ref,0))),0))</f>
        <v/>
      </c>
      <c r="I399" s="39" t="str">
        <f>IF(A399="","",IF(E399="","Référence inconnue",IF(F399="","À compter",IF(G399&gt;0,"Saisir une entrée de "&amp;G399,IF(G399&lt;0,"Saisir une sortie de "&amp;-G399,"Conforme")))))</f>
        <v/>
      </c>
    </row>
    <row r="400">
      <c r="A400" s="37" t="n"/>
      <c r="B400" s="39" t="str">
        <f>IF(A400="","",IFERROR(INDEX(art_des,MATCH(A400,art_ref,0))&amp;"","Référence inconnue"))</f>
        <v/>
      </c>
      <c r="C400" s="39" t="str">
        <f>IF(A400="","",IFERROR(INDEX(art_unit,MATCH(A400,art_ref,0))&amp;"",""))</f>
        <v/>
      </c>
      <c r="D400" s="39" t="str">
        <f>IF(A400="","",IFERROR(INDEX(art_loc,MATCH(A400,art_ref,0))&amp;"",""))</f>
        <v/>
      </c>
      <c r="E400" s="39" t="str">
        <f>IF(A400="","",IFERROR(ROUND(N(INDEX(art_init,MATCH(A400,art_ref,0)))+SUMIFS(mv_qty,mv_ref,A400,mv_type,"Entrée",mv_date,"&lt;="&amp;$G$1)-SUMIFS(mv_qty,mv_ref,A400,mv_type,"Sortie",mv_date,"&lt;="&amp;$G$1),6),""))</f>
        <v/>
      </c>
      <c r="F400" s="37" t="n"/>
      <c r="G400" s="39" t="str">
        <f>IF(OR(A400="",F400="",E400=""),"",ROUND(F400-E400,6))</f>
        <v/>
      </c>
      <c r="H400" s="40" t="str">
        <f>IF(G400="","",G400*IFERROR(N(INDEX(art_price,MATCH(A400,art_ref,0))),0))</f>
        <v/>
      </c>
      <c r="I400" s="39" t="str">
        <f>IF(A400="","",IF(E400="","Référence inconnue",IF(F400="","À compter",IF(G400&gt;0,"Saisir une entrée de "&amp;G400,IF(G400&lt;0,"Saisir une sortie de "&amp;-G400,"Conforme")))))</f>
        <v/>
      </c>
    </row>
    <row r="401">
      <c r="A401" s="37" t="n"/>
      <c r="B401" s="39" t="str">
        <f>IF(A401="","",IFERROR(INDEX(art_des,MATCH(A401,art_ref,0))&amp;"","Référence inconnue"))</f>
        <v/>
      </c>
      <c r="C401" s="39" t="str">
        <f>IF(A401="","",IFERROR(INDEX(art_unit,MATCH(A401,art_ref,0))&amp;"",""))</f>
        <v/>
      </c>
      <c r="D401" s="39" t="str">
        <f>IF(A401="","",IFERROR(INDEX(art_loc,MATCH(A401,art_ref,0))&amp;"",""))</f>
        <v/>
      </c>
      <c r="E401" s="39" t="str">
        <f>IF(A401="","",IFERROR(ROUND(N(INDEX(art_init,MATCH(A401,art_ref,0)))+SUMIFS(mv_qty,mv_ref,A401,mv_type,"Entrée",mv_date,"&lt;="&amp;$G$1)-SUMIFS(mv_qty,mv_ref,A401,mv_type,"Sortie",mv_date,"&lt;="&amp;$G$1),6),""))</f>
        <v/>
      </c>
      <c r="F401" s="37" t="n"/>
      <c r="G401" s="39" t="str">
        <f>IF(OR(A401="",F401="",E401=""),"",ROUND(F401-E401,6))</f>
        <v/>
      </c>
      <c r="H401" s="40" t="str">
        <f>IF(G401="","",G401*IFERROR(N(INDEX(art_price,MATCH(A401,art_ref,0))),0))</f>
        <v/>
      </c>
      <c r="I401" s="39" t="str">
        <f>IF(A401="","",IF(E401="","Référence inconnue",IF(F401="","À compter",IF(G401&gt;0,"Saisir une entrée de "&amp;G401,IF(G401&lt;0,"Saisir une sortie de "&amp;-G401,"Conforme")))))</f>
        <v/>
      </c>
    </row>
    <row r="402">
      <c r="A402" s="37" t="n"/>
      <c r="B402" s="39" t="str">
        <f>IF(A402="","",IFERROR(INDEX(art_des,MATCH(A402,art_ref,0))&amp;"","Référence inconnue"))</f>
        <v/>
      </c>
      <c r="C402" s="39" t="str">
        <f>IF(A402="","",IFERROR(INDEX(art_unit,MATCH(A402,art_ref,0))&amp;"",""))</f>
        <v/>
      </c>
      <c r="D402" s="39" t="str">
        <f>IF(A402="","",IFERROR(INDEX(art_loc,MATCH(A402,art_ref,0))&amp;"",""))</f>
        <v/>
      </c>
      <c r="E402" s="39" t="str">
        <f>IF(A402="","",IFERROR(ROUND(N(INDEX(art_init,MATCH(A402,art_ref,0)))+SUMIFS(mv_qty,mv_ref,A402,mv_type,"Entrée",mv_date,"&lt;="&amp;$G$1)-SUMIFS(mv_qty,mv_ref,A402,mv_type,"Sortie",mv_date,"&lt;="&amp;$G$1),6),""))</f>
        <v/>
      </c>
      <c r="F402" s="37" t="n"/>
      <c r="G402" s="39" t="str">
        <f>IF(OR(A402="",F402="",E402=""),"",ROUND(F402-E402,6))</f>
        <v/>
      </c>
      <c r="H402" s="40" t="str">
        <f>IF(G402="","",G402*IFERROR(N(INDEX(art_price,MATCH(A402,art_ref,0))),0))</f>
        <v/>
      </c>
      <c r="I402" s="39" t="str">
        <f>IF(A402="","",IF(E402="","Référence inconnue",IF(F402="","À compter",IF(G402&gt;0,"Saisir une entrée de "&amp;G402,IF(G402&lt;0,"Saisir une sortie de "&amp;-G402,"Conforme")))))</f>
        <v/>
      </c>
    </row>
    <row r="403">
      <c r="A403" s="37" t="n"/>
      <c r="B403" s="39" t="str">
        <f>IF(A403="","",IFERROR(INDEX(art_des,MATCH(A403,art_ref,0))&amp;"","Référence inconnue"))</f>
        <v/>
      </c>
      <c r="C403" s="39" t="str">
        <f>IF(A403="","",IFERROR(INDEX(art_unit,MATCH(A403,art_ref,0))&amp;"",""))</f>
        <v/>
      </c>
      <c r="D403" s="39" t="str">
        <f>IF(A403="","",IFERROR(INDEX(art_loc,MATCH(A403,art_ref,0))&amp;"",""))</f>
        <v/>
      </c>
      <c r="E403" s="39" t="str">
        <f>IF(A403="","",IFERROR(ROUND(N(INDEX(art_init,MATCH(A403,art_ref,0)))+SUMIFS(mv_qty,mv_ref,A403,mv_type,"Entrée",mv_date,"&lt;="&amp;$G$1)-SUMIFS(mv_qty,mv_ref,A403,mv_type,"Sortie",mv_date,"&lt;="&amp;$G$1),6),""))</f>
        <v/>
      </c>
      <c r="F403" s="37" t="n"/>
      <c r="G403" s="39" t="str">
        <f>IF(OR(A403="",F403="",E403=""),"",ROUND(F403-E403,6))</f>
        <v/>
      </c>
      <c r="H403" s="40" t="str">
        <f>IF(G403="","",G403*IFERROR(N(INDEX(art_price,MATCH(A403,art_ref,0))),0))</f>
        <v/>
      </c>
      <c r="I403" s="39" t="str">
        <f>IF(A403="","",IF(E403="","Référence inconnue",IF(F403="","À compter",IF(G403&gt;0,"Saisir une entrée de "&amp;G403,IF(G403&lt;0,"Saisir une sortie de "&amp;-G403,"Conforme")))))</f>
        <v/>
      </c>
    </row>
    <row r="404">
      <c r="A404" s="37" t="n"/>
      <c r="B404" s="39" t="str">
        <f>IF(A404="","",IFERROR(INDEX(art_des,MATCH(A404,art_ref,0))&amp;"","Référence inconnue"))</f>
        <v/>
      </c>
      <c r="C404" s="39" t="str">
        <f>IF(A404="","",IFERROR(INDEX(art_unit,MATCH(A404,art_ref,0))&amp;"",""))</f>
        <v/>
      </c>
      <c r="D404" s="39" t="str">
        <f>IF(A404="","",IFERROR(INDEX(art_loc,MATCH(A404,art_ref,0))&amp;"",""))</f>
        <v/>
      </c>
      <c r="E404" s="39" t="str">
        <f>IF(A404="","",IFERROR(ROUND(N(INDEX(art_init,MATCH(A404,art_ref,0)))+SUMIFS(mv_qty,mv_ref,A404,mv_type,"Entrée",mv_date,"&lt;="&amp;$G$1)-SUMIFS(mv_qty,mv_ref,A404,mv_type,"Sortie",mv_date,"&lt;="&amp;$G$1),6),""))</f>
        <v/>
      </c>
      <c r="F404" s="37" t="n"/>
      <c r="G404" s="39" t="str">
        <f>IF(OR(A404="",F404="",E404=""),"",ROUND(F404-E404,6))</f>
        <v/>
      </c>
      <c r="H404" s="40" t="str">
        <f>IF(G404="","",G404*IFERROR(N(INDEX(art_price,MATCH(A404,art_ref,0))),0))</f>
        <v/>
      </c>
      <c r="I404" s="39" t="str">
        <f>IF(A404="","",IF(E404="","Référence inconnue",IF(F404="","À compter",IF(G404&gt;0,"Saisir une entrée de "&amp;G404,IF(G404&lt;0,"Saisir une sortie de "&amp;-G404,"Conforme")))))</f>
        <v/>
      </c>
    </row>
    <row r="405">
      <c r="A405" s="37" t="n"/>
      <c r="B405" s="39" t="str">
        <f>IF(A405="","",IFERROR(INDEX(art_des,MATCH(A405,art_ref,0))&amp;"","Référence inconnue"))</f>
        <v/>
      </c>
      <c r="C405" s="39" t="str">
        <f>IF(A405="","",IFERROR(INDEX(art_unit,MATCH(A405,art_ref,0))&amp;"",""))</f>
        <v/>
      </c>
      <c r="D405" s="39" t="str">
        <f>IF(A405="","",IFERROR(INDEX(art_loc,MATCH(A405,art_ref,0))&amp;"",""))</f>
        <v/>
      </c>
      <c r="E405" s="39" t="str">
        <f>IF(A405="","",IFERROR(ROUND(N(INDEX(art_init,MATCH(A405,art_ref,0)))+SUMIFS(mv_qty,mv_ref,A405,mv_type,"Entrée",mv_date,"&lt;="&amp;$G$1)-SUMIFS(mv_qty,mv_ref,A405,mv_type,"Sortie",mv_date,"&lt;="&amp;$G$1),6),""))</f>
        <v/>
      </c>
      <c r="F405" s="37" t="n"/>
      <c r="G405" s="39" t="str">
        <f>IF(OR(A405="",F405="",E405=""),"",ROUND(F405-E405,6))</f>
        <v/>
      </c>
      <c r="H405" s="40" t="str">
        <f>IF(G405="","",G405*IFERROR(N(INDEX(art_price,MATCH(A405,art_ref,0))),0))</f>
        <v/>
      </c>
      <c r="I405" s="39" t="str">
        <f>IF(A405="","",IF(E405="","Référence inconnue",IF(F405="","À compter",IF(G405&gt;0,"Saisir une entrée de "&amp;G405,IF(G405&lt;0,"Saisir une sortie de "&amp;-G405,"Conforme")))))</f>
        <v/>
      </c>
    </row>
    <row r="406">
      <c r="A406" s="37" t="n"/>
      <c r="B406" s="39" t="str">
        <f>IF(A406="","",IFERROR(INDEX(art_des,MATCH(A406,art_ref,0))&amp;"","Référence inconnue"))</f>
        <v/>
      </c>
      <c r="C406" s="39" t="str">
        <f>IF(A406="","",IFERROR(INDEX(art_unit,MATCH(A406,art_ref,0))&amp;"",""))</f>
        <v/>
      </c>
      <c r="D406" s="39" t="str">
        <f>IF(A406="","",IFERROR(INDEX(art_loc,MATCH(A406,art_ref,0))&amp;"",""))</f>
        <v/>
      </c>
      <c r="E406" s="39" t="str">
        <f>IF(A406="","",IFERROR(ROUND(N(INDEX(art_init,MATCH(A406,art_ref,0)))+SUMIFS(mv_qty,mv_ref,A406,mv_type,"Entrée",mv_date,"&lt;="&amp;$G$1)-SUMIFS(mv_qty,mv_ref,A406,mv_type,"Sortie",mv_date,"&lt;="&amp;$G$1),6),""))</f>
        <v/>
      </c>
      <c r="F406" s="37" t="n"/>
      <c r="G406" s="39" t="str">
        <f>IF(OR(A406="",F406="",E406=""),"",ROUND(F406-E406,6))</f>
        <v/>
      </c>
      <c r="H406" s="40" t="str">
        <f>IF(G406="","",G406*IFERROR(N(INDEX(art_price,MATCH(A406,art_ref,0))),0))</f>
        <v/>
      </c>
      <c r="I406" s="39" t="str">
        <f>IF(A406="","",IF(E406="","Référence inconnue",IF(F406="","À compter",IF(G406&gt;0,"Saisir une entrée de "&amp;G406,IF(G406&lt;0,"Saisir une sortie de "&amp;-G406,"Conforme")))))</f>
        <v/>
      </c>
    </row>
    <row r="407">
      <c r="A407" s="37" t="n"/>
      <c r="B407" s="39" t="str">
        <f>IF(A407="","",IFERROR(INDEX(art_des,MATCH(A407,art_ref,0))&amp;"","Référence inconnue"))</f>
        <v/>
      </c>
      <c r="C407" s="39" t="str">
        <f>IF(A407="","",IFERROR(INDEX(art_unit,MATCH(A407,art_ref,0))&amp;"",""))</f>
        <v/>
      </c>
      <c r="D407" s="39" t="str">
        <f>IF(A407="","",IFERROR(INDEX(art_loc,MATCH(A407,art_ref,0))&amp;"",""))</f>
        <v/>
      </c>
      <c r="E407" s="39" t="str">
        <f>IF(A407="","",IFERROR(ROUND(N(INDEX(art_init,MATCH(A407,art_ref,0)))+SUMIFS(mv_qty,mv_ref,A407,mv_type,"Entrée",mv_date,"&lt;="&amp;$G$1)-SUMIFS(mv_qty,mv_ref,A407,mv_type,"Sortie",mv_date,"&lt;="&amp;$G$1),6),""))</f>
        <v/>
      </c>
      <c r="F407" s="37" t="n"/>
      <c r="G407" s="39" t="str">
        <f>IF(OR(A407="",F407="",E407=""),"",ROUND(F407-E407,6))</f>
        <v/>
      </c>
      <c r="H407" s="40" t="str">
        <f>IF(G407="","",G407*IFERROR(N(INDEX(art_price,MATCH(A407,art_ref,0))),0))</f>
        <v/>
      </c>
      <c r="I407" s="39" t="str">
        <f>IF(A407="","",IF(E407="","Référence inconnue",IF(F407="","À compter",IF(G407&gt;0,"Saisir une entrée de "&amp;G407,IF(G407&lt;0,"Saisir une sortie de "&amp;-G407,"Conforme")))))</f>
        <v/>
      </c>
    </row>
    <row r="408">
      <c r="A408" s="37" t="n"/>
      <c r="B408" s="39" t="str">
        <f>IF(A408="","",IFERROR(INDEX(art_des,MATCH(A408,art_ref,0))&amp;"","Référence inconnue"))</f>
        <v/>
      </c>
      <c r="C408" s="39" t="str">
        <f>IF(A408="","",IFERROR(INDEX(art_unit,MATCH(A408,art_ref,0))&amp;"",""))</f>
        <v/>
      </c>
      <c r="D408" s="39" t="str">
        <f>IF(A408="","",IFERROR(INDEX(art_loc,MATCH(A408,art_ref,0))&amp;"",""))</f>
        <v/>
      </c>
      <c r="E408" s="39" t="str">
        <f>IF(A408="","",IFERROR(ROUND(N(INDEX(art_init,MATCH(A408,art_ref,0)))+SUMIFS(mv_qty,mv_ref,A408,mv_type,"Entrée",mv_date,"&lt;="&amp;$G$1)-SUMIFS(mv_qty,mv_ref,A408,mv_type,"Sortie",mv_date,"&lt;="&amp;$G$1),6),""))</f>
        <v/>
      </c>
      <c r="F408" s="37" t="n"/>
      <c r="G408" s="39" t="str">
        <f>IF(OR(A408="",F408="",E408=""),"",ROUND(F408-E408,6))</f>
        <v/>
      </c>
      <c r="H408" s="40" t="str">
        <f>IF(G408="","",G408*IFERROR(N(INDEX(art_price,MATCH(A408,art_ref,0))),0))</f>
        <v/>
      </c>
      <c r="I408" s="39" t="str">
        <f>IF(A408="","",IF(E408="","Référence inconnue",IF(F408="","À compter",IF(G408&gt;0,"Saisir une entrée de "&amp;G408,IF(G408&lt;0,"Saisir une sortie de "&amp;-G408,"Conforme")))))</f>
        <v/>
      </c>
    </row>
    <row r="409">
      <c r="A409" s="37" t="n"/>
      <c r="B409" s="39" t="str">
        <f>IF(A409="","",IFERROR(INDEX(art_des,MATCH(A409,art_ref,0))&amp;"","Référence inconnue"))</f>
        <v/>
      </c>
      <c r="C409" s="39" t="str">
        <f>IF(A409="","",IFERROR(INDEX(art_unit,MATCH(A409,art_ref,0))&amp;"",""))</f>
        <v/>
      </c>
      <c r="D409" s="39" t="str">
        <f>IF(A409="","",IFERROR(INDEX(art_loc,MATCH(A409,art_ref,0))&amp;"",""))</f>
        <v/>
      </c>
      <c r="E409" s="39" t="str">
        <f>IF(A409="","",IFERROR(ROUND(N(INDEX(art_init,MATCH(A409,art_ref,0)))+SUMIFS(mv_qty,mv_ref,A409,mv_type,"Entrée",mv_date,"&lt;="&amp;$G$1)-SUMIFS(mv_qty,mv_ref,A409,mv_type,"Sortie",mv_date,"&lt;="&amp;$G$1),6),""))</f>
        <v/>
      </c>
      <c r="F409" s="37" t="n"/>
      <c r="G409" s="39" t="str">
        <f>IF(OR(A409="",F409="",E409=""),"",ROUND(F409-E409,6))</f>
        <v/>
      </c>
      <c r="H409" s="40" t="str">
        <f>IF(G409="","",G409*IFERROR(N(INDEX(art_price,MATCH(A409,art_ref,0))),0))</f>
        <v/>
      </c>
      <c r="I409" s="39" t="str">
        <f>IF(A409="","",IF(E409="","Référence inconnue",IF(F409="","À compter",IF(G409&gt;0,"Saisir une entrée de "&amp;G409,IF(G409&lt;0,"Saisir une sortie de "&amp;-G409,"Conforme")))))</f>
        <v/>
      </c>
    </row>
    <row r="410">
      <c r="A410" s="37" t="n"/>
      <c r="B410" s="39" t="str">
        <f>IF(A410="","",IFERROR(INDEX(art_des,MATCH(A410,art_ref,0))&amp;"","Référence inconnue"))</f>
        <v/>
      </c>
      <c r="C410" s="39" t="str">
        <f>IF(A410="","",IFERROR(INDEX(art_unit,MATCH(A410,art_ref,0))&amp;"",""))</f>
        <v/>
      </c>
      <c r="D410" s="39" t="str">
        <f>IF(A410="","",IFERROR(INDEX(art_loc,MATCH(A410,art_ref,0))&amp;"",""))</f>
        <v/>
      </c>
      <c r="E410" s="39" t="str">
        <f>IF(A410="","",IFERROR(ROUND(N(INDEX(art_init,MATCH(A410,art_ref,0)))+SUMIFS(mv_qty,mv_ref,A410,mv_type,"Entrée",mv_date,"&lt;="&amp;$G$1)-SUMIFS(mv_qty,mv_ref,A410,mv_type,"Sortie",mv_date,"&lt;="&amp;$G$1),6),""))</f>
        <v/>
      </c>
      <c r="F410" s="37" t="n"/>
      <c r="G410" s="39" t="str">
        <f>IF(OR(A410="",F410="",E410=""),"",ROUND(F410-E410,6))</f>
        <v/>
      </c>
      <c r="H410" s="40" t="str">
        <f>IF(G410="","",G410*IFERROR(N(INDEX(art_price,MATCH(A410,art_ref,0))),0))</f>
        <v/>
      </c>
      <c r="I410" s="39" t="str">
        <f>IF(A410="","",IF(E410="","Référence inconnue",IF(F410="","À compter",IF(G410&gt;0,"Saisir une entrée de "&amp;G410,IF(G410&lt;0,"Saisir une sortie de "&amp;-G410,"Conforme")))))</f>
        <v/>
      </c>
    </row>
    <row r="411">
      <c r="A411" s="37" t="n"/>
      <c r="B411" s="39" t="str">
        <f>IF(A411="","",IFERROR(INDEX(art_des,MATCH(A411,art_ref,0))&amp;"","Référence inconnue"))</f>
        <v/>
      </c>
      <c r="C411" s="39" t="str">
        <f>IF(A411="","",IFERROR(INDEX(art_unit,MATCH(A411,art_ref,0))&amp;"",""))</f>
        <v/>
      </c>
      <c r="D411" s="39" t="str">
        <f>IF(A411="","",IFERROR(INDEX(art_loc,MATCH(A411,art_ref,0))&amp;"",""))</f>
        <v/>
      </c>
      <c r="E411" s="39" t="str">
        <f>IF(A411="","",IFERROR(ROUND(N(INDEX(art_init,MATCH(A411,art_ref,0)))+SUMIFS(mv_qty,mv_ref,A411,mv_type,"Entrée",mv_date,"&lt;="&amp;$G$1)-SUMIFS(mv_qty,mv_ref,A411,mv_type,"Sortie",mv_date,"&lt;="&amp;$G$1),6),""))</f>
        <v/>
      </c>
      <c r="F411" s="37" t="n"/>
      <c r="G411" s="39" t="str">
        <f>IF(OR(A411="",F411="",E411=""),"",ROUND(F411-E411,6))</f>
        <v/>
      </c>
      <c r="H411" s="40" t="str">
        <f>IF(G411="","",G411*IFERROR(N(INDEX(art_price,MATCH(A411,art_ref,0))),0))</f>
        <v/>
      </c>
      <c r="I411" s="39" t="str">
        <f>IF(A411="","",IF(E411="","Référence inconnue",IF(F411="","À compter",IF(G411&gt;0,"Saisir une entrée de "&amp;G411,IF(G411&lt;0,"Saisir une sortie de "&amp;-G411,"Conforme")))))</f>
        <v/>
      </c>
    </row>
    <row r="412">
      <c r="A412" s="37" t="n"/>
      <c r="B412" s="39" t="str">
        <f>IF(A412="","",IFERROR(INDEX(art_des,MATCH(A412,art_ref,0))&amp;"","Référence inconnue"))</f>
        <v/>
      </c>
      <c r="C412" s="39" t="str">
        <f>IF(A412="","",IFERROR(INDEX(art_unit,MATCH(A412,art_ref,0))&amp;"",""))</f>
        <v/>
      </c>
      <c r="D412" s="39" t="str">
        <f>IF(A412="","",IFERROR(INDEX(art_loc,MATCH(A412,art_ref,0))&amp;"",""))</f>
        <v/>
      </c>
      <c r="E412" s="39" t="str">
        <f>IF(A412="","",IFERROR(ROUND(N(INDEX(art_init,MATCH(A412,art_ref,0)))+SUMIFS(mv_qty,mv_ref,A412,mv_type,"Entrée",mv_date,"&lt;="&amp;$G$1)-SUMIFS(mv_qty,mv_ref,A412,mv_type,"Sortie",mv_date,"&lt;="&amp;$G$1),6),""))</f>
        <v/>
      </c>
      <c r="F412" s="37" t="n"/>
      <c r="G412" s="39" t="str">
        <f>IF(OR(A412="",F412="",E412=""),"",ROUND(F412-E412,6))</f>
        <v/>
      </c>
      <c r="H412" s="40" t="str">
        <f>IF(G412="","",G412*IFERROR(N(INDEX(art_price,MATCH(A412,art_ref,0))),0))</f>
        <v/>
      </c>
      <c r="I412" s="39" t="str">
        <f>IF(A412="","",IF(E412="","Référence inconnue",IF(F412="","À compter",IF(G412&gt;0,"Saisir une entrée de "&amp;G412,IF(G412&lt;0,"Saisir une sortie de "&amp;-G412,"Conforme")))))</f>
        <v/>
      </c>
    </row>
    <row r="413">
      <c r="A413" s="37" t="n"/>
      <c r="B413" s="39" t="str">
        <f>IF(A413="","",IFERROR(INDEX(art_des,MATCH(A413,art_ref,0))&amp;"","Référence inconnue"))</f>
        <v/>
      </c>
      <c r="C413" s="39" t="str">
        <f>IF(A413="","",IFERROR(INDEX(art_unit,MATCH(A413,art_ref,0))&amp;"",""))</f>
        <v/>
      </c>
      <c r="D413" s="39" t="str">
        <f>IF(A413="","",IFERROR(INDEX(art_loc,MATCH(A413,art_ref,0))&amp;"",""))</f>
        <v/>
      </c>
      <c r="E413" s="39" t="str">
        <f>IF(A413="","",IFERROR(ROUND(N(INDEX(art_init,MATCH(A413,art_ref,0)))+SUMIFS(mv_qty,mv_ref,A413,mv_type,"Entrée",mv_date,"&lt;="&amp;$G$1)-SUMIFS(mv_qty,mv_ref,A413,mv_type,"Sortie",mv_date,"&lt;="&amp;$G$1),6),""))</f>
        <v/>
      </c>
      <c r="F413" s="37" t="n"/>
      <c r="G413" s="39" t="str">
        <f>IF(OR(A413="",F413="",E413=""),"",ROUND(F413-E413,6))</f>
        <v/>
      </c>
      <c r="H413" s="40" t="str">
        <f>IF(G413="","",G413*IFERROR(N(INDEX(art_price,MATCH(A413,art_ref,0))),0))</f>
        <v/>
      </c>
      <c r="I413" s="39" t="str">
        <f>IF(A413="","",IF(E413="","Référence inconnue",IF(F413="","À compter",IF(G413&gt;0,"Saisir une entrée de "&amp;G413,IF(G413&lt;0,"Saisir une sortie de "&amp;-G413,"Conforme")))))</f>
        <v/>
      </c>
    </row>
    <row r="414">
      <c r="A414" s="37" t="n"/>
      <c r="B414" s="39" t="str">
        <f>IF(A414="","",IFERROR(INDEX(art_des,MATCH(A414,art_ref,0))&amp;"","Référence inconnue"))</f>
        <v/>
      </c>
      <c r="C414" s="39" t="str">
        <f>IF(A414="","",IFERROR(INDEX(art_unit,MATCH(A414,art_ref,0))&amp;"",""))</f>
        <v/>
      </c>
      <c r="D414" s="39" t="str">
        <f>IF(A414="","",IFERROR(INDEX(art_loc,MATCH(A414,art_ref,0))&amp;"",""))</f>
        <v/>
      </c>
      <c r="E414" s="39" t="str">
        <f>IF(A414="","",IFERROR(ROUND(N(INDEX(art_init,MATCH(A414,art_ref,0)))+SUMIFS(mv_qty,mv_ref,A414,mv_type,"Entrée",mv_date,"&lt;="&amp;$G$1)-SUMIFS(mv_qty,mv_ref,A414,mv_type,"Sortie",mv_date,"&lt;="&amp;$G$1),6),""))</f>
        <v/>
      </c>
      <c r="F414" s="37" t="n"/>
      <c r="G414" s="39" t="str">
        <f>IF(OR(A414="",F414="",E414=""),"",ROUND(F414-E414,6))</f>
        <v/>
      </c>
      <c r="H414" s="40" t="str">
        <f>IF(G414="","",G414*IFERROR(N(INDEX(art_price,MATCH(A414,art_ref,0))),0))</f>
        <v/>
      </c>
      <c r="I414" s="39" t="str">
        <f>IF(A414="","",IF(E414="","Référence inconnue",IF(F414="","À compter",IF(G414&gt;0,"Saisir une entrée de "&amp;G414,IF(G414&lt;0,"Saisir une sortie de "&amp;-G414,"Conforme")))))</f>
        <v/>
      </c>
    </row>
    <row r="415">
      <c r="A415" s="37" t="n"/>
      <c r="B415" s="39" t="str">
        <f>IF(A415="","",IFERROR(INDEX(art_des,MATCH(A415,art_ref,0))&amp;"","Référence inconnue"))</f>
        <v/>
      </c>
      <c r="C415" s="39" t="str">
        <f>IF(A415="","",IFERROR(INDEX(art_unit,MATCH(A415,art_ref,0))&amp;"",""))</f>
        <v/>
      </c>
      <c r="D415" s="39" t="str">
        <f>IF(A415="","",IFERROR(INDEX(art_loc,MATCH(A415,art_ref,0))&amp;"",""))</f>
        <v/>
      </c>
      <c r="E415" s="39" t="str">
        <f>IF(A415="","",IFERROR(ROUND(N(INDEX(art_init,MATCH(A415,art_ref,0)))+SUMIFS(mv_qty,mv_ref,A415,mv_type,"Entrée",mv_date,"&lt;="&amp;$G$1)-SUMIFS(mv_qty,mv_ref,A415,mv_type,"Sortie",mv_date,"&lt;="&amp;$G$1),6),""))</f>
        <v/>
      </c>
      <c r="F415" s="37" t="n"/>
      <c r="G415" s="39" t="str">
        <f>IF(OR(A415="",F415="",E415=""),"",ROUND(F415-E415,6))</f>
        <v/>
      </c>
      <c r="H415" s="40" t="str">
        <f>IF(G415="","",G415*IFERROR(N(INDEX(art_price,MATCH(A415,art_ref,0))),0))</f>
        <v/>
      </c>
      <c r="I415" s="39" t="str">
        <f>IF(A415="","",IF(E415="","Référence inconnue",IF(F415="","À compter",IF(G415&gt;0,"Saisir une entrée de "&amp;G415,IF(G415&lt;0,"Saisir une sortie de "&amp;-G415,"Conforme")))))</f>
        <v/>
      </c>
    </row>
    <row r="416">
      <c r="A416" s="37" t="n"/>
      <c r="B416" s="39" t="str">
        <f>IF(A416="","",IFERROR(INDEX(art_des,MATCH(A416,art_ref,0))&amp;"","Référence inconnue"))</f>
        <v/>
      </c>
      <c r="C416" s="39" t="str">
        <f>IF(A416="","",IFERROR(INDEX(art_unit,MATCH(A416,art_ref,0))&amp;"",""))</f>
        <v/>
      </c>
      <c r="D416" s="39" t="str">
        <f>IF(A416="","",IFERROR(INDEX(art_loc,MATCH(A416,art_ref,0))&amp;"",""))</f>
        <v/>
      </c>
      <c r="E416" s="39" t="str">
        <f>IF(A416="","",IFERROR(ROUND(N(INDEX(art_init,MATCH(A416,art_ref,0)))+SUMIFS(mv_qty,mv_ref,A416,mv_type,"Entrée",mv_date,"&lt;="&amp;$G$1)-SUMIFS(mv_qty,mv_ref,A416,mv_type,"Sortie",mv_date,"&lt;="&amp;$G$1),6),""))</f>
        <v/>
      </c>
      <c r="F416" s="37" t="n"/>
      <c r="G416" s="39" t="str">
        <f>IF(OR(A416="",F416="",E416=""),"",ROUND(F416-E416,6))</f>
        <v/>
      </c>
      <c r="H416" s="40" t="str">
        <f>IF(G416="","",G416*IFERROR(N(INDEX(art_price,MATCH(A416,art_ref,0))),0))</f>
        <v/>
      </c>
      <c r="I416" s="39" t="str">
        <f>IF(A416="","",IF(E416="","Référence inconnue",IF(F416="","À compter",IF(G416&gt;0,"Saisir une entrée de "&amp;G416,IF(G416&lt;0,"Saisir une sortie de "&amp;-G416,"Conforme")))))</f>
        <v/>
      </c>
    </row>
    <row r="417">
      <c r="A417" s="37" t="n"/>
      <c r="B417" s="39" t="str">
        <f>IF(A417="","",IFERROR(INDEX(art_des,MATCH(A417,art_ref,0))&amp;"","Référence inconnue"))</f>
        <v/>
      </c>
      <c r="C417" s="39" t="str">
        <f>IF(A417="","",IFERROR(INDEX(art_unit,MATCH(A417,art_ref,0))&amp;"",""))</f>
        <v/>
      </c>
      <c r="D417" s="39" t="str">
        <f>IF(A417="","",IFERROR(INDEX(art_loc,MATCH(A417,art_ref,0))&amp;"",""))</f>
        <v/>
      </c>
      <c r="E417" s="39" t="str">
        <f>IF(A417="","",IFERROR(ROUND(N(INDEX(art_init,MATCH(A417,art_ref,0)))+SUMIFS(mv_qty,mv_ref,A417,mv_type,"Entrée",mv_date,"&lt;="&amp;$G$1)-SUMIFS(mv_qty,mv_ref,A417,mv_type,"Sortie",mv_date,"&lt;="&amp;$G$1),6),""))</f>
        <v/>
      </c>
      <c r="F417" s="37" t="n"/>
      <c r="G417" s="39" t="str">
        <f>IF(OR(A417="",F417="",E417=""),"",ROUND(F417-E417,6))</f>
        <v/>
      </c>
      <c r="H417" s="40" t="str">
        <f>IF(G417="","",G417*IFERROR(N(INDEX(art_price,MATCH(A417,art_ref,0))),0))</f>
        <v/>
      </c>
      <c r="I417" s="39" t="str">
        <f>IF(A417="","",IF(E417="","Référence inconnue",IF(F417="","À compter",IF(G417&gt;0,"Saisir une entrée de "&amp;G417,IF(G417&lt;0,"Saisir une sortie de "&amp;-G417,"Conforme")))))</f>
        <v/>
      </c>
    </row>
    <row r="418">
      <c r="A418" s="37" t="n"/>
      <c r="B418" s="39" t="str">
        <f>IF(A418="","",IFERROR(INDEX(art_des,MATCH(A418,art_ref,0))&amp;"","Référence inconnue"))</f>
        <v/>
      </c>
      <c r="C418" s="39" t="str">
        <f>IF(A418="","",IFERROR(INDEX(art_unit,MATCH(A418,art_ref,0))&amp;"",""))</f>
        <v/>
      </c>
      <c r="D418" s="39" t="str">
        <f>IF(A418="","",IFERROR(INDEX(art_loc,MATCH(A418,art_ref,0))&amp;"",""))</f>
        <v/>
      </c>
      <c r="E418" s="39" t="str">
        <f>IF(A418="","",IFERROR(ROUND(N(INDEX(art_init,MATCH(A418,art_ref,0)))+SUMIFS(mv_qty,mv_ref,A418,mv_type,"Entrée",mv_date,"&lt;="&amp;$G$1)-SUMIFS(mv_qty,mv_ref,A418,mv_type,"Sortie",mv_date,"&lt;="&amp;$G$1),6),""))</f>
        <v/>
      </c>
      <c r="F418" s="37" t="n"/>
      <c r="G418" s="39" t="str">
        <f>IF(OR(A418="",F418="",E418=""),"",ROUND(F418-E418,6))</f>
        <v/>
      </c>
      <c r="H418" s="40" t="str">
        <f>IF(G418="","",G418*IFERROR(N(INDEX(art_price,MATCH(A418,art_ref,0))),0))</f>
        <v/>
      </c>
      <c r="I418" s="39" t="str">
        <f>IF(A418="","",IF(E418="","Référence inconnue",IF(F418="","À compter",IF(G418&gt;0,"Saisir une entrée de "&amp;G418,IF(G418&lt;0,"Saisir une sortie de "&amp;-G418,"Conforme")))))</f>
        <v/>
      </c>
    </row>
    <row r="419">
      <c r="A419" s="37" t="n"/>
      <c r="B419" s="39" t="str">
        <f>IF(A419="","",IFERROR(INDEX(art_des,MATCH(A419,art_ref,0))&amp;"","Référence inconnue"))</f>
        <v/>
      </c>
      <c r="C419" s="39" t="str">
        <f>IF(A419="","",IFERROR(INDEX(art_unit,MATCH(A419,art_ref,0))&amp;"",""))</f>
        <v/>
      </c>
      <c r="D419" s="39" t="str">
        <f>IF(A419="","",IFERROR(INDEX(art_loc,MATCH(A419,art_ref,0))&amp;"",""))</f>
        <v/>
      </c>
      <c r="E419" s="39" t="str">
        <f>IF(A419="","",IFERROR(ROUND(N(INDEX(art_init,MATCH(A419,art_ref,0)))+SUMIFS(mv_qty,mv_ref,A419,mv_type,"Entrée",mv_date,"&lt;="&amp;$G$1)-SUMIFS(mv_qty,mv_ref,A419,mv_type,"Sortie",mv_date,"&lt;="&amp;$G$1),6),""))</f>
        <v/>
      </c>
      <c r="F419" s="37" t="n"/>
      <c r="G419" s="39" t="str">
        <f>IF(OR(A419="",F419="",E419=""),"",ROUND(F419-E419,6))</f>
        <v/>
      </c>
      <c r="H419" s="40" t="str">
        <f>IF(G419="","",G419*IFERROR(N(INDEX(art_price,MATCH(A419,art_ref,0))),0))</f>
        <v/>
      </c>
      <c r="I419" s="39" t="str">
        <f>IF(A419="","",IF(E419="","Référence inconnue",IF(F419="","À compter",IF(G419&gt;0,"Saisir une entrée de "&amp;G419,IF(G419&lt;0,"Saisir une sortie de "&amp;-G419,"Conforme")))))</f>
        <v/>
      </c>
    </row>
    <row r="420">
      <c r="A420" s="37" t="n"/>
      <c r="B420" s="39" t="str">
        <f>IF(A420="","",IFERROR(INDEX(art_des,MATCH(A420,art_ref,0))&amp;"","Référence inconnue"))</f>
        <v/>
      </c>
      <c r="C420" s="39" t="str">
        <f>IF(A420="","",IFERROR(INDEX(art_unit,MATCH(A420,art_ref,0))&amp;"",""))</f>
        <v/>
      </c>
      <c r="D420" s="39" t="str">
        <f>IF(A420="","",IFERROR(INDEX(art_loc,MATCH(A420,art_ref,0))&amp;"",""))</f>
        <v/>
      </c>
      <c r="E420" s="39" t="str">
        <f>IF(A420="","",IFERROR(ROUND(N(INDEX(art_init,MATCH(A420,art_ref,0)))+SUMIFS(mv_qty,mv_ref,A420,mv_type,"Entrée",mv_date,"&lt;="&amp;$G$1)-SUMIFS(mv_qty,mv_ref,A420,mv_type,"Sortie",mv_date,"&lt;="&amp;$G$1),6),""))</f>
        <v/>
      </c>
      <c r="F420" s="37" t="n"/>
      <c r="G420" s="39" t="str">
        <f>IF(OR(A420="",F420="",E420=""),"",ROUND(F420-E420,6))</f>
        <v/>
      </c>
      <c r="H420" s="40" t="str">
        <f>IF(G420="","",G420*IFERROR(N(INDEX(art_price,MATCH(A420,art_ref,0))),0))</f>
        <v/>
      </c>
      <c r="I420" s="39" t="str">
        <f>IF(A420="","",IF(E420="","Référence inconnue",IF(F420="","À compter",IF(G420&gt;0,"Saisir une entrée de "&amp;G420,IF(G420&lt;0,"Saisir une sortie de "&amp;-G420,"Conforme")))))</f>
        <v/>
      </c>
    </row>
    <row r="421">
      <c r="A421" s="37" t="n"/>
      <c r="B421" s="39" t="str">
        <f>IF(A421="","",IFERROR(INDEX(art_des,MATCH(A421,art_ref,0))&amp;"","Référence inconnue"))</f>
        <v/>
      </c>
      <c r="C421" s="39" t="str">
        <f>IF(A421="","",IFERROR(INDEX(art_unit,MATCH(A421,art_ref,0))&amp;"",""))</f>
        <v/>
      </c>
      <c r="D421" s="39" t="str">
        <f>IF(A421="","",IFERROR(INDEX(art_loc,MATCH(A421,art_ref,0))&amp;"",""))</f>
        <v/>
      </c>
      <c r="E421" s="39" t="str">
        <f>IF(A421="","",IFERROR(ROUND(N(INDEX(art_init,MATCH(A421,art_ref,0)))+SUMIFS(mv_qty,mv_ref,A421,mv_type,"Entrée",mv_date,"&lt;="&amp;$G$1)-SUMIFS(mv_qty,mv_ref,A421,mv_type,"Sortie",mv_date,"&lt;="&amp;$G$1),6),""))</f>
        <v/>
      </c>
      <c r="F421" s="37" t="n"/>
      <c r="G421" s="39" t="str">
        <f>IF(OR(A421="",F421="",E421=""),"",ROUND(F421-E421,6))</f>
        <v/>
      </c>
      <c r="H421" s="40" t="str">
        <f>IF(G421="","",G421*IFERROR(N(INDEX(art_price,MATCH(A421,art_ref,0))),0))</f>
        <v/>
      </c>
      <c r="I421" s="39" t="str">
        <f>IF(A421="","",IF(E421="","Référence inconnue",IF(F421="","À compter",IF(G421&gt;0,"Saisir une entrée de "&amp;G421,IF(G421&lt;0,"Saisir une sortie de "&amp;-G421,"Conforme")))))</f>
        <v/>
      </c>
    </row>
    <row r="422">
      <c r="A422" s="37" t="n"/>
      <c r="B422" s="39" t="str">
        <f>IF(A422="","",IFERROR(INDEX(art_des,MATCH(A422,art_ref,0))&amp;"","Référence inconnue"))</f>
        <v/>
      </c>
      <c r="C422" s="39" t="str">
        <f>IF(A422="","",IFERROR(INDEX(art_unit,MATCH(A422,art_ref,0))&amp;"",""))</f>
        <v/>
      </c>
      <c r="D422" s="39" t="str">
        <f>IF(A422="","",IFERROR(INDEX(art_loc,MATCH(A422,art_ref,0))&amp;"",""))</f>
        <v/>
      </c>
      <c r="E422" s="39" t="str">
        <f>IF(A422="","",IFERROR(ROUND(N(INDEX(art_init,MATCH(A422,art_ref,0)))+SUMIFS(mv_qty,mv_ref,A422,mv_type,"Entrée",mv_date,"&lt;="&amp;$G$1)-SUMIFS(mv_qty,mv_ref,A422,mv_type,"Sortie",mv_date,"&lt;="&amp;$G$1),6),""))</f>
        <v/>
      </c>
      <c r="F422" s="37" t="n"/>
      <c r="G422" s="39" t="str">
        <f>IF(OR(A422="",F422="",E422=""),"",ROUND(F422-E422,6))</f>
        <v/>
      </c>
      <c r="H422" s="40" t="str">
        <f>IF(G422="","",G422*IFERROR(N(INDEX(art_price,MATCH(A422,art_ref,0))),0))</f>
        <v/>
      </c>
      <c r="I422" s="39" t="str">
        <f>IF(A422="","",IF(E422="","Référence inconnue",IF(F422="","À compter",IF(G422&gt;0,"Saisir une entrée de "&amp;G422,IF(G422&lt;0,"Saisir une sortie de "&amp;-G422,"Conforme")))))</f>
        <v/>
      </c>
    </row>
    <row r="423">
      <c r="A423" s="37" t="n"/>
      <c r="B423" s="39" t="str">
        <f>IF(A423="","",IFERROR(INDEX(art_des,MATCH(A423,art_ref,0))&amp;"","Référence inconnue"))</f>
        <v/>
      </c>
      <c r="C423" s="39" t="str">
        <f>IF(A423="","",IFERROR(INDEX(art_unit,MATCH(A423,art_ref,0))&amp;"",""))</f>
        <v/>
      </c>
      <c r="D423" s="39" t="str">
        <f>IF(A423="","",IFERROR(INDEX(art_loc,MATCH(A423,art_ref,0))&amp;"",""))</f>
        <v/>
      </c>
      <c r="E423" s="39" t="str">
        <f>IF(A423="","",IFERROR(ROUND(N(INDEX(art_init,MATCH(A423,art_ref,0)))+SUMIFS(mv_qty,mv_ref,A423,mv_type,"Entrée",mv_date,"&lt;="&amp;$G$1)-SUMIFS(mv_qty,mv_ref,A423,mv_type,"Sortie",mv_date,"&lt;="&amp;$G$1),6),""))</f>
        <v/>
      </c>
      <c r="F423" s="37" t="n"/>
      <c r="G423" s="39" t="str">
        <f>IF(OR(A423="",F423="",E423=""),"",ROUND(F423-E423,6))</f>
        <v/>
      </c>
      <c r="H423" s="40" t="str">
        <f>IF(G423="","",G423*IFERROR(N(INDEX(art_price,MATCH(A423,art_ref,0))),0))</f>
        <v/>
      </c>
      <c r="I423" s="39" t="str">
        <f>IF(A423="","",IF(E423="","Référence inconnue",IF(F423="","À compter",IF(G423&gt;0,"Saisir une entrée de "&amp;G423,IF(G423&lt;0,"Saisir une sortie de "&amp;-G423,"Conforme")))))</f>
        <v/>
      </c>
    </row>
    <row r="424">
      <c r="A424" s="37" t="n"/>
      <c r="B424" s="39" t="str">
        <f>IF(A424="","",IFERROR(INDEX(art_des,MATCH(A424,art_ref,0))&amp;"","Référence inconnue"))</f>
        <v/>
      </c>
      <c r="C424" s="39" t="str">
        <f>IF(A424="","",IFERROR(INDEX(art_unit,MATCH(A424,art_ref,0))&amp;"",""))</f>
        <v/>
      </c>
      <c r="D424" s="39" t="str">
        <f>IF(A424="","",IFERROR(INDEX(art_loc,MATCH(A424,art_ref,0))&amp;"",""))</f>
        <v/>
      </c>
      <c r="E424" s="39" t="str">
        <f>IF(A424="","",IFERROR(ROUND(N(INDEX(art_init,MATCH(A424,art_ref,0)))+SUMIFS(mv_qty,mv_ref,A424,mv_type,"Entrée",mv_date,"&lt;="&amp;$G$1)-SUMIFS(mv_qty,mv_ref,A424,mv_type,"Sortie",mv_date,"&lt;="&amp;$G$1),6),""))</f>
        <v/>
      </c>
      <c r="F424" s="37" t="n"/>
      <c r="G424" s="39" t="str">
        <f>IF(OR(A424="",F424="",E424=""),"",ROUND(F424-E424,6))</f>
        <v/>
      </c>
      <c r="H424" s="40" t="str">
        <f>IF(G424="","",G424*IFERROR(N(INDEX(art_price,MATCH(A424,art_ref,0))),0))</f>
        <v/>
      </c>
      <c r="I424" s="39" t="str">
        <f>IF(A424="","",IF(E424="","Référence inconnue",IF(F424="","À compter",IF(G424&gt;0,"Saisir une entrée de "&amp;G424,IF(G424&lt;0,"Saisir une sortie de "&amp;-G424,"Conforme")))))</f>
        <v/>
      </c>
    </row>
    <row r="425">
      <c r="A425" s="37" t="n"/>
      <c r="B425" s="39" t="str">
        <f>IF(A425="","",IFERROR(INDEX(art_des,MATCH(A425,art_ref,0))&amp;"","Référence inconnue"))</f>
        <v/>
      </c>
      <c r="C425" s="39" t="str">
        <f>IF(A425="","",IFERROR(INDEX(art_unit,MATCH(A425,art_ref,0))&amp;"",""))</f>
        <v/>
      </c>
      <c r="D425" s="39" t="str">
        <f>IF(A425="","",IFERROR(INDEX(art_loc,MATCH(A425,art_ref,0))&amp;"",""))</f>
        <v/>
      </c>
      <c r="E425" s="39" t="str">
        <f>IF(A425="","",IFERROR(ROUND(N(INDEX(art_init,MATCH(A425,art_ref,0)))+SUMIFS(mv_qty,mv_ref,A425,mv_type,"Entrée",mv_date,"&lt;="&amp;$G$1)-SUMIFS(mv_qty,mv_ref,A425,mv_type,"Sortie",mv_date,"&lt;="&amp;$G$1),6),""))</f>
        <v/>
      </c>
      <c r="F425" s="37" t="n"/>
      <c r="G425" s="39" t="str">
        <f>IF(OR(A425="",F425="",E425=""),"",ROUND(F425-E425,6))</f>
        <v/>
      </c>
      <c r="H425" s="40" t="str">
        <f>IF(G425="","",G425*IFERROR(N(INDEX(art_price,MATCH(A425,art_ref,0))),0))</f>
        <v/>
      </c>
      <c r="I425" s="39" t="str">
        <f>IF(A425="","",IF(E425="","Référence inconnue",IF(F425="","À compter",IF(G425&gt;0,"Saisir une entrée de "&amp;G425,IF(G425&lt;0,"Saisir une sortie de "&amp;-G425,"Conforme")))))</f>
        <v/>
      </c>
    </row>
    <row r="426">
      <c r="A426" s="37" t="n"/>
      <c r="B426" s="39" t="str">
        <f>IF(A426="","",IFERROR(INDEX(art_des,MATCH(A426,art_ref,0))&amp;"","Référence inconnue"))</f>
        <v/>
      </c>
      <c r="C426" s="39" t="str">
        <f>IF(A426="","",IFERROR(INDEX(art_unit,MATCH(A426,art_ref,0))&amp;"",""))</f>
        <v/>
      </c>
      <c r="D426" s="39" t="str">
        <f>IF(A426="","",IFERROR(INDEX(art_loc,MATCH(A426,art_ref,0))&amp;"",""))</f>
        <v/>
      </c>
      <c r="E426" s="39" t="str">
        <f>IF(A426="","",IFERROR(ROUND(N(INDEX(art_init,MATCH(A426,art_ref,0)))+SUMIFS(mv_qty,mv_ref,A426,mv_type,"Entrée",mv_date,"&lt;="&amp;$G$1)-SUMIFS(mv_qty,mv_ref,A426,mv_type,"Sortie",mv_date,"&lt;="&amp;$G$1),6),""))</f>
        <v/>
      </c>
      <c r="F426" s="37" t="n"/>
      <c r="G426" s="39" t="str">
        <f>IF(OR(A426="",F426="",E426=""),"",ROUND(F426-E426,6))</f>
        <v/>
      </c>
      <c r="H426" s="40" t="str">
        <f>IF(G426="","",G426*IFERROR(N(INDEX(art_price,MATCH(A426,art_ref,0))),0))</f>
        <v/>
      </c>
      <c r="I426" s="39" t="str">
        <f>IF(A426="","",IF(E426="","Référence inconnue",IF(F426="","À compter",IF(G426&gt;0,"Saisir une entrée de "&amp;G426,IF(G426&lt;0,"Saisir une sortie de "&amp;-G426,"Conforme")))))</f>
        <v/>
      </c>
    </row>
    <row r="427">
      <c r="A427" s="37" t="n"/>
      <c r="B427" s="39" t="str">
        <f>IF(A427="","",IFERROR(INDEX(art_des,MATCH(A427,art_ref,0))&amp;"","Référence inconnue"))</f>
        <v/>
      </c>
      <c r="C427" s="39" t="str">
        <f>IF(A427="","",IFERROR(INDEX(art_unit,MATCH(A427,art_ref,0))&amp;"",""))</f>
        <v/>
      </c>
      <c r="D427" s="39" t="str">
        <f>IF(A427="","",IFERROR(INDEX(art_loc,MATCH(A427,art_ref,0))&amp;"",""))</f>
        <v/>
      </c>
      <c r="E427" s="39" t="str">
        <f>IF(A427="","",IFERROR(ROUND(N(INDEX(art_init,MATCH(A427,art_ref,0)))+SUMIFS(mv_qty,mv_ref,A427,mv_type,"Entrée",mv_date,"&lt;="&amp;$G$1)-SUMIFS(mv_qty,mv_ref,A427,mv_type,"Sortie",mv_date,"&lt;="&amp;$G$1),6),""))</f>
        <v/>
      </c>
      <c r="F427" s="37" t="n"/>
      <c r="G427" s="39" t="str">
        <f>IF(OR(A427="",F427="",E427=""),"",ROUND(F427-E427,6))</f>
        <v/>
      </c>
      <c r="H427" s="40" t="str">
        <f>IF(G427="","",G427*IFERROR(N(INDEX(art_price,MATCH(A427,art_ref,0))),0))</f>
        <v/>
      </c>
      <c r="I427" s="39" t="str">
        <f>IF(A427="","",IF(E427="","Référence inconnue",IF(F427="","À compter",IF(G427&gt;0,"Saisir une entrée de "&amp;G427,IF(G427&lt;0,"Saisir une sortie de "&amp;-G427,"Conforme")))))</f>
        <v/>
      </c>
    </row>
    <row r="428">
      <c r="A428" s="37" t="n"/>
      <c r="B428" s="39" t="str">
        <f>IF(A428="","",IFERROR(INDEX(art_des,MATCH(A428,art_ref,0))&amp;"","Référence inconnue"))</f>
        <v/>
      </c>
      <c r="C428" s="39" t="str">
        <f>IF(A428="","",IFERROR(INDEX(art_unit,MATCH(A428,art_ref,0))&amp;"",""))</f>
        <v/>
      </c>
      <c r="D428" s="39" t="str">
        <f>IF(A428="","",IFERROR(INDEX(art_loc,MATCH(A428,art_ref,0))&amp;"",""))</f>
        <v/>
      </c>
      <c r="E428" s="39" t="str">
        <f>IF(A428="","",IFERROR(ROUND(N(INDEX(art_init,MATCH(A428,art_ref,0)))+SUMIFS(mv_qty,mv_ref,A428,mv_type,"Entrée",mv_date,"&lt;="&amp;$G$1)-SUMIFS(mv_qty,mv_ref,A428,mv_type,"Sortie",mv_date,"&lt;="&amp;$G$1),6),""))</f>
        <v/>
      </c>
      <c r="F428" s="37" t="n"/>
      <c r="G428" s="39" t="str">
        <f>IF(OR(A428="",F428="",E428=""),"",ROUND(F428-E428,6))</f>
        <v/>
      </c>
      <c r="H428" s="40" t="str">
        <f>IF(G428="","",G428*IFERROR(N(INDEX(art_price,MATCH(A428,art_ref,0))),0))</f>
        <v/>
      </c>
      <c r="I428" s="39" t="str">
        <f>IF(A428="","",IF(E428="","Référence inconnue",IF(F428="","À compter",IF(G428&gt;0,"Saisir une entrée de "&amp;G428,IF(G428&lt;0,"Saisir une sortie de "&amp;-G428,"Conforme")))))</f>
        <v/>
      </c>
    </row>
    <row r="429">
      <c r="A429" s="37" t="n"/>
      <c r="B429" s="39" t="str">
        <f>IF(A429="","",IFERROR(INDEX(art_des,MATCH(A429,art_ref,0))&amp;"","Référence inconnue"))</f>
        <v/>
      </c>
      <c r="C429" s="39" t="str">
        <f>IF(A429="","",IFERROR(INDEX(art_unit,MATCH(A429,art_ref,0))&amp;"",""))</f>
        <v/>
      </c>
      <c r="D429" s="39" t="str">
        <f>IF(A429="","",IFERROR(INDEX(art_loc,MATCH(A429,art_ref,0))&amp;"",""))</f>
        <v/>
      </c>
      <c r="E429" s="39" t="str">
        <f>IF(A429="","",IFERROR(ROUND(N(INDEX(art_init,MATCH(A429,art_ref,0)))+SUMIFS(mv_qty,mv_ref,A429,mv_type,"Entrée",mv_date,"&lt;="&amp;$G$1)-SUMIFS(mv_qty,mv_ref,A429,mv_type,"Sortie",mv_date,"&lt;="&amp;$G$1),6),""))</f>
        <v/>
      </c>
      <c r="F429" s="37" t="n"/>
      <c r="G429" s="39" t="str">
        <f>IF(OR(A429="",F429="",E429=""),"",ROUND(F429-E429,6))</f>
        <v/>
      </c>
      <c r="H429" s="40" t="str">
        <f>IF(G429="","",G429*IFERROR(N(INDEX(art_price,MATCH(A429,art_ref,0))),0))</f>
        <v/>
      </c>
      <c r="I429" s="39" t="str">
        <f>IF(A429="","",IF(E429="","Référence inconnue",IF(F429="","À compter",IF(G429&gt;0,"Saisir une entrée de "&amp;G429,IF(G429&lt;0,"Saisir une sortie de "&amp;-G429,"Conforme")))))</f>
        <v/>
      </c>
    </row>
    <row r="430">
      <c r="A430" s="37" t="n"/>
      <c r="B430" s="39" t="str">
        <f>IF(A430="","",IFERROR(INDEX(art_des,MATCH(A430,art_ref,0))&amp;"","Référence inconnue"))</f>
        <v/>
      </c>
      <c r="C430" s="39" t="str">
        <f>IF(A430="","",IFERROR(INDEX(art_unit,MATCH(A430,art_ref,0))&amp;"",""))</f>
        <v/>
      </c>
      <c r="D430" s="39" t="str">
        <f>IF(A430="","",IFERROR(INDEX(art_loc,MATCH(A430,art_ref,0))&amp;"",""))</f>
        <v/>
      </c>
      <c r="E430" s="39" t="str">
        <f>IF(A430="","",IFERROR(ROUND(N(INDEX(art_init,MATCH(A430,art_ref,0)))+SUMIFS(mv_qty,mv_ref,A430,mv_type,"Entrée",mv_date,"&lt;="&amp;$G$1)-SUMIFS(mv_qty,mv_ref,A430,mv_type,"Sortie",mv_date,"&lt;="&amp;$G$1),6),""))</f>
        <v/>
      </c>
      <c r="F430" s="37" t="n"/>
      <c r="G430" s="39" t="str">
        <f>IF(OR(A430="",F430="",E430=""),"",ROUND(F430-E430,6))</f>
        <v/>
      </c>
      <c r="H430" s="40" t="str">
        <f>IF(G430="","",G430*IFERROR(N(INDEX(art_price,MATCH(A430,art_ref,0))),0))</f>
        <v/>
      </c>
      <c r="I430" s="39" t="str">
        <f>IF(A430="","",IF(E430="","Référence inconnue",IF(F430="","À compter",IF(G430&gt;0,"Saisir une entrée de "&amp;G430,IF(G430&lt;0,"Saisir une sortie de "&amp;-G430,"Conforme")))))</f>
        <v/>
      </c>
    </row>
    <row r="431">
      <c r="A431" s="37" t="n"/>
      <c r="B431" s="39" t="str">
        <f>IF(A431="","",IFERROR(INDEX(art_des,MATCH(A431,art_ref,0))&amp;"","Référence inconnue"))</f>
        <v/>
      </c>
      <c r="C431" s="39" t="str">
        <f>IF(A431="","",IFERROR(INDEX(art_unit,MATCH(A431,art_ref,0))&amp;"",""))</f>
        <v/>
      </c>
      <c r="D431" s="39" t="str">
        <f>IF(A431="","",IFERROR(INDEX(art_loc,MATCH(A431,art_ref,0))&amp;"",""))</f>
        <v/>
      </c>
      <c r="E431" s="39" t="str">
        <f>IF(A431="","",IFERROR(ROUND(N(INDEX(art_init,MATCH(A431,art_ref,0)))+SUMIFS(mv_qty,mv_ref,A431,mv_type,"Entrée",mv_date,"&lt;="&amp;$G$1)-SUMIFS(mv_qty,mv_ref,A431,mv_type,"Sortie",mv_date,"&lt;="&amp;$G$1),6),""))</f>
        <v/>
      </c>
      <c r="F431" s="37" t="n"/>
      <c r="G431" s="39" t="str">
        <f>IF(OR(A431="",F431="",E431=""),"",ROUND(F431-E431,6))</f>
        <v/>
      </c>
      <c r="H431" s="40" t="str">
        <f>IF(G431="","",G431*IFERROR(N(INDEX(art_price,MATCH(A431,art_ref,0))),0))</f>
        <v/>
      </c>
      <c r="I431" s="39" t="str">
        <f>IF(A431="","",IF(E431="","Référence inconnue",IF(F431="","À compter",IF(G431&gt;0,"Saisir une entrée de "&amp;G431,IF(G431&lt;0,"Saisir une sortie de "&amp;-G431,"Conforme")))))</f>
        <v/>
      </c>
    </row>
    <row r="432">
      <c r="A432" s="37" t="n"/>
      <c r="B432" s="39" t="str">
        <f>IF(A432="","",IFERROR(INDEX(art_des,MATCH(A432,art_ref,0))&amp;"","Référence inconnue"))</f>
        <v/>
      </c>
      <c r="C432" s="39" t="str">
        <f>IF(A432="","",IFERROR(INDEX(art_unit,MATCH(A432,art_ref,0))&amp;"",""))</f>
        <v/>
      </c>
      <c r="D432" s="39" t="str">
        <f>IF(A432="","",IFERROR(INDEX(art_loc,MATCH(A432,art_ref,0))&amp;"",""))</f>
        <v/>
      </c>
      <c r="E432" s="39" t="str">
        <f>IF(A432="","",IFERROR(ROUND(N(INDEX(art_init,MATCH(A432,art_ref,0)))+SUMIFS(mv_qty,mv_ref,A432,mv_type,"Entrée",mv_date,"&lt;="&amp;$G$1)-SUMIFS(mv_qty,mv_ref,A432,mv_type,"Sortie",mv_date,"&lt;="&amp;$G$1),6),""))</f>
        <v/>
      </c>
      <c r="F432" s="37" t="n"/>
      <c r="G432" s="39" t="str">
        <f>IF(OR(A432="",F432="",E432=""),"",ROUND(F432-E432,6))</f>
        <v/>
      </c>
      <c r="H432" s="40" t="str">
        <f>IF(G432="","",G432*IFERROR(N(INDEX(art_price,MATCH(A432,art_ref,0))),0))</f>
        <v/>
      </c>
      <c r="I432" s="39" t="str">
        <f>IF(A432="","",IF(E432="","Référence inconnue",IF(F432="","À compter",IF(G432&gt;0,"Saisir une entrée de "&amp;G432,IF(G432&lt;0,"Saisir une sortie de "&amp;-G432,"Conforme")))))</f>
        <v/>
      </c>
    </row>
    <row r="433">
      <c r="A433" s="37" t="n"/>
      <c r="B433" s="39" t="str">
        <f>IF(A433="","",IFERROR(INDEX(art_des,MATCH(A433,art_ref,0))&amp;"","Référence inconnue"))</f>
        <v/>
      </c>
      <c r="C433" s="39" t="str">
        <f>IF(A433="","",IFERROR(INDEX(art_unit,MATCH(A433,art_ref,0))&amp;"",""))</f>
        <v/>
      </c>
      <c r="D433" s="39" t="str">
        <f>IF(A433="","",IFERROR(INDEX(art_loc,MATCH(A433,art_ref,0))&amp;"",""))</f>
        <v/>
      </c>
      <c r="E433" s="39" t="str">
        <f>IF(A433="","",IFERROR(ROUND(N(INDEX(art_init,MATCH(A433,art_ref,0)))+SUMIFS(mv_qty,mv_ref,A433,mv_type,"Entrée",mv_date,"&lt;="&amp;$G$1)-SUMIFS(mv_qty,mv_ref,A433,mv_type,"Sortie",mv_date,"&lt;="&amp;$G$1),6),""))</f>
        <v/>
      </c>
      <c r="F433" s="37" t="n"/>
      <c r="G433" s="39" t="str">
        <f>IF(OR(A433="",F433="",E433=""),"",ROUND(F433-E433,6))</f>
        <v/>
      </c>
      <c r="H433" s="40" t="str">
        <f>IF(G433="","",G433*IFERROR(N(INDEX(art_price,MATCH(A433,art_ref,0))),0))</f>
        <v/>
      </c>
      <c r="I433" s="39" t="str">
        <f>IF(A433="","",IF(E433="","Référence inconnue",IF(F433="","À compter",IF(G433&gt;0,"Saisir une entrée de "&amp;G433,IF(G433&lt;0,"Saisir une sortie de "&amp;-G433,"Conforme")))))</f>
        <v/>
      </c>
    </row>
    <row r="434">
      <c r="A434" s="37" t="n"/>
      <c r="B434" s="39" t="str">
        <f>IF(A434="","",IFERROR(INDEX(art_des,MATCH(A434,art_ref,0))&amp;"","Référence inconnue"))</f>
        <v/>
      </c>
      <c r="C434" s="39" t="str">
        <f>IF(A434="","",IFERROR(INDEX(art_unit,MATCH(A434,art_ref,0))&amp;"",""))</f>
        <v/>
      </c>
      <c r="D434" s="39" t="str">
        <f>IF(A434="","",IFERROR(INDEX(art_loc,MATCH(A434,art_ref,0))&amp;"",""))</f>
        <v/>
      </c>
      <c r="E434" s="39" t="str">
        <f>IF(A434="","",IFERROR(ROUND(N(INDEX(art_init,MATCH(A434,art_ref,0)))+SUMIFS(mv_qty,mv_ref,A434,mv_type,"Entrée",mv_date,"&lt;="&amp;$G$1)-SUMIFS(mv_qty,mv_ref,A434,mv_type,"Sortie",mv_date,"&lt;="&amp;$G$1),6),""))</f>
        <v/>
      </c>
      <c r="F434" s="37" t="n"/>
      <c r="G434" s="39" t="str">
        <f>IF(OR(A434="",F434="",E434=""),"",ROUND(F434-E434,6))</f>
        <v/>
      </c>
      <c r="H434" s="40" t="str">
        <f>IF(G434="","",G434*IFERROR(N(INDEX(art_price,MATCH(A434,art_ref,0))),0))</f>
        <v/>
      </c>
      <c r="I434" s="39" t="str">
        <f>IF(A434="","",IF(E434="","Référence inconnue",IF(F434="","À compter",IF(G434&gt;0,"Saisir une entrée de "&amp;G434,IF(G434&lt;0,"Saisir une sortie de "&amp;-G434,"Conforme")))))</f>
        <v/>
      </c>
    </row>
    <row r="435">
      <c r="A435" s="37" t="n"/>
      <c r="B435" s="39" t="str">
        <f>IF(A435="","",IFERROR(INDEX(art_des,MATCH(A435,art_ref,0))&amp;"","Référence inconnue"))</f>
        <v/>
      </c>
      <c r="C435" s="39" t="str">
        <f>IF(A435="","",IFERROR(INDEX(art_unit,MATCH(A435,art_ref,0))&amp;"",""))</f>
        <v/>
      </c>
      <c r="D435" s="39" t="str">
        <f>IF(A435="","",IFERROR(INDEX(art_loc,MATCH(A435,art_ref,0))&amp;"",""))</f>
        <v/>
      </c>
      <c r="E435" s="39" t="str">
        <f>IF(A435="","",IFERROR(ROUND(N(INDEX(art_init,MATCH(A435,art_ref,0)))+SUMIFS(mv_qty,mv_ref,A435,mv_type,"Entrée",mv_date,"&lt;="&amp;$G$1)-SUMIFS(mv_qty,mv_ref,A435,mv_type,"Sortie",mv_date,"&lt;="&amp;$G$1),6),""))</f>
        <v/>
      </c>
      <c r="F435" s="37" t="n"/>
      <c r="G435" s="39" t="str">
        <f>IF(OR(A435="",F435="",E435=""),"",ROUND(F435-E435,6))</f>
        <v/>
      </c>
      <c r="H435" s="40" t="str">
        <f>IF(G435="","",G435*IFERROR(N(INDEX(art_price,MATCH(A435,art_ref,0))),0))</f>
        <v/>
      </c>
      <c r="I435" s="39" t="str">
        <f>IF(A435="","",IF(E435="","Référence inconnue",IF(F435="","À compter",IF(G435&gt;0,"Saisir une entrée de "&amp;G435,IF(G435&lt;0,"Saisir une sortie de "&amp;-G435,"Conforme")))))</f>
        <v/>
      </c>
    </row>
    <row r="436">
      <c r="A436" s="37" t="n"/>
      <c r="B436" s="39" t="str">
        <f>IF(A436="","",IFERROR(INDEX(art_des,MATCH(A436,art_ref,0))&amp;"","Référence inconnue"))</f>
        <v/>
      </c>
      <c r="C436" s="39" t="str">
        <f>IF(A436="","",IFERROR(INDEX(art_unit,MATCH(A436,art_ref,0))&amp;"",""))</f>
        <v/>
      </c>
      <c r="D436" s="39" t="str">
        <f>IF(A436="","",IFERROR(INDEX(art_loc,MATCH(A436,art_ref,0))&amp;"",""))</f>
        <v/>
      </c>
      <c r="E436" s="39" t="str">
        <f>IF(A436="","",IFERROR(ROUND(N(INDEX(art_init,MATCH(A436,art_ref,0)))+SUMIFS(mv_qty,mv_ref,A436,mv_type,"Entrée",mv_date,"&lt;="&amp;$G$1)-SUMIFS(mv_qty,mv_ref,A436,mv_type,"Sortie",mv_date,"&lt;="&amp;$G$1),6),""))</f>
        <v/>
      </c>
      <c r="F436" s="37" t="n"/>
      <c r="G436" s="39" t="str">
        <f>IF(OR(A436="",F436="",E436=""),"",ROUND(F436-E436,6))</f>
        <v/>
      </c>
      <c r="H436" s="40" t="str">
        <f>IF(G436="","",G436*IFERROR(N(INDEX(art_price,MATCH(A436,art_ref,0))),0))</f>
        <v/>
      </c>
      <c r="I436" s="39" t="str">
        <f>IF(A436="","",IF(E436="","Référence inconnue",IF(F436="","À compter",IF(G436&gt;0,"Saisir une entrée de "&amp;G436,IF(G436&lt;0,"Saisir une sortie de "&amp;-G436,"Conforme")))))</f>
        <v/>
      </c>
    </row>
    <row r="437">
      <c r="A437" s="37" t="n"/>
      <c r="B437" s="39" t="str">
        <f>IF(A437="","",IFERROR(INDEX(art_des,MATCH(A437,art_ref,0))&amp;"","Référence inconnue"))</f>
        <v/>
      </c>
      <c r="C437" s="39" t="str">
        <f>IF(A437="","",IFERROR(INDEX(art_unit,MATCH(A437,art_ref,0))&amp;"",""))</f>
        <v/>
      </c>
      <c r="D437" s="39" t="str">
        <f>IF(A437="","",IFERROR(INDEX(art_loc,MATCH(A437,art_ref,0))&amp;"",""))</f>
        <v/>
      </c>
      <c r="E437" s="39" t="str">
        <f>IF(A437="","",IFERROR(ROUND(N(INDEX(art_init,MATCH(A437,art_ref,0)))+SUMIFS(mv_qty,mv_ref,A437,mv_type,"Entrée",mv_date,"&lt;="&amp;$G$1)-SUMIFS(mv_qty,mv_ref,A437,mv_type,"Sortie",mv_date,"&lt;="&amp;$G$1),6),""))</f>
        <v/>
      </c>
      <c r="F437" s="37" t="n"/>
      <c r="G437" s="39" t="str">
        <f>IF(OR(A437="",F437="",E437=""),"",ROUND(F437-E437,6))</f>
        <v/>
      </c>
      <c r="H437" s="40" t="str">
        <f>IF(G437="","",G437*IFERROR(N(INDEX(art_price,MATCH(A437,art_ref,0))),0))</f>
        <v/>
      </c>
      <c r="I437" s="39" t="str">
        <f>IF(A437="","",IF(E437="","Référence inconnue",IF(F437="","À compter",IF(G437&gt;0,"Saisir une entrée de "&amp;G437,IF(G437&lt;0,"Saisir une sortie de "&amp;-G437,"Conforme")))))</f>
        <v/>
      </c>
    </row>
    <row r="438">
      <c r="A438" s="37" t="n"/>
      <c r="B438" s="39" t="str">
        <f>IF(A438="","",IFERROR(INDEX(art_des,MATCH(A438,art_ref,0))&amp;"","Référence inconnue"))</f>
        <v/>
      </c>
      <c r="C438" s="39" t="str">
        <f>IF(A438="","",IFERROR(INDEX(art_unit,MATCH(A438,art_ref,0))&amp;"",""))</f>
        <v/>
      </c>
      <c r="D438" s="39" t="str">
        <f>IF(A438="","",IFERROR(INDEX(art_loc,MATCH(A438,art_ref,0))&amp;"",""))</f>
        <v/>
      </c>
      <c r="E438" s="39" t="str">
        <f>IF(A438="","",IFERROR(ROUND(N(INDEX(art_init,MATCH(A438,art_ref,0)))+SUMIFS(mv_qty,mv_ref,A438,mv_type,"Entrée",mv_date,"&lt;="&amp;$G$1)-SUMIFS(mv_qty,mv_ref,A438,mv_type,"Sortie",mv_date,"&lt;="&amp;$G$1),6),""))</f>
        <v/>
      </c>
      <c r="F438" s="37" t="n"/>
      <c r="G438" s="39" t="str">
        <f>IF(OR(A438="",F438="",E438=""),"",ROUND(F438-E438,6))</f>
        <v/>
      </c>
      <c r="H438" s="40" t="str">
        <f>IF(G438="","",G438*IFERROR(N(INDEX(art_price,MATCH(A438,art_ref,0))),0))</f>
        <v/>
      </c>
      <c r="I438" s="39" t="str">
        <f>IF(A438="","",IF(E438="","Référence inconnue",IF(F438="","À compter",IF(G438&gt;0,"Saisir une entrée de "&amp;G438,IF(G438&lt;0,"Saisir une sortie de "&amp;-G438,"Conforme")))))</f>
        <v/>
      </c>
    </row>
    <row r="439">
      <c r="A439" s="37" t="n"/>
      <c r="B439" s="39" t="str">
        <f>IF(A439="","",IFERROR(INDEX(art_des,MATCH(A439,art_ref,0))&amp;"","Référence inconnue"))</f>
        <v/>
      </c>
      <c r="C439" s="39" t="str">
        <f>IF(A439="","",IFERROR(INDEX(art_unit,MATCH(A439,art_ref,0))&amp;"",""))</f>
        <v/>
      </c>
      <c r="D439" s="39" t="str">
        <f>IF(A439="","",IFERROR(INDEX(art_loc,MATCH(A439,art_ref,0))&amp;"",""))</f>
        <v/>
      </c>
      <c r="E439" s="39" t="str">
        <f>IF(A439="","",IFERROR(ROUND(N(INDEX(art_init,MATCH(A439,art_ref,0)))+SUMIFS(mv_qty,mv_ref,A439,mv_type,"Entrée",mv_date,"&lt;="&amp;$G$1)-SUMIFS(mv_qty,mv_ref,A439,mv_type,"Sortie",mv_date,"&lt;="&amp;$G$1),6),""))</f>
        <v/>
      </c>
      <c r="F439" s="37" t="n"/>
      <c r="G439" s="39" t="str">
        <f>IF(OR(A439="",F439="",E439=""),"",ROUND(F439-E439,6))</f>
        <v/>
      </c>
      <c r="H439" s="40" t="str">
        <f>IF(G439="","",G439*IFERROR(N(INDEX(art_price,MATCH(A439,art_ref,0))),0))</f>
        <v/>
      </c>
      <c r="I439" s="39" t="str">
        <f>IF(A439="","",IF(E439="","Référence inconnue",IF(F439="","À compter",IF(G439&gt;0,"Saisir une entrée de "&amp;G439,IF(G439&lt;0,"Saisir une sortie de "&amp;-G439,"Conforme")))))</f>
        <v/>
      </c>
    </row>
    <row r="440">
      <c r="A440" s="37" t="n"/>
      <c r="B440" s="39" t="str">
        <f>IF(A440="","",IFERROR(INDEX(art_des,MATCH(A440,art_ref,0))&amp;"","Référence inconnue"))</f>
        <v/>
      </c>
      <c r="C440" s="39" t="str">
        <f>IF(A440="","",IFERROR(INDEX(art_unit,MATCH(A440,art_ref,0))&amp;"",""))</f>
        <v/>
      </c>
      <c r="D440" s="39" t="str">
        <f>IF(A440="","",IFERROR(INDEX(art_loc,MATCH(A440,art_ref,0))&amp;"",""))</f>
        <v/>
      </c>
      <c r="E440" s="39" t="str">
        <f>IF(A440="","",IFERROR(ROUND(N(INDEX(art_init,MATCH(A440,art_ref,0)))+SUMIFS(mv_qty,mv_ref,A440,mv_type,"Entrée",mv_date,"&lt;="&amp;$G$1)-SUMIFS(mv_qty,mv_ref,A440,mv_type,"Sortie",mv_date,"&lt;="&amp;$G$1),6),""))</f>
        <v/>
      </c>
      <c r="F440" s="37" t="n"/>
      <c r="G440" s="39" t="str">
        <f>IF(OR(A440="",F440="",E440=""),"",ROUND(F440-E440,6))</f>
        <v/>
      </c>
      <c r="H440" s="40" t="str">
        <f>IF(G440="","",G440*IFERROR(N(INDEX(art_price,MATCH(A440,art_ref,0))),0))</f>
        <v/>
      </c>
      <c r="I440" s="39" t="str">
        <f>IF(A440="","",IF(E440="","Référence inconnue",IF(F440="","À compter",IF(G440&gt;0,"Saisir une entrée de "&amp;G440,IF(G440&lt;0,"Saisir une sortie de "&amp;-G440,"Conforme")))))</f>
        <v/>
      </c>
    </row>
    <row r="441">
      <c r="A441" s="37" t="n"/>
      <c r="B441" s="39" t="str">
        <f>IF(A441="","",IFERROR(INDEX(art_des,MATCH(A441,art_ref,0))&amp;"","Référence inconnue"))</f>
        <v/>
      </c>
      <c r="C441" s="39" t="str">
        <f>IF(A441="","",IFERROR(INDEX(art_unit,MATCH(A441,art_ref,0))&amp;"",""))</f>
        <v/>
      </c>
      <c r="D441" s="39" t="str">
        <f>IF(A441="","",IFERROR(INDEX(art_loc,MATCH(A441,art_ref,0))&amp;"",""))</f>
        <v/>
      </c>
      <c r="E441" s="39" t="str">
        <f>IF(A441="","",IFERROR(ROUND(N(INDEX(art_init,MATCH(A441,art_ref,0)))+SUMIFS(mv_qty,mv_ref,A441,mv_type,"Entrée",mv_date,"&lt;="&amp;$G$1)-SUMIFS(mv_qty,mv_ref,A441,mv_type,"Sortie",mv_date,"&lt;="&amp;$G$1),6),""))</f>
        <v/>
      </c>
      <c r="F441" s="37" t="n"/>
      <c r="G441" s="39" t="str">
        <f>IF(OR(A441="",F441="",E441=""),"",ROUND(F441-E441,6))</f>
        <v/>
      </c>
      <c r="H441" s="40" t="str">
        <f>IF(G441="","",G441*IFERROR(N(INDEX(art_price,MATCH(A441,art_ref,0))),0))</f>
        <v/>
      </c>
      <c r="I441" s="39" t="str">
        <f>IF(A441="","",IF(E441="","Référence inconnue",IF(F441="","À compter",IF(G441&gt;0,"Saisir une entrée de "&amp;G441,IF(G441&lt;0,"Saisir une sortie de "&amp;-G441,"Conforme")))))</f>
        <v/>
      </c>
    </row>
    <row r="442">
      <c r="A442" s="37" t="n"/>
      <c r="B442" s="39" t="str">
        <f>IF(A442="","",IFERROR(INDEX(art_des,MATCH(A442,art_ref,0))&amp;"","Référence inconnue"))</f>
        <v/>
      </c>
      <c r="C442" s="39" t="str">
        <f>IF(A442="","",IFERROR(INDEX(art_unit,MATCH(A442,art_ref,0))&amp;"",""))</f>
        <v/>
      </c>
      <c r="D442" s="39" t="str">
        <f>IF(A442="","",IFERROR(INDEX(art_loc,MATCH(A442,art_ref,0))&amp;"",""))</f>
        <v/>
      </c>
      <c r="E442" s="39" t="str">
        <f>IF(A442="","",IFERROR(ROUND(N(INDEX(art_init,MATCH(A442,art_ref,0)))+SUMIFS(mv_qty,mv_ref,A442,mv_type,"Entrée",mv_date,"&lt;="&amp;$G$1)-SUMIFS(mv_qty,mv_ref,A442,mv_type,"Sortie",mv_date,"&lt;="&amp;$G$1),6),""))</f>
        <v/>
      </c>
      <c r="F442" s="37" t="n"/>
      <c r="G442" s="39" t="str">
        <f>IF(OR(A442="",F442="",E442=""),"",ROUND(F442-E442,6))</f>
        <v/>
      </c>
      <c r="H442" s="40" t="str">
        <f>IF(G442="","",G442*IFERROR(N(INDEX(art_price,MATCH(A442,art_ref,0))),0))</f>
        <v/>
      </c>
      <c r="I442" s="39" t="str">
        <f>IF(A442="","",IF(E442="","Référence inconnue",IF(F442="","À compter",IF(G442&gt;0,"Saisir une entrée de "&amp;G442,IF(G442&lt;0,"Saisir une sortie de "&amp;-G442,"Conforme")))))</f>
        <v/>
      </c>
    </row>
    <row r="443">
      <c r="A443" s="37" t="n"/>
      <c r="B443" s="39" t="str">
        <f>IF(A443="","",IFERROR(INDEX(art_des,MATCH(A443,art_ref,0))&amp;"","Référence inconnue"))</f>
        <v/>
      </c>
      <c r="C443" s="39" t="str">
        <f>IF(A443="","",IFERROR(INDEX(art_unit,MATCH(A443,art_ref,0))&amp;"",""))</f>
        <v/>
      </c>
      <c r="D443" s="39" t="str">
        <f>IF(A443="","",IFERROR(INDEX(art_loc,MATCH(A443,art_ref,0))&amp;"",""))</f>
        <v/>
      </c>
      <c r="E443" s="39" t="str">
        <f>IF(A443="","",IFERROR(ROUND(N(INDEX(art_init,MATCH(A443,art_ref,0)))+SUMIFS(mv_qty,mv_ref,A443,mv_type,"Entrée",mv_date,"&lt;="&amp;$G$1)-SUMIFS(mv_qty,mv_ref,A443,mv_type,"Sortie",mv_date,"&lt;="&amp;$G$1),6),""))</f>
        <v/>
      </c>
      <c r="F443" s="37" t="n"/>
      <c r="G443" s="39" t="str">
        <f>IF(OR(A443="",F443="",E443=""),"",ROUND(F443-E443,6))</f>
        <v/>
      </c>
      <c r="H443" s="40" t="str">
        <f>IF(G443="","",G443*IFERROR(N(INDEX(art_price,MATCH(A443,art_ref,0))),0))</f>
        <v/>
      </c>
      <c r="I443" s="39" t="str">
        <f>IF(A443="","",IF(E443="","Référence inconnue",IF(F443="","À compter",IF(G443&gt;0,"Saisir une entrée de "&amp;G443,IF(G443&lt;0,"Saisir une sortie de "&amp;-G443,"Conforme")))))</f>
        <v/>
      </c>
    </row>
    <row r="444">
      <c r="A444" s="37" t="n"/>
      <c r="B444" s="39" t="str">
        <f>IF(A444="","",IFERROR(INDEX(art_des,MATCH(A444,art_ref,0))&amp;"","Référence inconnue"))</f>
        <v/>
      </c>
      <c r="C444" s="39" t="str">
        <f>IF(A444="","",IFERROR(INDEX(art_unit,MATCH(A444,art_ref,0))&amp;"",""))</f>
        <v/>
      </c>
      <c r="D444" s="39" t="str">
        <f>IF(A444="","",IFERROR(INDEX(art_loc,MATCH(A444,art_ref,0))&amp;"",""))</f>
        <v/>
      </c>
      <c r="E444" s="39" t="str">
        <f>IF(A444="","",IFERROR(ROUND(N(INDEX(art_init,MATCH(A444,art_ref,0)))+SUMIFS(mv_qty,mv_ref,A444,mv_type,"Entrée",mv_date,"&lt;="&amp;$G$1)-SUMIFS(mv_qty,mv_ref,A444,mv_type,"Sortie",mv_date,"&lt;="&amp;$G$1),6),""))</f>
        <v/>
      </c>
      <c r="F444" s="37" t="n"/>
      <c r="G444" s="39" t="str">
        <f>IF(OR(A444="",F444="",E444=""),"",ROUND(F444-E444,6))</f>
        <v/>
      </c>
      <c r="H444" s="40" t="str">
        <f>IF(G444="","",G444*IFERROR(N(INDEX(art_price,MATCH(A444,art_ref,0))),0))</f>
        <v/>
      </c>
      <c r="I444" s="39" t="str">
        <f>IF(A444="","",IF(E444="","Référence inconnue",IF(F444="","À compter",IF(G444&gt;0,"Saisir une entrée de "&amp;G444,IF(G444&lt;0,"Saisir une sortie de "&amp;-G444,"Conforme")))))</f>
        <v/>
      </c>
    </row>
    <row r="445">
      <c r="A445" s="37" t="n"/>
      <c r="B445" s="39" t="str">
        <f>IF(A445="","",IFERROR(INDEX(art_des,MATCH(A445,art_ref,0))&amp;"","Référence inconnue"))</f>
        <v/>
      </c>
      <c r="C445" s="39" t="str">
        <f>IF(A445="","",IFERROR(INDEX(art_unit,MATCH(A445,art_ref,0))&amp;"",""))</f>
        <v/>
      </c>
      <c r="D445" s="39" t="str">
        <f>IF(A445="","",IFERROR(INDEX(art_loc,MATCH(A445,art_ref,0))&amp;"",""))</f>
        <v/>
      </c>
      <c r="E445" s="39" t="str">
        <f>IF(A445="","",IFERROR(ROUND(N(INDEX(art_init,MATCH(A445,art_ref,0)))+SUMIFS(mv_qty,mv_ref,A445,mv_type,"Entrée",mv_date,"&lt;="&amp;$G$1)-SUMIFS(mv_qty,mv_ref,A445,mv_type,"Sortie",mv_date,"&lt;="&amp;$G$1),6),""))</f>
        <v/>
      </c>
      <c r="F445" s="37" t="n"/>
      <c r="G445" s="39" t="str">
        <f>IF(OR(A445="",F445="",E445=""),"",ROUND(F445-E445,6))</f>
        <v/>
      </c>
      <c r="H445" s="40" t="str">
        <f>IF(G445="","",G445*IFERROR(N(INDEX(art_price,MATCH(A445,art_ref,0))),0))</f>
        <v/>
      </c>
      <c r="I445" s="39" t="str">
        <f>IF(A445="","",IF(E445="","Référence inconnue",IF(F445="","À compter",IF(G445&gt;0,"Saisir une entrée de "&amp;G445,IF(G445&lt;0,"Saisir une sortie de "&amp;-G445,"Conforme")))))</f>
        <v/>
      </c>
    </row>
    <row r="446">
      <c r="A446" s="37" t="n"/>
      <c r="B446" s="39" t="str">
        <f>IF(A446="","",IFERROR(INDEX(art_des,MATCH(A446,art_ref,0))&amp;"","Référence inconnue"))</f>
        <v/>
      </c>
      <c r="C446" s="39" t="str">
        <f>IF(A446="","",IFERROR(INDEX(art_unit,MATCH(A446,art_ref,0))&amp;"",""))</f>
        <v/>
      </c>
      <c r="D446" s="39" t="str">
        <f>IF(A446="","",IFERROR(INDEX(art_loc,MATCH(A446,art_ref,0))&amp;"",""))</f>
        <v/>
      </c>
      <c r="E446" s="39" t="str">
        <f>IF(A446="","",IFERROR(ROUND(N(INDEX(art_init,MATCH(A446,art_ref,0)))+SUMIFS(mv_qty,mv_ref,A446,mv_type,"Entrée",mv_date,"&lt;="&amp;$G$1)-SUMIFS(mv_qty,mv_ref,A446,mv_type,"Sortie",mv_date,"&lt;="&amp;$G$1),6),""))</f>
        <v/>
      </c>
      <c r="F446" s="37" t="n"/>
      <c r="G446" s="39" t="str">
        <f>IF(OR(A446="",F446="",E446=""),"",ROUND(F446-E446,6))</f>
        <v/>
      </c>
      <c r="H446" s="40" t="str">
        <f>IF(G446="","",G446*IFERROR(N(INDEX(art_price,MATCH(A446,art_ref,0))),0))</f>
        <v/>
      </c>
      <c r="I446" s="39" t="str">
        <f>IF(A446="","",IF(E446="","Référence inconnue",IF(F446="","À compter",IF(G446&gt;0,"Saisir une entrée de "&amp;G446,IF(G446&lt;0,"Saisir une sortie de "&amp;-G446,"Conforme")))))</f>
        <v/>
      </c>
    </row>
    <row r="447">
      <c r="A447" s="37" t="n"/>
      <c r="B447" s="39" t="str">
        <f>IF(A447="","",IFERROR(INDEX(art_des,MATCH(A447,art_ref,0))&amp;"","Référence inconnue"))</f>
        <v/>
      </c>
      <c r="C447" s="39" t="str">
        <f>IF(A447="","",IFERROR(INDEX(art_unit,MATCH(A447,art_ref,0))&amp;"",""))</f>
        <v/>
      </c>
      <c r="D447" s="39" t="str">
        <f>IF(A447="","",IFERROR(INDEX(art_loc,MATCH(A447,art_ref,0))&amp;"",""))</f>
        <v/>
      </c>
      <c r="E447" s="39" t="str">
        <f>IF(A447="","",IFERROR(ROUND(N(INDEX(art_init,MATCH(A447,art_ref,0)))+SUMIFS(mv_qty,mv_ref,A447,mv_type,"Entrée",mv_date,"&lt;="&amp;$G$1)-SUMIFS(mv_qty,mv_ref,A447,mv_type,"Sortie",mv_date,"&lt;="&amp;$G$1),6),""))</f>
        <v/>
      </c>
      <c r="F447" s="37" t="n"/>
      <c r="G447" s="39" t="str">
        <f>IF(OR(A447="",F447="",E447=""),"",ROUND(F447-E447,6))</f>
        <v/>
      </c>
      <c r="H447" s="40" t="str">
        <f>IF(G447="","",G447*IFERROR(N(INDEX(art_price,MATCH(A447,art_ref,0))),0))</f>
        <v/>
      </c>
      <c r="I447" s="39" t="str">
        <f>IF(A447="","",IF(E447="","Référence inconnue",IF(F447="","À compter",IF(G447&gt;0,"Saisir une entrée de "&amp;G447,IF(G447&lt;0,"Saisir une sortie de "&amp;-G447,"Conforme")))))</f>
        <v/>
      </c>
    </row>
    <row r="448">
      <c r="A448" s="37" t="n"/>
      <c r="B448" s="39" t="str">
        <f>IF(A448="","",IFERROR(INDEX(art_des,MATCH(A448,art_ref,0))&amp;"","Référence inconnue"))</f>
        <v/>
      </c>
      <c r="C448" s="39" t="str">
        <f>IF(A448="","",IFERROR(INDEX(art_unit,MATCH(A448,art_ref,0))&amp;"",""))</f>
        <v/>
      </c>
      <c r="D448" s="39" t="str">
        <f>IF(A448="","",IFERROR(INDEX(art_loc,MATCH(A448,art_ref,0))&amp;"",""))</f>
        <v/>
      </c>
      <c r="E448" s="39" t="str">
        <f>IF(A448="","",IFERROR(ROUND(N(INDEX(art_init,MATCH(A448,art_ref,0)))+SUMIFS(mv_qty,mv_ref,A448,mv_type,"Entrée",mv_date,"&lt;="&amp;$G$1)-SUMIFS(mv_qty,mv_ref,A448,mv_type,"Sortie",mv_date,"&lt;="&amp;$G$1),6),""))</f>
        <v/>
      </c>
      <c r="F448" s="37" t="n"/>
      <c r="G448" s="39" t="str">
        <f>IF(OR(A448="",F448="",E448=""),"",ROUND(F448-E448,6))</f>
        <v/>
      </c>
      <c r="H448" s="40" t="str">
        <f>IF(G448="","",G448*IFERROR(N(INDEX(art_price,MATCH(A448,art_ref,0))),0))</f>
        <v/>
      </c>
      <c r="I448" s="39" t="str">
        <f>IF(A448="","",IF(E448="","Référence inconnue",IF(F448="","À compter",IF(G448&gt;0,"Saisir une entrée de "&amp;G448,IF(G448&lt;0,"Saisir une sortie de "&amp;-G448,"Conforme")))))</f>
        <v/>
      </c>
    </row>
    <row r="449">
      <c r="A449" s="37" t="n"/>
      <c r="B449" s="39" t="str">
        <f>IF(A449="","",IFERROR(INDEX(art_des,MATCH(A449,art_ref,0))&amp;"","Référence inconnue"))</f>
        <v/>
      </c>
      <c r="C449" s="39" t="str">
        <f>IF(A449="","",IFERROR(INDEX(art_unit,MATCH(A449,art_ref,0))&amp;"",""))</f>
        <v/>
      </c>
      <c r="D449" s="39" t="str">
        <f>IF(A449="","",IFERROR(INDEX(art_loc,MATCH(A449,art_ref,0))&amp;"",""))</f>
        <v/>
      </c>
      <c r="E449" s="39" t="str">
        <f>IF(A449="","",IFERROR(ROUND(N(INDEX(art_init,MATCH(A449,art_ref,0)))+SUMIFS(mv_qty,mv_ref,A449,mv_type,"Entrée",mv_date,"&lt;="&amp;$G$1)-SUMIFS(mv_qty,mv_ref,A449,mv_type,"Sortie",mv_date,"&lt;="&amp;$G$1),6),""))</f>
        <v/>
      </c>
      <c r="F449" s="37" t="n"/>
      <c r="G449" s="39" t="str">
        <f>IF(OR(A449="",F449="",E449=""),"",ROUND(F449-E449,6))</f>
        <v/>
      </c>
      <c r="H449" s="40" t="str">
        <f>IF(G449="","",G449*IFERROR(N(INDEX(art_price,MATCH(A449,art_ref,0))),0))</f>
        <v/>
      </c>
      <c r="I449" s="39" t="str">
        <f>IF(A449="","",IF(E449="","Référence inconnue",IF(F449="","À compter",IF(G449&gt;0,"Saisir une entrée de "&amp;G449,IF(G449&lt;0,"Saisir une sortie de "&amp;-G449,"Conforme")))))</f>
        <v/>
      </c>
    </row>
    <row r="450">
      <c r="A450" s="37" t="n"/>
      <c r="B450" s="39" t="str">
        <f>IF(A450="","",IFERROR(INDEX(art_des,MATCH(A450,art_ref,0))&amp;"","Référence inconnue"))</f>
        <v/>
      </c>
      <c r="C450" s="39" t="str">
        <f>IF(A450="","",IFERROR(INDEX(art_unit,MATCH(A450,art_ref,0))&amp;"",""))</f>
        <v/>
      </c>
      <c r="D450" s="39" t="str">
        <f>IF(A450="","",IFERROR(INDEX(art_loc,MATCH(A450,art_ref,0))&amp;"",""))</f>
        <v/>
      </c>
      <c r="E450" s="39" t="str">
        <f>IF(A450="","",IFERROR(ROUND(N(INDEX(art_init,MATCH(A450,art_ref,0)))+SUMIFS(mv_qty,mv_ref,A450,mv_type,"Entrée",mv_date,"&lt;="&amp;$G$1)-SUMIFS(mv_qty,mv_ref,A450,mv_type,"Sortie",mv_date,"&lt;="&amp;$G$1),6),""))</f>
        <v/>
      </c>
      <c r="F450" s="37" t="n"/>
      <c r="G450" s="39" t="str">
        <f>IF(OR(A450="",F450="",E450=""),"",ROUND(F450-E450,6))</f>
        <v/>
      </c>
      <c r="H450" s="40" t="str">
        <f>IF(G450="","",G450*IFERROR(N(INDEX(art_price,MATCH(A450,art_ref,0))),0))</f>
        <v/>
      </c>
      <c r="I450" s="39" t="str">
        <f>IF(A450="","",IF(E450="","Référence inconnue",IF(F450="","À compter",IF(G450&gt;0,"Saisir une entrée de "&amp;G450,IF(G450&lt;0,"Saisir une sortie de "&amp;-G450,"Conforme")))))</f>
        <v/>
      </c>
    </row>
    <row r="451">
      <c r="A451" s="37" t="n"/>
      <c r="B451" s="39" t="str">
        <f>IF(A451="","",IFERROR(INDEX(art_des,MATCH(A451,art_ref,0))&amp;"","Référence inconnue"))</f>
        <v/>
      </c>
      <c r="C451" s="39" t="str">
        <f>IF(A451="","",IFERROR(INDEX(art_unit,MATCH(A451,art_ref,0))&amp;"",""))</f>
        <v/>
      </c>
      <c r="D451" s="39" t="str">
        <f>IF(A451="","",IFERROR(INDEX(art_loc,MATCH(A451,art_ref,0))&amp;"",""))</f>
        <v/>
      </c>
      <c r="E451" s="39" t="str">
        <f>IF(A451="","",IFERROR(ROUND(N(INDEX(art_init,MATCH(A451,art_ref,0)))+SUMIFS(mv_qty,mv_ref,A451,mv_type,"Entrée",mv_date,"&lt;="&amp;$G$1)-SUMIFS(mv_qty,mv_ref,A451,mv_type,"Sortie",mv_date,"&lt;="&amp;$G$1),6),""))</f>
        <v/>
      </c>
      <c r="F451" s="37" t="n"/>
      <c r="G451" s="39" t="str">
        <f>IF(OR(A451="",F451="",E451=""),"",ROUND(F451-E451,6))</f>
        <v/>
      </c>
      <c r="H451" s="40" t="str">
        <f>IF(G451="","",G451*IFERROR(N(INDEX(art_price,MATCH(A451,art_ref,0))),0))</f>
        <v/>
      </c>
      <c r="I451" s="39" t="str">
        <f>IF(A451="","",IF(E451="","Référence inconnue",IF(F451="","À compter",IF(G451&gt;0,"Saisir une entrée de "&amp;G451,IF(G451&lt;0,"Saisir une sortie de "&amp;-G451,"Conforme")))))</f>
        <v/>
      </c>
    </row>
    <row r="452">
      <c r="A452" s="37" t="n"/>
      <c r="B452" s="39" t="str">
        <f>IF(A452="","",IFERROR(INDEX(art_des,MATCH(A452,art_ref,0))&amp;"","Référence inconnue"))</f>
        <v/>
      </c>
      <c r="C452" s="39" t="str">
        <f>IF(A452="","",IFERROR(INDEX(art_unit,MATCH(A452,art_ref,0))&amp;"",""))</f>
        <v/>
      </c>
      <c r="D452" s="39" t="str">
        <f>IF(A452="","",IFERROR(INDEX(art_loc,MATCH(A452,art_ref,0))&amp;"",""))</f>
        <v/>
      </c>
      <c r="E452" s="39" t="str">
        <f>IF(A452="","",IFERROR(ROUND(N(INDEX(art_init,MATCH(A452,art_ref,0)))+SUMIFS(mv_qty,mv_ref,A452,mv_type,"Entrée",mv_date,"&lt;="&amp;$G$1)-SUMIFS(mv_qty,mv_ref,A452,mv_type,"Sortie",mv_date,"&lt;="&amp;$G$1),6),""))</f>
        <v/>
      </c>
      <c r="F452" s="37" t="n"/>
      <c r="G452" s="39" t="str">
        <f>IF(OR(A452="",F452="",E452=""),"",ROUND(F452-E452,6))</f>
        <v/>
      </c>
      <c r="H452" s="40" t="str">
        <f>IF(G452="","",G452*IFERROR(N(INDEX(art_price,MATCH(A452,art_ref,0))),0))</f>
        <v/>
      </c>
      <c r="I452" s="39" t="str">
        <f>IF(A452="","",IF(E452="","Référence inconnue",IF(F452="","À compter",IF(G452&gt;0,"Saisir une entrée de "&amp;G452,IF(G452&lt;0,"Saisir une sortie de "&amp;-G452,"Conforme")))))</f>
        <v/>
      </c>
    </row>
    <row r="453">
      <c r="A453" s="37" t="n"/>
      <c r="B453" s="39" t="str">
        <f>IF(A453="","",IFERROR(INDEX(art_des,MATCH(A453,art_ref,0))&amp;"","Référence inconnue"))</f>
        <v/>
      </c>
      <c r="C453" s="39" t="str">
        <f>IF(A453="","",IFERROR(INDEX(art_unit,MATCH(A453,art_ref,0))&amp;"",""))</f>
        <v/>
      </c>
      <c r="D453" s="39" t="str">
        <f>IF(A453="","",IFERROR(INDEX(art_loc,MATCH(A453,art_ref,0))&amp;"",""))</f>
        <v/>
      </c>
      <c r="E453" s="39" t="str">
        <f>IF(A453="","",IFERROR(ROUND(N(INDEX(art_init,MATCH(A453,art_ref,0)))+SUMIFS(mv_qty,mv_ref,A453,mv_type,"Entrée",mv_date,"&lt;="&amp;$G$1)-SUMIFS(mv_qty,mv_ref,A453,mv_type,"Sortie",mv_date,"&lt;="&amp;$G$1),6),""))</f>
        <v/>
      </c>
      <c r="F453" s="37" t="n"/>
      <c r="G453" s="39" t="str">
        <f>IF(OR(A453="",F453="",E453=""),"",ROUND(F453-E453,6))</f>
        <v/>
      </c>
      <c r="H453" s="40" t="str">
        <f>IF(G453="","",G453*IFERROR(N(INDEX(art_price,MATCH(A453,art_ref,0))),0))</f>
        <v/>
      </c>
      <c r="I453" s="39" t="str">
        <f>IF(A453="","",IF(E453="","Référence inconnue",IF(F453="","À compter",IF(G453&gt;0,"Saisir une entrée de "&amp;G453,IF(G453&lt;0,"Saisir une sortie de "&amp;-G453,"Conforme")))))</f>
        <v/>
      </c>
    </row>
    <row r="454">
      <c r="A454" s="37" t="n"/>
      <c r="B454" s="39" t="str">
        <f>IF(A454="","",IFERROR(INDEX(art_des,MATCH(A454,art_ref,0))&amp;"","Référence inconnue"))</f>
        <v/>
      </c>
      <c r="C454" s="39" t="str">
        <f>IF(A454="","",IFERROR(INDEX(art_unit,MATCH(A454,art_ref,0))&amp;"",""))</f>
        <v/>
      </c>
      <c r="D454" s="39" t="str">
        <f>IF(A454="","",IFERROR(INDEX(art_loc,MATCH(A454,art_ref,0))&amp;"",""))</f>
        <v/>
      </c>
      <c r="E454" s="39" t="str">
        <f>IF(A454="","",IFERROR(ROUND(N(INDEX(art_init,MATCH(A454,art_ref,0)))+SUMIFS(mv_qty,mv_ref,A454,mv_type,"Entrée",mv_date,"&lt;="&amp;$G$1)-SUMIFS(mv_qty,mv_ref,A454,mv_type,"Sortie",mv_date,"&lt;="&amp;$G$1),6),""))</f>
        <v/>
      </c>
      <c r="F454" s="37" t="n"/>
      <c r="G454" s="39" t="str">
        <f>IF(OR(A454="",F454="",E454=""),"",ROUND(F454-E454,6))</f>
        <v/>
      </c>
      <c r="H454" s="40" t="str">
        <f>IF(G454="","",G454*IFERROR(N(INDEX(art_price,MATCH(A454,art_ref,0))),0))</f>
        <v/>
      </c>
      <c r="I454" s="39" t="str">
        <f>IF(A454="","",IF(E454="","Référence inconnue",IF(F454="","À compter",IF(G454&gt;0,"Saisir une entrée de "&amp;G454,IF(G454&lt;0,"Saisir une sortie de "&amp;-G454,"Conforme")))))</f>
        <v/>
      </c>
    </row>
    <row r="455">
      <c r="A455" s="37" t="n"/>
      <c r="B455" s="39" t="str">
        <f>IF(A455="","",IFERROR(INDEX(art_des,MATCH(A455,art_ref,0))&amp;"","Référence inconnue"))</f>
        <v/>
      </c>
      <c r="C455" s="39" t="str">
        <f>IF(A455="","",IFERROR(INDEX(art_unit,MATCH(A455,art_ref,0))&amp;"",""))</f>
        <v/>
      </c>
      <c r="D455" s="39" t="str">
        <f>IF(A455="","",IFERROR(INDEX(art_loc,MATCH(A455,art_ref,0))&amp;"",""))</f>
        <v/>
      </c>
      <c r="E455" s="39" t="str">
        <f>IF(A455="","",IFERROR(ROUND(N(INDEX(art_init,MATCH(A455,art_ref,0)))+SUMIFS(mv_qty,mv_ref,A455,mv_type,"Entrée",mv_date,"&lt;="&amp;$G$1)-SUMIFS(mv_qty,mv_ref,A455,mv_type,"Sortie",mv_date,"&lt;="&amp;$G$1),6),""))</f>
        <v/>
      </c>
      <c r="F455" s="37" t="n"/>
      <c r="G455" s="39" t="str">
        <f>IF(OR(A455="",F455="",E455=""),"",ROUND(F455-E455,6))</f>
        <v/>
      </c>
      <c r="H455" s="40" t="str">
        <f>IF(G455="","",G455*IFERROR(N(INDEX(art_price,MATCH(A455,art_ref,0))),0))</f>
        <v/>
      </c>
      <c r="I455" s="39" t="str">
        <f>IF(A455="","",IF(E455="","Référence inconnue",IF(F455="","À compter",IF(G455&gt;0,"Saisir une entrée de "&amp;G455,IF(G455&lt;0,"Saisir une sortie de "&amp;-G455,"Conforme")))))</f>
        <v/>
      </c>
    </row>
    <row r="456">
      <c r="A456" s="37" t="n"/>
      <c r="B456" s="39" t="str">
        <f>IF(A456="","",IFERROR(INDEX(art_des,MATCH(A456,art_ref,0))&amp;"","Référence inconnue"))</f>
        <v/>
      </c>
      <c r="C456" s="39" t="str">
        <f>IF(A456="","",IFERROR(INDEX(art_unit,MATCH(A456,art_ref,0))&amp;"",""))</f>
        <v/>
      </c>
      <c r="D456" s="39" t="str">
        <f>IF(A456="","",IFERROR(INDEX(art_loc,MATCH(A456,art_ref,0))&amp;"",""))</f>
        <v/>
      </c>
      <c r="E456" s="39" t="str">
        <f>IF(A456="","",IFERROR(ROUND(N(INDEX(art_init,MATCH(A456,art_ref,0)))+SUMIFS(mv_qty,mv_ref,A456,mv_type,"Entrée",mv_date,"&lt;="&amp;$G$1)-SUMIFS(mv_qty,mv_ref,A456,mv_type,"Sortie",mv_date,"&lt;="&amp;$G$1),6),""))</f>
        <v/>
      </c>
      <c r="F456" s="37" t="n"/>
      <c r="G456" s="39" t="str">
        <f>IF(OR(A456="",F456="",E456=""),"",ROUND(F456-E456,6))</f>
        <v/>
      </c>
      <c r="H456" s="40" t="str">
        <f>IF(G456="","",G456*IFERROR(N(INDEX(art_price,MATCH(A456,art_ref,0))),0))</f>
        <v/>
      </c>
      <c r="I456" s="39" t="str">
        <f>IF(A456="","",IF(E456="","Référence inconnue",IF(F456="","À compter",IF(G456&gt;0,"Saisir une entrée de "&amp;G456,IF(G456&lt;0,"Saisir une sortie de "&amp;-G456,"Conforme")))))</f>
        <v/>
      </c>
    </row>
    <row r="457">
      <c r="A457" s="37" t="n"/>
      <c r="B457" s="39" t="str">
        <f>IF(A457="","",IFERROR(INDEX(art_des,MATCH(A457,art_ref,0))&amp;"","Référence inconnue"))</f>
        <v/>
      </c>
      <c r="C457" s="39" t="str">
        <f>IF(A457="","",IFERROR(INDEX(art_unit,MATCH(A457,art_ref,0))&amp;"",""))</f>
        <v/>
      </c>
      <c r="D457" s="39" t="str">
        <f>IF(A457="","",IFERROR(INDEX(art_loc,MATCH(A457,art_ref,0))&amp;"",""))</f>
        <v/>
      </c>
      <c r="E457" s="39" t="str">
        <f>IF(A457="","",IFERROR(ROUND(N(INDEX(art_init,MATCH(A457,art_ref,0)))+SUMIFS(mv_qty,mv_ref,A457,mv_type,"Entrée",mv_date,"&lt;="&amp;$G$1)-SUMIFS(mv_qty,mv_ref,A457,mv_type,"Sortie",mv_date,"&lt;="&amp;$G$1),6),""))</f>
        <v/>
      </c>
      <c r="F457" s="37" t="n"/>
      <c r="G457" s="39" t="str">
        <f>IF(OR(A457="",F457="",E457=""),"",ROUND(F457-E457,6))</f>
        <v/>
      </c>
      <c r="H457" s="40" t="str">
        <f>IF(G457="","",G457*IFERROR(N(INDEX(art_price,MATCH(A457,art_ref,0))),0))</f>
        <v/>
      </c>
      <c r="I457" s="39" t="str">
        <f>IF(A457="","",IF(E457="","Référence inconnue",IF(F457="","À compter",IF(G457&gt;0,"Saisir une entrée de "&amp;G457,IF(G457&lt;0,"Saisir une sortie de "&amp;-G457,"Conforme")))))</f>
        <v/>
      </c>
    </row>
    <row r="458">
      <c r="A458" s="37" t="n"/>
      <c r="B458" s="39" t="str">
        <f>IF(A458="","",IFERROR(INDEX(art_des,MATCH(A458,art_ref,0))&amp;"","Référence inconnue"))</f>
        <v/>
      </c>
      <c r="C458" s="39" t="str">
        <f>IF(A458="","",IFERROR(INDEX(art_unit,MATCH(A458,art_ref,0))&amp;"",""))</f>
        <v/>
      </c>
      <c r="D458" s="39" t="str">
        <f>IF(A458="","",IFERROR(INDEX(art_loc,MATCH(A458,art_ref,0))&amp;"",""))</f>
        <v/>
      </c>
      <c r="E458" s="39" t="str">
        <f>IF(A458="","",IFERROR(ROUND(N(INDEX(art_init,MATCH(A458,art_ref,0)))+SUMIFS(mv_qty,mv_ref,A458,mv_type,"Entrée",mv_date,"&lt;="&amp;$G$1)-SUMIFS(mv_qty,mv_ref,A458,mv_type,"Sortie",mv_date,"&lt;="&amp;$G$1),6),""))</f>
        <v/>
      </c>
      <c r="F458" s="37" t="n"/>
      <c r="G458" s="39" t="str">
        <f>IF(OR(A458="",F458="",E458=""),"",ROUND(F458-E458,6))</f>
        <v/>
      </c>
      <c r="H458" s="40" t="str">
        <f>IF(G458="","",G458*IFERROR(N(INDEX(art_price,MATCH(A458,art_ref,0))),0))</f>
        <v/>
      </c>
      <c r="I458" s="39" t="str">
        <f>IF(A458="","",IF(E458="","Référence inconnue",IF(F458="","À compter",IF(G458&gt;0,"Saisir une entrée de "&amp;G458,IF(G458&lt;0,"Saisir une sortie de "&amp;-G458,"Conforme")))))</f>
        <v/>
      </c>
    </row>
    <row r="459">
      <c r="A459" s="37" t="n"/>
      <c r="B459" s="39" t="str">
        <f>IF(A459="","",IFERROR(INDEX(art_des,MATCH(A459,art_ref,0))&amp;"","Référence inconnue"))</f>
        <v/>
      </c>
      <c r="C459" s="39" t="str">
        <f>IF(A459="","",IFERROR(INDEX(art_unit,MATCH(A459,art_ref,0))&amp;"",""))</f>
        <v/>
      </c>
      <c r="D459" s="39" t="str">
        <f>IF(A459="","",IFERROR(INDEX(art_loc,MATCH(A459,art_ref,0))&amp;"",""))</f>
        <v/>
      </c>
      <c r="E459" s="39" t="str">
        <f>IF(A459="","",IFERROR(ROUND(N(INDEX(art_init,MATCH(A459,art_ref,0)))+SUMIFS(mv_qty,mv_ref,A459,mv_type,"Entrée",mv_date,"&lt;="&amp;$G$1)-SUMIFS(mv_qty,mv_ref,A459,mv_type,"Sortie",mv_date,"&lt;="&amp;$G$1),6),""))</f>
        <v/>
      </c>
      <c r="F459" s="37" t="n"/>
      <c r="G459" s="39" t="str">
        <f>IF(OR(A459="",F459="",E459=""),"",ROUND(F459-E459,6))</f>
        <v/>
      </c>
      <c r="H459" s="40" t="str">
        <f>IF(G459="","",G459*IFERROR(N(INDEX(art_price,MATCH(A459,art_ref,0))),0))</f>
        <v/>
      </c>
      <c r="I459" s="39" t="str">
        <f>IF(A459="","",IF(E459="","Référence inconnue",IF(F459="","À compter",IF(G459&gt;0,"Saisir une entrée de "&amp;G459,IF(G459&lt;0,"Saisir une sortie de "&amp;-G459,"Conforme")))))</f>
        <v/>
      </c>
    </row>
    <row r="460">
      <c r="A460" s="37" t="n"/>
      <c r="B460" s="39" t="str">
        <f>IF(A460="","",IFERROR(INDEX(art_des,MATCH(A460,art_ref,0))&amp;"","Référence inconnue"))</f>
        <v/>
      </c>
      <c r="C460" s="39" t="str">
        <f>IF(A460="","",IFERROR(INDEX(art_unit,MATCH(A460,art_ref,0))&amp;"",""))</f>
        <v/>
      </c>
      <c r="D460" s="39" t="str">
        <f>IF(A460="","",IFERROR(INDEX(art_loc,MATCH(A460,art_ref,0))&amp;"",""))</f>
        <v/>
      </c>
      <c r="E460" s="39" t="str">
        <f>IF(A460="","",IFERROR(ROUND(N(INDEX(art_init,MATCH(A460,art_ref,0)))+SUMIFS(mv_qty,mv_ref,A460,mv_type,"Entrée",mv_date,"&lt;="&amp;$G$1)-SUMIFS(mv_qty,mv_ref,A460,mv_type,"Sortie",mv_date,"&lt;="&amp;$G$1),6),""))</f>
        <v/>
      </c>
      <c r="F460" s="37" t="n"/>
      <c r="G460" s="39" t="str">
        <f>IF(OR(A460="",F460="",E460=""),"",ROUND(F460-E460,6))</f>
        <v/>
      </c>
      <c r="H460" s="40" t="str">
        <f>IF(G460="","",G460*IFERROR(N(INDEX(art_price,MATCH(A460,art_ref,0))),0))</f>
        <v/>
      </c>
      <c r="I460" s="39" t="str">
        <f>IF(A460="","",IF(E460="","Référence inconnue",IF(F460="","À compter",IF(G460&gt;0,"Saisir une entrée de "&amp;G460,IF(G460&lt;0,"Saisir une sortie de "&amp;-G460,"Conforme")))))</f>
        <v/>
      </c>
    </row>
    <row r="461">
      <c r="A461" s="37" t="n"/>
      <c r="B461" s="39" t="str">
        <f>IF(A461="","",IFERROR(INDEX(art_des,MATCH(A461,art_ref,0))&amp;"","Référence inconnue"))</f>
        <v/>
      </c>
      <c r="C461" s="39" t="str">
        <f>IF(A461="","",IFERROR(INDEX(art_unit,MATCH(A461,art_ref,0))&amp;"",""))</f>
        <v/>
      </c>
      <c r="D461" s="39" t="str">
        <f>IF(A461="","",IFERROR(INDEX(art_loc,MATCH(A461,art_ref,0))&amp;"",""))</f>
        <v/>
      </c>
      <c r="E461" s="39" t="str">
        <f>IF(A461="","",IFERROR(ROUND(N(INDEX(art_init,MATCH(A461,art_ref,0)))+SUMIFS(mv_qty,mv_ref,A461,mv_type,"Entrée",mv_date,"&lt;="&amp;$G$1)-SUMIFS(mv_qty,mv_ref,A461,mv_type,"Sortie",mv_date,"&lt;="&amp;$G$1),6),""))</f>
        <v/>
      </c>
      <c r="F461" s="37" t="n"/>
      <c r="G461" s="39" t="str">
        <f>IF(OR(A461="",F461="",E461=""),"",ROUND(F461-E461,6))</f>
        <v/>
      </c>
      <c r="H461" s="40" t="str">
        <f>IF(G461="","",G461*IFERROR(N(INDEX(art_price,MATCH(A461,art_ref,0))),0))</f>
        <v/>
      </c>
      <c r="I461" s="39" t="str">
        <f>IF(A461="","",IF(E461="","Référence inconnue",IF(F461="","À compter",IF(G461&gt;0,"Saisir une entrée de "&amp;G461,IF(G461&lt;0,"Saisir une sortie de "&amp;-G461,"Conforme")))))</f>
        <v/>
      </c>
    </row>
    <row r="462">
      <c r="A462" s="37" t="n"/>
      <c r="B462" s="39" t="str">
        <f>IF(A462="","",IFERROR(INDEX(art_des,MATCH(A462,art_ref,0))&amp;"","Référence inconnue"))</f>
        <v/>
      </c>
      <c r="C462" s="39" t="str">
        <f>IF(A462="","",IFERROR(INDEX(art_unit,MATCH(A462,art_ref,0))&amp;"",""))</f>
        <v/>
      </c>
      <c r="D462" s="39" t="str">
        <f>IF(A462="","",IFERROR(INDEX(art_loc,MATCH(A462,art_ref,0))&amp;"",""))</f>
        <v/>
      </c>
      <c r="E462" s="39" t="str">
        <f>IF(A462="","",IFERROR(ROUND(N(INDEX(art_init,MATCH(A462,art_ref,0)))+SUMIFS(mv_qty,mv_ref,A462,mv_type,"Entrée",mv_date,"&lt;="&amp;$G$1)-SUMIFS(mv_qty,mv_ref,A462,mv_type,"Sortie",mv_date,"&lt;="&amp;$G$1),6),""))</f>
        <v/>
      </c>
      <c r="F462" s="37" t="n"/>
      <c r="G462" s="39" t="str">
        <f>IF(OR(A462="",F462="",E462=""),"",ROUND(F462-E462,6))</f>
        <v/>
      </c>
      <c r="H462" s="40" t="str">
        <f>IF(G462="","",G462*IFERROR(N(INDEX(art_price,MATCH(A462,art_ref,0))),0))</f>
        <v/>
      </c>
      <c r="I462" s="39" t="str">
        <f>IF(A462="","",IF(E462="","Référence inconnue",IF(F462="","À compter",IF(G462&gt;0,"Saisir une entrée de "&amp;G462,IF(G462&lt;0,"Saisir une sortie de "&amp;-G462,"Conforme")))))</f>
        <v/>
      </c>
    </row>
    <row r="463">
      <c r="A463" s="37" t="n"/>
      <c r="B463" s="39" t="str">
        <f>IF(A463="","",IFERROR(INDEX(art_des,MATCH(A463,art_ref,0))&amp;"","Référence inconnue"))</f>
        <v/>
      </c>
      <c r="C463" s="39" t="str">
        <f>IF(A463="","",IFERROR(INDEX(art_unit,MATCH(A463,art_ref,0))&amp;"",""))</f>
        <v/>
      </c>
      <c r="D463" s="39" t="str">
        <f>IF(A463="","",IFERROR(INDEX(art_loc,MATCH(A463,art_ref,0))&amp;"",""))</f>
        <v/>
      </c>
      <c r="E463" s="39" t="str">
        <f>IF(A463="","",IFERROR(ROUND(N(INDEX(art_init,MATCH(A463,art_ref,0)))+SUMIFS(mv_qty,mv_ref,A463,mv_type,"Entrée",mv_date,"&lt;="&amp;$G$1)-SUMIFS(mv_qty,mv_ref,A463,mv_type,"Sortie",mv_date,"&lt;="&amp;$G$1),6),""))</f>
        <v/>
      </c>
      <c r="F463" s="37" t="n"/>
      <c r="G463" s="39" t="str">
        <f>IF(OR(A463="",F463="",E463=""),"",ROUND(F463-E463,6))</f>
        <v/>
      </c>
      <c r="H463" s="40" t="str">
        <f>IF(G463="","",G463*IFERROR(N(INDEX(art_price,MATCH(A463,art_ref,0))),0))</f>
        <v/>
      </c>
      <c r="I463" s="39" t="str">
        <f>IF(A463="","",IF(E463="","Référence inconnue",IF(F463="","À compter",IF(G463&gt;0,"Saisir une entrée de "&amp;G463,IF(G463&lt;0,"Saisir une sortie de "&amp;-G463,"Conforme")))))</f>
        <v/>
      </c>
    </row>
    <row r="464">
      <c r="A464" s="37" t="n"/>
      <c r="B464" s="39" t="str">
        <f>IF(A464="","",IFERROR(INDEX(art_des,MATCH(A464,art_ref,0))&amp;"","Référence inconnue"))</f>
        <v/>
      </c>
      <c r="C464" s="39" t="str">
        <f>IF(A464="","",IFERROR(INDEX(art_unit,MATCH(A464,art_ref,0))&amp;"",""))</f>
        <v/>
      </c>
      <c r="D464" s="39" t="str">
        <f>IF(A464="","",IFERROR(INDEX(art_loc,MATCH(A464,art_ref,0))&amp;"",""))</f>
        <v/>
      </c>
      <c r="E464" s="39" t="str">
        <f>IF(A464="","",IFERROR(ROUND(N(INDEX(art_init,MATCH(A464,art_ref,0)))+SUMIFS(mv_qty,mv_ref,A464,mv_type,"Entrée",mv_date,"&lt;="&amp;$G$1)-SUMIFS(mv_qty,mv_ref,A464,mv_type,"Sortie",mv_date,"&lt;="&amp;$G$1),6),""))</f>
        <v/>
      </c>
      <c r="F464" s="37" t="n"/>
      <c r="G464" s="39" t="str">
        <f>IF(OR(A464="",F464="",E464=""),"",ROUND(F464-E464,6))</f>
        <v/>
      </c>
      <c r="H464" s="40" t="str">
        <f>IF(G464="","",G464*IFERROR(N(INDEX(art_price,MATCH(A464,art_ref,0))),0))</f>
        <v/>
      </c>
      <c r="I464" s="39" t="str">
        <f>IF(A464="","",IF(E464="","Référence inconnue",IF(F464="","À compter",IF(G464&gt;0,"Saisir une entrée de "&amp;G464,IF(G464&lt;0,"Saisir une sortie de "&amp;-G464,"Conforme")))))</f>
        <v/>
      </c>
    </row>
    <row r="465">
      <c r="A465" s="37" t="n"/>
      <c r="B465" s="39" t="str">
        <f>IF(A465="","",IFERROR(INDEX(art_des,MATCH(A465,art_ref,0))&amp;"","Référence inconnue"))</f>
        <v/>
      </c>
      <c r="C465" s="39" t="str">
        <f>IF(A465="","",IFERROR(INDEX(art_unit,MATCH(A465,art_ref,0))&amp;"",""))</f>
        <v/>
      </c>
      <c r="D465" s="39" t="str">
        <f>IF(A465="","",IFERROR(INDEX(art_loc,MATCH(A465,art_ref,0))&amp;"",""))</f>
        <v/>
      </c>
      <c r="E465" s="39" t="str">
        <f>IF(A465="","",IFERROR(ROUND(N(INDEX(art_init,MATCH(A465,art_ref,0)))+SUMIFS(mv_qty,mv_ref,A465,mv_type,"Entrée",mv_date,"&lt;="&amp;$G$1)-SUMIFS(mv_qty,mv_ref,A465,mv_type,"Sortie",mv_date,"&lt;="&amp;$G$1),6),""))</f>
        <v/>
      </c>
      <c r="F465" s="37" t="n"/>
      <c r="G465" s="39" t="str">
        <f>IF(OR(A465="",F465="",E465=""),"",ROUND(F465-E465,6))</f>
        <v/>
      </c>
      <c r="H465" s="40" t="str">
        <f>IF(G465="","",G465*IFERROR(N(INDEX(art_price,MATCH(A465,art_ref,0))),0))</f>
        <v/>
      </c>
      <c r="I465" s="39" t="str">
        <f>IF(A465="","",IF(E465="","Référence inconnue",IF(F465="","À compter",IF(G465&gt;0,"Saisir une entrée de "&amp;G465,IF(G465&lt;0,"Saisir une sortie de "&amp;-G465,"Conforme")))))</f>
        <v/>
      </c>
    </row>
    <row r="466">
      <c r="A466" s="37" t="n"/>
      <c r="B466" s="39" t="str">
        <f>IF(A466="","",IFERROR(INDEX(art_des,MATCH(A466,art_ref,0))&amp;"","Référence inconnue"))</f>
        <v/>
      </c>
      <c r="C466" s="39" t="str">
        <f>IF(A466="","",IFERROR(INDEX(art_unit,MATCH(A466,art_ref,0))&amp;"",""))</f>
        <v/>
      </c>
      <c r="D466" s="39" t="str">
        <f>IF(A466="","",IFERROR(INDEX(art_loc,MATCH(A466,art_ref,0))&amp;"",""))</f>
        <v/>
      </c>
      <c r="E466" s="39" t="str">
        <f>IF(A466="","",IFERROR(ROUND(N(INDEX(art_init,MATCH(A466,art_ref,0)))+SUMIFS(mv_qty,mv_ref,A466,mv_type,"Entrée",mv_date,"&lt;="&amp;$G$1)-SUMIFS(mv_qty,mv_ref,A466,mv_type,"Sortie",mv_date,"&lt;="&amp;$G$1),6),""))</f>
        <v/>
      </c>
      <c r="F466" s="37" t="n"/>
      <c r="G466" s="39" t="str">
        <f>IF(OR(A466="",F466="",E466=""),"",ROUND(F466-E466,6))</f>
        <v/>
      </c>
      <c r="H466" s="40" t="str">
        <f>IF(G466="","",G466*IFERROR(N(INDEX(art_price,MATCH(A466,art_ref,0))),0))</f>
        <v/>
      </c>
      <c r="I466" s="39" t="str">
        <f>IF(A466="","",IF(E466="","Référence inconnue",IF(F466="","À compter",IF(G466&gt;0,"Saisir une entrée de "&amp;G466,IF(G466&lt;0,"Saisir une sortie de "&amp;-G466,"Conforme")))))</f>
        <v/>
      </c>
    </row>
    <row r="467">
      <c r="A467" s="37" t="n"/>
      <c r="B467" s="39" t="str">
        <f>IF(A467="","",IFERROR(INDEX(art_des,MATCH(A467,art_ref,0))&amp;"","Référence inconnue"))</f>
        <v/>
      </c>
      <c r="C467" s="39" t="str">
        <f>IF(A467="","",IFERROR(INDEX(art_unit,MATCH(A467,art_ref,0))&amp;"",""))</f>
        <v/>
      </c>
      <c r="D467" s="39" t="str">
        <f>IF(A467="","",IFERROR(INDEX(art_loc,MATCH(A467,art_ref,0))&amp;"",""))</f>
        <v/>
      </c>
      <c r="E467" s="39" t="str">
        <f>IF(A467="","",IFERROR(ROUND(N(INDEX(art_init,MATCH(A467,art_ref,0)))+SUMIFS(mv_qty,mv_ref,A467,mv_type,"Entrée",mv_date,"&lt;="&amp;$G$1)-SUMIFS(mv_qty,mv_ref,A467,mv_type,"Sortie",mv_date,"&lt;="&amp;$G$1),6),""))</f>
        <v/>
      </c>
      <c r="F467" s="37" t="n"/>
      <c r="G467" s="39" t="str">
        <f>IF(OR(A467="",F467="",E467=""),"",ROUND(F467-E467,6))</f>
        <v/>
      </c>
      <c r="H467" s="40" t="str">
        <f>IF(G467="","",G467*IFERROR(N(INDEX(art_price,MATCH(A467,art_ref,0))),0))</f>
        <v/>
      </c>
      <c r="I467" s="39" t="str">
        <f>IF(A467="","",IF(E467="","Référence inconnue",IF(F467="","À compter",IF(G467&gt;0,"Saisir une entrée de "&amp;G467,IF(G467&lt;0,"Saisir une sortie de "&amp;-G467,"Conforme")))))</f>
        <v/>
      </c>
    </row>
    <row r="468">
      <c r="A468" s="37" t="n"/>
      <c r="B468" s="39" t="str">
        <f>IF(A468="","",IFERROR(INDEX(art_des,MATCH(A468,art_ref,0))&amp;"","Référence inconnue"))</f>
        <v/>
      </c>
      <c r="C468" s="39" t="str">
        <f>IF(A468="","",IFERROR(INDEX(art_unit,MATCH(A468,art_ref,0))&amp;"",""))</f>
        <v/>
      </c>
      <c r="D468" s="39" t="str">
        <f>IF(A468="","",IFERROR(INDEX(art_loc,MATCH(A468,art_ref,0))&amp;"",""))</f>
        <v/>
      </c>
      <c r="E468" s="39" t="str">
        <f>IF(A468="","",IFERROR(ROUND(N(INDEX(art_init,MATCH(A468,art_ref,0)))+SUMIFS(mv_qty,mv_ref,A468,mv_type,"Entrée",mv_date,"&lt;="&amp;$G$1)-SUMIFS(mv_qty,mv_ref,A468,mv_type,"Sortie",mv_date,"&lt;="&amp;$G$1),6),""))</f>
        <v/>
      </c>
      <c r="F468" s="37" t="n"/>
      <c r="G468" s="39" t="str">
        <f>IF(OR(A468="",F468="",E468=""),"",ROUND(F468-E468,6))</f>
        <v/>
      </c>
      <c r="H468" s="40" t="str">
        <f>IF(G468="","",G468*IFERROR(N(INDEX(art_price,MATCH(A468,art_ref,0))),0))</f>
        <v/>
      </c>
      <c r="I468" s="39" t="str">
        <f>IF(A468="","",IF(E468="","Référence inconnue",IF(F468="","À compter",IF(G468&gt;0,"Saisir une entrée de "&amp;G468,IF(G468&lt;0,"Saisir une sortie de "&amp;-G468,"Conforme")))))</f>
        <v/>
      </c>
    </row>
    <row r="469">
      <c r="A469" s="37" t="n"/>
      <c r="B469" s="39" t="str">
        <f>IF(A469="","",IFERROR(INDEX(art_des,MATCH(A469,art_ref,0))&amp;"","Référence inconnue"))</f>
        <v/>
      </c>
      <c r="C469" s="39" t="str">
        <f>IF(A469="","",IFERROR(INDEX(art_unit,MATCH(A469,art_ref,0))&amp;"",""))</f>
        <v/>
      </c>
      <c r="D469" s="39" t="str">
        <f>IF(A469="","",IFERROR(INDEX(art_loc,MATCH(A469,art_ref,0))&amp;"",""))</f>
        <v/>
      </c>
      <c r="E469" s="39" t="str">
        <f>IF(A469="","",IFERROR(ROUND(N(INDEX(art_init,MATCH(A469,art_ref,0)))+SUMIFS(mv_qty,mv_ref,A469,mv_type,"Entrée",mv_date,"&lt;="&amp;$G$1)-SUMIFS(mv_qty,mv_ref,A469,mv_type,"Sortie",mv_date,"&lt;="&amp;$G$1),6),""))</f>
        <v/>
      </c>
      <c r="F469" s="37" t="n"/>
      <c r="G469" s="39" t="str">
        <f>IF(OR(A469="",F469="",E469=""),"",ROUND(F469-E469,6))</f>
        <v/>
      </c>
      <c r="H469" s="40" t="str">
        <f>IF(G469="","",G469*IFERROR(N(INDEX(art_price,MATCH(A469,art_ref,0))),0))</f>
        <v/>
      </c>
      <c r="I469" s="39" t="str">
        <f>IF(A469="","",IF(E469="","Référence inconnue",IF(F469="","À compter",IF(G469&gt;0,"Saisir une entrée de "&amp;G469,IF(G469&lt;0,"Saisir une sortie de "&amp;-G469,"Conforme")))))</f>
        <v/>
      </c>
    </row>
    <row r="470">
      <c r="A470" s="37" t="n"/>
      <c r="B470" s="39" t="str">
        <f>IF(A470="","",IFERROR(INDEX(art_des,MATCH(A470,art_ref,0))&amp;"","Référence inconnue"))</f>
        <v/>
      </c>
      <c r="C470" s="39" t="str">
        <f>IF(A470="","",IFERROR(INDEX(art_unit,MATCH(A470,art_ref,0))&amp;"",""))</f>
        <v/>
      </c>
      <c r="D470" s="39" t="str">
        <f>IF(A470="","",IFERROR(INDEX(art_loc,MATCH(A470,art_ref,0))&amp;"",""))</f>
        <v/>
      </c>
      <c r="E470" s="39" t="str">
        <f>IF(A470="","",IFERROR(ROUND(N(INDEX(art_init,MATCH(A470,art_ref,0)))+SUMIFS(mv_qty,mv_ref,A470,mv_type,"Entrée",mv_date,"&lt;="&amp;$G$1)-SUMIFS(mv_qty,mv_ref,A470,mv_type,"Sortie",mv_date,"&lt;="&amp;$G$1),6),""))</f>
        <v/>
      </c>
      <c r="F470" s="37" t="n"/>
      <c r="G470" s="39" t="str">
        <f>IF(OR(A470="",F470="",E470=""),"",ROUND(F470-E470,6))</f>
        <v/>
      </c>
      <c r="H470" s="40" t="str">
        <f>IF(G470="","",G470*IFERROR(N(INDEX(art_price,MATCH(A470,art_ref,0))),0))</f>
        <v/>
      </c>
      <c r="I470" s="39" t="str">
        <f>IF(A470="","",IF(E470="","Référence inconnue",IF(F470="","À compter",IF(G470&gt;0,"Saisir une entrée de "&amp;G470,IF(G470&lt;0,"Saisir une sortie de "&amp;-G470,"Conforme")))))</f>
        <v/>
      </c>
    </row>
    <row r="471">
      <c r="A471" s="37" t="n"/>
      <c r="B471" s="39" t="str">
        <f>IF(A471="","",IFERROR(INDEX(art_des,MATCH(A471,art_ref,0))&amp;"","Référence inconnue"))</f>
        <v/>
      </c>
      <c r="C471" s="39" t="str">
        <f>IF(A471="","",IFERROR(INDEX(art_unit,MATCH(A471,art_ref,0))&amp;"",""))</f>
        <v/>
      </c>
      <c r="D471" s="39" t="str">
        <f>IF(A471="","",IFERROR(INDEX(art_loc,MATCH(A471,art_ref,0))&amp;"",""))</f>
        <v/>
      </c>
      <c r="E471" s="39" t="str">
        <f>IF(A471="","",IFERROR(ROUND(N(INDEX(art_init,MATCH(A471,art_ref,0)))+SUMIFS(mv_qty,mv_ref,A471,mv_type,"Entrée",mv_date,"&lt;="&amp;$G$1)-SUMIFS(mv_qty,mv_ref,A471,mv_type,"Sortie",mv_date,"&lt;="&amp;$G$1),6),""))</f>
        <v/>
      </c>
      <c r="F471" s="37" t="n"/>
      <c r="G471" s="39" t="str">
        <f>IF(OR(A471="",F471="",E471=""),"",ROUND(F471-E471,6))</f>
        <v/>
      </c>
      <c r="H471" s="40" t="str">
        <f>IF(G471="","",G471*IFERROR(N(INDEX(art_price,MATCH(A471,art_ref,0))),0))</f>
        <v/>
      </c>
      <c r="I471" s="39" t="str">
        <f>IF(A471="","",IF(E471="","Référence inconnue",IF(F471="","À compter",IF(G471&gt;0,"Saisir une entrée de "&amp;G471,IF(G471&lt;0,"Saisir une sortie de "&amp;-G471,"Conforme")))))</f>
        <v/>
      </c>
    </row>
    <row r="472">
      <c r="A472" s="37" t="n"/>
      <c r="B472" s="39" t="str">
        <f>IF(A472="","",IFERROR(INDEX(art_des,MATCH(A472,art_ref,0))&amp;"","Référence inconnue"))</f>
        <v/>
      </c>
      <c r="C472" s="39" t="str">
        <f>IF(A472="","",IFERROR(INDEX(art_unit,MATCH(A472,art_ref,0))&amp;"",""))</f>
        <v/>
      </c>
      <c r="D472" s="39" t="str">
        <f>IF(A472="","",IFERROR(INDEX(art_loc,MATCH(A472,art_ref,0))&amp;"",""))</f>
        <v/>
      </c>
      <c r="E472" s="39" t="str">
        <f>IF(A472="","",IFERROR(ROUND(N(INDEX(art_init,MATCH(A472,art_ref,0)))+SUMIFS(mv_qty,mv_ref,A472,mv_type,"Entrée",mv_date,"&lt;="&amp;$G$1)-SUMIFS(mv_qty,mv_ref,A472,mv_type,"Sortie",mv_date,"&lt;="&amp;$G$1),6),""))</f>
        <v/>
      </c>
      <c r="F472" s="37" t="n"/>
      <c r="G472" s="39" t="str">
        <f>IF(OR(A472="",F472="",E472=""),"",ROUND(F472-E472,6))</f>
        <v/>
      </c>
      <c r="H472" s="40" t="str">
        <f>IF(G472="","",G472*IFERROR(N(INDEX(art_price,MATCH(A472,art_ref,0))),0))</f>
        <v/>
      </c>
      <c r="I472" s="39" t="str">
        <f>IF(A472="","",IF(E472="","Référence inconnue",IF(F472="","À compter",IF(G472&gt;0,"Saisir une entrée de "&amp;G472,IF(G472&lt;0,"Saisir une sortie de "&amp;-G472,"Conforme")))))</f>
        <v/>
      </c>
    </row>
    <row r="473">
      <c r="A473" s="37" t="n"/>
      <c r="B473" s="39" t="str">
        <f>IF(A473="","",IFERROR(INDEX(art_des,MATCH(A473,art_ref,0))&amp;"","Référence inconnue"))</f>
        <v/>
      </c>
      <c r="C473" s="39" t="str">
        <f>IF(A473="","",IFERROR(INDEX(art_unit,MATCH(A473,art_ref,0))&amp;"",""))</f>
        <v/>
      </c>
      <c r="D473" s="39" t="str">
        <f>IF(A473="","",IFERROR(INDEX(art_loc,MATCH(A473,art_ref,0))&amp;"",""))</f>
        <v/>
      </c>
      <c r="E473" s="39" t="str">
        <f>IF(A473="","",IFERROR(ROUND(N(INDEX(art_init,MATCH(A473,art_ref,0)))+SUMIFS(mv_qty,mv_ref,A473,mv_type,"Entrée",mv_date,"&lt;="&amp;$G$1)-SUMIFS(mv_qty,mv_ref,A473,mv_type,"Sortie",mv_date,"&lt;="&amp;$G$1),6),""))</f>
        <v/>
      </c>
      <c r="F473" s="37" t="n"/>
      <c r="G473" s="39" t="str">
        <f>IF(OR(A473="",F473="",E473=""),"",ROUND(F473-E473,6))</f>
        <v/>
      </c>
      <c r="H473" s="40" t="str">
        <f>IF(G473="","",G473*IFERROR(N(INDEX(art_price,MATCH(A473,art_ref,0))),0))</f>
        <v/>
      </c>
      <c r="I473" s="39" t="str">
        <f>IF(A473="","",IF(E473="","Référence inconnue",IF(F473="","À compter",IF(G473&gt;0,"Saisir une entrée de "&amp;G473,IF(G473&lt;0,"Saisir une sortie de "&amp;-G473,"Conforme")))))</f>
        <v/>
      </c>
    </row>
    <row r="474">
      <c r="A474" s="37" t="n"/>
      <c r="B474" s="39" t="str">
        <f>IF(A474="","",IFERROR(INDEX(art_des,MATCH(A474,art_ref,0))&amp;"","Référence inconnue"))</f>
        <v/>
      </c>
      <c r="C474" s="39" t="str">
        <f>IF(A474="","",IFERROR(INDEX(art_unit,MATCH(A474,art_ref,0))&amp;"",""))</f>
        <v/>
      </c>
      <c r="D474" s="39" t="str">
        <f>IF(A474="","",IFERROR(INDEX(art_loc,MATCH(A474,art_ref,0))&amp;"",""))</f>
        <v/>
      </c>
      <c r="E474" s="39" t="str">
        <f>IF(A474="","",IFERROR(ROUND(N(INDEX(art_init,MATCH(A474,art_ref,0)))+SUMIFS(mv_qty,mv_ref,A474,mv_type,"Entrée",mv_date,"&lt;="&amp;$G$1)-SUMIFS(mv_qty,mv_ref,A474,mv_type,"Sortie",mv_date,"&lt;="&amp;$G$1),6),""))</f>
        <v/>
      </c>
      <c r="F474" s="37" t="n"/>
      <c r="G474" s="39" t="str">
        <f>IF(OR(A474="",F474="",E474=""),"",ROUND(F474-E474,6))</f>
        <v/>
      </c>
      <c r="H474" s="40" t="str">
        <f>IF(G474="","",G474*IFERROR(N(INDEX(art_price,MATCH(A474,art_ref,0))),0))</f>
        <v/>
      </c>
      <c r="I474" s="39" t="str">
        <f>IF(A474="","",IF(E474="","Référence inconnue",IF(F474="","À compter",IF(G474&gt;0,"Saisir une entrée de "&amp;G474,IF(G474&lt;0,"Saisir une sortie de "&amp;-G474,"Conforme")))))</f>
        <v/>
      </c>
    </row>
    <row r="475">
      <c r="A475" s="37" t="n"/>
      <c r="B475" s="39" t="str">
        <f>IF(A475="","",IFERROR(INDEX(art_des,MATCH(A475,art_ref,0))&amp;"","Référence inconnue"))</f>
        <v/>
      </c>
      <c r="C475" s="39" t="str">
        <f>IF(A475="","",IFERROR(INDEX(art_unit,MATCH(A475,art_ref,0))&amp;"",""))</f>
        <v/>
      </c>
      <c r="D475" s="39" t="str">
        <f>IF(A475="","",IFERROR(INDEX(art_loc,MATCH(A475,art_ref,0))&amp;"",""))</f>
        <v/>
      </c>
      <c r="E475" s="39" t="str">
        <f>IF(A475="","",IFERROR(ROUND(N(INDEX(art_init,MATCH(A475,art_ref,0)))+SUMIFS(mv_qty,mv_ref,A475,mv_type,"Entrée",mv_date,"&lt;="&amp;$G$1)-SUMIFS(mv_qty,mv_ref,A475,mv_type,"Sortie",mv_date,"&lt;="&amp;$G$1),6),""))</f>
        <v/>
      </c>
      <c r="F475" s="37" t="n"/>
      <c r="G475" s="39" t="str">
        <f>IF(OR(A475="",F475="",E475=""),"",ROUND(F475-E475,6))</f>
        <v/>
      </c>
      <c r="H475" s="40" t="str">
        <f>IF(G475="","",G475*IFERROR(N(INDEX(art_price,MATCH(A475,art_ref,0))),0))</f>
        <v/>
      </c>
      <c r="I475" s="39" t="str">
        <f>IF(A475="","",IF(E475="","Référence inconnue",IF(F475="","À compter",IF(G475&gt;0,"Saisir une entrée de "&amp;G475,IF(G475&lt;0,"Saisir une sortie de "&amp;-G475,"Conforme")))))</f>
        <v/>
      </c>
    </row>
    <row r="476">
      <c r="A476" s="37" t="n"/>
      <c r="B476" s="39" t="str">
        <f>IF(A476="","",IFERROR(INDEX(art_des,MATCH(A476,art_ref,0))&amp;"","Référence inconnue"))</f>
        <v/>
      </c>
      <c r="C476" s="39" t="str">
        <f>IF(A476="","",IFERROR(INDEX(art_unit,MATCH(A476,art_ref,0))&amp;"",""))</f>
        <v/>
      </c>
      <c r="D476" s="39" t="str">
        <f>IF(A476="","",IFERROR(INDEX(art_loc,MATCH(A476,art_ref,0))&amp;"",""))</f>
        <v/>
      </c>
      <c r="E476" s="39" t="str">
        <f>IF(A476="","",IFERROR(ROUND(N(INDEX(art_init,MATCH(A476,art_ref,0)))+SUMIFS(mv_qty,mv_ref,A476,mv_type,"Entrée",mv_date,"&lt;="&amp;$G$1)-SUMIFS(mv_qty,mv_ref,A476,mv_type,"Sortie",mv_date,"&lt;="&amp;$G$1),6),""))</f>
        <v/>
      </c>
      <c r="F476" s="37" t="n"/>
      <c r="G476" s="39" t="str">
        <f>IF(OR(A476="",F476="",E476=""),"",ROUND(F476-E476,6))</f>
        <v/>
      </c>
      <c r="H476" s="40" t="str">
        <f>IF(G476="","",G476*IFERROR(N(INDEX(art_price,MATCH(A476,art_ref,0))),0))</f>
        <v/>
      </c>
      <c r="I476" s="39" t="str">
        <f>IF(A476="","",IF(E476="","Référence inconnue",IF(F476="","À compter",IF(G476&gt;0,"Saisir une entrée de "&amp;G476,IF(G476&lt;0,"Saisir une sortie de "&amp;-G476,"Conforme")))))</f>
        <v/>
      </c>
    </row>
    <row r="477">
      <c r="A477" s="37" t="n"/>
      <c r="B477" s="39" t="str">
        <f>IF(A477="","",IFERROR(INDEX(art_des,MATCH(A477,art_ref,0))&amp;"","Référence inconnue"))</f>
        <v/>
      </c>
      <c r="C477" s="39" t="str">
        <f>IF(A477="","",IFERROR(INDEX(art_unit,MATCH(A477,art_ref,0))&amp;"",""))</f>
        <v/>
      </c>
      <c r="D477" s="39" t="str">
        <f>IF(A477="","",IFERROR(INDEX(art_loc,MATCH(A477,art_ref,0))&amp;"",""))</f>
        <v/>
      </c>
      <c r="E477" s="39" t="str">
        <f>IF(A477="","",IFERROR(ROUND(N(INDEX(art_init,MATCH(A477,art_ref,0)))+SUMIFS(mv_qty,mv_ref,A477,mv_type,"Entrée",mv_date,"&lt;="&amp;$G$1)-SUMIFS(mv_qty,mv_ref,A477,mv_type,"Sortie",mv_date,"&lt;="&amp;$G$1),6),""))</f>
        <v/>
      </c>
      <c r="F477" s="37" t="n"/>
      <c r="G477" s="39" t="str">
        <f>IF(OR(A477="",F477="",E477=""),"",ROUND(F477-E477,6))</f>
        <v/>
      </c>
      <c r="H477" s="40" t="str">
        <f>IF(G477="","",G477*IFERROR(N(INDEX(art_price,MATCH(A477,art_ref,0))),0))</f>
        <v/>
      </c>
      <c r="I477" s="39" t="str">
        <f>IF(A477="","",IF(E477="","Référence inconnue",IF(F477="","À compter",IF(G477&gt;0,"Saisir une entrée de "&amp;G477,IF(G477&lt;0,"Saisir une sortie de "&amp;-G477,"Conforme")))))</f>
        <v/>
      </c>
    </row>
    <row r="478">
      <c r="A478" s="37" t="n"/>
      <c r="B478" s="39" t="str">
        <f>IF(A478="","",IFERROR(INDEX(art_des,MATCH(A478,art_ref,0))&amp;"","Référence inconnue"))</f>
        <v/>
      </c>
      <c r="C478" s="39" t="str">
        <f>IF(A478="","",IFERROR(INDEX(art_unit,MATCH(A478,art_ref,0))&amp;"",""))</f>
        <v/>
      </c>
      <c r="D478" s="39" t="str">
        <f>IF(A478="","",IFERROR(INDEX(art_loc,MATCH(A478,art_ref,0))&amp;"",""))</f>
        <v/>
      </c>
      <c r="E478" s="39" t="str">
        <f>IF(A478="","",IFERROR(ROUND(N(INDEX(art_init,MATCH(A478,art_ref,0)))+SUMIFS(mv_qty,mv_ref,A478,mv_type,"Entrée",mv_date,"&lt;="&amp;$G$1)-SUMIFS(mv_qty,mv_ref,A478,mv_type,"Sortie",mv_date,"&lt;="&amp;$G$1),6),""))</f>
        <v/>
      </c>
      <c r="F478" s="37" t="n"/>
      <c r="G478" s="39" t="str">
        <f>IF(OR(A478="",F478="",E478=""),"",ROUND(F478-E478,6))</f>
        <v/>
      </c>
      <c r="H478" s="40" t="str">
        <f>IF(G478="","",G478*IFERROR(N(INDEX(art_price,MATCH(A478,art_ref,0))),0))</f>
        <v/>
      </c>
      <c r="I478" s="39" t="str">
        <f>IF(A478="","",IF(E478="","Référence inconnue",IF(F478="","À compter",IF(G478&gt;0,"Saisir une entrée de "&amp;G478,IF(G478&lt;0,"Saisir une sortie de "&amp;-G478,"Conforme")))))</f>
        <v/>
      </c>
    </row>
    <row r="479">
      <c r="A479" s="37" t="n"/>
      <c r="B479" s="39" t="str">
        <f>IF(A479="","",IFERROR(INDEX(art_des,MATCH(A479,art_ref,0))&amp;"","Référence inconnue"))</f>
        <v/>
      </c>
      <c r="C479" s="39" t="str">
        <f>IF(A479="","",IFERROR(INDEX(art_unit,MATCH(A479,art_ref,0))&amp;"",""))</f>
        <v/>
      </c>
      <c r="D479" s="39" t="str">
        <f>IF(A479="","",IFERROR(INDEX(art_loc,MATCH(A479,art_ref,0))&amp;"",""))</f>
        <v/>
      </c>
      <c r="E479" s="39" t="str">
        <f>IF(A479="","",IFERROR(ROUND(N(INDEX(art_init,MATCH(A479,art_ref,0)))+SUMIFS(mv_qty,mv_ref,A479,mv_type,"Entrée",mv_date,"&lt;="&amp;$G$1)-SUMIFS(mv_qty,mv_ref,A479,mv_type,"Sortie",mv_date,"&lt;="&amp;$G$1),6),""))</f>
        <v/>
      </c>
      <c r="F479" s="37" t="n"/>
      <c r="G479" s="39" t="str">
        <f>IF(OR(A479="",F479="",E479=""),"",ROUND(F479-E479,6))</f>
        <v/>
      </c>
      <c r="H479" s="40" t="str">
        <f>IF(G479="","",G479*IFERROR(N(INDEX(art_price,MATCH(A479,art_ref,0))),0))</f>
        <v/>
      </c>
      <c r="I479" s="39" t="str">
        <f>IF(A479="","",IF(E479="","Référence inconnue",IF(F479="","À compter",IF(G479&gt;0,"Saisir une entrée de "&amp;G479,IF(G479&lt;0,"Saisir une sortie de "&amp;-G479,"Conforme")))))</f>
        <v/>
      </c>
    </row>
    <row r="480">
      <c r="A480" s="37" t="n"/>
      <c r="B480" s="39" t="str">
        <f>IF(A480="","",IFERROR(INDEX(art_des,MATCH(A480,art_ref,0))&amp;"","Référence inconnue"))</f>
        <v/>
      </c>
      <c r="C480" s="39" t="str">
        <f>IF(A480="","",IFERROR(INDEX(art_unit,MATCH(A480,art_ref,0))&amp;"",""))</f>
        <v/>
      </c>
      <c r="D480" s="39" t="str">
        <f>IF(A480="","",IFERROR(INDEX(art_loc,MATCH(A480,art_ref,0))&amp;"",""))</f>
        <v/>
      </c>
      <c r="E480" s="39" t="str">
        <f>IF(A480="","",IFERROR(ROUND(N(INDEX(art_init,MATCH(A480,art_ref,0)))+SUMIFS(mv_qty,mv_ref,A480,mv_type,"Entrée",mv_date,"&lt;="&amp;$G$1)-SUMIFS(mv_qty,mv_ref,A480,mv_type,"Sortie",mv_date,"&lt;="&amp;$G$1),6),""))</f>
        <v/>
      </c>
      <c r="F480" s="37" t="n"/>
      <c r="G480" s="39" t="str">
        <f>IF(OR(A480="",F480="",E480=""),"",ROUND(F480-E480,6))</f>
        <v/>
      </c>
      <c r="H480" s="40" t="str">
        <f>IF(G480="","",G480*IFERROR(N(INDEX(art_price,MATCH(A480,art_ref,0))),0))</f>
        <v/>
      </c>
      <c r="I480" s="39" t="str">
        <f>IF(A480="","",IF(E480="","Référence inconnue",IF(F480="","À compter",IF(G480&gt;0,"Saisir une entrée de "&amp;G480,IF(G480&lt;0,"Saisir une sortie de "&amp;-G480,"Conforme")))))</f>
        <v/>
      </c>
    </row>
    <row r="481">
      <c r="A481" s="37" t="n"/>
      <c r="B481" s="39" t="str">
        <f>IF(A481="","",IFERROR(INDEX(art_des,MATCH(A481,art_ref,0))&amp;"","Référence inconnue"))</f>
        <v/>
      </c>
      <c r="C481" s="39" t="str">
        <f>IF(A481="","",IFERROR(INDEX(art_unit,MATCH(A481,art_ref,0))&amp;"",""))</f>
        <v/>
      </c>
      <c r="D481" s="39" t="str">
        <f>IF(A481="","",IFERROR(INDEX(art_loc,MATCH(A481,art_ref,0))&amp;"",""))</f>
        <v/>
      </c>
      <c r="E481" s="39" t="str">
        <f>IF(A481="","",IFERROR(ROUND(N(INDEX(art_init,MATCH(A481,art_ref,0)))+SUMIFS(mv_qty,mv_ref,A481,mv_type,"Entrée",mv_date,"&lt;="&amp;$G$1)-SUMIFS(mv_qty,mv_ref,A481,mv_type,"Sortie",mv_date,"&lt;="&amp;$G$1),6),""))</f>
        <v/>
      </c>
      <c r="F481" s="37" t="n"/>
      <c r="G481" s="39" t="str">
        <f>IF(OR(A481="",F481="",E481=""),"",ROUND(F481-E481,6))</f>
        <v/>
      </c>
      <c r="H481" s="40" t="str">
        <f>IF(G481="","",G481*IFERROR(N(INDEX(art_price,MATCH(A481,art_ref,0))),0))</f>
        <v/>
      </c>
      <c r="I481" s="39" t="str">
        <f>IF(A481="","",IF(E481="","Référence inconnue",IF(F481="","À compter",IF(G481&gt;0,"Saisir une entrée de "&amp;G481,IF(G481&lt;0,"Saisir une sortie de "&amp;-G481,"Conforme")))))</f>
        <v/>
      </c>
    </row>
    <row r="482">
      <c r="A482" s="37" t="n"/>
      <c r="B482" s="39" t="str">
        <f>IF(A482="","",IFERROR(INDEX(art_des,MATCH(A482,art_ref,0))&amp;"","Référence inconnue"))</f>
        <v/>
      </c>
      <c r="C482" s="39" t="str">
        <f>IF(A482="","",IFERROR(INDEX(art_unit,MATCH(A482,art_ref,0))&amp;"",""))</f>
        <v/>
      </c>
      <c r="D482" s="39" t="str">
        <f>IF(A482="","",IFERROR(INDEX(art_loc,MATCH(A482,art_ref,0))&amp;"",""))</f>
        <v/>
      </c>
      <c r="E482" s="39" t="str">
        <f>IF(A482="","",IFERROR(ROUND(N(INDEX(art_init,MATCH(A482,art_ref,0)))+SUMIFS(mv_qty,mv_ref,A482,mv_type,"Entrée",mv_date,"&lt;="&amp;$G$1)-SUMIFS(mv_qty,mv_ref,A482,mv_type,"Sortie",mv_date,"&lt;="&amp;$G$1),6),""))</f>
        <v/>
      </c>
      <c r="F482" s="37" t="n"/>
      <c r="G482" s="39" t="str">
        <f>IF(OR(A482="",F482="",E482=""),"",ROUND(F482-E482,6))</f>
        <v/>
      </c>
      <c r="H482" s="40" t="str">
        <f>IF(G482="","",G482*IFERROR(N(INDEX(art_price,MATCH(A482,art_ref,0))),0))</f>
        <v/>
      </c>
      <c r="I482" s="39" t="str">
        <f>IF(A482="","",IF(E482="","Référence inconnue",IF(F482="","À compter",IF(G482&gt;0,"Saisir une entrée de "&amp;G482,IF(G482&lt;0,"Saisir une sortie de "&amp;-G482,"Conforme")))))</f>
        <v/>
      </c>
    </row>
    <row r="483">
      <c r="A483" s="37" t="n"/>
      <c r="B483" s="39" t="str">
        <f>IF(A483="","",IFERROR(INDEX(art_des,MATCH(A483,art_ref,0))&amp;"","Référence inconnue"))</f>
        <v/>
      </c>
      <c r="C483" s="39" t="str">
        <f>IF(A483="","",IFERROR(INDEX(art_unit,MATCH(A483,art_ref,0))&amp;"",""))</f>
        <v/>
      </c>
      <c r="D483" s="39" t="str">
        <f>IF(A483="","",IFERROR(INDEX(art_loc,MATCH(A483,art_ref,0))&amp;"",""))</f>
        <v/>
      </c>
      <c r="E483" s="39" t="str">
        <f>IF(A483="","",IFERROR(ROUND(N(INDEX(art_init,MATCH(A483,art_ref,0)))+SUMIFS(mv_qty,mv_ref,A483,mv_type,"Entrée",mv_date,"&lt;="&amp;$G$1)-SUMIFS(mv_qty,mv_ref,A483,mv_type,"Sortie",mv_date,"&lt;="&amp;$G$1),6),""))</f>
        <v/>
      </c>
      <c r="F483" s="37" t="n"/>
      <c r="G483" s="39" t="str">
        <f>IF(OR(A483="",F483="",E483=""),"",ROUND(F483-E483,6))</f>
        <v/>
      </c>
      <c r="H483" s="40" t="str">
        <f>IF(G483="","",G483*IFERROR(N(INDEX(art_price,MATCH(A483,art_ref,0))),0))</f>
        <v/>
      </c>
      <c r="I483" s="39" t="str">
        <f>IF(A483="","",IF(E483="","Référence inconnue",IF(F483="","À compter",IF(G483&gt;0,"Saisir une entrée de "&amp;G483,IF(G483&lt;0,"Saisir une sortie de "&amp;-G483,"Conforme")))))</f>
        <v/>
      </c>
    </row>
    <row r="484">
      <c r="A484" s="37" t="n"/>
      <c r="B484" s="39" t="str">
        <f>IF(A484="","",IFERROR(INDEX(art_des,MATCH(A484,art_ref,0))&amp;"","Référence inconnue"))</f>
        <v/>
      </c>
      <c r="C484" s="39" t="str">
        <f>IF(A484="","",IFERROR(INDEX(art_unit,MATCH(A484,art_ref,0))&amp;"",""))</f>
        <v/>
      </c>
      <c r="D484" s="39" t="str">
        <f>IF(A484="","",IFERROR(INDEX(art_loc,MATCH(A484,art_ref,0))&amp;"",""))</f>
        <v/>
      </c>
      <c r="E484" s="39" t="str">
        <f>IF(A484="","",IFERROR(ROUND(N(INDEX(art_init,MATCH(A484,art_ref,0)))+SUMIFS(mv_qty,mv_ref,A484,mv_type,"Entrée",mv_date,"&lt;="&amp;$G$1)-SUMIFS(mv_qty,mv_ref,A484,mv_type,"Sortie",mv_date,"&lt;="&amp;$G$1),6),""))</f>
        <v/>
      </c>
      <c r="F484" s="37" t="n"/>
      <c r="G484" s="39" t="str">
        <f>IF(OR(A484="",F484="",E484=""),"",ROUND(F484-E484,6))</f>
        <v/>
      </c>
      <c r="H484" s="40" t="str">
        <f>IF(G484="","",G484*IFERROR(N(INDEX(art_price,MATCH(A484,art_ref,0))),0))</f>
        <v/>
      </c>
      <c r="I484" s="39" t="str">
        <f>IF(A484="","",IF(E484="","Référence inconnue",IF(F484="","À compter",IF(G484&gt;0,"Saisir une entrée de "&amp;G484,IF(G484&lt;0,"Saisir une sortie de "&amp;-G484,"Conforme")))))</f>
        <v/>
      </c>
    </row>
    <row r="485">
      <c r="A485" s="37" t="n"/>
      <c r="B485" s="39" t="str">
        <f>IF(A485="","",IFERROR(INDEX(art_des,MATCH(A485,art_ref,0))&amp;"","Référence inconnue"))</f>
        <v/>
      </c>
      <c r="C485" s="39" t="str">
        <f>IF(A485="","",IFERROR(INDEX(art_unit,MATCH(A485,art_ref,0))&amp;"",""))</f>
        <v/>
      </c>
      <c r="D485" s="39" t="str">
        <f>IF(A485="","",IFERROR(INDEX(art_loc,MATCH(A485,art_ref,0))&amp;"",""))</f>
        <v/>
      </c>
      <c r="E485" s="39" t="str">
        <f>IF(A485="","",IFERROR(ROUND(N(INDEX(art_init,MATCH(A485,art_ref,0)))+SUMIFS(mv_qty,mv_ref,A485,mv_type,"Entrée",mv_date,"&lt;="&amp;$G$1)-SUMIFS(mv_qty,mv_ref,A485,mv_type,"Sortie",mv_date,"&lt;="&amp;$G$1),6),""))</f>
        <v/>
      </c>
      <c r="F485" s="37" t="n"/>
      <c r="G485" s="39" t="str">
        <f>IF(OR(A485="",F485="",E485=""),"",ROUND(F485-E485,6))</f>
        <v/>
      </c>
      <c r="H485" s="40" t="str">
        <f>IF(G485="","",G485*IFERROR(N(INDEX(art_price,MATCH(A485,art_ref,0))),0))</f>
        <v/>
      </c>
      <c r="I485" s="39" t="str">
        <f>IF(A485="","",IF(E485="","Référence inconnue",IF(F485="","À compter",IF(G485&gt;0,"Saisir une entrée de "&amp;G485,IF(G485&lt;0,"Saisir une sortie de "&amp;-G485,"Conforme")))))</f>
        <v/>
      </c>
    </row>
    <row r="486">
      <c r="A486" s="37" t="n"/>
      <c r="B486" s="39" t="str">
        <f>IF(A486="","",IFERROR(INDEX(art_des,MATCH(A486,art_ref,0))&amp;"","Référence inconnue"))</f>
        <v/>
      </c>
      <c r="C486" s="39" t="str">
        <f>IF(A486="","",IFERROR(INDEX(art_unit,MATCH(A486,art_ref,0))&amp;"",""))</f>
        <v/>
      </c>
      <c r="D486" s="39" t="str">
        <f>IF(A486="","",IFERROR(INDEX(art_loc,MATCH(A486,art_ref,0))&amp;"",""))</f>
        <v/>
      </c>
      <c r="E486" s="39" t="str">
        <f>IF(A486="","",IFERROR(ROUND(N(INDEX(art_init,MATCH(A486,art_ref,0)))+SUMIFS(mv_qty,mv_ref,A486,mv_type,"Entrée",mv_date,"&lt;="&amp;$G$1)-SUMIFS(mv_qty,mv_ref,A486,mv_type,"Sortie",mv_date,"&lt;="&amp;$G$1),6),""))</f>
        <v/>
      </c>
      <c r="F486" s="37" t="n"/>
      <c r="G486" s="39" t="str">
        <f>IF(OR(A486="",F486="",E486=""),"",ROUND(F486-E486,6))</f>
        <v/>
      </c>
      <c r="H486" s="40" t="str">
        <f>IF(G486="","",G486*IFERROR(N(INDEX(art_price,MATCH(A486,art_ref,0))),0))</f>
        <v/>
      </c>
      <c r="I486" s="39" t="str">
        <f>IF(A486="","",IF(E486="","Référence inconnue",IF(F486="","À compter",IF(G486&gt;0,"Saisir une entrée de "&amp;G486,IF(G486&lt;0,"Saisir une sortie de "&amp;-G486,"Conforme")))))</f>
        <v/>
      </c>
    </row>
    <row r="487">
      <c r="A487" s="37" t="n"/>
      <c r="B487" s="39" t="str">
        <f>IF(A487="","",IFERROR(INDEX(art_des,MATCH(A487,art_ref,0))&amp;"","Référence inconnue"))</f>
        <v/>
      </c>
      <c r="C487" s="39" t="str">
        <f>IF(A487="","",IFERROR(INDEX(art_unit,MATCH(A487,art_ref,0))&amp;"",""))</f>
        <v/>
      </c>
      <c r="D487" s="39" t="str">
        <f>IF(A487="","",IFERROR(INDEX(art_loc,MATCH(A487,art_ref,0))&amp;"",""))</f>
        <v/>
      </c>
      <c r="E487" s="39" t="str">
        <f>IF(A487="","",IFERROR(ROUND(N(INDEX(art_init,MATCH(A487,art_ref,0)))+SUMIFS(mv_qty,mv_ref,A487,mv_type,"Entrée",mv_date,"&lt;="&amp;$G$1)-SUMIFS(mv_qty,mv_ref,A487,mv_type,"Sortie",mv_date,"&lt;="&amp;$G$1),6),""))</f>
        <v/>
      </c>
      <c r="F487" s="37" t="n"/>
      <c r="G487" s="39" t="str">
        <f>IF(OR(A487="",F487="",E487=""),"",ROUND(F487-E487,6))</f>
        <v/>
      </c>
      <c r="H487" s="40" t="str">
        <f>IF(G487="","",G487*IFERROR(N(INDEX(art_price,MATCH(A487,art_ref,0))),0))</f>
        <v/>
      </c>
      <c r="I487" s="39" t="str">
        <f>IF(A487="","",IF(E487="","Référence inconnue",IF(F487="","À compter",IF(G487&gt;0,"Saisir une entrée de "&amp;G487,IF(G487&lt;0,"Saisir une sortie de "&amp;-G487,"Conforme")))))</f>
        <v/>
      </c>
    </row>
    <row r="488">
      <c r="A488" s="37" t="n"/>
      <c r="B488" s="39" t="str">
        <f>IF(A488="","",IFERROR(INDEX(art_des,MATCH(A488,art_ref,0))&amp;"","Référence inconnue"))</f>
        <v/>
      </c>
      <c r="C488" s="39" t="str">
        <f>IF(A488="","",IFERROR(INDEX(art_unit,MATCH(A488,art_ref,0))&amp;"",""))</f>
        <v/>
      </c>
      <c r="D488" s="39" t="str">
        <f>IF(A488="","",IFERROR(INDEX(art_loc,MATCH(A488,art_ref,0))&amp;"",""))</f>
        <v/>
      </c>
      <c r="E488" s="39" t="str">
        <f>IF(A488="","",IFERROR(ROUND(N(INDEX(art_init,MATCH(A488,art_ref,0)))+SUMIFS(mv_qty,mv_ref,A488,mv_type,"Entrée",mv_date,"&lt;="&amp;$G$1)-SUMIFS(mv_qty,mv_ref,A488,mv_type,"Sortie",mv_date,"&lt;="&amp;$G$1),6),""))</f>
        <v/>
      </c>
      <c r="F488" s="37" t="n"/>
      <c r="G488" s="39" t="str">
        <f>IF(OR(A488="",F488="",E488=""),"",ROUND(F488-E488,6))</f>
        <v/>
      </c>
      <c r="H488" s="40" t="str">
        <f>IF(G488="","",G488*IFERROR(N(INDEX(art_price,MATCH(A488,art_ref,0))),0))</f>
        <v/>
      </c>
      <c r="I488" s="39" t="str">
        <f>IF(A488="","",IF(E488="","Référence inconnue",IF(F488="","À compter",IF(G488&gt;0,"Saisir une entrée de "&amp;G488,IF(G488&lt;0,"Saisir une sortie de "&amp;-G488,"Conforme")))))</f>
        <v/>
      </c>
    </row>
    <row r="489">
      <c r="A489" s="37" t="n"/>
      <c r="B489" s="39" t="str">
        <f>IF(A489="","",IFERROR(INDEX(art_des,MATCH(A489,art_ref,0))&amp;"","Référence inconnue"))</f>
        <v/>
      </c>
      <c r="C489" s="39" t="str">
        <f>IF(A489="","",IFERROR(INDEX(art_unit,MATCH(A489,art_ref,0))&amp;"",""))</f>
        <v/>
      </c>
      <c r="D489" s="39" t="str">
        <f>IF(A489="","",IFERROR(INDEX(art_loc,MATCH(A489,art_ref,0))&amp;"",""))</f>
        <v/>
      </c>
      <c r="E489" s="39" t="str">
        <f>IF(A489="","",IFERROR(ROUND(N(INDEX(art_init,MATCH(A489,art_ref,0)))+SUMIFS(mv_qty,mv_ref,A489,mv_type,"Entrée",mv_date,"&lt;="&amp;$G$1)-SUMIFS(mv_qty,mv_ref,A489,mv_type,"Sortie",mv_date,"&lt;="&amp;$G$1),6),""))</f>
        <v/>
      </c>
      <c r="F489" s="37" t="n"/>
      <c r="G489" s="39" t="str">
        <f>IF(OR(A489="",F489="",E489=""),"",ROUND(F489-E489,6))</f>
        <v/>
      </c>
      <c r="H489" s="40" t="str">
        <f>IF(G489="","",G489*IFERROR(N(INDEX(art_price,MATCH(A489,art_ref,0))),0))</f>
        <v/>
      </c>
      <c r="I489" s="39" t="str">
        <f>IF(A489="","",IF(E489="","Référence inconnue",IF(F489="","À compter",IF(G489&gt;0,"Saisir une entrée de "&amp;G489,IF(G489&lt;0,"Saisir une sortie de "&amp;-G489,"Conforme")))))</f>
        <v/>
      </c>
    </row>
    <row r="490">
      <c r="A490" s="37" t="n"/>
      <c r="B490" s="39" t="str">
        <f>IF(A490="","",IFERROR(INDEX(art_des,MATCH(A490,art_ref,0))&amp;"","Référence inconnue"))</f>
        <v/>
      </c>
      <c r="C490" s="39" t="str">
        <f>IF(A490="","",IFERROR(INDEX(art_unit,MATCH(A490,art_ref,0))&amp;"",""))</f>
        <v/>
      </c>
      <c r="D490" s="39" t="str">
        <f>IF(A490="","",IFERROR(INDEX(art_loc,MATCH(A490,art_ref,0))&amp;"",""))</f>
        <v/>
      </c>
      <c r="E490" s="39" t="str">
        <f>IF(A490="","",IFERROR(ROUND(N(INDEX(art_init,MATCH(A490,art_ref,0)))+SUMIFS(mv_qty,mv_ref,A490,mv_type,"Entrée",mv_date,"&lt;="&amp;$G$1)-SUMIFS(mv_qty,mv_ref,A490,mv_type,"Sortie",mv_date,"&lt;="&amp;$G$1),6),""))</f>
        <v/>
      </c>
      <c r="F490" s="37" t="n"/>
      <c r="G490" s="39" t="str">
        <f>IF(OR(A490="",F490="",E490=""),"",ROUND(F490-E490,6))</f>
        <v/>
      </c>
      <c r="H490" s="40" t="str">
        <f>IF(G490="","",G490*IFERROR(N(INDEX(art_price,MATCH(A490,art_ref,0))),0))</f>
        <v/>
      </c>
      <c r="I490" s="39" t="str">
        <f>IF(A490="","",IF(E490="","Référence inconnue",IF(F490="","À compter",IF(G490&gt;0,"Saisir une entrée de "&amp;G490,IF(G490&lt;0,"Saisir une sortie de "&amp;-G490,"Conforme")))))</f>
        <v/>
      </c>
    </row>
    <row r="491">
      <c r="A491" s="37" t="n"/>
      <c r="B491" s="39" t="str">
        <f>IF(A491="","",IFERROR(INDEX(art_des,MATCH(A491,art_ref,0))&amp;"","Référence inconnue"))</f>
        <v/>
      </c>
      <c r="C491" s="39" t="str">
        <f>IF(A491="","",IFERROR(INDEX(art_unit,MATCH(A491,art_ref,0))&amp;"",""))</f>
        <v/>
      </c>
      <c r="D491" s="39" t="str">
        <f>IF(A491="","",IFERROR(INDEX(art_loc,MATCH(A491,art_ref,0))&amp;"",""))</f>
        <v/>
      </c>
      <c r="E491" s="39" t="str">
        <f>IF(A491="","",IFERROR(ROUND(N(INDEX(art_init,MATCH(A491,art_ref,0)))+SUMIFS(mv_qty,mv_ref,A491,mv_type,"Entrée",mv_date,"&lt;="&amp;$G$1)-SUMIFS(mv_qty,mv_ref,A491,mv_type,"Sortie",mv_date,"&lt;="&amp;$G$1),6),""))</f>
        <v/>
      </c>
      <c r="F491" s="37" t="n"/>
      <c r="G491" s="39" t="str">
        <f>IF(OR(A491="",F491="",E491=""),"",ROUND(F491-E491,6))</f>
        <v/>
      </c>
      <c r="H491" s="40" t="str">
        <f>IF(G491="","",G491*IFERROR(N(INDEX(art_price,MATCH(A491,art_ref,0))),0))</f>
        <v/>
      </c>
      <c r="I491" s="39" t="str">
        <f>IF(A491="","",IF(E491="","Référence inconnue",IF(F491="","À compter",IF(G491&gt;0,"Saisir une entrée de "&amp;G491,IF(G491&lt;0,"Saisir une sortie de "&amp;-G491,"Conforme")))))</f>
        <v/>
      </c>
    </row>
    <row r="492">
      <c r="A492" s="37" t="n"/>
      <c r="B492" s="39" t="str">
        <f>IF(A492="","",IFERROR(INDEX(art_des,MATCH(A492,art_ref,0))&amp;"","Référence inconnue"))</f>
        <v/>
      </c>
      <c r="C492" s="39" t="str">
        <f>IF(A492="","",IFERROR(INDEX(art_unit,MATCH(A492,art_ref,0))&amp;"",""))</f>
        <v/>
      </c>
      <c r="D492" s="39" t="str">
        <f>IF(A492="","",IFERROR(INDEX(art_loc,MATCH(A492,art_ref,0))&amp;"",""))</f>
        <v/>
      </c>
      <c r="E492" s="39" t="str">
        <f>IF(A492="","",IFERROR(ROUND(N(INDEX(art_init,MATCH(A492,art_ref,0)))+SUMIFS(mv_qty,mv_ref,A492,mv_type,"Entrée",mv_date,"&lt;="&amp;$G$1)-SUMIFS(mv_qty,mv_ref,A492,mv_type,"Sortie",mv_date,"&lt;="&amp;$G$1),6),""))</f>
        <v/>
      </c>
      <c r="F492" s="37" t="n"/>
      <c r="G492" s="39" t="str">
        <f>IF(OR(A492="",F492="",E492=""),"",ROUND(F492-E492,6))</f>
        <v/>
      </c>
      <c r="H492" s="40" t="str">
        <f>IF(G492="","",G492*IFERROR(N(INDEX(art_price,MATCH(A492,art_ref,0))),0))</f>
        <v/>
      </c>
      <c r="I492" s="39" t="str">
        <f>IF(A492="","",IF(E492="","Référence inconnue",IF(F492="","À compter",IF(G492&gt;0,"Saisir une entrée de "&amp;G492,IF(G492&lt;0,"Saisir une sortie de "&amp;-G492,"Conforme")))))</f>
        <v/>
      </c>
    </row>
    <row r="493">
      <c r="A493" s="37" t="n"/>
      <c r="B493" s="39" t="str">
        <f>IF(A493="","",IFERROR(INDEX(art_des,MATCH(A493,art_ref,0))&amp;"","Référence inconnue"))</f>
        <v/>
      </c>
      <c r="C493" s="39" t="str">
        <f>IF(A493="","",IFERROR(INDEX(art_unit,MATCH(A493,art_ref,0))&amp;"",""))</f>
        <v/>
      </c>
      <c r="D493" s="39" t="str">
        <f>IF(A493="","",IFERROR(INDEX(art_loc,MATCH(A493,art_ref,0))&amp;"",""))</f>
        <v/>
      </c>
      <c r="E493" s="39" t="str">
        <f>IF(A493="","",IFERROR(ROUND(N(INDEX(art_init,MATCH(A493,art_ref,0)))+SUMIFS(mv_qty,mv_ref,A493,mv_type,"Entrée",mv_date,"&lt;="&amp;$G$1)-SUMIFS(mv_qty,mv_ref,A493,mv_type,"Sortie",mv_date,"&lt;="&amp;$G$1),6),""))</f>
        <v/>
      </c>
      <c r="F493" s="37" t="n"/>
      <c r="G493" s="39" t="str">
        <f>IF(OR(A493="",F493="",E493=""),"",ROUND(F493-E493,6))</f>
        <v/>
      </c>
      <c r="H493" s="40" t="str">
        <f>IF(G493="","",G493*IFERROR(N(INDEX(art_price,MATCH(A493,art_ref,0))),0))</f>
        <v/>
      </c>
      <c r="I493" s="39" t="str">
        <f>IF(A493="","",IF(E493="","Référence inconnue",IF(F493="","À compter",IF(G493&gt;0,"Saisir une entrée de "&amp;G493,IF(G493&lt;0,"Saisir une sortie de "&amp;-G493,"Conforme")))))</f>
        <v/>
      </c>
    </row>
    <row r="494">
      <c r="A494" s="37" t="n"/>
      <c r="B494" s="39" t="str">
        <f>IF(A494="","",IFERROR(INDEX(art_des,MATCH(A494,art_ref,0))&amp;"","Référence inconnue"))</f>
        <v/>
      </c>
      <c r="C494" s="39" t="str">
        <f>IF(A494="","",IFERROR(INDEX(art_unit,MATCH(A494,art_ref,0))&amp;"",""))</f>
        <v/>
      </c>
      <c r="D494" s="39" t="str">
        <f>IF(A494="","",IFERROR(INDEX(art_loc,MATCH(A494,art_ref,0))&amp;"",""))</f>
        <v/>
      </c>
      <c r="E494" s="39" t="str">
        <f>IF(A494="","",IFERROR(ROUND(N(INDEX(art_init,MATCH(A494,art_ref,0)))+SUMIFS(mv_qty,mv_ref,A494,mv_type,"Entrée",mv_date,"&lt;="&amp;$G$1)-SUMIFS(mv_qty,mv_ref,A494,mv_type,"Sortie",mv_date,"&lt;="&amp;$G$1),6),""))</f>
        <v/>
      </c>
      <c r="F494" s="37" t="n"/>
      <c r="G494" s="39" t="str">
        <f>IF(OR(A494="",F494="",E494=""),"",ROUND(F494-E494,6))</f>
        <v/>
      </c>
      <c r="H494" s="40" t="str">
        <f>IF(G494="","",G494*IFERROR(N(INDEX(art_price,MATCH(A494,art_ref,0))),0))</f>
        <v/>
      </c>
      <c r="I494" s="39" t="str">
        <f>IF(A494="","",IF(E494="","Référence inconnue",IF(F494="","À compter",IF(G494&gt;0,"Saisir une entrée de "&amp;G494,IF(G494&lt;0,"Saisir une sortie de "&amp;-G494,"Conforme")))))</f>
        <v/>
      </c>
    </row>
    <row r="495">
      <c r="A495" s="37" t="n"/>
      <c r="B495" s="39" t="str">
        <f>IF(A495="","",IFERROR(INDEX(art_des,MATCH(A495,art_ref,0))&amp;"","Référence inconnue"))</f>
        <v/>
      </c>
      <c r="C495" s="39" t="str">
        <f>IF(A495="","",IFERROR(INDEX(art_unit,MATCH(A495,art_ref,0))&amp;"",""))</f>
        <v/>
      </c>
      <c r="D495" s="39" t="str">
        <f>IF(A495="","",IFERROR(INDEX(art_loc,MATCH(A495,art_ref,0))&amp;"",""))</f>
        <v/>
      </c>
      <c r="E495" s="39" t="str">
        <f>IF(A495="","",IFERROR(ROUND(N(INDEX(art_init,MATCH(A495,art_ref,0)))+SUMIFS(mv_qty,mv_ref,A495,mv_type,"Entrée",mv_date,"&lt;="&amp;$G$1)-SUMIFS(mv_qty,mv_ref,A495,mv_type,"Sortie",mv_date,"&lt;="&amp;$G$1),6),""))</f>
        <v/>
      </c>
      <c r="F495" s="37" t="n"/>
      <c r="G495" s="39" t="str">
        <f>IF(OR(A495="",F495="",E495=""),"",ROUND(F495-E495,6))</f>
        <v/>
      </c>
      <c r="H495" s="40" t="str">
        <f>IF(G495="","",G495*IFERROR(N(INDEX(art_price,MATCH(A495,art_ref,0))),0))</f>
        <v/>
      </c>
      <c r="I495" s="39" t="str">
        <f>IF(A495="","",IF(E495="","Référence inconnue",IF(F495="","À compter",IF(G495&gt;0,"Saisir une entrée de "&amp;G495,IF(G495&lt;0,"Saisir une sortie de "&amp;-G495,"Conforme")))))</f>
        <v/>
      </c>
    </row>
    <row r="496">
      <c r="A496" s="37" t="n"/>
      <c r="B496" s="39" t="str">
        <f>IF(A496="","",IFERROR(INDEX(art_des,MATCH(A496,art_ref,0))&amp;"","Référence inconnue"))</f>
        <v/>
      </c>
      <c r="C496" s="39" t="str">
        <f>IF(A496="","",IFERROR(INDEX(art_unit,MATCH(A496,art_ref,0))&amp;"",""))</f>
        <v/>
      </c>
      <c r="D496" s="39" t="str">
        <f>IF(A496="","",IFERROR(INDEX(art_loc,MATCH(A496,art_ref,0))&amp;"",""))</f>
        <v/>
      </c>
      <c r="E496" s="39" t="str">
        <f>IF(A496="","",IFERROR(ROUND(N(INDEX(art_init,MATCH(A496,art_ref,0)))+SUMIFS(mv_qty,mv_ref,A496,mv_type,"Entrée",mv_date,"&lt;="&amp;$G$1)-SUMIFS(mv_qty,mv_ref,A496,mv_type,"Sortie",mv_date,"&lt;="&amp;$G$1),6),""))</f>
        <v/>
      </c>
      <c r="F496" s="37" t="n"/>
      <c r="G496" s="39" t="str">
        <f>IF(OR(A496="",F496="",E496=""),"",ROUND(F496-E496,6))</f>
        <v/>
      </c>
      <c r="H496" s="40" t="str">
        <f>IF(G496="","",G496*IFERROR(N(INDEX(art_price,MATCH(A496,art_ref,0))),0))</f>
        <v/>
      </c>
      <c r="I496" s="39" t="str">
        <f>IF(A496="","",IF(E496="","Référence inconnue",IF(F496="","À compter",IF(G496&gt;0,"Saisir une entrée de "&amp;G496,IF(G496&lt;0,"Saisir une sortie de "&amp;-G496,"Conforme")))))</f>
        <v/>
      </c>
    </row>
    <row r="497">
      <c r="A497" s="37" t="n"/>
      <c r="B497" s="39" t="str">
        <f>IF(A497="","",IFERROR(INDEX(art_des,MATCH(A497,art_ref,0))&amp;"","Référence inconnue"))</f>
        <v/>
      </c>
      <c r="C497" s="39" t="str">
        <f>IF(A497="","",IFERROR(INDEX(art_unit,MATCH(A497,art_ref,0))&amp;"",""))</f>
        <v/>
      </c>
      <c r="D497" s="39" t="str">
        <f>IF(A497="","",IFERROR(INDEX(art_loc,MATCH(A497,art_ref,0))&amp;"",""))</f>
        <v/>
      </c>
      <c r="E497" s="39" t="str">
        <f>IF(A497="","",IFERROR(ROUND(N(INDEX(art_init,MATCH(A497,art_ref,0)))+SUMIFS(mv_qty,mv_ref,A497,mv_type,"Entrée",mv_date,"&lt;="&amp;$G$1)-SUMIFS(mv_qty,mv_ref,A497,mv_type,"Sortie",mv_date,"&lt;="&amp;$G$1),6),""))</f>
        <v/>
      </c>
      <c r="F497" s="37" t="n"/>
      <c r="G497" s="39" t="str">
        <f>IF(OR(A497="",F497="",E497=""),"",ROUND(F497-E497,6))</f>
        <v/>
      </c>
      <c r="H497" s="40" t="str">
        <f>IF(G497="","",G497*IFERROR(N(INDEX(art_price,MATCH(A497,art_ref,0))),0))</f>
        <v/>
      </c>
      <c r="I497" s="39" t="str">
        <f>IF(A497="","",IF(E497="","Référence inconnue",IF(F497="","À compter",IF(G497&gt;0,"Saisir une entrée de "&amp;G497,IF(G497&lt;0,"Saisir une sortie de "&amp;-G497,"Conforme")))))</f>
        <v/>
      </c>
    </row>
    <row r="498">
      <c r="A498" s="37" t="n"/>
      <c r="B498" s="39" t="str">
        <f>IF(A498="","",IFERROR(INDEX(art_des,MATCH(A498,art_ref,0))&amp;"","Référence inconnue"))</f>
        <v/>
      </c>
      <c r="C498" s="39" t="str">
        <f>IF(A498="","",IFERROR(INDEX(art_unit,MATCH(A498,art_ref,0))&amp;"",""))</f>
        <v/>
      </c>
      <c r="D498" s="39" t="str">
        <f>IF(A498="","",IFERROR(INDEX(art_loc,MATCH(A498,art_ref,0))&amp;"",""))</f>
        <v/>
      </c>
      <c r="E498" s="39" t="str">
        <f>IF(A498="","",IFERROR(ROUND(N(INDEX(art_init,MATCH(A498,art_ref,0)))+SUMIFS(mv_qty,mv_ref,A498,mv_type,"Entrée",mv_date,"&lt;="&amp;$G$1)-SUMIFS(mv_qty,mv_ref,A498,mv_type,"Sortie",mv_date,"&lt;="&amp;$G$1),6),""))</f>
        <v/>
      </c>
      <c r="F498" s="37" t="n"/>
      <c r="G498" s="39" t="str">
        <f>IF(OR(A498="",F498="",E498=""),"",ROUND(F498-E498,6))</f>
        <v/>
      </c>
      <c r="H498" s="40" t="str">
        <f>IF(G498="","",G498*IFERROR(N(INDEX(art_price,MATCH(A498,art_ref,0))),0))</f>
        <v/>
      </c>
      <c r="I498" s="39" t="str">
        <f>IF(A498="","",IF(E498="","Référence inconnue",IF(F498="","À compter",IF(G498&gt;0,"Saisir une entrée de "&amp;G498,IF(G498&lt;0,"Saisir une sortie de "&amp;-G498,"Conforme")))))</f>
        <v/>
      </c>
    </row>
    <row r="499">
      <c r="A499" s="37" t="n"/>
      <c r="B499" s="39" t="str">
        <f>IF(A499="","",IFERROR(INDEX(art_des,MATCH(A499,art_ref,0))&amp;"","Référence inconnue"))</f>
        <v/>
      </c>
      <c r="C499" s="39" t="str">
        <f>IF(A499="","",IFERROR(INDEX(art_unit,MATCH(A499,art_ref,0))&amp;"",""))</f>
        <v/>
      </c>
      <c r="D499" s="39" t="str">
        <f>IF(A499="","",IFERROR(INDEX(art_loc,MATCH(A499,art_ref,0))&amp;"",""))</f>
        <v/>
      </c>
      <c r="E499" s="39" t="str">
        <f>IF(A499="","",IFERROR(ROUND(N(INDEX(art_init,MATCH(A499,art_ref,0)))+SUMIFS(mv_qty,mv_ref,A499,mv_type,"Entrée",mv_date,"&lt;="&amp;$G$1)-SUMIFS(mv_qty,mv_ref,A499,mv_type,"Sortie",mv_date,"&lt;="&amp;$G$1),6),""))</f>
        <v/>
      </c>
      <c r="F499" s="37" t="n"/>
      <c r="G499" s="39" t="str">
        <f>IF(OR(A499="",F499="",E499=""),"",ROUND(F499-E499,6))</f>
        <v/>
      </c>
      <c r="H499" s="40" t="str">
        <f>IF(G499="","",G499*IFERROR(N(INDEX(art_price,MATCH(A499,art_ref,0))),0))</f>
        <v/>
      </c>
      <c r="I499" s="39" t="str">
        <f>IF(A499="","",IF(E499="","Référence inconnue",IF(F499="","À compter",IF(G499&gt;0,"Saisir une entrée de "&amp;G499,IF(G499&lt;0,"Saisir une sortie de "&amp;-G499,"Conforme")))))</f>
        <v/>
      </c>
    </row>
    <row r="500">
      <c r="A500" s="37" t="n"/>
      <c r="B500" s="39" t="str">
        <f>IF(A500="","",IFERROR(INDEX(art_des,MATCH(A500,art_ref,0))&amp;"","Référence inconnue"))</f>
        <v/>
      </c>
      <c r="C500" s="39" t="str">
        <f>IF(A500="","",IFERROR(INDEX(art_unit,MATCH(A500,art_ref,0))&amp;"",""))</f>
        <v/>
      </c>
      <c r="D500" s="39" t="str">
        <f>IF(A500="","",IFERROR(INDEX(art_loc,MATCH(A500,art_ref,0))&amp;"",""))</f>
        <v/>
      </c>
      <c r="E500" s="39" t="str">
        <f>IF(A500="","",IFERROR(ROUND(N(INDEX(art_init,MATCH(A500,art_ref,0)))+SUMIFS(mv_qty,mv_ref,A500,mv_type,"Entrée",mv_date,"&lt;="&amp;$G$1)-SUMIFS(mv_qty,mv_ref,A500,mv_type,"Sortie",mv_date,"&lt;="&amp;$G$1),6),""))</f>
        <v/>
      </c>
      <c r="F500" s="37" t="n"/>
      <c r="G500" s="39" t="str">
        <f>IF(OR(A500="",F500="",E500=""),"",ROUND(F500-E500,6))</f>
        <v/>
      </c>
      <c r="H500" s="40" t="str">
        <f>IF(G500="","",G500*IFERROR(N(INDEX(art_price,MATCH(A500,art_ref,0))),0))</f>
        <v/>
      </c>
      <c r="I500" s="39" t="str">
        <f>IF(A500="","",IF(E500="","Référence inconnue",IF(F500="","À compter",IF(G500&gt;0,"Saisir une entrée de "&amp;G500,IF(G500&lt;0,"Saisir une sortie de "&amp;-G500,"Conforme")))))</f>
        <v/>
      </c>
    </row>
    <row r="501">
      <c r="A501" s="37" t="n"/>
      <c r="B501" s="39" t="str">
        <f>IF(A501="","",IFERROR(INDEX(art_des,MATCH(A501,art_ref,0))&amp;"","Référence inconnue"))</f>
        <v/>
      </c>
      <c r="C501" s="39" t="str">
        <f>IF(A501="","",IFERROR(INDEX(art_unit,MATCH(A501,art_ref,0))&amp;"",""))</f>
        <v/>
      </c>
      <c r="D501" s="39" t="str">
        <f>IF(A501="","",IFERROR(INDEX(art_loc,MATCH(A501,art_ref,0))&amp;"",""))</f>
        <v/>
      </c>
      <c r="E501" s="39" t="str">
        <f>IF(A501="","",IFERROR(ROUND(N(INDEX(art_init,MATCH(A501,art_ref,0)))+SUMIFS(mv_qty,mv_ref,A501,mv_type,"Entrée",mv_date,"&lt;="&amp;$G$1)-SUMIFS(mv_qty,mv_ref,A501,mv_type,"Sortie",mv_date,"&lt;="&amp;$G$1),6),""))</f>
        <v/>
      </c>
      <c r="F501" s="37" t="n"/>
      <c r="G501" s="39" t="str">
        <f>IF(OR(A501="",F501="",E501=""),"",ROUND(F501-E501,6))</f>
        <v/>
      </c>
      <c r="H501" s="40" t="str">
        <f>IF(G501="","",G501*IFERROR(N(INDEX(art_price,MATCH(A501,art_ref,0))),0))</f>
        <v/>
      </c>
      <c r="I501" s="39" t="str">
        <f>IF(A501="","",IF(E501="","Référence inconnue",IF(F501="","À compter",IF(G501&gt;0,"Saisir une entrée de "&amp;G501,IF(G501&lt;0,"Saisir une sortie de "&amp;-G501,"Conforme")))))</f>
        <v/>
      </c>
    </row>
    <row r="502">
      <c r="A502" s="37" t="n"/>
      <c r="B502" s="39" t="str">
        <f>IF(A502="","",IFERROR(INDEX(art_des,MATCH(A502,art_ref,0))&amp;"","Référence inconnue"))</f>
        <v/>
      </c>
      <c r="C502" s="39" t="str">
        <f>IF(A502="","",IFERROR(INDEX(art_unit,MATCH(A502,art_ref,0))&amp;"",""))</f>
        <v/>
      </c>
      <c r="D502" s="39" t="str">
        <f>IF(A502="","",IFERROR(INDEX(art_loc,MATCH(A502,art_ref,0))&amp;"",""))</f>
        <v/>
      </c>
      <c r="E502" s="39" t="str">
        <f>IF(A502="","",IFERROR(ROUND(N(INDEX(art_init,MATCH(A502,art_ref,0)))+SUMIFS(mv_qty,mv_ref,A502,mv_type,"Entrée",mv_date,"&lt;="&amp;$G$1)-SUMIFS(mv_qty,mv_ref,A502,mv_type,"Sortie",mv_date,"&lt;="&amp;$G$1),6),""))</f>
        <v/>
      </c>
      <c r="F502" s="37" t="n"/>
      <c r="G502" s="39" t="str">
        <f>IF(OR(A502="",F502="",E502=""),"",ROUND(F502-E502,6))</f>
        <v/>
      </c>
      <c r="H502" s="40" t="str">
        <f>IF(G502="","",G502*IFERROR(N(INDEX(art_price,MATCH(A502,art_ref,0))),0))</f>
        <v/>
      </c>
      <c r="I502" s="39" t="str">
        <f>IF(A502="","",IF(E502="","Référence inconnue",IF(F502="","À compter",IF(G502&gt;0,"Saisir une entrée de "&amp;G502,IF(G502&lt;0,"Saisir une sortie de "&amp;-G502,"Conforme")))))</f>
        <v/>
      </c>
    </row>
    <row r="503">
      <c r="A503" s="37" t="n"/>
      <c r="B503" s="39" t="str">
        <f>IF(A503="","",IFERROR(INDEX(art_des,MATCH(A503,art_ref,0))&amp;"","Référence inconnue"))</f>
        <v/>
      </c>
      <c r="C503" s="39" t="str">
        <f>IF(A503="","",IFERROR(INDEX(art_unit,MATCH(A503,art_ref,0))&amp;"",""))</f>
        <v/>
      </c>
      <c r="D503" s="39" t="str">
        <f>IF(A503="","",IFERROR(INDEX(art_loc,MATCH(A503,art_ref,0))&amp;"",""))</f>
        <v/>
      </c>
      <c r="E503" s="39" t="str">
        <f>IF(A503="","",IFERROR(ROUND(N(INDEX(art_init,MATCH(A503,art_ref,0)))+SUMIFS(mv_qty,mv_ref,A503,mv_type,"Entrée",mv_date,"&lt;="&amp;$G$1)-SUMIFS(mv_qty,mv_ref,A503,mv_type,"Sortie",mv_date,"&lt;="&amp;$G$1),6),""))</f>
        <v/>
      </c>
      <c r="F503" s="37" t="n"/>
      <c r="G503" s="39" t="str">
        <f>IF(OR(A503="",F503="",E503=""),"",ROUND(F503-E503,6))</f>
        <v/>
      </c>
      <c r="H503" s="40" t="str">
        <f>IF(G503="","",G503*IFERROR(N(INDEX(art_price,MATCH(A503,art_ref,0))),0))</f>
        <v/>
      </c>
      <c r="I503" s="39" t="str">
        <f>IF(A503="","",IF(E503="","Référence inconnue",IF(F503="","À compter",IF(G503&gt;0,"Saisir une entrée de "&amp;G503,IF(G503&lt;0,"Saisir une sortie de "&amp;-G503,"Conforme")))))</f>
        <v/>
      </c>
    </row>
    <row r="504">
      <c r="A504" s="37" t="n"/>
      <c r="B504" s="39" t="str">
        <f>IF(A504="","",IFERROR(INDEX(art_des,MATCH(A504,art_ref,0))&amp;"","Référence inconnue"))</f>
        <v/>
      </c>
      <c r="C504" s="39" t="str">
        <f>IF(A504="","",IFERROR(INDEX(art_unit,MATCH(A504,art_ref,0))&amp;"",""))</f>
        <v/>
      </c>
      <c r="D504" s="39" t="str">
        <f>IF(A504="","",IFERROR(INDEX(art_loc,MATCH(A504,art_ref,0))&amp;"",""))</f>
        <v/>
      </c>
      <c r="E504" s="39" t="str">
        <f>IF(A504="","",IFERROR(ROUND(N(INDEX(art_init,MATCH(A504,art_ref,0)))+SUMIFS(mv_qty,mv_ref,A504,mv_type,"Entrée",mv_date,"&lt;="&amp;$G$1)-SUMIFS(mv_qty,mv_ref,A504,mv_type,"Sortie",mv_date,"&lt;="&amp;$G$1),6),""))</f>
        <v/>
      </c>
      <c r="F504" s="37" t="n"/>
      <c r="G504" s="39" t="str">
        <f>IF(OR(A504="",F504="",E504=""),"",ROUND(F504-E504,6))</f>
        <v/>
      </c>
      <c r="H504" s="40" t="str">
        <f>IF(G504="","",G504*IFERROR(N(INDEX(art_price,MATCH(A504,art_ref,0))),0))</f>
        <v/>
      </c>
      <c r="I504" s="39" t="str">
        <f>IF(A504="","",IF(E504="","Référence inconnue",IF(F504="","À compter",IF(G504&gt;0,"Saisir une entrée de "&amp;G504,IF(G504&lt;0,"Saisir une sortie de "&amp;-G504,"Conforme")))))</f>
        <v/>
      </c>
    </row>
  </sheetData>
  <autoFilter ref="A4:I504"/>
  <mergeCells count="2">
    <mergeCell ref="G1:H1"/>
    <mergeCell ref="A2:I2"/>
  </mergeCells>
  <conditionalFormatting sqref="I5:I504">
    <cfRule type="expression" priority="1" dxfId="9">
      <formula>$I5="Conforme"</formula>
    </cfRule>
    <cfRule type="expression" priority="2" dxfId="4">
      <formula>LEFT($I5,6)="Saisir"</formula>
    </cfRule>
    <cfRule type="expression" priority="3" dxfId="3">
      <formula>$I5="Référence inconnue"</formula>
    </cfRule>
  </conditionalFormatting>
  <conditionalFormatting sqref="H3:H504">
    <cfRule type="expression" priority="4" dxfId="0">
      <formula>p_currency="MAD"</formula>
    </cfRule>
    <cfRule type="expression" priority="5" dxfId="1">
      <formula>p_currency="EUR"</formula>
    </cfRule>
    <cfRule type="expression" priority="6" dxfId="2">
      <formula>p_currency="USD"</formula>
    </cfRule>
  </conditionalFormatting>
  <dataValidations count="3">
    <dataValidation sqref="G1" showDropDown="0" showInputMessage="1" showErrorMessage="1" allowBlank="0" errorTitle="Date invalide" error="Saisissez une date au format jj/mm/aaaa." promptTitle="Date du comptage" prompt="Le stock théorique est calculé à cette date, mouvements du jour compris." type="date" operator="between">
      <formula1>DATE(2000,1,1)</formula1>
      <formula2>DATE(2100,12,31)</formula2>
    </dataValidation>
    <dataValidation sqref="A5:A504" showDropDown="0" showInputMessage="1" showErrorMessage="1" allowBlank="1" errorTitle="Référence" error="Cette référence n'existe pas dans la feuille « Articles »." promptTitle="Référence" prompt="Choisissez l'article compté." type="list">
      <formula1>=art_ref</formula1>
    </dataValidation>
    <dataValidation sqref="F5:F504" showDropDown="0" showInputMessage="1" showErrorMessage="1" allowBlank="1" errorTitle="Stock compté" error="Saisissez un nombre positif ou nul." promptTitle="Stock compté" prompt="Quantité réellement trouvée dans le rayon, dans l'unité de l'article." type="decimal" operator="greaterThanOrEqual">
      <formula1>0</formula1>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F54"/>
  <sheetViews>
    <sheetView showGridLines="1" tabSelected="0" zoomScale="100" workbookViewId="0">
      <pane ySplit="4" topLeftCell="A5" activePane="bottomLeft" state="frozen"/>
      <selection pane="bottomLeft" activeCell="A1" sqref="A1"/>
    </sheetView>
  </sheetViews>
  <sheetFormatPr baseColWidth="8" defaultRowHeight="15"/>
  <cols>
    <col width="22" customWidth="1" min="1" max="1"/>
    <col width="26" customWidth="1" min="2" max="2"/>
    <col width="4" customWidth="1" min="3" max="3"/>
    <col width="26" customWidth="1" min="4" max="4"/>
    <col width="18" customWidth="1" min="5" max="5"/>
    <col width="26" customWidth="1" min="6" max="6"/>
  </cols>
  <sheetData>
    <row r="1" ht="26" customHeight="1">
      <c r="A1" s="32" t="inlineStr">
        <is>
          <t>Paramètres</t>
        </is>
      </c>
    </row>
    <row r="2" ht="30" customHeight="1">
      <c r="A2" s="35" t="inlineStr">
        <is>
          <t>Complétez les listes : elles alimentent les menus déroulants des autres feuilles. Ajoutez vos valeurs dans les cases vides (50 par liste).</t>
        </is>
      </c>
    </row>
    <row r="4">
      <c r="A4" s="54" t="inlineStr">
        <is>
          <t>Votre entreprise</t>
        </is>
      </c>
      <c r="D4" s="22" t="inlineStr">
        <is>
          <t>Catégories</t>
        </is>
      </c>
      <c r="E4" s="22" t="inlineStr">
        <is>
          <t>Unités</t>
        </is>
      </c>
      <c r="F4" s="22" t="inlineStr">
        <is>
          <t>Emplacements</t>
        </is>
      </c>
    </row>
    <row r="5">
      <c r="A5" s="42" t="inlineStr">
        <is>
          <t>Nom de l'entreprise</t>
        </is>
      </c>
      <c r="B5" s="37" t="inlineStr">
        <is>
          <t>Atelier Exemple</t>
        </is>
      </c>
      <c r="D5" s="37" t="inlineStr">
        <is>
          <t>Matières premières</t>
        </is>
      </c>
      <c r="E5" s="37" t="inlineStr">
        <is>
          <t>pièce</t>
        </is>
      </c>
      <c r="F5" s="37" t="inlineStr">
        <is>
          <t>Rayon A1</t>
        </is>
      </c>
    </row>
    <row r="6">
      <c r="A6" s="42" t="inlineStr">
        <is>
          <t>Devise</t>
        </is>
      </c>
      <c r="B6" s="37" t="inlineStr">
        <is>
          <t>EUR</t>
        </is>
      </c>
      <c r="D6" s="37" t="inlineStr">
        <is>
          <t>Visserie</t>
        </is>
      </c>
      <c r="E6" s="37" t="inlineStr">
        <is>
          <t>kg</t>
        </is>
      </c>
      <c r="F6" s="37" t="inlineStr">
        <is>
          <t>Rayon A2</t>
        </is>
      </c>
    </row>
    <row r="7">
      <c r="A7" s="55" t="inlineStr">
        <is>
          <t>Choisissez MAD (dirham), EUR (euro) ou USD (dollar) : tous les montants du fichier s'affichent dans cette devise.</t>
        </is>
      </c>
      <c r="D7" s="37" t="inlineStr">
        <is>
          <t>Pièces mécaniques</t>
        </is>
      </c>
      <c r="E7" s="37" t="inlineStr">
        <is>
          <t>g</t>
        </is>
      </c>
      <c r="F7" s="37" t="inlineStr">
        <is>
          <t>Rayon B1</t>
        </is>
      </c>
    </row>
    <row r="8">
      <c r="D8" s="37" t="inlineStr">
        <is>
          <t>Consommables</t>
        </is>
      </c>
      <c r="E8" s="37" t="inlineStr">
        <is>
          <t>m</t>
        </is>
      </c>
      <c r="F8" s="37" t="inlineStr">
        <is>
          <t>Rayon B2</t>
        </is>
      </c>
    </row>
    <row r="9">
      <c r="D9" s="37" t="inlineStr">
        <is>
          <t>Outillage</t>
        </is>
      </c>
      <c r="E9" s="37" t="inlineStr">
        <is>
          <t>m²</t>
        </is>
      </c>
      <c r="F9" s="37" t="inlineStr">
        <is>
          <t>Rayon C1</t>
        </is>
      </c>
    </row>
    <row r="10">
      <c r="D10" s="37" t="inlineStr">
        <is>
          <t>EPI</t>
        </is>
      </c>
      <c r="E10" s="37" t="inlineStr">
        <is>
          <t>L</t>
        </is>
      </c>
      <c r="F10" s="37" t="inlineStr">
        <is>
          <t>Rayon D1</t>
        </is>
      </c>
    </row>
    <row r="11">
      <c r="A11" s="54" t="inlineStr">
        <is>
          <t>Types de mouvement</t>
        </is>
      </c>
      <c r="D11" s="37" t="inlineStr">
        <is>
          <t>Emballages</t>
        </is>
      </c>
      <c r="E11" s="37" t="inlineStr">
        <is>
          <t>boîte</t>
        </is>
      </c>
      <c r="F11" s="37" t="inlineStr">
        <is>
          <t>Rayon D2</t>
        </is>
      </c>
    </row>
    <row r="12">
      <c r="A12" s="18" t="inlineStr">
        <is>
          <t>Fixe, ne pas modifier</t>
        </is>
      </c>
      <c r="B12" s="50" t="inlineStr">
        <is>
          <t>Entrée</t>
        </is>
      </c>
      <c r="D12" s="37" t="inlineStr">
        <is>
          <t>Électricité</t>
        </is>
      </c>
      <c r="E12" s="37" t="inlineStr">
        <is>
          <t>carton</t>
        </is>
      </c>
      <c r="F12" s="37" t="inlineStr">
        <is>
          <t>Zone stockage tôles</t>
        </is>
      </c>
    </row>
    <row r="13">
      <c r="A13" s="18" t="n"/>
      <c r="B13" s="50" t="inlineStr">
        <is>
          <t>Sortie</t>
        </is>
      </c>
      <c r="D13" s="37" t="inlineStr">
        <is>
          <t>Produits finis</t>
        </is>
      </c>
      <c r="E13" s="37" t="inlineStr">
        <is>
          <t>palette</t>
        </is>
      </c>
      <c r="F13" s="37" t="inlineStr">
        <is>
          <t>Armoire produits</t>
        </is>
      </c>
    </row>
    <row r="14">
      <c r="D14" s="37" t="n"/>
      <c r="E14" s="37" t="inlineStr">
        <is>
          <t>rouleau</t>
        </is>
      </c>
      <c r="F14" s="37" t="inlineStr">
        <is>
          <t>Armoire outillage</t>
        </is>
      </c>
    </row>
    <row r="15">
      <c r="D15" s="37" t="n"/>
      <c r="E15" s="37" t="inlineStr">
        <is>
          <t>feuille</t>
        </is>
      </c>
      <c r="F15" s="37" t="inlineStr">
        <is>
          <t>Armoire EPI</t>
        </is>
      </c>
    </row>
    <row r="16">
      <c r="D16" s="37" t="n"/>
      <c r="E16" s="37" t="inlineStr">
        <is>
          <t>barre</t>
        </is>
      </c>
      <c r="F16" s="37" t="inlineStr">
        <is>
          <t>Quai expédition</t>
        </is>
      </c>
    </row>
    <row r="17">
      <c r="D17" s="37" t="n"/>
      <c r="E17" s="37" t="inlineStr">
        <is>
          <t>bidon</t>
        </is>
      </c>
      <c r="F17" s="37" t="n"/>
    </row>
    <row r="18">
      <c r="D18" s="37" t="n"/>
      <c r="E18" s="37" t="inlineStr">
        <is>
          <t>lot</t>
        </is>
      </c>
      <c r="F18" s="37" t="n"/>
    </row>
    <row r="19">
      <c r="D19" s="37" t="n"/>
      <c r="E19" s="37" t="n"/>
      <c r="F19" s="37" t="n"/>
    </row>
    <row r="20">
      <c r="D20" s="37" t="n"/>
      <c r="E20" s="37" t="n"/>
      <c r="F20" s="37" t="n"/>
    </row>
    <row r="21">
      <c r="D21" s="37" t="n"/>
      <c r="E21" s="37" t="n"/>
      <c r="F21" s="37" t="n"/>
    </row>
    <row r="22">
      <c r="D22" s="37" t="n"/>
      <c r="E22" s="37" t="n"/>
      <c r="F22" s="37" t="n"/>
    </row>
    <row r="23">
      <c r="D23" s="37" t="n"/>
      <c r="E23" s="37" t="n"/>
      <c r="F23" s="37" t="n"/>
    </row>
    <row r="24">
      <c r="D24" s="37" t="n"/>
      <c r="E24" s="37" t="n"/>
      <c r="F24" s="37" t="n"/>
    </row>
    <row r="25">
      <c r="D25" s="37" t="n"/>
      <c r="E25" s="37" t="n"/>
      <c r="F25" s="37" t="n"/>
    </row>
    <row r="26">
      <c r="D26" s="37" t="n"/>
      <c r="E26" s="37" t="n"/>
      <c r="F26" s="37" t="n"/>
    </row>
    <row r="27">
      <c r="D27" s="37" t="n"/>
      <c r="E27" s="37" t="n"/>
      <c r="F27" s="37" t="n"/>
    </row>
    <row r="28">
      <c r="D28" s="37" t="n"/>
      <c r="E28" s="37" t="n"/>
      <c r="F28" s="37" t="n"/>
    </row>
    <row r="29">
      <c r="D29" s="37" t="n"/>
      <c r="E29" s="37" t="n"/>
      <c r="F29" s="37" t="n"/>
    </row>
    <row r="30">
      <c r="D30" s="37" t="n"/>
      <c r="E30" s="37" t="n"/>
      <c r="F30" s="37" t="n"/>
    </row>
    <row r="31">
      <c r="D31" s="37" t="n"/>
      <c r="E31" s="37" t="n"/>
      <c r="F31" s="37" t="n"/>
    </row>
    <row r="32">
      <c r="D32" s="37" t="n"/>
      <c r="E32" s="37" t="n"/>
      <c r="F32" s="37" t="n"/>
    </row>
    <row r="33">
      <c r="D33" s="37" t="n"/>
      <c r="E33" s="37" t="n"/>
      <c r="F33" s="37" t="n"/>
    </row>
    <row r="34">
      <c r="D34" s="37" t="n"/>
      <c r="E34" s="37" t="n"/>
      <c r="F34" s="37" t="n"/>
    </row>
    <row r="35">
      <c r="D35" s="37" t="n"/>
      <c r="E35" s="37" t="n"/>
      <c r="F35" s="37" t="n"/>
    </row>
    <row r="36">
      <c r="D36" s="37" t="n"/>
      <c r="E36" s="37" t="n"/>
      <c r="F36" s="37" t="n"/>
    </row>
    <row r="37">
      <c r="D37" s="37" t="n"/>
      <c r="E37" s="37" t="n"/>
      <c r="F37" s="37" t="n"/>
    </row>
    <row r="38">
      <c r="D38" s="37" t="n"/>
      <c r="E38" s="37" t="n"/>
      <c r="F38" s="37" t="n"/>
    </row>
    <row r="39">
      <c r="D39" s="37" t="n"/>
      <c r="E39" s="37" t="n"/>
      <c r="F39" s="37" t="n"/>
    </row>
    <row r="40">
      <c r="D40" s="37" t="n"/>
      <c r="E40" s="37" t="n"/>
      <c r="F40" s="37" t="n"/>
    </row>
    <row r="41">
      <c r="D41" s="37" t="n"/>
      <c r="E41" s="37" t="n"/>
      <c r="F41" s="37" t="n"/>
    </row>
    <row r="42">
      <c r="D42" s="37" t="n"/>
      <c r="E42" s="37" t="n"/>
      <c r="F42" s="37" t="n"/>
    </row>
    <row r="43">
      <c r="D43" s="37" t="n"/>
      <c r="E43" s="37" t="n"/>
      <c r="F43" s="37" t="n"/>
    </row>
    <row r="44">
      <c r="D44" s="37" t="n"/>
      <c r="E44" s="37" t="n"/>
      <c r="F44" s="37" t="n"/>
    </row>
    <row r="45">
      <c r="D45" s="37" t="n"/>
      <c r="E45" s="37" t="n"/>
      <c r="F45" s="37" t="n"/>
    </row>
    <row r="46">
      <c r="D46" s="37" t="n"/>
      <c r="E46" s="37" t="n"/>
      <c r="F46" s="37" t="n"/>
    </row>
    <row r="47">
      <c r="D47" s="37" t="n"/>
      <c r="E47" s="37" t="n"/>
      <c r="F47" s="37" t="n"/>
    </row>
    <row r="48">
      <c r="D48" s="37" t="n"/>
      <c r="E48" s="37" t="n"/>
      <c r="F48" s="37" t="n"/>
    </row>
    <row r="49">
      <c r="D49" s="37" t="n"/>
      <c r="E49" s="37" t="n"/>
      <c r="F49" s="37" t="n"/>
    </row>
    <row r="50">
      <c r="D50" s="37" t="n"/>
      <c r="E50" s="37" t="n"/>
      <c r="F50" s="37" t="n"/>
    </row>
    <row r="51">
      <c r="D51" s="37" t="n"/>
      <c r="E51" s="37" t="n"/>
      <c r="F51" s="37" t="n"/>
    </row>
    <row r="52">
      <c r="D52" s="37" t="n"/>
      <c r="E52" s="37" t="n"/>
      <c r="F52" s="37" t="n"/>
    </row>
    <row r="53">
      <c r="D53" s="37" t="n"/>
      <c r="E53" s="37" t="n"/>
      <c r="F53" s="37" t="n"/>
    </row>
    <row r="54">
      <c r="D54" s="37" t="n"/>
      <c r="E54" s="37" t="n"/>
      <c r="F54" s="37" t="n"/>
    </row>
  </sheetData>
  <mergeCells count="2">
    <mergeCell ref="A2:F2"/>
    <mergeCell ref="A7:B9"/>
  </mergeCells>
  <dataValidations count="1">
    <dataValidation sqref="B6" showDropDown="0" showInputMessage="1" showErrorMessage="1" allowBlank="1" errorTitle="Devise" error="Choisissez MAD, EUR ou USD dans la liste." promptTitle="Devise" prompt="MAD, EUR ou USD." type="list">
      <formula1>"MAD,EUR,USD"</formula1>
    </dataValidation>
  </dataValidations>
  <pageMargins left="0.75" right="0.75" top="1" bottom="1" header="0.5" footer="0.5"/>
  <pageSetup orientation="landscape"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E59"/>
  <sheetViews>
    <sheetView showGridLines="0" tabSelected="0" zoomScale="100" workbookViewId="0">
      <selection activeCell="A1" sqref="A1"/>
    </sheetView>
  </sheetViews>
  <sheetFormatPr baseColWidth="8" defaultRowHeight="15"/>
  <cols>
    <col width="3" customWidth="1" min="1" max="1"/>
    <col width="34" customWidth="1" min="2" max="2"/>
    <col width="40" customWidth="1" min="3" max="3"/>
    <col width="40" customWidth="1" min="4" max="4"/>
    <col width="3" customWidth="1" min="5" max="5"/>
  </cols>
  <sheetData>
    <row r="1">
      <c r="A1" s="56" t="n"/>
      <c r="B1" s="56" t="n"/>
      <c r="C1" s="56" t="n"/>
      <c r="D1" s="56" t="n"/>
      <c r="E1" s="56" t="n"/>
    </row>
    <row r="2" ht="34" customHeight="1">
      <c r="A2" s="56" t="n"/>
      <c r="B2" s="57" t="inlineStr">
        <is>
          <t>Qualis ERP</t>
        </is>
      </c>
      <c r="C2" s="56" t="n"/>
      <c r="D2" s="56" t="n"/>
      <c r="E2" s="56" t="n"/>
    </row>
    <row r="3">
      <c r="A3" s="56" t="n"/>
      <c r="B3" s="58" t="inlineStr">
        <is>
          <t>La gestion de stock en ligne, gratuite à vie avec l'offre Qualis Start.</t>
        </is>
      </c>
      <c r="C3" s="56" t="n"/>
      <c r="D3" s="56" t="n"/>
      <c r="E3" s="56" t="n"/>
    </row>
    <row r="4" ht="28" customHeight="1">
      <c r="A4" s="56" t="n"/>
      <c r="B4" s="59" t="inlineStr">
        <is>
          <t>Ce fichier Excel suffit pour démarrer. Voici les signes qu'il est temps de passer à un logiciel, et ce que l'offre gratuite de Qualis ERP apporte.</t>
        </is>
      </c>
      <c r="E4" s="56" t="n"/>
    </row>
    <row r="5">
      <c r="A5" s="56" t="n"/>
      <c r="B5" s="56" t="n"/>
      <c r="C5" s="56" t="n"/>
      <c r="D5" s="56" t="n"/>
      <c r="E5" s="56" t="n"/>
    </row>
    <row r="6">
      <c r="A6" s="56" t="n"/>
      <c r="B6" s="60" t="inlineStr">
        <is>
          <t>Le fichier ne suffit plus quand...</t>
        </is>
      </c>
      <c r="C6" s="61" t="n"/>
      <c r="D6" s="61" t="n"/>
      <c r="E6" s="56" t="n"/>
    </row>
    <row r="7">
      <c r="A7" s="56" t="n"/>
      <c r="B7" s="62" t="inlineStr">
        <is>
          <t>•  Plusieurs personnes doivent saisir en même temps (magasin, atelier, achats).</t>
        </is>
      </c>
      <c r="E7" s="56" t="n"/>
    </row>
    <row r="8">
      <c r="A8" s="56" t="n"/>
      <c r="B8" s="62" t="inlineStr">
        <is>
          <t>•  Le fichier circule par e-mail et personne ne sait quelle copie est la bonne.</t>
        </is>
      </c>
      <c r="E8" s="56" t="n"/>
    </row>
    <row r="9">
      <c r="A9" s="56" t="n"/>
      <c r="B9" s="62" t="inlineStr">
        <is>
          <t>•  Vous gérez plusieurs entrepôts ou plusieurs emplacements par article.</t>
        </is>
      </c>
      <c r="E9" s="56" t="n"/>
    </row>
    <row r="10">
      <c r="A10" s="56" t="n"/>
      <c r="B10" s="62" t="inlineStr">
        <is>
          <t>•  Vous devez suivre des lots ou des numéros de série (traçabilité client, rappel).</t>
        </is>
      </c>
      <c r="E10" s="56" t="n"/>
    </row>
    <row r="11">
      <c r="A11" s="56" t="n"/>
      <c r="B11" s="62" t="inlineStr">
        <is>
          <t>•  Vous voulez savoir qui a modifié une quantité, et quand.</t>
        </is>
      </c>
      <c r="E11" s="56" t="n"/>
    </row>
    <row r="12">
      <c r="A12" s="56" t="n"/>
      <c r="B12" s="62" t="inlineStr">
        <is>
          <t>•  Une formule écrasée a déjà faussé votre stock sans que personne ne le voie.</t>
        </is>
      </c>
      <c r="E12" s="56" t="n"/>
    </row>
    <row r="13">
      <c r="A13" s="56" t="n"/>
      <c r="B13" s="56" t="n"/>
      <c r="C13" s="56" t="n"/>
      <c r="D13" s="56" t="n"/>
      <c r="E13" s="56" t="n"/>
    </row>
    <row r="14">
      <c r="A14" s="56" t="n"/>
      <c r="B14" s="60" t="inlineStr">
        <is>
          <t>Ce fichier Excel et Qualis Start, côte à côte</t>
        </is>
      </c>
      <c r="C14" s="61" t="n"/>
      <c r="D14" s="61" t="n"/>
      <c r="E14" s="56" t="n"/>
    </row>
    <row r="15" ht="30" customHeight="1">
      <c r="A15" s="56" t="n"/>
      <c r="B15" s="63" t="inlineStr"/>
      <c r="C15" s="64" t="inlineStr">
        <is>
          <t>Ce fichier Excel</t>
        </is>
      </c>
      <c r="D15" s="65" t="inlineStr">
        <is>
          <t>Qualis Start (gratuit)</t>
        </is>
      </c>
      <c r="E15" s="56" t="n"/>
    </row>
    <row r="16" ht="30" customHeight="1">
      <c r="A16" s="56" t="n"/>
      <c r="B16" s="66" t="inlineStr">
        <is>
          <t>Prix</t>
        </is>
      </c>
      <c r="C16" s="67" t="inlineStr">
        <is>
          <t>Gratuit</t>
        </is>
      </c>
      <c r="D16" s="68" t="inlineStr">
        <is>
          <t>Gratuit à vie, sans carte bancaire</t>
        </is>
      </c>
      <c r="E16" s="56" t="n"/>
    </row>
    <row r="17" ht="30" customHeight="1">
      <c r="A17" s="56" t="n"/>
      <c r="B17" s="66" t="inlineStr">
        <is>
          <t>Utilisateurs</t>
        </is>
      </c>
      <c r="C17" s="67" t="inlineStr">
        <is>
          <t>Un seul à la fois pour éviter les conflits</t>
        </is>
      </c>
      <c r="D17" s="68" t="inlineStr">
        <is>
          <t>Utilisateurs illimités, chacun avec son compte</t>
        </is>
      </c>
      <c r="E17" s="56" t="n"/>
    </row>
    <row r="18" ht="30" customHeight="1">
      <c r="A18" s="56" t="n"/>
      <c r="B18" s="66" t="inlineStr">
        <is>
          <t>Volume</t>
        </is>
      </c>
      <c r="C18" s="67" t="inlineStr">
        <is>
          <t>1000 articles et 5000 mouvements</t>
        </is>
      </c>
      <c r="D18" s="68" t="inlineStr">
        <is>
          <t>Sans limite d'articles ni de mouvements</t>
        </is>
      </c>
      <c r="E18" s="56" t="n"/>
    </row>
    <row r="19" ht="30" customHeight="1">
      <c r="A19" s="56" t="n"/>
      <c r="B19" s="66" t="inlineStr">
        <is>
          <t>Entrepôts et emplacements</t>
        </is>
      </c>
      <c r="C19" s="67" t="inlineStr">
        <is>
          <t>Un emplacement indicatif par article</t>
        </is>
      </c>
      <c r="D19" s="68" t="inlineStr">
        <is>
          <t>Plusieurs entrepôts, stock suivi par emplacement</t>
        </is>
      </c>
      <c r="E19" s="56" t="n"/>
    </row>
    <row r="20" ht="30" customHeight="1">
      <c r="A20" s="56" t="n"/>
      <c r="B20" s="66" t="inlineStr">
        <is>
          <t>Lots et numéros de série</t>
        </is>
      </c>
      <c r="C20" s="67" t="inlineStr">
        <is>
          <t>Non</t>
        </is>
      </c>
      <c r="D20" s="68" t="inlineStr">
        <is>
          <t>Oui, avec la traçabilité de chaque lot</t>
        </is>
      </c>
      <c r="E20" s="56" t="n"/>
    </row>
    <row r="21" ht="30" customHeight="1">
      <c r="A21" s="56" t="n"/>
      <c r="B21" s="66" t="inlineStr">
        <is>
          <t>Unités de mesure</t>
        </is>
      </c>
      <c r="C21" s="67" t="inlineStr">
        <is>
          <t>Texte libre</t>
        </is>
      </c>
      <c r="D21" s="68" t="inlineStr">
        <is>
          <t>Unités et conversions (carton, pièce, kg...)</t>
        </is>
      </c>
      <c r="E21" s="56" t="n"/>
    </row>
    <row r="22" ht="30" customHeight="1">
      <c r="A22" s="56" t="n"/>
      <c r="B22" s="66" t="inlineStr">
        <is>
          <t>Historique des modifications</t>
        </is>
      </c>
      <c r="C22" s="67" t="inlineStr">
        <is>
          <t>Non</t>
        </is>
      </c>
      <c r="D22" s="68" t="inlineStr">
        <is>
          <t>Journal d'audit : qui, quoi, quand</t>
        </is>
      </c>
      <c r="E22" s="56" t="n"/>
    </row>
    <row r="23" ht="30" customHeight="1">
      <c r="A23" s="56" t="n"/>
      <c r="B23" s="66" t="inlineStr">
        <is>
          <t>Reprise de vos données</t>
        </is>
      </c>
      <c r="C23" s="67" t="inlineStr">
        <is>
          <t>Saisie ou copier-coller</t>
        </is>
      </c>
      <c r="D23" s="68" t="inlineStr">
        <is>
          <t>Import de vos articles depuis un fichier CSV</t>
        </is>
      </c>
      <c r="E23" s="56" t="n"/>
    </row>
    <row r="24" ht="30" customHeight="1">
      <c r="A24" s="56" t="n"/>
      <c r="B24" s="66" t="inlineStr">
        <is>
          <t>Accès</t>
        </is>
      </c>
      <c r="C24" s="67" t="inlineStr">
        <is>
          <t>Le fichier, là où il est enregistré</t>
        </is>
      </c>
      <c r="D24" s="68" t="inlineStr">
        <is>
          <t>Navigateur, depuis le bureau ou l'atelier</t>
        </is>
      </c>
      <c r="E24" s="56" t="n"/>
    </row>
    <row r="25">
      <c r="A25" s="56" t="n"/>
      <c r="B25" s="56" t="n"/>
      <c r="C25" s="56" t="n"/>
      <c r="D25" s="56" t="n"/>
      <c r="E25" s="56" t="n"/>
    </row>
    <row r="26">
      <c r="A26" s="56" t="n"/>
      <c r="B26" s="60" t="inlineStr">
        <is>
          <t>Ce que couvre l'offre gratuite</t>
        </is>
      </c>
      <c r="C26" s="61" t="n"/>
      <c r="D26" s="61" t="n"/>
      <c r="E26" s="56" t="n"/>
    </row>
    <row r="27">
      <c r="A27" s="56" t="n"/>
      <c r="B27" s="62" t="inlineStr">
        <is>
          <t>✓  Articles, clients et fournisseurs</t>
        </is>
      </c>
      <c r="E27" s="56" t="n"/>
    </row>
    <row r="28">
      <c r="A28" s="56" t="n"/>
      <c r="B28" s="62" t="inlineStr">
        <is>
          <t>✓  Entrepôts, emplacements et niveaux de stock en temps réel</t>
        </is>
      </c>
      <c r="E28" s="56" t="n"/>
    </row>
    <row r="29">
      <c r="A29" s="56" t="n"/>
      <c r="B29" s="62" t="inlineStr">
        <is>
          <t>✓  Mouvements et ajustements de stock (réception, sortie, écart d'inventaire)</t>
        </is>
      </c>
      <c r="E29" s="56" t="n"/>
    </row>
    <row r="30">
      <c r="A30" s="56" t="n"/>
      <c r="B30" s="62" t="inlineStr">
        <is>
          <t>✓  Lots et numéros de série, unités de mesure</t>
        </is>
      </c>
      <c r="E30" s="56" t="n"/>
    </row>
    <row r="31">
      <c r="A31" s="56" t="n"/>
      <c r="B31" s="62" t="inlineStr">
        <is>
          <t>✓  Tâches et personnel</t>
        </is>
      </c>
      <c r="E31" s="56" t="n"/>
    </row>
    <row r="32">
      <c r="A32" s="56" t="n"/>
      <c r="B32" s="56" t="n"/>
      <c r="C32" s="56" t="n"/>
      <c r="D32" s="56" t="n"/>
      <c r="E32" s="56" t="n"/>
    </row>
    <row r="33" ht="28" customHeight="1">
      <c r="A33" s="56" t="n"/>
      <c r="B33" s="69" t="inlineStr">
        <is>
          <t>Les achats, les ventes, la facturation, la production, la qualité et la maintenance font partie de l'offre payante Qualis Complete. Vous les ajoutez quand vous en avez besoin, sans changer de logiciel.</t>
        </is>
      </c>
      <c r="E33" s="56" t="n"/>
    </row>
    <row r="34">
      <c r="A34" s="56" t="n"/>
      <c r="B34" s="56" t="n"/>
      <c r="C34" s="56" t="n"/>
      <c r="D34" s="56" t="n"/>
      <c r="E34" s="56" t="n"/>
    </row>
    <row r="35">
      <c r="A35" s="56" t="n"/>
      <c r="B35" s="60" t="inlineStr">
        <is>
          <t>Passer du fichier à Qualis ERP en 3 étapes</t>
        </is>
      </c>
      <c r="C35" s="61" t="n"/>
      <c r="D35" s="61" t="n"/>
      <c r="E35" s="56" t="n"/>
    </row>
    <row r="36">
      <c r="A36" s="56" t="n"/>
      <c r="B36" s="62" t="inlineStr">
        <is>
          <t>1.  Créez un compte gratuit sur qualis-erp.com (2 minutes, sans carte bancaire).</t>
        </is>
      </c>
      <c r="E36" s="56" t="n"/>
    </row>
    <row r="37">
      <c r="A37" s="56" t="n"/>
      <c r="B37" s="62" t="inlineStr">
        <is>
          <t>2.  Importez vos articles avec le modèle CSV de Qualis ERP : reprenez la référence et la désignation de la feuille « Articles ».</t>
        </is>
      </c>
      <c r="E37" s="56" t="n"/>
    </row>
    <row r="38">
      <c r="A38" s="56" t="n"/>
      <c r="B38" s="62" t="inlineStr">
        <is>
          <t>3.  Saisissez votre stock actuel de chaque article comme stock de départ, puis invitez votre équipe.</t>
        </is>
      </c>
      <c r="E38" s="56" t="n"/>
    </row>
    <row r="39">
      <c r="A39" s="56" t="n"/>
      <c r="B39" s="56" t="n"/>
      <c r="C39" s="56" t="n"/>
      <c r="D39" s="56" t="n"/>
      <c r="E39" s="56" t="n"/>
    </row>
    <row r="40" ht="36" customHeight="1">
      <c r="A40" s="56" t="n"/>
      <c r="B40" s="70" t="inlineStr">
        <is>
          <t>Créer mon compte Qualis ERP gratuit  →</t>
        </is>
      </c>
      <c r="C40" s="71" t="n"/>
      <c r="D40" s="72" t="inlineStr">
        <is>
          <t>qualis-erp.com</t>
        </is>
      </c>
      <c r="E40" s="56" t="n"/>
    </row>
    <row r="41">
      <c r="A41" s="56" t="n"/>
      <c r="B41" s="56" t="n"/>
      <c r="C41" s="56" t="n"/>
      <c r="D41" s="56" t="n"/>
      <c r="E41" s="56" t="n"/>
    </row>
    <row r="42" ht="28" customHeight="1">
      <c r="A42" s="56" t="n"/>
      <c r="B42" s="73" t="inlineStr">
        <is>
          <t>Qualis ERP est un ERP industriel en ligne, en français, pour les PME qui fabriquent sur stock ou à la commande. Édité par BERRYNOON SARLAU, Casablanca.</t>
        </is>
      </c>
      <c r="E42" s="56" t="n"/>
    </row>
    <row r="43">
      <c r="A43" s="56" t="n"/>
      <c r="B43" s="56" t="n"/>
      <c r="C43" s="56" t="n"/>
      <c r="D43" s="56" t="n"/>
      <c r="E43" s="56" t="n"/>
    </row>
    <row r="44">
      <c r="A44" s="56" t="n"/>
      <c r="B44" s="56" t="n"/>
      <c r="C44" s="56" t="n"/>
      <c r="D44" s="56" t="n"/>
      <c r="E44" s="56" t="n"/>
    </row>
    <row r="45">
      <c r="A45" s="56" t="n"/>
      <c r="B45" s="56" t="n"/>
      <c r="C45" s="56" t="n"/>
      <c r="D45" s="56" t="n"/>
      <c r="E45" s="56" t="n"/>
    </row>
    <row r="46">
      <c r="A46" s="56" t="n"/>
      <c r="B46" s="56" t="n"/>
      <c r="C46" s="56" t="n"/>
      <c r="D46" s="56" t="n"/>
      <c r="E46" s="56" t="n"/>
    </row>
    <row r="47">
      <c r="A47" s="56" t="n"/>
      <c r="B47" s="56" t="n"/>
      <c r="C47" s="56" t="n"/>
      <c r="D47" s="56" t="n"/>
      <c r="E47" s="56" t="n"/>
    </row>
    <row r="48">
      <c r="A48" s="56" t="n"/>
      <c r="B48" s="56" t="n"/>
      <c r="C48" s="56" t="n"/>
      <c r="D48" s="56" t="n"/>
      <c r="E48" s="56" t="n"/>
    </row>
    <row r="49">
      <c r="A49" s="56" t="n"/>
      <c r="B49" s="56" t="n"/>
      <c r="C49" s="56" t="n"/>
      <c r="D49" s="56" t="n"/>
      <c r="E49" s="56" t="n"/>
    </row>
    <row r="50">
      <c r="A50" s="56" t="n"/>
      <c r="B50" s="56" t="n"/>
      <c r="C50" s="56" t="n"/>
      <c r="D50" s="56" t="n"/>
      <c r="E50" s="56" t="n"/>
    </row>
    <row r="51">
      <c r="A51" s="56" t="n"/>
      <c r="B51" s="56" t="n"/>
      <c r="C51" s="56" t="n"/>
      <c r="D51" s="56" t="n"/>
      <c r="E51" s="56" t="n"/>
    </row>
    <row r="52">
      <c r="A52" s="56" t="n"/>
      <c r="B52" s="56" t="n"/>
      <c r="C52" s="56" t="n"/>
      <c r="D52" s="56" t="n"/>
      <c r="E52" s="56" t="n"/>
    </row>
    <row r="53">
      <c r="A53" s="56" t="n"/>
      <c r="B53" s="56" t="n"/>
      <c r="C53" s="56" t="n"/>
      <c r="D53" s="56" t="n"/>
      <c r="E53" s="56" t="n"/>
    </row>
    <row r="54">
      <c r="A54" s="56" t="n"/>
      <c r="B54" s="56" t="n"/>
      <c r="C54" s="56" t="n"/>
      <c r="D54" s="56" t="n"/>
      <c r="E54" s="56" t="n"/>
    </row>
    <row r="55">
      <c r="A55" s="56" t="n"/>
      <c r="B55" s="56" t="n"/>
      <c r="C55" s="56" t="n"/>
      <c r="D55" s="56" t="n"/>
      <c r="E55" s="56" t="n"/>
    </row>
    <row r="56">
      <c r="A56" s="56" t="n"/>
      <c r="B56" s="56" t="n"/>
      <c r="C56" s="56" t="n"/>
      <c r="D56" s="56" t="n"/>
      <c r="E56" s="56" t="n"/>
    </row>
    <row r="57">
      <c r="A57" s="56" t="n"/>
      <c r="B57" s="56" t="n"/>
      <c r="C57" s="56" t="n"/>
      <c r="D57" s="56" t="n"/>
      <c r="E57" s="56" t="n"/>
    </row>
    <row r="58">
      <c r="A58" s="56" t="n"/>
      <c r="B58" s="56" t="n"/>
      <c r="C58" s="56" t="n"/>
      <c r="D58" s="56" t="n"/>
      <c r="E58" s="56" t="n"/>
    </row>
    <row r="59">
      <c r="A59" s="56" t="n"/>
      <c r="B59" s="56" t="n"/>
      <c r="C59" s="56" t="n"/>
      <c r="D59" s="56" t="n"/>
      <c r="E59" s="56" t="n"/>
    </row>
  </sheetData>
  <mergeCells count="18">
    <mergeCell ref="B10:D10"/>
    <mergeCell ref="B11:D11"/>
    <mergeCell ref="B28:D28"/>
    <mergeCell ref="B33:D33"/>
    <mergeCell ref="B36:D36"/>
    <mergeCell ref="B29:D29"/>
    <mergeCell ref="B37:D37"/>
    <mergeCell ref="B42:D42"/>
    <mergeCell ref="B31:D31"/>
    <mergeCell ref="B8:D8"/>
    <mergeCell ref="B4:D4"/>
    <mergeCell ref="B9:D9"/>
    <mergeCell ref="B27:D27"/>
    <mergeCell ref="B30:D30"/>
    <mergeCell ref="B40:C40"/>
    <mergeCell ref="B12:D12"/>
    <mergeCell ref="B7:D7"/>
    <mergeCell ref="B38:D38"/>
  </mergeCells>
  <hyperlinks>
    <hyperlink xmlns:r="http://schemas.openxmlformats.org/officeDocument/2006/relationships" ref="B40" r:id="rId1"/>
    <hyperlink xmlns:r="http://schemas.openxmlformats.org/officeDocument/2006/relationships" ref="D40" r:id="rId2"/>
  </hyperlink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Gestion de stock Excel : entrées et sorties</dc:title>
  <dc:subject xmlns:dc="http://purl.org/dc/elements/1.1/">Modèle gratuit de gestion de stock</dc:subject>
  <dc:language xmlns:dc="http://purl.org/dc/elements/1.1/">fr-FR</dc:language>
  <dcterms:created xmlns:dcterms="http://purl.org/dc/terms/" xmlns:xsi="http://www.w3.org/2001/XMLSchema-instance" xsi:type="dcterms:W3CDTF">2026-11-05T21:03:32Z</dcterms:created>
  <dcterms:modified xmlns:dcterms="http://purl.org/dc/terms/" xmlns:xsi="http://www.w3.org/2001/XMLSchema-instance" xsi:type="dcterms:W3CDTF">2026-11-05T21:03:35Z</dcterms:modified>
  <cp:keywords>gestion de stock, entrée sortie, inventaire, excel</cp:keywords>
</cp:coreProperties>
</file>